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E6277070-E5B1-402C-A249-14D645DD6079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</calcChain>
</file>

<file path=xl/sharedStrings.xml><?xml version="1.0" encoding="utf-8"?>
<sst xmlns="http://schemas.openxmlformats.org/spreadsheetml/2006/main" count="14634" uniqueCount="95">
  <si>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</si>
  <si>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</si>
  <si>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</si>
  <si>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</si>
  <si>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</si>
  <si>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</si>
  <si>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</si>
  <si>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</si>
  <si>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</si>
  <si>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</si>
  <si>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</si>
  <si>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</si>
  <si>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</si>
  <si>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</si>
  <si>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</si>
  <si>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</si>
  <si>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</si>
  <si>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</si>
  <si>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</si>
  <si>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</si>
  <si>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</si>
  <si>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</si>
  <si>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</si>
  <si>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</si>
  <si>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</si>
  <si>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</si>
  <si>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</si>
  <si>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</si>
  <si>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</si>
  <si>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</si>
  <si>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</si>
  <si>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</si>
  <si>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</si>
  <si>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</si>
  <si>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</si>
  <si>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</si>
  <si>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</si>
  <si>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</si>
  <si>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</si>
  <si>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</si>
  <si>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</si>
  <si>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</si>
  <si>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mcp_road_part_02</t>
  </si>
  <si>
    <t>Plane_01</t>
  </si>
  <si>
    <t>Building 07 (16)</t>
  </si>
  <si>
    <t>mcp_roads_turn_01 (1)</t>
  </si>
  <si>
    <t>mcp_roads_T_cross_01</t>
  </si>
  <si>
    <t>mcp_road_part_01</t>
  </si>
  <si>
    <t>Box001</t>
  </si>
  <si>
    <t>Building 03</t>
  </si>
  <si>
    <t>Building 15 (25)</t>
  </si>
  <si>
    <t>mcp_roads_cross_01</t>
  </si>
  <si>
    <t>mcp_roads_turn_01</t>
  </si>
  <si>
    <t>Building 15 (30)</t>
  </si>
  <si>
    <t>Building 09 (4)</t>
  </si>
  <si>
    <t>Building 07 (15)</t>
  </si>
  <si>
    <t>Building 02 (11)</t>
  </si>
  <si>
    <t>Tree 05 (15)</t>
  </si>
  <si>
    <t>FAR</t>
  </si>
  <si>
    <t>Tree 02 (2)</t>
  </si>
  <si>
    <t>Building 24</t>
  </si>
  <si>
    <t>Building 11 (3)</t>
  </si>
  <si>
    <t>Building 07 (18)</t>
  </si>
  <si>
    <t>Building 18 (5)</t>
  </si>
  <si>
    <t>Building 01</t>
  </si>
  <si>
    <t>Building 18 (4)</t>
  </si>
  <si>
    <t>Building 07 (4)</t>
  </si>
  <si>
    <t>Tong (3)</t>
  </si>
  <si>
    <t>Stand 03 (2)</t>
  </si>
  <si>
    <t>mcp_building_24_fountain_marble</t>
  </si>
  <si>
    <t>Building 15 (35)</t>
  </si>
  <si>
    <t>mcp_roads_cross_02</t>
  </si>
  <si>
    <t>Building 21 (2)</t>
  </si>
  <si>
    <t>Building 29 (5)</t>
  </si>
  <si>
    <t>Tree 02 (3)</t>
  </si>
  <si>
    <t>Building 15 (32)</t>
  </si>
  <si>
    <t>Plane_01 (1)</t>
  </si>
  <si>
    <t>Building 13 (1)</t>
  </si>
  <si>
    <t>Building 18 (7)</t>
  </si>
  <si>
    <t>mcp_road_part_02 (2)</t>
  </si>
  <si>
    <t>mcp_road_part_02 (3)</t>
  </si>
  <si>
    <t>mcp_road_part_02 (1)</t>
  </si>
  <si>
    <t>Shurbs (2)</t>
  </si>
  <si>
    <t>Shurbs (1)</t>
  </si>
  <si>
    <t>Building 18 (11)</t>
  </si>
  <si>
    <t>Tree 04 (6)</t>
  </si>
  <si>
    <t>Tree 04 (7)</t>
  </si>
  <si>
    <t>Building 23 (4)</t>
  </si>
  <si>
    <t>Building 30 (4)</t>
  </si>
  <si>
    <t>mcp_road_part_02 (6)</t>
  </si>
  <si>
    <t>mcp_road_part_02 (8)</t>
  </si>
  <si>
    <t>mcp_road_part_02 (10)</t>
  </si>
  <si>
    <t>mcp_road_part_02 (12)</t>
  </si>
  <si>
    <t>mcp_road_part_02 (11)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</si>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</sst>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298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"20190312164436586"</f>
        <v>20190312164436586</v>
      </c>
      <c r="B2" t="str">
        <f>"1552380276581464"</f>
        <v>1552380276581464</v>
      </c>
      <c r="C2" t="s">
        <v>40</v>
      </c>
      <c r="D2">
        <v>5.2976559999999999</v>
      </c>
      <c r="E2">
        <v>0.5387246</v>
      </c>
      <c r="F2" t="s">
        <v>41</v>
      </c>
      <c r="G2">
        <v>-475.92680000000001</v>
      </c>
      <c r="H2">
        <v>0.96605269999999999</v>
      </c>
      <c r="I2">
        <v>367.11860000000001</v>
      </c>
      <c r="J2">
        <v>-476.6071</v>
      </c>
      <c r="K2">
        <v>1.1080669999999999</v>
      </c>
      <c r="L2">
        <v>367.2167</v>
      </c>
      <c r="M2">
        <v>0.99996779999999996</v>
      </c>
      <c r="N2">
        <v>0</v>
      </c>
      <c r="O2">
        <v>2.605908E-4</v>
      </c>
      <c r="P2">
        <v>0.99839820000000001</v>
      </c>
      <c r="Q2">
        <v>3.6791690000000002E-2</v>
      </c>
      <c r="R2">
        <v>-4.2984870000000001E-2</v>
      </c>
      <c r="S2">
        <v>3.0079039999999999</v>
      </c>
      <c r="T2">
        <v>-0.61961390000000005</v>
      </c>
      <c r="U2">
        <v>-0.42510989999999999</v>
      </c>
      <c r="V2">
        <v>4.3240710000000002E-2</v>
      </c>
      <c r="W2">
        <v>4.4809889999999998E-2</v>
      </c>
      <c r="X2">
        <v>0.99805929999999998</v>
      </c>
      <c r="Y2">
        <v>0.1373646</v>
      </c>
      <c r="Z2">
        <v>-1.3986989999999999E-2</v>
      </c>
      <c r="AA2">
        <v>0.99042180000000002</v>
      </c>
      <c r="AB2">
        <v>1</v>
      </c>
      <c r="AC2">
        <v>0.68029999999998803</v>
      </c>
      <c r="AD2">
        <v>-0.14201429999999901</v>
      </c>
      <c r="AE2">
        <v>-9.8099999999988002E-2</v>
      </c>
      <c r="AF2">
        <v>9.4253605427159895E-2</v>
      </c>
      <c r="AG2">
        <v>-0.14201429999999901</v>
      </c>
      <c r="AH2">
        <v>0.652422559174623</v>
      </c>
      <c r="AI2">
        <v>102.15774036121201</v>
      </c>
      <c r="AJ2">
        <v>81.779518328566994</v>
      </c>
      <c r="AK2">
        <v>0.67431965658764004</v>
      </c>
      <c r="AL2">
        <v>87.431722514015803</v>
      </c>
      <c r="AM2">
        <v>87.519223754420693</v>
      </c>
      <c r="AN2">
        <v>1.0000000257798001</v>
      </c>
    </row>
    <row r="3" spans="1:40" x14ac:dyDescent="0.25">
      <c r="A3" t="str">
        <f>"20190312164436609"</f>
        <v>20190312164436609</v>
      </c>
      <c r="B3" t="str">
        <f>"1552380276601960"</f>
        <v>1552380276601960</v>
      </c>
      <c r="C3" t="s">
        <v>40</v>
      </c>
      <c r="D3">
        <v>5.3500009999999998</v>
      </c>
      <c r="E3">
        <v>0.53869750000000005</v>
      </c>
      <c r="F3" t="s">
        <v>41</v>
      </c>
      <c r="G3">
        <v>-475.9171</v>
      </c>
      <c r="H3">
        <v>0.96690830000000005</v>
      </c>
      <c r="I3">
        <v>367.11919999999998</v>
      </c>
      <c r="J3">
        <v>-476.59879999999998</v>
      </c>
      <c r="K3">
        <v>1.108295</v>
      </c>
      <c r="L3">
        <v>367.21679999999998</v>
      </c>
      <c r="M3">
        <v>0.99996510000000005</v>
      </c>
      <c r="N3">
        <v>0</v>
      </c>
      <c r="O3">
        <v>3.1044679999999998E-4</v>
      </c>
      <c r="P3">
        <v>0.9984094</v>
      </c>
      <c r="Q3">
        <v>3.6607090000000002E-2</v>
      </c>
      <c r="R3">
        <v>-4.2881509999999998E-2</v>
      </c>
      <c r="S3">
        <v>3.0092159999999999</v>
      </c>
      <c r="T3">
        <v>-0.61587369999999997</v>
      </c>
      <c r="U3">
        <v>-0.42419430000000002</v>
      </c>
      <c r="V3">
        <v>4.3189279999999997E-2</v>
      </c>
      <c r="W3">
        <v>4.4965190000000002E-2</v>
      </c>
      <c r="X3">
        <v>0.99805449999999996</v>
      </c>
      <c r="Y3">
        <v>0.1370991</v>
      </c>
      <c r="Z3">
        <v>-1.3881940000000001E-2</v>
      </c>
      <c r="AA3">
        <v>0.99046000000000001</v>
      </c>
      <c r="AB3">
        <v>1</v>
      </c>
      <c r="AC3">
        <v>0.68169999999997799</v>
      </c>
      <c r="AD3">
        <v>-0.141386699999999</v>
      </c>
      <c r="AE3">
        <v>-9.7599999999999895E-2</v>
      </c>
      <c r="AF3">
        <v>9.38554384189451E-2</v>
      </c>
      <c r="AG3">
        <v>-0.141386699999999</v>
      </c>
      <c r="AH3">
        <v>0.654098113086097</v>
      </c>
      <c r="AI3">
        <v>102.07711970546799</v>
      </c>
      <c r="AJ3">
        <v>81.834460352028401</v>
      </c>
      <c r="AK3">
        <v>0.67575393731778999</v>
      </c>
      <c r="AL3">
        <v>87.422815393030405</v>
      </c>
      <c r="AM3">
        <v>87.522158779356502</v>
      </c>
      <c r="AN3">
        <v>0.99999998359445197</v>
      </c>
    </row>
    <row r="4" spans="1:40" x14ac:dyDescent="0.25">
      <c r="A4" t="str">
        <f>"20190312164436632"</f>
        <v>20190312164436632</v>
      </c>
      <c r="B4" t="str">
        <f>"1552380276621480"</f>
        <v>1552380276621480</v>
      </c>
      <c r="C4" t="s">
        <v>40</v>
      </c>
      <c r="D4">
        <v>5.1737919999999997</v>
      </c>
      <c r="E4">
        <v>0.53875609999999996</v>
      </c>
      <c r="F4" t="s">
        <v>41</v>
      </c>
      <c r="G4">
        <v>-475.90120000000002</v>
      </c>
      <c r="H4">
        <v>0.96463909999999997</v>
      </c>
      <c r="I4">
        <v>367.11840000000001</v>
      </c>
      <c r="J4">
        <v>-476.58670000000001</v>
      </c>
      <c r="K4">
        <v>1.108176</v>
      </c>
      <c r="L4">
        <v>367.21699999999998</v>
      </c>
      <c r="M4">
        <v>0.99997100000000005</v>
      </c>
      <c r="N4">
        <v>0</v>
      </c>
      <c r="O4">
        <v>3.9269620000000001E-4</v>
      </c>
      <c r="P4">
        <v>0.99835640000000003</v>
      </c>
      <c r="Q4">
        <v>3.7962240000000001E-2</v>
      </c>
      <c r="R4">
        <v>-4.2937969999999999E-2</v>
      </c>
      <c r="S4">
        <v>3.0093380000000001</v>
      </c>
      <c r="T4">
        <v>-0.61977109999999902</v>
      </c>
      <c r="U4">
        <v>-0.42370609999999997</v>
      </c>
      <c r="V4">
        <v>4.3327650000000002E-2</v>
      </c>
      <c r="W4">
        <v>4.5556329999999999E-2</v>
      </c>
      <c r="X4">
        <v>0.99802170000000001</v>
      </c>
      <c r="Y4">
        <v>0.1369831</v>
      </c>
      <c r="Z4">
        <v>-1.397253E-2</v>
      </c>
      <c r="AA4">
        <v>0.99047479999999999</v>
      </c>
      <c r="AB4">
        <v>1</v>
      </c>
      <c r="AC4">
        <v>0.68549999999999001</v>
      </c>
      <c r="AD4">
        <v>-0.1435369</v>
      </c>
      <c r="AE4">
        <v>-9.8599999999976207E-2</v>
      </c>
      <c r="AF4">
        <v>9.4797135041498198E-2</v>
      </c>
      <c r="AG4">
        <v>-0.1435369</v>
      </c>
      <c r="AH4">
        <v>0.65722959974135298</v>
      </c>
      <c r="AI4">
        <v>102.19738721468499</v>
      </c>
      <c r="AJ4">
        <v>81.792407455276901</v>
      </c>
      <c r="AK4">
        <v>0.67936741550494295</v>
      </c>
      <c r="AL4">
        <v>87.388910833987495</v>
      </c>
      <c r="AM4">
        <v>87.514148610550805</v>
      </c>
      <c r="AN4">
        <v>0.99999998906424004</v>
      </c>
    </row>
    <row r="5" spans="1:40" x14ac:dyDescent="0.25">
      <c r="A5" t="str">
        <f>"20190312164436654"</f>
        <v>20190312164436654</v>
      </c>
      <c r="B5" t="str">
        <f>"1552380276651735"</f>
        <v>1552380276651735</v>
      </c>
      <c r="C5" t="s">
        <v>40</v>
      </c>
      <c r="D5">
        <v>6.4035299999999999</v>
      </c>
      <c r="E5">
        <v>0.53857559999999904</v>
      </c>
      <c r="F5" t="s">
        <v>41</v>
      </c>
      <c r="G5">
        <v>-475.8877</v>
      </c>
      <c r="H5">
        <v>0.96445910000000001</v>
      </c>
      <c r="I5">
        <v>367.1182</v>
      </c>
      <c r="J5">
        <v>-476.57060000000001</v>
      </c>
      <c r="K5">
        <v>1.1079479999999999</v>
      </c>
      <c r="L5">
        <v>367.21710000000002</v>
      </c>
      <c r="M5">
        <v>0.99997959999999997</v>
      </c>
      <c r="N5">
        <v>0</v>
      </c>
      <c r="O5">
        <v>5.1783120000000002E-4</v>
      </c>
      <c r="P5">
        <v>0.99831499999999995</v>
      </c>
      <c r="Q5">
        <v>3.9379730000000002E-2</v>
      </c>
      <c r="R5">
        <v>-4.2619999999999998E-2</v>
      </c>
      <c r="S5">
        <v>3.0102229999999999</v>
      </c>
      <c r="T5">
        <v>-0.61893589999999998</v>
      </c>
      <c r="U5">
        <v>-0.42449949999999997</v>
      </c>
      <c r="V5">
        <v>4.313409E-2</v>
      </c>
      <c r="W5">
        <v>4.5744020000000003E-2</v>
      </c>
      <c r="X5">
        <v>0.99802150000000001</v>
      </c>
      <c r="Y5">
        <v>0.13732249999999999</v>
      </c>
      <c r="Z5">
        <v>-1.4009570000000001E-2</v>
      </c>
      <c r="AA5">
        <v>0.99042730000000001</v>
      </c>
      <c r="AB5">
        <v>1</v>
      </c>
      <c r="AC5">
        <v>0.68290000000001705</v>
      </c>
      <c r="AD5">
        <v>-0.143488899999999</v>
      </c>
      <c r="AE5">
        <v>-9.8900000000014601E-2</v>
      </c>
      <c r="AF5">
        <v>9.5139576401785303E-2</v>
      </c>
      <c r="AG5">
        <v>-0.143488899999999</v>
      </c>
      <c r="AH5">
        <v>0.65454474041822397</v>
      </c>
      <c r="AI5">
        <v>102.24006382992199</v>
      </c>
      <c r="AJ5">
        <v>81.729844720775105</v>
      </c>
      <c r="AK5">
        <v>0.67680825987149495</v>
      </c>
      <c r="AL5">
        <v>87.378145768139902</v>
      </c>
      <c r="AM5">
        <v>87.525239458496301</v>
      </c>
      <c r="AN5">
        <v>0.99999998977406901</v>
      </c>
    </row>
    <row r="6" spans="1:40" x14ac:dyDescent="0.25">
      <c r="A6" t="str">
        <f>"20190312164436679"</f>
        <v>20190312164436679</v>
      </c>
      <c r="B6" t="str">
        <f>"1552380276671255"</f>
        <v>1552380276671255</v>
      </c>
      <c r="C6" t="s">
        <v>40</v>
      </c>
      <c r="D6">
        <v>5.2244409999999997</v>
      </c>
      <c r="E6">
        <v>0.53855390000000003</v>
      </c>
      <c r="F6" t="s">
        <v>41</v>
      </c>
      <c r="G6">
        <v>-475.87139999999999</v>
      </c>
      <c r="H6">
        <v>0.96438400000000002</v>
      </c>
      <c r="I6">
        <v>367.11869999999999</v>
      </c>
      <c r="J6">
        <v>-476.55149999999998</v>
      </c>
      <c r="K6">
        <v>1.1078790000000001</v>
      </c>
      <c r="L6">
        <v>367.21730000000002</v>
      </c>
      <c r="M6">
        <v>0.99998430000000005</v>
      </c>
      <c r="N6">
        <v>0</v>
      </c>
      <c r="O6">
        <v>6.5073940000000003E-4</v>
      </c>
      <c r="P6">
        <v>0.99824089999999999</v>
      </c>
      <c r="Q6">
        <v>4.1356209999999997E-2</v>
      </c>
      <c r="R6">
        <v>-4.2488600000000001E-2</v>
      </c>
      <c r="S6">
        <v>3.0114749999999999</v>
      </c>
      <c r="T6">
        <v>-0.61870859999999905</v>
      </c>
      <c r="U6">
        <v>-0.42184450000000001</v>
      </c>
      <c r="V6">
        <v>4.3135609999999998E-2</v>
      </c>
      <c r="W6">
        <v>4.695531E-2</v>
      </c>
      <c r="X6">
        <v>0.9979652</v>
      </c>
      <c r="Y6">
        <v>0.1365577</v>
      </c>
      <c r="Z6">
        <v>-1.394922E-2</v>
      </c>
      <c r="AA6">
        <v>0.99053389999999997</v>
      </c>
      <c r="AB6">
        <v>2</v>
      </c>
      <c r="AC6">
        <v>0.68009999999998105</v>
      </c>
      <c r="AD6">
        <v>-0.14349500000000001</v>
      </c>
      <c r="AE6">
        <v>-9.8600000000033106E-2</v>
      </c>
      <c r="AF6">
        <v>9.4904637777112097E-2</v>
      </c>
      <c r="AG6">
        <v>-0.14349500000000001</v>
      </c>
      <c r="AH6">
        <v>0.65162436275822</v>
      </c>
      <c r="AI6">
        <v>102.293268131818</v>
      </c>
      <c r="AJ6">
        <v>81.713523987409303</v>
      </c>
      <c r="AK6">
        <v>0.673952532035203</v>
      </c>
      <c r="AL6">
        <v>87.3086693481022</v>
      </c>
      <c r="AM6">
        <v>87.525012914558701</v>
      </c>
      <c r="AN6">
        <v>1.0000000111991501</v>
      </c>
    </row>
    <row r="7" spans="1:40" x14ac:dyDescent="0.25">
      <c r="A7" t="str">
        <f>"20190312164436700"</f>
        <v>20190312164436700</v>
      </c>
      <c r="B7" t="str">
        <f>"1552380276691752"</f>
        <v>1552380276691752</v>
      </c>
      <c r="C7" t="s">
        <v>40</v>
      </c>
      <c r="D7">
        <v>6.048851</v>
      </c>
      <c r="E7">
        <v>0.53849880000000006</v>
      </c>
      <c r="F7" t="s">
        <v>41</v>
      </c>
      <c r="G7">
        <v>-475.85570000000001</v>
      </c>
      <c r="H7">
        <v>0.96620810000000001</v>
      </c>
      <c r="I7">
        <v>367.12</v>
      </c>
      <c r="J7">
        <v>-476.5369</v>
      </c>
      <c r="K7">
        <v>1.1082000000000001</v>
      </c>
      <c r="L7">
        <v>367.2174</v>
      </c>
      <c r="M7">
        <v>0.99997959999999997</v>
      </c>
      <c r="N7">
        <v>0</v>
      </c>
      <c r="O7">
        <v>7.1513749999999997E-4</v>
      </c>
      <c r="P7">
        <v>0.99822259999999996</v>
      </c>
      <c r="Q7">
        <v>4.2225119999999998E-2</v>
      </c>
      <c r="R7">
        <v>-4.2058999999999999E-2</v>
      </c>
      <c r="S7">
        <v>3.0127869999999999</v>
      </c>
      <c r="T7">
        <v>-0.61343780000000003</v>
      </c>
      <c r="U7">
        <v>-0.42077639999999999</v>
      </c>
      <c r="V7">
        <v>4.2773079999999998E-2</v>
      </c>
      <c r="W7">
        <v>4.8589939999999998E-2</v>
      </c>
      <c r="X7">
        <v>0.99790250000000003</v>
      </c>
      <c r="Y7">
        <v>0.1362717</v>
      </c>
      <c r="Z7">
        <v>-1.3811459999999999E-2</v>
      </c>
      <c r="AA7">
        <v>0.99057530000000005</v>
      </c>
      <c r="AB7">
        <v>2</v>
      </c>
      <c r="AC7">
        <v>0.68119999999998904</v>
      </c>
      <c r="AD7">
        <v>-0.1419919</v>
      </c>
      <c r="AE7">
        <v>-9.73999999999932E-2</v>
      </c>
      <c r="AF7">
        <v>9.3889479274106499E-2</v>
      </c>
      <c r="AG7">
        <v>-0.1419919</v>
      </c>
      <c r="AH7">
        <v>0.65331318516284098</v>
      </c>
      <c r="AI7">
        <v>102.14105446778601</v>
      </c>
      <c r="AJ7">
        <v>81.821857335050197</v>
      </c>
      <c r="AK7">
        <v>0.67512595261298403</v>
      </c>
      <c r="AL7">
        <v>87.214904736416898</v>
      </c>
      <c r="AM7">
        <v>87.545634202746996</v>
      </c>
      <c r="AN7">
        <v>0.99999995907406902</v>
      </c>
    </row>
    <row r="8" spans="1:40" x14ac:dyDescent="0.25">
      <c r="A8" t="str">
        <f>"20190312164436721"</f>
        <v>20190312164436721</v>
      </c>
      <c r="B8" t="str">
        <f>"1552380276712247"</f>
        <v>1552380276712247</v>
      </c>
      <c r="C8" t="s">
        <v>40</v>
      </c>
      <c r="D8">
        <v>5.3006010000000003</v>
      </c>
      <c r="E8">
        <v>0.53839340000000002</v>
      </c>
      <c r="F8" t="s">
        <v>41</v>
      </c>
      <c r="G8">
        <v>-475.84339999999997</v>
      </c>
      <c r="H8">
        <v>0.96754220000000002</v>
      </c>
      <c r="I8">
        <v>367.12040000000002</v>
      </c>
      <c r="J8">
        <v>-476.52280000000002</v>
      </c>
      <c r="K8">
        <v>1.1083449999999999</v>
      </c>
      <c r="L8">
        <v>367.21749999999997</v>
      </c>
      <c r="M8">
        <v>0.99997720000000001</v>
      </c>
      <c r="N8">
        <v>0</v>
      </c>
      <c r="O8">
        <v>7.7007919999999997E-4</v>
      </c>
      <c r="P8">
        <v>0.99820710000000001</v>
      </c>
      <c r="Q8">
        <v>4.3206679999999997E-2</v>
      </c>
      <c r="R8">
        <v>-4.1422920000000002E-2</v>
      </c>
      <c r="S8">
        <v>3.0135190000000001</v>
      </c>
      <c r="T8">
        <v>-0.61142149999999995</v>
      </c>
      <c r="U8">
        <v>-0.41983029999999999</v>
      </c>
      <c r="V8">
        <v>4.2193130000000002E-2</v>
      </c>
      <c r="W8">
        <v>4.9912039999999998E-2</v>
      </c>
      <c r="X8">
        <v>0.99786200000000003</v>
      </c>
      <c r="Y8">
        <v>0.1360112</v>
      </c>
      <c r="Z8">
        <v>-1.3748959999999999E-2</v>
      </c>
      <c r="AA8">
        <v>0.99061189999999999</v>
      </c>
      <c r="AB8">
        <v>2</v>
      </c>
      <c r="AC8">
        <v>0.67940000000004297</v>
      </c>
      <c r="AD8">
        <v>-0.14080280000000001</v>
      </c>
      <c r="AE8">
        <v>-9.7099999999954806E-2</v>
      </c>
      <c r="AF8">
        <v>9.3680080555276601E-2</v>
      </c>
      <c r="AG8">
        <v>-0.14080280000000001</v>
      </c>
      <c r="AH8">
        <v>0.65188642898530702</v>
      </c>
      <c r="AI8">
        <v>102.067955891342</v>
      </c>
      <c r="AJ8">
        <v>81.822232409544995</v>
      </c>
      <c r="AK8">
        <v>0.67346663041007404</v>
      </c>
      <c r="AL8">
        <v>87.139062116118595</v>
      </c>
      <c r="AM8">
        <v>87.578774342618402</v>
      </c>
      <c r="AN8">
        <v>1.0000000215000699</v>
      </c>
    </row>
    <row r="9" spans="1:40" x14ac:dyDescent="0.25">
      <c r="A9" t="str">
        <f>"20190312164436743"</f>
        <v>20190312164436743</v>
      </c>
      <c r="B9" t="str">
        <f>"1552380276731770"</f>
        <v>1552380276731770</v>
      </c>
      <c r="C9" t="s">
        <v>40</v>
      </c>
      <c r="D9">
        <v>5.4606459999999997</v>
      </c>
      <c r="E9">
        <v>0.53830579999999995</v>
      </c>
      <c r="F9" t="s">
        <v>41</v>
      </c>
      <c r="G9">
        <v>-475.82749999999999</v>
      </c>
      <c r="H9">
        <v>0.9678099</v>
      </c>
      <c r="I9">
        <v>367.12110000000001</v>
      </c>
      <c r="J9">
        <v>-476.50259999999997</v>
      </c>
      <c r="K9">
        <v>1.1081669999999999</v>
      </c>
      <c r="L9">
        <v>367.2176</v>
      </c>
      <c r="M9">
        <v>0.99998189999999998</v>
      </c>
      <c r="N9">
        <v>0</v>
      </c>
      <c r="O9">
        <v>8.6878610000000001E-4</v>
      </c>
      <c r="P9">
        <v>0.99816289999999996</v>
      </c>
      <c r="Q9">
        <v>4.4515260000000001E-2</v>
      </c>
      <c r="R9">
        <v>-4.1106240000000002E-2</v>
      </c>
      <c r="S9">
        <v>3.014465</v>
      </c>
      <c r="T9">
        <v>-0.60947050000000003</v>
      </c>
      <c r="U9">
        <v>-0.41696169999999999</v>
      </c>
      <c r="V9">
        <v>4.1973780000000002E-2</v>
      </c>
      <c r="W9">
        <v>5.0454949999999998E-2</v>
      </c>
      <c r="X9">
        <v>0.99784390000000001</v>
      </c>
      <c r="Y9">
        <v>0.13517470000000001</v>
      </c>
      <c r="Z9">
        <v>-1.363896E-2</v>
      </c>
      <c r="AA9">
        <v>0.99072789999999999</v>
      </c>
      <c r="AB9">
        <v>1</v>
      </c>
      <c r="AC9">
        <v>0.67509999999998604</v>
      </c>
      <c r="AD9">
        <v>-0.14035709999999901</v>
      </c>
      <c r="AE9">
        <v>-9.6499999999991801E-2</v>
      </c>
      <c r="AF9">
        <v>9.3141103503321498E-2</v>
      </c>
      <c r="AG9">
        <v>-0.14035709999999901</v>
      </c>
      <c r="AH9">
        <v>0.64758469898503201</v>
      </c>
      <c r="AI9">
        <v>102.108234881383</v>
      </c>
      <c r="AJ9">
        <v>81.815366313349401</v>
      </c>
      <c r="AK9">
        <v>0.66913475701218805</v>
      </c>
      <c r="AL9">
        <v>87.107916285518499</v>
      </c>
      <c r="AM9">
        <v>87.591303098584106</v>
      </c>
      <c r="AN9">
        <v>0.99999997447709998</v>
      </c>
    </row>
    <row r="10" spans="1:40" x14ac:dyDescent="0.25">
      <c r="A10" t="str">
        <f>"20190312164436764"</f>
        <v>20190312164436764</v>
      </c>
      <c r="B10" t="str">
        <f>"1552380276762024"</f>
        <v>1552380276762024</v>
      </c>
      <c r="C10" t="s">
        <v>40</v>
      </c>
      <c r="D10">
        <v>5.2448180000000004</v>
      </c>
      <c r="E10">
        <v>0.51233399999999996</v>
      </c>
      <c r="F10" t="s">
        <v>41</v>
      </c>
      <c r="G10">
        <v>-475.80799999999999</v>
      </c>
      <c r="H10">
        <v>0.96850800000000004</v>
      </c>
      <c r="I10">
        <v>367.12169999999998</v>
      </c>
      <c r="J10">
        <v>-476.48009999999999</v>
      </c>
      <c r="K10">
        <v>1.1079490000000001</v>
      </c>
      <c r="L10">
        <v>367.21769999999998</v>
      </c>
      <c r="M10">
        <v>0.99998719999999996</v>
      </c>
      <c r="N10">
        <v>0</v>
      </c>
      <c r="O10">
        <v>1.000506E-3</v>
      </c>
      <c r="P10">
        <v>0.99812610000000002</v>
      </c>
      <c r="Q10">
        <v>4.5871549999999997E-2</v>
      </c>
      <c r="R10">
        <v>-4.050053E-2</v>
      </c>
      <c r="S10">
        <v>3.0155639999999999</v>
      </c>
      <c r="T10">
        <v>-0.60667789999999999</v>
      </c>
      <c r="U10">
        <v>-0.41409299999999999</v>
      </c>
      <c r="V10">
        <v>4.1497659999999999E-2</v>
      </c>
      <c r="W10">
        <v>5.0825919999999997E-2</v>
      </c>
      <c r="X10">
        <v>0.99784499999999998</v>
      </c>
      <c r="Y10">
        <v>0.1343704</v>
      </c>
      <c r="Z10">
        <v>-1.352011E-2</v>
      </c>
      <c r="AA10">
        <v>0.99083889999999997</v>
      </c>
      <c r="AB10">
        <v>2</v>
      </c>
      <c r="AC10">
        <v>0.67209999999994297</v>
      </c>
      <c r="AD10">
        <v>-0.13944100000000001</v>
      </c>
      <c r="AE10">
        <v>-9.6000000000003596E-2</v>
      </c>
      <c r="AF10">
        <v>9.2759487352013795E-2</v>
      </c>
      <c r="AG10">
        <v>-0.13944100000000001</v>
      </c>
      <c r="AH10">
        <v>0.64480358947453598</v>
      </c>
      <c r="AI10">
        <v>102.081839981127</v>
      </c>
      <c r="AJ10">
        <v>81.813765648049994</v>
      </c>
      <c r="AK10">
        <v>0.66619800658216799</v>
      </c>
      <c r="AL10">
        <v>87.086633999691898</v>
      </c>
      <c r="AM10">
        <v>87.618596588765499</v>
      </c>
      <c r="AN10">
        <v>0.99999998697715997</v>
      </c>
    </row>
    <row r="11" spans="1:40" x14ac:dyDescent="0.25">
      <c r="A11" t="str">
        <f>"20190312164436788"</f>
        <v>20190312164436788</v>
      </c>
      <c r="B11" t="str">
        <f>"1552380276781544"</f>
        <v>1552380276781544</v>
      </c>
      <c r="C11" t="s">
        <v>40</v>
      </c>
      <c r="D11">
        <v>5.1947510000000001</v>
      </c>
      <c r="E11">
        <v>0.50903690000000001</v>
      </c>
      <c r="F11" t="s">
        <v>41</v>
      </c>
      <c r="G11">
        <v>-475.79700000000003</v>
      </c>
      <c r="H11">
        <v>0.94659470000000001</v>
      </c>
      <c r="I11">
        <v>367.17189999999999</v>
      </c>
      <c r="J11">
        <v>-476.45260000000002</v>
      </c>
      <c r="K11">
        <v>1.1077900000000001</v>
      </c>
      <c r="L11">
        <v>367.21789999999999</v>
      </c>
      <c r="M11">
        <v>0.99999119999999997</v>
      </c>
      <c r="N11">
        <v>0</v>
      </c>
      <c r="O11">
        <v>1.1751380000000001E-3</v>
      </c>
      <c r="P11">
        <v>0.99810699999999997</v>
      </c>
      <c r="Q11">
        <v>4.7202679999999997E-2</v>
      </c>
      <c r="R11">
        <v>-3.9432269999999998E-2</v>
      </c>
      <c r="S11">
        <v>3.030243</v>
      </c>
      <c r="T11">
        <v>-0.71578030000000004</v>
      </c>
      <c r="U11">
        <v>-0.2033691</v>
      </c>
      <c r="V11">
        <v>4.0601560000000002E-2</v>
      </c>
      <c r="W11">
        <v>5.1244049999999999E-2</v>
      </c>
      <c r="X11">
        <v>0.99786050000000004</v>
      </c>
      <c r="Y11">
        <v>6.6286639999999994E-2</v>
      </c>
      <c r="Z11">
        <v>-7.9877899999999998E-3</v>
      </c>
      <c r="AA11">
        <v>0.99776860000000001</v>
      </c>
      <c r="AB11">
        <v>2</v>
      </c>
      <c r="AC11">
        <v>0.65560000000004903</v>
      </c>
      <c r="AD11">
        <v>-0.16119530000000001</v>
      </c>
      <c r="AE11">
        <v>-4.59999999999922E-2</v>
      </c>
      <c r="AF11">
        <v>4.4116434544391098E-2</v>
      </c>
      <c r="AG11">
        <v>-0.16119530000000001</v>
      </c>
      <c r="AH11">
        <v>0.61834692116058099</v>
      </c>
      <c r="AI11">
        <v>104.575639626925</v>
      </c>
      <c r="AJ11">
        <v>85.919103584509898</v>
      </c>
      <c r="AK11">
        <v>0.640533449124844</v>
      </c>
      <c r="AL11">
        <v>87.062645717863404</v>
      </c>
      <c r="AM11">
        <v>87.6699994382749</v>
      </c>
      <c r="AN11">
        <v>1.00000000839754</v>
      </c>
    </row>
    <row r="12" spans="1:40" x14ac:dyDescent="0.25">
      <c r="A12" t="str">
        <f>"20190312164436810"</f>
        <v>20190312164436810</v>
      </c>
      <c r="B12" t="str">
        <f>"1552380276802040"</f>
        <v>1552380276802040</v>
      </c>
      <c r="C12" t="s">
        <v>40</v>
      </c>
      <c r="D12">
        <v>5.178668</v>
      </c>
      <c r="E12">
        <v>0.50789300000000004</v>
      </c>
      <c r="F12" t="s">
        <v>41</v>
      </c>
      <c r="G12">
        <v>-475.77330000000001</v>
      </c>
      <c r="H12">
        <v>0.94628999999999996</v>
      </c>
      <c r="I12">
        <v>367.17860000000002</v>
      </c>
      <c r="J12">
        <v>-476.42950000000002</v>
      </c>
      <c r="K12">
        <v>1.108052</v>
      </c>
      <c r="L12">
        <v>367.21809999999999</v>
      </c>
      <c r="M12">
        <v>0.99998790000000004</v>
      </c>
      <c r="N12">
        <v>0</v>
      </c>
      <c r="O12">
        <v>1.283382E-3</v>
      </c>
      <c r="P12">
        <v>0.99818209999999996</v>
      </c>
      <c r="Q12">
        <v>4.6195979999999998E-2</v>
      </c>
      <c r="R12">
        <v>-3.8717179999999997E-2</v>
      </c>
      <c r="S12">
        <v>3.0329899999999999</v>
      </c>
      <c r="T12">
        <v>-0.72139219999999904</v>
      </c>
      <c r="U12">
        <v>-0.17349239999999999</v>
      </c>
      <c r="V12">
        <v>3.9996080000000003E-2</v>
      </c>
      <c r="W12">
        <v>5.094402E-2</v>
      </c>
      <c r="X12">
        <v>0.99790029999999996</v>
      </c>
      <c r="Y12">
        <v>5.6775230000000003E-2</v>
      </c>
      <c r="Z12">
        <v>-6.9546719999999899E-3</v>
      </c>
      <c r="AA12">
        <v>0.99836279999999999</v>
      </c>
      <c r="AB12">
        <v>2</v>
      </c>
      <c r="AC12">
        <v>0.656200000000012</v>
      </c>
      <c r="AD12">
        <v>-0.16176199999999999</v>
      </c>
      <c r="AE12">
        <v>-3.9499999999975402E-2</v>
      </c>
      <c r="AF12">
        <v>3.8038900075645199E-2</v>
      </c>
      <c r="AG12">
        <v>-0.16176199999999999</v>
      </c>
      <c r="AH12">
        <v>0.61868760871468198</v>
      </c>
      <c r="AI12">
        <v>104.626106810143</v>
      </c>
      <c r="AJ12">
        <v>86.4817003793749</v>
      </c>
      <c r="AK12">
        <v>0.64061553192227305</v>
      </c>
      <c r="AL12">
        <v>87.079858611643999</v>
      </c>
      <c r="AM12">
        <v>87.704800104628106</v>
      </c>
      <c r="AN12">
        <v>0.99999999416460805</v>
      </c>
    </row>
    <row r="13" spans="1:40" x14ac:dyDescent="0.25">
      <c r="A13" t="str">
        <f>"20190312164436832"</f>
        <v>20190312164436832</v>
      </c>
      <c r="B13" t="str">
        <f>"1552380276821559"</f>
        <v>1552380276821559</v>
      </c>
      <c r="C13" t="s">
        <v>40</v>
      </c>
      <c r="D13">
        <v>5.1694750000000003</v>
      </c>
      <c r="E13">
        <v>0.5072101</v>
      </c>
      <c r="F13" t="s">
        <v>41</v>
      </c>
      <c r="G13">
        <v>-475.73660000000001</v>
      </c>
      <c r="H13">
        <v>0.9407276</v>
      </c>
      <c r="I13">
        <v>367.18079999999998</v>
      </c>
      <c r="J13">
        <v>-476.40839999999997</v>
      </c>
      <c r="K13">
        <v>1.108439</v>
      </c>
      <c r="L13">
        <v>367.2183</v>
      </c>
      <c r="M13">
        <v>0.99997999999999998</v>
      </c>
      <c r="N13">
        <v>0</v>
      </c>
      <c r="O13">
        <v>1.3559589999999999E-3</v>
      </c>
      <c r="P13">
        <v>0.99830030000000003</v>
      </c>
      <c r="Q13">
        <v>4.4325820000000002E-2</v>
      </c>
      <c r="R13">
        <v>-3.783831E-2</v>
      </c>
      <c r="S13">
        <v>3.033112</v>
      </c>
      <c r="T13">
        <v>-0.7326589</v>
      </c>
      <c r="U13">
        <v>-0.1620789</v>
      </c>
      <c r="V13">
        <v>3.9192909999999997E-2</v>
      </c>
      <c r="W13">
        <v>5.0500669999999998E-2</v>
      </c>
      <c r="X13">
        <v>0.99795469999999997</v>
      </c>
      <c r="Y13">
        <v>5.31511E-2</v>
      </c>
      <c r="Z13">
        <v>-6.6467729999999999E-3</v>
      </c>
      <c r="AA13">
        <v>0.99856440000000002</v>
      </c>
      <c r="AB13">
        <v>2</v>
      </c>
      <c r="AC13">
        <v>0.67179999999996198</v>
      </c>
      <c r="AD13">
        <v>-0.16771139999999901</v>
      </c>
      <c r="AE13">
        <v>-3.7500000000022703E-2</v>
      </c>
      <c r="AF13">
        <v>3.6164079637089702E-2</v>
      </c>
      <c r="AG13">
        <v>-0.16771139999999901</v>
      </c>
      <c r="AH13">
        <v>0.63245477767510105</v>
      </c>
      <c r="AI13">
        <v>104.828460599176</v>
      </c>
      <c r="AJ13">
        <v>86.727362394428695</v>
      </c>
      <c r="AK13">
        <v>0.65531213948012501</v>
      </c>
      <c r="AL13">
        <v>87.105293431069697</v>
      </c>
      <c r="AM13">
        <v>87.750965174083404</v>
      </c>
      <c r="AN13">
        <v>0.99999999255840299</v>
      </c>
    </row>
    <row r="14" spans="1:40" x14ac:dyDescent="0.25">
      <c r="A14" t="str">
        <f>"20190312164436854"</f>
        <v>20190312164436854</v>
      </c>
      <c r="B14" t="str">
        <f>"1552380276842055"</f>
        <v>1552380276842055</v>
      </c>
      <c r="C14" t="s">
        <v>40</v>
      </c>
      <c r="D14">
        <v>5.1656240000000002</v>
      </c>
      <c r="E14">
        <v>0.50693299999999997</v>
      </c>
      <c r="F14" t="s">
        <v>41</v>
      </c>
      <c r="G14">
        <v>-475.71440000000001</v>
      </c>
      <c r="H14">
        <v>0.93998930000000003</v>
      </c>
      <c r="I14">
        <v>367.18290000000002</v>
      </c>
      <c r="J14">
        <v>-476.38249999999999</v>
      </c>
      <c r="K14">
        <v>1.1082989999999999</v>
      </c>
      <c r="L14">
        <v>367.21839999999997</v>
      </c>
      <c r="M14">
        <v>0.99998209999999998</v>
      </c>
      <c r="N14">
        <v>0</v>
      </c>
      <c r="O14">
        <v>1.465119E-3</v>
      </c>
      <c r="P14">
        <v>0.99832359999999998</v>
      </c>
      <c r="Q14">
        <v>4.4206799999999997E-2</v>
      </c>
      <c r="R14">
        <v>-3.7361699999999998E-2</v>
      </c>
      <c r="S14">
        <v>3.0319820000000002</v>
      </c>
      <c r="T14">
        <v>-0.73593660000000005</v>
      </c>
      <c r="U14">
        <v>-0.1536865</v>
      </c>
      <c r="V14">
        <v>3.8824709999999998E-2</v>
      </c>
      <c r="W14">
        <v>5.0009659999999997E-2</v>
      </c>
      <c r="X14">
        <v>0.99799380000000004</v>
      </c>
      <c r="Y14">
        <v>5.0579310000000002E-2</v>
      </c>
      <c r="Z14">
        <v>-6.3971849999999997E-3</v>
      </c>
      <c r="AA14">
        <v>0.99869949999999996</v>
      </c>
      <c r="AB14">
        <v>2</v>
      </c>
      <c r="AC14">
        <v>0.66809999999998104</v>
      </c>
      <c r="AD14">
        <v>-0.16830969999999901</v>
      </c>
      <c r="AE14">
        <v>-3.5499999999956303E-2</v>
      </c>
      <c r="AF14">
        <v>3.43076163727251E-2</v>
      </c>
      <c r="AG14">
        <v>-0.16830969999999901</v>
      </c>
      <c r="AH14">
        <v>0.62828530972065399</v>
      </c>
      <c r="AI14">
        <v>104.97538988708401</v>
      </c>
      <c r="AJ14">
        <v>86.874459143349597</v>
      </c>
      <c r="AK14">
        <v>0.65134291894980001</v>
      </c>
      <c r="AL14">
        <v>87.133461773787602</v>
      </c>
      <c r="AM14">
        <v>87.772159665209898</v>
      </c>
      <c r="AN14">
        <v>0.999999974519169</v>
      </c>
    </row>
    <row r="15" spans="1:40" x14ac:dyDescent="0.25">
      <c r="A15" t="str">
        <f>"20190312164436878"</f>
        <v>20190312164436878</v>
      </c>
      <c r="B15" t="str">
        <f>"1552380276871335"</f>
        <v>1552380276871335</v>
      </c>
      <c r="C15" t="s">
        <v>40</v>
      </c>
      <c r="D15">
        <v>5.1804940000000004</v>
      </c>
      <c r="E15">
        <v>0.50660369999999999</v>
      </c>
      <c r="F15" t="s">
        <v>41</v>
      </c>
      <c r="G15">
        <v>-475.68860000000001</v>
      </c>
      <c r="H15">
        <v>0.93887209999999999</v>
      </c>
      <c r="I15">
        <v>367.18349999999998</v>
      </c>
      <c r="J15">
        <v>-476.35120000000001</v>
      </c>
      <c r="K15">
        <v>1.1079969999999999</v>
      </c>
      <c r="L15">
        <v>367.21859999999998</v>
      </c>
      <c r="M15">
        <v>0.99998750000000003</v>
      </c>
      <c r="N15">
        <v>0</v>
      </c>
      <c r="O15">
        <v>1.62758E-3</v>
      </c>
      <c r="P15">
        <v>0.99831930000000002</v>
      </c>
      <c r="Q15">
        <v>4.4926689999999998E-2</v>
      </c>
      <c r="R15">
        <v>-3.6610280000000002E-2</v>
      </c>
      <c r="S15">
        <v>3.0322269999999998</v>
      </c>
      <c r="T15">
        <v>-0.74072209999999905</v>
      </c>
      <c r="U15">
        <v>-0.15008540000000001</v>
      </c>
      <c r="V15">
        <v>3.8233799999999998E-2</v>
      </c>
      <c r="W15">
        <v>4.9667719999999999E-2</v>
      </c>
      <c r="X15">
        <v>0.99803370000000002</v>
      </c>
      <c r="Y15">
        <v>4.9560229999999997E-2</v>
      </c>
      <c r="Z15">
        <v>-6.3537709999999898E-3</v>
      </c>
      <c r="AA15">
        <v>0.9987509</v>
      </c>
      <c r="AB15">
        <v>3</v>
      </c>
      <c r="AC15">
        <v>0.66259999999999697</v>
      </c>
      <c r="AD15">
        <v>-0.169124899999999</v>
      </c>
      <c r="AE15">
        <v>-3.5099999999999902E-2</v>
      </c>
      <c r="AF15">
        <v>3.3971369695329601E-2</v>
      </c>
      <c r="AG15">
        <v>-0.169124899999999</v>
      </c>
      <c r="AH15">
        <v>0.62212422226017405</v>
      </c>
      <c r="AI15">
        <v>105.186783306943</v>
      </c>
      <c r="AJ15">
        <v>86.874442573397502</v>
      </c>
      <c r="AK15">
        <v>0.64559726895473502</v>
      </c>
      <c r="AL15">
        <v>87.153077903549203</v>
      </c>
      <c r="AM15">
        <v>87.806121510281102</v>
      </c>
      <c r="AN15">
        <v>0.99999998610406404</v>
      </c>
    </row>
    <row r="16" spans="1:40" x14ac:dyDescent="0.25">
      <c r="A16" t="str">
        <f>"20190312164436901"</f>
        <v>20190312164436901</v>
      </c>
      <c r="B16" t="str">
        <f>"1552380276891832"</f>
        <v>1552380276891832</v>
      </c>
      <c r="C16" t="s">
        <v>40</v>
      </c>
      <c r="D16">
        <v>5.181781</v>
      </c>
      <c r="E16">
        <v>0.50640959999999902</v>
      </c>
      <c r="F16" t="s">
        <v>41</v>
      </c>
      <c r="G16">
        <v>-475.65980000000002</v>
      </c>
      <c r="H16">
        <v>0.93894770000000005</v>
      </c>
      <c r="I16">
        <v>367.18529999999998</v>
      </c>
      <c r="J16">
        <v>-476.3168</v>
      </c>
      <c r="K16">
        <v>1.1078140000000001</v>
      </c>
      <c r="L16">
        <v>367.21879999999999</v>
      </c>
      <c r="M16">
        <v>0.99999079999999996</v>
      </c>
      <c r="N16">
        <v>0</v>
      </c>
      <c r="O16">
        <v>1.821629E-3</v>
      </c>
      <c r="P16">
        <v>0.99833369999999999</v>
      </c>
      <c r="Q16">
        <v>4.5061110000000001E-2</v>
      </c>
      <c r="R16">
        <v>-3.604694E-2</v>
      </c>
      <c r="S16">
        <v>3.0331419999999998</v>
      </c>
      <c r="T16">
        <v>-0.74172019999999905</v>
      </c>
      <c r="U16">
        <v>-0.14529420000000001</v>
      </c>
      <c r="V16">
        <v>3.7862550000000002E-2</v>
      </c>
      <c r="W16">
        <v>4.8964300000000002E-2</v>
      </c>
      <c r="X16">
        <v>0.99808260000000004</v>
      </c>
      <c r="Y16">
        <v>4.8196299999999997E-2</v>
      </c>
      <c r="Z16">
        <v>-6.2429419999999996E-3</v>
      </c>
      <c r="AA16">
        <v>0.9988184</v>
      </c>
      <c r="AB16">
        <v>3</v>
      </c>
      <c r="AC16">
        <v>0.65699999999998204</v>
      </c>
      <c r="AD16">
        <v>-0.168866299999999</v>
      </c>
      <c r="AE16">
        <v>-3.3500000000003603E-2</v>
      </c>
      <c r="AF16">
        <v>3.25518804557548E-2</v>
      </c>
      <c r="AG16">
        <v>-0.168866299999999</v>
      </c>
      <c r="AH16">
        <v>0.61632732330251105</v>
      </c>
      <c r="AI16">
        <v>105.302005489972</v>
      </c>
      <c r="AJ16">
        <v>86.976681121596002</v>
      </c>
      <c r="AK16">
        <v>0.63987094139844602</v>
      </c>
      <c r="AL16">
        <v>87.193429972910707</v>
      </c>
      <c r="AM16">
        <v>87.827509887185499</v>
      </c>
      <c r="AN16">
        <v>0.99999997589487599</v>
      </c>
    </row>
    <row r="17" spans="1:40" x14ac:dyDescent="0.25">
      <c r="A17" t="str">
        <f>"20190312164436922"</f>
        <v>20190312164436922</v>
      </c>
      <c r="B17" t="str">
        <f>"1552380276911355"</f>
        <v>1552380276911355</v>
      </c>
      <c r="C17" t="s">
        <v>40</v>
      </c>
      <c r="D17">
        <v>5.2135800000000003</v>
      </c>
      <c r="E17">
        <v>0.50620520000000002</v>
      </c>
      <c r="F17" t="s">
        <v>41</v>
      </c>
      <c r="G17">
        <v>-475.62939999999998</v>
      </c>
      <c r="H17">
        <v>0.9396139</v>
      </c>
      <c r="I17">
        <v>367.18619999999999</v>
      </c>
      <c r="J17">
        <v>-476.28710000000001</v>
      </c>
      <c r="K17">
        <v>1.1080190000000001</v>
      </c>
      <c r="L17">
        <v>367.21910000000003</v>
      </c>
      <c r="M17">
        <v>0.99998819999999999</v>
      </c>
      <c r="N17">
        <v>0</v>
      </c>
      <c r="O17">
        <v>1.9686830000000002E-3</v>
      </c>
      <c r="P17">
        <v>0.99836369999999997</v>
      </c>
      <c r="Q17">
        <v>4.465061E-2</v>
      </c>
      <c r="R17">
        <v>-3.5723560000000001E-2</v>
      </c>
      <c r="S17">
        <v>3.033417</v>
      </c>
      <c r="T17">
        <v>-0.74255199999999999</v>
      </c>
      <c r="U17">
        <v>-0.14172360000000001</v>
      </c>
      <c r="V17">
        <v>3.7686589999999999E-2</v>
      </c>
      <c r="W17">
        <v>4.9111929999999998E-2</v>
      </c>
      <c r="X17">
        <v>0.99808200000000002</v>
      </c>
      <c r="Y17">
        <v>4.7188059999999997E-2</v>
      </c>
      <c r="Z17">
        <v>-6.1632719999999896E-3</v>
      </c>
      <c r="AA17">
        <v>0.99886699999999995</v>
      </c>
      <c r="AB17">
        <v>3</v>
      </c>
      <c r="AC17">
        <v>0.65770000000003304</v>
      </c>
      <c r="AD17">
        <v>-0.168405099999999</v>
      </c>
      <c r="AE17">
        <v>-3.2900000000040501E-2</v>
      </c>
      <c r="AF17">
        <v>3.2095731223907999E-2</v>
      </c>
      <c r="AG17">
        <v>-0.168405099999999</v>
      </c>
      <c r="AH17">
        <v>0.61726556103258101</v>
      </c>
      <c r="AI17">
        <v>105.240668303117</v>
      </c>
      <c r="AJ17">
        <v>87.023492891088196</v>
      </c>
      <c r="AK17">
        <v>0.64063030408003196</v>
      </c>
      <c r="AL17">
        <v>87.184961190694196</v>
      </c>
      <c r="AM17">
        <v>87.837595273507603</v>
      </c>
      <c r="AN17">
        <v>0.99999996972907601</v>
      </c>
    </row>
    <row r="18" spans="1:40" x14ac:dyDescent="0.25">
      <c r="A18" t="str">
        <f>"20190312164436943"</f>
        <v>20190312164436943</v>
      </c>
      <c r="B18" t="str">
        <f>"1552380276931852"</f>
        <v>1552380276931852</v>
      </c>
      <c r="C18" t="s">
        <v>40</v>
      </c>
      <c r="D18">
        <v>5.2236640000000003</v>
      </c>
      <c r="E18">
        <v>0.50610270000000002</v>
      </c>
      <c r="F18" t="s">
        <v>41</v>
      </c>
      <c r="G18">
        <v>-475.60270000000003</v>
      </c>
      <c r="H18">
        <v>0.94021250000000001</v>
      </c>
      <c r="I18">
        <v>367.18729999999999</v>
      </c>
      <c r="J18">
        <v>-476.26150000000001</v>
      </c>
      <c r="K18">
        <v>1.108501</v>
      </c>
      <c r="L18">
        <v>367.21929999999998</v>
      </c>
      <c r="M18">
        <v>0.99997820000000004</v>
      </c>
      <c r="N18">
        <v>0</v>
      </c>
      <c r="O18">
        <v>2.064574E-3</v>
      </c>
      <c r="P18">
        <v>0.99841570000000002</v>
      </c>
      <c r="Q18">
        <v>4.3451169999999997E-2</v>
      </c>
      <c r="R18">
        <v>-3.5752079999999999E-2</v>
      </c>
      <c r="S18">
        <v>3.0332340000000002</v>
      </c>
      <c r="T18">
        <v>-0.74399669999999996</v>
      </c>
      <c r="U18">
        <v>-0.1390381</v>
      </c>
      <c r="V18">
        <v>3.781371E-2</v>
      </c>
      <c r="W18">
        <v>4.9700590000000003E-2</v>
      </c>
      <c r="X18">
        <v>0.99804809999999999</v>
      </c>
      <c r="Y18">
        <v>4.6418300000000003E-2</v>
      </c>
      <c r="Z18">
        <v>-6.105592E-3</v>
      </c>
      <c r="AA18">
        <v>0.99890350000000006</v>
      </c>
      <c r="AB18">
        <v>3</v>
      </c>
      <c r="AC18">
        <v>0.65879999999998495</v>
      </c>
      <c r="AD18">
        <v>-0.16828849999999901</v>
      </c>
      <c r="AE18">
        <v>-3.1999999999982202E-2</v>
      </c>
      <c r="AF18">
        <v>3.1321108584940201E-2</v>
      </c>
      <c r="AG18">
        <v>-0.16828849999999901</v>
      </c>
      <c r="AH18">
        <v>0.61847036146671197</v>
      </c>
      <c r="AI18">
        <v>105.203315521585</v>
      </c>
      <c r="AJ18">
        <v>87.100854584850396</v>
      </c>
      <c r="AK18">
        <v>0.64172238474904797</v>
      </c>
      <c r="AL18">
        <v>87.151192352279296</v>
      </c>
      <c r="AM18">
        <v>87.830234636062201</v>
      </c>
      <c r="AN18">
        <v>1.0000000176119599</v>
      </c>
    </row>
    <row r="19" spans="1:40" x14ac:dyDescent="0.25">
      <c r="A19" t="str">
        <f>"20190312164436966"</f>
        <v>20190312164436966</v>
      </c>
      <c r="B19" t="str">
        <f>"1552380276962104"</f>
        <v>1552380276962104</v>
      </c>
      <c r="C19" t="s">
        <v>40</v>
      </c>
      <c r="D19">
        <v>5.2365659999999998</v>
      </c>
      <c r="E19">
        <v>0.53285550000000004</v>
      </c>
      <c r="F19" t="s">
        <v>41</v>
      </c>
      <c r="G19">
        <v>-475.5797</v>
      </c>
      <c r="H19">
        <v>0.94045420000000002</v>
      </c>
      <c r="I19">
        <v>367.18770000000001</v>
      </c>
      <c r="J19">
        <v>-476.23239999999998</v>
      </c>
      <c r="K19">
        <v>1.108555</v>
      </c>
      <c r="L19">
        <v>367.21949999999998</v>
      </c>
      <c r="M19">
        <v>0.99997510000000001</v>
      </c>
      <c r="N19">
        <v>0</v>
      </c>
      <c r="O19">
        <v>2.171943E-3</v>
      </c>
      <c r="P19">
        <v>0.99839860000000002</v>
      </c>
      <c r="Q19">
        <v>4.3745609999999997E-2</v>
      </c>
      <c r="R19">
        <v>-3.5872679999999997E-2</v>
      </c>
      <c r="S19">
        <v>3.032349</v>
      </c>
      <c r="T19">
        <v>-0.74762819999999997</v>
      </c>
      <c r="U19">
        <v>-0.13812260000000001</v>
      </c>
      <c r="V19">
        <v>3.8042010000000001E-2</v>
      </c>
      <c r="W19">
        <v>5.0470660000000001E-2</v>
      </c>
      <c r="X19">
        <v>0.99800069999999996</v>
      </c>
      <c r="Y19">
        <v>4.6225790000000003E-2</v>
      </c>
      <c r="Z19">
        <v>-6.1390100000000003E-3</v>
      </c>
      <c r="AA19">
        <v>0.99891220000000003</v>
      </c>
      <c r="AB19">
        <v>3</v>
      </c>
      <c r="AC19">
        <v>0.65269999999998096</v>
      </c>
      <c r="AD19">
        <v>-0.16810079999999999</v>
      </c>
      <c r="AE19">
        <v>-3.1799999999975598E-2</v>
      </c>
      <c r="AF19">
        <v>3.1155896261068999E-2</v>
      </c>
      <c r="AG19">
        <v>-0.16810079999999999</v>
      </c>
      <c r="AH19">
        <v>0.61212319108017099</v>
      </c>
      <c r="AI19">
        <v>105.33704993565399</v>
      </c>
      <c r="AJ19">
        <v>87.086269108832894</v>
      </c>
      <c r="AK19">
        <v>0.63554965965740395</v>
      </c>
      <c r="AL19">
        <v>87.107014919616603</v>
      </c>
      <c r="AM19">
        <v>87.817043753550493</v>
      </c>
      <c r="AN19">
        <v>0.99999993962308098</v>
      </c>
    </row>
    <row r="20" spans="1:40" x14ac:dyDescent="0.25">
      <c r="A20" t="str">
        <f>"20190312164436990"</f>
        <v>20190312164436990</v>
      </c>
      <c r="B20" t="str">
        <f>"1552380276981624"</f>
        <v>1552380276981624</v>
      </c>
      <c r="C20" t="s">
        <v>40</v>
      </c>
      <c r="D20">
        <v>5.4312969999999998</v>
      </c>
      <c r="E20">
        <v>0.539081699999999</v>
      </c>
      <c r="F20" t="s">
        <v>41</v>
      </c>
      <c r="G20">
        <v>-475.54880000000003</v>
      </c>
      <c r="H20">
        <v>0.94866110000000003</v>
      </c>
      <c r="I20">
        <v>367.13929999999999</v>
      </c>
      <c r="J20">
        <v>-476.19459999999998</v>
      </c>
      <c r="K20">
        <v>1.108195</v>
      </c>
      <c r="L20">
        <v>367.21980000000002</v>
      </c>
      <c r="M20">
        <v>0.99998109999999996</v>
      </c>
      <c r="N20">
        <v>0</v>
      </c>
      <c r="O20">
        <v>2.3447030000000001E-3</v>
      </c>
      <c r="P20">
        <v>0.99831259999999999</v>
      </c>
      <c r="Q20">
        <v>4.5481550000000003E-2</v>
      </c>
      <c r="R20">
        <v>-3.6107680000000003E-2</v>
      </c>
      <c r="S20">
        <v>3.0231319999999999</v>
      </c>
      <c r="T20">
        <v>-0.70738610000000002</v>
      </c>
      <c r="U20">
        <v>-0.35278320000000002</v>
      </c>
      <c r="V20">
        <v>3.8447580000000002E-2</v>
      </c>
      <c r="W20">
        <v>5.1161659999999998E-2</v>
      </c>
      <c r="X20">
        <v>0.99795</v>
      </c>
      <c r="Y20">
        <v>0.1151061</v>
      </c>
      <c r="Z20">
        <v>-1.378386E-2</v>
      </c>
      <c r="AA20">
        <v>0.99325759999999996</v>
      </c>
      <c r="AB20">
        <v>2</v>
      </c>
      <c r="AC20">
        <v>0.64579999999995097</v>
      </c>
      <c r="AD20">
        <v>-0.15953390000000001</v>
      </c>
      <c r="AE20">
        <v>-8.0500000000029104E-2</v>
      </c>
      <c r="AF20">
        <v>7.7365025001606205E-2</v>
      </c>
      <c r="AG20">
        <v>-0.15953390000000001</v>
      </c>
      <c r="AH20">
        <v>0.60901291849202199</v>
      </c>
      <c r="AI20">
        <v>104.56704937602601</v>
      </c>
      <c r="AJ20">
        <v>82.760295644895393</v>
      </c>
      <c r="AK20">
        <v>0.63429736498970202</v>
      </c>
      <c r="AL20">
        <v>87.067372396388507</v>
      </c>
      <c r="AM20">
        <v>87.793681922337299</v>
      </c>
      <c r="AN20">
        <v>0.999999967180905</v>
      </c>
    </row>
    <row r="21" spans="1:40" x14ac:dyDescent="0.25">
      <c r="A21" t="str">
        <f>"20190312164437011"</f>
        <v>20190312164437011</v>
      </c>
      <c r="B21" t="str">
        <f>"1552380277002120"</f>
        <v>1552380277002120</v>
      </c>
      <c r="C21" t="s">
        <v>40</v>
      </c>
      <c r="D21">
        <v>5.9143039999999996</v>
      </c>
      <c r="E21">
        <v>0.54035869999999997</v>
      </c>
      <c r="F21" t="s">
        <v>41</v>
      </c>
      <c r="G21">
        <v>-475.48930000000001</v>
      </c>
      <c r="H21">
        <v>0.93454769999999998</v>
      </c>
      <c r="I21">
        <v>367.12560000000002</v>
      </c>
      <c r="J21">
        <v>-476.15809999999999</v>
      </c>
      <c r="K21">
        <v>1.1079319999999999</v>
      </c>
      <c r="L21">
        <v>367.22</v>
      </c>
      <c r="M21">
        <v>0.99998569999999998</v>
      </c>
      <c r="N21">
        <v>0</v>
      </c>
      <c r="O21">
        <v>2.5357600000000002E-3</v>
      </c>
      <c r="P21">
        <v>0.99825010000000003</v>
      </c>
      <c r="Q21">
        <v>4.6682710000000002E-2</v>
      </c>
      <c r="R21">
        <v>-3.6298400000000001E-2</v>
      </c>
      <c r="S21">
        <v>3.0244749999999998</v>
      </c>
      <c r="T21">
        <v>-0.74479099999999998</v>
      </c>
      <c r="U21">
        <v>-0.4020996</v>
      </c>
      <c r="V21">
        <v>3.8826989999999999E-2</v>
      </c>
      <c r="W21">
        <v>5.140691E-2</v>
      </c>
      <c r="X21">
        <v>0.99792270000000005</v>
      </c>
      <c r="Y21">
        <v>0.1303985</v>
      </c>
      <c r="Z21">
        <v>-1.6365709999999999E-2</v>
      </c>
      <c r="AA21">
        <v>0.99132659999999995</v>
      </c>
      <c r="AB21">
        <v>4</v>
      </c>
      <c r="AC21">
        <v>0.66879999999997597</v>
      </c>
      <c r="AD21">
        <v>-0.17338429999999999</v>
      </c>
      <c r="AE21">
        <v>-9.4400000000007298E-2</v>
      </c>
      <c r="AF21">
        <v>9.0154783288391993E-2</v>
      </c>
      <c r="AG21">
        <v>-0.17338429999999999</v>
      </c>
      <c r="AH21">
        <v>0.62722668145671201</v>
      </c>
      <c r="AI21">
        <v>105.302611421195</v>
      </c>
      <c r="AJ21">
        <v>81.820580273995503</v>
      </c>
      <c r="AK21">
        <v>0.656965227669978</v>
      </c>
      <c r="AL21">
        <v>87.053302070671293</v>
      </c>
      <c r="AM21">
        <v>87.771870387539295</v>
      </c>
      <c r="AN21">
        <v>0.99999996036174799</v>
      </c>
    </row>
    <row r="22" spans="1:40" x14ac:dyDescent="0.25">
      <c r="A22" t="str">
        <f>"20190312164437034"</f>
        <v>20190312164437034</v>
      </c>
      <c r="B22" t="str">
        <f>"1552380277021643"</f>
        <v>1552380277021643</v>
      </c>
      <c r="C22" t="s">
        <v>40</v>
      </c>
      <c r="D22">
        <v>5.2346370000000002</v>
      </c>
      <c r="E22">
        <v>0.5412534</v>
      </c>
      <c r="F22" t="s">
        <v>41</v>
      </c>
      <c r="G22">
        <v>-475.45030000000003</v>
      </c>
      <c r="H22">
        <v>0.9443028</v>
      </c>
      <c r="I22">
        <v>367.12240000000003</v>
      </c>
      <c r="J22">
        <v>-476.12119999999999</v>
      </c>
      <c r="K22">
        <v>1.107988</v>
      </c>
      <c r="L22">
        <v>367.22030000000001</v>
      </c>
      <c r="M22">
        <v>0.99998469999999995</v>
      </c>
      <c r="N22">
        <v>0</v>
      </c>
      <c r="O22">
        <v>2.711162E-3</v>
      </c>
      <c r="P22">
        <v>0.99824710000000005</v>
      </c>
      <c r="Q22">
        <v>4.6703120000000001E-2</v>
      </c>
      <c r="R22">
        <v>-3.6349739999999998E-2</v>
      </c>
      <c r="S22">
        <v>3.0229490000000001</v>
      </c>
      <c r="T22">
        <v>-0.699268</v>
      </c>
      <c r="U22">
        <v>-0.4139099</v>
      </c>
      <c r="V22">
        <v>3.9052829999999997E-2</v>
      </c>
      <c r="W22">
        <v>5.1516430000000002E-2</v>
      </c>
      <c r="X22">
        <v>0.99790829999999997</v>
      </c>
      <c r="Y22">
        <v>0.1347776</v>
      </c>
      <c r="Z22">
        <v>-1.5932760000000001E-2</v>
      </c>
      <c r="AA22">
        <v>0.99074770000000001</v>
      </c>
      <c r="AB22">
        <v>4</v>
      </c>
      <c r="AC22">
        <v>0.67089999999995997</v>
      </c>
      <c r="AD22">
        <v>-0.163685199999999</v>
      </c>
      <c r="AE22">
        <v>-9.7899999999981405E-2</v>
      </c>
      <c r="AF22">
        <v>9.4226633483229197E-2</v>
      </c>
      <c r="AG22">
        <v>-0.163685199999999</v>
      </c>
      <c r="AH22">
        <v>0.633697410567578</v>
      </c>
      <c r="AI22">
        <v>104.332061854142</v>
      </c>
      <c r="AJ22">
        <v>81.5424627400958</v>
      </c>
      <c r="AK22">
        <v>0.66124421458087301</v>
      </c>
      <c r="AL22">
        <v>87.047018889196593</v>
      </c>
      <c r="AM22">
        <v>87.758891180447094</v>
      </c>
      <c r="AN22">
        <v>1.00000002064992</v>
      </c>
    </row>
    <row r="23" spans="1:40" x14ac:dyDescent="0.25">
      <c r="A23" t="str">
        <f>"20190312164437055"</f>
        <v>20190312164437055</v>
      </c>
      <c r="B23" t="str">
        <f>"1552380277051896"</f>
        <v>1552380277051896</v>
      </c>
      <c r="C23" t="s">
        <v>40</v>
      </c>
      <c r="D23">
        <v>5.3587350000000002</v>
      </c>
      <c r="E23">
        <v>0.5419136</v>
      </c>
      <c r="F23" t="s">
        <v>41</v>
      </c>
      <c r="G23">
        <v>-475.41730000000001</v>
      </c>
      <c r="H23">
        <v>0.95030959999999998</v>
      </c>
      <c r="I23">
        <v>367.12189999999998</v>
      </c>
      <c r="J23">
        <v>-476.08699999999999</v>
      </c>
      <c r="K23">
        <v>1.108271</v>
      </c>
      <c r="L23">
        <v>367.22059999999999</v>
      </c>
      <c r="M23">
        <v>0.99997899999999995</v>
      </c>
      <c r="N23">
        <v>0</v>
      </c>
      <c r="O23">
        <v>2.8523620000000002E-3</v>
      </c>
      <c r="P23">
        <v>0.99830600000000003</v>
      </c>
      <c r="Q23">
        <v>4.5559530000000001E-2</v>
      </c>
      <c r="R23">
        <v>-3.6192759999999997E-2</v>
      </c>
      <c r="S23">
        <v>3.0215450000000001</v>
      </c>
      <c r="T23">
        <v>-0.67700799999999905</v>
      </c>
      <c r="U23">
        <v>-0.42221069999999999</v>
      </c>
      <c r="V23">
        <v>3.903831E-2</v>
      </c>
      <c r="W23">
        <v>5.138119E-2</v>
      </c>
      <c r="X23">
        <v>0.99791580000000002</v>
      </c>
      <c r="Y23">
        <v>0.13779169999999999</v>
      </c>
      <c r="Z23">
        <v>-1.5805090000000001E-2</v>
      </c>
      <c r="AA23">
        <v>0.99033510000000002</v>
      </c>
      <c r="AB23">
        <v>4</v>
      </c>
      <c r="AC23">
        <v>0.66969999999997698</v>
      </c>
      <c r="AD23">
        <v>-0.1579614</v>
      </c>
      <c r="AE23">
        <v>-9.8700000000008004E-2</v>
      </c>
      <c r="AF23">
        <v>9.5414408224604799E-2</v>
      </c>
      <c r="AG23">
        <v>-0.1579614</v>
      </c>
      <c r="AH23">
        <v>0.63484740396999495</v>
      </c>
      <c r="AI23">
        <v>103.823279078163</v>
      </c>
      <c r="AJ23">
        <v>81.452703225854293</v>
      </c>
      <c r="AK23">
        <v>0.66112550965323802</v>
      </c>
      <c r="AL23">
        <v>87.054777726470107</v>
      </c>
      <c r="AM23">
        <v>87.759740404607996</v>
      </c>
      <c r="AN23">
        <v>0.999999980111555</v>
      </c>
    </row>
    <row r="24" spans="1:40" x14ac:dyDescent="0.25">
      <c r="A24" t="str">
        <f>"20190312164437080"</f>
        <v>20190312164437080</v>
      </c>
      <c r="B24" t="str">
        <f>"1552380277071416"</f>
        <v>1552380277071416</v>
      </c>
      <c r="C24" t="s">
        <v>40</v>
      </c>
      <c r="D24">
        <v>5.385732</v>
      </c>
      <c r="E24">
        <v>0.54223440000000001</v>
      </c>
      <c r="F24" t="s">
        <v>41</v>
      </c>
      <c r="G24">
        <v>-475.38200000000001</v>
      </c>
      <c r="H24">
        <v>0.95351980000000003</v>
      </c>
      <c r="I24">
        <v>367.12009999999998</v>
      </c>
      <c r="J24">
        <v>-476.0446</v>
      </c>
      <c r="K24">
        <v>1.1081259999999999</v>
      </c>
      <c r="L24">
        <v>367.22089999999997</v>
      </c>
      <c r="M24">
        <v>0.99998089999999995</v>
      </c>
      <c r="N24">
        <v>0</v>
      </c>
      <c r="O24">
        <v>3.0461849999999999E-3</v>
      </c>
      <c r="P24">
        <v>0.99831320000000001</v>
      </c>
      <c r="Q24">
        <v>4.5677559999999999E-2</v>
      </c>
      <c r="R24">
        <v>-3.5841409999999997E-2</v>
      </c>
      <c r="S24">
        <v>3.0198360000000002</v>
      </c>
      <c r="T24">
        <v>-0.66327599999999998</v>
      </c>
      <c r="U24">
        <v>-0.42764279999999999</v>
      </c>
      <c r="V24">
        <v>3.8879589999999999E-2</v>
      </c>
      <c r="W24">
        <v>5.1076900000000001E-2</v>
      </c>
      <c r="X24">
        <v>0.99793759999999998</v>
      </c>
      <c r="Y24">
        <v>0.1398866</v>
      </c>
      <c r="Z24">
        <v>-1.576669E-2</v>
      </c>
      <c r="AA24">
        <v>0.99004199999999998</v>
      </c>
      <c r="AB24">
        <v>3</v>
      </c>
      <c r="AC24">
        <v>0.66260000000005403</v>
      </c>
      <c r="AD24">
        <v>-0.154606199999999</v>
      </c>
      <c r="AE24">
        <v>-0.10079999999999199</v>
      </c>
      <c r="AF24">
        <v>9.7623178553905995E-2</v>
      </c>
      <c r="AG24">
        <v>-0.154606199999999</v>
      </c>
      <c r="AH24">
        <v>0.62882826609104803</v>
      </c>
      <c r="AI24">
        <v>103.65563895430201</v>
      </c>
      <c r="AJ24">
        <v>81.175494055592907</v>
      </c>
      <c r="AK24">
        <v>0.65487277413592404</v>
      </c>
      <c r="AL24">
        <v>87.072235131944694</v>
      </c>
      <c r="AM24">
        <v>87.768888206170601</v>
      </c>
      <c r="AN24">
        <v>0.99999996286296799</v>
      </c>
    </row>
    <row r="25" spans="1:40" x14ac:dyDescent="0.25">
      <c r="A25" t="str">
        <f>"20190312164437102"</f>
        <v>20190312164437102</v>
      </c>
      <c r="B25" t="str">
        <f>"1552380277091912"</f>
        <v>1552380277091912</v>
      </c>
      <c r="C25" t="s">
        <v>40</v>
      </c>
      <c r="D25">
        <v>5.3599439999999996</v>
      </c>
      <c r="E25">
        <v>0.54237590000000002</v>
      </c>
      <c r="F25" t="s">
        <v>41</v>
      </c>
      <c r="G25">
        <v>-475.34339999999997</v>
      </c>
      <c r="H25">
        <v>0.95594080000000003</v>
      </c>
      <c r="I25">
        <v>367.12130000000002</v>
      </c>
      <c r="J25">
        <v>-476.00099999999998</v>
      </c>
      <c r="K25">
        <v>1.1078570000000001</v>
      </c>
      <c r="L25">
        <v>367.22129999999999</v>
      </c>
      <c r="M25">
        <v>0.99998500000000001</v>
      </c>
      <c r="N25">
        <v>0</v>
      </c>
      <c r="O25">
        <v>3.2686870000000002E-3</v>
      </c>
      <c r="P25">
        <v>0.99834160000000005</v>
      </c>
      <c r="Q25">
        <v>4.5719610000000001E-2</v>
      </c>
      <c r="R25">
        <v>-3.4981959999999999E-2</v>
      </c>
      <c r="S25">
        <v>3.0196529999999999</v>
      </c>
      <c r="T25">
        <v>-0.65531519999999899</v>
      </c>
      <c r="U25">
        <v>-0.42935180000000001</v>
      </c>
      <c r="V25">
        <v>3.8240839999999998E-2</v>
      </c>
      <c r="W25">
        <v>5.0122060000000003E-2</v>
      </c>
      <c r="X25">
        <v>0.99801079999999998</v>
      </c>
      <c r="Y25">
        <v>0.14071900000000001</v>
      </c>
      <c r="Z25">
        <v>-1.5718389999999999E-2</v>
      </c>
      <c r="AA25">
        <v>0.98992480000000005</v>
      </c>
      <c r="AB25">
        <v>4</v>
      </c>
      <c r="AC25">
        <v>0.65760000000000196</v>
      </c>
      <c r="AD25">
        <v>-0.151916199999999</v>
      </c>
      <c r="AE25">
        <v>-9.9999999999965894E-2</v>
      </c>
      <c r="AF25">
        <v>9.7084816417507797E-2</v>
      </c>
      <c r="AG25">
        <v>-0.151916199999999</v>
      </c>
      <c r="AH25">
        <v>0.62468468088665097</v>
      </c>
      <c r="AI25">
        <v>103.512192317621</v>
      </c>
      <c r="AJ25">
        <v>81.166098131344796</v>
      </c>
      <c r="AK25">
        <v>0.65018070098682401</v>
      </c>
      <c r="AL25">
        <v>87.127013915574096</v>
      </c>
      <c r="AM25">
        <v>87.805667645680401</v>
      </c>
      <c r="AN25">
        <v>1.0000000698295901</v>
      </c>
    </row>
    <row r="26" spans="1:40" x14ac:dyDescent="0.25">
      <c r="A26" t="str">
        <f>"20190312164437123"</f>
        <v>20190312164437123</v>
      </c>
      <c r="B26" t="str">
        <f>"1552380277111432"</f>
        <v>1552380277111432</v>
      </c>
      <c r="C26" t="s">
        <v>40</v>
      </c>
      <c r="D26">
        <v>5.3504420000000001</v>
      </c>
      <c r="E26">
        <v>0.54234019999999905</v>
      </c>
      <c r="F26" t="s">
        <v>41</v>
      </c>
      <c r="G26">
        <v>-475.30259999999998</v>
      </c>
      <c r="H26">
        <v>0.95719149999999997</v>
      </c>
      <c r="I26">
        <v>367.12189999999998</v>
      </c>
      <c r="J26">
        <v>-475.96</v>
      </c>
      <c r="K26">
        <v>1.107898</v>
      </c>
      <c r="L26">
        <v>367.22160000000002</v>
      </c>
      <c r="M26">
        <v>0.99998430000000005</v>
      </c>
      <c r="N26">
        <v>0</v>
      </c>
      <c r="O26">
        <v>3.4602449999999998E-3</v>
      </c>
      <c r="P26">
        <v>0.99841789999999997</v>
      </c>
      <c r="Q26">
        <v>4.4586399999999998E-2</v>
      </c>
      <c r="R26">
        <v>-3.4263179999999997E-2</v>
      </c>
      <c r="S26">
        <v>3.0198670000000001</v>
      </c>
      <c r="T26">
        <v>-0.65177489999999905</v>
      </c>
      <c r="U26">
        <v>-0.42752079999999998</v>
      </c>
      <c r="V26">
        <v>3.7713759999999999E-2</v>
      </c>
      <c r="W26">
        <v>4.9040489999999999E-2</v>
      </c>
      <c r="X26">
        <v>0.99808450000000004</v>
      </c>
      <c r="Y26">
        <v>0.14034959999999999</v>
      </c>
      <c r="Z26">
        <v>-1.563639E-2</v>
      </c>
      <c r="AA26">
        <v>0.98997860000000004</v>
      </c>
      <c r="AB26">
        <v>4</v>
      </c>
      <c r="AC26">
        <v>0.65739999999999499</v>
      </c>
      <c r="AD26">
        <v>-0.15070649999999899</v>
      </c>
      <c r="AE26">
        <v>-9.97000000000412E-2</v>
      </c>
      <c r="AF26">
        <v>9.6991514743579005E-2</v>
      </c>
      <c r="AG26">
        <v>-0.15070649999999899</v>
      </c>
      <c r="AH26">
        <v>0.62494616341657405</v>
      </c>
      <c r="AI26">
        <v>103.403508028533</v>
      </c>
      <c r="AJ26">
        <v>81.178088666158402</v>
      </c>
      <c r="AK26">
        <v>0.65013653200200905</v>
      </c>
      <c r="AL26">
        <v>87.189059377453106</v>
      </c>
      <c r="AM26">
        <v>87.836043192964297</v>
      </c>
      <c r="AN26">
        <v>0.99999998324651296</v>
      </c>
    </row>
    <row r="27" spans="1:40" x14ac:dyDescent="0.25">
      <c r="A27" t="str">
        <f>"20190312164437157"</f>
        <v>20190312164437157</v>
      </c>
      <c r="B27" t="str">
        <f>"1552380277151448"</f>
        <v>1552380277151448</v>
      </c>
      <c r="C27" t="s">
        <v>40</v>
      </c>
      <c r="D27">
        <v>5.0591699999999999</v>
      </c>
      <c r="E27">
        <v>0.54237959999999996</v>
      </c>
      <c r="F27" t="s">
        <v>41</v>
      </c>
      <c r="G27">
        <v>-475.2647</v>
      </c>
      <c r="H27">
        <v>0.95771569999999995</v>
      </c>
      <c r="I27">
        <v>367.12360000000001</v>
      </c>
      <c r="J27">
        <v>-475.90390000000002</v>
      </c>
      <c r="K27">
        <v>1.108584</v>
      </c>
      <c r="L27">
        <v>367.22210000000001</v>
      </c>
      <c r="M27">
        <v>0.99996810000000003</v>
      </c>
      <c r="N27">
        <v>0</v>
      </c>
      <c r="O27">
        <v>3.6691240000000002E-3</v>
      </c>
      <c r="P27">
        <v>0.99860349999999998</v>
      </c>
      <c r="Q27">
        <v>4.114218E-2</v>
      </c>
      <c r="R27">
        <v>-3.3145260000000003E-2</v>
      </c>
      <c r="S27">
        <v>3.0192570000000001</v>
      </c>
      <c r="T27">
        <v>-0.6521034</v>
      </c>
      <c r="U27">
        <v>-0.42535400000000001</v>
      </c>
      <c r="V27">
        <v>3.680978E-2</v>
      </c>
      <c r="W27">
        <v>4.8215590000000003E-2</v>
      </c>
      <c r="X27">
        <v>0.99815849999999995</v>
      </c>
      <c r="Y27">
        <v>0.13988829999999999</v>
      </c>
      <c r="Z27">
        <v>-1.5643310000000001E-2</v>
      </c>
      <c r="AA27">
        <v>0.99004369999999997</v>
      </c>
      <c r="AB27">
        <v>5</v>
      </c>
      <c r="AC27">
        <v>0.63920000000001598</v>
      </c>
      <c r="AD27">
        <v>-0.15086830000000001</v>
      </c>
      <c r="AE27">
        <v>-9.8500000000001295E-2</v>
      </c>
      <c r="AF27">
        <v>9.5640296525352206E-2</v>
      </c>
      <c r="AG27">
        <v>-0.15086830000000001</v>
      </c>
      <c r="AH27">
        <v>0.60586525509956601</v>
      </c>
      <c r="AI27">
        <v>103.818567158745</v>
      </c>
      <c r="AJ27">
        <v>81.029462209953095</v>
      </c>
      <c r="AK27">
        <v>0.63164944201765005</v>
      </c>
      <c r="AL27">
        <v>87.236378825377201</v>
      </c>
      <c r="AM27">
        <v>87.888021047711305</v>
      </c>
      <c r="AN27">
        <v>1.0000000470724699</v>
      </c>
    </row>
    <row r="28" spans="1:40" x14ac:dyDescent="0.25">
      <c r="A28" t="str">
        <f>"20190312164437178"</f>
        <v>20190312164437178</v>
      </c>
      <c r="B28" t="str">
        <f>"1552380277171944"</f>
        <v>1552380277171944</v>
      </c>
      <c r="C28" t="s">
        <v>40</v>
      </c>
      <c r="D28">
        <v>5.1157329999999996</v>
      </c>
      <c r="E28">
        <v>0.54240269999999902</v>
      </c>
      <c r="F28" t="s">
        <v>41</v>
      </c>
      <c r="G28">
        <v>-475.20089999999999</v>
      </c>
      <c r="H28">
        <v>0.95513530000000002</v>
      </c>
      <c r="I28">
        <v>367.12360000000001</v>
      </c>
      <c r="J28">
        <v>-475.8664</v>
      </c>
      <c r="K28">
        <v>1.108841</v>
      </c>
      <c r="L28">
        <v>367.22239999999999</v>
      </c>
      <c r="M28">
        <v>0.99995699999999998</v>
      </c>
      <c r="N28">
        <v>0</v>
      </c>
      <c r="O28">
        <v>3.7902750000000001E-3</v>
      </c>
      <c r="P28">
        <v>0.99868009999999996</v>
      </c>
      <c r="Q28">
        <v>3.9513979999999997E-2</v>
      </c>
      <c r="R28">
        <v>-3.2816030000000003E-2</v>
      </c>
      <c r="S28">
        <v>3.017334</v>
      </c>
      <c r="T28">
        <v>-0.65873539999999997</v>
      </c>
      <c r="U28">
        <v>-0.4223633</v>
      </c>
      <c r="V28">
        <v>3.6603829999999997E-2</v>
      </c>
      <c r="W28">
        <v>4.7963640000000002E-2</v>
      </c>
      <c r="X28">
        <v>0.99817820000000002</v>
      </c>
      <c r="Y28">
        <v>0.1390786</v>
      </c>
      <c r="Z28">
        <v>-1.5748689999999999E-2</v>
      </c>
      <c r="AA28">
        <v>0.99015609999999998</v>
      </c>
      <c r="AB28">
        <v>4</v>
      </c>
      <c r="AC28">
        <v>0.66550000000000797</v>
      </c>
      <c r="AD28">
        <v>-0.153705699999999</v>
      </c>
      <c r="AE28">
        <v>-9.8799999999982901E-2</v>
      </c>
      <c r="AF28">
        <v>9.6295800916560606E-2</v>
      </c>
      <c r="AG28">
        <v>-0.153705699999999</v>
      </c>
      <c r="AH28">
        <v>0.63212781096683301</v>
      </c>
      <c r="AI28">
        <v>103.51647260262401</v>
      </c>
      <c r="AJ28">
        <v>81.338383604094901</v>
      </c>
      <c r="AK28">
        <v>0.65763507577103297</v>
      </c>
      <c r="AL28">
        <v>87.250831184343099</v>
      </c>
      <c r="AM28">
        <v>87.899868329323098</v>
      </c>
      <c r="AN28">
        <v>1.0000000350439699</v>
      </c>
    </row>
    <row r="29" spans="1:40" x14ac:dyDescent="0.25">
      <c r="A29" t="str">
        <f>"20190312164437201"</f>
        <v>20190312164437201</v>
      </c>
      <c r="B29" t="str">
        <f>"1552380277191467"</f>
        <v>1552380277191467</v>
      </c>
      <c r="C29" t="s">
        <v>40</v>
      </c>
      <c r="D29">
        <v>5.3407099999999996</v>
      </c>
      <c r="E29">
        <v>0.54237999999999997</v>
      </c>
      <c r="F29" t="s">
        <v>41</v>
      </c>
      <c r="G29">
        <v>-475.16570000000002</v>
      </c>
      <c r="H29">
        <v>0.95500609999999997</v>
      </c>
      <c r="I29">
        <v>367.12419999999997</v>
      </c>
      <c r="J29">
        <v>-475.82499999999999</v>
      </c>
      <c r="K29">
        <v>1.1085560000000001</v>
      </c>
      <c r="L29">
        <v>367.22269999999997</v>
      </c>
      <c r="M29">
        <v>0.9999614</v>
      </c>
      <c r="N29">
        <v>0</v>
      </c>
      <c r="O29">
        <v>3.9508709999999999E-3</v>
      </c>
      <c r="P29">
        <v>0.99866129999999997</v>
      </c>
      <c r="Q29">
        <v>4.0076920000000002E-2</v>
      </c>
      <c r="R29">
        <v>-3.2706099999999898E-2</v>
      </c>
      <c r="S29">
        <v>3.0162960000000001</v>
      </c>
      <c r="T29">
        <v>-0.66243200000000002</v>
      </c>
      <c r="U29">
        <v>-0.42166140000000002</v>
      </c>
      <c r="V29">
        <v>3.6652700000000003E-2</v>
      </c>
      <c r="W29">
        <v>4.7933629999999998E-2</v>
      </c>
      <c r="X29">
        <v>0.9981778</v>
      </c>
      <c r="Y29">
        <v>0.1390169</v>
      </c>
      <c r="Z29">
        <v>-1.586858E-2</v>
      </c>
      <c r="AA29">
        <v>0.99016280000000001</v>
      </c>
      <c r="AB29">
        <v>3</v>
      </c>
      <c r="AC29">
        <v>0.65929999999997302</v>
      </c>
      <c r="AD29">
        <v>-0.15354989999999899</v>
      </c>
      <c r="AE29">
        <v>-9.8500000000001295E-2</v>
      </c>
      <c r="AF29">
        <v>9.6010077466148896E-2</v>
      </c>
      <c r="AG29">
        <v>-0.15354989999999899</v>
      </c>
      <c r="AH29">
        <v>0.62570729154965599</v>
      </c>
      <c r="AI29">
        <v>103.634515100576</v>
      </c>
      <c r="AJ29">
        <v>81.276433243356394</v>
      </c>
      <c r="AK29">
        <v>0.65138707498957404</v>
      </c>
      <c r="AL29">
        <v>87.252552478114495</v>
      </c>
      <c r="AM29">
        <v>87.897066104345498</v>
      </c>
      <c r="AN29">
        <v>0.99999998685755298</v>
      </c>
    </row>
    <row r="30" spans="1:40" x14ac:dyDescent="0.25">
      <c r="A30" t="str">
        <f>"20190312164437223"</f>
        <v>20190312164437223</v>
      </c>
      <c r="B30" t="str">
        <f>"1552380277211960"</f>
        <v>1552380277211960</v>
      </c>
      <c r="C30" t="s">
        <v>40</v>
      </c>
      <c r="D30">
        <v>5.3212960000000002</v>
      </c>
      <c r="E30">
        <v>0.54234659999999901</v>
      </c>
      <c r="F30" t="s">
        <v>41</v>
      </c>
      <c r="G30">
        <v>-475.12599999999998</v>
      </c>
      <c r="H30">
        <v>0.95565840000000002</v>
      </c>
      <c r="I30">
        <v>367.12509999999997</v>
      </c>
      <c r="J30">
        <v>-475.77980000000002</v>
      </c>
      <c r="K30">
        <v>1.1081829999999999</v>
      </c>
      <c r="L30">
        <v>367.22309999999999</v>
      </c>
      <c r="M30">
        <v>0.99996890000000005</v>
      </c>
      <c r="N30">
        <v>0</v>
      </c>
      <c r="O30">
        <v>4.1590560000000004E-3</v>
      </c>
      <c r="P30">
        <v>0.99858740000000001</v>
      </c>
      <c r="Q30">
        <v>4.195161E-2</v>
      </c>
      <c r="R30">
        <v>-3.2616869999999999E-2</v>
      </c>
      <c r="S30">
        <v>3.0166629999999999</v>
      </c>
      <c r="T30">
        <v>-0.65982030000000003</v>
      </c>
      <c r="U30">
        <v>-0.4212341</v>
      </c>
      <c r="V30">
        <v>3.6768189999999999E-2</v>
      </c>
      <c r="W30">
        <v>4.8645679999999997E-2</v>
      </c>
      <c r="X30">
        <v>0.99813909999999995</v>
      </c>
      <c r="Y30">
        <v>0.13908909999999999</v>
      </c>
      <c r="Z30">
        <v>-1.585831E-2</v>
      </c>
      <c r="AA30">
        <v>0.9901529</v>
      </c>
      <c r="AB30">
        <v>4</v>
      </c>
      <c r="AC30">
        <v>0.65380000000004601</v>
      </c>
      <c r="AD30">
        <v>-0.15252459999999901</v>
      </c>
      <c r="AE30">
        <v>-9.8000000000013202E-2</v>
      </c>
      <c r="AF30">
        <v>9.5628299578156606E-2</v>
      </c>
      <c r="AG30">
        <v>-0.15252459999999901</v>
      </c>
      <c r="AH30">
        <v>0.62036590232033695</v>
      </c>
      <c r="AI30">
        <v>103.657732457828</v>
      </c>
      <c r="AJ30">
        <v>81.236931555398499</v>
      </c>
      <c r="AK30">
        <v>0.64595849560718299</v>
      </c>
      <c r="AL30">
        <v>87.211707353678094</v>
      </c>
      <c r="AM30">
        <v>87.890364171438094</v>
      </c>
      <c r="AN30">
        <v>0.99999998246367405</v>
      </c>
    </row>
    <row r="31" spans="1:40" x14ac:dyDescent="0.25">
      <c r="A31" t="str">
        <f>"20190312164437245"</f>
        <v>20190312164437245</v>
      </c>
      <c r="B31" t="str">
        <f>"1552380277241746"</f>
        <v>1552380277241746</v>
      </c>
      <c r="C31" t="s">
        <v>40</v>
      </c>
      <c r="D31">
        <v>5.1078789999999996</v>
      </c>
      <c r="E31">
        <v>0.54206899999999902</v>
      </c>
      <c r="F31" t="s">
        <v>41</v>
      </c>
      <c r="G31">
        <v>-475.08330000000001</v>
      </c>
      <c r="H31">
        <v>0.95746399999999998</v>
      </c>
      <c r="I31">
        <v>367.12560000000002</v>
      </c>
      <c r="J31">
        <v>-475.73660000000001</v>
      </c>
      <c r="K31">
        <v>1.1082369999999999</v>
      </c>
      <c r="L31">
        <v>367.2235</v>
      </c>
      <c r="M31">
        <v>0.99996700000000005</v>
      </c>
      <c r="N31">
        <v>0</v>
      </c>
      <c r="O31">
        <v>4.3473599999999998E-3</v>
      </c>
      <c r="P31">
        <v>0.99857269999999998</v>
      </c>
      <c r="Q31">
        <v>4.2378069999999997E-2</v>
      </c>
      <c r="R31">
        <v>-3.2511089999999999E-2</v>
      </c>
      <c r="S31">
        <v>3.0179140000000002</v>
      </c>
      <c r="T31">
        <v>-0.65332749999999995</v>
      </c>
      <c r="U31">
        <v>-0.42053220000000002</v>
      </c>
      <c r="V31">
        <v>3.6849529999999998E-2</v>
      </c>
      <c r="W31">
        <v>4.922576E-2</v>
      </c>
      <c r="X31">
        <v>0.99810770000000004</v>
      </c>
      <c r="Y31">
        <v>0.13905670000000001</v>
      </c>
      <c r="Z31">
        <v>-1.5736360000000001E-2</v>
      </c>
      <c r="AA31">
        <v>0.99015940000000002</v>
      </c>
      <c r="AB31">
        <v>4</v>
      </c>
      <c r="AC31">
        <v>0.65330000000000099</v>
      </c>
      <c r="AD31">
        <v>-0.15077299999999999</v>
      </c>
      <c r="AE31">
        <v>-9.7899999999981405E-2</v>
      </c>
      <c r="AF31">
        <v>9.5751324970511795E-2</v>
      </c>
      <c r="AG31">
        <v>-0.15077299999999999</v>
      </c>
      <c r="AH31">
        <v>0.620542464332002</v>
      </c>
      <c r="AI31">
        <v>103.50265948978</v>
      </c>
      <c r="AJ31">
        <v>81.228290894075798</v>
      </c>
      <c r="AK31">
        <v>0.645735056971389</v>
      </c>
      <c r="AL31">
        <v>87.178431461657794</v>
      </c>
      <c r="AM31">
        <v>87.885634930633898</v>
      </c>
      <c r="AN31">
        <v>1.0000000220540399</v>
      </c>
    </row>
    <row r="32" spans="1:40" x14ac:dyDescent="0.25">
      <c r="A32" t="str">
        <f>"20190312164437268"</f>
        <v>20190312164437268</v>
      </c>
      <c r="B32" t="str">
        <f>"1552380277262243"</f>
        <v>1552380277262243</v>
      </c>
      <c r="C32" t="s">
        <v>40</v>
      </c>
      <c r="D32">
        <v>5.3237350000000001</v>
      </c>
      <c r="E32">
        <v>0.5419564</v>
      </c>
      <c r="F32" t="s">
        <v>41</v>
      </c>
      <c r="G32">
        <v>-475.0446</v>
      </c>
      <c r="H32">
        <v>0.95761640000000003</v>
      </c>
      <c r="I32">
        <v>367.1275</v>
      </c>
      <c r="J32">
        <v>-475.69709999999998</v>
      </c>
      <c r="K32">
        <v>1.108679</v>
      </c>
      <c r="L32">
        <v>367.22379999999998</v>
      </c>
      <c r="M32">
        <v>0.99995339999999999</v>
      </c>
      <c r="N32">
        <v>0</v>
      </c>
      <c r="O32">
        <v>4.4920170000000001E-3</v>
      </c>
      <c r="P32">
        <v>0.99861040000000001</v>
      </c>
      <c r="Q32">
        <v>4.1356200000000003E-2</v>
      </c>
      <c r="R32">
        <v>-3.2673849999999997E-2</v>
      </c>
      <c r="S32">
        <v>3.0185550000000001</v>
      </c>
      <c r="T32">
        <v>-0.65711980000000003</v>
      </c>
      <c r="U32">
        <v>-0.41815190000000002</v>
      </c>
      <c r="V32">
        <v>3.7158749999999997E-2</v>
      </c>
      <c r="W32">
        <v>4.99087E-2</v>
      </c>
      <c r="X32">
        <v>0.99806229999999996</v>
      </c>
      <c r="Y32">
        <v>0.1383807</v>
      </c>
      <c r="Z32">
        <v>-1.5781819999999998E-2</v>
      </c>
      <c r="AA32">
        <v>0.99025339999999995</v>
      </c>
      <c r="AB32">
        <v>5</v>
      </c>
      <c r="AC32">
        <v>0.65249999999997499</v>
      </c>
      <c r="AD32">
        <v>-0.15106259999999999</v>
      </c>
      <c r="AE32">
        <v>-9.6299999999985106E-2</v>
      </c>
      <c r="AF32">
        <v>9.4284398677139503E-2</v>
      </c>
      <c r="AG32">
        <v>-0.15106259999999999</v>
      </c>
      <c r="AH32">
        <v>0.61956115011803303</v>
      </c>
      <c r="AI32">
        <v>103.552428652668</v>
      </c>
      <c r="AJ32">
        <v>81.347155049447693</v>
      </c>
      <c r="AK32">
        <v>0.64464368118228699</v>
      </c>
      <c r="AL32">
        <v>87.139253669446404</v>
      </c>
      <c r="AM32">
        <v>87.867811809789998</v>
      </c>
      <c r="AN32">
        <v>1.0000000028592699</v>
      </c>
    </row>
    <row r="33" spans="1:40" x14ac:dyDescent="0.25">
      <c r="A33" t="str">
        <f>"20190312164437292"</f>
        <v>20190312164437292</v>
      </c>
      <c r="B33" t="str">
        <f>"1552380277281763"</f>
        <v>1552380277281763</v>
      </c>
      <c r="C33" t="s">
        <v>40</v>
      </c>
      <c r="D33">
        <v>5.8836490000000001</v>
      </c>
      <c r="E33">
        <v>0.54184489999999996</v>
      </c>
      <c r="F33" t="s">
        <v>41</v>
      </c>
      <c r="G33">
        <v>-475.00959999999998</v>
      </c>
      <c r="H33">
        <v>0.9585304</v>
      </c>
      <c r="I33">
        <v>367.12819999999999</v>
      </c>
      <c r="J33">
        <v>-475.65170000000001</v>
      </c>
      <c r="K33">
        <v>1.108625</v>
      </c>
      <c r="L33">
        <v>367.22430000000003</v>
      </c>
      <c r="M33">
        <v>0.99995160000000005</v>
      </c>
      <c r="N33">
        <v>0</v>
      </c>
      <c r="O33">
        <v>4.6729939999999998E-3</v>
      </c>
      <c r="P33">
        <v>0.99862220000000002</v>
      </c>
      <c r="Q33">
        <v>4.1254949999999999E-2</v>
      </c>
      <c r="R33">
        <v>-3.2432999999999997E-2</v>
      </c>
      <c r="S33">
        <v>3.0178219999999998</v>
      </c>
      <c r="T33">
        <v>-0.65952849999999996</v>
      </c>
      <c r="U33">
        <v>-0.41760249999999999</v>
      </c>
      <c r="V33">
        <v>3.7097980000000003E-2</v>
      </c>
      <c r="W33">
        <v>4.9902040000000002E-2</v>
      </c>
      <c r="X33">
        <v>0.99806490000000003</v>
      </c>
      <c r="Y33">
        <v>0.1383858</v>
      </c>
      <c r="Z33">
        <v>-1.5881739999999998E-2</v>
      </c>
      <c r="AA33">
        <v>0.99025110000000005</v>
      </c>
      <c r="AB33">
        <v>4</v>
      </c>
      <c r="AC33">
        <v>0.64210000000002698</v>
      </c>
      <c r="AD33">
        <v>-0.150094599999999</v>
      </c>
      <c r="AE33">
        <v>-9.6100000000035296E-2</v>
      </c>
      <c r="AF33">
        <v>9.4071951638006496E-2</v>
      </c>
      <c r="AG33">
        <v>-0.150094599999999</v>
      </c>
      <c r="AH33">
        <v>0.60909123940060095</v>
      </c>
      <c r="AI33">
        <v>103.68716085017201</v>
      </c>
      <c r="AJ33">
        <v>81.220244157045698</v>
      </c>
      <c r="AK33">
        <v>0.63432646086120603</v>
      </c>
      <c r="AL33">
        <v>87.139635753459004</v>
      </c>
      <c r="AM33">
        <v>87.871301153335594</v>
      </c>
      <c r="AN33">
        <v>1.0000000091641199</v>
      </c>
    </row>
    <row r="34" spans="1:40" x14ac:dyDescent="0.25">
      <c r="A34" t="str">
        <f>"20190312164437314"</f>
        <v>20190312164437314</v>
      </c>
      <c r="B34" t="str">
        <f>"1552380277312019"</f>
        <v>1552380277312019</v>
      </c>
      <c r="C34" t="s">
        <v>40</v>
      </c>
      <c r="D34">
        <v>5.9181869999999996</v>
      </c>
      <c r="E34">
        <v>0.5416453</v>
      </c>
      <c r="F34" t="s">
        <v>41</v>
      </c>
      <c r="G34">
        <v>-474.9325</v>
      </c>
      <c r="H34">
        <v>0.95172120000000004</v>
      </c>
      <c r="I34">
        <v>367.12450000000001</v>
      </c>
      <c r="J34">
        <v>-475.60169999999999</v>
      </c>
      <c r="K34">
        <v>1.108247</v>
      </c>
      <c r="L34">
        <v>367.22469999999998</v>
      </c>
      <c r="M34">
        <v>0.99996050000000003</v>
      </c>
      <c r="N34">
        <v>0</v>
      </c>
      <c r="O34">
        <v>4.904968E-3</v>
      </c>
      <c r="P34">
        <v>0.99856549999999999</v>
      </c>
      <c r="Q34">
        <v>4.3077520000000001E-2</v>
      </c>
      <c r="R34">
        <v>-3.1807469999999997E-2</v>
      </c>
      <c r="S34">
        <v>3.0178219999999998</v>
      </c>
      <c r="T34">
        <v>-0.65871259999999998</v>
      </c>
      <c r="U34">
        <v>-0.41665649999999999</v>
      </c>
      <c r="V34">
        <v>3.6701789999999998E-2</v>
      </c>
      <c r="W34">
        <v>5.0491620000000001E-2</v>
      </c>
      <c r="X34">
        <v>0.99804990000000005</v>
      </c>
      <c r="Y34">
        <v>0.13831499999999999</v>
      </c>
      <c r="Z34">
        <v>-1.5905079999999999E-2</v>
      </c>
      <c r="AA34">
        <v>0.99026049999999999</v>
      </c>
      <c r="AB34">
        <v>4</v>
      </c>
      <c r="AC34">
        <v>0.66919999999998903</v>
      </c>
      <c r="AD34">
        <v>-0.15652579999999999</v>
      </c>
      <c r="AE34">
        <v>-0.10019999999997201</v>
      </c>
      <c r="AF34">
        <v>9.8225302122929195E-2</v>
      </c>
      <c r="AG34">
        <v>-0.15652579999999999</v>
      </c>
      <c r="AH34">
        <v>0.63473604698355601</v>
      </c>
      <c r="AI34">
        <v>103.69596405990499</v>
      </c>
      <c r="AJ34">
        <v>81.203264345771103</v>
      </c>
      <c r="AK34">
        <v>0.66108878782134295</v>
      </c>
      <c r="AL34">
        <v>87.105812682295195</v>
      </c>
      <c r="AM34">
        <v>87.893982510813302</v>
      </c>
      <c r="AN34">
        <v>1.0000000139847101</v>
      </c>
    </row>
    <row r="35" spans="1:40" x14ac:dyDescent="0.25">
      <c r="A35" t="str">
        <f>"20190312164437334"</f>
        <v>20190312164437334</v>
      </c>
      <c r="B35" t="str">
        <f>"1552380277332046"</f>
        <v>1552380277332046</v>
      </c>
      <c r="C35" t="s">
        <v>40</v>
      </c>
      <c r="D35">
        <v>5.9178980000000001</v>
      </c>
      <c r="E35">
        <v>0.54158070000000003</v>
      </c>
      <c r="F35" t="s">
        <v>41</v>
      </c>
      <c r="G35">
        <v>-474.88639999999998</v>
      </c>
      <c r="H35">
        <v>0.95386280000000001</v>
      </c>
      <c r="I35">
        <v>367.12610000000001</v>
      </c>
      <c r="J35">
        <v>-475.5575</v>
      </c>
      <c r="K35">
        <v>1.108082</v>
      </c>
      <c r="L35">
        <v>367.22519999999997</v>
      </c>
      <c r="M35">
        <v>0.99996419999999997</v>
      </c>
      <c r="N35">
        <v>0</v>
      </c>
      <c r="O35">
        <v>5.1147700000000003E-3</v>
      </c>
      <c r="P35">
        <v>0.99855660000000002</v>
      </c>
      <c r="Q35">
        <v>4.3489050000000001E-2</v>
      </c>
      <c r="R35">
        <v>-3.1519900000000003E-2</v>
      </c>
      <c r="S35">
        <v>3.0192869999999998</v>
      </c>
      <c r="T35">
        <v>-0.65196359999999998</v>
      </c>
      <c r="U35">
        <v>-0.41400150000000002</v>
      </c>
      <c r="V35">
        <v>3.6622490000000001E-2</v>
      </c>
      <c r="W35">
        <v>5.0233970000000003E-2</v>
      </c>
      <c r="X35">
        <v>0.9980658</v>
      </c>
      <c r="Y35">
        <v>0.1376819</v>
      </c>
      <c r="Z35">
        <v>-1.5716589999999999E-2</v>
      </c>
      <c r="AA35">
        <v>0.9903518</v>
      </c>
      <c r="AB35">
        <v>5</v>
      </c>
      <c r="AC35">
        <v>0.67110000000002401</v>
      </c>
      <c r="AD35">
        <v>-0.1542192</v>
      </c>
      <c r="AE35">
        <v>-9.9099999999964397E-2</v>
      </c>
      <c r="AF35">
        <v>9.7492744984791296E-2</v>
      </c>
      <c r="AG35">
        <v>-0.1542192</v>
      </c>
      <c r="AH35">
        <v>0.63763070637970398</v>
      </c>
      <c r="AI35">
        <v>103.446118854679</v>
      </c>
      <c r="AJ35">
        <v>81.306889379490499</v>
      </c>
      <c r="AK35">
        <v>0.66322041184781799</v>
      </c>
      <c r="AL35">
        <v>87.120593656175103</v>
      </c>
      <c r="AM35">
        <v>87.8985622573163</v>
      </c>
      <c r="AN35">
        <v>0.99999999982270005</v>
      </c>
    </row>
    <row r="36" spans="1:40" x14ac:dyDescent="0.25">
      <c r="A36" t="str">
        <f>"20190312164437357"</f>
        <v>20190312164437357</v>
      </c>
      <c r="B36" t="str">
        <f>"1552380277351568"</f>
        <v>1552380277351568</v>
      </c>
      <c r="C36" t="s">
        <v>40</v>
      </c>
      <c r="D36">
        <v>6.3224309999999999</v>
      </c>
      <c r="E36">
        <v>0.54143819999999998</v>
      </c>
      <c r="F36" t="s">
        <v>41</v>
      </c>
      <c r="G36">
        <v>-474.84469999999999</v>
      </c>
      <c r="H36">
        <v>0.95455520000000005</v>
      </c>
      <c r="I36">
        <v>367.12729999999999</v>
      </c>
      <c r="J36">
        <v>-475.5129</v>
      </c>
      <c r="K36">
        <v>1.108414</v>
      </c>
      <c r="L36">
        <v>367.22559999999999</v>
      </c>
      <c r="M36">
        <v>0.99995509999999999</v>
      </c>
      <c r="N36">
        <v>0</v>
      </c>
      <c r="O36">
        <v>5.2961859999999996E-3</v>
      </c>
      <c r="P36">
        <v>0.99865700000000002</v>
      </c>
      <c r="Q36">
        <v>4.1327700000000002E-2</v>
      </c>
      <c r="R36">
        <v>-3.1250170000000001E-2</v>
      </c>
      <c r="S36">
        <v>3.0196529999999999</v>
      </c>
      <c r="T36">
        <v>-0.65077379999999996</v>
      </c>
      <c r="U36">
        <v>-0.41159059999999997</v>
      </c>
      <c r="V36">
        <v>3.6536350000000002E-2</v>
      </c>
      <c r="W36">
        <v>4.9185279999999998E-2</v>
      </c>
      <c r="X36">
        <v>0.99812120000000004</v>
      </c>
      <c r="Y36">
        <v>0.137090299999999</v>
      </c>
      <c r="Z36">
        <v>-1.566327E-2</v>
      </c>
      <c r="AA36">
        <v>0.9904347</v>
      </c>
      <c r="AB36">
        <v>5</v>
      </c>
      <c r="AC36">
        <v>0.66820000000001301</v>
      </c>
      <c r="AD36">
        <v>-0.15385879999999999</v>
      </c>
      <c r="AE36">
        <v>-9.8299999999994697E-2</v>
      </c>
      <c r="AF36">
        <v>9.6813422088550802E-2</v>
      </c>
      <c r="AG36">
        <v>-0.15385879999999999</v>
      </c>
      <c r="AH36">
        <v>0.63473010507011896</v>
      </c>
      <c r="AI36">
        <v>103.47563026648</v>
      </c>
      <c r="AJ36">
        <v>81.327691723058194</v>
      </c>
      <c r="AK36">
        <v>0.66024819220976305</v>
      </c>
      <c r="AL36">
        <v>87.180753582836104</v>
      </c>
      <c r="AM36">
        <v>87.903616907816698</v>
      </c>
      <c r="AN36">
        <v>1.00000001326472</v>
      </c>
    </row>
    <row r="37" spans="1:40" x14ac:dyDescent="0.25">
      <c r="A37" t="str">
        <f>"20190312164437380"</f>
        <v>20190312164437380</v>
      </c>
      <c r="B37" t="str">
        <f>"1552380277372062"</f>
        <v>1552380277372062</v>
      </c>
      <c r="C37" t="s">
        <v>40</v>
      </c>
      <c r="D37">
        <v>5.1873259999999997</v>
      </c>
      <c r="E37">
        <v>0.54126730000000001</v>
      </c>
      <c r="F37" t="s">
        <v>41</v>
      </c>
      <c r="G37">
        <v>-474.8073</v>
      </c>
      <c r="H37">
        <v>0.95447360000000003</v>
      </c>
      <c r="I37">
        <v>367.13010000000003</v>
      </c>
      <c r="J37">
        <v>-475.47129999999999</v>
      </c>
      <c r="K37">
        <v>1.108938</v>
      </c>
      <c r="L37">
        <v>367.226</v>
      </c>
      <c r="M37">
        <v>0.99993529999999997</v>
      </c>
      <c r="N37">
        <v>0</v>
      </c>
      <c r="O37">
        <v>5.4394469999999896E-3</v>
      </c>
      <c r="P37">
        <v>0.99878909999999999</v>
      </c>
      <c r="Q37">
        <v>3.8493949999999999E-2</v>
      </c>
      <c r="R37">
        <v>-3.0644709999999999E-2</v>
      </c>
      <c r="S37">
        <v>3.018494</v>
      </c>
      <c r="T37">
        <v>-0.65856389999999998</v>
      </c>
      <c r="U37">
        <v>-0.4086304</v>
      </c>
      <c r="V37">
        <v>3.6078199999999998E-2</v>
      </c>
      <c r="W37">
        <v>4.848802E-2</v>
      </c>
      <c r="X37">
        <v>0.99817199999999995</v>
      </c>
      <c r="Y37">
        <v>0.13626569999999999</v>
      </c>
      <c r="Z37">
        <v>-1.5795710000000001E-2</v>
      </c>
      <c r="AA37">
        <v>0.99054640000000005</v>
      </c>
      <c r="AB37">
        <v>5</v>
      </c>
      <c r="AC37">
        <v>0.66399999999998705</v>
      </c>
      <c r="AD37">
        <v>-0.1544644</v>
      </c>
      <c r="AE37">
        <v>-9.5899999999971897E-2</v>
      </c>
      <c r="AF37">
        <v>9.4501087044935206E-2</v>
      </c>
      <c r="AG37">
        <v>-0.1544644</v>
      </c>
      <c r="AH37">
        <v>0.63006879652777503</v>
      </c>
      <c r="AI37">
        <v>103.628011604351</v>
      </c>
      <c r="AJ37">
        <v>81.470055475772796</v>
      </c>
      <c r="AK37">
        <v>0.65557333279961405</v>
      </c>
      <c r="AL37">
        <v>87.220751419688</v>
      </c>
      <c r="AM37">
        <v>87.929986890039999</v>
      </c>
      <c r="AN37">
        <v>1.0000000330913701</v>
      </c>
    </row>
    <row r="38" spans="1:40" x14ac:dyDescent="0.25">
      <c r="A38" t="str">
        <f>"20190312164437404"</f>
        <v>20190312164437404</v>
      </c>
      <c r="B38" t="str">
        <f>"1552380277391582"</f>
        <v>1552380277391582</v>
      </c>
      <c r="C38" t="s">
        <v>40</v>
      </c>
      <c r="D38">
        <v>5.1864109999999997</v>
      </c>
      <c r="E38">
        <v>0.54117539999999997</v>
      </c>
      <c r="F38" t="s">
        <v>41</v>
      </c>
      <c r="G38">
        <v>-474.77319999999997</v>
      </c>
      <c r="H38">
        <v>0.95387429999999995</v>
      </c>
      <c r="I38">
        <v>367.13170000000002</v>
      </c>
      <c r="J38">
        <v>-475.42860000000002</v>
      </c>
      <c r="K38">
        <v>1.1090409999999999</v>
      </c>
      <c r="L38">
        <v>367.22640000000001</v>
      </c>
      <c r="M38">
        <v>0.99992530000000002</v>
      </c>
      <c r="N38">
        <v>0</v>
      </c>
      <c r="O38">
        <v>5.5792669999999997E-3</v>
      </c>
      <c r="P38">
        <v>0.99885179999999996</v>
      </c>
      <c r="Q38">
        <v>3.6985990000000003E-2</v>
      </c>
      <c r="R38">
        <v>-3.0455940000000001E-2</v>
      </c>
      <c r="S38">
        <v>3.0170590000000002</v>
      </c>
      <c r="T38">
        <v>-0.67037009999999997</v>
      </c>
      <c r="U38">
        <v>-0.40591430000000001</v>
      </c>
      <c r="V38">
        <v>3.6030550000000001E-2</v>
      </c>
      <c r="W38">
        <v>4.7864089999999998E-2</v>
      </c>
      <c r="X38">
        <v>0.99820379999999997</v>
      </c>
      <c r="Y38">
        <v>0.13548560000000001</v>
      </c>
      <c r="Z38">
        <v>-1.6025950000000001E-2</v>
      </c>
      <c r="AA38">
        <v>0.99064969999999997</v>
      </c>
      <c r="AB38">
        <v>4</v>
      </c>
      <c r="AC38">
        <v>0.65540000000004195</v>
      </c>
      <c r="AD38">
        <v>-0.15516669999999899</v>
      </c>
      <c r="AE38">
        <v>-9.4699999999988904E-2</v>
      </c>
      <c r="AF38">
        <v>9.3236274136308597E-2</v>
      </c>
      <c r="AG38">
        <v>-0.15516669999999899</v>
      </c>
      <c r="AH38">
        <v>0.62077772902989403</v>
      </c>
      <c r="AI38">
        <v>103.88423065708101</v>
      </c>
      <c r="AJ38">
        <v>81.458437572581801</v>
      </c>
      <c r="AK38">
        <v>0.64663335551394396</v>
      </c>
      <c r="AL38">
        <v>87.256541438511405</v>
      </c>
      <c r="AM38">
        <v>87.932784270635807</v>
      </c>
      <c r="AN38">
        <v>0.99999999898963499</v>
      </c>
    </row>
    <row r="39" spans="1:40" x14ac:dyDescent="0.25">
      <c r="A39" t="str">
        <f>"20190312164437425"</f>
        <v>20190312164437425</v>
      </c>
      <c r="B39" t="str">
        <f>"1552380277421371"</f>
        <v>1552380277421371</v>
      </c>
      <c r="C39" t="s">
        <v>40</v>
      </c>
      <c r="D39">
        <v>5.1645909999999997</v>
      </c>
      <c r="E39">
        <v>0.54095669999999996</v>
      </c>
      <c r="F39" t="s">
        <v>41</v>
      </c>
      <c r="G39">
        <v>-474.73480000000001</v>
      </c>
      <c r="H39">
        <v>0.95395770000000002</v>
      </c>
      <c r="I39">
        <v>367.13310000000001</v>
      </c>
      <c r="J39">
        <v>-475.38290000000001</v>
      </c>
      <c r="K39">
        <v>1.1086560000000001</v>
      </c>
      <c r="L39">
        <v>367.2269</v>
      </c>
      <c r="M39">
        <v>0.99993460000000001</v>
      </c>
      <c r="N39">
        <v>0</v>
      </c>
      <c r="O39">
        <v>5.7556909999999899E-3</v>
      </c>
      <c r="P39">
        <v>0.99881059999999999</v>
      </c>
      <c r="Q39">
        <v>3.8036590000000002E-2</v>
      </c>
      <c r="R39">
        <v>-3.0511190000000001E-2</v>
      </c>
      <c r="S39">
        <v>3.0160830000000001</v>
      </c>
      <c r="T39">
        <v>-0.67438379999999998</v>
      </c>
      <c r="U39">
        <v>-0.40438839999999998</v>
      </c>
      <c r="V39">
        <v>3.6259880000000001E-2</v>
      </c>
      <c r="W39">
        <v>4.7906480000000001E-2</v>
      </c>
      <c r="X39">
        <v>0.99819340000000001</v>
      </c>
      <c r="Y39">
        <v>0.13517109999999999</v>
      </c>
      <c r="Z39">
        <v>-1.6129399999999999E-2</v>
      </c>
      <c r="AA39">
        <v>0.99069090000000004</v>
      </c>
      <c r="AB39">
        <v>4</v>
      </c>
      <c r="AC39">
        <v>0.64809999999999901</v>
      </c>
      <c r="AD39">
        <v>-0.15469829999999901</v>
      </c>
      <c r="AE39">
        <v>-9.3799999999987393E-2</v>
      </c>
      <c r="AF39">
        <v>9.2373841986797794E-2</v>
      </c>
      <c r="AG39">
        <v>-0.15469829999999901</v>
      </c>
      <c r="AH39">
        <v>0.61332206953508595</v>
      </c>
      <c r="AI39">
        <v>104.00480538609</v>
      </c>
      <c r="AJ39">
        <v>81.434927756705207</v>
      </c>
      <c r="AK39">
        <v>0.63924052725487701</v>
      </c>
      <c r="AL39">
        <v>87.254109710037099</v>
      </c>
      <c r="AM39">
        <v>87.919616566680006</v>
      </c>
      <c r="AN39">
        <v>0.99999993676358001</v>
      </c>
    </row>
    <row r="40" spans="1:40" x14ac:dyDescent="0.25">
      <c r="A40" t="str">
        <f>"20190312164437447"</f>
        <v>20190312164437447</v>
      </c>
      <c r="B40" t="str">
        <f>"1552380277441868"</f>
        <v>1552380277441868</v>
      </c>
      <c r="C40" t="s">
        <v>40</v>
      </c>
      <c r="D40">
        <v>5.9732900000000004</v>
      </c>
      <c r="E40">
        <v>0.54089109999999996</v>
      </c>
      <c r="F40" t="s">
        <v>41</v>
      </c>
      <c r="G40">
        <v>-474.69159999999999</v>
      </c>
      <c r="H40">
        <v>0.9547466</v>
      </c>
      <c r="I40">
        <v>367.13420000000002</v>
      </c>
      <c r="J40">
        <v>-475.33359999999999</v>
      </c>
      <c r="K40">
        <v>1.1082350000000001</v>
      </c>
      <c r="L40">
        <v>367.22739999999999</v>
      </c>
      <c r="M40">
        <v>0.99994660000000002</v>
      </c>
      <c r="N40">
        <v>0</v>
      </c>
      <c r="O40">
        <v>5.9760119999999898E-3</v>
      </c>
      <c r="P40">
        <v>0.99875049999999999</v>
      </c>
      <c r="Q40">
        <v>3.9476209999999998E-2</v>
      </c>
      <c r="R40">
        <v>-3.0651749999999998E-2</v>
      </c>
      <c r="S40">
        <v>3.0168460000000001</v>
      </c>
      <c r="T40">
        <v>-0.67186389999999996</v>
      </c>
      <c r="U40">
        <v>-0.40228269999999999</v>
      </c>
      <c r="V40">
        <v>3.661756E-2</v>
      </c>
      <c r="W40">
        <v>4.7902189999999997E-2</v>
      </c>
      <c r="X40">
        <v>0.99818059999999997</v>
      </c>
      <c r="Y40">
        <v>0.1347092</v>
      </c>
      <c r="Z40">
        <v>-1.6065010000000001E-2</v>
      </c>
      <c r="AA40">
        <v>0.99075500000000005</v>
      </c>
      <c r="AB40">
        <v>4</v>
      </c>
      <c r="AC40">
        <v>0.64199999999999502</v>
      </c>
      <c r="AD40">
        <v>-0.1534884</v>
      </c>
      <c r="AE40">
        <v>-9.3199999999967503E-2</v>
      </c>
      <c r="AF40">
        <v>9.1891117765024399E-2</v>
      </c>
      <c r="AG40">
        <v>-0.1534884</v>
      </c>
      <c r="AH40">
        <v>0.60742843962825699</v>
      </c>
      <c r="AI40">
        <v>104.02777004100599</v>
      </c>
      <c r="AJ40">
        <v>81.3975836496478</v>
      </c>
      <c r="AK40">
        <v>0.63322348008257301</v>
      </c>
      <c r="AL40">
        <v>87.254355931870805</v>
      </c>
      <c r="AM40">
        <v>87.8990863281347</v>
      </c>
      <c r="AN40">
        <v>0.99999998786175404</v>
      </c>
    </row>
    <row r="41" spans="1:40" x14ac:dyDescent="0.25">
      <c r="A41" t="str">
        <f>"20190312164437470"</f>
        <v>20190312164437470</v>
      </c>
      <c r="B41" t="str">
        <f>"1552380277461386"</f>
        <v>1552380277461386</v>
      </c>
      <c r="C41" t="s">
        <v>40</v>
      </c>
      <c r="D41">
        <v>5.1940189999999999</v>
      </c>
      <c r="E41">
        <v>0.54079829999999995</v>
      </c>
      <c r="F41" t="s">
        <v>41</v>
      </c>
      <c r="G41">
        <v>-474.64580000000001</v>
      </c>
      <c r="H41">
        <v>0.95587719999999998</v>
      </c>
      <c r="I41">
        <v>367.13549999999998</v>
      </c>
      <c r="J41">
        <v>-475.28109999999998</v>
      </c>
      <c r="K41">
        <v>1.1080080000000001</v>
      </c>
      <c r="L41">
        <v>367.22800000000001</v>
      </c>
      <c r="M41">
        <v>0.99995369999999995</v>
      </c>
      <c r="N41">
        <v>0</v>
      </c>
      <c r="O41">
        <v>6.2304159999999999E-3</v>
      </c>
      <c r="P41">
        <v>0.99870590000000004</v>
      </c>
      <c r="Q41">
        <v>4.0642079999999997E-2</v>
      </c>
      <c r="R41">
        <v>-3.0581649999999998E-2</v>
      </c>
      <c r="S41">
        <v>3.0178219999999998</v>
      </c>
      <c r="T41">
        <v>-0.66855819999999999</v>
      </c>
      <c r="U41">
        <v>-0.4024353</v>
      </c>
      <c r="V41">
        <v>3.6798900000000002E-2</v>
      </c>
      <c r="W41">
        <v>4.7978399999999997E-2</v>
      </c>
      <c r="X41">
        <v>0.99817029999999995</v>
      </c>
      <c r="Y41">
        <v>0.13499059999999999</v>
      </c>
      <c r="Z41">
        <v>-1.6068869999999999E-2</v>
      </c>
      <c r="AA41">
        <v>0.99071659999999995</v>
      </c>
      <c r="AB41">
        <v>5</v>
      </c>
      <c r="AC41">
        <v>0.635299999999972</v>
      </c>
      <c r="AD41">
        <v>-0.15213080000000001</v>
      </c>
      <c r="AE41">
        <v>-9.2500000000029503E-2</v>
      </c>
      <c r="AF41">
        <v>9.1328222906512796E-2</v>
      </c>
      <c r="AG41">
        <v>-0.15213080000000001</v>
      </c>
      <c r="AH41">
        <v>0.60096584628676297</v>
      </c>
      <c r="AI41">
        <v>104.050823174493</v>
      </c>
      <c r="AJ41">
        <v>81.358929367227603</v>
      </c>
      <c r="AK41">
        <v>0.62661357550811703</v>
      </c>
      <c r="AL41">
        <v>87.249984473872104</v>
      </c>
      <c r="AM41">
        <v>87.888669665000805</v>
      </c>
      <c r="AN41">
        <v>1.0000000168549299</v>
      </c>
    </row>
    <row r="42" spans="1:40" x14ac:dyDescent="0.25">
      <c r="A42" t="str">
        <f>"20190312164437494"</f>
        <v>20190312164437494</v>
      </c>
      <c r="B42" t="str">
        <f>"1552380277481882"</f>
        <v>1552380277481882</v>
      </c>
      <c r="C42" t="s">
        <v>40</v>
      </c>
      <c r="D42">
        <v>5.3535620000000002</v>
      </c>
      <c r="E42">
        <v>0.54087390000000002</v>
      </c>
      <c r="F42" t="s">
        <v>41</v>
      </c>
      <c r="G42">
        <v>-474.5591</v>
      </c>
      <c r="H42">
        <v>0.94833239999999996</v>
      </c>
      <c r="I42">
        <v>367.13170000000002</v>
      </c>
      <c r="J42">
        <v>-475.22969999999998</v>
      </c>
      <c r="K42">
        <v>1.1083809999999901</v>
      </c>
      <c r="L42">
        <v>367.2285</v>
      </c>
      <c r="M42">
        <v>0.99994369999999999</v>
      </c>
      <c r="N42">
        <v>0</v>
      </c>
      <c r="O42">
        <v>6.4318800000000001E-3</v>
      </c>
      <c r="P42">
        <v>0.9987336</v>
      </c>
      <c r="Q42">
        <v>3.9866730000000003E-2</v>
      </c>
      <c r="R42">
        <v>-3.069098E-2</v>
      </c>
      <c r="S42">
        <v>3.0187379999999999</v>
      </c>
      <c r="T42">
        <v>-0.66766759999999903</v>
      </c>
      <c r="U42">
        <v>-0.40164179999999999</v>
      </c>
      <c r="V42">
        <v>3.7110949999999997E-2</v>
      </c>
      <c r="W42">
        <v>4.8296560000000002E-2</v>
      </c>
      <c r="X42">
        <v>0.99814340000000001</v>
      </c>
      <c r="Y42">
        <v>0.13490289999999999</v>
      </c>
      <c r="Z42">
        <v>-1.6077839999999999E-2</v>
      </c>
      <c r="AA42">
        <v>0.99072839999999995</v>
      </c>
      <c r="AB42">
        <v>5</v>
      </c>
      <c r="AC42">
        <v>0.67059999999997899</v>
      </c>
      <c r="AD42">
        <v>-0.16004859999999899</v>
      </c>
      <c r="AE42">
        <v>-9.6799999999973296E-2</v>
      </c>
      <c r="AF42">
        <v>9.5767700836591502E-2</v>
      </c>
      <c r="AG42">
        <v>-0.16004859999999899</v>
      </c>
      <c r="AH42">
        <v>0.63455637142989996</v>
      </c>
      <c r="AI42">
        <v>104.003720444449</v>
      </c>
      <c r="AJ42">
        <v>81.417649153188705</v>
      </c>
      <c r="AK42">
        <v>0.66139911960008602</v>
      </c>
      <c r="AL42">
        <v>87.231734082676098</v>
      </c>
      <c r="AM42">
        <v>87.870724931896305</v>
      </c>
      <c r="AN42">
        <v>1.00000001364064</v>
      </c>
    </row>
    <row r="43" spans="1:40" x14ac:dyDescent="0.25">
      <c r="A43" t="str">
        <f>"20190312164437515"</f>
        <v>20190312164437515</v>
      </c>
      <c r="B43" t="str">
        <f>"1552380277512139"</f>
        <v>1552380277512139</v>
      </c>
      <c r="C43" t="s">
        <v>40</v>
      </c>
      <c r="D43">
        <v>5.1926139999999998</v>
      </c>
      <c r="E43">
        <v>0.54070280000000004</v>
      </c>
      <c r="F43" t="s">
        <v>41</v>
      </c>
      <c r="G43">
        <v>-474.51870000000002</v>
      </c>
      <c r="H43">
        <v>0.95010399999999995</v>
      </c>
      <c r="I43">
        <v>367.13330000000002</v>
      </c>
      <c r="J43">
        <v>-475.18680000000001</v>
      </c>
      <c r="K43">
        <v>1.1087260000000001</v>
      </c>
      <c r="L43">
        <v>367.22899999999998</v>
      </c>
      <c r="M43">
        <v>0.99993149999999997</v>
      </c>
      <c r="N43">
        <v>0</v>
      </c>
      <c r="O43">
        <v>6.578614E-3</v>
      </c>
      <c r="P43">
        <v>0.99877099999999996</v>
      </c>
      <c r="Q43">
        <v>3.8999770000000003E-2</v>
      </c>
      <c r="R43">
        <v>-3.0594039999999999E-2</v>
      </c>
      <c r="S43">
        <v>3.0183110000000002</v>
      </c>
      <c r="T43">
        <v>-0.67200930000000003</v>
      </c>
      <c r="U43">
        <v>-0.40231319999999998</v>
      </c>
      <c r="V43">
        <v>3.7162779999999999E-2</v>
      </c>
      <c r="W43">
        <v>4.8675200000000002E-2</v>
      </c>
      <c r="X43">
        <v>0.99812299999999998</v>
      </c>
      <c r="Y43">
        <v>0.13522770000000001</v>
      </c>
      <c r="Z43">
        <v>-1.6249639999999999E-2</v>
      </c>
      <c r="AA43">
        <v>0.99068129999999999</v>
      </c>
      <c r="AB43">
        <v>5</v>
      </c>
      <c r="AC43">
        <v>0.66809999999998104</v>
      </c>
      <c r="AD43">
        <v>-0.15862200000000001</v>
      </c>
      <c r="AE43">
        <v>-9.5700000000022101E-2</v>
      </c>
      <c r="AF43">
        <v>9.4853943725571294E-2</v>
      </c>
      <c r="AG43">
        <v>-0.15862200000000001</v>
      </c>
      <c r="AH43">
        <v>0.63251809730418995</v>
      </c>
      <c r="AI43">
        <v>103.928635386297</v>
      </c>
      <c r="AJ43">
        <v>81.471340271079796</v>
      </c>
      <c r="AK43">
        <v>0.65896688303859896</v>
      </c>
      <c r="AL43">
        <v>87.210013844315199</v>
      </c>
      <c r="AM43">
        <v>87.867710341335197</v>
      </c>
      <c r="AN43">
        <v>0.99999993522068198</v>
      </c>
    </row>
    <row r="44" spans="1:40" x14ac:dyDescent="0.25">
      <c r="A44" t="str">
        <f>"20190312164437536"</f>
        <v>20190312164437536</v>
      </c>
      <c r="B44" t="str">
        <f>"1552380277532165"</f>
        <v>1552380277532165</v>
      </c>
      <c r="C44" t="s">
        <v>40</v>
      </c>
      <c r="D44">
        <v>5.1950279999999998</v>
      </c>
      <c r="E44">
        <v>0.5406801</v>
      </c>
      <c r="F44" t="s">
        <v>41</v>
      </c>
      <c r="G44">
        <v>-474.47649999999999</v>
      </c>
      <c r="H44">
        <v>0.94910609999999995</v>
      </c>
      <c r="I44">
        <v>367.13470000000001</v>
      </c>
      <c r="J44">
        <v>-475.14120000000003</v>
      </c>
      <c r="K44">
        <v>1.108606</v>
      </c>
      <c r="L44">
        <v>367.22949999999997</v>
      </c>
      <c r="M44">
        <v>0.99993330000000002</v>
      </c>
      <c r="N44">
        <v>0</v>
      </c>
      <c r="O44">
        <v>6.7439500000000003E-3</v>
      </c>
      <c r="P44">
        <v>0.99874399999999997</v>
      </c>
      <c r="Q44">
        <v>3.974163E-2</v>
      </c>
      <c r="R44">
        <v>-3.051852E-2</v>
      </c>
      <c r="S44">
        <v>3.0178530000000001</v>
      </c>
      <c r="T44">
        <v>-0.67826339999999996</v>
      </c>
      <c r="U44">
        <v>-0.40026859999999997</v>
      </c>
      <c r="V44">
        <v>3.7251939999999997E-2</v>
      </c>
      <c r="W44">
        <v>4.910813E-2</v>
      </c>
      <c r="X44">
        <v>0.99809859999999995</v>
      </c>
      <c r="Y44">
        <v>0.13469610000000001</v>
      </c>
      <c r="Z44">
        <v>-1.6378159999999999E-2</v>
      </c>
      <c r="AA44">
        <v>0.99075159999999995</v>
      </c>
      <c r="AB44">
        <v>4</v>
      </c>
      <c r="AC44">
        <v>0.66470000000003804</v>
      </c>
      <c r="AD44">
        <v>-0.1594999</v>
      </c>
      <c r="AE44">
        <v>-9.4799999999963802E-2</v>
      </c>
      <c r="AF44">
        <v>9.3977424849379598E-2</v>
      </c>
      <c r="AG44">
        <v>-0.1594999</v>
      </c>
      <c r="AH44">
        <v>0.62857393927244198</v>
      </c>
      <c r="AI44">
        <v>104.08797266842799</v>
      </c>
      <c r="AJ44">
        <v>81.496752781883899</v>
      </c>
      <c r="AK44">
        <v>0.65526877814665196</v>
      </c>
      <c r="AL44">
        <v>87.185179447187807</v>
      </c>
      <c r="AM44">
        <v>87.862547141740905</v>
      </c>
      <c r="AN44">
        <v>1.0000000653939001</v>
      </c>
    </row>
    <row r="45" spans="1:40" x14ac:dyDescent="0.25">
      <c r="A45" t="str">
        <f>"20190312164437559"</f>
        <v>20190312164437559</v>
      </c>
      <c r="B45" t="str">
        <f>"1552380277551686"</f>
        <v>1552380277551686</v>
      </c>
      <c r="C45" t="s">
        <v>40</v>
      </c>
      <c r="D45">
        <v>6.380274</v>
      </c>
      <c r="E45">
        <v>0.54068359999999904</v>
      </c>
      <c r="F45" t="s">
        <v>41</v>
      </c>
      <c r="G45">
        <v>-474.42910000000001</v>
      </c>
      <c r="H45">
        <v>0.94949170000000005</v>
      </c>
      <c r="I45">
        <v>367.13440000000003</v>
      </c>
      <c r="J45">
        <v>-475.084</v>
      </c>
      <c r="K45">
        <v>1.1082069999999999</v>
      </c>
      <c r="L45">
        <v>367.23009999999999</v>
      </c>
      <c r="M45">
        <v>0.99994439999999996</v>
      </c>
      <c r="N45">
        <v>0</v>
      </c>
      <c r="O45">
        <v>6.9833780000000002E-3</v>
      </c>
      <c r="P45">
        <v>0.99864470000000005</v>
      </c>
      <c r="Q45">
        <v>4.2154860000000002E-2</v>
      </c>
      <c r="R45">
        <v>-3.053194E-2</v>
      </c>
      <c r="S45">
        <v>3.018402</v>
      </c>
      <c r="T45">
        <v>-0.674907699999999</v>
      </c>
      <c r="U45">
        <v>-0.40042109999999997</v>
      </c>
      <c r="V45">
        <v>3.7502290000000001E-2</v>
      </c>
      <c r="W45">
        <v>5.0066819999999998E-2</v>
      </c>
      <c r="X45">
        <v>0.99804150000000003</v>
      </c>
      <c r="Y45">
        <v>0.1349812</v>
      </c>
      <c r="Z45">
        <v>-1.6380140000000001E-2</v>
      </c>
      <c r="AA45">
        <v>0.99071279999999995</v>
      </c>
      <c r="AB45">
        <v>5</v>
      </c>
      <c r="AC45">
        <v>0.65489999999999704</v>
      </c>
      <c r="AD45">
        <v>-0.158715299999999</v>
      </c>
      <c r="AE45">
        <v>-9.5699999999965202E-2</v>
      </c>
      <c r="AF45">
        <v>9.4818606317036397E-2</v>
      </c>
      <c r="AG45">
        <v>-0.158715299999999</v>
      </c>
      <c r="AH45">
        <v>0.61864031203541903</v>
      </c>
      <c r="AI45">
        <v>104.229870802265</v>
      </c>
      <c r="AJ45">
        <v>81.286124126936798</v>
      </c>
      <c r="AK45">
        <v>0.64567557661202801</v>
      </c>
      <c r="AL45">
        <v>87.130182631864898</v>
      </c>
      <c r="AM45">
        <v>87.848072950180395</v>
      </c>
      <c r="AN45">
        <v>0.99999997197120205</v>
      </c>
    </row>
    <row r="46" spans="1:40" x14ac:dyDescent="0.25">
      <c r="A46" t="str">
        <f>"20190312164437580"</f>
        <v>20190312164437580</v>
      </c>
      <c r="B46" t="str">
        <f>"1552380277572183"</f>
        <v>1552380277572183</v>
      </c>
      <c r="C46" t="s">
        <v>40</v>
      </c>
      <c r="D46">
        <v>5.2875110000000003</v>
      </c>
      <c r="E46">
        <v>0.54067719999999997</v>
      </c>
      <c r="F46" t="s">
        <v>41</v>
      </c>
      <c r="G46">
        <v>-474.3777</v>
      </c>
      <c r="H46">
        <v>0.95229450000000004</v>
      </c>
      <c r="I46">
        <v>367.13630000000001</v>
      </c>
      <c r="J46">
        <v>-475.02780000000001</v>
      </c>
      <c r="K46">
        <v>1.107928</v>
      </c>
      <c r="L46">
        <v>367.23079999999999</v>
      </c>
      <c r="M46">
        <v>0.99995179999999995</v>
      </c>
      <c r="N46">
        <v>0</v>
      </c>
      <c r="O46">
        <v>7.2420549999999998E-3</v>
      </c>
      <c r="P46">
        <v>0.99860510000000002</v>
      </c>
      <c r="Q46">
        <v>4.3267E-2</v>
      </c>
      <c r="R46">
        <v>-3.0262589999999999E-2</v>
      </c>
      <c r="S46">
        <v>3.0200200000000001</v>
      </c>
      <c r="T46">
        <v>-0.66679659999999996</v>
      </c>
      <c r="U46">
        <v>-0.40042109999999997</v>
      </c>
      <c r="V46">
        <v>3.7489269999999998E-2</v>
      </c>
      <c r="W46">
        <v>4.9886319999999998E-2</v>
      </c>
      <c r="X46">
        <v>0.99805100000000002</v>
      </c>
      <c r="Y46">
        <v>0.13524069999999999</v>
      </c>
      <c r="Z46">
        <v>-1.6263880000000001E-2</v>
      </c>
      <c r="AA46">
        <v>0.99067930000000004</v>
      </c>
      <c r="AB46">
        <v>5</v>
      </c>
      <c r="AC46">
        <v>0.650100000000009</v>
      </c>
      <c r="AD46">
        <v>-0.15563350000000001</v>
      </c>
      <c r="AE46">
        <v>-9.4499999999982195E-2</v>
      </c>
      <c r="AF46">
        <v>9.3933562363813394E-2</v>
      </c>
      <c r="AG46">
        <v>-0.15563350000000001</v>
      </c>
      <c r="AH46">
        <v>0.61488734456479999</v>
      </c>
      <c r="AI46">
        <v>104.047364279519</v>
      </c>
      <c r="AJ46">
        <v>81.314333775127395</v>
      </c>
      <c r="AK46">
        <v>0.64119556062605199</v>
      </c>
      <c r="AL46">
        <v>87.140537381087</v>
      </c>
      <c r="AM46">
        <v>87.848839808494006</v>
      </c>
      <c r="AN46">
        <v>0.99999994444463602</v>
      </c>
    </row>
    <row r="47" spans="1:40" x14ac:dyDescent="0.25">
      <c r="A47" t="str">
        <f>"20190312164437603"</f>
        <v>20190312164437603</v>
      </c>
      <c r="B47" t="str">
        <f>"1552380277591705"</f>
        <v>1552380277591705</v>
      </c>
      <c r="C47" t="s">
        <v>40</v>
      </c>
      <c r="D47">
        <v>5.7783569999999997</v>
      </c>
      <c r="E47">
        <v>0.54063030000000001</v>
      </c>
      <c r="F47" t="s">
        <v>41</v>
      </c>
      <c r="G47">
        <v>-474.32510000000002</v>
      </c>
      <c r="H47">
        <v>0.95373180000000002</v>
      </c>
      <c r="I47">
        <v>367.13729999999998</v>
      </c>
      <c r="J47">
        <v>-474.97340000000003</v>
      </c>
      <c r="K47">
        <v>1.108085</v>
      </c>
      <c r="L47">
        <v>367.23140000000001</v>
      </c>
      <c r="M47">
        <v>0.99994859999999997</v>
      </c>
      <c r="N47">
        <v>0</v>
      </c>
      <c r="O47">
        <v>7.4755580000000002E-3</v>
      </c>
      <c r="P47">
        <v>0.99863170000000001</v>
      </c>
      <c r="Q47">
        <v>4.2828610000000003E-2</v>
      </c>
      <c r="R47">
        <v>-3.0008369999999999E-2</v>
      </c>
      <c r="S47">
        <v>3.0208439999999999</v>
      </c>
      <c r="T47">
        <v>-0.66334139999999997</v>
      </c>
      <c r="U47">
        <v>-0.39895629999999999</v>
      </c>
      <c r="V47">
        <v>3.7468769999999998E-2</v>
      </c>
      <c r="W47">
        <v>4.9682009999999999E-2</v>
      </c>
      <c r="X47">
        <v>0.998062</v>
      </c>
      <c r="Y47">
        <v>0.135000799999999</v>
      </c>
      <c r="Z47">
        <v>-1.6202319999999999E-2</v>
      </c>
      <c r="AA47">
        <v>0.99071299999999995</v>
      </c>
      <c r="AB47">
        <v>6</v>
      </c>
      <c r="AC47">
        <v>0.64830000000000598</v>
      </c>
      <c r="AD47">
        <v>-0.154353199999999</v>
      </c>
      <c r="AE47">
        <v>-9.4100000000025802E-2</v>
      </c>
      <c r="AF47">
        <v>9.3739756402115307E-2</v>
      </c>
      <c r="AG47">
        <v>-0.154353199999999</v>
      </c>
      <c r="AH47">
        <v>0.61351786428720401</v>
      </c>
      <c r="AI47">
        <v>103.966168758401</v>
      </c>
      <c r="AJ47">
        <v>81.312928082688799</v>
      </c>
      <c r="AK47">
        <v>0.63954376087966003</v>
      </c>
      <c r="AL47">
        <v>87.152258126928402</v>
      </c>
      <c r="AM47">
        <v>87.850038681959106</v>
      </c>
      <c r="AN47">
        <v>0.99999998334347595</v>
      </c>
    </row>
    <row r="48" spans="1:40" x14ac:dyDescent="0.25">
      <c r="A48" t="str">
        <f>"20190312164437624"</f>
        <v>20190312164437624</v>
      </c>
      <c r="B48" t="str">
        <f>"1552380277621489"</f>
        <v>1552380277621489</v>
      </c>
      <c r="C48" t="s">
        <v>40</v>
      </c>
      <c r="D48">
        <v>6.4792399999999999</v>
      </c>
      <c r="E48">
        <v>0.540556699999999</v>
      </c>
      <c r="F48" t="s">
        <v>41</v>
      </c>
      <c r="G48">
        <v>-474.27679999999998</v>
      </c>
      <c r="H48">
        <v>0.95502719999999997</v>
      </c>
      <c r="I48">
        <v>367.1395</v>
      </c>
      <c r="J48">
        <v>-474.92630000000003</v>
      </c>
      <c r="K48">
        <v>1.1085739999999999</v>
      </c>
      <c r="L48">
        <v>367.23200000000003</v>
      </c>
      <c r="M48">
        <v>0.99993500000000002</v>
      </c>
      <c r="N48">
        <v>0</v>
      </c>
      <c r="O48">
        <v>7.6485479999999998E-3</v>
      </c>
      <c r="P48">
        <v>0.99873409999999996</v>
      </c>
      <c r="Q48">
        <v>4.0842650000000001E-2</v>
      </c>
      <c r="R48">
        <v>-2.9362739999999998E-2</v>
      </c>
      <c r="S48">
        <v>3.0205989999999998</v>
      </c>
      <c r="T48">
        <v>-0.66367410000000004</v>
      </c>
      <c r="U48">
        <v>-0.39797969999999999</v>
      </c>
      <c r="V48">
        <v>3.6999079999999997E-2</v>
      </c>
      <c r="W48">
        <v>4.9305300000000003E-2</v>
      </c>
      <c r="X48">
        <v>0.99809820000000005</v>
      </c>
      <c r="Y48">
        <v>0.13486289999999901</v>
      </c>
      <c r="Z48">
        <v>-1.6234390000000001E-2</v>
      </c>
      <c r="AA48">
        <v>0.99073120000000003</v>
      </c>
      <c r="AB48">
        <v>6</v>
      </c>
      <c r="AC48">
        <v>0.64950000000004504</v>
      </c>
      <c r="AD48">
        <v>-0.15354680000000001</v>
      </c>
      <c r="AE48">
        <v>-9.2499999999972701E-2</v>
      </c>
      <c r="AF48">
        <v>9.2403561599203293E-2</v>
      </c>
      <c r="AG48">
        <v>-0.15354680000000001</v>
      </c>
      <c r="AH48">
        <v>0.61508085333240203</v>
      </c>
      <c r="AI48">
        <v>103.86714646650999</v>
      </c>
      <c r="AJ48">
        <v>81.4563499649731</v>
      </c>
      <c r="AK48">
        <v>0.64065551907602702</v>
      </c>
      <c r="AL48">
        <v>87.173868497859303</v>
      </c>
      <c r="AM48">
        <v>87.877041646858302</v>
      </c>
      <c r="AN48">
        <v>0.99999998068608797</v>
      </c>
    </row>
    <row r="49" spans="1:40" x14ac:dyDescent="0.25">
      <c r="A49" t="str">
        <f>"20190312164437648"</f>
        <v>20190312164437648</v>
      </c>
      <c r="B49" t="str">
        <f>"1552380277641985"</f>
        <v>1552380277641985</v>
      </c>
      <c r="C49" t="s">
        <v>40</v>
      </c>
      <c r="D49">
        <v>5.2972190000000001</v>
      </c>
      <c r="E49">
        <v>0.54050109999999996</v>
      </c>
      <c r="F49" t="s">
        <v>41</v>
      </c>
      <c r="G49">
        <v>-474.23250000000002</v>
      </c>
      <c r="H49">
        <v>0.95515559999999999</v>
      </c>
      <c r="I49">
        <v>367.14049999999997</v>
      </c>
      <c r="J49">
        <v>-474.8766</v>
      </c>
      <c r="K49">
        <v>1.109148</v>
      </c>
      <c r="L49">
        <v>367.23259999999999</v>
      </c>
      <c r="M49">
        <v>0.9999112</v>
      </c>
      <c r="N49">
        <v>0</v>
      </c>
      <c r="O49">
        <v>7.8009389999999998E-3</v>
      </c>
      <c r="P49">
        <v>0.99883460000000002</v>
      </c>
      <c r="Q49">
        <v>3.8276440000000002E-2</v>
      </c>
      <c r="R49">
        <v>-2.939984E-2</v>
      </c>
      <c r="S49">
        <v>3.019501</v>
      </c>
      <c r="T49">
        <v>-0.66819600000000001</v>
      </c>
      <c r="U49">
        <v>-0.39544679999999999</v>
      </c>
      <c r="V49">
        <v>3.7192910000000003E-2</v>
      </c>
      <c r="W49">
        <v>4.9067640000000003E-2</v>
      </c>
      <c r="X49">
        <v>0.99810270000000001</v>
      </c>
      <c r="Y49">
        <v>0.13420760000000001</v>
      </c>
      <c r="Z49">
        <v>-1.631092E-2</v>
      </c>
      <c r="AA49">
        <v>0.99081900000000001</v>
      </c>
      <c r="AB49">
        <v>5</v>
      </c>
      <c r="AC49">
        <v>0.64409999999998002</v>
      </c>
      <c r="AD49">
        <v>-0.153992399999999</v>
      </c>
      <c r="AE49">
        <v>-9.2100000000016197E-2</v>
      </c>
      <c r="AF49">
        <v>9.1970383730126795E-2</v>
      </c>
      <c r="AG49">
        <v>-0.153992399999999</v>
      </c>
      <c r="AH49">
        <v>0.60923574515425505</v>
      </c>
      <c r="AI49">
        <v>104.03254614859701</v>
      </c>
      <c r="AJ49">
        <v>81.415434076872501</v>
      </c>
      <c r="AK49">
        <v>0.63509086272350601</v>
      </c>
      <c r="AL49">
        <v>87.187501892621995</v>
      </c>
      <c r="AM49">
        <v>87.865939806609902</v>
      </c>
      <c r="AN49">
        <v>0.99999997279836295</v>
      </c>
    </row>
    <row r="50" spans="1:40" x14ac:dyDescent="0.25">
      <c r="A50" t="str">
        <f>"20190312164437671"</f>
        <v>20190312164437671</v>
      </c>
      <c r="B50" t="str">
        <f>"1552380277661506"</f>
        <v>1552380277661506</v>
      </c>
      <c r="C50" t="s">
        <v>40</v>
      </c>
      <c r="D50">
        <v>5.7232859999999999</v>
      </c>
      <c r="E50">
        <v>0.54045580000000004</v>
      </c>
      <c r="F50" t="s">
        <v>41</v>
      </c>
      <c r="G50">
        <v>-474.19130000000001</v>
      </c>
      <c r="H50">
        <v>0.95547269999999895</v>
      </c>
      <c r="I50">
        <v>367.14240000000001</v>
      </c>
      <c r="J50">
        <v>-474.82619999999997</v>
      </c>
      <c r="K50">
        <v>1.109075</v>
      </c>
      <c r="L50">
        <v>367.23320000000001</v>
      </c>
      <c r="M50">
        <v>0.99990789999999996</v>
      </c>
      <c r="N50">
        <v>0</v>
      </c>
      <c r="O50">
        <v>7.9543059999999995E-3</v>
      </c>
      <c r="P50">
        <v>0.99887800000000004</v>
      </c>
      <c r="Q50">
        <v>3.7358679999999998E-2</v>
      </c>
      <c r="R50">
        <v>-2.911439E-2</v>
      </c>
      <c r="S50">
        <v>3.0178219999999998</v>
      </c>
      <c r="T50">
        <v>-0.67689350000000004</v>
      </c>
      <c r="U50">
        <v>-0.39495849999999999</v>
      </c>
      <c r="V50">
        <v>3.7060360000000001E-2</v>
      </c>
      <c r="W50">
        <v>4.8351810000000002E-2</v>
      </c>
      <c r="X50">
        <v>0.99814259999999999</v>
      </c>
      <c r="Y50">
        <v>0.13417850000000001</v>
      </c>
      <c r="Z50">
        <v>-1.6557889999999999E-2</v>
      </c>
      <c r="AA50">
        <v>0.99081889999999995</v>
      </c>
      <c r="AB50">
        <v>5</v>
      </c>
      <c r="AC50">
        <v>0.63489999999995905</v>
      </c>
      <c r="AD50">
        <v>-0.1536023</v>
      </c>
      <c r="AE50">
        <v>-9.0800000000001505E-2</v>
      </c>
      <c r="AF50">
        <v>9.0648246788329903E-2</v>
      </c>
      <c r="AG50">
        <v>-0.1536023</v>
      </c>
      <c r="AH50">
        <v>0.59975694107633903</v>
      </c>
      <c r="AI50">
        <v>104.210372192197</v>
      </c>
      <c r="AJ50">
        <v>81.405273423070994</v>
      </c>
      <c r="AK50">
        <v>0.62571491877718199</v>
      </c>
      <c r="AL50">
        <v>87.228564775007001</v>
      </c>
      <c r="AM50">
        <v>87.873623210889605</v>
      </c>
      <c r="AN50">
        <v>1.0000000088741801</v>
      </c>
    </row>
    <row r="51" spans="1:40" x14ac:dyDescent="0.25">
      <c r="A51" t="str">
        <f>"20190312164437695"</f>
        <v>20190312164437695</v>
      </c>
      <c r="B51" t="str">
        <f>"1552380277691763"</f>
        <v>1552380277691763</v>
      </c>
      <c r="C51" t="s">
        <v>40</v>
      </c>
      <c r="D51">
        <v>5.2127860000000004</v>
      </c>
      <c r="E51">
        <v>0.54047719999999999</v>
      </c>
      <c r="F51" t="s">
        <v>41</v>
      </c>
      <c r="G51">
        <v>-474.10219999999998</v>
      </c>
      <c r="H51">
        <v>0.94609140000000003</v>
      </c>
      <c r="I51">
        <v>367.1386</v>
      </c>
      <c r="J51">
        <v>-474.76679999999999</v>
      </c>
      <c r="K51">
        <v>1.108587</v>
      </c>
      <c r="L51">
        <v>367.23390000000001</v>
      </c>
      <c r="M51">
        <v>0.99992099999999995</v>
      </c>
      <c r="N51">
        <v>0</v>
      </c>
      <c r="O51">
        <v>8.1800999999999992E-3</v>
      </c>
      <c r="P51">
        <v>0.9988435</v>
      </c>
      <c r="Q51">
        <v>3.8434210000000003E-2</v>
      </c>
      <c r="R51">
        <v>-2.888686E-2</v>
      </c>
      <c r="S51">
        <v>3.0172729999999999</v>
      </c>
      <c r="T51">
        <v>-0.67932320000000002</v>
      </c>
      <c r="U51">
        <v>-0.3936462</v>
      </c>
      <c r="V51">
        <v>3.7055869999999998E-2</v>
      </c>
      <c r="W51">
        <v>4.7968400000000001E-2</v>
      </c>
      <c r="X51">
        <v>0.99816130000000003</v>
      </c>
      <c r="Y51">
        <v>0.13397479999999901</v>
      </c>
      <c r="Z51">
        <v>-1.6646709999999999E-2</v>
      </c>
      <c r="AA51">
        <v>0.99084490000000003</v>
      </c>
      <c r="AB51">
        <v>5</v>
      </c>
      <c r="AC51">
        <v>0.66460000000000696</v>
      </c>
      <c r="AD51">
        <v>-0.16249559999999899</v>
      </c>
      <c r="AE51">
        <v>-9.5300000000008794E-2</v>
      </c>
      <c r="AF51">
        <v>9.5159449242628702E-2</v>
      </c>
      <c r="AG51">
        <v>-0.16249559999999899</v>
      </c>
      <c r="AH51">
        <v>0.62706680704287598</v>
      </c>
      <c r="AI51">
        <v>104.370238909162</v>
      </c>
      <c r="AJ51">
        <v>81.371014316318906</v>
      </c>
      <c r="AK51">
        <v>0.65473118246687101</v>
      </c>
      <c r="AL51">
        <v>87.250558163665005</v>
      </c>
      <c r="AM51">
        <v>87.873920387996904</v>
      </c>
      <c r="AN51">
        <v>1.00000004285885</v>
      </c>
    </row>
    <row r="52" spans="1:40" x14ac:dyDescent="0.25">
      <c r="A52" t="str">
        <f>"20190312164437718"</f>
        <v>20190312164437718</v>
      </c>
      <c r="B52" t="str">
        <f>"1552380277711281"</f>
        <v>1552380277711281</v>
      </c>
      <c r="C52" t="s">
        <v>40</v>
      </c>
      <c r="D52">
        <v>5.1935760000000002</v>
      </c>
      <c r="E52">
        <v>0.54049269999999905</v>
      </c>
      <c r="F52" t="s">
        <v>41</v>
      </c>
      <c r="G52">
        <v>-474.0496</v>
      </c>
      <c r="H52">
        <v>0.94800150000000005</v>
      </c>
      <c r="I52">
        <v>367.14010000000002</v>
      </c>
      <c r="J52">
        <v>-474.70600000000002</v>
      </c>
      <c r="K52">
        <v>1.1082000000000001</v>
      </c>
      <c r="L52">
        <v>367.2346</v>
      </c>
      <c r="M52">
        <v>0.99993180000000004</v>
      </c>
      <c r="N52">
        <v>0</v>
      </c>
      <c r="O52">
        <v>8.4485489999999996E-3</v>
      </c>
      <c r="P52">
        <v>0.99882329999999997</v>
      </c>
      <c r="Q52">
        <v>3.9360579999999999E-2</v>
      </c>
      <c r="R52">
        <v>-2.8338200000000001E-2</v>
      </c>
      <c r="S52">
        <v>3.0181269999999998</v>
      </c>
      <c r="T52">
        <v>-0.67592929999999996</v>
      </c>
      <c r="U52">
        <v>-0.39291379999999998</v>
      </c>
      <c r="V52">
        <v>3.6772399999999997E-2</v>
      </c>
      <c r="W52">
        <v>4.7428280000000003E-2</v>
      </c>
      <c r="X52">
        <v>0.99819760000000002</v>
      </c>
      <c r="Y52">
        <v>0.13399739999999999</v>
      </c>
      <c r="Z52">
        <v>-1.662286E-2</v>
      </c>
      <c r="AA52">
        <v>0.99084229999999995</v>
      </c>
      <c r="AB52">
        <v>6</v>
      </c>
      <c r="AC52">
        <v>0.65639999999996201</v>
      </c>
      <c r="AD52">
        <v>-0.16019849999999999</v>
      </c>
      <c r="AE52">
        <v>-9.4499999999982195E-2</v>
      </c>
      <c r="AF52">
        <v>9.4526442560323498E-2</v>
      </c>
      <c r="AG52">
        <v>-0.16019849999999999</v>
      </c>
      <c r="AH52">
        <v>0.61943185524369604</v>
      </c>
      <c r="AI52">
        <v>104.341158006336</v>
      </c>
      <c r="AJ52">
        <v>81.323496093643499</v>
      </c>
      <c r="AK52">
        <v>0.64675701081318504</v>
      </c>
      <c r="AL52">
        <v>87.281540042262705</v>
      </c>
      <c r="AM52">
        <v>87.890246372950998</v>
      </c>
      <c r="AN52">
        <v>1.0000000498956301</v>
      </c>
    </row>
    <row r="53" spans="1:40" x14ac:dyDescent="0.25">
      <c r="A53" t="str">
        <f>"20190312164437738"</f>
        <v>20190312164437738</v>
      </c>
      <c r="B53" t="str">
        <f>"1552380277731311"</f>
        <v>1552380277731311</v>
      </c>
      <c r="C53" t="s">
        <v>40</v>
      </c>
      <c r="D53">
        <v>5.4023519999999996</v>
      </c>
      <c r="E53">
        <v>0.54049459999999905</v>
      </c>
      <c r="F53" t="s">
        <v>41</v>
      </c>
      <c r="G53">
        <v>-473.99540000000002</v>
      </c>
      <c r="H53">
        <v>0.94982370000000005</v>
      </c>
      <c r="I53">
        <v>367.14249999999998</v>
      </c>
      <c r="J53">
        <v>-474.65100000000001</v>
      </c>
      <c r="K53">
        <v>1.1080000000000001</v>
      </c>
      <c r="L53">
        <v>367.2353</v>
      </c>
      <c r="M53">
        <v>0.99993710000000002</v>
      </c>
      <c r="N53">
        <v>0</v>
      </c>
      <c r="O53">
        <v>8.7095130000000003E-3</v>
      </c>
      <c r="P53">
        <v>0.99879510000000005</v>
      </c>
      <c r="Q53">
        <v>4.0257830000000001E-2</v>
      </c>
      <c r="R53">
        <v>-2.8074310000000002E-2</v>
      </c>
      <c r="S53">
        <v>3.0189509999999999</v>
      </c>
      <c r="T53">
        <v>-0.67280289999999998</v>
      </c>
      <c r="U53">
        <v>-0.39086910000000002</v>
      </c>
      <c r="V53">
        <v>3.6766529999999999E-2</v>
      </c>
      <c r="W53">
        <v>4.7324449999999997E-2</v>
      </c>
      <c r="X53">
        <v>0.9982027</v>
      </c>
      <c r="Y53">
        <v>0.13359770000000001</v>
      </c>
      <c r="Z53">
        <v>-1.6557519999999999E-2</v>
      </c>
      <c r="AA53">
        <v>0.99089740000000004</v>
      </c>
      <c r="AB53">
        <v>6</v>
      </c>
      <c r="AC53">
        <v>0.65559999999999197</v>
      </c>
      <c r="AD53">
        <v>-0.15817629999999899</v>
      </c>
      <c r="AE53">
        <v>-9.2800000000011096E-2</v>
      </c>
      <c r="AF53">
        <v>9.3188537019021703E-2</v>
      </c>
      <c r="AG53">
        <v>-0.15817629999999899</v>
      </c>
      <c r="AH53">
        <v>0.61941818588852005</v>
      </c>
      <c r="AI53">
        <v>104.172105300694</v>
      </c>
      <c r="AJ53">
        <v>81.444285247977803</v>
      </c>
      <c r="AK53">
        <v>0.64605164988788699</v>
      </c>
      <c r="AL53">
        <v>87.287495630640706</v>
      </c>
      <c r="AM53">
        <v>87.890593617568399</v>
      </c>
      <c r="AN53">
        <v>1.00000000579166</v>
      </c>
    </row>
    <row r="54" spans="1:40" x14ac:dyDescent="0.25">
      <c r="A54" t="str">
        <f>"20190312164437760"</f>
        <v>20190312164437760</v>
      </c>
      <c r="B54" t="str">
        <f>"1552380277751806"</f>
        <v>1552380277751806</v>
      </c>
      <c r="C54" t="s">
        <v>40</v>
      </c>
      <c r="D54">
        <v>5.6489310000000001</v>
      </c>
      <c r="E54">
        <v>0.54047829999999997</v>
      </c>
      <c r="F54" t="s">
        <v>41</v>
      </c>
      <c r="G54">
        <v>-473.9402</v>
      </c>
      <c r="H54">
        <v>0.95040979999999997</v>
      </c>
      <c r="I54">
        <v>367.14319999999998</v>
      </c>
      <c r="J54">
        <v>-474.59010000000001</v>
      </c>
      <c r="K54">
        <v>1.107872</v>
      </c>
      <c r="L54">
        <v>367.23610000000002</v>
      </c>
      <c r="M54">
        <v>0.99994039999999995</v>
      </c>
      <c r="N54">
        <v>0</v>
      </c>
      <c r="O54">
        <v>9.0064359999999996E-3</v>
      </c>
      <c r="P54">
        <v>0.99876430000000005</v>
      </c>
      <c r="Q54">
        <v>4.1195210000000003E-2</v>
      </c>
      <c r="R54">
        <v>-2.780146E-2</v>
      </c>
      <c r="S54">
        <v>3.0196230000000002</v>
      </c>
      <c r="T54">
        <v>-0.6695989</v>
      </c>
      <c r="U54">
        <v>-0.38973999999999998</v>
      </c>
      <c r="V54">
        <v>3.6788040000000001E-2</v>
      </c>
      <c r="W54">
        <v>4.7366360000000003E-2</v>
      </c>
      <c r="X54">
        <v>0.99819990000000003</v>
      </c>
      <c r="Y54">
        <v>0.13352729999999999</v>
      </c>
      <c r="Z54">
        <v>-1.6534480000000001E-2</v>
      </c>
      <c r="AA54">
        <v>0.99090719999999999</v>
      </c>
      <c r="AB54">
        <v>6</v>
      </c>
      <c r="AC54">
        <v>0.64990000000000203</v>
      </c>
      <c r="AD54">
        <v>-0.1574622</v>
      </c>
      <c r="AE54">
        <v>-9.2900000000042796E-2</v>
      </c>
      <c r="AF54">
        <v>9.3377839477586294E-2</v>
      </c>
      <c r="AG54">
        <v>-0.1574622</v>
      </c>
      <c r="AH54">
        <v>0.61373058564989802</v>
      </c>
      <c r="AI54">
        <v>104.23272057242499</v>
      </c>
      <c r="AJ54">
        <v>81.348913121369705</v>
      </c>
      <c r="AK54">
        <v>0.64045218174076701</v>
      </c>
      <c r="AL54">
        <v>87.285091615321903</v>
      </c>
      <c r="AM54">
        <v>87.889354724917098</v>
      </c>
      <c r="AN54">
        <v>0.99999998615334995</v>
      </c>
    </row>
    <row r="55" spans="1:40" x14ac:dyDescent="0.25">
      <c r="A55" t="str">
        <f>"20190312164437783"</f>
        <v>20190312164437783</v>
      </c>
      <c r="B55" t="str">
        <f>"1552380277771329"</f>
        <v>1552380277771329</v>
      </c>
      <c r="C55" t="s">
        <v>40</v>
      </c>
      <c r="D55">
        <v>5.6492579999999997</v>
      </c>
      <c r="E55">
        <v>0.5404968</v>
      </c>
      <c r="F55" t="s">
        <v>41</v>
      </c>
      <c r="G55">
        <v>-473.88260000000002</v>
      </c>
      <c r="H55">
        <v>0.95189539999999995</v>
      </c>
      <c r="I55">
        <v>367.14479999999998</v>
      </c>
      <c r="J55">
        <v>-474.52730000000003</v>
      </c>
      <c r="K55">
        <v>1.108055</v>
      </c>
      <c r="L55">
        <v>367.23700000000002</v>
      </c>
      <c r="M55">
        <v>0.9999363</v>
      </c>
      <c r="N55">
        <v>0</v>
      </c>
      <c r="O55">
        <v>9.2832569999999996E-3</v>
      </c>
      <c r="P55">
        <v>0.99879549999999995</v>
      </c>
      <c r="Q55">
        <v>4.0827410000000001E-2</v>
      </c>
      <c r="R55">
        <v>-2.721701E-2</v>
      </c>
      <c r="S55">
        <v>3.0203250000000001</v>
      </c>
      <c r="T55">
        <v>-0.66600009999999998</v>
      </c>
      <c r="U55">
        <v>-0.38885500000000001</v>
      </c>
      <c r="V55">
        <v>3.6480560000000002E-2</v>
      </c>
      <c r="W55">
        <v>4.7238710000000003E-2</v>
      </c>
      <c r="X55">
        <v>0.99821720000000003</v>
      </c>
      <c r="Y55">
        <v>0.13351789999999999</v>
      </c>
      <c r="Z55">
        <v>-1.6503339999999998E-2</v>
      </c>
      <c r="AA55">
        <v>0.99090900000000004</v>
      </c>
      <c r="AB55">
        <v>6</v>
      </c>
      <c r="AC55">
        <v>0.64470000000000005</v>
      </c>
      <c r="AD55">
        <v>-0.15615960000000001</v>
      </c>
      <c r="AE55">
        <v>-9.2199999999991095E-2</v>
      </c>
      <c r="AF55">
        <v>9.2843064363550304E-2</v>
      </c>
      <c r="AG55">
        <v>-0.15615960000000001</v>
      </c>
      <c r="AH55">
        <v>0.60881266784717503</v>
      </c>
      <c r="AI55">
        <v>104.228438648089</v>
      </c>
      <c r="AJ55">
        <v>81.329278330386401</v>
      </c>
      <c r="AK55">
        <v>0.63534126247534795</v>
      </c>
      <c r="AL55">
        <v>87.292413527165493</v>
      </c>
      <c r="AM55">
        <v>87.907016302957999</v>
      </c>
      <c r="AN55">
        <v>0.99999995267810704</v>
      </c>
    </row>
    <row r="56" spans="1:40" x14ac:dyDescent="0.25">
      <c r="A56" t="str">
        <f>"20190312164437805"</f>
        <v>20190312164437805</v>
      </c>
      <c r="B56" t="str">
        <f>"1552380277801582"</f>
        <v>1552380277801582</v>
      </c>
      <c r="C56" t="s">
        <v>40</v>
      </c>
      <c r="D56">
        <v>6.2960059999999904</v>
      </c>
      <c r="E56">
        <v>0.54049659999999999</v>
      </c>
      <c r="F56" t="s">
        <v>41</v>
      </c>
      <c r="G56">
        <v>-473.82819999999998</v>
      </c>
      <c r="H56">
        <v>0.95384199999999997</v>
      </c>
      <c r="I56">
        <v>367.14699999999999</v>
      </c>
      <c r="J56">
        <v>-474.471</v>
      </c>
      <c r="K56">
        <v>1.108503</v>
      </c>
      <c r="L56">
        <v>367.23779999999999</v>
      </c>
      <c r="M56">
        <v>0.99992389999999998</v>
      </c>
      <c r="N56">
        <v>0</v>
      </c>
      <c r="O56">
        <v>9.4960659999999992E-3</v>
      </c>
      <c r="P56">
        <v>0.99887179999999998</v>
      </c>
      <c r="Q56">
        <v>3.8975490000000002E-2</v>
      </c>
      <c r="R56">
        <v>-2.7131579999999999E-2</v>
      </c>
      <c r="S56">
        <v>3.0203250000000001</v>
      </c>
      <c r="T56">
        <v>-0.66653669999999998</v>
      </c>
      <c r="U56">
        <v>-0.38732909999999998</v>
      </c>
      <c r="V56">
        <v>3.6611169999999998E-2</v>
      </c>
      <c r="W56">
        <v>4.6832899999999997E-2</v>
      </c>
      <c r="X56">
        <v>0.9982316</v>
      </c>
      <c r="Y56">
        <v>0.133232399999999</v>
      </c>
      <c r="Z56">
        <v>-1.6532089999999999E-2</v>
      </c>
      <c r="AA56">
        <v>0.99094689999999996</v>
      </c>
      <c r="AB56">
        <v>6</v>
      </c>
      <c r="AC56">
        <v>0.64280000000002202</v>
      </c>
      <c r="AD56">
        <v>-0.15466099999999999</v>
      </c>
      <c r="AE56">
        <v>-9.0800000000001505E-2</v>
      </c>
      <c r="AF56">
        <v>9.1695674160980303E-2</v>
      </c>
      <c r="AG56">
        <v>-0.15466099999999999</v>
      </c>
      <c r="AH56">
        <v>0.60743193211235302</v>
      </c>
      <c r="AI56">
        <v>104.131228285438</v>
      </c>
      <c r="AJ56">
        <v>81.415655918503703</v>
      </c>
      <c r="AK56">
        <v>0.63348375964233095</v>
      </c>
      <c r="AL56">
        <v>87.315690652973402</v>
      </c>
      <c r="AM56">
        <v>87.899559844217094</v>
      </c>
      <c r="AN56">
        <v>1.0000000127648601</v>
      </c>
    </row>
    <row r="57" spans="1:40" x14ac:dyDescent="0.25">
      <c r="A57" t="str">
        <f>"20190312164437826"</f>
        <v>20190312164437826</v>
      </c>
      <c r="B57" t="str">
        <f>"1552380277821608"</f>
        <v>1552380277821608</v>
      </c>
      <c r="C57" t="s">
        <v>40</v>
      </c>
      <c r="D57">
        <v>5.2256080000000003</v>
      </c>
      <c r="E57">
        <v>0.54048229999999997</v>
      </c>
      <c r="F57" t="s">
        <v>41</v>
      </c>
      <c r="G57">
        <v>-473.7774</v>
      </c>
      <c r="H57">
        <v>0.95424469999999995</v>
      </c>
      <c r="I57">
        <v>367.14859999999999</v>
      </c>
      <c r="J57">
        <v>-474.41919999999999</v>
      </c>
      <c r="K57">
        <v>1.1088359999999999</v>
      </c>
      <c r="L57">
        <v>367.23849999999999</v>
      </c>
      <c r="M57">
        <v>0.99991099999999999</v>
      </c>
      <c r="N57">
        <v>0</v>
      </c>
      <c r="O57">
        <v>9.6469659999999999E-3</v>
      </c>
      <c r="P57">
        <v>0.99893120000000002</v>
      </c>
      <c r="Q57">
        <v>3.7558059999999997E-2</v>
      </c>
      <c r="R57">
        <v>-2.6943169999999999E-2</v>
      </c>
      <c r="S57">
        <v>3.0190730000000001</v>
      </c>
      <c r="T57">
        <v>-0.67157509999999998</v>
      </c>
      <c r="U57">
        <v>-0.38708500000000001</v>
      </c>
      <c r="V57">
        <v>3.6577239999999997E-2</v>
      </c>
      <c r="W57">
        <v>4.6772399999999999E-2</v>
      </c>
      <c r="X57">
        <v>0.9982356</v>
      </c>
      <c r="Y57">
        <v>0.1332962</v>
      </c>
      <c r="Z57">
        <v>-1.6700940000000001E-2</v>
      </c>
      <c r="AA57">
        <v>0.99093549999999997</v>
      </c>
      <c r="AB57">
        <v>6</v>
      </c>
      <c r="AC57">
        <v>0.64179999999998905</v>
      </c>
      <c r="AD57">
        <v>-0.15459129999999999</v>
      </c>
      <c r="AE57">
        <v>-8.9899999999999994E-2</v>
      </c>
      <c r="AF57">
        <v>9.0914247209186297E-2</v>
      </c>
      <c r="AG57">
        <v>-0.15459129999999999</v>
      </c>
      <c r="AH57">
        <v>0.60639726715452003</v>
      </c>
      <c r="AI57">
        <v>104.150308720552</v>
      </c>
      <c r="AJ57">
        <v>81.473424407114393</v>
      </c>
      <c r="AK57">
        <v>0.63236185526466804</v>
      </c>
      <c r="AL57">
        <v>87.319160635045904</v>
      </c>
      <c r="AM57">
        <v>87.901513121567305</v>
      </c>
      <c r="AN57">
        <v>0.99999993249756602</v>
      </c>
    </row>
    <row r="58" spans="1:40" x14ac:dyDescent="0.25">
      <c r="A58" t="str">
        <f>"20190312164437850"</f>
        <v>20190312164437850</v>
      </c>
      <c r="B58" t="str">
        <f>"1552380277842104"</f>
        <v>1552380277842104</v>
      </c>
      <c r="C58" t="s">
        <v>40</v>
      </c>
      <c r="D58">
        <v>5.9492289999999999</v>
      </c>
      <c r="E58">
        <v>0.54050830000000005</v>
      </c>
      <c r="F58" t="s">
        <v>41</v>
      </c>
      <c r="G58">
        <v>-473.7276</v>
      </c>
      <c r="H58">
        <v>0.95428199999999996</v>
      </c>
      <c r="I58">
        <v>367.14940000000001</v>
      </c>
      <c r="J58">
        <v>-474.3537</v>
      </c>
      <c r="K58">
        <v>1.108657</v>
      </c>
      <c r="L58">
        <v>367.23939999999999</v>
      </c>
      <c r="M58">
        <v>0.99991209999999997</v>
      </c>
      <c r="N58">
        <v>0</v>
      </c>
      <c r="O58">
        <v>9.8488210000000007E-3</v>
      </c>
      <c r="P58">
        <v>0.99894550000000004</v>
      </c>
      <c r="Q58">
        <v>3.7503399999999999E-2</v>
      </c>
      <c r="R58">
        <v>-2.6489749999999999E-2</v>
      </c>
      <c r="S58">
        <v>3.0181580000000001</v>
      </c>
      <c r="T58">
        <v>-0.67496909999999999</v>
      </c>
      <c r="U58">
        <v>-0.38638309999999998</v>
      </c>
      <c r="V58">
        <v>3.6325820000000002E-2</v>
      </c>
      <c r="W58">
        <v>4.6377059999999998E-2</v>
      </c>
      <c r="X58">
        <v>0.99826329999999996</v>
      </c>
      <c r="Y58">
        <v>0.13326660000000001</v>
      </c>
      <c r="Z58">
        <v>-1.6829670000000001E-2</v>
      </c>
      <c r="AA58">
        <v>0.99093739999999997</v>
      </c>
      <c r="AB58">
        <v>6</v>
      </c>
      <c r="AC58">
        <v>0.62610000000000798</v>
      </c>
      <c r="AD58">
        <v>-0.15437500000000001</v>
      </c>
      <c r="AE58">
        <v>-8.9999999999974906E-2</v>
      </c>
      <c r="AF58">
        <v>9.0756406975977394E-2</v>
      </c>
      <c r="AG58">
        <v>-0.15437500000000001</v>
      </c>
      <c r="AH58">
        <v>0.59003815202584398</v>
      </c>
      <c r="AI58">
        <v>104.498759030183</v>
      </c>
      <c r="AJ58">
        <v>81.255610995790306</v>
      </c>
      <c r="AK58">
        <v>0.616614455618957</v>
      </c>
      <c r="AL58">
        <v>87.341836754797896</v>
      </c>
      <c r="AM58">
        <v>87.915982449767299</v>
      </c>
      <c r="AN58">
        <v>1.0000000065099</v>
      </c>
    </row>
    <row r="59" spans="1:40" x14ac:dyDescent="0.25">
      <c r="A59" t="str">
        <f>"20190312164437872"</f>
        <v>20190312164437872</v>
      </c>
      <c r="B59" t="str">
        <f>"1552380277861624"</f>
        <v>1552380277861624</v>
      </c>
      <c r="C59" t="s">
        <v>40</v>
      </c>
      <c r="D59">
        <v>5.6314460000000004</v>
      </c>
      <c r="E59">
        <v>0.54059049999999997</v>
      </c>
      <c r="F59" t="s">
        <v>41</v>
      </c>
      <c r="G59">
        <v>-473.61970000000002</v>
      </c>
      <c r="H59">
        <v>0.94464780000000004</v>
      </c>
      <c r="I59">
        <v>367.1454</v>
      </c>
      <c r="J59">
        <v>-474.2894</v>
      </c>
      <c r="K59">
        <v>1.1082639999999999</v>
      </c>
      <c r="L59">
        <v>367.24040000000002</v>
      </c>
      <c r="M59">
        <v>0.99992040000000004</v>
      </c>
      <c r="N59">
        <v>0</v>
      </c>
      <c r="O59">
        <v>1.010308E-2</v>
      </c>
      <c r="P59">
        <v>0.99892689999999995</v>
      </c>
      <c r="Q59">
        <v>3.8231099999999997E-2</v>
      </c>
      <c r="R59">
        <v>-2.6143860000000001E-2</v>
      </c>
      <c r="S59">
        <v>3.0182799999999999</v>
      </c>
      <c r="T59">
        <v>-0.67456939999999999</v>
      </c>
      <c r="U59">
        <v>-0.38497920000000002</v>
      </c>
      <c r="V59">
        <v>3.623266E-2</v>
      </c>
      <c r="W59">
        <v>4.579022E-2</v>
      </c>
      <c r="X59">
        <v>0.99829380000000001</v>
      </c>
      <c r="Y59">
        <v>0.1330626</v>
      </c>
      <c r="Z59">
        <v>-1.6853239999999998E-2</v>
      </c>
      <c r="AA59">
        <v>0.99096439999999997</v>
      </c>
      <c r="AB59">
        <v>6</v>
      </c>
      <c r="AC59">
        <v>0.66969999999997698</v>
      </c>
      <c r="AD59">
        <v>-0.16361619999999899</v>
      </c>
      <c r="AE59">
        <v>-9.5000000000027202E-2</v>
      </c>
      <c r="AF59">
        <v>9.6136318214359195E-2</v>
      </c>
      <c r="AG59">
        <v>-0.16361619999999899</v>
      </c>
      <c r="AH59">
        <v>0.63174196809246896</v>
      </c>
      <c r="AI59">
        <v>104.361724038082</v>
      </c>
      <c r="AJ59">
        <v>81.3473100970037</v>
      </c>
      <c r="AK59">
        <v>0.65962896148637795</v>
      </c>
      <c r="AL59">
        <v>87.375496033408496</v>
      </c>
      <c r="AM59">
        <v>87.921385810191893</v>
      </c>
      <c r="AN59">
        <v>1.00000003050838</v>
      </c>
    </row>
    <row r="60" spans="1:40" x14ac:dyDescent="0.25">
      <c r="A60" t="str">
        <f>"20190312164437896"</f>
        <v>20190312164437896</v>
      </c>
      <c r="B60" t="str">
        <f>"1552380277891880"</f>
        <v>1552380277891880</v>
      </c>
      <c r="C60" t="s">
        <v>40</v>
      </c>
      <c r="D60">
        <v>5.1339620000000004</v>
      </c>
      <c r="E60">
        <v>0.54067860000000001</v>
      </c>
      <c r="F60" t="s">
        <v>41</v>
      </c>
      <c r="G60">
        <v>-473.55939999999998</v>
      </c>
      <c r="H60">
        <v>0.94558489999999995</v>
      </c>
      <c r="I60">
        <v>367.14729999999997</v>
      </c>
      <c r="J60">
        <v>-474.21510000000001</v>
      </c>
      <c r="K60">
        <v>1.1079840000000001</v>
      </c>
      <c r="L60">
        <v>367.2414</v>
      </c>
      <c r="M60">
        <v>0.99992539999999996</v>
      </c>
      <c r="N60">
        <v>0</v>
      </c>
      <c r="O60">
        <v>1.0427290000000001E-2</v>
      </c>
      <c r="P60">
        <v>0.99889749999999999</v>
      </c>
      <c r="Q60">
        <v>3.90005E-2</v>
      </c>
      <c r="R60">
        <v>-2.6130150000000001E-2</v>
      </c>
      <c r="S60">
        <v>3.0188899999999999</v>
      </c>
      <c r="T60">
        <v>-0.67267730000000003</v>
      </c>
      <c r="U60">
        <v>-0.38449100000000003</v>
      </c>
      <c r="V60">
        <v>3.654044E-2</v>
      </c>
      <c r="W60">
        <v>4.5346270000000001E-2</v>
      </c>
      <c r="X60">
        <v>0.99830280000000005</v>
      </c>
      <c r="Y60">
        <v>0.13321</v>
      </c>
      <c r="Z60">
        <v>-1.6891219999999998E-2</v>
      </c>
      <c r="AA60">
        <v>0.99094389999999999</v>
      </c>
      <c r="AB60">
        <v>7</v>
      </c>
      <c r="AC60">
        <v>0.65570000000002404</v>
      </c>
      <c r="AD60">
        <v>-0.16239909999999999</v>
      </c>
      <c r="AE60">
        <v>-9.4100000000025802E-2</v>
      </c>
      <c r="AF60">
        <v>9.5209712928512005E-2</v>
      </c>
      <c r="AG60">
        <v>-0.16239909999999999</v>
      </c>
      <c r="AH60">
        <v>0.61756500354702304</v>
      </c>
      <c r="AI60">
        <v>104.568651228555</v>
      </c>
      <c r="AJ60">
        <v>81.235738327000107</v>
      </c>
      <c r="AK60">
        <v>0.64561977256181802</v>
      </c>
      <c r="AL60">
        <v>87.400958823935198</v>
      </c>
      <c r="AM60">
        <v>87.9037634939437</v>
      </c>
      <c r="AN60">
        <v>0.99999998422307301</v>
      </c>
    </row>
    <row r="61" spans="1:40" x14ac:dyDescent="0.25">
      <c r="A61" t="str">
        <f>"20190312164437916"</f>
        <v>20190312164437916</v>
      </c>
      <c r="B61" t="str">
        <f>"1552380277911400"</f>
        <v>1552380277911400</v>
      </c>
      <c r="C61" t="s">
        <v>40</v>
      </c>
      <c r="D61">
        <v>5.6229519999999997</v>
      </c>
      <c r="E61">
        <v>0.54068969999999905</v>
      </c>
      <c r="F61" t="s">
        <v>41</v>
      </c>
      <c r="G61">
        <v>-473.4966</v>
      </c>
      <c r="H61">
        <v>0.94844019999999996</v>
      </c>
      <c r="I61">
        <v>367.14940000000001</v>
      </c>
      <c r="J61">
        <v>-474.15359999999998</v>
      </c>
      <c r="K61">
        <v>1.1078589999999999</v>
      </c>
      <c r="L61">
        <v>367.2423</v>
      </c>
      <c r="M61">
        <v>0.99992720000000002</v>
      </c>
      <c r="N61">
        <v>0</v>
      </c>
      <c r="O61">
        <v>1.070688E-2</v>
      </c>
      <c r="P61">
        <v>0.99890029999999996</v>
      </c>
      <c r="Q61">
        <v>3.9178350000000001E-2</v>
      </c>
      <c r="R61">
        <v>-2.5759770000000001E-2</v>
      </c>
      <c r="S61">
        <v>3.0194399999999999</v>
      </c>
      <c r="T61">
        <v>-0.67062889999999997</v>
      </c>
      <c r="U61">
        <v>-0.38497920000000002</v>
      </c>
      <c r="V61">
        <v>3.6447550000000002E-2</v>
      </c>
      <c r="W61">
        <v>4.4765590000000001E-2</v>
      </c>
      <c r="X61">
        <v>0.99833240000000001</v>
      </c>
      <c r="Y61">
        <v>0.13362739999999901</v>
      </c>
      <c r="Z61">
        <v>-1.6944589999999999E-2</v>
      </c>
      <c r="AA61">
        <v>0.99088670000000001</v>
      </c>
      <c r="AB61">
        <v>7</v>
      </c>
      <c r="AC61">
        <v>0.65699999999998204</v>
      </c>
      <c r="AD61">
        <v>-0.159418799999999</v>
      </c>
      <c r="AE61">
        <v>-9.2899999999985994E-2</v>
      </c>
      <c r="AF61">
        <v>9.4475757082090994E-2</v>
      </c>
      <c r="AG61">
        <v>-0.159418799999999</v>
      </c>
      <c r="AH61">
        <v>0.62016946438844101</v>
      </c>
      <c r="AI61">
        <v>104.258469182282</v>
      </c>
      <c r="AJ61">
        <v>81.338235304393507</v>
      </c>
      <c r="AK61">
        <v>0.64726361478884298</v>
      </c>
      <c r="AL61">
        <v>87.434263152669502</v>
      </c>
      <c r="AM61">
        <v>87.9091495715858</v>
      </c>
      <c r="AN61">
        <v>0.99999998141940505</v>
      </c>
    </row>
    <row r="62" spans="1:40" x14ac:dyDescent="0.25">
      <c r="A62" t="str">
        <f>"20190312164437939"</f>
        <v>20190312164437939</v>
      </c>
      <c r="B62" t="str">
        <f>"1552380277931428"</f>
        <v>1552380277931428</v>
      </c>
      <c r="C62" t="s">
        <v>40</v>
      </c>
      <c r="D62">
        <v>6.2357360000000002</v>
      </c>
      <c r="E62">
        <v>0.54074409999999995</v>
      </c>
      <c r="F62" t="s">
        <v>41</v>
      </c>
      <c r="G62">
        <v>-473.43349999999998</v>
      </c>
      <c r="H62">
        <v>0.94822240000000002</v>
      </c>
      <c r="I62">
        <v>367.1506</v>
      </c>
      <c r="J62">
        <v>-474.07929999999999</v>
      </c>
      <c r="K62">
        <v>1.1077549999999901</v>
      </c>
      <c r="L62">
        <v>367.24349999999998</v>
      </c>
      <c r="M62">
        <v>0.99992780000000003</v>
      </c>
      <c r="N62">
        <v>0</v>
      </c>
      <c r="O62">
        <v>1.104291E-2</v>
      </c>
      <c r="P62">
        <v>0.99888220000000005</v>
      </c>
      <c r="Q62">
        <v>3.9935039999999998E-2</v>
      </c>
      <c r="R62">
        <v>-2.5289320000000001E-2</v>
      </c>
      <c r="S62">
        <v>3.0196529999999999</v>
      </c>
      <c r="T62">
        <v>-0.66957469999999997</v>
      </c>
      <c r="U62">
        <v>-0.38458249999999999</v>
      </c>
      <c r="V62">
        <v>3.6310670000000003E-2</v>
      </c>
      <c r="W62">
        <v>4.4707480000000001E-2</v>
      </c>
      <c r="X62">
        <v>0.99834000000000001</v>
      </c>
      <c r="Y62">
        <v>0.13382179999999999</v>
      </c>
      <c r="Z62">
        <v>-1.701211E-2</v>
      </c>
      <c r="AA62">
        <v>0.99085939999999995</v>
      </c>
      <c r="AB62">
        <v>7</v>
      </c>
      <c r="AC62">
        <v>0.64580000000000803</v>
      </c>
      <c r="AD62">
        <v>-0.159532599999999</v>
      </c>
      <c r="AE62">
        <v>-9.2899999999985994E-2</v>
      </c>
      <c r="AF62">
        <v>9.4383039224581494E-2</v>
      </c>
      <c r="AG62">
        <v>-0.159532599999999</v>
      </c>
      <c r="AH62">
        <v>0.60836249923973995</v>
      </c>
      <c r="AI62">
        <v>104.527664079427</v>
      </c>
      <c r="AJ62">
        <v>81.181279359250098</v>
      </c>
      <c r="AK62">
        <v>0.63597463710218205</v>
      </c>
      <c r="AL62">
        <v>87.437595968084906</v>
      </c>
      <c r="AM62">
        <v>87.917010743774398</v>
      </c>
      <c r="AN62">
        <v>0.99999998956189895</v>
      </c>
    </row>
    <row r="63" spans="1:40" x14ac:dyDescent="0.25">
      <c r="A63" t="str">
        <f>"20190312164437961"</f>
        <v>20190312164437961</v>
      </c>
      <c r="B63" t="str">
        <f>"1552380277951924"</f>
        <v>1552380277951924</v>
      </c>
      <c r="C63" t="s">
        <v>40</v>
      </c>
      <c r="D63">
        <v>5.1949199999999998</v>
      </c>
      <c r="E63">
        <v>0.54072369999999903</v>
      </c>
      <c r="F63" t="s">
        <v>41</v>
      </c>
      <c r="G63">
        <v>-473.36709999999999</v>
      </c>
      <c r="H63">
        <v>0.95043420000000001</v>
      </c>
      <c r="I63">
        <v>367.15269999999998</v>
      </c>
      <c r="J63">
        <v>-474.00709999999998</v>
      </c>
      <c r="K63">
        <v>1.107661</v>
      </c>
      <c r="L63">
        <v>367.24459999999999</v>
      </c>
      <c r="M63">
        <v>0.99992760000000003</v>
      </c>
      <c r="N63">
        <v>0</v>
      </c>
      <c r="O63">
        <v>1.135771E-2</v>
      </c>
      <c r="P63">
        <v>0.99887680000000001</v>
      </c>
      <c r="Q63">
        <v>4.0356980000000001E-2</v>
      </c>
      <c r="R63">
        <v>-2.482972E-2</v>
      </c>
      <c r="S63">
        <v>3.0202939999999998</v>
      </c>
      <c r="T63">
        <v>-0.6674118</v>
      </c>
      <c r="U63">
        <v>-0.38323970000000002</v>
      </c>
      <c r="V63">
        <v>3.6164189999999999E-2</v>
      </c>
      <c r="W63">
        <v>4.4361640000000001E-2</v>
      </c>
      <c r="X63">
        <v>0.99836080000000005</v>
      </c>
      <c r="Y63">
        <v>0.13369259999999999</v>
      </c>
      <c r="Z63">
        <v>-1.7009839999999998E-2</v>
      </c>
      <c r="AA63">
        <v>0.99087689999999995</v>
      </c>
      <c r="AB63">
        <v>7</v>
      </c>
      <c r="AC63">
        <v>0.63999999999998602</v>
      </c>
      <c r="AD63">
        <v>-0.1572268</v>
      </c>
      <c r="AE63">
        <v>-9.1900000000009599E-2</v>
      </c>
      <c r="AF63">
        <v>9.36266451524745E-2</v>
      </c>
      <c r="AG63">
        <v>-0.1572268</v>
      </c>
      <c r="AH63">
        <v>0.60324338136366695</v>
      </c>
      <c r="AI63">
        <v>104.442768471386</v>
      </c>
      <c r="AJ63">
        <v>81.177773547065101</v>
      </c>
      <c r="AK63">
        <v>0.63038781117643605</v>
      </c>
      <c r="AL63">
        <v>87.457430962001794</v>
      </c>
      <c r="AM63">
        <v>87.925449507838394</v>
      </c>
      <c r="AN63">
        <v>1.0000000453592399</v>
      </c>
    </row>
    <row r="64" spans="1:40" x14ac:dyDescent="0.25">
      <c r="A64" t="str">
        <f>"20190312164437985"</f>
        <v>20190312164437985</v>
      </c>
      <c r="B64" t="str">
        <f>"1552380277982180"</f>
        <v>1552380277982180</v>
      </c>
      <c r="C64" t="s">
        <v>40</v>
      </c>
      <c r="D64">
        <v>5.1529800000000003</v>
      </c>
      <c r="E64">
        <v>0.54072540000000002</v>
      </c>
      <c r="F64" t="s">
        <v>41</v>
      </c>
      <c r="G64">
        <v>-473.29910000000001</v>
      </c>
      <c r="H64">
        <v>0.95125709999999997</v>
      </c>
      <c r="I64">
        <v>367.15539999999999</v>
      </c>
      <c r="J64">
        <v>-473.93049999999999</v>
      </c>
      <c r="K64">
        <v>1.1078889999999999</v>
      </c>
      <c r="L64">
        <v>367.24579999999997</v>
      </c>
      <c r="M64">
        <v>0.99992239999999999</v>
      </c>
      <c r="N64">
        <v>0</v>
      </c>
      <c r="O64">
        <v>1.1661599999999999E-2</v>
      </c>
      <c r="P64">
        <v>0.99892890000000001</v>
      </c>
      <c r="Q64">
        <v>3.9164570000000003E-2</v>
      </c>
      <c r="R64">
        <v>-2.4642020000000001E-2</v>
      </c>
      <c r="S64">
        <v>3.0209350000000001</v>
      </c>
      <c r="T64">
        <v>-0.66748229999999997</v>
      </c>
      <c r="U64">
        <v>-0.3800964</v>
      </c>
      <c r="V64">
        <v>3.6281580000000001E-2</v>
      </c>
      <c r="W64">
        <v>4.3574179999999997E-2</v>
      </c>
      <c r="X64">
        <v>0.99839120000000003</v>
      </c>
      <c r="Y64">
        <v>0.13296279999999999</v>
      </c>
      <c r="Z64">
        <v>-1.6995909999999999E-2</v>
      </c>
      <c r="AA64">
        <v>0.9909753</v>
      </c>
      <c r="AB64">
        <v>7</v>
      </c>
      <c r="AC64">
        <v>0.63139999999998497</v>
      </c>
      <c r="AD64">
        <v>-0.15663189999999899</v>
      </c>
      <c r="AE64">
        <v>-9.0399999999988198E-2</v>
      </c>
      <c r="AF64">
        <v>9.2197286362979303E-2</v>
      </c>
      <c r="AG64">
        <v>-0.15663189999999899</v>
      </c>
      <c r="AH64">
        <v>0.59445541161042204</v>
      </c>
      <c r="AI64">
        <v>104.594342913077</v>
      </c>
      <c r="AJ64">
        <v>81.1839305828466</v>
      </c>
      <c r="AK64">
        <v>0.62161976167366495</v>
      </c>
      <c r="AL64">
        <v>87.502592719346893</v>
      </c>
      <c r="AM64">
        <v>87.918784687086401</v>
      </c>
      <c r="AN64">
        <v>1.0000000252237</v>
      </c>
    </row>
    <row r="65" spans="1:40" x14ac:dyDescent="0.25">
      <c r="A65" t="str">
        <f>"20190312164438005"</f>
        <v>20190312164438005</v>
      </c>
      <c r="B65" t="str">
        <f>"1552380278001700"</f>
        <v>1552380278001700</v>
      </c>
      <c r="C65" t="s">
        <v>40</v>
      </c>
      <c r="D65">
        <v>5.1939960000000003</v>
      </c>
      <c r="E65">
        <v>0.54074739999999999</v>
      </c>
      <c r="F65" t="s">
        <v>41</v>
      </c>
      <c r="G65">
        <v>-473.2337</v>
      </c>
      <c r="H65">
        <v>0.95299780000000001</v>
      </c>
      <c r="I65">
        <v>367.15780000000001</v>
      </c>
      <c r="J65">
        <v>-473.86540000000002</v>
      </c>
      <c r="K65">
        <v>1.1083369999999999</v>
      </c>
      <c r="L65">
        <v>367.24689999999998</v>
      </c>
      <c r="M65">
        <v>0.99991169999999996</v>
      </c>
      <c r="N65">
        <v>0</v>
      </c>
      <c r="O65">
        <v>1.189554E-2</v>
      </c>
      <c r="P65">
        <v>0.99900990000000001</v>
      </c>
      <c r="Q65">
        <v>3.7223569999999997E-2</v>
      </c>
      <c r="R65">
        <v>-2.436988E-2</v>
      </c>
      <c r="S65">
        <v>3.0201720000000001</v>
      </c>
      <c r="T65">
        <v>-0.67169869999999898</v>
      </c>
      <c r="U65">
        <v>-0.37957760000000001</v>
      </c>
      <c r="V65">
        <v>3.6247059999999998E-2</v>
      </c>
      <c r="W65">
        <v>4.3155440000000003E-2</v>
      </c>
      <c r="X65">
        <v>0.99841060000000004</v>
      </c>
      <c r="Y65">
        <v>0.1330065</v>
      </c>
      <c r="Z65">
        <v>-1.716115E-2</v>
      </c>
      <c r="AA65">
        <v>0.99096660000000003</v>
      </c>
      <c r="AB65">
        <v>8</v>
      </c>
      <c r="AC65">
        <v>0.63170000000002302</v>
      </c>
      <c r="AD65">
        <v>-0.15533920000000001</v>
      </c>
      <c r="AE65">
        <v>-8.9099999999973506E-2</v>
      </c>
      <c r="AF65">
        <v>9.1200893442964004E-2</v>
      </c>
      <c r="AG65">
        <v>-0.15533920000000001</v>
      </c>
      <c r="AH65">
        <v>0.59529977060595496</v>
      </c>
      <c r="AI65">
        <v>104.463252164548</v>
      </c>
      <c r="AJ65">
        <v>81.289916050303802</v>
      </c>
      <c r="AK65">
        <v>0.62195633842331499</v>
      </c>
      <c r="AL65">
        <v>87.526607241508401</v>
      </c>
      <c r="AM65">
        <v>87.920803480214104</v>
      </c>
      <c r="AN65">
        <v>0.99999998377629795</v>
      </c>
    </row>
    <row r="66" spans="1:40" x14ac:dyDescent="0.25">
      <c r="A66" t="str">
        <f>"20190312164438027"</f>
        <v>20190312164438027</v>
      </c>
      <c r="B66" t="str">
        <f>"1552380278021727"</f>
        <v>1552380278021727</v>
      </c>
      <c r="C66" t="s">
        <v>40</v>
      </c>
      <c r="D66">
        <v>5.1136839999999903</v>
      </c>
      <c r="E66">
        <v>0.54071429999999998</v>
      </c>
      <c r="F66" t="s">
        <v>41</v>
      </c>
      <c r="G66">
        <v>-473.17219999999998</v>
      </c>
      <c r="H66">
        <v>0.95261839999999998</v>
      </c>
      <c r="I66">
        <v>367.15989999999999</v>
      </c>
      <c r="J66">
        <v>-473.8</v>
      </c>
      <c r="K66">
        <v>1.1087899999999999</v>
      </c>
      <c r="L66">
        <v>367.24799999999999</v>
      </c>
      <c r="M66">
        <v>0.99989629999999996</v>
      </c>
      <c r="N66">
        <v>0</v>
      </c>
      <c r="O66">
        <v>1.210175E-2</v>
      </c>
      <c r="P66">
        <v>0.99909599999999998</v>
      </c>
      <c r="Q66">
        <v>3.4853950000000002E-2</v>
      </c>
      <c r="R66">
        <v>-2.4343750000000001E-2</v>
      </c>
      <c r="S66">
        <v>3.019012</v>
      </c>
      <c r="T66">
        <v>-0.67826629999999999</v>
      </c>
      <c r="U66">
        <v>-0.37896730000000001</v>
      </c>
      <c r="V66">
        <v>3.6431560000000002E-2</v>
      </c>
      <c r="W66">
        <v>4.2669039999999998E-2</v>
      </c>
      <c r="X66">
        <v>0.9984248</v>
      </c>
      <c r="Y66">
        <v>0.13298579999999999</v>
      </c>
      <c r="Z66">
        <v>-1.737493E-2</v>
      </c>
      <c r="AA66">
        <v>0.99096569999999995</v>
      </c>
      <c r="AB66">
        <v>7</v>
      </c>
      <c r="AC66">
        <v>0.627800000000036</v>
      </c>
      <c r="AD66">
        <v>-0.15617159999999899</v>
      </c>
      <c r="AE66">
        <v>-8.8100000000053996E-2</v>
      </c>
      <c r="AF66">
        <v>9.0216343886769093E-2</v>
      </c>
      <c r="AG66">
        <v>-0.15617159999999899</v>
      </c>
      <c r="AH66">
        <v>0.59083228252049103</v>
      </c>
      <c r="AI66">
        <v>104.643758584579</v>
      </c>
      <c r="AJ66">
        <v>81.318355121929798</v>
      </c>
      <c r="AK66">
        <v>0.61774698980993004</v>
      </c>
      <c r="AL66">
        <v>87.554501627950501</v>
      </c>
      <c r="AM66">
        <v>87.910259283519096</v>
      </c>
      <c r="AN66">
        <v>0.99999999339679702</v>
      </c>
    </row>
    <row r="67" spans="1:40" x14ac:dyDescent="0.25">
      <c r="A67" t="str">
        <f>"20190312164438051"</f>
        <v>20190312164438051</v>
      </c>
      <c r="B67" t="str">
        <f>"1552380278042223"</f>
        <v>1552380278042223</v>
      </c>
      <c r="C67" t="s">
        <v>40</v>
      </c>
      <c r="D67">
        <v>5.0756240000000004</v>
      </c>
      <c r="E67">
        <v>0.54067929999999997</v>
      </c>
      <c r="F67" t="s">
        <v>41</v>
      </c>
      <c r="G67">
        <v>-473.11259999999999</v>
      </c>
      <c r="H67">
        <v>0.95234549999999996</v>
      </c>
      <c r="I67">
        <v>367.16140000000001</v>
      </c>
      <c r="J67">
        <v>-473.72539999999998</v>
      </c>
      <c r="K67">
        <v>1.108697</v>
      </c>
      <c r="L67">
        <v>367.24919999999997</v>
      </c>
      <c r="M67">
        <v>0.99989249999999996</v>
      </c>
      <c r="N67">
        <v>0</v>
      </c>
      <c r="O67">
        <v>1.2340169999999999E-2</v>
      </c>
      <c r="P67">
        <v>0.99910339999999997</v>
      </c>
      <c r="Q67">
        <v>3.4622859999999998E-2</v>
      </c>
      <c r="R67">
        <v>-2.4370039999999999E-2</v>
      </c>
      <c r="S67">
        <v>3.0174259999999999</v>
      </c>
      <c r="T67">
        <v>-0.6870754</v>
      </c>
      <c r="U67">
        <v>-0.37853999999999999</v>
      </c>
      <c r="V67">
        <v>3.6695770000000003E-2</v>
      </c>
      <c r="W67">
        <v>4.2529919999999999E-2</v>
      </c>
      <c r="X67">
        <v>0.99842109999999995</v>
      </c>
      <c r="Y67">
        <v>0.13304489999999999</v>
      </c>
      <c r="Z67">
        <v>-1.7664199999999901E-2</v>
      </c>
      <c r="AA67">
        <v>0.99095259999999996</v>
      </c>
      <c r="AB67">
        <v>7</v>
      </c>
      <c r="AC67">
        <v>0.61279999999999202</v>
      </c>
      <c r="AD67">
        <v>-0.1563515</v>
      </c>
      <c r="AE67">
        <v>-8.77999999999588E-2</v>
      </c>
      <c r="AF67">
        <v>8.96377600929784E-2</v>
      </c>
      <c r="AG67">
        <v>-0.1563515</v>
      </c>
      <c r="AH67">
        <v>0.57499202639441305</v>
      </c>
      <c r="AI67">
        <v>105.03875223081801</v>
      </c>
      <c r="AJ67">
        <v>81.139257674084405</v>
      </c>
      <c r="AK67">
        <v>0.60257493310283805</v>
      </c>
      <c r="AL67">
        <v>87.562479956523902</v>
      </c>
      <c r="AM67">
        <v>87.895109796032699</v>
      </c>
      <c r="AN67">
        <v>1.00000003327815</v>
      </c>
    </row>
    <row r="68" spans="1:40" x14ac:dyDescent="0.25">
      <c r="A68" t="str">
        <f>"20190312164438073"</f>
        <v>20190312164438073</v>
      </c>
      <c r="B68" t="str">
        <f>"1552380278061743"</f>
        <v>1552380278061743</v>
      </c>
      <c r="C68" t="s">
        <v>40</v>
      </c>
      <c r="D68">
        <v>5.1640180000000004</v>
      </c>
      <c r="E68">
        <v>0.54065229999999997</v>
      </c>
      <c r="F68" t="s">
        <v>41</v>
      </c>
      <c r="G68">
        <v>-472.9871</v>
      </c>
      <c r="H68">
        <v>0.94027479999999997</v>
      </c>
      <c r="I68">
        <v>367.15649999999999</v>
      </c>
      <c r="J68">
        <v>-473.64879999999999</v>
      </c>
      <c r="K68">
        <v>1.1083369999999999</v>
      </c>
      <c r="L68">
        <v>367.25049999999999</v>
      </c>
      <c r="M68">
        <v>0.99989660000000002</v>
      </c>
      <c r="N68">
        <v>0</v>
      </c>
      <c r="O68">
        <v>1.262488E-2</v>
      </c>
      <c r="P68">
        <v>0.99906830000000002</v>
      </c>
      <c r="Q68">
        <v>3.5805139999999999E-2</v>
      </c>
      <c r="R68">
        <v>-2.409584E-2</v>
      </c>
      <c r="S68">
        <v>3.017334</v>
      </c>
      <c r="T68">
        <v>-0.68845990000000001</v>
      </c>
      <c r="U68">
        <v>-0.37808229999999998</v>
      </c>
      <c r="V68">
        <v>3.6703850000000003E-2</v>
      </c>
      <c r="W68">
        <v>4.2686189999999999E-2</v>
      </c>
      <c r="X68">
        <v>0.99841409999999997</v>
      </c>
      <c r="Y68">
        <v>0.13315759999999999</v>
      </c>
      <c r="Z68">
        <v>-1.7776130000000001E-2</v>
      </c>
      <c r="AA68">
        <v>0.99093540000000002</v>
      </c>
      <c r="AB68">
        <v>7</v>
      </c>
      <c r="AC68">
        <v>0.66169999999999596</v>
      </c>
      <c r="AD68">
        <v>-0.16806219999999999</v>
      </c>
      <c r="AE68">
        <v>-9.3999999999994005E-2</v>
      </c>
      <c r="AF68">
        <v>9.62598334411396E-2</v>
      </c>
      <c r="AG68">
        <v>-0.16806219999999999</v>
      </c>
      <c r="AH68">
        <v>0.62118159226869696</v>
      </c>
      <c r="AI68">
        <v>104.96857162052601</v>
      </c>
      <c r="AJ68">
        <v>81.191366924789193</v>
      </c>
      <c r="AK68">
        <v>0.65067459545953499</v>
      </c>
      <c r="AL68">
        <v>87.553518123565993</v>
      </c>
      <c r="AM68">
        <v>87.894631992081798</v>
      </c>
      <c r="AN68">
        <v>0.99999999925017402</v>
      </c>
    </row>
    <row r="69" spans="1:40" x14ac:dyDescent="0.25">
      <c r="A69" t="str">
        <f>"20190312164438095"</f>
        <v>20190312164438095</v>
      </c>
      <c r="B69" t="str">
        <f>"1552380278091998"</f>
        <v>1552380278091998</v>
      </c>
      <c r="C69" t="s">
        <v>40</v>
      </c>
      <c r="D69">
        <v>5.2337809999999996</v>
      </c>
      <c r="E69">
        <v>0.54067219999999905</v>
      </c>
      <c r="F69" t="s">
        <v>41</v>
      </c>
      <c r="G69">
        <v>-472.91699999999997</v>
      </c>
      <c r="H69">
        <v>0.94191190000000002</v>
      </c>
      <c r="I69">
        <v>367.15879999999999</v>
      </c>
      <c r="J69">
        <v>-473.57029999999997</v>
      </c>
      <c r="K69">
        <v>1.1080719999999999</v>
      </c>
      <c r="L69">
        <v>367.25170000000003</v>
      </c>
      <c r="M69">
        <v>0.99989870000000003</v>
      </c>
      <c r="N69">
        <v>0</v>
      </c>
      <c r="O69">
        <v>1.2945190000000001E-2</v>
      </c>
      <c r="P69">
        <v>0.99903980000000003</v>
      </c>
      <c r="Q69">
        <v>3.685422E-2</v>
      </c>
      <c r="R69">
        <v>-2.3702069999999999E-2</v>
      </c>
      <c r="S69">
        <v>3.0183110000000002</v>
      </c>
      <c r="T69">
        <v>-0.68648019999999998</v>
      </c>
      <c r="U69">
        <v>-0.37734990000000002</v>
      </c>
      <c r="V69">
        <v>3.6627359999999998E-2</v>
      </c>
      <c r="W69">
        <v>4.2775279999999999E-2</v>
      </c>
      <c r="X69">
        <v>0.99841310000000005</v>
      </c>
      <c r="Y69">
        <v>0.1332122</v>
      </c>
      <c r="Z69">
        <v>-1.7798769999999998E-2</v>
      </c>
      <c r="AA69">
        <v>0.99092769999999997</v>
      </c>
      <c r="AB69">
        <v>8</v>
      </c>
      <c r="AC69">
        <v>0.65330000000000099</v>
      </c>
      <c r="AD69">
        <v>-0.16616009999999901</v>
      </c>
      <c r="AE69">
        <v>-9.2900000000042796E-2</v>
      </c>
      <c r="AF69">
        <v>9.5306409342473197E-2</v>
      </c>
      <c r="AG69">
        <v>-0.16616009999999901</v>
      </c>
      <c r="AH69">
        <v>0.613164036014889</v>
      </c>
      <c r="AI69">
        <v>104.990562715042</v>
      </c>
      <c r="AJ69">
        <v>81.164997449735907</v>
      </c>
      <c r="AK69">
        <v>0.64238822028103304</v>
      </c>
      <c r="AL69">
        <v>87.548408985601</v>
      </c>
      <c r="AM69">
        <v>87.899013493242606</v>
      </c>
      <c r="AN69">
        <v>1.00000000316562</v>
      </c>
    </row>
    <row r="70" spans="1:40" x14ac:dyDescent="0.25">
      <c r="A70" t="str">
        <f>"20190312164438119"</f>
        <v>20190312164438119</v>
      </c>
      <c r="B70" t="str">
        <f>"1552380278111519"</f>
        <v>1552380278111519</v>
      </c>
      <c r="C70" t="s">
        <v>40</v>
      </c>
      <c r="D70">
        <v>5.1773020000000001</v>
      </c>
      <c r="E70">
        <v>0.54067209999999999</v>
      </c>
      <c r="F70" t="s">
        <v>41</v>
      </c>
      <c r="G70">
        <v>-472.84530000000001</v>
      </c>
      <c r="H70">
        <v>0.94377739999999999</v>
      </c>
      <c r="I70">
        <v>367.16109999999998</v>
      </c>
      <c r="J70">
        <v>-473.48719999999997</v>
      </c>
      <c r="K70">
        <v>1.107907</v>
      </c>
      <c r="L70">
        <v>367.25319999999999</v>
      </c>
      <c r="M70">
        <v>0.99989839999999997</v>
      </c>
      <c r="N70">
        <v>0</v>
      </c>
      <c r="O70">
        <v>1.330194E-2</v>
      </c>
      <c r="P70">
        <v>0.99902979999999997</v>
      </c>
      <c r="Q70">
        <v>3.7415879999999999E-2</v>
      </c>
      <c r="R70">
        <v>-2.323223E-2</v>
      </c>
      <c r="S70">
        <v>3.019196</v>
      </c>
      <c r="T70">
        <v>-0.68443390000000004</v>
      </c>
      <c r="U70">
        <v>-0.37631229999999999</v>
      </c>
      <c r="V70">
        <v>3.6511889999999998E-2</v>
      </c>
      <c r="W70">
        <v>4.2570900000000002E-2</v>
      </c>
      <c r="X70">
        <v>0.99842609999999998</v>
      </c>
      <c r="Y70">
        <v>0.1332091</v>
      </c>
      <c r="Z70">
        <v>-1.782158E-2</v>
      </c>
      <c r="AA70">
        <v>0.99092769999999997</v>
      </c>
      <c r="AB70">
        <v>8</v>
      </c>
      <c r="AC70">
        <v>0.64189999999996405</v>
      </c>
      <c r="AD70">
        <v>-0.16412959999999999</v>
      </c>
      <c r="AE70">
        <v>-9.2100000000016197E-2</v>
      </c>
      <c r="AF70">
        <v>9.4572154624395999E-2</v>
      </c>
      <c r="AG70">
        <v>-0.16412959999999999</v>
      </c>
      <c r="AH70">
        <v>0.60205052311973395</v>
      </c>
      <c r="AI70">
        <v>105.072998469504</v>
      </c>
      <c r="AJ70">
        <v>81.072733410966293</v>
      </c>
      <c r="AK70">
        <v>0.63114756627527702</v>
      </c>
      <c r="AL70">
        <v>87.560129859616694</v>
      </c>
      <c r="AM70">
        <v>87.905658319761201</v>
      </c>
      <c r="AN70">
        <v>1.0000000383996901</v>
      </c>
    </row>
    <row r="71" spans="1:40" x14ac:dyDescent="0.25">
      <c r="A71" t="str">
        <f>"20190312164438140"</f>
        <v>20190312164438140</v>
      </c>
      <c r="B71" t="str">
        <f>"1552380278131546"</f>
        <v>1552380278131546</v>
      </c>
      <c r="C71" t="s">
        <v>40</v>
      </c>
      <c r="D71">
        <v>5.0972660000000003</v>
      </c>
      <c r="E71">
        <v>0.54067559999999903</v>
      </c>
      <c r="F71" t="s">
        <v>41</v>
      </c>
      <c r="G71">
        <v>-472.77159999999998</v>
      </c>
      <c r="H71">
        <v>0.94617660000000003</v>
      </c>
      <c r="I71">
        <v>367.16390000000001</v>
      </c>
      <c r="J71">
        <v>-473.40960000000001</v>
      </c>
      <c r="K71">
        <v>1.107807</v>
      </c>
      <c r="L71">
        <v>367.25459999999998</v>
      </c>
      <c r="M71">
        <v>0.99989680000000003</v>
      </c>
      <c r="N71">
        <v>0</v>
      </c>
      <c r="O71">
        <v>1.363897E-2</v>
      </c>
      <c r="P71">
        <v>0.99899879999999996</v>
      </c>
      <c r="Q71">
        <v>3.864865E-2</v>
      </c>
      <c r="R71">
        <v>-2.25331E-2</v>
      </c>
      <c r="S71">
        <v>3.019806</v>
      </c>
      <c r="T71">
        <v>-0.68270249999999999</v>
      </c>
      <c r="U71">
        <v>-0.37490839999999998</v>
      </c>
      <c r="V71">
        <v>3.61473E-2</v>
      </c>
      <c r="W71">
        <v>4.3169249999999999E-2</v>
      </c>
      <c r="X71">
        <v>0.99841360000000001</v>
      </c>
      <c r="Y71">
        <v>0.13307910000000001</v>
      </c>
      <c r="Z71">
        <v>-1.7835119999999999E-2</v>
      </c>
      <c r="AA71">
        <v>0.99094490000000002</v>
      </c>
      <c r="AB71">
        <v>8</v>
      </c>
      <c r="AC71">
        <v>0.63800000000003299</v>
      </c>
      <c r="AD71">
        <v>-0.16163040000000001</v>
      </c>
      <c r="AE71">
        <v>-9.0699999999969805E-2</v>
      </c>
      <c r="AF71">
        <v>9.3510624570193698E-2</v>
      </c>
      <c r="AG71">
        <v>-0.16163040000000001</v>
      </c>
      <c r="AH71">
        <v>0.59901966521475603</v>
      </c>
      <c r="AI71">
        <v>104.92764032451601</v>
      </c>
      <c r="AJ71">
        <v>81.127389319709096</v>
      </c>
      <c r="AK71">
        <v>0.62744974494031502</v>
      </c>
      <c r="AL71">
        <v>87.525815199872795</v>
      </c>
      <c r="AM71">
        <v>87.926527116227305</v>
      </c>
      <c r="AN71">
        <v>0.99999996405390501</v>
      </c>
    </row>
    <row r="72" spans="1:40" x14ac:dyDescent="0.25">
      <c r="A72" t="str">
        <f>"20190312164438162"</f>
        <v>20190312164438162</v>
      </c>
      <c r="B72" t="str">
        <f>"1552380278152041"</f>
        <v>1552380278152041</v>
      </c>
      <c r="C72" t="s">
        <v>40</v>
      </c>
      <c r="D72">
        <v>5.7012029999999996</v>
      </c>
      <c r="E72">
        <v>0.54069630000000002</v>
      </c>
      <c r="F72" t="s">
        <v>41</v>
      </c>
      <c r="G72">
        <v>-472.69639999999998</v>
      </c>
      <c r="H72">
        <v>0.94754179999999999</v>
      </c>
      <c r="I72">
        <v>367.16629999999998</v>
      </c>
      <c r="J72">
        <v>-473.32569999999998</v>
      </c>
      <c r="K72">
        <v>1.107702</v>
      </c>
      <c r="L72">
        <v>367.2561</v>
      </c>
      <c r="M72">
        <v>0.99989490000000003</v>
      </c>
      <c r="N72">
        <v>0</v>
      </c>
      <c r="O72">
        <v>1.399399E-2</v>
      </c>
      <c r="P72">
        <v>0.99894680000000002</v>
      </c>
      <c r="Q72">
        <v>4.0247520000000002E-2</v>
      </c>
      <c r="R72">
        <v>-2.2035740000000002E-2</v>
      </c>
      <c r="S72">
        <v>3.020905</v>
      </c>
      <c r="T72">
        <v>-0.67909600000000003</v>
      </c>
      <c r="U72">
        <v>-0.37231449999999999</v>
      </c>
      <c r="V72">
        <v>3.6002640000000002E-2</v>
      </c>
      <c r="W72">
        <v>4.4070579999999998E-2</v>
      </c>
      <c r="X72">
        <v>0.99837949999999998</v>
      </c>
      <c r="Y72">
        <v>0.13259189999999901</v>
      </c>
      <c r="Z72">
        <v>-1.7762489999999999E-2</v>
      </c>
      <c r="AA72">
        <v>0.99101159999999999</v>
      </c>
      <c r="AB72">
        <v>8</v>
      </c>
      <c r="AC72">
        <v>0.62929999999999997</v>
      </c>
      <c r="AD72">
        <v>-0.160160199999999</v>
      </c>
      <c r="AE72">
        <v>-8.9800000000025096E-2</v>
      </c>
      <c r="AF72">
        <v>9.2712282078090597E-2</v>
      </c>
      <c r="AG72">
        <v>-0.160160199999999</v>
      </c>
      <c r="AH72">
        <v>0.59049678167574504</v>
      </c>
      <c r="AI72">
        <v>104.99988692447501</v>
      </c>
      <c r="AJ72">
        <v>81.076991941282699</v>
      </c>
      <c r="AK72">
        <v>0.61881605189392097</v>
      </c>
      <c r="AL72">
        <v>87.474123722611694</v>
      </c>
      <c r="AM72">
        <v>87.934747393434606</v>
      </c>
      <c r="AN72">
        <v>1.0000000160643701</v>
      </c>
    </row>
    <row r="73" spans="1:40" x14ac:dyDescent="0.25">
      <c r="A73" t="str">
        <f>"20190312164438194"</f>
        <v>20190312164438194</v>
      </c>
      <c r="B73" t="str">
        <f>"1552380278192058"</f>
        <v>1552380278192058</v>
      </c>
      <c r="C73" t="s">
        <v>40</v>
      </c>
      <c r="D73">
        <v>5.1966859999999997</v>
      </c>
      <c r="E73">
        <v>0.54070819999999997</v>
      </c>
      <c r="F73" t="s">
        <v>41</v>
      </c>
      <c r="G73">
        <v>-472.61860000000001</v>
      </c>
      <c r="H73">
        <v>0.94973189999999996</v>
      </c>
      <c r="I73">
        <v>367.1694</v>
      </c>
      <c r="J73">
        <v>-473.20150000000001</v>
      </c>
      <c r="K73">
        <v>1.1075969999999999</v>
      </c>
      <c r="L73">
        <v>367.25839999999999</v>
      </c>
      <c r="M73">
        <v>0.99989090000000003</v>
      </c>
      <c r="N73">
        <v>0</v>
      </c>
      <c r="O73">
        <v>1.4482480000000001E-2</v>
      </c>
      <c r="P73">
        <v>0.99888730000000003</v>
      </c>
      <c r="Q73">
        <v>4.2059699999999998E-2</v>
      </c>
      <c r="R73">
        <v>-2.1341309999999999E-2</v>
      </c>
      <c r="S73">
        <v>3.0221559999999998</v>
      </c>
      <c r="T73">
        <v>-0.67509390000000002</v>
      </c>
      <c r="U73">
        <v>-0.37121579999999998</v>
      </c>
      <c r="V73">
        <v>3.5794579999999999E-2</v>
      </c>
      <c r="W73">
        <v>4.5019009999999998E-2</v>
      </c>
      <c r="X73">
        <v>0.99834469999999997</v>
      </c>
      <c r="Y73">
        <v>0.13270109999999999</v>
      </c>
      <c r="Z73">
        <v>-1.777304E-2</v>
      </c>
      <c r="AA73">
        <v>0.99099669999999895</v>
      </c>
      <c r="AB73">
        <v>8</v>
      </c>
      <c r="AC73">
        <v>0.58289999999999498</v>
      </c>
      <c r="AD73">
        <v>-0.15786509999999901</v>
      </c>
      <c r="AE73">
        <v>-8.8999999999998594E-2</v>
      </c>
      <c r="AF73">
        <v>9.0916012456711603E-2</v>
      </c>
      <c r="AG73">
        <v>-0.15786509999999901</v>
      </c>
      <c r="AH73">
        <v>0.54265443868008501</v>
      </c>
      <c r="AI73">
        <v>106.00891950713699</v>
      </c>
      <c r="AJ73">
        <v>80.489030833832103</v>
      </c>
      <c r="AK73">
        <v>0.57241676332741798</v>
      </c>
      <c r="AL73">
        <v>87.419728783909903</v>
      </c>
      <c r="AM73">
        <v>87.946600771879403</v>
      </c>
      <c r="AN73">
        <v>1.00000005161842</v>
      </c>
    </row>
    <row r="74" spans="1:40" x14ac:dyDescent="0.25">
      <c r="A74" t="str">
        <f>"20190312164438217"</f>
        <v>20190312164438217</v>
      </c>
      <c r="B74" t="str">
        <f>"1552380278211578"</f>
        <v>1552380278211578</v>
      </c>
      <c r="C74" t="s">
        <v>40</v>
      </c>
      <c r="D74">
        <v>5.1859380000000002</v>
      </c>
      <c r="E74">
        <v>0.54064590000000001</v>
      </c>
      <c r="F74" t="s">
        <v>41</v>
      </c>
      <c r="G74">
        <v>-472.4622</v>
      </c>
      <c r="H74">
        <v>0.9439168</v>
      </c>
      <c r="I74">
        <v>367.1678</v>
      </c>
      <c r="J74">
        <v>-473.1071</v>
      </c>
      <c r="K74">
        <v>1.1076090000000001</v>
      </c>
      <c r="L74">
        <v>367.26029999999997</v>
      </c>
      <c r="M74">
        <v>0.99988679999999996</v>
      </c>
      <c r="N74">
        <v>0</v>
      </c>
      <c r="O74">
        <v>1.482255E-2</v>
      </c>
      <c r="P74">
        <v>0.99889309999999998</v>
      </c>
      <c r="Q74">
        <v>4.2186269999999998E-2</v>
      </c>
      <c r="R74">
        <v>-2.0810820000000001E-2</v>
      </c>
      <c r="S74">
        <v>3.0236510000000001</v>
      </c>
      <c r="T74">
        <v>-0.66988269999999905</v>
      </c>
      <c r="U74">
        <v>-0.36856080000000002</v>
      </c>
      <c r="V74">
        <v>3.5604450000000003E-2</v>
      </c>
      <c r="W74">
        <v>4.4838469999999998E-2</v>
      </c>
      <c r="X74">
        <v>0.99835960000000001</v>
      </c>
      <c r="Y74">
        <v>0.13218289999999999</v>
      </c>
      <c r="Z74">
        <v>-1.76492E-2</v>
      </c>
      <c r="AA74">
        <v>0.99106819999999896</v>
      </c>
      <c r="AB74">
        <v>9</v>
      </c>
      <c r="AC74">
        <v>0.64490000000000602</v>
      </c>
      <c r="AD74">
        <v>-0.16369220000000001</v>
      </c>
      <c r="AE74">
        <v>-9.2499999999972701E-2</v>
      </c>
      <c r="AF74">
        <v>9.5989251784542207E-2</v>
      </c>
      <c r="AG74">
        <v>-0.16369220000000001</v>
      </c>
      <c r="AH74">
        <v>0.60524942668110804</v>
      </c>
      <c r="AI74">
        <v>104.95543428421</v>
      </c>
      <c r="AJ74">
        <v>80.988257385637795</v>
      </c>
      <c r="AK74">
        <v>0.63429956747329297</v>
      </c>
      <c r="AL74">
        <v>87.430083359065094</v>
      </c>
      <c r="AM74">
        <v>87.957529003193997</v>
      </c>
      <c r="AN74">
        <v>1.0000000280819501</v>
      </c>
    </row>
    <row r="75" spans="1:40" x14ac:dyDescent="0.25">
      <c r="A75" t="str">
        <f>"20190312164438240"</f>
        <v>20190312164438240</v>
      </c>
      <c r="B75" t="str">
        <f>"1552380278231605"</f>
        <v>1552380278231605</v>
      </c>
      <c r="C75" t="s">
        <v>40</v>
      </c>
      <c r="D75">
        <v>5.332376</v>
      </c>
      <c r="E75">
        <v>0.54064950000000001</v>
      </c>
      <c r="F75" t="s">
        <v>41</v>
      </c>
      <c r="G75">
        <v>-472.37990000000002</v>
      </c>
      <c r="H75">
        <v>0.94640049999999998</v>
      </c>
      <c r="I75">
        <v>367.17140000000001</v>
      </c>
      <c r="J75">
        <v>-473.0136</v>
      </c>
      <c r="K75">
        <v>1.107667</v>
      </c>
      <c r="L75">
        <v>367.26209999999998</v>
      </c>
      <c r="M75">
        <v>0.99988189999999999</v>
      </c>
      <c r="N75">
        <v>0</v>
      </c>
      <c r="O75">
        <v>1.515154E-2</v>
      </c>
      <c r="P75">
        <v>0.99887099999999995</v>
      </c>
      <c r="Q75">
        <v>4.2790809999999999E-2</v>
      </c>
      <c r="R75">
        <v>-2.0634759999999999E-2</v>
      </c>
      <c r="S75">
        <v>3.023987</v>
      </c>
      <c r="T75">
        <v>-0.67084460000000001</v>
      </c>
      <c r="U75">
        <v>-0.36663820000000003</v>
      </c>
      <c r="V75">
        <v>3.5757329999999997E-2</v>
      </c>
      <c r="W75">
        <v>4.5387219999999999E-2</v>
      </c>
      <c r="X75">
        <v>0.99832929999999998</v>
      </c>
      <c r="Y75">
        <v>0.13186489999999901</v>
      </c>
      <c r="Z75">
        <v>-1.7709849999999999E-2</v>
      </c>
      <c r="AA75">
        <v>0.99110949999999998</v>
      </c>
      <c r="AB75">
        <v>9</v>
      </c>
      <c r="AC75">
        <v>0.63369999999997595</v>
      </c>
      <c r="AD75">
        <v>-0.16126650000000001</v>
      </c>
      <c r="AE75">
        <v>-9.0699999999969805E-2</v>
      </c>
      <c r="AF75">
        <v>9.4306281631709496E-2</v>
      </c>
      <c r="AG75">
        <v>-0.16126650000000001</v>
      </c>
      <c r="AH75">
        <v>0.59452334066148604</v>
      </c>
      <c r="AI75">
        <v>104.997578301104</v>
      </c>
      <c r="AJ75">
        <v>80.986553169471094</v>
      </c>
      <c r="AK75">
        <v>0.623184211424473</v>
      </c>
      <c r="AL75">
        <v>87.398610155472696</v>
      </c>
      <c r="AM75">
        <v>87.948704221296595</v>
      </c>
      <c r="AN75">
        <v>0.99999998881327301</v>
      </c>
    </row>
    <row r="76" spans="1:40" x14ac:dyDescent="0.25">
      <c r="A76" t="str">
        <f>"20190312164438261"</f>
        <v>20190312164438261</v>
      </c>
      <c r="B76" t="str">
        <f>"1552380278252101"</f>
        <v>1552380278252101</v>
      </c>
      <c r="C76" t="s">
        <v>40</v>
      </c>
      <c r="D76">
        <v>5.1635339999999896</v>
      </c>
      <c r="E76">
        <v>0.54064019999999902</v>
      </c>
      <c r="F76" t="s">
        <v>41</v>
      </c>
      <c r="G76">
        <v>-472.29629999999997</v>
      </c>
      <c r="H76">
        <v>0.94916180000000006</v>
      </c>
      <c r="I76">
        <v>367.1748</v>
      </c>
      <c r="J76">
        <v>-472.92149999999998</v>
      </c>
      <c r="K76">
        <v>1.107728</v>
      </c>
      <c r="L76">
        <v>367.26389999999998</v>
      </c>
      <c r="M76">
        <v>0.99987669999999995</v>
      </c>
      <c r="N76">
        <v>0</v>
      </c>
      <c r="O76">
        <v>1.548336E-2</v>
      </c>
      <c r="P76">
        <v>0.99888690000000002</v>
      </c>
      <c r="Q76">
        <v>4.2720330000000001E-2</v>
      </c>
      <c r="R76">
        <v>-2.0015109999999999E-2</v>
      </c>
      <c r="S76">
        <v>3.0245060000000001</v>
      </c>
      <c r="T76">
        <v>-0.66860629999999999</v>
      </c>
      <c r="U76">
        <v>-0.36596679999999998</v>
      </c>
      <c r="V76">
        <v>3.5470050000000003E-2</v>
      </c>
      <c r="W76">
        <v>4.5350559999999998E-2</v>
      </c>
      <c r="X76">
        <v>0.99834120000000004</v>
      </c>
      <c r="Y76">
        <v>0.13197039999999999</v>
      </c>
      <c r="Z76">
        <v>-1.7733160000000001E-2</v>
      </c>
      <c r="AA76">
        <v>0.99109499999999995</v>
      </c>
      <c r="AB76">
        <v>9</v>
      </c>
      <c r="AC76">
        <v>0.62520000000000597</v>
      </c>
      <c r="AD76">
        <v>-0.15856619999999999</v>
      </c>
      <c r="AE76">
        <v>-8.9099999999973506E-2</v>
      </c>
      <c r="AF76">
        <v>9.2911912613964198E-2</v>
      </c>
      <c r="AG76">
        <v>-0.15856619999999999</v>
      </c>
      <c r="AH76">
        <v>0.58675357260236505</v>
      </c>
      <c r="AI76">
        <v>104.94483797855401</v>
      </c>
      <c r="AJ76">
        <v>81.001974122634493</v>
      </c>
      <c r="AK76">
        <v>0.61486227583879605</v>
      </c>
      <c r="AL76">
        <v>87.400712747080107</v>
      </c>
      <c r="AM76">
        <v>87.965194977637495</v>
      </c>
      <c r="AN76">
        <v>0.99999997467837698</v>
      </c>
    </row>
    <row r="77" spans="1:40" x14ac:dyDescent="0.25">
      <c r="A77" t="str">
        <f>"20190312164438286"</f>
        <v>20190312164438286</v>
      </c>
      <c r="B77" t="str">
        <f>"1552380278281381"</f>
        <v>1552380278281381</v>
      </c>
      <c r="C77" t="s">
        <v>40</v>
      </c>
      <c r="D77">
        <v>5.2273269999999998</v>
      </c>
      <c r="E77">
        <v>0.54064799999999902</v>
      </c>
      <c r="F77" t="s">
        <v>41</v>
      </c>
      <c r="G77">
        <v>-472.21199999999999</v>
      </c>
      <c r="H77">
        <v>0.9507968</v>
      </c>
      <c r="I77">
        <v>367.178</v>
      </c>
      <c r="J77">
        <v>-472.8229</v>
      </c>
      <c r="K77">
        <v>1.1077709999999901</v>
      </c>
      <c r="L77">
        <v>367.26589999999999</v>
      </c>
      <c r="M77">
        <v>0.99987099999999995</v>
      </c>
      <c r="N77">
        <v>0</v>
      </c>
      <c r="O77">
        <v>1.585197E-2</v>
      </c>
      <c r="P77">
        <v>0.99890619999999997</v>
      </c>
      <c r="Q77">
        <v>4.2370520000000002E-2</v>
      </c>
      <c r="R77">
        <v>-1.9785859999999999E-2</v>
      </c>
      <c r="S77">
        <v>3.024689</v>
      </c>
      <c r="T77">
        <v>-0.66927990000000004</v>
      </c>
      <c r="U77">
        <v>-0.3638306</v>
      </c>
      <c r="V77">
        <v>3.5609979999999999E-2</v>
      </c>
      <c r="W77">
        <v>4.5023300000000002E-2</v>
      </c>
      <c r="X77">
        <v>0.99835099999999999</v>
      </c>
      <c r="Y77">
        <v>0.1316309</v>
      </c>
      <c r="Z77">
        <v>-1.7793639999999999E-2</v>
      </c>
      <c r="AA77">
        <v>0.99113910000000005</v>
      </c>
      <c r="AB77">
        <v>9</v>
      </c>
      <c r="AC77">
        <v>0.61090000000001499</v>
      </c>
      <c r="AD77">
        <v>-0.15697419999999901</v>
      </c>
      <c r="AE77">
        <v>-8.7899999999933698E-2</v>
      </c>
      <c r="AF77">
        <v>9.1644735616036505E-2</v>
      </c>
      <c r="AG77">
        <v>-0.15697419999999901</v>
      </c>
      <c r="AH77">
        <v>0.57240283973860795</v>
      </c>
      <c r="AI77">
        <v>105.151679422185</v>
      </c>
      <c r="AJ77">
        <v>80.903839819608805</v>
      </c>
      <c r="AK77">
        <v>0.60057028562241999</v>
      </c>
      <c r="AL77">
        <v>87.419482456895096</v>
      </c>
      <c r="AM77">
        <v>87.957194458031495</v>
      </c>
      <c r="AN77">
        <v>0.99999994370974299</v>
      </c>
    </row>
    <row r="78" spans="1:40" x14ac:dyDescent="0.25">
      <c r="A78" t="str">
        <f>"20190312164438307"</f>
        <v>20190312164438307</v>
      </c>
      <c r="B78" t="str">
        <f>"1552380278301877"</f>
        <v>1552380278301877</v>
      </c>
      <c r="C78" t="s">
        <v>40</v>
      </c>
      <c r="D78">
        <v>5.1005739999999999</v>
      </c>
      <c r="E78">
        <v>0.54066650000000005</v>
      </c>
      <c r="F78" t="s">
        <v>41</v>
      </c>
      <c r="G78">
        <v>-472.12599999999998</v>
      </c>
      <c r="H78">
        <v>0.95313250000000005</v>
      </c>
      <c r="I78">
        <v>367.18200000000002</v>
      </c>
      <c r="J78">
        <v>-472.72750000000002</v>
      </c>
      <c r="K78">
        <v>1.107782</v>
      </c>
      <c r="L78">
        <v>367.26780000000002</v>
      </c>
      <c r="M78">
        <v>0.99986509999999995</v>
      </c>
      <c r="N78">
        <v>0</v>
      </c>
      <c r="O78">
        <v>1.6218920000000001E-2</v>
      </c>
      <c r="P78">
        <v>0.99891790000000003</v>
      </c>
      <c r="Q78">
        <v>4.2339549999999997E-2</v>
      </c>
      <c r="R78">
        <v>-1.9257630000000001E-2</v>
      </c>
      <c r="S78">
        <v>3.0245359999999999</v>
      </c>
      <c r="T78">
        <v>-0.67126379999999997</v>
      </c>
      <c r="U78">
        <v>-0.36279299999999998</v>
      </c>
      <c r="V78">
        <v>3.5447989999999999E-2</v>
      </c>
      <c r="W78">
        <v>4.4982340000000003E-2</v>
      </c>
      <c r="X78">
        <v>0.99835870000000004</v>
      </c>
      <c r="Y78">
        <v>0.1316351</v>
      </c>
      <c r="Z78">
        <v>-1.792705E-2</v>
      </c>
      <c r="AA78">
        <v>0.99113609999999996</v>
      </c>
      <c r="AB78">
        <v>9</v>
      </c>
      <c r="AC78">
        <v>0.601500000000044</v>
      </c>
      <c r="AD78">
        <v>-0.1546495</v>
      </c>
      <c r="AE78">
        <v>-8.5800000000062895E-2</v>
      </c>
      <c r="AF78">
        <v>8.9731149826668896E-2</v>
      </c>
      <c r="AG78">
        <v>-0.1546495</v>
      </c>
      <c r="AH78">
        <v>0.56352128381489197</v>
      </c>
      <c r="AI78">
        <v>105.16402196250201</v>
      </c>
      <c r="AJ78">
        <v>80.952580575953903</v>
      </c>
      <c r="AK78">
        <v>0.59120587312022699</v>
      </c>
      <c r="AL78">
        <v>87.421831901018393</v>
      </c>
      <c r="AM78">
        <v>87.966495043053897</v>
      </c>
      <c r="AN78">
        <v>1.0000000323863001</v>
      </c>
    </row>
    <row r="79" spans="1:40" x14ac:dyDescent="0.25">
      <c r="A79" t="str">
        <f>"20190312164438330"</f>
        <v>20190312164438330</v>
      </c>
      <c r="B79" t="str">
        <f>"1552380278322374"</f>
        <v>1552380278322374</v>
      </c>
      <c r="C79" t="s">
        <v>40</v>
      </c>
      <c r="D79">
        <v>5.2566870000000003</v>
      </c>
      <c r="E79">
        <v>0.54067609999999999</v>
      </c>
      <c r="F79" t="s">
        <v>41</v>
      </c>
      <c r="G79">
        <v>-472.03879999999998</v>
      </c>
      <c r="H79">
        <v>0.95493110000000003</v>
      </c>
      <c r="I79">
        <v>367.18509999999998</v>
      </c>
      <c r="J79">
        <v>-472.62990000000002</v>
      </c>
      <c r="K79">
        <v>1.107791</v>
      </c>
      <c r="L79">
        <v>367.2697</v>
      </c>
      <c r="M79">
        <v>0.99985880000000005</v>
      </c>
      <c r="N79">
        <v>0</v>
      </c>
      <c r="O79">
        <v>1.6598350000000001E-2</v>
      </c>
      <c r="P79">
        <v>0.99891019999999997</v>
      </c>
      <c r="Q79">
        <v>4.2808260000000001E-2</v>
      </c>
      <c r="R79">
        <v>-1.8598739999999999E-2</v>
      </c>
      <c r="S79">
        <v>3.02475</v>
      </c>
      <c r="T79">
        <v>-0.67155619999999905</v>
      </c>
      <c r="U79">
        <v>-0.36099239999999999</v>
      </c>
      <c r="V79">
        <v>3.5167329999999997E-2</v>
      </c>
      <c r="W79">
        <v>4.5423909999999998E-2</v>
      </c>
      <c r="X79">
        <v>0.99834860000000003</v>
      </c>
      <c r="Y79">
        <v>0.13141449999999999</v>
      </c>
      <c r="Z79">
        <v>-1.7992910000000001E-2</v>
      </c>
      <c r="AA79">
        <v>0.99116420000000005</v>
      </c>
      <c r="AB79">
        <v>10</v>
      </c>
      <c r="AC79">
        <v>0.59110000000003904</v>
      </c>
      <c r="AD79">
        <v>-0.15285989999999999</v>
      </c>
      <c r="AE79">
        <v>-8.4600000000023101E-2</v>
      </c>
      <c r="AF79">
        <v>8.8593857212848501E-2</v>
      </c>
      <c r="AG79">
        <v>-0.15285989999999999</v>
      </c>
      <c r="AH79">
        <v>0.55335164229538203</v>
      </c>
      <c r="AI79">
        <v>105.257387374758</v>
      </c>
      <c r="AJ79">
        <v>80.903908517712907</v>
      </c>
      <c r="AK79">
        <v>0.58087267158548395</v>
      </c>
      <c r="AL79">
        <v>87.396505831855606</v>
      </c>
      <c r="AM79">
        <v>87.982561599718593</v>
      </c>
      <c r="AN79">
        <v>0.99999999991048805</v>
      </c>
    </row>
    <row r="80" spans="1:40" x14ac:dyDescent="0.25">
      <c r="A80" t="str">
        <f>"20190312164438351"</f>
        <v>20190312164438351</v>
      </c>
      <c r="B80" t="str">
        <f>"1552380278341893"</f>
        <v>1552380278341893</v>
      </c>
      <c r="C80" t="s">
        <v>40</v>
      </c>
      <c r="D80">
        <v>5.0683920000000002</v>
      </c>
      <c r="E80">
        <v>0.54068799999999995</v>
      </c>
      <c r="F80" t="s">
        <v>41</v>
      </c>
      <c r="G80">
        <v>-471.86869999999999</v>
      </c>
      <c r="H80">
        <v>0.93922450000000002</v>
      </c>
      <c r="I80">
        <v>367.17880000000002</v>
      </c>
      <c r="J80">
        <v>-472.53120000000001</v>
      </c>
      <c r="K80">
        <v>1.107799</v>
      </c>
      <c r="L80">
        <v>367.27179999999998</v>
      </c>
      <c r="M80">
        <v>0.99985250000000003</v>
      </c>
      <c r="N80">
        <v>0</v>
      </c>
      <c r="O80">
        <v>1.6983229999999998E-2</v>
      </c>
      <c r="P80">
        <v>0.99890400000000001</v>
      </c>
      <c r="Q80">
        <v>4.3052260000000002E-2</v>
      </c>
      <c r="R80">
        <v>-1.837358E-2</v>
      </c>
      <c r="S80">
        <v>3.02536</v>
      </c>
      <c r="T80">
        <v>-0.67024450000000002</v>
      </c>
      <c r="U80">
        <v>-0.3587341</v>
      </c>
      <c r="V80">
        <v>3.5325450000000001E-2</v>
      </c>
      <c r="W80">
        <v>4.5628259999999997E-2</v>
      </c>
      <c r="X80">
        <v>0.99833369999999999</v>
      </c>
      <c r="Y80">
        <v>0.1310569</v>
      </c>
      <c r="Z80">
        <v>-1.8000820000000001E-2</v>
      </c>
      <c r="AA80">
        <v>0.99121139999999996</v>
      </c>
      <c r="AB80">
        <v>10</v>
      </c>
      <c r="AC80">
        <v>0.66250000000002196</v>
      </c>
      <c r="AD80">
        <v>-0.16857449999999899</v>
      </c>
      <c r="AE80">
        <v>-9.2999999999960795E-2</v>
      </c>
      <c r="AF80">
        <v>9.8014610675489999E-2</v>
      </c>
      <c r="AG80">
        <v>-0.16857449999999899</v>
      </c>
      <c r="AH80">
        <v>0.62137125663528103</v>
      </c>
      <c r="AI80">
        <v>105.001695615214</v>
      </c>
      <c r="AJ80">
        <v>81.036067911826393</v>
      </c>
      <c r="AK80">
        <v>0.65124992478205002</v>
      </c>
      <c r="AL80">
        <v>87.384785289807695</v>
      </c>
      <c r="AM80">
        <v>87.973468081928203</v>
      </c>
      <c r="AN80">
        <v>1.00000000104201</v>
      </c>
    </row>
    <row r="81" spans="1:40" x14ac:dyDescent="0.25">
      <c r="A81" t="str">
        <f>"20190312164438374"</f>
        <v>20190312164438374</v>
      </c>
      <c r="B81" t="str">
        <f>"1552380278361416"</f>
        <v>1552380278361416</v>
      </c>
      <c r="C81" t="s">
        <v>40</v>
      </c>
      <c r="D81">
        <v>5.0803729999999998</v>
      </c>
      <c r="E81">
        <v>0.54068340000000004</v>
      </c>
      <c r="F81" t="s">
        <v>41</v>
      </c>
      <c r="G81">
        <v>-471.77730000000003</v>
      </c>
      <c r="H81">
        <v>0.94086840000000005</v>
      </c>
      <c r="I81">
        <v>367.18239999999997</v>
      </c>
      <c r="J81">
        <v>-472.43310000000002</v>
      </c>
      <c r="K81">
        <v>1.1077980000000001</v>
      </c>
      <c r="L81">
        <v>367.27390000000003</v>
      </c>
      <c r="M81">
        <v>0.99984600000000001</v>
      </c>
      <c r="N81">
        <v>0</v>
      </c>
      <c r="O81">
        <v>1.7366039999999999E-2</v>
      </c>
      <c r="P81">
        <v>0.99890350000000006</v>
      </c>
      <c r="Q81">
        <v>4.3134449999999998E-2</v>
      </c>
      <c r="R81">
        <v>-1.819989E-2</v>
      </c>
      <c r="S81">
        <v>3.0255740000000002</v>
      </c>
      <c r="T81">
        <v>-0.66995760000000004</v>
      </c>
      <c r="U81">
        <v>-0.35781859999999999</v>
      </c>
      <c r="V81">
        <v>3.5533299999999997E-2</v>
      </c>
      <c r="W81">
        <v>4.5654939999999998E-2</v>
      </c>
      <c r="X81">
        <v>0.99832509999999997</v>
      </c>
      <c r="Y81">
        <v>0.13112480000000001</v>
      </c>
      <c r="Z81">
        <v>-1.808328E-2</v>
      </c>
      <c r="AA81">
        <v>0.99120090000000005</v>
      </c>
      <c r="AB81">
        <v>10</v>
      </c>
      <c r="AC81">
        <v>0.65579999999999905</v>
      </c>
      <c r="AD81">
        <v>-0.16692959999999901</v>
      </c>
      <c r="AE81">
        <v>-9.1500000000053205E-2</v>
      </c>
      <c r="AF81">
        <v>9.6727365501914297E-2</v>
      </c>
      <c r="AG81">
        <v>-0.16692959999999901</v>
      </c>
      <c r="AH81">
        <v>0.61502415783374198</v>
      </c>
      <c r="AI81">
        <v>105.009333622817</v>
      </c>
      <c r="AJ81">
        <v>81.062072091116306</v>
      </c>
      <c r="AK81">
        <v>0.64457458010086399</v>
      </c>
      <c r="AL81">
        <v>87.383255033447398</v>
      </c>
      <c r="AM81">
        <v>87.961536736650203</v>
      </c>
      <c r="AN81">
        <v>0.99999999712265097</v>
      </c>
    </row>
    <row r="82" spans="1:40" x14ac:dyDescent="0.25">
      <c r="A82" t="str">
        <f>"20190312164438396"</f>
        <v>20190312164438396</v>
      </c>
      <c r="B82" t="str">
        <f>"1552380278391670"</f>
        <v>1552380278391670</v>
      </c>
      <c r="C82" t="s">
        <v>40</v>
      </c>
      <c r="D82">
        <v>5.2501369999999996</v>
      </c>
      <c r="E82">
        <v>0.54068799999999995</v>
      </c>
      <c r="F82" t="s">
        <v>41</v>
      </c>
      <c r="G82">
        <v>-471.68459999999999</v>
      </c>
      <c r="H82">
        <v>0.94186559999999997</v>
      </c>
      <c r="I82">
        <v>367.18509999999998</v>
      </c>
      <c r="J82">
        <v>-472.32859999999999</v>
      </c>
      <c r="K82">
        <v>1.107785</v>
      </c>
      <c r="L82">
        <v>367.27609999999999</v>
      </c>
      <c r="M82">
        <v>0.99983920000000004</v>
      </c>
      <c r="N82">
        <v>0</v>
      </c>
      <c r="O82">
        <v>1.777188E-2</v>
      </c>
      <c r="P82">
        <v>0.99890520000000005</v>
      </c>
      <c r="Q82">
        <v>4.3032439999999998E-2</v>
      </c>
      <c r="R82">
        <v>-1.8360660000000001E-2</v>
      </c>
      <c r="S82">
        <v>3.025757</v>
      </c>
      <c r="T82">
        <v>-0.67099640000000005</v>
      </c>
      <c r="U82">
        <v>-0.35705569999999998</v>
      </c>
      <c r="V82">
        <v>3.6098350000000001E-2</v>
      </c>
      <c r="W82">
        <v>4.5475349999999998E-2</v>
      </c>
      <c r="X82">
        <v>0.99831300000000001</v>
      </c>
      <c r="Y82">
        <v>0.13125020000000001</v>
      </c>
      <c r="Z82">
        <v>-1.821219E-2</v>
      </c>
      <c r="AA82">
        <v>0.99118200000000001</v>
      </c>
      <c r="AB82">
        <v>10</v>
      </c>
      <c r="AC82">
        <v>0.64400000000000501</v>
      </c>
      <c r="AD82">
        <v>-0.16591939999999999</v>
      </c>
      <c r="AE82">
        <v>-9.1000000000008199E-2</v>
      </c>
      <c r="AF82">
        <v>9.6172034534312195E-2</v>
      </c>
      <c r="AG82">
        <v>-0.16591939999999999</v>
      </c>
      <c r="AH82">
        <v>0.60303643091265702</v>
      </c>
      <c r="AI82">
        <v>105.200660516838</v>
      </c>
      <c r="AJ82">
        <v>80.938795520010103</v>
      </c>
      <c r="AK82">
        <v>0.63279636892977198</v>
      </c>
      <c r="AL82">
        <v>87.393555415758001</v>
      </c>
      <c r="AM82">
        <v>87.929124049166305</v>
      </c>
      <c r="AN82">
        <v>0.99999997214967196</v>
      </c>
    </row>
    <row r="83" spans="1:40" x14ac:dyDescent="0.25">
      <c r="A83" t="str">
        <f>"20190312164438418"</f>
        <v>20190312164438418</v>
      </c>
      <c r="B83" t="str">
        <f>"1552380278412166"</f>
        <v>1552380278412166</v>
      </c>
      <c r="C83" t="s">
        <v>40</v>
      </c>
      <c r="D83">
        <v>6.0319900000000004</v>
      </c>
      <c r="E83">
        <v>0.54069519999999904</v>
      </c>
      <c r="F83" t="s">
        <v>41</v>
      </c>
      <c r="G83">
        <v>-471.59010000000001</v>
      </c>
      <c r="H83">
        <v>0.94376959999999999</v>
      </c>
      <c r="I83">
        <v>367.18849999999998</v>
      </c>
      <c r="J83">
        <v>-472.22</v>
      </c>
      <c r="K83">
        <v>1.107761</v>
      </c>
      <c r="L83">
        <v>367.27850000000001</v>
      </c>
      <c r="M83">
        <v>0.99983180000000005</v>
      </c>
      <c r="N83">
        <v>0</v>
      </c>
      <c r="O83">
        <v>1.8191860000000001E-2</v>
      </c>
      <c r="P83">
        <v>0.99891529999999995</v>
      </c>
      <c r="Q83">
        <v>4.2929780000000001E-2</v>
      </c>
      <c r="R83">
        <v>-1.8050610000000002E-2</v>
      </c>
      <c r="S83">
        <v>3.0256349999999999</v>
      </c>
      <c r="T83">
        <v>-0.6720815</v>
      </c>
      <c r="U83">
        <v>-0.35748289999999999</v>
      </c>
      <c r="V83">
        <v>3.6206969999999998E-2</v>
      </c>
      <c r="W83">
        <v>4.527863E-2</v>
      </c>
      <c r="X83">
        <v>0.99831800000000004</v>
      </c>
      <c r="Y83">
        <v>0.13177459999999999</v>
      </c>
      <c r="Z83">
        <v>-1.8390770000000001E-2</v>
      </c>
      <c r="AA83">
        <v>0.99110909999999997</v>
      </c>
      <c r="AB83">
        <v>10</v>
      </c>
      <c r="AC83">
        <v>0.62990000000002</v>
      </c>
      <c r="AD83">
        <v>-0.16399140000000001</v>
      </c>
      <c r="AE83">
        <v>-9.0000000000031805E-2</v>
      </c>
      <c r="AF83">
        <v>9.5125607014180602E-2</v>
      </c>
      <c r="AG83">
        <v>-0.16399140000000001</v>
      </c>
      <c r="AH83">
        <v>0.58903282222745701</v>
      </c>
      <c r="AI83">
        <v>105.36809630658701</v>
      </c>
      <c r="AJ83">
        <v>80.826247079479401</v>
      </c>
      <c r="AK83">
        <v>0.61879053487025704</v>
      </c>
      <c r="AL83">
        <v>87.404838242927894</v>
      </c>
      <c r="AM83">
        <v>87.922908623527803</v>
      </c>
      <c r="AN83">
        <v>0.99999996406762803</v>
      </c>
    </row>
    <row r="84" spans="1:40" x14ac:dyDescent="0.25">
      <c r="A84" t="str">
        <f>"20190312164438442"</f>
        <v>20190312164438442</v>
      </c>
      <c r="B84" t="str">
        <f>"1552380278431685"</f>
        <v>1552380278431685</v>
      </c>
      <c r="C84" t="s">
        <v>40</v>
      </c>
      <c r="D84">
        <v>5.287947</v>
      </c>
      <c r="E84">
        <v>0.54070240000000003</v>
      </c>
      <c r="F84" t="s">
        <v>41</v>
      </c>
      <c r="G84">
        <v>-471.49369999999999</v>
      </c>
      <c r="H84">
        <v>0.94639470000000003</v>
      </c>
      <c r="I84">
        <v>367.1925</v>
      </c>
      <c r="J84">
        <v>-472.11040000000003</v>
      </c>
      <c r="K84">
        <v>1.107742</v>
      </c>
      <c r="L84">
        <v>367.28100000000001</v>
      </c>
      <c r="M84">
        <v>0.9998243</v>
      </c>
      <c r="N84">
        <v>0</v>
      </c>
      <c r="O84">
        <v>1.861254E-2</v>
      </c>
      <c r="P84">
        <v>0.99891980000000002</v>
      </c>
      <c r="Q84">
        <v>4.2844609999999998E-2</v>
      </c>
      <c r="R84">
        <v>-1.7999660000000001E-2</v>
      </c>
      <c r="S84">
        <v>3.025757</v>
      </c>
      <c r="T84">
        <v>-0.67231980000000002</v>
      </c>
      <c r="U84">
        <v>-0.35671999999999998</v>
      </c>
      <c r="V84">
        <v>3.6575839999999998E-2</v>
      </c>
      <c r="W84">
        <v>4.5091899999999997E-2</v>
      </c>
      <c r="X84">
        <v>0.99831309999999995</v>
      </c>
      <c r="Y84">
        <v>0.13192429999999999</v>
      </c>
      <c r="Z84">
        <v>-1.8505130000000002E-2</v>
      </c>
      <c r="AA84">
        <v>0.9910871</v>
      </c>
      <c r="AB84">
        <v>11</v>
      </c>
      <c r="AC84">
        <v>0.616700000000037</v>
      </c>
      <c r="AD84">
        <v>-0.161347299999999</v>
      </c>
      <c r="AE84">
        <v>-8.8500000000010404E-2</v>
      </c>
      <c r="AF84">
        <v>9.3680015787100807E-2</v>
      </c>
      <c r="AG84">
        <v>-0.161347299999999</v>
      </c>
      <c r="AH84">
        <v>0.57629440339610505</v>
      </c>
      <c r="AI84">
        <v>105.44794598814499</v>
      </c>
      <c r="AJ84">
        <v>80.766997186644204</v>
      </c>
      <c r="AK84">
        <v>0.60574263178418797</v>
      </c>
      <c r="AL84">
        <v>87.415548267360293</v>
      </c>
      <c r="AM84">
        <v>87.901756125398194</v>
      </c>
      <c r="AN84">
        <v>1.0000000585744599</v>
      </c>
    </row>
    <row r="85" spans="1:40" x14ac:dyDescent="0.25">
      <c r="A85" t="str">
        <f>"20190312164438463"</f>
        <v>20190312164438463</v>
      </c>
      <c r="B85" t="str">
        <f>"1552380278452181"</f>
        <v>1552380278452181</v>
      </c>
      <c r="C85" t="s">
        <v>40</v>
      </c>
      <c r="D85">
        <v>5.107748</v>
      </c>
      <c r="E85">
        <v>0.54073079999999996</v>
      </c>
      <c r="F85" t="s">
        <v>41</v>
      </c>
      <c r="G85">
        <v>-471.39569999999998</v>
      </c>
      <c r="H85">
        <v>0.94896809999999998</v>
      </c>
      <c r="I85">
        <v>367.19650000000001</v>
      </c>
      <c r="J85">
        <v>-472.00540000000001</v>
      </c>
      <c r="K85">
        <v>1.107728</v>
      </c>
      <c r="L85">
        <v>367.28339999999997</v>
      </c>
      <c r="M85">
        <v>0.99981699999999996</v>
      </c>
      <c r="N85">
        <v>0</v>
      </c>
      <c r="O85">
        <v>1.9013430000000001E-2</v>
      </c>
      <c r="P85">
        <v>0.99893639999999995</v>
      </c>
      <c r="Q85">
        <v>4.2555629999999997E-2</v>
      </c>
      <c r="R85">
        <v>-1.7762839999999998E-2</v>
      </c>
      <c r="S85">
        <v>3.025665</v>
      </c>
      <c r="T85">
        <v>-0.67231430000000003</v>
      </c>
      <c r="U85">
        <v>-0.35705569999999998</v>
      </c>
      <c r="V85">
        <v>3.6739130000000002E-2</v>
      </c>
      <c r="W85">
        <v>4.4703670000000001E-2</v>
      </c>
      <c r="X85">
        <v>0.99832449999999995</v>
      </c>
      <c r="Y85">
        <v>0.1324119</v>
      </c>
      <c r="Z85">
        <v>-1.8646490000000002E-2</v>
      </c>
      <c r="AA85">
        <v>0.99101939999999999</v>
      </c>
      <c r="AB85">
        <v>11</v>
      </c>
      <c r="AC85">
        <v>0.60970000000003199</v>
      </c>
      <c r="AD85">
        <v>-0.15875989999999901</v>
      </c>
      <c r="AE85">
        <v>-8.6899999999957303E-2</v>
      </c>
      <c r="AF85">
        <v>9.2340494037635404E-2</v>
      </c>
      <c r="AG85">
        <v>-0.15875989999999901</v>
      </c>
      <c r="AH85">
        <v>0.57005556023461201</v>
      </c>
      <c r="AI85">
        <v>105.371753818012</v>
      </c>
      <c r="AJ85">
        <v>80.798859972060995</v>
      </c>
      <c r="AK85">
        <v>0.59891135774964399</v>
      </c>
      <c r="AL85">
        <v>87.4378144962471</v>
      </c>
      <c r="AM85">
        <v>87.892421152777999</v>
      </c>
      <c r="AN85">
        <v>0.99999999454243704</v>
      </c>
    </row>
    <row r="86" spans="1:40" x14ac:dyDescent="0.25">
      <c r="A86" t="str">
        <f>"20190312164438484"</f>
        <v>20190312164438484</v>
      </c>
      <c r="B86" t="str">
        <f>"1552380278481462"</f>
        <v>1552380278481462</v>
      </c>
      <c r="C86" t="s">
        <v>40</v>
      </c>
      <c r="D86">
        <v>5.2133570000000002</v>
      </c>
      <c r="E86">
        <v>0.54075450000000003</v>
      </c>
      <c r="F86" t="s">
        <v>41</v>
      </c>
      <c r="G86">
        <v>-471.29680000000002</v>
      </c>
      <c r="H86">
        <v>0.9501617</v>
      </c>
      <c r="I86">
        <v>367.19979999999998</v>
      </c>
      <c r="J86">
        <v>-471.89940000000001</v>
      </c>
      <c r="K86">
        <v>1.1077090000000001</v>
      </c>
      <c r="L86">
        <v>367.28590000000003</v>
      </c>
      <c r="M86">
        <v>0.99980950000000002</v>
      </c>
      <c r="N86">
        <v>0</v>
      </c>
      <c r="O86">
        <v>1.9416220000000001E-2</v>
      </c>
      <c r="P86">
        <v>0.99893889999999996</v>
      </c>
      <c r="Q86">
        <v>4.2657460000000001E-2</v>
      </c>
      <c r="R86">
        <v>-1.7367299999999999E-2</v>
      </c>
      <c r="S86">
        <v>3.0255429999999999</v>
      </c>
      <c r="T86">
        <v>-0.67291279999999998</v>
      </c>
      <c r="U86">
        <v>-0.35647579999999901</v>
      </c>
      <c r="V86">
        <v>3.6745989999999999E-2</v>
      </c>
      <c r="W86">
        <v>4.4703670000000001E-2</v>
      </c>
      <c r="X86">
        <v>0.99832430000000005</v>
      </c>
      <c r="Y86">
        <v>0.13260710000000001</v>
      </c>
      <c r="Z86">
        <v>-1.8773249999999998E-2</v>
      </c>
      <c r="AA86">
        <v>0.99099090000000001</v>
      </c>
      <c r="AB86">
        <v>11</v>
      </c>
      <c r="AC86">
        <v>0.60259999999999503</v>
      </c>
      <c r="AD86">
        <v>-0.1575473</v>
      </c>
      <c r="AE86">
        <v>-8.6100000000044405E-2</v>
      </c>
      <c r="AF86">
        <v>9.1645032389093897E-2</v>
      </c>
      <c r="AG86">
        <v>-0.1575473</v>
      </c>
      <c r="AH86">
        <v>0.56309493927707199</v>
      </c>
      <c r="AI86">
        <v>105.43773734928899</v>
      </c>
      <c r="AJ86">
        <v>80.756026935954097</v>
      </c>
      <c r="AK86">
        <v>0.59185798494093</v>
      </c>
      <c r="AL86">
        <v>87.437814630567203</v>
      </c>
      <c r="AM86">
        <v>87.892027554727704</v>
      </c>
      <c r="AN86">
        <v>1.00000004693151</v>
      </c>
    </row>
    <row r="87" spans="1:40" x14ac:dyDescent="0.25">
      <c r="A87" t="str">
        <f>"20190312164438508"</f>
        <v>20190312164438508</v>
      </c>
      <c r="B87" t="str">
        <f>"1552380278501958"</f>
        <v>1552380278501958</v>
      </c>
      <c r="C87" t="s">
        <v>40</v>
      </c>
      <c r="D87">
        <v>5.5360639999999997</v>
      </c>
      <c r="E87">
        <v>0.54076269999999904</v>
      </c>
      <c r="F87" t="s">
        <v>41</v>
      </c>
      <c r="G87">
        <v>-471.19630000000001</v>
      </c>
      <c r="H87">
        <v>0.95141109999999895</v>
      </c>
      <c r="I87">
        <v>367.20330000000001</v>
      </c>
      <c r="J87">
        <v>-471.7801</v>
      </c>
      <c r="K87">
        <v>1.107683</v>
      </c>
      <c r="L87">
        <v>367.28870000000001</v>
      </c>
      <c r="M87">
        <v>0.99980069999999999</v>
      </c>
      <c r="N87">
        <v>0</v>
      </c>
      <c r="O87">
        <v>1.9869499999999998E-2</v>
      </c>
      <c r="P87">
        <v>0.99895650000000002</v>
      </c>
      <c r="Q87">
        <v>4.2574090000000002E-2</v>
      </c>
      <c r="R87">
        <v>-1.6532410000000001E-2</v>
      </c>
      <c r="S87">
        <v>3.025757</v>
      </c>
      <c r="T87">
        <v>-0.67264399999999902</v>
      </c>
      <c r="U87">
        <v>-0.35516360000000002</v>
      </c>
      <c r="V87">
        <v>3.6364059999999997E-2</v>
      </c>
      <c r="W87">
        <v>4.4502640000000003E-2</v>
      </c>
      <c r="X87">
        <v>0.99834719999999999</v>
      </c>
      <c r="Y87">
        <v>0.13261609999999999</v>
      </c>
      <c r="Z87">
        <v>-1.8865360000000001E-2</v>
      </c>
      <c r="AA87">
        <v>0.99098790000000003</v>
      </c>
      <c r="AB87">
        <v>11</v>
      </c>
      <c r="AC87">
        <v>0.58379999999999599</v>
      </c>
      <c r="AD87">
        <v>-0.15627189999999999</v>
      </c>
      <c r="AE87">
        <v>-8.5399999999992801E-2</v>
      </c>
      <c r="AF87">
        <v>9.0625445821993195E-2</v>
      </c>
      <c r="AG87">
        <v>-0.15627189999999999</v>
      </c>
      <c r="AH87">
        <v>0.54383680342336105</v>
      </c>
      <c r="AI87">
        <v>105.82496756574299</v>
      </c>
      <c r="AJ87">
        <v>80.539115095467395</v>
      </c>
      <c r="AK87">
        <v>0.57305527387659905</v>
      </c>
      <c r="AL87">
        <v>87.449344106263894</v>
      </c>
      <c r="AM87">
        <v>87.913965720772595</v>
      </c>
      <c r="AN87">
        <v>0.99999998078724595</v>
      </c>
    </row>
    <row r="88" spans="1:40" x14ac:dyDescent="0.25">
      <c r="A88" t="str">
        <f>"20190312164438532"</f>
        <v>20190312164438532</v>
      </c>
      <c r="B88" t="str">
        <f>"1552380278521478"</f>
        <v>1552380278521478</v>
      </c>
      <c r="C88" t="s">
        <v>40</v>
      </c>
      <c r="D88">
        <v>5.2965479999999996</v>
      </c>
      <c r="E88">
        <v>0.54077540000000002</v>
      </c>
      <c r="F88" t="s">
        <v>41</v>
      </c>
      <c r="G88">
        <v>-471.09309999999999</v>
      </c>
      <c r="H88">
        <v>0.95497259999999995</v>
      </c>
      <c r="I88">
        <v>367.20819999999998</v>
      </c>
      <c r="J88">
        <v>-471.65969999999999</v>
      </c>
      <c r="K88">
        <v>1.107658</v>
      </c>
      <c r="L88">
        <v>367.29160000000002</v>
      </c>
      <c r="M88">
        <v>0.99979180000000001</v>
      </c>
      <c r="N88">
        <v>0</v>
      </c>
      <c r="O88">
        <v>2.032689E-2</v>
      </c>
      <c r="P88">
        <v>0.99895659999999997</v>
      </c>
      <c r="Q88">
        <v>4.2779230000000001E-2</v>
      </c>
      <c r="R88">
        <v>-1.5990879999999999E-2</v>
      </c>
      <c r="S88">
        <v>3.02597</v>
      </c>
      <c r="T88">
        <v>-0.67293259999999999</v>
      </c>
      <c r="U88">
        <v>-0.35263060000000002</v>
      </c>
      <c r="V88">
        <v>3.6278970000000001E-2</v>
      </c>
      <c r="W88">
        <v>4.4586960000000002E-2</v>
      </c>
      <c r="X88">
        <v>0.99834659999999997</v>
      </c>
      <c r="Y88">
        <v>0.13223789999999999</v>
      </c>
      <c r="Z88">
        <v>-1.8931630000000001E-2</v>
      </c>
      <c r="AA88">
        <v>0.99103719999999995</v>
      </c>
      <c r="AB88">
        <v>11</v>
      </c>
      <c r="AC88">
        <v>0.566599999999994</v>
      </c>
      <c r="AD88">
        <v>-0.152685399999999</v>
      </c>
      <c r="AE88">
        <v>-8.3400000000040095E-2</v>
      </c>
      <c r="AF88">
        <v>8.8602357082262495E-2</v>
      </c>
      <c r="AG88">
        <v>-0.152685399999999</v>
      </c>
      <c r="AH88">
        <v>0.52730787383237598</v>
      </c>
      <c r="AI88">
        <v>105.936876010053</v>
      </c>
      <c r="AJ88">
        <v>80.461817776939</v>
      </c>
      <c r="AK88">
        <v>0.55607265969413899</v>
      </c>
      <c r="AL88">
        <v>87.444508295614597</v>
      </c>
      <c r="AM88">
        <v>87.918841385017004</v>
      </c>
      <c r="AN88">
        <v>1.0000000471989301</v>
      </c>
    </row>
    <row r="89" spans="1:40" x14ac:dyDescent="0.25">
      <c r="A89" t="str">
        <f>"20190312164438552"</f>
        <v>20190312164438552</v>
      </c>
      <c r="B89" t="str">
        <f>"1552380278541973"</f>
        <v>1552380278541973</v>
      </c>
      <c r="C89" t="s">
        <v>40</v>
      </c>
      <c r="D89">
        <v>5.1351190000000004</v>
      </c>
      <c r="E89">
        <v>0.54080150000000005</v>
      </c>
      <c r="F89" t="s">
        <v>41</v>
      </c>
      <c r="G89">
        <v>-470.89260000000002</v>
      </c>
      <c r="H89">
        <v>0.9373572</v>
      </c>
      <c r="I89">
        <v>367.2022</v>
      </c>
      <c r="J89">
        <v>-471.54860000000002</v>
      </c>
      <c r="K89">
        <v>1.107634</v>
      </c>
      <c r="L89">
        <v>367.2944</v>
      </c>
      <c r="M89">
        <v>0.99978339999999999</v>
      </c>
      <c r="N89">
        <v>0</v>
      </c>
      <c r="O89">
        <v>2.0748619999999999E-2</v>
      </c>
      <c r="P89">
        <v>0.99894819999999995</v>
      </c>
      <c r="Q89">
        <v>4.3057249999999998E-2</v>
      </c>
      <c r="R89">
        <v>-1.5779640000000001E-2</v>
      </c>
      <c r="S89">
        <v>3.0263369999999998</v>
      </c>
      <c r="T89">
        <v>-0.67219399999999996</v>
      </c>
      <c r="U89">
        <v>-0.3509216</v>
      </c>
      <c r="V89">
        <v>3.6488270000000003E-2</v>
      </c>
      <c r="W89">
        <v>4.4755110000000001E-2</v>
      </c>
      <c r="X89">
        <v>0.99833139999999998</v>
      </c>
      <c r="Y89">
        <v>0.13209170000000001</v>
      </c>
      <c r="Z89">
        <v>-1.8985999999999999E-2</v>
      </c>
      <c r="AA89">
        <v>0.99105569999999998</v>
      </c>
      <c r="AB89">
        <v>12</v>
      </c>
      <c r="AC89">
        <v>0.65600000000000502</v>
      </c>
      <c r="AD89">
        <v>-0.17027679999999901</v>
      </c>
      <c r="AE89">
        <v>-9.2199999999991095E-2</v>
      </c>
      <c r="AF89">
        <v>9.9234769110005103E-2</v>
      </c>
      <c r="AG89">
        <v>-0.17027679999999901</v>
      </c>
      <c r="AH89">
        <v>0.61341696126179002</v>
      </c>
      <c r="AI89">
        <v>105.32429240023799</v>
      </c>
      <c r="AJ89">
        <v>80.810658312997802</v>
      </c>
      <c r="AK89">
        <v>0.64429969453834401</v>
      </c>
      <c r="AL89">
        <v>87.434864259918399</v>
      </c>
      <c r="AM89">
        <v>87.906813609683994</v>
      </c>
      <c r="AN89">
        <v>0.99999999897233205</v>
      </c>
    </row>
    <row r="90" spans="1:40" x14ac:dyDescent="0.25">
      <c r="A90" t="str">
        <f>"20190312164438574"</f>
        <v>20190312164438574</v>
      </c>
      <c r="B90" t="str">
        <f>"1552380278561497"</f>
        <v>1552380278561497</v>
      </c>
      <c r="C90" t="s">
        <v>40</v>
      </c>
      <c r="D90">
        <v>5.316198</v>
      </c>
      <c r="E90">
        <v>0.5407286</v>
      </c>
      <c r="F90" t="s">
        <v>41</v>
      </c>
      <c r="G90">
        <v>-470.78579999999999</v>
      </c>
      <c r="H90">
        <v>0.93826010000000004</v>
      </c>
      <c r="I90">
        <v>367.20600000000002</v>
      </c>
      <c r="J90">
        <v>-471.43380000000002</v>
      </c>
      <c r="K90">
        <v>1.107618</v>
      </c>
      <c r="L90">
        <v>367.29730000000001</v>
      </c>
      <c r="M90">
        <v>0.99977439999999995</v>
      </c>
      <c r="N90">
        <v>0</v>
      </c>
      <c r="O90">
        <v>2.118488E-2</v>
      </c>
      <c r="P90">
        <v>0.99895829999999997</v>
      </c>
      <c r="Q90">
        <v>4.2957519999999999E-2</v>
      </c>
      <c r="R90">
        <v>-1.539952E-2</v>
      </c>
      <c r="S90">
        <v>3.0265810000000002</v>
      </c>
      <c r="T90">
        <v>-0.67203819999999903</v>
      </c>
      <c r="U90">
        <v>-0.35052489999999997</v>
      </c>
      <c r="V90">
        <v>3.6543739999999998E-2</v>
      </c>
      <c r="W90">
        <v>4.4544090000000001E-2</v>
      </c>
      <c r="X90">
        <v>0.99833879999999997</v>
      </c>
      <c r="Y90">
        <v>0.13237160000000001</v>
      </c>
      <c r="Z90">
        <v>-1.9106399999999999E-2</v>
      </c>
      <c r="AA90">
        <v>0.99101600000000001</v>
      </c>
      <c r="AB90">
        <v>12</v>
      </c>
      <c r="AC90">
        <v>0.648000000000024</v>
      </c>
      <c r="AD90">
        <v>-0.16935789999999901</v>
      </c>
      <c r="AE90">
        <v>-9.1300000000046497E-2</v>
      </c>
      <c r="AF90">
        <v>9.8415761491463194E-2</v>
      </c>
      <c r="AG90">
        <v>-0.16935789999999901</v>
      </c>
      <c r="AH90">
        <v>0.60537438774700703</v>
      </c>
      <c r="AI90">
        <v>105.436539798667</v>
      </c>
      <c r="AJ90">
        <v>80.766201918824294</v>
      </c>
      <c r="AK90">
        <v>0.63627502681027603</v>
      </c>
      <c r="AL90">
        <v>87.446966862863505</v>
      </c>
      <c r="AM90">
        <v>87.903649879308304</v>
      </c>
      <c r="AN90">
        <v>0.99999999023627695</v>
      </c>
    </row>
    <row r="91" spans="1:40" x14ac:dyDescent="0.25">
      <c r="A91" t="str">
        <f>"20190312164438596"</f>
        <v>20190312164438596</v>
      </c>
      <c r="B91" t="str">
        <f>"1552380278591749"</f>
        <v>1552380278591749</v>
      </c>
      <c r="C91" t="s">
        <v>40</v>
      </c>
      <c r="D91">
        <v>5.0911239999999998</v>
      </c>
      <c r="E91">
        <v>0.54070989999999997</v>
      </c>
      <c r="F91" t="s">
        <v>41</v>
      </c>
      <c r="G91">
        <v>-470.6771</v>
      </c>
      <c r="H91">
        <v>0.93934810000000002</v>
      </c>
      <c r="I91">
        <v>367.20949999999999</v>
      </c>
      <c r="J91">
        <v>-471.3109</v>
      </c>
      <c r="K91">
        <v>1.107607</v>
      </c>
      <c r="L91">
        <v>367.30040000000002</v>
      </c>
      <c r="M91">
        <v>0.9997644</v>
      </c>
      <c r="N91">
        <v>0</v>
      </c>
      <c r="O91">
        <v>2.165125E-2</v>
      </c>
      <c r="P91">
        <v>0.99895780000000001</v>
      </c>
      <c r="Q91">
        <v>4.3136380000000002E-2</v>
      </c>
      <c r="R91">
        <v>-1.492693E-2</v>
      </c>
      <c r="S91">
        <v>3.0267029999999999</v>
      </c>
      <c r="T91">
        <v>-0.67338750000000003</v>
      </c>
      <c r="U91">
        <v>-0.34848020000000002</v>
      </c>
      <c r="V91">
        <v>3.6536369999999999E-2</v>
      </c>
      <c r="W91">
        <v>4.4606479999999997E-2</v>
      </c>
      <c r="X91">
        <v>0.99833629999999995</v>
      </c>
      <c r="Y91">
        <v>0.13214790000000001</v>
      </c>
      <c r="Z91">
        <v>-1.9221530000000001E-2</v>
      </c>
      <c r="AA91">
        <v>0.99104360000000002</v>
      </c>
      <c r="AB91">
        <v>12</v>
      </c>
      <c r="AC91">
        <v>0.63380000000000702</v>
      </c>
      <c r="AD91">
        <v>-0.16825889999999999</v>
      </c>
      <c r="AE91">
        <v>-9.0900000000033204E-2</v>
      </c>
      <c r="AF91">
        <v>9.7844407967922806E-2</v>
      </c>
      <c r="AG91">
        <v>-0.16825889999999999</v>
      </c>
      <c r="AH91">
        <v>0.59087887768698799</v>
      </c>
      <c r="AI91">
        <v>105.691898273253</v>
      </c>
      <c r="AJ91">
        <v>80.597636344397301</v>
      </c>
      <c r="AK91">
        <v>0.62211127115367304</v>
      </c>
      <c r="AL91">
        <v>87.443388663170794</v>
      </c>
      <c r="AM91">
        <v>87.904067042109403</v>
      </c>
      <c r="AN91">
        <v>1.00000000614422</v>
      </c>
    </row>
    <row r="92" spans="1:40" x14ac:dyDescent="0.25">
      <c r="A92" t="str">
        <f>"20190312164438619"</f>
        <v>20190312164438619</v>
      </c>
      <c r="B92" t="str">
        <f>"1552380278611269"</f>
        <v>1552380278611269</v>
      </c>
      <c r="C92" t="s">
        <v>40</v>
      </c>
      <c r="D92">
        <v>5.1804579999999998</v>
      </c>
      <c r="E92">
        <v>0.54069330000000004</v>
      </c>
      <c r="F92" t="s">
        <v>41</v>
      </c>
      <c r="G92">
        <v>-470.56619999999998</v>
      </c>
      <c r="H92">
        <v>0.94188369999999999</v>
      </c>
      <c r="I92">
        <v>367.21440000000001</v>
      </c>
      <c r="J92">
        <v>-471.18509999999998</v>
      </c>
      <c r="K92">
        <v>1.107585</v>
      </c>
      <c r="L92">
        <v>367.30360000000002</v>
      </c>
      <c r="M92">
        <v>0.99975429999999998</v>
      </c>
      <c r="N92">
        <v>0</v>
      </c>
      <c r="O92">
        <v>2.2128149999999999E-2</v>
      </c>
      <c r="P92">
        <v>0.9989654</v>
      </c>
      <c r="Q92">
        <v>4.3038109999999997E-2</v>
      </c>
      <c r="R92">
        <v>-1.4707090000000001E-2</v>
      </c>
      <c r="S92">
        <v>3.0270389999999998</v>
      </c>
      <c r="T92">
        <v>-0.67383119999999996</v>
      </c>
      <c r="U92">
        <v>-0.34814450000000002</v>
      </c>
      <c r="V92">
        <v>3.6792419999999999E-2</v>
      </c>
      <c r="W92">
        <v>4.439212E-2</v>
      </c>
      <c r="X92">
        <v>0.99833640000000001</v>
      </c>
      <c r="Y92">
        <v>0.13247590000000001</v>
      </c>
      <c r="Z92">
        <v>-1.9372480000000001E-2</v>
      </c>
      <c r="AA92">
        <v>0.99099689999999996</v>
      </c>
      <c r="AB92">
        <v>12</v>
      </c>
      <c r="AC92">
        <v>0.61889999999999601</v>
      </c>
      <c r="AD92">
        <v>-0.1657013</v>
      </c>
      <c r="AE92">
        <v>-8.9200000000005206E-2</v>
      </c>
      <c r="AF92">
        <v>9.6123184594425606E-2</v>
      </c>
      <c r="AG92">
        <v>-0.1657013</v>
      </c>
      <c r="AH92">
        <v>0.57630455467965003</v>
      </c>
      <c r="AI92">
        <v>105.833654045828</v>
      </c>
      <c r="AJ92">
        <v>80.530672053942297</v>
      </c>
      <c r="AK92">
        <v>0.60730842838114196</v>
      </c>
      <c r="AL92">
        <v>87.455682634615599</v>
      </c>
      <c r="AM92">
        <v>87.889392014345603</v>
      </c>
      <c r="AN92">
        <v>0.99999995502625405</v>
      </c>
    </row>
    <row r="93" spans="1:40" x14ac:dyDescent="0.25">
      <c r="A93" t="str">
        <f>"20190312164438642"</f>
        <v>20190312164438642</v>
      </c>
      <c r="B93" t="str">
        <f>"1552380278631765"</f>
        <v>1552380278631765</v>
      </c>
      <c r="C93" t="s">
        <v>40</v>
      </c>
      <c r="D93">
        <v>5.2731709999999996</v>
      </c>
      <c r="E93">
        <v>0.54072629999999999</v>
      </c>
      <c r="F93" t="s">
        <v>41</v>
      </c>
      <c r="G93">
        <v>-470.45359999999999</v>
      </c>
      <c r="H93">
        <v>0.94435970000000002</v>
      </c>
      <c r="I93">
        <v>367.21960000000001</v>
      </c>
      <c r="J93">
        <v>-471.05869999999999</v>
      </c>
      <c r="K93">
        <v>1.1075630000000001</v>
      </c>
      <c r="L93">
        <v>367.30700000000002</v>
      </c>
      <c r="M93">
        <v>0.99974370000000001</v>
      </c>
      <c r="N93">
        <v>0</v>
      </c>
      <c r="O93">
        <v>2.2607140000000001E-2</v>
      </c>
      <c r="P93">
        <v>0.99902380000000002</v>
      </c>
      <c r="Q93">
        <v>4.1844260000000001E-2</v>
      </c>
      <c r="R93">
        <v>-1.4168760000000001E-2</v>
      </c>
      <c r="S93">
        <v>3.0271300000000001</v>
      </c>
      <c r="T93">
        <v>-0.67562849999999997</v>
      </c>
      <c r="U93">
        <v>-0.3466187</v>
      </c>
      <c r="V93">
        <v>3.6733990000000001E-2</v>
      </c>
      <c r="W93">
        <v>4.3083990000000003E-2</v>
      </c>
      <c r="X93">
        <v>0.9983959</v>
      </c>
      <c r="Y93">
        <v>0.13242399999999999</v>
      </c>
      <c r="Z93">
        <v>-1.9522500000000002E-2</v>
      </c>
      <c r="AA93">
        <v>0.99100089999999996</v>
      </c>
      <c r="AB93">
        <v>12</v>
      </c>
      <c r="AC93">
        <v>0.60509999999999298</v>
      </c>
      <c r="AD93">
        <v>-0.163203299999999</v>
      </c>
      <c r="AE93">
        <v>-8.7399999999945494E-2</v>
      </c>
      <c r="AF93">
        <v>9.4335082916601601E-2</v>
      </c>
      <c r="AG93">
        <v>-0.163203299999999</v>
      </c>
      <c r="AH93">
        <v>0.56286090047119197</v>
      </c>
      <c r="AI93">
        <v>105.958658557058</v>
      </c>
      <c r="AJ93">
        <v>80.485694919403301</v>
      </c>
      <c r="AK93">
        <v>0.59358808805350305</v>
      </c>
      <c r="AL93">
        <v>87.530704863075101</v>
      </c>
      <c r="AM93">
        <v>87.892866314418498</v>
      </c>
      <c r="AN93">
        <v>0.99999999467622502</v>
      </c>
    </row>
    <row r="94" spans="1:40" x14ac:dyDescent="0.25">
      <c r="A94" t="str">
        <f>"20190312164438664"</f>
        <v>20190312164438664</v>
      </c>
      <c r="B94" t="str">
        <f>"1552380278662021"</f>
        <v>1552380278662021</v>
      </c>
      <c r="C94" t="s">
        <v>40</v>
      </c>
      <c r="D94">
        <v>5.2431650000000003</v>
      </c>
      <c r="E94">
        <v>0.54077310000000001</v>
      </c>
      <c r="F94" t="s">
        <v>41</v>
      </c>
      <c r="G94">
        <v>-470.33960000000002</v>
      </c>
      <c r="H94">
        <v>0.94618869999999999</v>
      </c>
      <c r="I94">
        <v>367.22480000000002</v>
      </c>
      <c r="J94">
        <v>-470.93090000000001</v>
      </c>
      <c r="K94">
        <v>1.1075410000000001</v>
      </c>
      <c r="L94">
        <v>367.31040000000002</v>
      </c>
      <c r="M94">
        <v>0.99973290000000004</v>
      </c>
      <c r="N94">
        <v>0</v>
      </c>
      <c r="O94">
        <v>2.3091179999999999E-2</v>
      </c>
      <c r="P94">
        <v>0.99906430000000002</v>
      </c>
      <c r="Q94">
        <v>4.1173109999999999E-2</v>
      </c>
      <c r="R94">
        <v>-1.3261800000000001E-2</v>
      </c>
      <c r="S94">
        <v>3.0264890000000002</v>
      </c>
      <c r="T94">
        <v>-0.67936989999999997</v>
      </c>
      <c r="U94">
        <v>-0.34475709999999998</v>
      </c>
      <c r="V94">
        <v>3.6311250000000003E-2</v>
      </c>
      <c r="W94">
        <v>4.2297920000000003E-2</v>
      </c>
      <c r="X94">
        <v>0.99844500000000003</v>
      </c>
      <c r="Y94">
        <v>0.13227410000000001</v>
      </c>
      <c r="Z94">
        <v>-1.972316E-2</v>
      </c>
      <c r="AA94">
        <v>0.99101689999999998</v>
      </c>
      <c r="AB94">
        <v>13</v>
      </c>
      <c r="AC94">
        <v>0.59129999999998895</v>
      </c>
      <c r="AD94">
        <v>-0.1613523</v>
      </c>
      <c r="AE94">
        <v>-8.5599999999999399E-2</v>
      </c>
      <c r="AF94">
        <v>9.2485691697682101E-2</v>
      </c>
      <c r="AG94">
        <v>-0.1613523</v>
      </c>
      <c r="AH94">
        <v>0.54911672661750699</v>
      </c>
      <c r="AI94">
        <v>106.159399940048</v>
      </c>
      <c r="AJ94">
        <v>80.439611853721004</v>
      </c>
      <c r="AK94">
        <v>0.57975628270439195</v>
      </c>
      <c r="AL94">
        <v>87.575784515934401</v>
      </c>
      <c r="AM94">
        <v>87.917196365997597</v>
      </c>
      <c r="AN94">
        <v>1.00000001946894</v>
      </c>
    </row>
    <row r="95" spans="1:40" x14ac:dyDescent="0.25">
      <c r="A95" t="str">
        <f>"20190312164438686"</f>
        <v>20190312164438686</v>
      </c>
      <c r="B95" t="str">
        <f>"1552380278681542"</f>
        <v>1552380278681542</v>
      </c>
      <c r="C95" t="s">
        <v>40</v>
      </c>
      <c r="D95">
        <v>5.190264</v>
      </c>
      <c r="E95">
        <v>0.54075909999999905</v>
      </c>
      <c r="F95" t="s">
        <v>41</v>
      </c>
      <c r="G95">
        <v>-470.22359999999998</v>
      </c>
      <c r="H95">
        <v>0.94844030000000001</v>
      </c>
      <c r="I95">
        <v>367.2296</v>
      </c>
      <c r="J95">
        <v>-470.80549999999999</v>
      </c>
      <c r="K95">
        <v>1.1075299999999999</v>
      </c>
      <c r="L95">
        <v>367.31389999999999</v>
      </c>
      <c r="M95">
        <v>0.99972179999999999</v>
      </c>
      <c r="N95">
        <v>0</v>
      </c>
      <c r="O95">
        <v>2.3566210000000001E-2</v>
      </c>
      <c r="P95">
        <v>0.99907080000000004</v>
      </c>
      <c r="Q95">
        <v>4.1137710000000001E-2</v>
      </c>
      <c r="R95">
        <v>-1.286431E-2</v>
      </c>
      <c r="S95">
        <v>3.026367</v>
      </c>
      <c r="T95">
        <v>-0.68110369999999998</v>
      </c>
      <c r="U95">
        <v>-0.34320070000000003</v>
      </c>
      <c r="V95">
        <v>3.6388009999999998E-2</v>
      </c>
      <c r="W95">
        <v>4.2150699999999902E-2</v>
      </c>
      <c r="X95">
        <v>0.99844840000000001</v>
      </c>
      <c r="Y95">
        <v>0.132216</v>
      </c>
      <c r="Z95">
        <v>-1.987247E-2</v>
      </c>
      <c r="AA95">
        <v>0.99102170000000001</v>
      </c>
      <c r="AB95">
        <v>13</v>
      </c>
      <c r="AC95">
        <v>0.58190000000001796</v>
      </c>
      <c r="AD95">
        <v>-0.159089699999999</v>
      </c>
      <c r="AE95">
        <v>-8.4299999999984707E-2</v>
      </c>
      <c r="AF95">
        <v>9.1305358804512404E-2</v>
      </c>
      <c r="AG95">
        <v>-0.159089699999999</v>
      </c>
      <c r="AH95">
        <v>0.54020375170326096</v>
      </c>
      <c r="AI95">
        <v>106.192286152368</v>
      </c>
      <c r="AJ95">
        <v>80.406523772382101</v>
      </c>
      <c r="AK95">
        <v>0.57049653333459405</v>
      </c>
      <c r="AL95">
        <v>87.584227054159996</v>
      </c>
      <c r="AM95">
        <v>87.912804424171895</v>
      </c>
      <c r="AN95">
        <v>0.99999998812240498</v>
      </c>
    </row>
    <row r="96" spans="1:40" x14ac:dyDescent="0.25">
      <c r="A96" t="str">
        <f>"20190312164438709"</f>
        <v>20190312164438709</v>
      </c>
      <c r="B96" t="str">
        <f>"1552380278702038"</f>
        <v>1552380278702038</v>
      </c>
      <c r="C96" t="s">
        <v>40</v>
      </c>
      <c r="D96">
        <v>5.1901039999999998</v>
      </c>
      <c r="E96">
        <v>0.51662229999999998</v>
      </c>
      <c r="F96" t="s">
        <v>41</v>
      </c>
      <c r="G96">
        <v>-470.10610000000003</v>
      </c>
      <c r="H96">
        <v>0.95015050000000001</v>
      </c>
      <c r="I96">
        <v>367.23509999999999</v>
      </c>
      <c r="J96">
        <v>-470.66809999999998</v>
      </c>
      <c r="K96">
        <v>1.1075159999999999</v>
      </c>
      <c r="L96">
        <v>367.3177</v>
      </c>
      <c r="M96">
        <v>0.99970950000000003</v>
      </c>
      <c r="N96">
        <v>0</v>
      </c>
      <c r="O96">
        <v>2.4086059999999999E-2</v>
      </c>
      <c r="P96">
        <v>0.99906890000000004</v>
      </c>
      <c r="Q96">
        <v>4.1364049999999999E-2</v>
      </c>
      <c r="R96">
        <v>-1.225394E-2</v>
      </c>
      <c r="S96">
        <v>3.026459</v>
      </c>
      <c r="T96">
        <v>-0.68109129999999996</v>
      </c>
      <c r="U96">
        <v>-0.34158329999999998</v>
      </c>
      <c r="V96">
        <v>3.6296660000000001E-2</v>
      </c>
      <c r="W96">
        <v>4.225599E-2</v>
      </c>
      <c r="X96">
        <v>0.99844730000000004</v>
      </c>
      <c r="Y96">
        <v>0.13219259999999999</v>
      </c>
      <c r="Z96">
        <v>-1.9984749999999999E-2</v>
      </c>
      <c r="AA96">
        <v>0.99102259999999998</v>
      </c>
      <c r="AB96">
        <v>13</v>
      </c>
      <c r="AC96">
        <v>0.56199999999995398</v>
      </c>
      <c r="AD96">
        <v>-0.15736549999999999</v>
      </c>
      <c r="AE96">
        <v>-8.2600000000013496E-2</v>
      </c>
      <c r="AF96">
        <v>8.9261780062663595E-2</v>
      </c>
      <c r="AG96">
        <v>-0.15736549999999999</v>
      </c>
      <c r="AH96">
        <v>0.51994306387613798</v>
      </c>
      <c r="AI96">
        <v>106.60959173382599</v>
      </c>
      <c r="AJ96">
        <v>80.258646421611601</v>
      </c>
      <c r="AK96">
        <v>0.55052007742053399</v>
      </c>
      <c r="AL96">
        <v>87.578189063420893</v>
      </c>
      <c r="AM96">
        <v>87.918037299640503</v>
      </c>
      <c r="AN96">
        <v>1.0000000135476601</v>
      </c>
    </row>
    <row r="97" spans="1:40" x14ac:dyDescent="0.25">
      <c r="A97" t="str">
        <f>"20190312164438733"</f>
        <v>20190312164438733</v>
      </c>
      <c r="B97" t="str">
        <f>"1552380278721557"</f>
        <v>1552380278721557</v>
      </c>
      <c r="C97" t="s">
        <v>40</v>
      </c>
      <c r="D97">
        <v>5.1810010000000002</v>
      </c>
      <c r="E97">
        <v>0.51462829999999904</v>
      </c>
      <c r="F97" t="s">
        <v>41</v>
      </c>
      <c r="G97">
        <v>-469.88780000000003</v>
      </c>
      <c r="H97">
        <v>0.90783100000000005</v>
      </c>
      <c r="I97">
        <v>367.28039999999999</v>
      </c>
      <c r="J97">
        <v>-470.52730000000003</v>
      </c>
      <c r="K97">
        <v>1.1074999999999999</v>
      </c>
      <c r="L97">
        <v>367.32170000000002</v>
      </c>
      <c r="M97">
        <v>0.99969669999999999</v>
      </c>
      <c r="N97">
        <v>0</v>
      </c>
      <c r="O97">
        <v>2.461764E-2</v>
      </c>
      <c r="P97">
        <v>0.99907389999999996</v>
      </c>
      <c r="Q97">
        <v>4.1455239999999997E-2</v>
      </c>
      <c r="R97">
        <v>-1.152889E-2</v>
      </c>
      <c r="S97">
        <v>3.0331730000000001</v>
      </c>
      <c r="T97">
        <v>-0.77616359999999995</v>
      </c>
      <c r="U97">
        <v>-0.14434810000000001</v>
      </c>
      <c r="V97">
        <v>3.610207E-2</v>
      </c>
      <c r="W97">
        <v>4.2225980000000003E-2</v>
      </c>
      <c r="X97">
        <v>0.9984556</v>
      </c>
      <c r="Y97">
        <v>6.9097759999999994E-2</v>
      </c>
      <c r="Z97">
        <v>-1.4892549999999999E-2</v>
      </c>
      <c r="AA97">
        <v>0.99749880000000002</v>
      </c>
      <c r="AB97">
        <v>13</v>
      </c>
      <c r="AC97">
        <v>0.63949999999999796</v>
      </c>
      <c r="AD97">
        <v>-0.19966900000000001</v>
      </c>
      <c r="AE97">
        <v>-4.1300000000035197E-2</v>
      </c>
      <c r="AF97">
        <v>5.1983843700212903E-2</v>
      </c>
      <c r="AG97">
        <v>-0.19966900000000001</v>
      </c>
      <c r="AH97">
        <v>0.58180726632906299</v>
      </c>
      <c r="AI97">
        <v>108.87175214027</v>
      </c>
      <c r="AJ97">
        <v>84.894242691397807</v>
      </c>
      <c r="AK97">
        <v>0.61730845184570904</v>
      </c>
      <c r="AL97">
        <v>87.579909986378695</v>
      </c>
      <c r="AM97">
        <v>87.929206364107699</v>
      </c>
      <c r="AN97">
        <v>0.999999989008302</v>
      </c>
    </row>
    <row r="98" spans="1:40" x14ac:dyDescent="0.25">
      <c r="A98" t="str">
        <f>"20190312164438754"</f>
        <v>20190312164438754</v>
      </c>
      <c r="B98" t="str">
        <f>"1552380278751814"</f>
        <v>1552380278751814</v>
      </c>
      <c r="C98" t="s">
        <v>40</v>
      </c>
      <c r="D98">
        <v>5.153988</v>
      </c>
      <c r="E98">
        <v>0.51331850000000001</v>
      </c>
      <c r="F98" t="s">
        <v>41</v>
      </c>
      <c r="G98">
        <v>-469.76420000000002</v>
      </c>
      <c r="H98">
        <v>0.9110878</v>
      </c>
      <c r="I98">
        <v>367.2894</v>
      </c>
      <c r="J98">
        <v>-470.39370000000002</v>
      </c>
      <c r="K98">
        <v>1.1074870000000001</v>
      </c>
      <c r="L98">
        <v>367.32549999999998</v>
      </c>
      <c r="M98">
        <v>0.99968420000000002</v>
      </c>
      <c r="N98">
        <v>0</v>
      </c>
      <c r="O98">
        <v>2.5121439999999998E-2</v>
      </c>
      <c r="P98">
        <v>0.99907990000000002</v>
      </c>
      <c r="Q98">
        <v>4.1501959999999997E-2</v>
      </c>
      <c r="R98">
        <v>-1.0827359999999999E-2</v>
      </c>
      <c r="S98">
        <v>3.0337519999999998</v>
      </c>
      <c r="T98">
        <v>-0.78107760000000004</v>
      </c>
      <c r="U98">
        <v>-0.12615970000000001</v>
      </c>
      <c r="V98">
        <v>3.5903650000000002E-2</v>
      </c>
      <c r="W98">
        <v>4.2160240000000002E-2</v>
      </c>
      <c r="X98">
        <v>0.99846550000000001</v>
      </c>
      <c r="Y98">
        <v>6.3742370000000007E-2</v>
      </c>
      <c r="Z98">
        <v>-1.443241E-2</v>
      </c>
      <c r="AA98">
        <v>0.99786200000000003</v>
      </c>
      <c r="AB98">
        <v>13</v>
      </c>
      <c r="AC98">
        <v>0.62950000000000705</v>
      </c>
      <c r="AD98">
        <v>-0.1963992</v>
      </c>
      <c r="AE98">
        <v>-3.60999999999762E-2</v>
      </c>
      <c r="AF98">
        <v>4.7312308489666902E-2</v>
      </c>
      <c r="AG98">
        <v>-0.1963992</v>
      </c>
      <c r="AH98">
        <v>0.57281941159017802</v>
      </c>
      <c r="AI98">
        <v>108.86532426153499</v>
      </c>
      <c r="AJ98">
        <v>85.278343775425796</v>
      </c>
      <c r="AK98">
        <v>0.607398698212121</v>
      </c>
      <c r="AL98">
        <v>87.583679889164003</v>
      </c>
      <c r="AM98">
        <v>87.940598194194493</v>
      </c>
      <c r="AN98">
        <v>0.99999995630521399</v>
      </c>
    </row>
    <row r="99" spans="1:40" x14ac:dyDescent="0.25">
      <c r="A99" t="str">
        <f>"20190312164438776"</f>
        <v>20190312164438776</v>
      </c>
      <c r="B99" t="str">
        <f>"1552380278771334"</f>
        <v>1552380278771334</v>
      </c>
      <c r="C99" t="s">
        <v>40</v>
      </c>
      <c r="D99">
        <v>5.1519190000000004</v>
      </c>
      <c r="E99">
        <v>0.51340470000000005</v>
      </c>
      <c r="F99" t="s">
        <v>41</v>
      </c>
      <c r="G99">
        <v>-469.63920000000002</v>
      </c>
      <c r="H99">
        <v>0.91331890000000004</v>
      </c>
      <c r="I99">
        <v>367.2971</v>
      </c>
      <c r="J99">
        <v>-470.25869999999998</v>
      </c>
      <c r="K99">
        <v>1.1074759999999999</v>
      </c>
      <c r="L99">
        <v>367.3295</v>
      </c>
      <c r="M99">
        <v>0.99967130000000004</v>
      </c>
      <c r="N99">
        <v>0</v>
      </c>
      <c r="O99">
        <v>2.5629579999999999E-2</v>
      </c>
      <c r="P99">
        <v>0.99907820000000003</v>
      </c>
      <c r="Q99">
        <v>4.1661780000000002E-2</v>
      </c>
      <c r="R99">
        <v>-1.0348100000000001E-2</v>
      </c>
      <c r="S99">
        <v>3.0339659999999999</v>
      </c>
      <c r="T99">
        <v>-0.78092850000000003</v>
      </c>
      <c r="U99">
        <v>-0.1134033</v>
      </c>
      <c r="V99">
        <v>3.5931419999999999E-2</v>
      </c>
      <c r="W99">
        <v>4.2209780000000002E-2</v>
      </c>
      <c r="X99">
        <v>0.99846239999999997</v>
      </c>
      <c r="Y99">
        <v>6.0158299999999998E-2</v>
      </c>
      <c r="Z99">
        <v>-1.4104749999999999E-2</v>
      </c>
      <c r="AA99">
        <v>0.99808920000000001</v>
      </c>
      <c r="AB99">
        <v>14</v>
      </c>
      <c r="AC99">
        <v>0.61949999999995897</v>
      </c>
      <c r="AD99">
        <v>-0.1941571</v>
      </c>
      <c r="AE99">
        <v>-3.2399999999995502E-2</v>
      </c>
      <c r="AF99">
        <v>4.3960613862233697E-2</v>
      </c>
      <c r="AG99">
        <v>-0.1941571</v>
      </c>
      <c r="AH99">
        <v>0.563287841187319</v>
      </c>
      <c r="AI99">
        <v>108.964796394751</v>
      </c>
      <c r="AJ99">
        <v>85.537516698199994</v>
      </c>
      <c r="AK99">
        <v>0.59743008551714605</v>
      </c>
      <c r="AL99">
        <v>87.580838907869193</v>
      </c>
      <c r="AM99">
        <v>87.939000311144198</v>
      </c>
      <c r="AN99">
        <v>0.99999994834231098</v>
      </c>
    </row>
    <row r="100" spans="1:40" x14ac:dyDescent="0.25">
      <c r="A100" t="str">
        <f>"20190312164438798"</f>
        <v>20190312164438798</v>
      </c>
      <c r="B100" t="str">
        <f>"1552380278791830"</f>
        <v>1552380278791830</v>
      </c>
      <c r="C100" t="s">
        <v>40</v>
      </c>
      <c r="D100">
        <v>5.0785589999999896</v>
      </c>
      <c r="E100">
        <v>0.51328009999999902</v>
      </c>
      <c r="F100" t="s">
        <v>41</v>
      </c>
      <c r="G100">
        <v>-469.51260000000002</v>
      </c>
      <c r="H100">
        <v>0.91547789999999996</v>
      </c>
      <c r="I100">
        <v>367.30119999999999</v>
      </c>
      <c r="J100">
        <v>-470.1164</v>
      </c>
      <c r="K100">
        <v>1.1074660000000001</v>
      </c>
      <c r="L100">
        <v>367.33370000000002</v>
      </c>
      <c r="M100">
        <v>0.99965760000000004</v>
      </c>
      <c r="N100">
        <v>0</v>
      </c>
      <c r="O100">
        <v>2.616388E-2</v>
      </c>
      <c r="P100">
        <v>0.99906839999999997</v>
      </c>
      <c r="Q100">
        <v>4.200653E-2</v>
      </c>
      <c r="R100">
        <v>-9.8937020000000007E-3</v>
      </c>
      <c r="S100">
        <v>3.0341490000000002</v>
      </c>
      <c r="T100">
        <v>-0.78102729999999998</v>
      </c>
      <c r="U100">
        <v>-0.1127625</v>
      </c>
      <c r="V100">
        <v>3.6009729999999997E-2</v>
      </c>
      <c r="W100">
        <v>4.244274E-2</v>
      </c>
      <c r="X100">
        <v>0.9984497</v>
      </c>
      <c r="Y100">
        <v>6.0451610000000003E-2</v>
      </c>
      <c r="Z100">
        <v>-1.427812E-2</v>
      </c>
      <c r="AA100">
        <v>0.99806899999999998</v>
      </c>
      <c r="AB100">
        <v>14</v>
      </c>
      <c r="AC100">
        <v>0.60379999999997802</v>
      </c>
      <c r="AD100">
        <v>-0.19198809999999999</v>
      </c>
      <c r="AE100">
        <v>-3.2500000000027202E-2</v>
      </c>
      <c r="AF100">
        <v>4.3864610520341699E-2</v>
      </c>
      <c r="AG100">
        <v>-0.19198809999999999</v>
      </c>
      <c r="AH100">
        <v>0.54754469225232505</v>
      </c>
      <c r="AI100">
        <v>109.265276482693</v>
      </c>
      <c r="AJ100">
        <v>85.419732616488503</v>
      </c>
      <c r="AK100">
        <v>0.58188377242487599</v>
      </c>
      <c r="AL100">
        <v>87.567479302231803</v>
      </c>
      <c r="AM100">
        <v>87.934486144143804</v>
      </c>
      <c r="AN100">
        <v>0.99999994513173296</v>
      </c>
    </row>
    <row r="101" spans="1:40" x14ac:dyDescent="0.25">
      <c r="A101" t="str">
        <f>"20190312164438821"</f>
        <v>20190312164438821</v>
      </c>
      <c r="B101" t="str">
        <f>"1552380278811353"</f>
        <v>1552380278811353</v>
      </c>
      <c r="C101" t="s">
        <v>40</v>
      </c>
      <c r="D101">
        <v>5.088082</v>
      </c>
      <c r="E101">
        <v>0.51322029999999996</v>
      </c>
      <c r="F101" t="s">
        <v>41</v>
      </c>
      <c r="G101">
        <v>-469.38350000000003</v>
      </c>
      <c r="H101">
        <v>0.91891599999999996</v>
      </c>
      <c r="I101">
        <v>367.30680000000001</v>
      </c>
      <c r="J101">
        <v>-469.9735</v>
      </c>
      <c r="K101">
        <v>1.107461</v>
      </c>
      <c r="L101">
        <v>367.3381</v>
      </c>
      <c r="M101">
        <v>0.99964350000000002</v>
      </c>
      <c r="N101">
        <v>0</v>
      </c>
      <c r="O101">
        <v>2.6700129999999999E-2</v>
      </c>
      <c r="P101">
        <v>0.99904269999999995</v>
      </c>
      <c r="Q101">
        <v>4.2724329999999998E-2</v>
      </c>
      <c r="R101">
        <v>-9.4123980000000006E-3</v>
      </c>
      <c r="S101">
        <v>3.0345460000000002</v>
      </c>
      <c r="T101">
        <v>-0.78074549999999998</v>
      </c>
      <c r="U101">
        <v>-0.1100464</v>
      </c>
      <c r="V101">
        <v>3.6062780000000003E-2</v>
      </c>
      <c r="W101">
        <v>4.3053969999999997E-2</v>
      </c>
      <c r="X101">
        <v>0.99842169999999997</v>
      </c>
      <c r="Y101">
        <v>6.0087050000000003E-2</v>
      </c>
      <c r="Z101">
        <v>-1.436111E-2</v>
      </c>
      <c r="AA101">
        <v>0.99808980000000003</v>
      </c>
      <c r="AB101">
        <v>14</v>
      </c>
      <c r="AC101">
        <v>0.58999999999997499</v>
      </c>
      <c r="AD101">
        <v>-0.18854499999999999</v>
      </c>
      <c r="AE101">
        <v>-3.12999999999874E-2</v>
      </c>
      <c r="AF101">
        <v>4.2694081860325001E-2</v>
      </c>
      <c r="AG101">
        <v>-0.18854499999999999</v>
      </c>
      <c r="AH101">
        <v>0.53452004357870697</v>
      </c>
      <c r="AI101">
        <v>109.37254954213699</v>
      </c>
      <c r="AJ101">
        <v>85.433270501322099</v>
      </c>
      <c r="AK101">
        <v>0.56840450265482501</v>
      </c>
      <c r="AL101">
        <v>87.532426566429294</v>
      </c>
      <c r="AM101">
        <v>87.931387883286405</v>
      </c>
      <c r="AN101">
        <v>1.00000002973248</v>
      </c>
    </row>
    <row r="102" spans="1:40" x14ac:dyDescent="0.25">
      <c r="A102" t="str">
        <f>"20190312164438843"</f>
        <v>20190312164438843</v>
      </c>
      <c r="B102" t="str">
        <f>"1552380278831849"</f>
        <v>1552380278831849</v>
      </c>
      <c r="C102" t="s">
        <v>40</v>
      </c>
      <c r="D102">
        <v>5.0855709999999998</v>
      </c>
      <c r="E102">
        <v>0.51306160000000001</v>
      </c>
      <c r="F102" t="s">
        <v>41</v>
      </c>
      <c r="G102">
        <v>-469.25279999999998</v>
      </c>
      <c r="H102">
        <v>0.92206109999999997</v>
      </c>
      <c r="I102">
        <v>367.31180000000001</v>
      </c>
      <c r="J102">
        <v>-469.82920000000001</v>
      </c>
      <c r="K102">
        <v>1.1074580000000001</v>
      </c>
      <c r="L102">
        <v>367.34249999999997</v>
      </c>
      <c r="M102">
        <v>0.99962899999999999</v>
      </c>
      <c r="N102">
        <v>0</v>
      </c>
      <c r="O102">
        <v>2.724062E-2</v>
      </c>
      <c r="P102">
        <v>0.99900169999999999</v>
      </c>
      <c r="Q102">
        <v>4.3800800000000001E-2</v>
      </c>
      <c r="R102">
        <v>-8.7790919999999901E-3</v>
      </c>
      <c r="S102">
        <v>3.0353089999999998</v>
      </c>
      <c r="T102">
        <v>-0.7810918</v>
      </c>
      <c r="U102">
        <v>-0.10855099999999999</v>
      </c>
      <c r="V102">
        <v>3.5967489999999998E-2</v>
      </c>
      <c r="W102">
        <v>4.4027219999999999E-2</v>
      </c>
      <c r="X102">
        <v>0.99838269999999996</v>
      </c>
      <c r="Y102">
        <v>6.0107109999999998E-2</v>
      </c>
      <c r="Z102">
        <v>-1.4503240000000001E-2</v>
      </c>
      <c r="AA102">
        <v>0.99808660000000005</v>
      </c>
      <c r="AB102">
        <v>14</v>
      </c>
      <c r="AC102">
        <v>0.576400000000035</v>
      </c>
      <c r="AD102">
        <v>-0.1853969</v>
      </c>
      <c r="AE102">
        <v>-3.06999999999675E-2</v>
      </c>
      <c r="AF102">
        <v>4.2051874157990297E-2</v>
      </c>
      <c r="AG102">
        <v>-0.1853969</v>
      </c>
      <c r="AH102">
        <v>0.521545294292177</v>
      </c>
      <c r="AI102">
        <v>109.51057175369</v>
      </c>
      <c r="AJ102">
        <v>85.390248993472497</v>
      </c>
      <c r="AK102">
        <v>0.55511247927615803</v>
      </c>
      <c r="AL102">
        <v>87.476610531739396</v>
      </c>
      <c r="AM102">
        <v>87.936768599094407</v>
      </c>
      <c r="AN102">
        <v>1.0000000360485499</v>
      </c>
    </row>
    <row r="103" spans="1:40" x14ac:dyDescent="0.25">
      <c r="A103" t="str">
        <f>"20190312164438864"</f>
        <v>20190312164438864</v>
      </c>
      <c r="B103" t="str">
        <f>"1552380278862102"</f>
        <v>1552380278862102</v>
      </c>
      <c r="C103" t="s">
        <v>40</v>
      </c>
      <c r="D103">
        <v>5.1478630000000001</v>
      </c>
      <c r="E103">
        <v>0.513239</v>
      </c>
      <c r="F103" t="s">
        <v>41</v>
      </c>
      <c r="G103">
        <v>-469.1198</v>
      </c>
      <c r="H103">
        <v>0.92606529999999998</v>
      </c>
      <c r="I103">
        <v>367.3177</v>
      </c>
      <c r="J103">
        <v>-469.68740000000003</v>
      </c>
      <c r="K103">
        <v>1.1074520000000001</v>
      </c>
      <c r="L103">
        <v>367.34699999999998</v>
      </c>
      <c r="M103">
        <v>0.99961429999999996</v>
      </c>
      <c r="N103">
        <v>0</v>
      </c>
      <c r="O103">
        <v>2.7771259999999999E-2</v>
      </c>
      <c r="P103">
        <v>0.99897100000000005</v>
      </c>
      <c r="Q103">
        <v>4.4572149999999998E-2</v>
      </c>
      <c r="R103">
        <v>-8.3887379999999998E-3</v>
      </c>
      <c r="S103">
        <v>3.036133</v>
      </c>
      <c r="T103">
        <v>-0.77646759999999904</v>
      </c>
      <c r="U103">
        <v>-0.1052246</v>
      </c>
      <c r="V103">
        <v>3.6105320000000003E-2</v>
      </c>
      <c r="W103">
        <v>4.470176E-2</v>
      </c>
      <c r="X103">
        <v>0.99834769999999995</v>
      </c>
      <c r="Y103">
        <v>5.9569700000000003E-2</v>
      </c>
      <c r="Z103">
        <v>-1.4482409999999999E-2</v>
      </c>
      <c r="AA103">
        <v>0.99811910000000004</v>
      </c>
      <c r="AB103">
        <v>15</v>
      </c>
      <c r="AC103">
        <v>0.56760000000002697</v>
      </c>
      <c r="AD103">
        <v>-0.18138670000000001</v>
      </c>
      <c r="AE103">
        <v>-2.9299999999977899E-2</v>
      </c>
      <c r="AF103">
        <v>4.0887214031359198E-2</v>
      </c>
      <c r="AG103">
        <v>-0.18138670000000001</v>
      </c>
      <c r="AH103">
        <v>0.514195448250098</v>
      </c>
      <c r="AI103">
        <v>109.37413732642899</v>
      </c>
      <c r="AJ103">
        <v>85.453584913503093</v>
      </c>
      <c r="AK103">
        <v>0.54678136234628105</v>
      </c>
      <c r="AL103">
        <v>87.437924018248196</v>
      </c>
      <c r="AM103">
        <v>87.928796474698302</v>
      </c>
      <c r="AN103">
        <v>0.99999998578734395</v>
      </c>
    </row>
    <row r="104" spans="1:40" x14ac:dyDescent="0.25">
      <c r="A104" t="str">
        <f>"20190312164438887"</f>
        <v>20190312164438887</v>
      </c>
      <c r="B104" t="str">
        <f>"1552380278881622"</f>
        <v>1552380278881622</v>
      </c>
      <c r="C104" t="s">
        <v>40</v>
      </c>
      <c r="D104">
        <v>5.093585</v>
      </c>
      <c r="E104">
        <v>0.51317849999999998</v>
      </c>
      <c r="F104" t="s">
        <v>41</v>
      </c>
      <c r="G104">
        <v>-468.98590000000002</v>
      </c>
      <c r="H104">
        <v>0.9279908</v>
      </c>
      <c r="I104">
        <v>367.32240000000002</v>
      </c>
      <c r="J104">
        <v>-469.5367</v>
      </c>
      <c r="K104">
        <v>1.10744</v>
      </c>
      <c r="L104">
        <v>367.35180000000003</v>
      </c>
      <c r="M104">
        <v>0.9995986</v>
      </c>
      <c r="N104">
        <v>0</v>
      </c>
      <c r="O104">
        <v>2.833366E-2</v>
      </c>
      <c r="P104">
        <v>0.9989557</v>
      </c>
      <c r="Q104">
        <v>4.5045880000000003E-2</v>
      </c>
      <c r="R104">
        <v>-7.6602369999999899E-3</v>
      </c>
      <c r="S104">
        <v>3.036896</v>
      </c>
      <c r="T104">
        <v>-0.77719589999999905</v>
      </c>
      <c r="U104">
        <v>-0.1045532</v>
      </c>
      <c r="V104">
        <v>3.5937549999999999E-2</v>
      </c>
      <c r="W104">
        <v>4.5078550000000002E-2</v>
      </c>
      <c r="X104">
        <v>0.99833689999999997</v>
      </c>
      <c r="Y104">
        <v>5.9870520000000003E-2</v>
      </c>
      <c r="Z104">
        <v>-1.467156E-2</v>
      </c>
      <c r="AA104">
        <v>0.99809829999999999</v>
      </c>
      <c r="AB104">
        <v>15</v>
      </c>
      <c r="AC104">
        <v>0.55079999999998097</v>
      </c>
      <c r="AD104">
        <v>-0.179449199999999</v>
      </c>
      <c r="AE104">
        <v>-2.9400000000009599E-2</v>
      </c>
      <c r="AF104">
        <v>4.0687873766279303E-2</v>
      </c>
      <c r="AG104">
        <v>-0.179449199999999</v>
      </c>
      <c r="AH104">
        <v>0.49712858285254002</v>
      </c>
      <c r="AI104">
        <v>109.787128955688</v>
      </c>
      <c r="AJ104">
        <v>85.321011727356705</v>
      </c>
      <c r="AK104">
        <v>0.53008899850990598</v>
      </c>
      <c r="AL104">
        <v>87.416313985822399</v>
      </c>
      <c r="AM104">
        <v>87.938390095263799</v>
      </c>
      <c r="AN104">
        <v>1.0000000745358499</v>
      </c>
    </row>
    <row r="105" spans="1:40" x14ac:dyDescent="0.25">
      <c r="A105" t="str">
        <f>"20190312164438910"</f>
        <v>20190312164438910</v>
      </c>
      <c r="B105" t="str">
        <f>"1552380278902118"</f>
        <v>1552380278902118</v>
      </c>
      <c r="C105" t="s">
        <v>40</v>
      </c>
      <c r="D105">
        <v>5.128552</v>
      </c>
      <c r="E105">
        <v>0.51315129999999998</v>
      </c>
      <c r="F105" t="s">
        <v>41</v>
      </c>
      <c r="G105">
        <v>-468.84930000000003</v>
      </c>
      <c r="H105">
        <v>0.93168450000000003</v>
      </c>
      <c r="I105">
        <v>367.32850000000002</v>
      </c>
      <c r="J105">
        <v>-469.37419999999997</v>
      </c>
      <c r="K105">
        <v>1.107429</v>
      </c>
      <c r="L105">
        <v>367.3571</v>
      </c>
      <c r="M105">
        <v>0.99958119999999995</v>
      </c>
      <c r="N105">
        <v>0</v>
      </c>
      <c r="O105">
        <v>2.893927E-2</v>
      </c>
      <c r="P105">
        <v>0.99894519999999998</v>
      </c>
      <c r="Q105">
        <v>4.5382550000000001E-2</v>
      </c>
      <c r="R105">
        <v>-7.0259440000000001E-3</v>
      </c>
      <c r="S105">
        <v>3.0373540000000001</v>
      </c>
      <c r="T105">
        <v>-0.77666590000000002</v>
      </c>
      <c r="U105">
        <v>-0.10174560000000001</v>
      </c>
      <c r="V105">
        <v>3.5907090000000003E-2</v>
      </c>
      <c r="W105">
        <v>4.531673E-2</v>
      </c>
      <c r="X105">
        <v>0.99832710000000002</v>
      </c>
      <c r="Y105">
        <v>5.9544060000000003E-2</v>
      </c>
      <c r="Z105">
        <v>-1.477121E-2</v>
      </c>
      <c r="AA105">
        <v>0.99811640000000001</v>
      </c>
      <c r="AB105">
        <v>15</v>
      </c>
      <c r="AC105">
        <v>0.52489999999994497</v>
      </c>
      <c r="AD105">
        <v>-0.1757445</v>
      </c>
      <c r="AE105">
        <v>-2.8599999999983E-2</v>
      </c>
      <c r="AF105">
        <v>3.9377090137450499E-2</v>
      </c>
      <c r="AG105">
        <v>-0.1757445</v>
      </c>
      <c r="AH105">
        <v>0.47118808414362001</v>
      </c>
      <c r="AI105">
        <v>110.389394452131</v>
      </c>
      <c r="AJ105">
        <v>85.222903929953105</v>
      </c>
      <c r="AK105">
        <v>0.50443522393551998</v>
      </c>
      <c r="AL105">
        <v>87.402653024870006</v>
      </c>
      <c r="AM105">
        <v>87.9401157685447</v>
      </c>
      <c r="AN105">
        <v>0.99999996186228401</v>
      </c>
    </row>
    <row r="106" spans="1:40" x14ac:dyDescent="0.25">
      <c r="A106" t="str">
        <f>"20190312164438934"</f>
        <v>20190312164438934</v>
      </c>
      <c r="B106" t="str">
        <f>"1552380278921637"</f>
        <v>1552380278921637</v>
      </c>
      <c r="C106" t="s">
        <v>40</v>
      </c>
      <c r="D106">
        <v>5.1018919999999897</v>
      </c>
      <c r="E106">
        <v>0.51309689999999997</v>
      </c>
      <c r="F106" t="s">
        <v>41</v>
      </c>
      <c r="G106">
        <v>-468.58510000000001</v>
      </c>
      <c r="H106">
        <v>0.90570720000000005</v>
      </c>
      <c r="I106">
        <v>367.33100000000002</v>
      </c>
      <c r="J106">
        <v>-469.21249999999998</v>
      </c>
      <c r="K106">
        <v>1.107418</v>
      </c>
      <c r="L106">
        <v>367.36250000000001</v>
      </c>
      <c r="M106">
        <v>0.9995636</v>
      </c>
      <c r="N106">
        <v>0</v>
      </c>
      <c r="O106">
        <v>2.954172E-2</v>
      </c>
      <c r="P106">
        <v>0.99894090000000002</v>
      </c>
      <c r="Q106">
        <v>4.5538629999999997E-2</v>
      </c>
      <c r="R106">
        <v>-6.6021359999999998E-3</v>
      </c>
      <c r="S106">
        <v>3.03775</v>
      </c>
      <c r="T106">
        <v>-0.77652290000000002</v>
      </c>
      <c r="U106">
        <v>-9.9945069999999997E-2</v>
      </c>
      <c r="V106">
        <v>3.6084270000000002E-2</v>
      </c>
      <c r="W106">
        <v>4.5381999999999999E-2</v>
      </c>
      <c r="X106">
        <v>0.99831780000000003</v>
      </c>
      <c r="Y106">
        <v>5.9532979999999999E-2</v>
      </c>
      <c r="Z106">
        <v>-1.491695E-2</v>
      </c>
      <c r="AA106">
        <v>0.99811490000000003</v>
      </c>
      <c r="AB106">
        <v>15</v>
      </c>
      <c r="AC106">
        <v>0.62739999999996598</v>
      </c>
      <c r="AD106">
        <v>-0.2017108</v>
      </c>
      <c r="AE106">
        <v>-3.1500000000050897E-2</v>
      </c>
      <c r="AF106">
        <v>4.5345426901795799E-2</v>
      </c>
      <c r="AG106">
        <v>-0.2017108</v>
      </c>
      <c r="AH106">
        <v>0.56766683304276</v>
      </c>
      <c r="AI106">
        <v>109.50438995322</v>
      </c>
      <c r="AJ106">
        <v>85.432890489111003</v>
      </c>
      <c r="AK106">
        <v>0.604143267705883</v>
      </c>
      <c r="AL106">
        <v>87.398909616444996</v>
      </c>
      <c r="AM106">
        <v>87.929941026617698</v>
      </c>
      <c r="AN106">
        <v>1.0000000151311299</v>
      </c>
    </row>
    <row r="107" spans="1:40" x14ac:dyDescent="0.25">
      <c r="A107" t="str">
        <f>"20190312164438955"</f>
        <v>20190312164438955</v>
      </c>
      <c r="B107" t="str">
        <f>"1552380278951894"</f>
        <v>1552380278951894</v>
      </c>
      <c r="C107" t="s">
        <v>40</v>
      </c>
      <c r="D107">
        <v>5.118906</v>
      </c>
      <c r="E107">
        <v>0.51326669999999996</v>
      </c>
      <c r="F107" t="s">
        <v>41</v>
      </c>
      <c r="G107">
        <v>-468.44229999999999</v>
      </c>
      <c r="H107">
        <v>0.91074690000000003</v>
      </c>
      <c r="I107">
        <v>367.3372</v>
      </c>
      <c r="J107">
        <v>-469.05799999999999</v>
      </c>
      <c r="K107">
        <v>1.1074170000000001</v>
      </c>
      <c r="L107">
        <v>367.36770000000001</v>
      </c>
      <c r="M107">
        <v>0.99954639999999995</v>
      </c>
      <c r="N107">
        <v>0</v>
      </c>
      <c r="O107">
        <v>3.011573E-2</v>
      </c>
      <c r="P107">
        <v>0.99893370000000004</v>
      </c>
      <c r="Q107">
        <v>4.5744050000000001E-2</v>
      </c>
      <c r="R107">
        <v>-6.2403440000000001E-3</v>
      </c>
      <c r="S107">
        <v>3.0378720000000001</v>
      </c>
      <c r="T107">
        <v>-0.77585850000000001</v>
      </c>
      <c r="U107">
        <v>-9.8388669999999998E-2</v>
      </c>
      <c r="V107">
        <v>3.6295180000000003E-2</v>
      </c>
      <c r="W107">
        <v>4.5506320000000003E-2</v>
      </c>
      <c r="X107">
        <v>0.99830450000000004</v>
      </c>
      <c r="Y107">
        <v>5.9579100000000003E-2</v>
      </c>
      <c r="Z107">
        <v>-1.5054140000000001E-2</v>
      </c>
      <c r="AA107">
        <v>0.9981101</v>
      </c>
      <c r="AB107">
        <v>16</v>
      </c>
      <c r="AC107">
        <v>0.61570000000005998</v>
      </c>
      <c r="AD107">
        <v>-0.19667009999999999</v>
      </c>
      <c r="AE107">
        <v>-3.05000000000177E-2</v>
      </c>
      <c r="AF107">
        <v>4.4499175071181701E-2</v>
      </c>
      <c r="AG107">
        <v>-0.19667009999999999</v>
      </c>
      <c r="AH107">
        <v>0.55773448109177604</v>
      </c>
      <c r="AI107">
        <v>109.36688826535401</v>
      </c>
      <c r="AJ107">
        <v>85.438285569096095</v>
      </c>
      <c r="AK107">
        <v>0.59306581103174205</v>
      </c>
      <c r="AL107">
        <v>87.3917792513775</v>
      </c>
      <c r="AM107">
        <v>87.917824582205398</v>
      </c>
      <c r="AN107">
        <v>1.00000001998571</v>
      </c>
    </row>
    <row r="108" spans="1:40" x14ac:dyDescent="0.25">
      <c r="A108" t="str">
        <f>"20190312164438977"</f>
        <v>20190312164438977</v>
      </c>
      <c r="B108" t="str">
        <f>"1552380278971414"</f>
        <v>1552380278971414</v>
      </c>
      <c r="C108" t="s">
        <v>40</v>
      </c>
      <c r="D108">
        <v>5.1096649999999997</v>
      </c>
      <c r="E108">
        <v>0.51330980000000004</v>
      </c>
      <c r="F108" t="s">
        <v>41</v>
      </c>
      <c r="G108">
        <v>-468.2987</v>
      </c>
      <c r="H108">
        <v>0.91331410000000002</v>
      </c>
      <c r="I108">
        <v>367.34280000000001</v>
      </c>
      <c r="J108">
        <v>-468.90690000000001</v>
      </c>
      <c r="K108">
        <v>1.107407</v>
      </c>
      <c r="L108">
        <v>367.37290000000002</v>
      </c>
      <c r="M108">
        <v>0.99952929999999995</v>
      </c>
      <c r="N108">
        <v>0</v>
      </c>
      <c r="O108">
        <v>3.067628E-2</v>
      </c>
      <c r="P108">
        <v>0.99893129999999997</v>
      </c>
      <c r="Q108">
        <v>4.5886339999999998E-2</v>
      </c>
      <c r="R108">
        <v>-5.5375559999999999E-3</v>
      </c>
      <c r="S108">
        <v>3.0381770000000001</v>
      </c>
      <c r="T108">
        <v>-0.77686140000000004</v>
      </c>
      <c r="U108">
        <v>-9.8052979999999998E-2</v>
      </c>
      <c r="V108">
        <v>3.6151580000000003E-2</v>
      </c>
      <c r="W108">
        <v>4.5575869999999997E-2</v>
      </c>
      <c r="X108">
        <v>0.99830649999999999</v>
      </c>
      <c r="Y108">
        <v>5.9987470000000001E-2</v>
      </c>
      <c r="Z108">
        <v>-1.526393E-2</v>
      </c>
      <c r="AA108">
        <v>0.99808240000000004</v>
      </c>
      <c r="AB108">
        <v>16</v>
      </c>
      <c r="AC108">
        <v>0.60820000000000995</v>
      </c>
      <c r="AD108">
        <v>-0.19409289999999901</v>
      </c>
      <c r="AE108">
        <v>-3.0100000000004401E-2</v>
      </c>
      <c r="AF108">
        <v>4.4247872090173598E-2</v>
      </c>
      <c r="AG108">
        <v>-0.19409289999999901</v>
      </c>
      <c r="AH108">
        <v>0.55101146554602498</v>
      </c>
      <c r="AI108">
        <v>109.34709756571399</v>
      </c>
      <c r="AJ108">
        <v>85.408829104465596</v>
      </c>
      <c r="AK108">
        <v>0.58586992001475602</v>
      </c>
      <c r="AL108">
        <v>87.387790092701493</v>
      </c>
      <c r="AM108">
        <v>87.926059544503502</v>
      </c>
      <c r="AN108">
        <v>0.99999998230250098</v>
      </c>
    </row>
    <row r="109" spans="1:40" x14ac:dyDescent="0.25">
      <c r="A109" t="str">
        <f>"20190312164438999"</f>
        <v>20190312164438999</v>
      </c>
      <c r="B109" t="str">
        <f>"1552380278991910"</f>
        <v>1552380278991910</v>
      </c>
      <c r="C109" t="s">
        <v>40</v>
      </c>
      <c r="D109">
        <v>5.0704379999999896</v>
      </c>
      <c r="E109">
        <v>0.51327659999999997</v>
      </c>
      <c r="F109" t="s">
        <v>41</v>
      </c>
      <c r="G109">
        <v>-468.15370000000001</v>
      </c>
      <c r="H109">
        <v>0.9148849</v>
      </c>
      <c r="I109">
        <v>367.3485</v>
      </c>
      <c r="J109">
        <v>-468.7423</v>
      </c>
      <c r="K109">
        <v>1.10738799999999</v>
      </c>
      <c r="L109">
        <v>367.37869999999998</v>
      </c>
      <c r="M109">
        <v>0.99951699999999999</v>
      </c>
      <c r="N109">
        <v>0</v>
      </c>
      <c r="O109">
        <v>3.1076300000000001E-2</v>
      </c>
      <c r="P109">
        <v>0.99890939999999995</v>
      </c>
      <c r="Q109">
        <v>4.6415360000000003E-2</v>
      </c>
      <c r="R109">
        <v>-5.0498560000000001E-3</v>
      </c>
      <c r="S109">
        <v>3.0383610000000001</v>
      </c>
      <c r="T109">
        <v>-0.77685499999999996</v>
      </c>
      <c r="U109">
        <v>-9.6252439999999995E-2</v>
      </c>
      <c r="V109">
        <v>3.6061160000000002E-2</v>
      </c>
      <c r="W109">
        <v>4.594931E-2</v>
      </c>
      <c r="X109">
        <v>0.99829270000000003</v>
      </c>
      <c r="Y109">
        <v>5.9787979999999998E-2</v>
      </c>
      <c r="Z109">
        <v>-1.5338569999999999E-2</v>
      </c>
      <c r="AA109">
        <v>0.99809320000000001</v>
      </c>
      <c r="AB109">
        <v>16</v>
      </c>
      <c r="AC109">
        <v>0.58859999999998502</v>
      </c>
      <c r="AD109">
        <v>-0.19250309999999901</v>
      </c>
      <c r="AE109">
        <v>-3.0199999999979299E-2</v>
      </c>
      <c r="AF109">
        <v>4.3803823318289199E-2</v>
      </c>
      <c r="AG109">
        <v>-0.19250309999999901</v>
      </c>
      <c r="AH109">
        <v>0.53075495049765298</v>
      </c>
      <c r="AI109">
        <v>109.87329141823599</v>
      </c>
      <c r="AJ109">
        <v>85.282005333807803</v>
      </c>
      <c r="AK109">
        <v>0.56628352962511297</v>
      </c>
      <c r="AL109">
        <v>87.366371243892104</v>
      </c>
      <c r="AM109">
        <v>87.931213664958605</v>
      </c>
      <c r="AN109">
        <v>1.0000000306116501</v>
      </c>
    </row>
    <row r="110" spans="1:40" x14ac:dyDescent="0.25">
      <c r="A110" t="str">
        <f>"20190312164439022"</f>
        <v>20190312164439022</v>
      </c>
      <c r="B110" t="str">
        <f>"1552380279011432"</f>
        <v>1552380279011432</v>
      </c>
      <c r="C110" t="s">
        <v>40</v>
      </c>
      <c r="D110">
        <v>4.8708559999999999</v>
      </c>
      <c r="E110">
        <v>0.49354599999999998</v>
      </c>
      <c r="F110" t="s">
        <v>41</v>
      </c>
      <c r="G110">
        <v>-468.00470000000001</v>
      </c>
      <c r="H110">
        <v>0.91937170000000001</v>
      </c>
      <c r="I110">
        <v>367.35550000000001</v>
      </c>
      <c r="J110">
        <v>-468.57549999999998</v>
      </c>
      <c r="K110">
        <v>1.1072879999999901</v>
      </c>
      <c r="L110">
        <v>367.38470000000001</v>
      </c>
      <c r="M110">
        <v>0.99950669999999997</v>
      </c>
      <c r="N110">
        <v>0</v>
      </c>
      <c r="O110">
        <v>3.1400669999999999E-2</v>
      </c>
      <c r="P110">
        <v>0.9988823</v>
      </c>
      <c r="Q110">
        <v>4.6967500000000002E-2</v>
      </c>
      <c r="R110">
        <v>-5.33958E-3</v>
      </c>
      <c r="S110">
        <v>3.038818</v>
      </c>
      <c r="T110">
        <v>-0.77482580000000001</v>
      </c>
      <c r="U110">
        <v>-9.4421389999999994E-2</v>
      </c>
      <c r="V110">
        <v>3.6677260000000003E-2</v>
      </c>
      <c r="W110">
        <v>4.6325140000000001E-2</v>
      </c>
      <c r="X110">
        <v>0.9982529</v>
      </c>
      <c r="Y110">
        <v>5.9520289999999997E-2</v>
      </c>
      <c r="Z110">
        <v>-1.534543E-2</v>
      </c>
      <c r="AA110">
        <v>0.99810920000000003</v>
      </c>
      <c r="AB110">
        <v>16</v>
      </c>
      <c r="AC110">
        <v>0.570799999999962</v>
      </c>
      <c r="AD110">
        <v>-0.18791629999999901</v>
      </c>
      <c r="AE110">
        <v>-2.9200000000002901E-2</v>
      </c>
      <c r="AF110">
        <v>4.2513404882510403E-2</v>
      </c>
      <c r="AG110">
        <v>-0.18791629999999901</v>
      </c>
      <c r="AH110">
        <v>0.51403446965336796</v>
      </c>
      <c r="AI110">
        <v>110.018072722673</v>
      </c>
      <c r="AJ110">
        <v>85.272092352705201</v>
      </c>
      <c r="AK110">
        <v>0.54895478993466595</v>
      </c>
      <c r="AL110">
        <v>87.344814857773699</v>
      </c>
      <c r="AM110">
        <v>87.895816421011801</v>
      </c>
      <c r="AN110">
        <v>1.0000000461777601</v>
      </c>
    </row>
    <row r="111" spans="1:40" x14ac:dyDescent="0.25">
      <c r="A111" t="str">
        <f>"20190312164439042"</f>
        <v>20190312164439042</v>
      </c>
      <c r="B111" t="str">
        <f>"1552380279031925"</f>
        <v>1552380279031925</v>
      </c>
      <c r="C111" t="s">
        <v>40</v>
      </c>
      <c r="D111">
        <v>4.9334119999999997</v>
      </c>
      <c r="E111">
        <v>0.48942989999999997</v>
      </c>
      <c r="F111" t="s">
        <v>41</v>
      </c>
      <c r="G111">
        <v>-467.83589999999998</v>
      </c>
      <c r="H111">
        <v>0.96427830000000003</v>
      </c>
      <c r="I111">
        <v>367.3981</v>
      </c>
      <c r="J111">
        <v>-468.41750000000002</v>
      </c>
      <c r="K111">
        <v>1.107118</v>
      </c>
      <c r="L111">
        <v>367.39049999999997</v>
      </c>
      <c r="M111">
        <v>0.99948510000000002</v>
      </c>
      <c r="N111">
        <v>0</v>
      </c>
      <c r="O111">
        <v>3.2079959999999998E-2</v>
      </c>
      <c r="P111">
        <v>0.99886949999999997</v>
      </c>
      <c r="Q111">
        <v>4.7252660000000002E-2</v>
      </c>
      <c r="R111">
        <v>-5.1745699999999999E-3</v>
      </c>
      <c r="S111">
        <v>3.0312809999999999</v>
      </c>
      <c r="T111">
        <v>-0.58649039999999997</v>
      </c>
      <c r="U111">
        <v>5.6884770000000001E-2</v>
      </c>
      <c r="V111">
        <v>3.72042E-2</v>
      </c>
      <c r="W111">
        <v>4.6593780000000001E-2</v>
      </c>
      <c r="X111">
        <v>0.99822089999999997</v>
      </c>
      <c r="Y111">
        <v>1.2495269999999999E-2</v>
      </c>
      <c r="Z111">
        <v>-7.3455859999999899E-3</v>
      </c>
      <c r="AA111">
        <v>0.99989499999999998</v>
      </c>
      <c r="AB111">
        <v>16</v>
      </c>
      <c r="AC111">
        <v>0.58160000000003698</v>
      </c>
      <c r="AD111">
        <v>-0.14283969999999899</v>
      </c>
      <c r="AE111">
        <v>7.6000000000249202E-3</v>
      </c>
      <c r="AF111">
        <v>1.0432459504134701E-2</v>
      </c>
      <c r="AG111">
        <v>-0.14283969999999899</v>
      </c>
      <c r="AH111">
        <v>0.54846748544815505</v>
      </c>
      <c r="AI111">
        <v>104.59498995194799</v>
      </c>
      <c r="AJ111">
        <v>88.910302171834502</v>
      </c>
      <c r="AK111">
        <v>0.56685853499900496</v>
      </c>
      <c r="AL111">
        <v>87.329406289266302</v>
      </c>
      <c r="AM111">
        <v>87.865545144886795</v>
      </c>
      <c r="AN111">
        <v>1.00000004901456</v>
      </c>
    </row>
    <row r="112" spans="1:40" x14ac:dyDescent="0.25">
      <c r="A112" t="str">
        <f>"20190312164439066"</f>
        <v>20190312164439066</v>
      </c>
      <c r="B112" t="str">
        <f>"1552380279062182"</f>
        <v>1552380279062182</v>
      </c>
      <c r="C112" t="s">
        <v>40</v>
      </c>
      <c r="D112">
        <v>4.9198649999999997</v>
      </c>
      <c r="E112">
        <v>0.48983789999999999</v>
      </c>
      <c r="F112" t="s">
        <v>41</v>
      </c>
      <c r="G112">
        <v>-467.67579999999998</v>
      </c>
      <c r="H112">
        <v>0.98656390000000005</v>
      </c>
      <c r="I112">
        <v>367.41149999999999</v>
      </c>
      <c r="J112">
        <v>-468.2473</v>
      </c>
      <c r="K112">
        <v>1.1069659999999999</v>
      </c>
      <c r="L112">
        <v>367.39659999999998</v>
      </c>
      <c r="M112">
        <v>0.99945130000000004</v>
      </c>
      <c r="N112">
        <v>0</v>
      </c>
      <c r="O112">
        <v>3.3115779999999997E-2</v>
      </c>
      <c r="P112">
        <v>0.99885489999999999</v>
      </c>
      <c r="Q112">
        <v>4.7631130000000001E-2</v>
      </c>
      <c r="R112">
        <v>-4.5263109999999999E-3</v>
      </c>
      <c r="S112">
        <v>3.0271300000000001</v>
      </c>
      <c r="T112">
        <v>-0.49230190000000001</v>
      </c>
      <c r="U112">
        <v>8.7341310000000005E-2</v>
      </c>
      <c r="V112">
        <v>3.7603240000000003E-2</v>
      </c>
      <c r="W112">
        <v>4.70239E-2</v>
      </c>
      <c r="X112">
        <v>0.99818580000000001</v>
      </c>
      <c r="Y112">
        <v>3.7927239999999999E-3</v>
      </c>
      <c r="Z112">
        <v>-5.6543369999999997E-3</v>
      </c>
      <c r="AA112">
        <v>0.9999768</v>
      </c>
      <c r="AB112">
        <v>17</v>
      </c>
      <c r="AC112">
        <v>0.571500000000014</v>
      </c>
      <c r="AD112">
        <v>-0.120402099999999</v>
      </c>
      <c r="AE112">
        <v>1.4900000000011401E-2</v>
      </c>
      <c r="AF112">
        <v>3.86252337398952E-3</v>
      </c>
      <c r="AG112">
        <v>-0.120402099999999</v>
      </c>
      <c r="AH112">
        <v>0.54740015009265097</v>
      </c>
      <c r="AI112">
        <v>102.404530191245</v>
      </c>
      <c r="AJ112">
        <v>89.5957205806247</v>
      </c>
      <c r="AK112">
        <v>0.56049844700291696</v>
      </c>
      <c r="AL112">
        <v>87.304735246258701</v>
      </c>
      <c r="AM112">
        <v>87.842597413498297</v>
      </c>
      <c r="AN112">
        <v>1.00000007107567</v>
      </c>
    </row>
    <row r="113" spans="1:40" x14ac:dyDescent="0.25">
      <c r="A113" t="str">
        <f>"20190312164439090"</f>
        <v>20190312164439090</v>
      </c>
      <c r="B113" t="str">
        <f>"1552380279081702"</f>
        <v>1552380279081702</v>
      </c>
      <c r="C113" t="s">
        <v>40</v>
      </c>
      <c r="D113">
        <v>4.9779600000000004</v>
      </c>
      <c r="E113">
        <v>0.48982300000000001</v>
      </c>
      <c r="F113" t="s">
        <v>41</v>
      </c>
      <c r="G113">
        <v>-467.51549999999997</v>
      </c>
      <c r="H113">
        <v>1.0059720000000001</v>
      </c>
      <c r="I113">
        <v>367.41660000000002</v>
      </c>
      <c r="J113">
        <v>-468.06349999999998</v>
      </c>
      <c r="K113">
        <v>1.1068990000000001</v>
      </c>
      <c r="L113">
        <v>367.40339999999998</v>
      </c>
      <c r="M113">
        <v>0.99941530000000001</v>
      </c>
      <c r="N113">
        <v>0</v>
      </c>
      <c r="O113">
        <v>3.4188730000000001E-2</v>
      </c>
      <c r="P113">
        <v>0.99881929999999997</v>
      </c>
      <c r="Q113">
        <v>4.8397820000000001E-2</v>
      </c>
      <c r="R113">
        <v>-4.2540759999999999E-3</v>
      </c>
      <c r="S113">
        <v>3.0237430000000001</v>
      </c>
      <c r="T113">
        <v>-0.41753600000000002</v>
      </c>
      <c r="U113">
        <v>8.3557129999999993E-2</v>
      </c>
      <c r="V113">
        <v>3.840321E-2</v>
      </c>
      <c r="W113">
        <v>4.7773120000000002E-2</v>
      </c>
      <c r="X113">
        <v>0.99811970000000005</v>
      </c>
      <c r="Y113">
        <v>6.1860700000000001E-3</v>
      </c>
      <c r="Z113">
        <v>-5.1215690000000003E-3</v>
      </c>
      <c r="AA113">
        <v>0.99996779999999996</v>
      </c>
      <c r="AB113">
        <v>17</v>
      </c>
      <c r="AC113">
        <v>0.54800000000000104</v>
      </c>
      <c r="AD113">
        <v>-0.100927</v>
      </c>
      <c r="AE113">
        <v>1.32000000000402E-2</v>
      </c>
      <c r="AF113">
        <v>5.3613906228150198E-3</v>
      </c>
      <c r="AG113">
        <v>-0.100927</v>
      </c>
      <c r="AH113">
        <v>0.530158472274189</v>
      </c>
      <c r="AI113">
        <v>100.777964606308</v>
      </c>
      <c r="AJ113">
        <v>89.420598557051093</v>
      </c>
      <c r="AK113">
        <v>0.53970641052567903</v>
      </c>
      <c r="AL113">
        <v>87.261759625638803</v>
      </c>
      <c r="AM113">
        <v>87.796599902821896</v>
      </c>
      <c r="AN113">
        <v>1.00000000653046</v>
      </c>
    </row>
    <row r="114" spans="1:40" x14ac:dyDescent="0.25">
      <c r="A114" t="str">
        <f>"20190312164439110"</f>
        <v>20190312164439110</v>
      </c>
      <c r="B114" t="str">
        <f>"1552380279102198"</f>
        <v>1552380279102198</v>
      </c>
      <c r="C114" t="s">
        <v>40</v>
      </c>
      <c r="D114">
        <v>5.0543380000000004</v>
      </c>
      <c r="E114">
        <v>0.4896431</v>
      </c>
      <c r="F114" t="s">
        <v>41</v>
      </c>
      <c r="G114">
        <v>-467.21179999999998</v>
      </c>
      <c r="H114">
        <v>0.99493690000000001</v>
      </c>
      <c r="I114">
        <v>367.42649999999998</v>
      </c>
      <c r="J114">
        <v>-467.89440000000002</v>
      </c>
      <c r="K114">
        <v>1.1069169999999999</v>
      </c>
      <c r="L114">
        <v>367.40980000000002</v>
      </c>
      <c r="M114">
        <v>0.99939239999999996</v>
      </c>
      <c r="N114">
        <v>0</v>
      </c>
      <c r="O114">
        <v>3.4842909999999998E-2</v>
      </c>
      <c r="P114">
        <v>0.99875630000000004</v>
      </c>
      <c r="Q114">
        <v>4.9707210000000002E-2</v>
      </c>
      <c r="R114">
        <v>-3.8651639999999999E-3</v>
      </c>
      <c r="S114">
        <v>3.0231629999999998</v>
      </c>
      <c r="T114">
        <v>-0.39778419999999998</v>
      </c>
      <c r="U114">
        <v>8.3526610000000001E-2</v>
      </c>
      <c r="V114">
        <v>3.86571E-2</v>
      </c>
      <c r="W114">
        <v>4.8986670000000003E-2</v>
      </c>
      <c r="X114">
        <v>0.99805100000000002</v>
      </c>
      <c r="Y114">
        <v>6.8689769999999897E-3</v>
      </c>
      <c r="Z114">
        <v>-5.0126980000000003E-3</v>
      </c>
      <c r="AA114">
        <v>0.99996379999999996</v>
      </c>
      <c r="AB114">
        <v>17</v>
      </c>
      <c r="AC114">
        <v>0.68260000000003596</v>
      </c>
      <c r="AD114">
        <v>-0.111980099999999</v>
      </c>
      <c r="AE114">
        <v>1.6699999999957499E-2</v>
      </c>
      <c r="AF114">
        <v>6.9081187005295098E-3</v>
      </c>
      <c r="AG114">
        <v>-0.111980099999999</v>
      </c>
      <c r="AH114">
        <v>0.66488460192583299</v>
      </c>
      <c r="AI114">
        <v>99.559551109246399</v>
      </c>
      <c r="AJ114">
        <v>89.4047210551619</v>
      </c>
      <c r="AK114">
        <v>0.674283915556395</v>
      </c>
      <c r="AL114">
        <v>87.192146602768304</v>
      </c>
      <c r="AM114">
        <v>87.781894840888796</v>
      </c>
      <c r="AN114">
        <v>0.99999993190954695</v>
      </c>
    </row>
    <row r="115" spans="1:40" x14ac:dyDescent="0.25">
      <c r="A115" t="str">
        <f>"20190312164439134"</f>
        <v>20190312164439134</v>
      </c>
      <c r="B115" t="str">
        <f>"1552380279121717"</f>
        <v>1552380279121717</v>
      </c>
      <c r="C115" t="s">
        <v>40</v>
      </c>
      <c r="D115">
        <v>4.906015</v>
      </c>
      <c r="E115">
        <v>0.48968610000000001</v>
      </c>
      <c r="F115" t="s">
        <v>41</v>
      </c>
      <c r="G115">
        <v>-467.05169999999998</v>
      </c>
      <c r="H115">
        <v>1.0005200000000001</v>
      </c>
      <c r="I115">
        <v>367.43369999999999</v>
      </c>
      <c r="J115">
        <v>-467.71280000000002</v>
      </c>
      <c r="K115">
        <v>1.106973</v>
      </c>
      <c r="L115">
        <v>367.41680000000002</v>
      </c>
      <c r="M115">
        <v>0.99937719999999997</v>
      </c>
      <c r="N115">
        <v>0</v>
      </c>
      <c r="O115">
        <v>3.5280779999999998E-2</v>
      </c>
      <c r="P115">
        <v>0.99871980000000005</v>
      </c>
      <c r="Q115">
        <v>5.0458290000000003E-2</v>
      </c>
      <c r="R115">
        <v>-3.6166140000000002E-3</v>
      </c>
      <c r="S115">
        <v>3.0231020000000002</v>
      </c>
      <c r="T115">
        <v>-0.38180589999999998</v>
      </c>
      <c r="U115">
        <v>8.6303710000000006E-2</v>
      </c>
      <c r="V115">
        <v>3.8832970000000001E-2</v>
      </c>
      <c r="W115">
        <v>4.9650100000000003E-2</v>
      </c>
      <c r="X115">
        <v>0.99801150000000005</v>
      </c>
      <c r="Y115">
        <v>6.4169429999999996E-3</v>
      </c>
      <c r="Z115">
        <v>-4.8395870000000002E-3</v>
      </c>
      <c r="AA115">
        <v>0.99996770000000001</v>
      </c>
      <c r="AB115">
        <v>17</v>
      </c>
      <c r="AC115">
        <v>0.66110000000003299</v>
      </c>
      <c r="AD115">
        <v>-0.10645299999999901</v>
      </c>
      <c r="AE115">
        <v>1.68999999999641E-2</v>
      </c>
      <c r="AF115">
        <v>6.2721283095948299E-3</v>
      </c>
      <c r="AG115">
        <v>-0.10645299999999901</v>
      </c>
      <c r="AH115">
        <v>0.64458237321239098</v>
      </c>
      <c r="AI115">
        <v>99.377334567768798</v>
      </c>
      <c r="AJ115">
        <v>89.442499276600003</v>
      </c>
      <c r="AK115">
        <v>0.65334372014939501</v>
      </c>
      <c r="AL115">
        <v>87.154088864513</v>
      </c>
      <c r="AM115">
        <v>87.771725647360398</v>
      </c>
      <c r="AN115">
        <v>1.00000004306063</v>
      </c>
    </row>
    <row r="116" spans="1:40" x14ac:dyDescent="0.25">
      <c r="A116" t="str">
        <f>"20190312164439155"</f>
        <v>20190312164439155</v>
      </c>
      <c r="B116" t="str">
        <f>"1552380279151974"</f>
        <v>1552380279151974</v>
      </c>
      <c r="C116" t="s">
        <v>40</v>
      </c>
      <c r="D116">
        <v>4.8978339999999996</v>
      </c>
      <c r="E116">
        <v>0.48997449999999998</v>
      </c>
      <c r="F116" t="s">
        <v>41</v>
      </c>
      <c r="G116">
        <v>-466.88909999999998</v>
      </c>
      <c r="H116">
        <v>1.007083</v>
      </c>
      <c r="I116">
        <v>367.44</v>
      </c>
      <c r="J116">
        <v>-467.54039999999998</v>
      </c>
      <c r="K116">
        <v>1.1070230000000001</v>
      </c>
      <c r="L116">
        <v>367.4237</v>
      </c>
      <c r="M116">
        <v>0.99936389999999997</v>
      </c>
      <c r="N116">
        <v>0</v>
      </c>
      <c r="O116">
        <v>3.5652360000000001E-2</v>
      </c>
      <c r="P116">
        <v>0.99872720000000004</v>
      </c>
      <c r="Q116">
        <v>5.035837E-2</v>
      </c>
      <c r="R116">
        <v>-2.865636E-3</v>
      </c>
      <c r="S116">
        <v>3.0227360000000001</v>
      </c>
      <c r="T116">
        <v>-0.36686590000000002</v>
      </c>
      <c r="U116">
        <v>8.6547849999999996E-2</v>
      </c>
      <c r="V116">
        <v>3.8446769999999998E-2</v>
      </c>
      <c r="W116">
        <v>4.9521519999999999E-2</v>
      </c>
      <c r="X116">
        <v>0.99803280000000005</v>
      </c>
      <c r="Y116">
        <v>6.7248430000000003E-3</v>
      </c>
      <c r="Z116">
        <v>-4.7156780000000001E-3</v>
      </c>
      <c r="AA116">
        <v>0.99996629999999997</v>
      </c>
      <c r="AB116">
        <v>18</v>
      </c>
      <c r="AC116">
        <v>0.651299999999992</v>
      </c>
      <c r="AD116">
        <v>-9.9939999999999904E-2</v>
      </c>
      <c r="AE116">
        <v>1.6300000000001001E-2</v>
      </c>
      <c r="AF116">
        <v>6.7714132668217396E-3</v>
      </c>
      <c r="AG116">
        <v>-9.9939999999999904E-2</v>
      </c>
      <c r="AH116">
        <v>0.63648968678913997</v>
      </c>
      <c r="AI116">
        <v>98.923082090256798</v>
      </c>
      <c r="AJ116">
        <v>89.390471246554796</v>
      </c>
      <c r="AK116">
        <v>0.64432365859602503</v>
      </c>
      <c r="AL116">
        <v>87.161464913883705</v>
      </c>
      <c r="AM116">
        <v>87.793911216837202</v>
      </c>
      <c r="AN116">
        <v>1.0000000024711899</v>
      </c>
    </row>
    <row r="117" spans="1:40" x14ac:dyDescent="0.25">
      <c r="A117" t="str">
        <f>"20190312164439178"</f>
        <v>20190312164439178</v>
      </c>
      <c r="B117" t="str">
        <f>"1552380279171495"</f>
        <v>1552380279171495</v>
      </c>
      <c r="C117" t="s">
        <v>40</v>
      </c>
      <c r="D117">
        <v>5.0537739999999998</v>
      </c>
      <c r="E117">
        <v>0.48989500000000002</v>
      </c>
      <c r="F117" t="s">
        <v>41</v>
      </c>
      <c r="G117">
        <v>-466.72620000000001</v>
      </c>
      <c r="H117">
        <v>1.010623</v>
      </c>
      <c r="I117">
        <v>367.44650000000001</v>
      </c>
      <c r="J117">
        <v>-467.36130000000003</v>
      </c>
      <c r="K117">
        <v>1.1070439999999999</v>
      </c>
      <c r="L117">
        <v>367.43090000000001</v>
      </c>
      <c r="M117">
        <v>0.99934670000000003</v>
      </c>
      <c r="N117">
        <v>0</v>
      </c>
      <c r="O117">
        <v>3.6131099999999999E-2</v>
      </c>
      <c r="P117">
        <v>0.99874099999999999</v>
      </c>
      <c r="Q117">
        <v>5.0135800000000001E-2</v>
      </c>
      <c r="R117">
        <v>-1.6787989999999999E-3</v>
      </c>
      <c r="S117">
        <v>3.022125</v>
      </c>
      <c r="T117">
        <v>-0.3580662</v>
      </c>
      <c r="U117">
        <v>8.6059570000000002E-2</v>
      </c>
      <c r="V117">
        <v>3.7737979999999997E-2</v>
      </c>
      <c r="W117">
        <v>4.9309579999999999E-2</v>
      </c>
      <c r="X117">
        <v>0.99807040000000002</v>
      </c>
      <c r="Y117">
        <v>7.3662519999999898E-3</v>
      </c>
      <c r="Z117">
        <v>-4.6986270000000004E-3</v>
      </c>
      <c r="AA117">
        <v>0.99996189999999996</v>
      </c>
      <c r="AB117">
        <v>18</v>
      </c>
      <c r="AC117">
        <v>0.63510000000002198</v>
      </c>
      <c r="AD117">
        <v>-9.6421000000000007E-2</v>
      </c>
      <c r="AE117">
        <v>1.5600000000006199E-2</v>
      </c>
      <c r="AF117">
        <v>7.1913984792593899E-3</v>
      </c>
      <c r="AG117">
        <v>-9.6421000000000007E-2</v>
      </c>
      <c r="AH117">
        <v>0.62094519723192199</v>
      </c>
      <c r="AI117">
        <v>98.825872936176793</v>
      </c>
      <c r="AJ117">
        <v>89.336465821690297</v>
      </c>
      <c r="AK117">
        <v>0.62842793017057896</v>
      </c>
      <c r="AL117">
        <v>87.173623187967706</v>
      </c>
      <c r="AM117">
        <v>87.834624248258294</v>
      </c>
      <c r="AN117">
        <v>1.0000000565852001</v>
      </c>
    </row>
    <row r="118" spans="1:40" x14ac:dyDescent="0.25">
      <c r="A118" t="str">
        <f>"20190312164439199"</f>
        <v>20190312164439199</v>
      </c>
      <c r="B118" t="str">
        <f>"1552380279191990"</f>
        <v>1552380279191990</v>
      </c>
      <c r="C118" t="s">
        <v>40</v>
      </c>
      <c r="D118">
        <v>5.5204810000000002</v>
      </c>
      <c r="E118">
        <v>0.49018460000000003</v>
      </c>
      <c r="F118" t="s">
        <v>41</v>
      </c>
      <c r="G118">
        <v>-466.56229999999999</v>
      </c>
      <c r="H118">
        <v>1.0126500000000001</v>
      </c>
      <c r="I118">
        <v>367.45440000000002</v>
      </c>
      <c r="J118">
        <v>-467.18049999999999</v>
      </c>
      <c r="K118">
        <v>1.107037</v>
      </c>
      <c r="L118">
        <v>367.43819999999999</v>
      </c>
      <c r="M118">
        <v>0.99932529999999997</v>
      </c>
      <c r="N118">
        <v>0</v>
      </c>
      <c r="O118">
        <v>3.6720940000000001E-2</v>
      </c>
      <c r="P118">
        <v>0.9987528</v>
      </c>
      <c r="Q118">
        <v>4.9928239999999999E-2</v>
      </c>
      <c r="R118">
        <v>-5.4950430000000002E-4</v>
      </c>
      <c r="S118">
        <v>3.021881</v>
      </c>
      <c r="T118">
        <v>-0.35728320000000002</v>
      </c>
      <c r="U118">
        <v>9.0637209999999996E-2</v>
      </c>
      <c r="V118">
        <v>3.7201610000000003E-2</v>
      </c>
      <c r="W118">
        <v>4.9125269999999999E-2</v>
      </c>
      <c r="X118">
        <v>0.99809959999999998</v>
      </c>
      <c r="Y118">
        <v>6.4442880000000003E-3</v>
      </c>
      <c r="Z118">
        <v>-4.703792E-3</v>
      </c>
      <c r="AA118">
        <v>0.99996819999999997</v>
      </c>
      <c r="AB118">
        <v>18</v>
      </c>
      <c r="AC118">
        <v>0.61820000000000097</v>
      </c>
      <c r="AD118">
        <v>-9.4386999999999999E-2</v>
      </c>
      <c r="AE118">
        <v>1.62000000000261E-2</v>
      </c>
      <c r="AF118">
        <v>6.3635755563166601E-3</v>
      </c>
      <c r="AG118">
        <v>-9.4386999999999999E-2</v>
      </c>
      <c r="AH118">
        <v>0.60430057880040799</v>
      </c>
      <c r="AI118">
        <v>98.876938605257806</v>
      </c>
      <c r="AJ118">
        <v>89.396670202713196</v>
      </c>
      <c r="AK118">
        <v>0.61166051891663598</v>
      </c>
      <c r="AL118">
        <v>87.184196116002497</v>
      </c>
      <c r="AM118">
        <v>87.865434454862196</v>
      </c>
      <c r="AN118">
        <v>1.00000003172966</v>
      </c>
    </row>
    <row r="119" spans="1:40" x14ac:dyDescent="0.25">
      <c r="A119" t="str">
        <f>"20190312164439234"</f>
        <v>20190312164439234</v>
      </c>
      <c r="B119" t="str">
        <f>"1552380279232010"</f>
        <v>1552380279232010</v>
      </c>
      <c r="C119" t="s">
        <v>40</v>
      </c>
      <c r="D119">
        <v>5.1066200000000004</v>
      </c>
      <c r="E119">
        <v>0.49018539999999999</v>
      </c>
      <c r="F119" t="s">
        <v>41</v>
      </c>
      <c r="G119">
        <v>-466.39679999999998</v>
      </c>
      <c r="H119">
        <v>1.0138929999999999</v>
      </c>
      <c r="I119">
        <v>367.46199999999999</v>
      </c>
      <c r="J119">
        <v>-466.89679999999998</v>
      </c>
      <c r="K119">
        <v>1.107019</v>
      </c>
      <c r="L119">
        <v>367.44959999999998</v>
      </c>
      <c r="M119">
        <v>0.9992896</v>
      </c>
      <c r="N119">
        <v>0</v>
      </c>
      <c r="O119">
        <v>3.7679820000000003E-2</v>
      </c>
      <c r="P119">
        <v>0.99875040000000004</v>
      </c>
      <c r="Q119">
        <v>4.9950029999999999E-2</v>
      </c>
      <c r="R119">
        <v>1.637456E-3</v>
      </c>
      <c r="S119">
        <v>3.0217290000000001</v>
      </c>
      <c r="T119">
        <v>-0.3593092</v>
      </c>
      <c r="U119">
        <v>9.1766360000000005E-2</v>
      </c>
      <c r="V119">
        <v>3.5979410000000003E-2</v>
      </c>
      <c r="W119">
        <v>4.9180519999999998E-2</v>
      </c>
      <c r="X119">
        <v>0.99814159999999996</v>
      </c>
      <c r="Y119">
        <v>7.0148049999999998E-3</v>
      </c>
      <c r="Z119">
        <v>-4.8777780000000001E-3</v>
      </c>
      <c r="AA119">
        <v>0.99996350000000001</v>
      </c>
      <c r="AB119">
        <v>18</v>
      </c>
      <c r="AC119">
        <v>0.5</v>
      </c>
      <c r="AD119">
        <v>-9.3126E-2</v>
      </c>
      <c r="AE119">
        <v>1.24000000000137E-2</v>
      </c>
      <c r="AF119">
        <v>6.2326443214394296E-3</v>
      </c>
      <c r="AG119">
        <v>-9.3126E-2</v>
      </c>
      <c r="AH119">
        <v>0.48335497666403299</v>
      </c>
      <c r="AI119">
        <v>100.904430348083</v>
      </c>
      <c r="AJ119">
        <v>89.261237719263207</v>
      </c>
      <c r="AK119">
        <v>0.49228379132074401</v>
      </c>
      <c r="AL119">
        <v>87.181026455862806</v>
      </c>
      <c r="AM119">
        <v>87.935587309044095</v>
      </c>
      <c r="AN119">
        <v>0.99999994757098698</v>
      </c>
    </row>
    <row r="120" spans="1:40" x14ac:dyDescent="0.25">
      <c r="A120" t="str">
        <f>"20190312164439255"</f>
        <v>20190312164439255</v>
      </c>
      <c r="B120" t="str">
        <f>"1552380279251529"</f>
        <v>1552380279251529</v>
      </c>
      <c r="C120" t="s">
        <v>40</v>
      </c>
      <c r="D120">
        <v>5.0578419999999999</v>
      </c>
      <c r="E120">
        <v>0.49039729999999998</v>
      </c>
      <c r="F120" t="s">
        <v>41</v>
      </c>
      <c r="G120">
        <v>-466.06439999999998</v>
      </c>
      <c r="H120">
        <v>1.007876</v>
      </c>
      <c r="I120">
        <v>367.47649999999999</v>
      </c>
      <c r="J120">
        <v>-466.7199</v>
      </c>
      <c r="K120">
        <v>1.1070329999999999</v>
      </c>
      <c r="L120">
        <v>367.45679999999999</v>
      </c>
      <c r="M120">
        <v>0.99926970000000004</v>
      </c>
      <c r="N120">
        <v>0</v>
      </c>
      <c r="O120">
        <v>3.8204200000000001E-2</v>
      </c>
      <c r="P120">
        <v>0.99874660000000004</v>
      </c>
      <c r="Q120">
        <v>4.9982510000000001E-2</v>
      </c>
      <c r="R120">
        <v>2.6696649999999999E-3</v>
      </c>
      <c r="S120">
        <v>3.021576</v>
      </c>
      <c r="T120">
        <v>-0.35994169999999998</v>
      </c>
      <c r="U120">
        <v>9.799194E-2</v>
      </c>
      <c r="V120">
        <v>3.547297E-2</v>
      </c>
      <c r="W120">
        <v>4.9238619999999997E-2</v>
      </c>
      <c r="X120">
        <v>0.99815690000000001</v>
      </c>
      <c r="Y120">
        <v>5.4857159999999999E-3</v>
      </c>
      <c r="Z120">
        <v>-4.8577949999999998E-3</v>
      </c>
      <c r="AA120">
        <v>0.99997320000000001</v>
      </c>
      <c r="AB120">
        <v>19</v>
      </c>
      <c r="AC120">
        <v>0.65550000000001696</v>
      </c>
      <c r="AD120">
        <v>-9.9156999999999898E-2</v>
      </c>
      <c r="AE120">
        <v>1.97000000000002E-2</v>
      </c>
      <c r="AF120">
        <v>5.2375029334904002E-3</v>
      </c>
      <c r="AG120">
        <v>-9.9156999999999898E-2</v>
      </c>
      <c r="AH120">
        <v>0.64111702604867704</v>
      </c>
      <c r="AI120">
        <v>98.791580366630598</v>
      </c>
      <c r="AJ120">
        <v>89.531941711717707</v>
      </c>
      <c r="AK120">
        <v>0.64876080582559703</v>
      </c>
      <c r="AL120">
        <v>87.177693639149396</v>
      </c>
      <c r="AM120">
        <v>87.964652185324795</v>
      </c>
      <c r="AN120">
        <v>0.99999998515886701</v>
      </c>
    </row>
    <row r="121" spans="1:40" x14ac:dyDescent="0.25">
      <c r="A121" t="str">
        <f>"20190312164439277"</f>
        <v>20190312164439277</v>
      </c>
      <c r="B121" t="str">
        <f>"1552380279272026"</f>
        <v>1552380279272026</v>
      </c>
      <c r="C121" t="s">
        <v>40</v>
      </c>
      <c r="D121">
        <v>4.9218080000000004</v>
      </c>
      <c r="E121">
        <v>0.49062129999999998</v>
      </c>
      <c r="F121" t="s">
        <v>41</v>
      </c>
      <c r="G121">
        <v>-465.89370000000002</v>
      </c>
      <c r="H121">
        <v>1.0084310000000001</v>
      </c>
      <c r="I121">
        <v>367.48360000000002</v>
      </c>
      <c r="J121">
        <v>-466.52589999999998</v>
      </c>
      <c r="K121">
        <v>1.1070580000000001</v>
      </c>
      <c r="L121">
        <v>367.46469999999999</v>
      </c>
      <c r="M121">
        <v>0.99925059999999999</v>
      </c>
      <c r="N121">
        <v>0</v>
      </c>
      <c r="O121">
        <v>3.8701800000000001E-2</v>
      </c>
      <c r="P121">
        <v>0.99874280000000004</v>
      </c>
      <c r="Q121">
        <v>5.0025210000000001E-2</v>
      </c>
      <c r="R121">
        <v>3.2700379999999999E-3</v>
      </c>
      <c r="S121">
        <v>3.021515</v>
      </c>
      <c r="T121">
        <v>-0.36088609999999999</v>
      </c>
      <c r="U121">
        <v>9.9670410000000001E-2</v>
      </c>
      <c r="V121">
        <v>3.5370220000000001E-2</v>
      </c>
      <c r="W121">
        <v>4.9317680000000003E-2</v>
      </c>
      <c r="X121">
        <v>0.99815670000000001</v>
      </c>
      <c r="Y121">
        <v>5.4234210000000003E-3</v>
      </c>
      <c r="Z121">
        <v>-4.9259409999999997E-3</v>
      </c>
      <c r="AA121">
        <v>0.99997320000000001</v>
      </c>
      <c r="AB121">
        <v>19</v>
      </c>
      <c r="AC121">
        <v>0.63219999999995402</v>
      </c>
      <c r="AD121">
        <v>-9.8627000000000201E-2</v>
      </c>
      <c r="AE121">
        <v>1.89000000000305E-2</v>
      </c>
      <c r="AF121">
        <v>5.4489454258966202E-3</v>
      </c>
      <c r="AG121">
        <v>-9.8627000000000201E-2</v>
      </c>
      <c r="AH121">
        <v>0.61744396696167803</v>
      </c>
      <c r="AI121">
        <v>99.075087134704404</v>
      </c>
      <c r="AJ121">
        <v>89.494377647269204</v>
      </c>
      <c r="AK121">
        <v>0.62529515308582795</v>
      </c>
      <c r="AL121">
        <v>87.173158485269497</v>
      </c>
      <c r="AM121">
        <v>87.970542372804303</v>
      </c>
      <c r="AN121">
        <v>1.0000000418891499</v>
      </c>
    </row>
    <row r="122" spans="1:40" x14ac:dyDescent="0.25">
      <c r="A122" t="str">
        <f>"20190312164439301"</f>
        <v>20190312164439301</v>
      </c>
      <c r="B122" t="str">
        <f>"1552380279291549"</f>
        <v>1552380279291549</v>
      </c>
      <c r="C122" t="s">
        <v>40</v>
      </c>
      <c r="D122">
        <v>5.0300929999999999</v>
      </c>
      <c r="E122">
        <v>0.49072670000000002</v>
      </c>
      <c r="F122" t="s">
        <v>41</v>
      </c>
      <c r="G122">
        <v>-465.72030000000001</v>
      </c>
      <c r="H122">
        <v>1.0110920000000001</v>
      </c>
      <c r="I122">
        <v>367.49160000000001</v>
      </c>
      <c r="J122">
        <v>-466.32639999999998</v>
      </c>
      <c r="K122">
        <v>1.107084</v>
      </c>
      <c r="L122">
        <v>367.47289999999998</v>
      </c>
      <c r="M122">
        <v>0.99923320000000004</v>
      </c>
      <c r="N122">
        <v>0</v>
      </c>
      <c r="O122">
        <v>3.9153019999999997E-2</v>
      </c>
      <c r="P122">
        <v>0.99875930000000002</v>
      </c>
      <c r="Q122">
        <v>4.963733E-2</v>
      </c>
      <c r="R122">
        <v>4.0288340000000002E-3</v>
      </c>
      <c r="S122">
        <v>3.0214539999999999</v>
      </c>
      <c r="T122">
        <v>-0.3598769</v>
      </c>
      <c r="U122">
        <v>0.1007996</v>
      </c>
      <c r="V122">
        <v>3.5063080000000003E-2</v>
      </c>
      <c r="W122">
        <v>4.8972870000000002E-2</v>
      </c>
      <c r="X122">
        <v>0.99818439999999997</v>
      </c>
      <c r="Y122">
        <v>5.4990439999999998E-3</v>
      </c>
      <c r="Z122">
        <v>-4.9703000000000004E-3</v>
      </c>
      <c r="AA122">
        <v>0.99997250000000004</v>
      </c>
      <c r="AB122">
        <v>19</v>
      </c>
      <c r="AC122">
        <v>0.606099999999969</v>
      </c>
      <c r="AD122">
        <v>-9.59919999999998E-2</v>
      </c>
      <c r="AE122">
        <v>1.8700000000023899E-2</v>
      </c>
      <c r="AF122">
        <v>4.92165174821412E-3</v>
      </c>
      <c r="AG122">
        <v>-9.59919999999998E-2</v>
      </c>
      <c r="AH122">
        <v>0.59154376895216298</v>
      </c>
      <c r="AI122">
        <v>99.216940170846499</v>
      </c>
      <c r="AJ122">
        <v>89.523309378300794</v>
      </c>
      <c r="AK122">
        <v>0.59930185825346804</v>
      </c>
      <c r="AL122">
        <v>87.192938226515295</v>
      </c>
      <c r="AM122">
        <v>87.988206561178004</v>
      </c>
      <c r="AN122">
        <v>0.99999992898923895</v>
      </c>
    </row>
    <row r="123" spans="1:40" x14ac:dyDescent="0.25">
      <c r="A123" t="str">
        <f>"20190312164439323"</f>
        <v>20190312164439323</v>
      </c>
      <c r="B123" t="str">
        <f>"1552380279312041"</f>
        <v>1552380279312041</v>
      </c>
      <c r="C123" t="s">
        <v>40</v>
      </c>
      <c r="D123">
        <v>5.0450730000000004</v>
      </c>
      <c r="E123">
        <v>0.49093500000000001</v>
      </c>
      <c r="F123" t="s">
        <v>41</v>
      </c>
      <c r="G123">
        <v>-465.54489999999998</v>
      </c>
      <c r="H123">
        <v>1.0140279999999999</v>
      </c>
      <c r="I123">
        <v>367.49900000000002</v>
      </c>
      <c r="J123">
        <v>-466.12490000000003</v>
      </c>
      <c r="K123">
        <v>1.1071009999999999</v>
      </c>
      <c r="L123">
        <v>367.48129999999998</v>
      </c>
      <c r="M123">
        <v>0.99921669999999996</v>
      </c>
      <c r="N123">
        <v>0</v>
      </c>
      <c r="O123">
        <v>3.956784E-2</v>
      </c>
      <c r="P123">
        <v>0.99875270000000005</v>
      </c>
      <c r="Q123">
        <v>4.971809E-2</v>
      </c>
      <c r="R123">
        <v>4.618044E-3</v>
      </c>
      <c r="S123">
        <v>3.02121</v>
      </c>
      <c r="T123">
        <v>-0.36000290000000001</v>
      </c>
      <c r="U123">
        <v>0.1022034</v>
      </c>
      <c r="V123">
        <v>3.4888170000000003E-2</v>
      </c>
      <c r="W123">
        <v>4.9098120000000002E-2</v>
      </c>
      <c r="X123">
        <v>0.99818439999999997</v>
      </c>
      <c r="Y123">
        <v>5.4445580000000004E-3</v>
      </c>
      <c r="Z123">
        <v>-5.0183399999999996E-3</v>
      </c>
      <c r="AA123">
        <v>0.99997259999999999</v>
      </c>
      <c r="AB123">
        <v>19</v>
      </c>
      <c r="AC123">
        <v>0.58000000000004004</v>
      </c>
      <c r="AD123">
        <v>-9.3072999999999906E-2</v>
      </c>
      <c r="AE123">
        <v>1.7700000000047501E-2</v>
      </c>
      <c r="AF123">
        <v>5.1312027389881602E-3</v>
      </c>
      <c r="AG123">
        <v>-9.3072999999999906E-2</v>
      </c>
      <c r="AH123">
        <v>0.56569263670118197</v>
      </c>
      <c r="AI123">
        <v>99.342749869258398</v>
      </c>
      <c r="AJ123">
        <v>89.480304004202097</v>
      </c>
      <c r="AK123">
        <v>0.57332108960728501</v>
      </c>
      <c r="AL123">
        <v>87.185753354299194</v>
      </c>
      <c r="AM123">
        <v>87.998234082993207</v>
      </c>
      <c r="AN123">
        <v>0.99999995309842005</v>
      </c>
    </row>
    <row r="124" spans="1:40" x14ac:dyDescent="0.25">
      <c r="A124" t="str">
        <f>"20190312164439346"</f>
        <v>20190312164439346</v>
      </c>
      <c r="B124" t="str">
        <f>"1552380279341322"</f>
        <v>1552380279341322</v>
      </c>
      <c r="C124" t="s">
        <v>40</v>
      </c>
      <c r="D124">
        <v>4.8452460000000004</v>
      </c>
      <c r="E124">
        <v>0.4909828</v>
      </c>
      <c r="F124" t="s">
        <v>41</v>
      </c>
      <c r="G124">
        <v>-465.36750000000001</v>
      </c>
      <c r="H124">
        <v>1.017317</v>
      </c>
      <c r="I124">
        <v>367.50689999999997</v>
      </c>
      <c r="J124">
        <v>-465.92689999999999</v>
      </c>
      <c r="K124">
        <v>1.107116</v>
      </c>
      <c r="L124">
        <v>367.4896</v>
      </c>
      <c r="M124">
        <v>0.99920200000000003</v>
      </c>
      <c r="N124">
        <v>0</v>
      </c>
      <c r="O124">
        <v>3.9938359999999999E-2</v>
      </c>
      <c r="P124">
        <v>0.99874090000000004</v>
      </c>
      <c r="Q124">
        <v>4.9920470000000002E-2</v>
      </c>
      <c r="R124">
        <v>4.97694E-3</v>
      </c>
      <c r="S124">
        <v>3.0210569999999999</v>
      </c>
      <c r="T124">
        <v>-0.35809800000000003</v>
      </c>
      <c r="U124">
        <v>0.1020508</v>
      </c>
      <c r="V124">
        <v>3.4899840000000001E-2</v>
      </c>
      <c r="W124">
        <v>4.9342450000000003E-2</v>
      </c>
      <c r="X124">
        <v>0.99817199999999995</v>
      </c>
      <c r="Y124">
        <v>5.8619240000000001E-3</v>
      </c>
      <c r="Z124">
        <v>-5.0605839999999999E-3</v>
      </c>
      <c r="AA124">
        <v>0.99997000000000003</v>
      </c>
      <c r="AB124">
        <v>19</v>
      </c>
      <c r="AC124">
        <v>0.55939999999998202</v>
      </c>
      <c r="AD124">
        <v>-8.9798999999999907E-2</v>
      </c>
      <c r="AE124">
        <v>1.7299999999977399E-2</v>
      </c>
      <c r="AF124">
        <v>4.9284448244603903E-3</v>
      </c>
      <c r="AG124">
        <v>-8.9798999999999907E-2</v>
      </c>
      <c r="AH124">
        <v>0.54559850330065995</v>
      </c>
      <c r="AI124">
        <v>99.346032213903996</v>
      </c>
      <c r="AJ124">
        <v>89.482455677102095</v>
      </c>
      <c r="AK124">
        <v>0.55296100836614903</v>
      </c>
      <c r="AL124">
        <v>87.171737445517905</v>
      </c>
      <c r="AM124">
        <v>87.997540187221603</v>
      </c>
      <c r="AN124">
        <v>1.00000000889401</v>
      </c>
    </row>
    <row r="125" spans="1:40" x14ac:dyDescent="0.25">
      <c r="A125" t="str">
        <f>"20190312164439367"</f>
        <v>20190312164439367</v>
      </c>
      <c r="B125" t="str">
        <f>"1552380279361818"</f>
        <v>1552380279361818</v>
      </c>
      <c r="C125" t="s">
        <v>40</v>
      </c>
      <c r="D125">
        <v>4.8921679999999999</v>
      </c>
      <c r="E125">
        <v>0.49099340000000002</v>
      </c>
      <c r="F125" t="s">
        <v>41</v>
      </c>
      <c r="G125">
        <v>-465.18880000000001</v>
      </c>
      <c r="H125">
        <v>1.0196190000000001</v>
      </c>
      <c r="I125">
        <v>367.51440000000002</v>
      </c>
      <c r="J125">
        <v>-465.73259999999999</v>
      </c>
      <c r="K125">
        <v>1.107111</v>
      </c>
      <c r="L125">
        <v>367.49770000000001</v>
      </c>
      <c r="M125">
        <v>0.9991892</v>
      </c>
      <c r="N125">
        <v>0</v>
      </c>
      <c r="O125">
        <v>4.025985E-2</v>
      </c>
      <c r="P125">
        <v>0.99870619999999999</v>
      </c>
      <c r="Q125">
        <v>5.0535719999999999E-2</v>
      </c>
      <c r="R125">
        <v>5.688228E-3</v>
      </c>
      <c r="S125">
        <v>3.0211790000000001</v>
      </c>
      <c r="T125">
        <v>-0.35831960000000002</v>
      </c>
      <c r="U125">
        <v>0.1026917</v>
      </c>
      <c r="V125">
        <v>3.4510230000000003E-2</v>
      </c>
      <c r="W125">
        <v>4.999634E-2</v>
      </c>
      <c r="X125">
        <v>0.99815299999999996</v>
      </c>
      <c r="Y125">
        <v>5.9697730000000003E-3</v>
      </c>
      <c r="Z125">
        <v>-5.1077880000000003E-3</v>
      </c>
      <c r="AA125">
        <v>0.99996910000000006</v>
      </c>
      <c r="AB125">
        <v>20</v>
      </c>
      <c r="AC125">
        <v>0.54379999999997597</v>
      </c>
      <c r="AD125">
        <v>-8.7491999999999903E-2</v>
      </c>
      <c r="AE125">
        <v>1.6700000000014301E-2</v>
      </c>
      <c r="AF125">
        <v>5.0755861997603003E-3</v>
      </c>
      <c r="AG125">
        <v>-8.7491999999999903E-2</v>
      </c>
      <c r="AH125">
        <v>0.53031681394238195</v>
      </c>
      <c r="AI125">
        <v>99.367883031553205</v>
      </c>
      <c r="AJ125">
        <v>89.451647051103194</v>
      </c>
      <c r="AK125">
        <v>0.53750956716068798</v>
      </c>
      <c r="AL125">
        <v>87.134225984559095</v>
      </c>
      <c r="AM125">
        <v>88.019839412781394</v>
      </c>
      <c r="AN125">
        <v>1.0000000006985199</v>
      </c>
    </row>
    <row r="126" spans="1:40" x14ac:dyDescent="0.25">
      <c r="A126" t="str">
        <f>"20190312164439392"</f>
        <v>20190312164439392</v>
      </c>
      <c r="B126" t="str">
        <f>"1552380279382314"</f>
        <v>1552380279382314</v>
      </c>
      <c r="C126" t="s">
        <v>40</v>
      </c>
      <c r="D126">
        <v>4.8236549999999996</v>
      </c>
      <c r="E126">
        <v>0.4912569</v>
      </c>
      <c r="F126" t="s">
        <v>41</v>
      </c>
      <c r="G126">
        <v>-465.0086</v>
      </c>
      <c r="H126">
        <v>1.021156</v>
      </c>
      <c r="I126">
        <v>367.52260000000001</v>
      </c>
      <c r="J126">
        <v>-465.51740000000001</v>
      </c>
      <c r="K126">
        <v>1.1071070000000001</v>
      </c>
      <c r="L126">
        <v>367.50670000000002</v>
      </c>
      <c r="M126">
        <v>0.99917730000000005</v>
      </c>
      <c r="N126">
        <v>0</v>
      </c>
      <c r="O126">
        <v>4.0556000000000002E-2</v>
      </c>
      <c r="P126">
        <v>0.99863420000000003</v>
      </c>
      <c r="Q126">
        <v>5.1924720000000001E-2</v>
      </c>
      <c r="R126">
        <v>5.8173649999999997E-3</v>
      </c>
      <c r="S126">
        <v>3.021423</v>
      </c>
      <c r="T126">
        <v>-0.35887190000000002</v>
      </c>
      <c r="U126">
        <v>0.10485839999999901</v>
      </c>
      <c r="V126">
        <v>3.467655E-2</v>
      </c>
      <c r="W126">
        <v>5.1428340000000003E-2</v>
      </c>
      <c r="X126">
        <v>0.99807449999999998</v>
      </c>
      <c r="Y126">
        <v>5.5525619999999996E-3</v>
      </c>
      <c r="Z126">
        <v>-5.1254409999999997E-3</v>
      </c>
      <c r="AA126">
        <v>0.99997139999999995</v>
      </c>
      <c r="AB126">
        <v>20</v>
      </c>
      <c r="AC126">
        <v>0.50880000000000702</v>
      </c>
      <c r="AD126">
        <v>-8.5951000000000097E-2</v>
      </c>
      <c r="AE126">
        <v>1.5899999999987799E-2</v>
      </c>
      <c r="AF126">
        <v>4.6163650848985299E-3</v>
      </c>
      <c r="AG126">
        <v>-8.5951000000000097E-2</v>
      </c>
      <c r="AH126">
        <v>0.49491659903205798</v>
      </c>
      <c r="AI126">
        <v>99.851738674481098</v>
      </c>
      <c r="AJ126">
        <v>89.465585583056296</v>
      </c>
      <c r="AK126">
        <v>0.50234582234259295</v>
      </c>
      <c r="AL126">
        <v>87.052072778849293</v>
      </c>
      <c r="AM126">
        <v>88.010147432206594</v>
      </c>
      <c r="AN126">
        <v>1.00000002241265</v>
      </c>
    </row>
    <row r="127" spans="1:40" x14ac:dyDescent="0.25">
      <c r="A127" t="str">
        <f>"20190312164439413"</f>
        <v>20190312164439413</v>
      </c>
      <c r="B127" t="str">
        <f>"1552380279401834"</f>
        <v>1552380279401834</v>
      </c>
      <c r="C127" t="s">
        <v>40</v>
      </c>
      <c r="D127">
        <v>4.8338720000000004</v>
      </c>
      <c r="E127">
        <v>0.49134909999999998</v>
      </c>
      <c r="F127" t="s">
        <v>41</v>
      </c>
      <c r="G127">
        <v>-464.65159999999997</v>
      </c>
      <c r="H127">
        <v>1.005387</v>
      </c>
      <c r="I127">
        <v>367.536</v>
      </c>
      <c r="J127">
        <v>-465.31479999999999</v>
      </c>
      <c r="K127">
        <v>1.1071</v>
      </c>
      <c r="L127">
        <v>367.51519999999999</v>
      </c>
      <c r="M127">
        <v>0.99916819999999895</v>
      </c>
      <c r="N127">
        <v>0</v>
      </c>
      <c r="O127">
        <v>4.0777760000000003E-2</v>
      </c>
      <c r="P127">
        <v>0.99848689999999996</v>
      </c>
      <c r="Q127">
        <v>5.4626939999999999E-2</v>
      </c>
      <c r="R127">
        <v>6.3351550000000003E-3</v>
      </c>
      <c r="S127">
        <v>3.0220030000000002</v>
      </c>
      <c r="T127">
        <v>-0.35525820000000002</v>
      </c>
      <c r="U127">
        <v>0.1034851</v>
      </c>
      <c r="V127">
        <v>3.43773E-2</v>
      </c>
      <c r="W127">
        <v>5.4171089999999998E-2</v>
      </c>
      <c r="X127">
        <v>0.99793969999999999</v>
      </c>
      <c r="Y127">
        <v>6.2353950000000003E-3</v>
      </c>
      <c r="Z127">
        <v>-5.1392030000000002E-3</v>
      </c>
      <c r="AA127">
        <v>0.9999673</v>
      </c>
      <c r="AB127">
        <v>20</v>
      </c>
      <c r="AC127">
        <v>0.663200000000017</v>
      </c>
      <c r="AD127">
        <v>-0.101712999999999</v>
      </c>
      <c r="AE127">
        <v>2.0800000000008301E-2</v>
      </c>
      <c r="AF127">
        <v>6.1173643132775698E-3</v>
      </c>
      <c r="AG127">
        <v>-0.101712999999999</v>
      </c>
      <c r="AH127">
        <v>0.64826344955979698</v>
      </c>
      <c r="AI127">
        <v>98.916659704802896</v>
      </c>
      <c r="AJ127">
        <v>89.459342102498198</v>
      </c>
      <c r="AK127">
        <v>0.65622287109663402</v>
      </c>
      <c r="AL127">
        <v>86.894705078337594</v>
      </c>
      <c r="AM127">
        <v>88.027039480779294</v>
      </c>
      <c r="AN127">
        <v>0.99999997529158302</v>
      </c>
    </row>
    <row r="128" spans="1:40" x14ac:dyDescent="0.25">
      <c r="A128" t="str">
        <f>"20190312164439435"</f>
        <v>20190312164439435</v>
      </c>
      <c r="B128" t="str">
        <f>"1552380279422330"</f>
        <v>1552380279422330</v>
      </c>
      <c r="C128" t="s">
        <v>40</v>
      </c>
      <c r="D128">
        <v>4.889043</v>
      </c>
      <c r="E128">
        <v>0.49156339999999998</v>
      </c>
      <c r="F128" t="s">
        <v>41</v>
      </c>
      <c r="G128">
        <v>-464.46519999999998</v>
      </c>
      <c r="H128">
        <v>1.0087630000000001</v>
      </c>
      <c r="I128">
        <v>367.54430000000002</v>
      </c>
      <c r="J128">
        <v>-465.1225</v>
      </c>
      <c r="K128">
        <v>1.1070990000000001</v>
      </c>
      <c r="L128">
        <v>367.52330000000001</v>
      </c>
      <c r="M128">
        <v>0.99916119999999997</v>
      </c>
      <c r="N128">
        <v>0</v>
      </c>
      <c r="O128">
        <v>4.0946530000000002E-2</v>
      </c>
      <c r="P128">
        <v>0.99836740000000002</v>
      </c>
      <c r="Q128">
        <v>5.676229E-2</v>
      </c>
      <c r="R128">
        <v>6.3803169999999999E-3</v>
      </c>
      <c r="S128">
        <v>3.0230100000000002</v>
      </c>
      <c r="T128">
        <v>-0.35004849999999998</v>
      </c>
      <c r="U128">
        <v>0.1043091</v>
      </c>
      <c r="V128">
        <v>3.4498719999999997E-2</v>
      </c>
      <c r="W128">
        <v>5.6344039999999998E-2</v>
      </c>
      <c r="X128">
        <v>0.99781520000000001</v>
      </c>
      <c r="Y128">
        <v>6.1524800000000001E-3</v>
      </c>
      <c r="Z128">
        <v>-5.0773090000000003E-3</v>
      </c>
      <c r="AA128">
        <v>0.99996819999999997</v>
      </c>
      <c r="AB128">
        <v>20</v>
      </c>
      <c r="AC128">
        <v>0.65730000000001998</v>
      </c>
      <c r="AD128">
        <v>-9.8336000000000201E-2</v>
      </c>
      <c r="AE128">
        <v>2.1000000000015E-2</v>
      </c>
      <c r="AF128">
        <v>5.80204124712967E-3</v>
      </c>
      <c r="AG128">
        <v>-9.8336000000000201E-2</v>
      </c>
      <c r="AH128">
        <v>0.64322664251482198</v>
      </c>
      <c r="AI128">
        <v>98.6916870460811</v>
      </c>
      <c r="AJ128">
        <v>89.483193887735794</v>
      </c>
      <c r="AK128">
        <v>0.65072586103483199</v>
      </c>
      <c r="AL128">
        <v>86.770013731612394</v>
      </c>
      <c r="AM128">
        <v>88.019829712892999</v>
      </c>
      <c r="AN128">
        <v>0.99999999293810005</v>
      </c>
    </row>
    <row r="129" spans="1:40" x14ac:dyDescent="0.25">
      <c r="A129" t="str">
        <f>"20190312164439457"</f>
        <v>20190312164439457</v>
      </c>
      <c r="B129" t="str">
        <f>"1552380279451610"</f>
        <v>1552380279451610</v>
      </c>
      <c r="C129" t="s">
        <v>40</v>
      </c>
      <c r="D129">
        <v>4.8566000000000003</v>
      </c>
      <c r="E129">
        <v>0.49190650000000002</v>
      </c>
      <c r="F129" t="s">
        <v>41</v>
      </c>
      <c r="G129">
        <v>-464.27760000000001</v>
      </c>
      <c r="H129">
        <v>1.01084</v>
      </c>
      <c r="I129">
        <v>367.55189999999999</v>
      </c>
      <c r="J129">
        <v>-464.90980000000002</v>
      </c>
      <c r="K129">
        <v>1.107092</v>
      </c>
      <c r="L129">
        <v>367.53219999999999</v>
      </c>
      <c r="M129">
        <v>0.99915549999999997</v>
      </c>
      <c r="N129">
        <v>0</v>
      </c>
      <c r="O129">
        <v>4.1087699999999998E-2</v>
      </c>
      <c r="P129">
        <v>0.99818510000000005</v>
      </c>
      <c r="Q129">
        <v>5.9865509999999997E-2</v>
      </c>
      <c r="R129">
        <v>6.5236959999999998E-3</v>
      </c>
      <c r="S129">
        <v>3.0238339999999999</v>
      </c>
      <c r="T129">
        <v>-0.34472219999999998</v>
      </c>
      <c r="U129">
        <v>0.1030273</v>
      </c>
      <c r="V129">
        <v>3.4492519999999999E-2</v>
      </c>
      <c r="W129">
        <v>5.9489220000000002E-2</v>
      </c>
      <c r="X129">
        <v>0.99763290000000004</v>
      </c>
      <c r="Y129">
        <v>6.7314779999999999E-3</v>
      </c>
      <c r="Z129">
        <v>-5.0481529999999997E-3</v>
      </c>
      <c r="AA129">
        <v>0.99996459999999998</v>
      </c>
      <c r="AB129">
        <v>21</v>
      </c>
      <c r="AC129">
        <v>0.63220000000001098</v>
      </c>
      <c r="AD129">
        <v>-9.6252000000000004E-2</v>
      </c>
      <c r="AE129">
        <v>1.97000000000002E-2</v>
      </c>
      <c r="AF129">
        <v>6.1498662020038697E-3</v>
      </c>
      <c r="AG129">
        <v>-9.6252000000000004E-2</v>
      </c>
      <c r="AH129">
        <v>0.61816059525077405</v>
      </c>
      <c r="AI129">
        <v>98.849861642608502</v>
      </c>
      <c r="AJ129">
        <v>89.430002888783505</v>
      </c>
      <c r="AK129">
        <v>0.625639504730235</v>
      </c>
      <c r="AL129">
        <v>86.589505320014098</v>
      </c>
      <c r="AM129">
        <v>88.0198238109584</v>
      </c>
      <c r="AN129">
        <v>1.0000000521972801</v>
      </c>
    </row>
    <row r="130" spans="1:40" x14ac:dyDescent="0.25">
      <c r="A130" t="str">
        <f>"20190312164439478"</f>
        <v>20190312164439478</v>
      </c>
      <c r="B130" t="str">
        <f>"1552380279472106"</f>
        <v>1552380279472106</v>
      </c>
      <c r="C130" t="s">
        <v>40</v>
      </c>
      <c r="D130">
        <v>4.8197020000000004</v>
      </c>
      <c r="E130">
        <v>0.4920581</v>
      </c>
      <c r="F130" t="s">
        <v>41</v>
      </c>
      <c r="G130">
        <v>-464.0865</v>
      </c>
      <c r="H130">
        <v>1.016624</v>
      </c>
      <c r="I130">
        <v>367.55930000000001</v>
      </c>
      <c r="J130">
        <v>-464.69869999999997</v>
      </c>
      <c r="K130">
        <v>1.1070930000000001</v>
      </c>
      <c r="L130">
        <v>367.541</v>
      </c>
      <c r="M130">
        <v>0.99915169999999998</v>
      </c>
      <c r="N130">
        <v>0</v>
      </c>
      <c r="O130">
        <v>4.1183980000000002E-2</v>
      </c>
      <c r="P130">
        <v>0.99798710000000002</v>
      </c>
      <c r="Q130">
        <v>6.3041260000000002E-2</v>
      </c>
      <c r="R130">
        <v>6.9331640000000003E-3</v>
      </c>
      <c r="S130">
        <v>3.0247799999999998</v>
      </c>
      <c r="T130">
        <v>-0.33267940000000001</v>
      </c>
      <c r="U130">
        <v>0.1012878</v>
      </c>
      <c r="V130">
        <v>3.4174459999999997E-2</v>
      </c>
      <c r="W130">
        <v>6.2706139999999994E-2</v>
      </c>
      <c r="X130">
        <v>0.99744679999999997</v>
      </c>
      <c r="Y130">
        <v>7.4294340000000004E-3</v>
      </c>
      <c r="Z130">
        <v>-4.9202200000000003E-3</v>
      </c>
      <c r="AA130">
        <v>0.99996030000000002</v>
      </c>
      <c r="AB130">
        <v>21</v>
      </c>
      <c r="AC130">
        <v>0.61219999999997299</v>
      </c>
      <c r="AD130">
        <v>-9.0469000000000105E-2</v>
      </c>
      <c r="AE130">
        <v>1.8300000000010599E-2</v>
      </c>
      <c r="AF130">
        <v>6.7804170344784196E-3</v>
      </c>
      <c r="AG130">
        <v>-9.0469000000000105E-2</v>
      </c>
      <c r="AH130">
        <v>0.59935718483285305</v>
      </c>
      <c r="AI130">
        <v>98.583079603752196</v>
      </c>
      <c r="AJ130">
        <v>89.351851087144198</v>
      </c>
      <c r="AK130">
        <v>0.60618450081384001</v>
      </c>
      <c r="AL130">
        <v>86.404844267420302</v>
      </c>
      <c r="AM130">
        <v>88.037703172476498</v>
      </c>
      <c r="AN130">
        <v>1.00000003627011</v>
      </c>
    </row>
    <row r="131" spans="1:40" x14ac:dyDescent="0.25">
      <c r="A131" t="str">
        <f>"20190312164439502"</f>
        <v>20190312164439502</v>
      </c>
      <c r="B131" t="str">
        <f>"1552380279491629"</f>
        <v>1552380279491629</v>
      </c>
      <c r="C131" t="s">
        <v>40</v>
      </c>
      <c r="D131">
        <v>4.849628</v>
      </c>
      <c r="E131">
        <v>0.49229709999999899</v>
      </c>
      <c r="F131" t="s">
        <v>41</v>
      </c>
      <c r="G131">
        <v>-463.89389999999997</v>
      </c>
      <c r="H131">
        <v>1.021801</v>
      </c>
      <c r="I131">
        <v>367.56799999999998</v>
      </c>
      <c r="J131">
        <v>-464.47840000000002</v>
      </c>
      <c r="K131">
        <v>1.1071029999999999</v>
      </c>
      <c r="L131">
        <v>367.55020000000002</v>
      </c>
      <c r="M131">
        <v>0.99914910000000001</v>
      </c>
      <c r="N131">
        <v>0</v>
      </c>
      <c r="O131">
        <v>4.1242580000000001E-2</v>
      </c>
      <c r="P131">
        <v>0.99770250000000005</v>
      </c>
      <c r="Q131">
        <v>6.7401920000000004E-2</v>
      </c>
      <c r="R131">
        <v>6.8246069999999999E-3</v>
      </c>
      <c r="S131">
        <v>3.0255740000000002</v>
      </c>
      <c r="T131">
        <v>-0.32074449999999999</v>
      </c>
      <c r="U131">
        <v>0.1019897</v>
      </c>
      <c r="V131">
        <v>3.4333599999999999E-2</v>
      </c>
      <c r="W131">
        <v>6.7110429999999999E-2</v>
      </c>
      <c r="X131">
        <v>0.99715469999999895</v>
      </c>
      <c r="Y131">
        <v>7.2863160000000001E-3</v>
      </c>
      <c r="Z131">
        <v>-4.7420730000000003E-3</v>
      </c>
      <c r="AA131">
        <v>0.99996220000000002</v>
      </c>
      <c r="AB131">
        <v>21</v>
      </c>
      <c r="AC131">
        <v>0.58450000000004798</v>
      </c>
      <c r="AD131">
        <v>-8.5302000000000197E-2</v>
      </c>
      <c r="AE131">
        <v>1.7800000000022399E-2</v>
      </c>
      <c r="AF131">
        <v>6.1897246111421401E-3</v>
      </c>
      <c r="AG131">
        <v>-8.5302000000000197E-2</v>
      </c>
      <c r="AH131">
        <v>0.57255355980859501</v>
      </c>
      <c r="AI131">
        <v>98.473404255169299</v>
      </c>
      <c r="AJ131">
        <v>89.380614659650902</v>
      </c>
      <c r="AK131">
        <v>0.57890614329462498</v>
      </c>
      <c r="AL131">
        <v>86.151963630251402</v>
      </c>
      <c r="AM131">
        <v>88.027995509356501</v>
      </c>
      <c r="AN131">
        <v>1.0000000508179101</v>
      </c>
    </row>
    <row r="132" spans="1:40" x14ac:dyDescent="0.25">
      <c r="A132" t="str">
        <f>"20190312164439525"</f>
        <v>20190312164439525</v>
      </c>
      <c r="B132" t="str">
        <f>"1552380279521882"</f>
        <v>1552380279521882</v>
      </c>
      <c r="C132" t="s">
        <v>40</v>
      </c>
      <c r="D132">
        <v>5.0953999999999997</v>
      </c>
      <c r="E132">
        <v>0.49254829999999999</v>
      </c>
      <c r="F132" t="s">
        <v>41</v>
      </c>
      <c r="G132">
        <v>-463.69880000000001</v>
      </c>
      <c r="H132">
        <v>1.028559</v>
      </c>
      <c r="I132">
        <v>367.57580000000002</v>
      </c>
      <c r="J132">
        <v>-464.26089999999999</v>
      </c>
      <c r="K132">
        <v>1.1071200000000001</v>
      </c>
      <c r="L132">
        <v>367.55919999999998</v>
      </c>
      <c r="M132">
        <v>0.99914820000000004</v>
      </c>
      <c r="N132">
        <v>0</v>
      </c>
      <c r="O132">
        <v>4.1267690000000003E-2</v>
      </c>
      <c r="P132">
        <v>0.99721059999999995</v>
      </c>
      <c r="Q132">
        <v>7.4439619999999998E-2</v>
      </c>
      <c r="R132">
        <v>5.4656690000000003E-3</v>
      </c>
      <c r="S132">
        <v>3.0267940000000002</v>
      </c>
      <c r="T132">
        <v>-0.30521700000000002</v>
      </c>
      <c r="U132">
        <v>0.100769</v>
      </c>
      <c r="V132">
        <v>3.5699450000000001E-2</v>
      </c>
      <c r="W132">
        <v>7.4190880000000001E-2</v>
      </c>
      <c r="X132">
        <v>0.99660490000000002</v>
      </c>
      <c r="Y132">
        <v>7.7511419999999999E-3</v>
      </c>
      <c r="Z132">
        <v>-4.5378149999999997E-3</v>
      </c>
      <c r="AA132">
        <v>0.99995959999999995</v>
      </c>
      <c r="AB132">
        <v>21</v>
      </c>
      <c r="AC132">
        <v>0.56209999999998606</v>
      </c>
      <c r="AD132">
        <v>-7.8561000000000103E-2</v>
      </c>
      <c r="AE132">
        <v>1.6600000000039399E-2</v>
      </c>
      <c r="AF132">
        <v>6.4841580354205097E-3</v>
      </c>
      <c r="AG132">
        <v>-7.8561000000000103E-2</v>
      </c>
      <c r="AH132">
        <v>0.55154188211696897</v>
      </c>
      <c r="AI132">
        <v>98.106062048778497</v>
      </c>
      <c r="AJ132">
        <v>89.326437780200294</v>
      </c>
      <c r="AK132">
        <v>0.55714659000621802</v>
      </c>
      <c r="AL132">
        <v>85.745266517484097</v>
      </c>
      <c r="AM132">
        <v>87.948481262598804</v>
      </c>
      <c r="AN132">
        <v>1.00000003205474</v>
      </c>
    </row>
    <row r="133" spans="1:40" x14ac:dyDescent="0.25">
      <c r="A133" t="str">
        <f>"20190312164439547"</f>
        <v>20190312164439547</v>
      </c>
      <c r="B133" t="str">
        <f>"1552380279541401"</f>
        <v>1552380279541401</v>
      </c>
      <c r="C133" t="s">
        <v>40</v>
      </c>
      <c r="D133">
        <v>4.8515699999999997</v>
      </c>
      <c r="E133">
        <v>0.49280849999999998</v>
      </c>
      <c r="F133" t="s">
        <v>41</v>
      </c>
      <c r="G133">
        <v>-463.50119999999998</v>
      </c>
      <c r="H133">
        <v>1.0367550000000001</v>
      </c>
      <c r="I133">
        <v>367.5831</v>
      </c>
      <c r="J133">
        <v>-464.04500000000002</v>
      </c>
      <c r="K133">
        <v>1.107143</v>
      </c>
      <c r="L133">
        <v>367.56810000000002</v>
      </c>
      <c r="M133">
        <v>0.99914800000000004</v>
      </c>
      <c r="N133">
        <v>0</v>
      </c>
      <c r="O133">
        <v>4.1271870000000002E-2</v>
      </c>
      <c r="P133">
        <v>0.99666069999999995</v>
      </c>
      <c r="Q133">
        <v>8.1565840000000001E-2</v>
      </c>
      <c r="R133">
        <v>3.8124650000000001E-3</v>
      </c>
      <c r="S133">
        <v>3.0288390000000001</v>
      </c>
      <c r="T133">
        <v>-0.28080549999999999</v>
      </c>
      <c r="U133">
        <v>9.6282960000000001E-2</v>
      </c>
      <c r="V133">
        <v>3.7335359999999998E-2</v>
      </c>
      <c r="W133">
        <v>8.1361210000000003E-2</v>
      </c>
      <c r="X133">
        <v>0.99598520000000001</v>
      </c>
      <c r="Y133">
        <v>9.2889510000000002E-3</v>
      </c>
      <c r="Z133">
        <v>-4.2453170000000002E-3</v>
      </c>
      <c r="AA133">
        <v>0.99994780000000005</v>
      </c>
      <c r="AB133">
        <v>21</v>
      </c>
      <c r="AC133">
        <v>0.54380000000003204</v>
      </c>
      <c r="AD133">
        <v>-7.0388000000000103E-2</v>
      </c>
      <c r="AE133">
        <v>1.49999999999863E-2</v>
      </c>
      <c r="AF133">
        <v>7.3336479410150502E-3</v>
      </c>
      <c r="AG133">
        <v>-7.0388000000000103E-2</v>
      </c>
      <c r="AH133">
        <v>0.53499916688062898</v>
      </c>
      <c r="AI133">
        <v>97.494463895795803</v>
      </c>
      <c r="AJ133">
        <v>89.214651561566498</v>
      </c>
      <c r="AK133">
        <v>0.53965948662011798</v>
      </c>
      <c r="AL133">
        <v>85.333187806655602</v>
      </c>
      <c r="AM133">
        <v>87.853223698398807</v>
      </c>
      <c r="AN133">
        <v>1.00000004710901</v>
      </c>
    </row>
    <row r="134" spans="1:40" x14ac:dyDescent="0.25">
      <c r="A134" t="str">
        <f>"20190312164439569"</f>
        <v>20190312164439569</v>
      </c>
      <c r="B134" t="str">
        <f>"1552380279561898"</f>
        <v>1552380279561898</v>
      </c>
      <c r="C134" t="s">
        <v>40</v>
      </c>
      <c r="D134">
        <v>4.803051</v>
      </c>
      <c r="E134">
        <v>0.49306489999999997</v>
      </c>
      <c r="F134" t="s">
        <v>41</v>
      </c>
      <c r="G134">
        <v>-463.30149999999998</v>
      </c>
      <c r="H134">
        <v>1.0441819999999999</v>
      </c>
      <c r="I134">
        <v>367.59010000000001</v>
      </c>
      <c r="J134">
        <v>-463.827</v>
      </c>
      <c r="K134">
        <v>1.1071789999999999</v>
      </c>
      <c r="L134">
        <v>367.57709999999997</v>
      </c>
      <c r="M134">
        <v>0.99914829999999999</v>
      </c>
      <c r="N134">
        <v>0</v>
      </c>
      <c r="O134">
        <v>4.1264059999999998E-2</v>
      </c>
      <c r="P134">
        <v>0.99597979999999997</v>
      </c>
      <c r="Q134">
        <v>8.957379E-2</v>
      </c>
      <c r="R134">
        <v>9.3447039999999999E-4</v>
      </c>
      <c r="S134">
        <v>3.0307620000000002</v>
      </c>
      <c r="T134">
        <v>-0.25687159999999998</v>
      </c>
      <c r="U134">
        <v>9.0545650000000005E-2</v>
      </c>
      <c r="V134">
        <v>4.0176919999999998E-2</v>
      </c>
      <c r="W134">
        <v>8.9414069999999998E-2</v>
      </c>
      <c r="X134">
        <v>0.99518390000000001</v>
      </c>
      <c r="Y134">
        <v>1.122099E-2</v>
      </c>
      <c r="Z134">
        <v>-3.9635720000000003E-3</v>
      </c>
      <c r="AA134">
        <v>0.99992919999999996</v>
      </c>
      <c r="AB134">
        <v>22</v>
      </c>
      <c r="AC134">
        <v>0.52550000000002195</v>
      </c>
      <c r="AD134">
        <v>-6.2997000000000095E-2</v>
      </c>
      <c r="AE134">
        <v>1.3000000000033599E-2</v>
      </c>
      <c r="AF134">
        <v>8.5722173593741E-3</v>
      </c>
      <c r="AG134">
        <v>-6.2997000000000095E-2</v>
      </c>
      <c r="AH134">
        <v>0.51814699044316403</v>
      </c>
      <c r="AI134">
        <v>96.931134729760103</v>
      </c>
      <c r="AJ134">
        <v>89.052185804073702</v>
      </c>
      <c r="AK134">
        <v>0.52203295741242695</v>
      </c>
      <c r="AL134">
        <v>84.870100269707194</v>
      </c>
      <c r="AM134">
        <v>87.688147332796603</v>
      </c>
      <c r="AN134">
        <v>1.0000000278169301</v>
      </c>
    </row>
    <row r="135" spans="1:40" x14ac:dyDescent="0.25">
      <c r="A135" t="str">
        <f>"20190312164439591"</f>
        <v>20190312164439591</v>
      </c>
      <c r="B135" t="str">
        <f>"1552380279581421"</f>
        <v>1552380279581421</v>
      </c>
      <c r="C135" t="s">
        <v>40</v>
      </c>
      <c r="D135">
        <v>4.808738</v>
      </c>
      <c r="E135">
        <v>0.49319360000000001</v>
      </c>
      <c r="F135" t="s">
        <v>41</v>
      </c>
      <c r="G135">
        <v>-462.90929999999997</v>
      </c>
      <c r="H135">
        <v>1.0373079999999999</v>
      </c>
      <c r="I135">
        <v>367.60129999999998</v>
      </c>
      <c r="J135">
        <v>-463.60640000000001</v>
      </c>
      <c r="K135">
        <v>1.1072249999999999</v>
      </c>
      <c r="L135">
        <v>367.58620000000002</v>
      </c>
      <c r="M135">
        <v>0.99914890000000001</v>
      </c>
      <c r="N135">
        <v>0</v>
      </c>
      <c r="O135">
        <v>4.1250879999999997E-2</v>
      </c>
      <c r="P135">
        <v>0.99479960000000001</v>
      </c>
      <c r="Q135">
        <v>0.1018203</v>
      </c>
      <c r="R135">
        <v>-2.6070120000000001E-3</v>
      </c>
      <c r="S135">
        <v>3.0328059999999999</v>
      </c>
      <c r="T135">
        <v>-0.23126830000000001</v>
      </c>
      <c r="U135">
        <v>8.1298830000000002E-2</v>
      </c>
      <c r="V135">
        <v>4.3654529999999997E-2</v>
      </c>
      <c r="W135">
        <v>0.1017057</v>
      </c>
      <c r="X135">
        <v>0.99385630000000003</v>
      </c>
      <c r="Y135">
        <v>1.430097E-2</v>
      </c>
      <c r="Z135">
        <v>-3.6837599999999999E-3</v>
      </c>
      <c r="AA135">
        <v>0.99989090000000003</v>
      </c>
      <c r="AB135">
        <v>22</v>
      </c>
      <c r="AC135">
        <v>0.69710000000003403</v>
      </c>
      <c r="AD135">
        <v>-6.9916999999999896E-2</v>
      </c>
      <c r="AE135">
        <v>1.50999999999612E-2</v>
      </c>
      <c r="AF135">
        <v>1.3532770220672201E-2</v>
      </c>
      <c r="AG135">
        <v>-6.9916999999999896E-2</v>
      </c>
      <c r="AH135">
        <v>0.690189838185303</v>
      </c>
      <c r="AI135">
        <v>95.783289830647206</v>
      </c>
      <c r="AJ135">
        <v>88.876727480095795</v>
      </c>
      <c r="AK135">
        <v>0.69385411686686704</v>
      </c>
      <c r="AL135">
        <v>84.162599587209499</v>
      </c>
      <c r="AM135">
        <v>87.484934585489597</v>
      </c>
      <c r="AN135">
        <v>1.00000005622584</v>
      </c>
    </row>
    <row r="136" spans="1:40" x14ac:dyDescent="0.25">
      <c r="A136" t="str">
        <f>"20190312164439612"</f>
        <v>20190312164439612</v>
      </c>
      <c r="B136" t="str">
        <f>"1552380279601914"</f>
        <v>1552380279601914</v>
      </c>
      <c r="C136" t="s">
        <v>40</v>
      </c>
      <c r="D136">
        <v>5.0168109999999997</v>
      </c>
      <c r="E136">
        <v>0.49333320000000003</v>
      </c>
      <c r="F136" t="s">
        <v>41</v>
      </c>
      <c r="G136">
        <v>-462.70089999999999</v>
      </c>
      <c r="H136">
        <v>1.0494490000000001</v>
      </c>
      <c r="I136">
        <v>367.60770000000002</v>
      </c>
      <c r="J136">
        <v>-463.38819999999998</v>
      </c>
      <c r="K136">
        <v>1.1073</v>
      </c>
      <c r="L136">
        <v>367.5951</v>
      </c>
      <c r="M136">
        <v>0.99914939999999997</v>
      </c>
      <c r="N136">
        <v>0</v>
      </c>
      <c r="O136">
        <v>4.1237530000000001E-2</v>
      </c>
      <c r="P136">
        <v>0.99298350000000002</v>
      </c>
      <c r="Q136">
        <v>0.1180122</v>
      </c>
      <c r="R136">
        <v>-7.5565700000000003E-3</v>
      </c>
      <c r="S136">
        <v>3.0356450000000001</v>
      </c>
      <c r="T136">
        <v>-0.19361729999999999</v>
      </c>
      <c r="U136">
        <v>7.1716310000000005E-2</v>
      </c>
      <c r="V136">
        <v>4.8512279999999998E-2</v>
      </c>
      <c r="W136">
        <v>0.1179431</v>
      </c>
      <c r="X136">
        <v>0.99183460000000001</v>
      </c>
      <c r="Y136">
        <v>1.750873E-2</v>
      </c>
      <c r="Z136">
        <v>-3.1839899999999998E-3</v>
      </c>
      <c r="AA136">
        <v>0.9998416</v>
      </c>
      <c r="AB136">
        <v>22</v>
      </c>
      <c r="AC136">
        <v>0.68729999999999303</v>
      </c>
      <c r="AD136">
        <v>-5.7850999999999798E-2</v>
      </c>
      <c r="AE136">
        <v>1.26000000000203E-2</v>
      </c>
      <c r="AF136">
        <v>1.5642484464586302E-2</v>
      </c>
      <c r="AG136">
        <v>-5.7850999999999798E-2</v>
      </c>
      <c r="AH136">
        <v>0.68240188300007398</v>
      </c>
      <c r="AI136">
        <v>94.844428782193802</v>
      </c>
      <c r="AJ136">
        <v>88.686856770255403</v>
      </c>
      <c r="AK136">
        <v>0.68502828806062499</v>
      </c>
      <c r="AL136">
        <v>83.226591766752307</v>
      </c>
      <c r="AM136">
        <v>87.199799721873006</v>
      </c>
      <c r="AN136">
        <v>0.99999994495278199</v>
      </c>
    </row>
    <row r="137" spans="1:40" x14ac:dyDescent="0.25">
      <c r="A137" t="str">
        <f>"20190312164439635"</f>
        <v>20190312164439635</v>
      </c>
      <c r="B137" t="str">
        <f>"1552380279632173"</f>
        <v>1552380279632173</v>
      </c>
      <c r="C137" t="s">
        <v>40</v>
      </c>
      <c r="D137">
        <v>5.0634360000000003</v>
      </c>
      <c r="E137">
        <v>0.4935505</v>
      </c>
      <c r="F137" t="s">
        <v>42</v>
      </c>
      <c r="G137">
        <v>-440.04539999999997</v>
      </c>
      <c r="H137" s="1">
        <v>-4.9657029999999996E-6</v>
      </c>
      <c r="I137">
        <v>368.03980000000001</v>
      </c>
      <c r="J137">
        <v>-463.17099999999999</v>
      </c>
      <c r="K137">
        <v>1.10737</v>
      </c>
      <c r="L137">
        <v>367.60399999999998</v>
      </c>
      <c r="M137">
        <v>0.99914990000000004</v>
      </c>
      <c r="N137">
        <v>0</v>
      </c>
      <c r="O137">
        <v>4.1226739999999998E-2</v>
      </c>
      <c r="P137">
        <v>0.99096379999999995</v>
      </c>
      <c r="Q137">
        <v>0.133518</v>
      </c>
      <c r="R137">
        <v>-1.2803449999999999E-2</v>
      </c>
      <c r="S137">
        <v>3.0387569999999999</v>
      </c>
      <c r="T137">
        <v>-0.1441491</v>
      </c>
      <c r="U137">
        <v>5.7891850000000002E-2</v>
      </c>
      <c r="V137">
        <v>5.3660470000000002E-2</v>
      </c>
      <c r="W137">
        <v>0.133495</v>
      </c>
      <c r="X137">
        <v>0.98959569999999997</v>
      </c>
      <c r="Y137">
        <v>2.2116589999999998E-2</v>
      </c>
      <c r="Z137">
        <v>-2.478011E-3</v>
      </c>
      <c r="AA137">
        <v>0.99975230000000004</v>
      </c>
      <c r="AB137">
        <v>22</v>
      </c>
      <c r="AC137">
        <v>23.125599999999999</v>
      </c>
      <c r="AD137">
        <v>-1.1073749657030001</v>
      </c>
      <c r="AE137">
        <v>0.43579999999997199</v>
      </c>
      <c r="AF137">
        <v>0.51677897724322497</v>
      </c>
      <c r="AG137">
        <v>-1.1073749657030001</v>
      </c>
      <c r="AH137">
        <v>23.0710226199168</v>
      </c>
      <c r="AI137">
        <v>92.747315567227403</v>
      </c>
      <c r="AJ137">
        <v>88.716818742835301</v>
      </c>
      <c r="AK137">
        <v>23.103363922916099</v>
      </c>
      <c r="AL137">
        <v>82.328398009064699</v>
      </c>
      <c r="AM137">
        <v>86.896196683847293</v>
      </c>
      <c r="AN137">
        <v>1.0000000052620499</v>
      </c>
    </row>
    <row r="138" spans="1:40" x14ac:dyDescent="0.25">
      <c r="A138" t="str">
        <f>"20190312164439658"</f>
        <v>20190312164439658</v>
      </c>
      <c r="B138" t="str">
        <f>"1552380279651693"</f>
        <v>1552380279651693</v>
      </c>
      <c r="C138" t="s">
        <v>40</v>
      </c>
      <c r="D138">
        <v>4.8172819999999996</v>
      </c>
      <c r="E138">
        <v>0.49364390000000002</v>
      </c>
      <c r="F138" t="s">
        <v>43</v>
      </c>
      <c r="G138">
        <v>-426.81169999999997</v>
      </c>
      <c r="H138">
        <v>-0.05</v>
      </c>
      <c r="I138">
        <v>368.10309999999998</v>
      </c>
      <c r="J138">
        <v>-462.93579999999997</v>
      </c>
      <c r="K138">
        <v>1.107453</v>
      </c>
      <c r="L138">
        <v>367.61369999999999</v>
      </c>
      <c r="M138">
        <v>0.99915030000000005</v>
      </c>
      <c r="N138">
        <v>0</v>
      </c>
      <c r="O138">
        <v>4.1215889999999998E-2</v>
      </c>
      <c r="P138">
        <v>0.98813600000000001</v>
      </c>
      <c r="Q138">
        <v>0.15256939999999999</v>
      </c>
      <c r="R138">
        <v>-1.761165E-2</v>
      </c>
      <c r="S138">
        <v>3.0409549999999999</v>
      </c>
      <c r="T138">
        <v>-9.6797939999999999E-2</v>
      </c>
      <c r="U138">
        <v>4.1748050000000002E-2</v>
      </c>
      <c r="V138">
        <v>5.8336760000000001E-2</v>
      </c>
      <c r="W138">
        <v>0.15259629999999999</v>
      </c>
      <c r="X138">
        <v>0.98656540000000004</v>
      </c>
      <c r="Y138">
        <v>2.7461599999999999E-2</v>
      </c>
      <c r="Z138">
        <v>-1.7481350000000001E-3</v>
      </c>
      <c r="AA138">
        <v>0.99962130000000005</v>
      </c>
      <c r="AB138">
        <v>23</v>
      </c>
      <c r="AC138">
        <v>36.124099999999999</v>
      </c>
      <c r="AD138">
        <v>-1.1574530000000001</v>
      </c>
      <c r="AE138">
        <v>0.48939999999998901</v>
      </c>
      <c r="AF138">
        <v>0.998877453018718</v>
      </c>
      <c r="AG138">
        <v>-1.1574530000000001</v>
      </c>
      <c r="AH138">
        <v>36.076544760025001</v>
      </c>
      <c r="AI138">
        <v>91.836901321304495</v>
      </c>
      <c r="AJ138">
        <v>88.414015403272302</v>
      </c>
      <c r="AK138">
        <v>36.108925980087598</v>
      </c>
      <c r="AL138">
        <v>81.222584382655199</v>
      </c>
      <c r="AM138">
        <v>86.615974297081294</v>
      </c>
      <c r="AN138">
        <v>1.0000000484090701</v>
      </c>
    </row>
    <row r="139" spans="1:40" x14ac:dyDescent="0.25">
      <c r="A139" t="str">
        <f>"20190312164439680"</f>
        <v>20190312164439680</v>
      </c>
      <c r="B139" t="str">
        <f>"1552380279672189"</f>
        <v>1552380279672189</v>
      </c>
      <c r="C139" t="s">
        <v>40</v>
      </c>
      <c r="D139">
        <v>4.8663809999999996</v>
      </c>
      <c r="E139">
        <v>0.49367860000000002</v>
      </c>
      <c r="F139" t="s">
        <v>42</v>
      </c>
      <c r="G139">
        <v>-376.69690000000003</v>
      </c>
      <c r="H139" s="1">
        <v>-1.615883E-6</v>
      </c>
      <c r="I139">
        <v>368.3956</v>
      </c>
      <c r="J139">
        <v>-462.69439999999997</v>
      </c>
      <c r="K139">
        <v>1.107531</v>
      </c>
      <c r="L139">
        <v>367.62369999999999</v>
      </c>
      <c r="M139">
        <v>0.99915120000000002</v>
      </c>
      <c r="N139">
        <v>0</v>
      </c>
      <c r="O139">
        <v>4.1195389999999998E-2</v>
      </c>
      <c r="P139">
        <v>0.98496910000000004</v>
      </c>
      <c r="Q139">
        <v>0.17120550000000001</v>
      </c>
      <c r="R139">
        <v>-2.2906220000000001E-2</v>
      </c>
      <c r="S139">
        <v>3.0425719999999998</v>
      </c>
      <c r="T139">
        <v>-3.9071799999999997E-2</v>
      </c>
      <c r="U139">
        <v>2.758789E-2</v>
      </c>
      <c r="V139">
        <v>6.347817E-2</v>
      </c>
      <c r="W139">
        <v>0.17128260000000001</v>
      </c>
      <c r="X139">
        <v>0.98317489999999996</v>
      </c>
      <c r="Y139">
        <v>3.2128429999999999E-2</v>
      </c>
      <c r="Z139">
        <v>-7.351282E-4</v>
      </c>
      <c r="AA139">
        <v>0.99948349999999997</v>
      </c>
      <c r="AB139">
        <v>23</v>
      </c>
      <c r="AC139">
        <v>85.997499999999903</v>
      </c>
      <c r="AD139">
        <v>-1.1075326158829999</v>
      </c>
      <c r="AE139">
        <v>0.77190000000001602</v>
      </c>
      <c r="AF139">
        <v>2.7709959298760398</v>
      </c>
      <c r="AG139">
        <v>-1.1075326158829999</v>
      </c>
      <c r="AH139">
        <v>85.942043090605196</v>
      </c>
      <c r="AI139">
        <v>90.737944741266404</v>
      </c>
      <c r="AJ139">
        <v>88.153274191373498</v>
      </c>
      <c r="AK139">
        <v>85.993835927501706</v>
      </c>
      <c r="AL139">
        <v>80.137599954747401</v>
      </c>
      <c r="AM139">
        <v>86.305855556799301</v>
      </c>
      <c r="AN139">
        <v>1.0000000455596501</v>
      </c>
    </row>
    <row r="140" spans="1:40" x14ac:dyDescent="0.25">
      <c r="A140" t="str">
        <f>"20190312164439703"</f>
        <v>20190312164439703</v>
      </c>
      <c r="B140" t="str">
        <f>"1552380279691709"</f>
        <v>1552380279691709</v>
      </c>
      <c r="C140" t="s">
        <v>40</v>
      </c>
      <c r="D140">
        <v>5.1143260000000001</v>
      </c>
      <c r="E140">
        <v>0.49367879999999997</v>
      </c>
      <c r="F140" t="s">
        <v>44</v>
      </c>
      <c r="G140">
        <v>-158.78319999999999</v>
      </c>
      <c r="H140">
        <v>2.739223</v>
      </c>
      <c r="I140">
        <v>368.86709999999999</v>
      </c>
      <c r="J140">
        <v>-462.46469999999999</v>
      </c>
      <c r="K140">
        <v>1.107578</v>
      </c>
      <c r="L140">
        <v>367.63310000000001</v>
      </c>
      <c r="M140">
        <v>0.99915299999999996</v>
      </c>
      <c r="N140">
        <v>0</v>
      </c>
      <c r="O140">
        <v>4.115282E-2</v>
      </c>
      <c r="P140">
        <v>0.9822417</v>
      </c>
      <c r="Q140">
        <v>0.18548609999999999</v>
      </c>
      <c r="R140">
        <v>-2.8218320000000002E-2</v>
      </c>
      <c r="S140">
        <v>3.0432739999999998</v>
      </c>
      <c r="T140">
        <v>1.634014E-2</v>
      </c>
      <c r="U140">
        <v>1.2451169999999999E-2</v>
      </c>
      <c r="V140">
        <v>6.8637429999999999E-2</v>
      </c>
      <c r="W140">
        <v>0.18560989999999999</v>
      </c>
      <c r="X140">
        <v>0.98022339999999997</v>
      </c>
      <c r="Y140">
        <v>3.7063470000000001E-2</v>
      </c>
      <c r="Z140">
        <v>3.204069E-4</v>
      </c>
      <c r="AA140">
        <v>0.99931289999999995</v>
      </c>
      <c r="AB140">
        <v>23</v>
      </c>
      <c r="AC140">
        <v>303.68150000000003</v>
      </c>
      <c r="AD140">
        <v>1.63164499999999</v>
      </c>
      <c r="AE140">
        <v>1.23399999999998</v>
      </c>
      <c r="AF140">
        <v>11.264068608604401</v>
      </c>
      <c r="AG140">
        <v>1.63164499999999</v>
      </c>
      <c r="AH140">
        <v>303.466262797642</v>
      </c>
      <c r="AI140">
        <v>89.692153129441294</v>
      </c>
      <c r="AJ140">
        <v>87.874269652608106</v>
      </c>
      <c r="AK140">
        <v>303.67962421504802</v>
      </c>
      <c r="AL140">
        <v>79.303307281797302</v>
      </c>
      <c r="AM140">
        <v>85.994559491666607</v>
      </c>
      <c r="AN140">
        <v>1.00000002284128</v>
      </c>
    </row>
    <row r="141" spans="1:40" x14ac:dyDescent="0.25">
      <c r="A141" t="str">
        <f>"20190312164439725"</f>
        <v>20190312164439725</v>
      </c>
      <c r="B141" t="str">
        <f>"1552380279721965"</f>
        <v>1552380279721965</v>
      </c>
      <c r="C141" t="s">
        <v>40</v>
      </c>
      <c r="D141">
        <v>4.8828880000000003</v>
      </c>
      <c r="E141">
        <v>0.4938437</v>
      </c>
      <c r="F141" t="s">
        <v>44</v>
      </c>
      <c r="G141">
        <v>-169.8732</v>
      </c>
      <c r="H141">
        <v>6.6740890000000004</v>
      </c>
      <c r="I141">
        <v>367.34840000000003</v>
      </c>
      <c r="J141">
        <v>-462.22989999999999</v>
      </c>
      <c r="K141">
        <v>1.1075649999999999</v>
      </c>
      <c r="L141">
        <v>367.64269999999999</v>
      </c>
      <c r="M141">
        <v>0.9991565</v>
      </c>
      <c r="N141">
        <v>0</v>
      </c>
      <c r="O141">
        <v>4.1066430000000001E-2</v>
      </c>
      <c r="P141">
        <v>0.98160270000000005</v>
      </c>
      <c r="Q141">
        <v>0.18849060000000001</v>
      </c>
      <c r="R141">
        <v>-3.0453069999999999E-2</v>
      </c>
      <c r="S141">
        <v>3.0432130000000002</v>
      </c>
      <c r="T141">
        <v>5.7897570000000002E-2</v>
      </c>
      <c r="U141">
        <v>-2.960205E-3</v>
      </c>
      <c r="V141">
        <v>7.0770990000000006E-2</v>
      </c>
      <c r="W141">
        <v>0.18865979999999999</v>
      </c>
      <c r="X141">
        <v>0.9794891</v>
      </c>
      <c r="Y141">
        <v>4.2023289999999998E-2</v>
      </c>
      <c r="Z141">
        <v>1.180777E-3</v>
      </c>
      <c r="AA141">
        <v>0.99911589999999995</v>
      </c>
      <c r="AB141">
        <v>23</v>
      </c>
      <c r="AC141">
        <v>292.35669999999999</v>
      </c>
      <c r="AD141">
        <v>5.5665239999999896</v>
      </c>
      <c r="AE141">
        <v>-0.29429999999996398</v>
      </c>
      <c r="AF141">
        <v>12.295639195808</v>
      </c>
      <c r="AG141">
        <v>5.5665239999999896</v>
      </c>
      <c r="AH141">
        <v>291.99213210130898</v>
      </c>
      <c r="AI141">
        <v>88.908815090204399</v>
      </c>
      <c r="AJ141">
        <v>87.588728613652094</v>
      </c>
      <c r="AK141">
        <v>292.30390716126999</v>
      </c>
      <c r="AL141">
        <v>79.125417738872798</v>
      </c>
      <c r="AM141">
        <v>85.867391575824598</v>
      </c>
      <c r="AN141">
        <v>0.99999997509021399</v>
      </c>
    </row>
    <row r="142" spans="1:40" x14ac:dyDescent="0.25">
      <c r="A142" t="str">
        <f>"20190312164439748"</f>
        <v>20190312164439748</v>
      </c>
      <c r="B142" t="str">
        <f>"1552380279741992"</f>
        <v>1552380279741992</v>
      </c>
      <c r="C142" t="s">
        <v>40</v>
      </c>
      <c r="D142">
        <v>4.9303520000000001</v>
      </c>
      <c r="E142">
        <v>0.49293870000000001</v>
      </c>
      <c r="F142" t="s">
        <v>43</v>
      </c>
      <c r="G142">
        <v>-420.89400000000001</v>
      </c>
      <c r="H142">
        <v>-0.05</v>
      </c>
      <c r="I142">
        <v>367.61470000000003</v>
      </c>
      <c r="J142">
        <v>-461.98340000000002</v>
      </c>
      <c r="K142">
        <v>1.107548</v>
      </c>
      <c r="L142">
        <v>367.65260000000001</v>
      </c>
      <c r="M142">
        <v>0.99916269999999996</v>
      </c>
      <c r="N142">
        <v>0</v>
      </c>
      <c r="O142">
        <v>4.0913520000000002E-2</v>
      </c>
      <c r="P142">
        <v>0.98001649999999996</v>
      </c>
      <c r="Q142">
        <v>0.19576750000000001</v>
      </c>
      <c r="R142">
        <v>-3.5255219999999997E-2</v>
      </c>
      <c r="S142">
        <v>3.0726619999999998</v>
      </c>
      <c r="T142">
        <v>-8.6046579999999998E-2</v>
      </c>
      <c r="U142">
        <v>-2.0751950000000002E-3</v>
      </c>
      <c r="V142">
        <v>7.5374510000000006E-2</v>
      </c>
      <c r="W142">
        <v>0.1959815</v>
      </c>
      <c r="X142">
        <v>0.97770639999999998</v>
      </c>
      <c r="Y142">
        <v>4.1555990000000001E-2</v>
      </c>
      <c r="Z142">
        <v>-1.7270289999999999E-3</v>
      </c>
      <c r="AA142">
        <v>0.99913470000000004</v>
      </c>
      <c r="AB142">
        <v>23</v>
      </c>
      <c r="AC142">
        <v>41.089399999999998</v>
      </c>
      <c r="AD142">
        <v>-1.157548</v>
      </c>
      <c r="AE142">
        <v>-3.7899999999979103E-2</v>
      </c>
      <c r="AF142">
        <v>1.71761708787872</v>
      </c>
      <c r="AG142">
        <v>-1.157548</v>
      </c>
      <c r="AH142">
        <v>41.020889463638603</v>
      </c>
      <c r="AI142">
        <v>91.614957720036301</v>
      </c>
      <c r="AJ142">
        <v>87.602325105534305</v>
      </c>
      <c r="AK142">
        <v>41.073148141102301</v>
      </c>
      <c r="AL142">
        <v>78.697933464966198</v>
      </c>
      <c r="AM142">
        <v>85.591605067516696</v>
      </c>
      <c r="AN142">
        <v>0.99999993485047201</v>
      </c>
    </row>
    <row r="143" spans="1:40" x14ac:dyDescent="0.25">
      <c r="A143" t="str">
        <f>"20190312164439771"</f>
        <v>20190312164439771</v>
      </c>
      <c r="B143" t="str">
        <f>"1552380279761513"</f>
        <v>1552380279761513</v>
      </c>
      <c r="C143" t="s">
        <v>40</v>
      </c>
      <c r="D143">
        <v>4.9474679999999998</v>
      </c>
      <c r="E143">
        <v>0.50663429999999998</v>
      </c>
      <c r="F143" t="s">
        <v>43</v>
      </c>
      <c r="G143">
        <v>-401.92410000000001</v>
      </c>
      <c r="H143">
        <v>-0.05</v>
      </c>
      <c r="I143">
        <v>367.47309999999999</v>
      </c>
      <c r="J143">
        <v>-461.7414</v>
      </c>
      <c r="K143">
        <v>1.107524</v>
      </c>
      <c r="L143">
        <v>367.66230000000002</v>
      </c>
      <c r="M143">
        <v>0.99917210000000001</v>
      </c>
      <c r="N143">
        <v>0</v>
      </c>
      <c r="O143">
        <v>4.0682790000000003E-2</v>
      </c>
      <c r="P143">
        <v>0.9783695</v>
      </c>
      <c r="Q143">
        <v>0.203045</v>
      </c>
      <c r="R143">
        <v>-3.956892E-2</v>
      </c>
      <c r="S143">
        <v>3.072632</v>
      </c>
      <c r="T143">
        <v>-5.9220080000000001E-2</v>
      </c>
      <c r="U143">
        <v>-9.1857910000000004E-3</v>
      </c>
      <c r="V143">
        <v>7.9419699999999996E-2</v>
      </c>
      <c r="W143">
        <v>0.20329990000000001</v>
      </c>
      <c r="X143">
        <v>0.97589020000000004</v>
      </c>
      <c r="Y143">
        <v>4.3654020000000002E-2</v>
      </c>
      <c r="Z143">
        <v>-1.204512E-3</v>
      </c>
      <c r="AA143">
        <v>0.99904599999999999</v>
      </c>
      <c r="AB143">
        <v>24</v>
      </c>
      <c r="AC143">
        <v>59.817299999999904</v>
      </c>
      <c r="AD143">
        <v>-1.157524</v>
      </c>
      <c r="AE143">
        <v>-0.18920000000002801</v>
      </c>
      <c r="AF143">
        <v>2.62159637326977</v>
      </c>
      <c r="AG143">
        <v>-1.157524</v>
      </c>
      <c r="AH143">
        <v>59.737711616495702</v>
      </c>
      <c r="AI143">
        <v>91.1090011906239</v>
      </c>
      <c r="AJ143">
        <v>87.487180420689597</v>
      </c>
      <c r="AK143">
        <v>59.806411182502103</v>
      </c>
      <c r="AL143">
        <v>78.270005236669306</v>
      </c>
      <c r="AM143">
        <v>85.3474196584243</v>
      </c>
      <c r="AN143">
        <v>1.0000000102720601</v>
      </c>
    </row>
    <row r="144" spans="1:40" x14ac:dyDescent="0.25">
      <c r="A144" t="str">
        <f>"20190312164439793"</f>
        <v>20190312164439793</v>
      </c>
      <c r="B144" t="str">
        <f>"1552380279782008"</f>
        <v>1552380279782008</v>
      </c>
      <c r="C144" t="s">
        <v>40</v>
      </c>
      <c r="D144">
        <v>4.9237120000000001</v>
      </c>
      <c r="E144">
        <v>0.51374189999999997</v>
      </c>
      <c r="F144" t="s">
        <v>43</v>
      </c>
      <c r="G144">
        <v>-403.79880000000003</v>
      </c>
      <c r="H144">
        <v>-0.05</v>
      </c>
      <c r="I144">
        <v>365.22030000000001</v>
      </c>
      <c r="J144">
        <v>-461.50139999999999</v>
      </c>
      <c r="K144">
        <v>1.1074930000000001</v>
      </c>
      <c r="L144">
        <v>367.67180000000002</v>
      </c>
      <c r="M144">
        <v>0.99918459999999998</v>
      </c>
      <c r="N144">
        <v>0</v>
      </c>
      <c r="O144">
        <v>4.0376229999999999E-2</v>
      </c>
      <c r="P144">
        <v>0.97685299999999997</v>
      </c>
      <c r="Q144">
        <v>0.2094598</v>
      </c>
      <c r="R144">
        <v>-4.3415620000000002E-2</v>
      </c>
      <c r="S144">
        <v>3.0738219999999998</v>
      </c>
      <c r="T144">
        <v>-6.1406019999999999E-2</v>
      </c>
      <c r="U144">
        <v>-0.1295471</v>
      </c>
      <c r="V144">
        <v>8.2933859999999998E-2</v>
      </c>
      <c r="W144">
        <v>0.20975369999999999</v>
      </c>
      <c r="X144">
        <v>0.97423059999999995</v>
      </c>
      <c r="Y144">
        <v>8.2389539999999997E-2</v>
      </c>
      <c r="Z144">
        <v>-1.628673E-3</v>
      </c>
      <c r="AA144">
        <v>0.99659889999999995</v>
      </c>
      <c r="AB144">
        <v>24</v>
      </c>
      <c r="AC144">
        <v>57.702599999999897</v>
      </c>
      <c r="AD144">
        <v>-1.1574930000000001</v>
      </c>
      <c r="AE144">
        <v>-2.45150000000001</v>
      </c>
      <c r="AF144">
        <v>4.7773953383834797</v>
      </c>
      <c r="AG144">
        <v>-1.1574930000000001</v>
      </c>
      <c r="AH144">
        <v>57.533454843876399</v>
      </c>
      <c r="AI144">
        <v>91.148603807742106</v>
      </c>
      <c r="AJ144">
        <v>85.253230317829505</v>
      </c>
      <c r="AK144">
        <v>57.743066445562299</v>
      </c>
      <c r="AL144">
        <v>77.892080565544504</v>
      </c>
      <c r="AM144">
        <v>85.134281744683094</v>
      </c>
      <c r="AN144">
        <v>0.999999950887273</v>
      </c>
    </row>
    <row r="145" spans="1:40" x14ac:dyDescent="0.25">
      <c r="A145" t="str">
        <f>"20190312164439814"</f>
        <v>20190312164439814</v>
      </c>
      <c r="B145" t="str">
        <f>"1552380279801532"</f>
        <v>1552380279801532</v>
      </c>
      <c r="C145" t="s">
        <v>40</v>
      </c>
      <c r="D145">
        <v>4.9311400000000001</v>
      </c>
      <c r="E145">
        <v>0.5164938</v>
      </c>
      <c r="F145" t="s">
        <v>43</v>
      </c>
      <c r="G145">
        <v>-400.02589999999998</v>
      </c>
      <c r="H145">
        <v>-0.05</v>
      </c>
      <c r="I145">
        <v>363.73379999999997</v>
      </c>
      <c r="J145">
        <v>-461.27600000000001</v>
      </c>
      <c r="K145">
        <v>1.107469</v>
      </c>
      <c r="L145">
        <v>367.68060000000003</v>
      </c>
      <c r="M145">
        <v>0.99919849999999999</v>
      </c>
      <c r="N145">
        <v>0</v>
      </c>
      <c r="O145">
        <v>4.003015E-2</v>
      </c>
      <c r="P145">
        <v>0.97524420000000001</v>
      </c>
      <c r="Q145">
        <v>0.2162057</v>
      </c>
      <c r="R145">
        <v>-4.6412759999999997E-2</v>
      </c>
      <c r="S145">
        <v>3.074738</v>
      </c>
      <c r="T145">
        <v>-5.7892800000000001E-2</v>
      </c>
      <c r="U145">
        <v>-0.19696040000000001</v>
      </c>
      <c r="V145">
        <v>8.555596E-2</v>
      </c>
      <c r="W145">
        <v>0.2165369</v>
      </c>
      <c r="X145">
        <v>0.97251829999999995</v>
      </c>
      <c r="Y145">
        <v>0.1037983</v>
      </c>
      <c r="Z145">
        <v>-1.729059E-3</v>
      </c>
      <c r="AA145">
        <v>0.99459690000000001</v>
      </c>
      <c r="AB145">
        <v>24</v>
      </c>
      <c r="AC145">
        <v>61.250100000000003</v>
      </c>
      <c r="AD145">
        <v>-1.1574690000000001</v>
      </c>
      <c r="AE145">
        <v>-3.9468000000000498</v>
      </c>
      <c r="AF145">
        <v>6.3932134972060704</v>
      </c>
      <c r="AG145">
        <v>-1.1574690000000001</v>
      </c>
      <c r="AH145">
        <v>61.0213139907097</v>
      </c>
      <c r="AI145">
        <v>91.080757706367905</v>
      </c>
      <c r="AJ145">
        <v>84.018932000608601</v>
      </c>
      <c r="AK145">
        <v>61.3662258450004</v>
      </c>
      <c r="AL145">
        <v>77.494289854215197</v>
      </c>
      <c r="AM145">
        <v>84.972425998669195</v>
      </c>
      <c r="AN145">
        <v>0.99999994759400901</v>
      </c>
    </row>
    <row r="146" spans="1:40" x14ac:dyDescent="0.25">
      <c r="A146" t="str">
        <f>"20190312164439836"</f>
        <v>20190312164439836</v>
      </c>
      <c r="B146" t="str">
        <f>"1552380279831314"</f>
        <v>1552380279831314</v>
      </c>
      <c r="C146" t="s">
        <v>40</v>
      </c>
      <c r="D146">
        <v>4.8995439999999997</v>
      </c>
      <c r="E146">
        <v>0.51809399999999906</v>
      </c>
      <c r="F146" t="s">
        <v>42</v>
      </c>
      <c r="G146">
        <v>-392.2792</v>
      </c>
      <c r="H146" s="1">
        <v>-4.5422640000000004E-6</v>
      </c>
      <c r="I146">
        <v>362.58199999999999</v>
      </c>
      <c r="J146">
        <v>-461.03120000000001</v>
      </c>
      <c r="K146">
        <v>1.107445</v>
      </c>
      <c r="L146">
        <v>367.68990000000002</v>
      </c>
      <c r="M146">
        <v>0.99921570000000004</v>
      </c>
      <c r="N146">
        <v>0</v>
      </c>
      <c r="O146">
        <v>3.9596069999999997E-2</v>
      </c>
      <c r="P146">
        <v>0.97374669999999997</v>
      </c>
      <c r="Q146">
        <v>0.2223337</v>
      </c>
      <c r="R146">
        <v>-4.8834219999999998E-2</v>
      </c>
      <c r="S146">
        <v>3.0763240000000001</v>
      </c>
      <c r="T146">
        <v>-4.9378279999999997E-2</v>
      </c>
      <c r="U146">
        <v>-0.22732540000000001</v>
      </c>
      <c r="V146">
        <v>8.7523130000000005E-2</v>
      </c>
      <c r="W146">
        <v>0.22270680000000001</v>
      </c>
      <c r="X146">
        <v>0.9709487</v>
      </c>
      <c r="Y146">
        <v>0.11310530000000001</v>
      </c>
      <c r="Z146">
        <v>-1.541197E-3</v>
      </c>
      <c r="AA146">
        <v>0.99358179999999996</v>
      </c>
      <c r="AB146">
        <v>24</v>
      </c>
      <c r="AC146">
        <v>68.751999999999995</v>
      </c>
      <c r="AD146">
        <v>-1.1074495422640001</v>
      </c>
      <c r="AE146">
        <v>-5.1079000000000203</v>
      </c>
      <c r="AF146">
        <v>7.8241844605347604</v>
      </c>
      <c r="AG146">
        <v>-1.1074495422640001</v>
      </c>
      <c r="AH146">
        <v>68.478159613471007</v>
      </c>
      <c r="AI146">
        <v>90.920535701535997</v>
      </c>
      <c r="AJ146">
        <v>83.481759993812503</v>
      </c>
      <c r="AK146">
        <v>68.932594982411302</v>
      </c>
      <c r="AL146">
        <v>77.131933665471493</v>
      </c>
      <c r="AM146">
        <v>84.849172391636202</v>
      </c>
      <c r="AN146">
        <v>0.99999999754146296</v>
      </c>
    </row>
    <row r="147" spans="1:40" x14ac:dyDescent="0.25">
      <c r="A147" t="str">
        <f>"20190312164439860"</f>
        <v>20190312164439860</v>
      </c>
      <c r="B147" t="str">
        <f>"1552380279851811"</f>
        <v>1552380279851811</v>
      </c>
      <c r="C147" t="s">
        <v>40</v>
      </c>
      <c r="D147">
        <v>4.8798089999999998</v>
      </c>
      <c r="E147">
        <v>0.51845429999999904</v>
      </c>
      <c r="F147" t="s">
        <v>42</v>
      </c>
      <c r="G147">
        <v>-388.45800000000003</v>
      </c>
      <c r="H147" s="1">
        <v>-2.572946E-6</v>
      </c>
      <c r="I147">
        <v>361.86599999999999</v>
      </c>
      <c r="J147">
        <v>-460.76440000000002</v>
      </c>
      <c r="K147">
        <v>1.1074250000000001</v>
      </c>
      <c r="L147">
        <v>367.7</v>
      </c>
      <c r="M147">
        <v>0.99923629999999997</v>
      </c>
      <c r="N147">
        <v>0</v>
      </c>
      <c r="O147">
        <v>3.9069840000000002E-2</v>
      </c>
      <c r="P147">
        <v>0.97233590000000003</v>
      </c>
      <c r="Q147">
        <v>0.22784399999999999</v>
      </c>
      <c r="R147">
        <v>-5.1480199999999997E-2</v>
      </c>
      <c r="S147">
        <v>3.079224</v>
      </c>
      <c r="T147">
        <v>-4.6988130000000003E-2</v>
      </c>
      <c r="U147">
        <v>-0.24710080000000001</v>
      </c>
      <c r="V147">
        <v>8.9626800000000006E-2</v>
      </c>
      <c r="W147">
        <v>0.22826569999999999</v>
      </c>
      <c r="X147">
        <v>0.96946469999999996</v>
      </c>
      <c r="Y147">
        <v>0.1188559</v>
      </c>
      <c r="Z147">
        <v>-1.5006710000000001E-3</v>
      </c>
      <c r="AA147">
        <v>0.99291039999999997</v>
      </c>
      <c r="AB147">
        <v>25</v>
      </c>
      <c r="AC147">
        <v>72.306399999999996</v>
      </c>
      <c r="AD147">
        <v>-1.1074275729459999</v>
      </c>
      <c r="AE147">
        <v>-5.8339999999999996</v>
      </c>
      <c r="AF147">
        <v>8.6525291115624796</v>
      </c>
      <c r="AG147">
        <v>-1.1074275729459999</v>
      </c>
      <c r="AH147">
        <v>72.006477781258795</v>
      </c>
      <c r="AI147">
        <v>90.874821878905394</v>
      </c>
      <c r="AJ147">
        <v>83.148008580924099</v>
      </c>
      <c r="AK147">
        <v>72.532926994012001</v>
      </c>
      <c r="AL147">
        <v>76.805012251448701</v>
      </c>
      <c r="AM147">
        <v>84.718031800279704</v>
      </c>
      <c r="AN147">
        <v>0.99999999881040902</v>
      </c>
    </row>
    <row r="148" spans="1:40" x14ac:dyDescent="0.25">
      <c r="A148" t="str">
        <f>"20190312164439882"</f>
        <v>20190312164439882</v>
      </c>
      <c r="B148" t="str">
        <f>"1552380279872310"</f>
        <v>1552380279872310</v>
      </c>
      <c r="C148" t="s">
        <v>40</v>
      </c>
      <c r="D148">
        <v>4.9146210000000004</v>
      </c>
      <c r="E148">
        <v>0.51879929999999996</v>
      </c>
      <c r="F148" t="s">
        <v>42</v>
      </c>
      <c r="G148">
        <v>-373.46480000000003</v>
      </c>
      <c r="H148" s="1">
        <v>-4.6468259999999996E-6</v>
      </c>
      <c r="I148">
        <v>360.4579</v>
      </c>
      <c r="J148">
        <v>-460.52210000000002</v>
      </c>
      <c r="K148">
        <v>1.1074079999999999</v>
      </c>
      <c r="L148">
        <v>367.70890000000003</v>
      </c>
      <c r="M148">
        <v>0.99925609999999998</v>
      </c>
      <c r="N148">
        <v>0</v>
      </c>
      <c r="O148">
        <v>3.8560379999999998E-2</v>
      </c>
      <c r="P148">
        <v>0.9714853</v>
      </c>
      <c r="Q148">
        <v>0.23082279999999999</v>
      </c>
      <c r="R148">
        <v>-5.4198040000000003E-2</v>
      </c>
      <c r="S148">
        <v>3.080994</v>
      </c>
      <c r="T148">
        <v>-3.9083600000000003E-2</v>
      </c>
      <c r="U148">
        <v>-0.2555847</v>
      </c>
      <c r="V148">
        <v>9.1832319999999995E-2</v>
      </c>
      <c r="W148">
        <v>0.23128960000000001</v>
      </c>
      <c r="X148">
        <v>0.96854110000000004</v>
      </c>
      <c r="Y148">
        <v>0.12102549999999999</v>
      </c>
      <c r="Z148">
        <v>-1.25468E-3</v>
      </c>
      <c r="AA148">
        <v>0.99264859999999999</v>
      </c>
      <c r="AB148">
        <v>25</v>
      </c>
      <c r="AC148">
        <v>87.057299999999998</v>
      </c>
      <c r="AD148">
        <v>-1.1074126468259999</v>
      </c>
      <c r="AE148">
        <v>-7.2510000000000296</v>
      </c>
      <c r="AF148">
        <v>10.600866851710601</v>
      </c>
      <c r="AG148">
        <v>-1.1074126468259999</v>
      </c>
      <c r="AH148">
        <v>86.699019439848499</v>
      </c>
      <c r="AI148">
        <v>90.726393978617494</v>
      </c>
      <c r="AJ148">
        <v>83.028930366329206</v>
      </c>
      <c r="AK148">
        <v>87.351729877600505</v>
      </c>
      <c r="AL148">
        <v>76.626991654020998</v>
      </c>
      <c r="AM148">
        <v>84.583686991455195</v>
      </c>
      <c r="AN148">
        <v>0.99999995822697496</v>
      </c>
    </row>
    <row r="149" spans="1:40" x14ac:dyDescent="0.25">
      <c r="A149" t="str">
        <f>"20190312164439903"</f>
        <v>20190312164439903</v>
      </c>
      <c r="B149" t="str">
        <f>"1552380279891830"</f>
        <v>1552380279891830</v>
      </c>
      <c r="C149" t="s">
        <v>40</v>
      </c>
      <c r="D149">
        <v>4.8752659999999999</v>
      </c>
      <c r="E149">
        <v>0.5186132</v>
      </c>
      <c r="F149" t="s">
        <v>42</v>
      </c>
      <c r="G149">
        <v>-379.19450000000001</v>
      </c>
      <c r="H149" s="1">
        <v>-2.6207659999999999E-6</v>
      </c>
      <c r="I149">
        <v>360.74439999999998</v>
      </c>
      <c r="J149">
        <v>-460.2799</v>
      </c>
      <c r="K149">
        <v>1.1073959999999901</v>
      </c>
      <c r="L149">
        <v>367.71769999999998</v>
      </c>
      <c r="M149">
        <v>0.99927630000000001</v>
      </c>
      <c r="N149">
        <v>0</v>
      </c>
      <c r="O149">
        <v>3.803322E-2</v>
      </c>
      <c r="P149">
        <v>0.97062250000000005</v>
      </c>
      <c r="Q149">
        <v>0.23391609999999999</v>
      </c>
      <c r="R149">
        <v>-5.6352079999999999E-2</v>
      </c>
      <c r="S149">
        <v>3.0833439999999999</v>
      </c>
      <c r="T149">
        <v>-4.1984800000000003E-2</v>
      </c>
      <c r="U149">
        <v>-0.2640381</v>
      </c>
      <c r="V149">
        <v>9.3453049999999996E-2</v>
      </c>
      <c r="W149">
        <v>0.2344309</v>
      </c>
      <c r="X149">
        <v>0.9676304</v>
      </c>
      <c r="Y149">
        <v>0.1231394</v>
      </c>
      <c r="Z149">
        <v>-1.3538350000000001E-3</v>
      </c>
      <c r="AA149">
        <v>0.99238850000000001</v>
      </c>
      <c r="AB149">
        <v>25</v>
      </c>
      <c r="AC149">
        <v>81.085399999999893</v>
      </c>
      <c r="AD149">
        <v>-1.10739862076599</v>
      </c>
      <c r="AE149">
        <v>-6.9732999999999903</v>
      </c>
      <c r="AF149">
        <v>10.0503332273341</v>
      </c>
      <c r="AG149">
        <v>-1.10739862076599</v>
      </c>
      <c r="AH149">
        <v>80.746565410888095</v>
      </c>
      <c r="AI149">
        <v>90.779717797803599</v>
      </c>
      <c r="AJ149">
        <v>82.905019179905693</v>
      </c>
      <c r="AK149">
        <v>81.3771672850595</v>
      </c>
      <c r="AL149">
        <v>76.441920720192499</v>
      </c>
      <c r="AM149">
        <v>84.483524004448796</v>
      </c>
      <c r="AN149">
        <v>0.99999995521663498</v>
      </c>
    </row>
    <row r="150" spans="1:40" x14ac:dyDescent="0.25">
      <c r="A150" t="str">
        <f>"20190312164439926"</f>
        <v>20190312164439926</v>
      </c>
      <c r="B150" t="str">
        <f>"1552380279922082"</f>
        <v>1552380279922082</v>
      </c>
      <c r="C150" t="s">
        <v>40</v>
      </c>
      <c r="D150">
        <v>4.7717640000000001</v>
      </c>
      <c r="E150">
        <v>0.518408599999999</v>
      </c>
      <c r="F150" t="s">
        <v>42</v>
      </c>
      <c r="G150">
        <v>-379.62049999999999</v>
      </c>
      <c r="H150" s="1">
        <v>-2.4839029999999999E-6</v>
      </c>
      <c r="I150">
        <v>360.71390000000002</v>
      </c>
      <c r="J150">
        <v>-460.0197</v>
      </c>
      <c r="K150">
        <v>1.107394</v>
      </c>
      <c r="L150">
        <v>367.72699999999998</v>
      </c>
      <c r="M150">
        <v>0.99929800000000002</v>
      </c>
      <c r="N150">
        <v>0</v>
      </c>
      <c r="O150">
        <v>3.7459159999999998E-2</v>
      </c>
      <c r="P150">
        <v>0.96972659999999999</v>
      </c>
      <c r="Q150">
        <v>0.23727599999999999</v>
      </c>
      <c r="R150">
        <v>-5.7713939999999998E-2</v>
      </c>
      <c r="S150">
        <v>3.08548</v>
      </c>
      <c r="T150">
        <v>-4.2361500000000003E-2</v>
      </c>
      <c r="U150">
        <v>-0.26791379999999998</v>
      </c>
      <c r="V150">
        <v>9.4233159999999996E-2</v>
      </c>
      <c r="W150">
        <v>0.2378449</v>
      </c>
      <c r="X150">
        <v>0.96672119999999995</v>
      </c>
      <c r="Y150">
        <v>0.123748</v>
      </c>
      <c r="Z150">
        <v>-1.361269E-3</v>
      </c>
      <c r="AA150">
        <v>0.99231270000000005</v>
      </c>
      <c r="AB150">
        <v>25</v>
      </c>
      <c r="AC150">
        <v>80.399199999999993</v>
      </c>
      <c r="AD150">
        <v>-1.1073964839029999</v>
      </c>
      <c r="AE150">
        <v>-7.0130999999999499</v>
      </c>
      <c r="AF150">
        <v>10.017978682233499</v>
      </c>
      <c r="AG150">
        <v>-1.1073964839029999</v>
      </c>
      <c r="AH150">
        <v>80.064992811730903</v>
      </c>
      <c r="AI150">
        <v>90.786289661623002</v>
      </c>
      <c r="AJ150">
        <v>82.868040155683801</v>
      </c>
      <c r="AK150">
        <v>80.696897696211096</v>
      </c>
      <c r="AL150">
        <v>76.240620296787597</v>
      </c>
      <c r="AM150">
        <v>84.432563763263104</v>
      </c>
      <c r="AN150">
        <v>0.99999998171451698</v>
      </c>
    </row>
    <row r="151" spans="1:40" x14ac:dyDescent="0.25">
      <c r="A151" t="str">
        <f>"20190312164439950"</f>
        <v>20190312164439950</v>
      </c>
      <c r="B151" t="str">
        <f>"1552380279942111"</f>
        <v>1552380279942111</v>
      </c>
      <c r="C151" t="s">
        <v>40</v>
      </c>
      <c r="D151">
        <v>4.7480370000000001</v>
      </c>
      <c r="E151">
        <v>0.51834789999999997</v>
      </c>
      <c r="F151" t="s">
        <v>42</v>
      </c>
      <c r="G151">
        <v>-381.71499999999997</v>
      </c>
      <c r="H151" s="1">
        <v>-5.1387379999999901E-6</v>
      </c>
      <c r="I151">
        <v>360.84710000000001</v>
      </c>
      <c r="J151">
        <v>-459.74740000000003</v>
      </c>
      <c r="K151">
        <v>1.10741</v>
      </c>
      <c r="L151">
        <v>367.73660000000001</v>
      </c>
      <c r="M151">
        <v>0.99932019999999999</v>
      </c>
      <c r="N151">
        <v>0</v>
      </c>
      <c r="O151">
        <v>3.6859120000000002E-2</v>
      </c>
      <c r="P151">
        <v>0.96869000000000005</v>
      </c>
      <c r="Q151">
        <v>0.24102879999999999</v>
      </c>
      <c r="R151">
        <v>-5.9538460000000001E-2</v>
      </c>
      <c r="S151">
        <v>3.0882260000000001</v>
      </c>
      <c r="T151">
        <v>-4.3674230000000001E-2</v>
      </c>
      <c r="U151">
        <v>-0.27133180000000001</v>
      </c>
      <c r="V151">
        <v>9.5443379999999994E-2</v>
      </c>
      <c r="W151">
        <v>0.24165529999999999</v>
      </c>
      <c r="X151">
        <v>0.96565690000000004</v>
      </c>
      <c r="Y151">
        <v>0.1241651</v>
      </c>
      <c r="Z151">
        <v>-1.3966130000000001E-3</v>
      </c>
      <c r="AA151">
        <v>0.99226060000000005</v>
      </c>
      <c r="AB151">
        <v>25</v>
      </c>
      <c r="AC151">
        <v>78.032399999999996</v>
      </c>
      <c r="AD151">
        <v>-1.107415138738</v>
      </c>
      <c r="AE151">
        <v>-6.8894999999999902</v>
      </c>
      <c r="AF151">
        <v>9.7590744376212601</v>
      </c>
      <c r="AG151">
        <v>-1.107415138738</v>
      </c>
      <c r="AH151">
        <v>77.709903645648595</v>
      </c>
      <c r="AI151">
        <v>90.810083585497495</v>
      </c>
      <c r="AJ151">
        <v>82.8420735311866</v>
      </c>
      <c r="AK151">
        <v>78.328124111231801</v>
      </c>
      <c r="AL151">
        <v>76.0157416762639</v>
      </c>
      <c r="AM151">
        <v>84.355345660986799</v>
      </c>
      <c r="AN151">
        <v>0.99999998566076198</v>
      </c>
    </row>
    <row r="152" spans="1:40" x14ac:dyDescent="0.25">
      <c r="A152" t="str">
        <f>"20190312164439970"</f>
        <v>20190312164439970</v>
      </c>
      <c r="B152" t="str">
        <f>"1552380279961634"</f>
        <v>1552380279961634</v>
      </c>
      <c r="C152" t="s">
        <v>40</v>
      </c>
      <c r="D152">
        <v>4.7131749999999997</v>
      </c>
      <c r="E152">
        <v>0.51804090000000003</v>
      </c>
      <c r="F152" t="s">
        <v>42</v>
      </c>
      <c r="G152">
        <v>-373.07889999999998</v>
      </c>
      <c r="H152" s="1">
        <v>-4.907783E-6</v>
      </c>
      <c r="I152">
        <v>359.97070000000002</v>
      </c>
      <c r="J152">
        <v>-459.50959999999998</v>
      </c>
      <c r="K152">
        <v>1.1074280000000001</v>
      </c>
      <c r="L152">
        <v>367.7448</v>
      </c>
      <c r="M152">
        <v>0.99933919999999998</v>
      </c>
      <c r="N152">
        <v>0</v>
      </c>
      <c r="O152">
        <v>3.6340629999999999E-2</v>
      </c>
      <c r="P152">
        <v>0.96750899999999995</v>
      </c>
      <c r="Q152">
        <v>0.24527979999999999</v>
      </c>
      <c r="R152">
        <v>-6.1356649999999999E-2</v>
      </c>
      <c r="S152">
        <v>3.0898129999999999</v>
      </c>
      <c r="T152">
        <v>-3.9480330000000001E-2</v>
      </c>
      <c r="U152">
        <v>-0.27685549999999998</v>
      </c>
      <c r="V152">
        <v>9.6720230000000004E-2</v>
      </c>
      <c r="W152">
        <v>0.24595700000000001</v>
      </c>
      <c r="X152">
        <v>0.96444300000000005</v>
      </c>
      <c r="Y152">
        <v>0.1253687</v>
      </c>
      <c r="Z152">
        <v>-1.2628299999999999E-3</v>
      </c>
      <c r="AA152">
        <v>0.99210940000000003</v>
      </c>
      <c r="AB152">
        <v>26</v>
      </c>
      <c r="AC152">
        <v>86.430700000000002</v>
      </c>
      <c r="AD152">
        <v>-1.1074329077830001</v>
      </c>
      <c r="AE152">
        <v>-7.7740999999999696</v>
      </c>
      <c r="AF152">
        <v>10.9081353740346</v>
      </c>
      <c r="AG152">
        <v>-1.1074329077830001</v>
      </c>
      <c r="AH152">
        <v>86.077075343662898</v>
      </c>
      <c r="AI152">
        <v>90.731256012345099</v>
      </c>
      <c r="AJ152">
        <v>82.777677930308201</v>
      </c>
      <c r="AK152">
        <v>86.772557440138399</v>
      </c>
      <c r="AL152">
        <v>75.761603131349403</v>
      </c>
      <c r="AM152">
        <v>84.273177132288893</v>
      </c>
      <c r="AN152">
        <v>0.99999997449462596</v>
      </c>
    </row>
    <row r="153" spans="1:40" x14ac:dyDescent="0.25">
      <c r="A153" t="str">
        <f>"20190312164439995"</f>
        <v>20190312164439995</v>
      </c>
      <c r="B153" t="str">
        <f>"1552380279991887"</f>
        <v>1552380279991887</v>
      </c>
      <c r="C153" t="s">
        <v>40</v>
      </c>
      <c r="D153">
        <v>4.6727429999999996</v>
      </c>
      <c r="E153">
        <v>0.51694890000000004</v>
      </c>
      <c r="F153" t="s">
        <v>42</v>
      </c>
      <c r="G153">
        <v>-361.49509999999998</v>
      </c>
      <c r="H153">
        <v>7.9986429999999997E-2</v>
      </c>
      <c r="I153">
        <v>358.85399999999998</v>
      </c>
      <c r="J153">
        <v>-459.22329999999999</v>
      </c>
      <c r="K153">
        <v>1.1074409999999999</v>
      </c>
      <c r="L153">
        <v>367.75459999999998</v>
      </c>
      <c r="M153">
        <v>0.99936130000000001</v>
      </c>
      <c r="N153">
        <v>0</v>
      </c>
      <c r="O153">
        <v>3.5725510000000002E-2</v>
      </c>
      <c r="P153">
        <v>0.96636040000000001</v>
      </c>
      <c r="Q153">
        <v>0.24940889999999999</v>
      </c>
      <c r="R153">
        <v>-6.2792990000000007E-2</v>
      </c>
      <c r="S153">
        <v>3.0911870000000001</v>
      </c>
      <c r="T153">
        <v>-3.2403469999999997E-2</v>
      </c>
      <c r="U153">
        <v>-0.28039550000000002</v>
      </c>
      <c r="V153">
        <v>9.7523620000000005E-2</v>
      </c>
      <c r="W153">
        <v>0.25014899999999901</v>
      </c>
      <c r="X153">
        <v>0.96328320000000001</v>
      </c>
      <c r="Y153">
        <v>0.12585009999999999</v>
      </c>
      <c r="Z153">
        <v>-1.032053E-3</v>
      </c>
      <c r="AA153">
        <v>0.99204870000000001</v>
      </c>
      <c r="AB153">
        <v>26</v>
      </c>
      <c r="AC153">
        <v>97.728200000000001</v>
      </c>
      <c r="AD153">
        <v>-1.02745457</v>
      </c>
      <c r="AE153">
        <v>-8.9005999999999297</v>
      </c>
      <c r="AF153">
        <v>12.3849515205029</v>
      </c>
      <c r="AG153">
        <v>-1.02745457</v>
      </c>
      <c r="AH153">
        <v>97.337165321212595</v>
      </c>
      <c r="AI153">
        <v>90.599933840586601</v>
      </c>
      <c r="AJ153">
        <v>82.748783517509295</v>
      </c>
      <c r="AK153">
        <v>98.127297118730894</v>
      </c>
      <c r="AL153">
        <v>75.513669864795105</v>
      </c>
      <c r="AM153">
        <v>84.219023401219204</v>
      </c>
      <c r="AN153">
        <v>0.99999995103057104</v>
      </c>
    </row>
    <row r="154" spans="1:40" x14ac:dyDescent="0.25">
      <c r="A154" t="str">
        <f>"20190312164440015"</f>
        <v>20190312164440015</v>
      </c>
      <c r="B154" t="str">
        <f>"1552380280011407"</f>
        <v>1552380280011407</v>
      </c>
      <c r="C154" t="s">
        <v>40</v>
      </c>
      <c r="D154">
        <v>4.6451770000000003</v>
      </c>
      <c r="E154">
        <v>0.51725449999999995</v>
      </c>
      <c r="F154" t="s">
        <v>43</v>
      </c>
      <c r="G154">
        <v>-430.01909999999998</v>
      </c>
      <c r="H154">
        <v>-0.05</v>
      </c>
      <c r="I154">
        <v>365.20650000000001</v>
      </c>
      <c r="J154">
        <v>-458.99209999999999</v>
      </c>
      <c r="K154">
        <v>1.1074520000000001</v>
      </c>
      <c r="L154">
        <v>367.76229999999998</v>
      </c>
      <c r="M154">
        <v>0.99937869999999995</v>
      </c>
      <c r="N154">
        <v>0</v>
      </c>
      <c r="O154">
        <v>3.5234679999999997E-2</v>
      </c>
      <c r="P154">
        <v>0.96556120000000001</v>
      </c>
      <c r="Q154">
        <v>0.2523456</v>
      </c>
      <c r="R154">
        <v>-6.3352729999999996E-2</v>
      </c>
      <c r="S154">
        <v>3.1185909999999999</v>
      </c>
      <c r="T154">
        <v>-0.1235981</v>
      </c>
      <c r="U154">
        <v>-0.27209470000000002</v>
      </c>
      <c r="V154">
        <v>9.7583429999999999E-2</v>
      </c>
      <c r="W154">
        <v>0.25313720000000001</v>
      </c>
      <c r="X154">
        <v>0.96249629999999997</v>
      </c>
      <c r="Y154">
        <v>0.1218439</v>
      </c>
      <c r="Z154">
        <v>-3.8025540000000001E-3</v>
      </c>
      <c r="AA154">
        <v>0.99254200000000004</v>
      </c>
      <c r="AB154">
        <v>26</v>
      </c>
      <c r="AC154">
        <v>28.972999999999999</v>
      </c>
      <c r="AD154">
        <v>-1.1574519999999999</v>
      </c>
      <c r="AE154">
        <v>-2.5557999999999699</v>
      </c>
      <c r="AF154">
        <v>3.5694151535120402</v>
      </c>
      <c r="AG154">
        <v>-1.1574519999999999</v>
      </c>
      <c r="AH154">
        <v>28.819317812068899</v>
      </c>
      <c r="AI154">
        <v>92.282476661929707</v>
      </c>
      <c r="AJ154">
        <v>82.939589955419393</v>
      </c>
      <c r="AK154">
        <v>29.062579011909101</v>
      </c>
      <c r="AL154">
        <v>75.336767218889705</v>
      </c>
      <c r="AM154">
        <v>84.210804961935395</v>
      </c>
      <c r="AN154">
        <v>1.00000004767404</v>
      </c>
    </row>
    <row r="155" spans="1:40" x14ac:dyDescent="0.25">
      <c r="A155" t="str">
        <f>"20190312164440039"</f>
        <v>20190312164440039</v>
      </c>
      <c r="B155" t="str">
        <f>"1552380280031434"</f>
        <v>1552380280031434</v>
      </c>
      <c r="C155" t="s">
        <v>40</v>
      </c>
      <c r="D155">
        <v>4.577312</v>
      </c>
      <c r="E155">
        <v>0.51700190000000001</v>
      </c>
      <c r="F155" t="s">
        <v>43</v>
      </c>
      <c r="G155">
        <v>-429.58640000000003</v>
      </c>
      <c r="H155">
        <v>-0.05</v>
      </c>
      <c r="I155">
        <v>365.12459999999999</v>
      </c>
      <c r="J155">
        <v>-458.71660000000003</v>
      </c>
      <c r="K155">
        <v>1.107461</v>
      </c>
      <c r="L155">
        <v>367.7715</v>
      </c>
      <c r="M155">
        <v>0.99939880000000003</v>
      </c>
      <c r="N155">
        <v>0</v>
      </c>
      <c r="O155">
        <v>3.4656279999999998E-2</v>
      </c>
      <c r="P155">
        <v>0.96487999999999996</v>
      </c>
      <c r="Q155">
        <v>0.25486449999999999</v>
      </c>
      <c r="R155">
        <v>-6.3645779999999999E-2</v>
      </c>
      <c r="S155">
        <v>3.1207579999999999</v>
      </c>
      <c r="T155">
        <v>-0.12283769999999999</v>
      </c>
      <c r="U155">
        <v>-0.27993770000000001</v>
      </c>
      <c r="V155">
        <v>9.7297270000000005E-2</v>
      </c>
      <c r="W155">
        <v>0.25571870000000002</v>
      </c>
      <c r="X155">
        <v>0.96184259999999999</v>
      </c>
      <c r="Y155">
        <v>0.1236854</v>
      </c>
      <c r="Z155">
        <v>-3.7895979999999999E-3</v>
      </c>
      <c r="AA155">
        <v>0.99231420000000004</v>
      </c>
      <c r="AB155">
        <v>26</v>
      </c>
      <c r="AC155">
        <v>29.130199999999999</v>
      </c>
      <c r="AD155">
        <v>-1.1574610000000001</v>
      </c>
      <c r="AE155">
        <v>-2.6469000000000098</v>
      </c>
      <c r="AF155">
        <v>3.6491407751181999</v>
      </c>
      <c r="AG155">
        <v>-1.1574610000000001</v>
      </c>
      <c r="AH155">
        <v>28.975597520274</v>
      </c>
      <c r="AI155">
        <v>92.2696156985036</v>
      </c>
      <c r="AJ155">
        <v>82.822049846768607</v>
      </c>
      <c r="AK155">
        <v>29.2274048800105</v>
      </c>
      <c r="AL155">
        <v>75.183824330281197</v>
      </c>
      <c r="AM155">
        <v>84.223770217767594</v>
      </c>
      <c r="AN155">
        <v>0.99999999972695097</v>
      </c>
    </row>
    <row r="156" spans="1:40" x14ac:dyDescent="0.25">
      <c r="A156" t="str">
        <f>"20190312164440060"</f>
        <v>20190312164440060</v>
      </c>
      <c r="B156" t="str">
        <f>"1552380280051929"</f>
        <v>1552380280051929</v>
      </c>
      <c r="C156" t="s">
        <v>40</v>
      </c>
      <c r="D156">
        <v>4.5426909999999996</v>
      </c>
      <c r="E156">
        <v>0.51642140000000003</v>
      </c>
      <c r="F156" t="s">
        <v>43</v>
      </c>
      <c r="G156">
        <v>-428.20609999999999</v>
      </c>
      <c r="H156">
        <v>-0.05</v>
      </c>
      <c r="I156">
        <v>364.99520000000001</v>
      </c>
      <c r="J156">
        <v>-458.45569999999998</v>
      </c>
      <c r="K156">
        <v>1.107469</v>
      </c>
      <c r="L156">
        <v>367.7799</v>
      </c>
      <c r="M156">
        <v>0.99941740000000001</v>
      </c>
      <c r="N156">
        <v>0</v>
      </c>
      <c r="O156">
        <v>3.4116500000000001E-2</v>
      </c>
      <c r="P156">
        <v>0.96435119999999996</v>
      </c>
      <c r="Q156">
        <v>0.2565518</v>
      </c>
      <c r="R156">
        <v>-6.4871449999999997E-2</v>
      </c>
      <c r="S156">
        <v>3.1217350000000001</v>
      </c>
      <c r="T156">
        <v>-0.1184279</v>
      </c>
      <c r="U156">
        <v>-0.28405760000000002</v>
      </c>
      <c r="V156">
        <v>9.79854E-2</v>
      </c>
      <c r="W156">
        <v>0.25746400000000003</v>
      </c>
      <c r="X156">
        <v>0.96130700000000002</v>
      </c>
      <c r="Y156">
        <v>0.12442930000000001</v>
      </c>
      <c r="Z156">
        <v>-3.6459499999999998E-3</v>
      </c>
      <c r="AA156">
        <v>0.99222180000000004</v>
      </c>
      <c r="AB156">
        <v>26</v>
      </c>
      <c r="AC156">
        <v>30.249599999999901</v>
      </c>
      <c r="AD156">
        <v>-1.1574690000000001</v>
      </c>
      <c r="AE156">
        <v>-2.78469999999998</v>
      </c>
      <c r="AF156">
        <v>3.8095590604883598</v>
      </c>
      <c r="AG156">
        <v>-1.1574690000000001</v>
      </c>
      <c r="AH156">
        <v>30.093296079874001</v>
      </c>
      <c r="AI156">
        <v>92.185240801648405</v>
      </c>
      <c r="AJ156">
        <v>82.785211250154703</v>
      </c>
      <c r="AK156">
        <v>30.3555422233283</v>
      </c>
      <c r="AL156">
        <v>75.080362061826605</v>
      </c>
      <c r="AM156">
        <v>84.179978640048603</v>
      </c>
      <c r="AN156">
        <v>0.99999999907907999</v>
      </c>
    </row>
    <row r="157" spans="1:40" x14ac:dyDescent="0.25">
      <c r="A157" t="str">
        <f>"20190312164440082"</f>
        <v>20190312164440082</v>
      </c>
      <c r="B157" t="str">
        <f>"1552380280071453"</f>
        <v>1552380280071453</v>
      </c>
      <c r="C157" t="s">
        <v>40</v>
      </c>
      <c r="D157">
        <v>4.5469679999999997</v>
      </c>
      <c r="E157">
        <v>0.49344139999999997</v>
      </c>
      <c r="F157" t="s">
        <v>43</v>
      </c>
      <c r="G157">
        <v>-427.47919999999999</v>
      </c>
      <c r="H157">
        <v>-0.05</v>
      </c>
      <c r="I157">
        <v>364.9409</v>
      </c>
      <c r="J157">
        <v>-458.19029999999998</v>
      </c>
      <c r="K157">
        <v>1.1074710000000001</v>
      </c>
      <c r="L157">
        <v>367.78840000000002</v>
      </c>
      <c r="M157">
        <v>0.99943550000000003</v>
      </c>
      <c r="N157">
        <v>0</v>
      </c>
      <c r="O157">
        <v>3.3579579999999998E-2</v>
      </c>
      <c r="P157">
        <v>0.9645783</v>
      </c>
      <c r="Q157">
        <v>0.25536330000000002</v>
      </c>
      <c r="R157">
        <v>-6.6173850000000006E-2</v>
      </c>
      <c r="S157">
        <v>3.122681</v>
      </c>
      <c r="T157">
        <v>-0.1166821</v>
      </c>
      <c r="U157">
        <v>-0.2861938</v>
      </c>
      <c r="V157">
        <v>9.8774840000000003E-2</v>
      </c>
      <c r="W157">
        <v>0.25633630000000002</v>
      </c>
      <c r="X157">
        <v>0.96152749999999998</v>
      </c>
      <c r="Y157">
        <v>0.124546</v>
      </c>
      <c r="Z157">
        <v>-3.5732030000000001E-3</v>
      </c>
      <c r="AA157">
        <v>0.99220739999999996</v>
      </c>
      <c r="AB157">
        <v>26</v>
      </c>
      <c r="AC157">
        <v>30.711099999999899</v>
      </c>
      <c r="AD157">
        <v>-1.1574709999999999</v>
      </c>
      <c r="AE157">
        <v>-2.8475000000000201</v>
      </c>
      <c r="AF157">
        <v>3.8717078086011698</v>
      </c>
      <c r="AG157">
        <v>-1.1574709999999999</v>
      </c>
      <c r="AH157">
        <v>30.555130006994801</v>
      </c>
      <c r="AI157">
        <v>92.152214072967396</v>
      </c>
      <c r="AJ157">
        <v>82.778411400382794</v>
      </c>
      <c r="AK157">
        <v>30.821191252373399</v>
      </c>
      <c r="AL157">
        <v>75.1472176125842</v>
      </c>
      <c r="AM157">
        <v>84.134750124985999</v>
      </c>
      <c r="AN157">
        <v>0.99999995048548096</v>
      </c>
    </row>
    <row r="158" spans="1:40" x14ac:dyDescent="0.25">
      <c r="A158" t="str">
        <f>"20190312164440103"</f>
        <v>20190312164440103</v>
      </c>
      <c r="B158" t="str">
        <f>"1552380280091945"</f>
        <v>1552380280091945</v>
      </c>
      <c r="C158" t="s">
        <v>40</v>
      </c>
      <c r="D158">
        <v>4.7721749999999998</v>
      </c>
      <c r="E158">
        <v>0.490118</v>
      </c>
      <c r="F158" t="s">
        <v>43</v>
      </c>
      <c r="G158">
        <v>-398.31360000000001</v>
      </c>
      <c r="H158">
        <v>-0.05</v>
      </c>
      <c r="I158">
        <v>365.67669999999998</v>
      </c>
      <c r="J158">
        <v>-457.93709999999999</v>
      </c>
      <c r="K158">
        <v>1.1074600000000001</v>
      </c>
      <c r="L158">
        <v>367.79640000000001</v>
      </c>
      <c r="M158">
        <v>0.99945200000000001</v>
      </c>
      <c r="N158">
        <v>0</v>
      </c>
      <c r="O158">
        <v>3.3084750000000003E-2</v>
      </c>
      <c r="P158">
        <v>0.96513610000000005</v>
      </c>
      <c r="Q158">
        <v>0.25306960000000001</v>
      </c>
      <c r="R158">
        <v>-6.6848550000000007E-2</v>
      </c>
      <c r="S158">
        <v>3.1185610000000001</v>
      </c>
      <c r="T158">
        <v>-6.0284610000000002E-2</v>
      </c>
      <c r="U158">
        <v>-0.1099854</v>
      </c>
      <c r="V158">
        <v>9.8985050000000005E-2</v>
      </c>
      <c r="W158">
        <v>0.25410120000000003</v>
      </c>
      <c r="X158">
        <v>0.96209900000000004</v>
      </c>
      <c r="Y158">
        <v>6.8272070000000004E-2</v>
      </c>
      <c r="Z158">
        <v>-1.2989200000000001E-3</v>
      </c>
      <c r="AA158">
        <v>0.99766589999999999</v>
      </c>
      <c r="AB158">
        <v>27</v>
      </c>
      <c r="AC158">
        <v>59.6234999999999</v>
      </c>
      <c r="AD158">
        <v>-1.1574599999999999</v>
      </c>
      <c r="AE158">
        <v>-2.1197000000000199</v>
      </c>
      <c r="AF158">
        <v>4.0896299822969198</v>
      </c>
      <c r="AG158">
        <v>-1.1574599999999999</v>
      </c>
      <c r="AH158">
        <v>59.498335200381597</v>
      </c>
      <c r="AI158">
        <v>91.1118489454947</v>
      </c>
      <c r="AJ158">
        <v>86.067947704890202</v>
      </c>
      <c r="AK158">
        <v>59.649951204176801</v>
      </c>
      <c r="AL158">
        <v>75.279666025928094</v>
      </c>
      <c r="AM158">
        <v>84.125822131414594</v>
      </c>
      <c r="AN158">
        <v>0.99999997288297005</v>
      </c>
    </row>
    <row r="159" spans="1:40" x14ac:dyDescent="0.25">
      <c r="A159" t="str">
        <f>"20190312164440127"</f>
        <v>20190312164440127</v>
      </c>
      <c r="B159" t="str">
        <f>"1552380280122203"</f>
        <v>1552380280122203</v>
      </c>
      <c r="C159" t="s">
        <v>40</v>
      </c>
      <c r="D159">
        <v>4.4759140000000004</v>
      </c>
      <c r="E159">
        <v>0.48816310000000002</v>
      </c>
      <c r="F159" t="s">
        <v>43</v>
      </c>
      <c r="G159">
        <v>-400.51749999999998</v>
      </c>
      <c r="H159">
        <v>-0.05</v>
      </c>
      <c r="I159">
        <v>366.19900000000001</v>
      </c>
      <c r="J159">
        <v>-457.65170000000001</v>
      </c>
      <c r="K159">
        <v>1.1074729999999999</v>
      </c>
      <c r="L159">
        <v>367.80529999999999</v>
      </c>
      <c r="M159">
        <v>0.99946919999999995</v>
      </c>
      <c r="N159">
        <v>0</v>
      </c>
      <c r="O159">
        <v>3.2557639999999999E-2</v>
      </c>
      <c r="P159">
        <v>0.96518210000000004</v>
      </c>
      <c r="Q159">
        <v>0.2527818</v>
      </c>
      <c r="R159">
        <v>-6.727081E-2</v>
      </c>
      <c r="S159">
        <v>3.118805</v>
      </c>
      <c r="T159">
        <v>-6.2868709999999994E-2</v>
      </c>
      <c r="U159">
        <v>-8.6761469999999993E-2</v>
      </c>
      <c r="V159">
        <v>9.8891279999999998E-2</v>
      </c>
      <c r="W159">
        <v>0.2538784</v>
      </c>
      <c r="X159">
        <v>0.96216749999999995</v>
      </c>
      <c r="Y159">
        <v>6.0319530000000003E-2</v>
      </c>
      <c r="Z159">
        <v>-1.2638689999999999E-3</v>
      </c>
      <c r="AA159">
        <v>0.99817829999999996</v>
      </c>
      <c r="AB159">
        <v>27</v>
      </c>
      <c r="AC159">
        <v>57.1342</v>
      </c>
      <c r="AD159">
        <v>-1.157473</v>
      </c>
      <c r="AE159">
        <v>-1.6062999999999701</v>
      </c>
      <c r="AF159">
        <v>3.4641837252713898</v>
      </c>
      <c r="AG159">
        <v>-1.157473</v>
      </c>
      <c r="AH159">
        <v>57.028226347387303</v>
      </c>
      <c r="AI159">
        <v>91.160605008564104</v>
      </c>
      <c r="AJ159">
        <v>86.523835180066698</v>
      </c>
      <c r="AK159">
        <v>57.145069016994</v>
      </c>
      <c r="AL159">
        <v>75.2928649377439</v>
      </c>
      <c r="AM159">
        <v>84.131762863086195</v>
      </c>
      <c r="AN159">
        <v>1.0000000126514199</v>
      </c>
    </row>
    <row r="160" spans="1:40" x14ac:dyDescent="0.25">
      <c r="A160" t="str">
        <f>"20190312164440151"</f>
        <v>20190312164440151</v>
      </c>
      <c r="B160" t="str">
        <f>"1552380280142230"</f>
        <v>1552380280142230</v>
      </c>
      <c r="C160" t="s">
        <v>40</v>
      </c>
      <c r="D160">
        <v>4.577699</v>
      </c>
      <c r="E160">
        <v>0.48829210000000001</v>
      </c>
      <c r="F160" t="s">
        <v>43</v>
      </c>
      <c r="G160">
        <v>-407.28230000000002</v>
      </c>
      <c r="H160">
        <v>-0.05</v>
      </c>
      <c r="I160">
        <v>366.64729999999997</v>
      </c>
      <c r="J160">
        <v>-457.36130000000003</v>
      </c>
      <c r="K160">
        <v>1.1075079999999999</v>
      </c>
      <c r="L160">
        <v>367.8143</v>
      </c>
      <c r="M160">
        <v>0.99948479999999995</v>
      </c>
      <c r="N160">
        <v>0</v>
      </c>
      <c r="O160">
        <v>3.2070069999999999E-2</v>
      </c>
      <c r="P160">
        <v>0.96471569999999995</v>
      </c>
      <c r="Q160">
        <v>0.25444299999999997</v>
      </c>
      <c r="R160">
        <v>-6.7695069999999996E-2</v>
      </c>
      <c r="S160">
        <v>3.1220089999999998</v>
      </c>
      <c r="T160">
        <v>-7.1742769999999997E-2</v>
      </c>
      <c r="U160">
        <v>-7.1777339999999995E-2</v>
      </c>
      <c r="V160">
        <v>9.8816589999999996E-2</v>
      </c>
      <c r="W160">
        <v>0.25560440000000001</v>
      </c>
      <c r="X160">
        <v>0.96171810000000002</v>
      </c>
      <c r="Y160">
        <v>5.501151E-2</v>
      </c>
      <c r="Z160">
        <v>-1.3686460000000001E-3</v>
      </c>
      <c r="AA160">
        <v>0.99848479999999995</v>
      </c>
      <c r="AB160">
        <v>27</v>
      </c>
      <c r="AC160">
        <v>50.079000000000001</v>
      </c>
      <c r="AD160">
        <v>-1.157508</v>
      </c>
      <c r="AE160">
        <v>-1.16700000000003</v>
      </c>
      <c r="AF160">
        <v>2.7709585232443801</v>
      </c>
      <c r="AG160">
        <v>-1.157508</v>
      </c>
      <c r="AH160">
        <v>49.989122956853201</v>
      </c>
      <c r="AI160">
        <v>91.324425598735502</v>
      </c>
      <c r="AJ160">
        <v>86.827271396527195</v>
      </c>
      <c r="AK160">
        <v>50.079241706549297</v>
      </c>
      <c r="AL160">
        <v>75.1905986074335</v>
      </c>
      <c r="AM160">
        <v>84.133443096495</v>
      </c>
      <c r="AN160">
        <v>1.0000000158130899</v>
      </c>
    </row>
    <row r="161" spans="1:40" x14ac:dyDescent="0.25">
      <c r="A161" t="str">
        <f>"20190312164440173"</f>
        <v>20190312164440173</v>
      </c>
      <c r="B161" t="str">
        <f>"1552380280161750"</f>
        <v>1552380280161750</v>
      </c>
      <c r="C161" t="s">
        <v>40</v>
      </c>
      <c r="D161">
        <v>4.445684</v>
      </c>
      <c r="E161">
        <v>0.4876471</v>
      </c>
      <c r="F161" t="s">
        <v>43</v>
      </c>
      <c r="G161">
        <v>-407.52010000000001</v>
      </c>
      <c r="H161">
        <v>-0.05</v>
      </c>
      <c r="I161">
        <v>366.62369999999999</v>
      </c>
      <c r="J161">
        <v>-457.09129999999999</v>
      </c>
      <c r="K161">
        <v>1.1075390000000001</v>
      </c>
      <c r="L161">
        <v>367.82249999999999</v>
      </c>
      <c r="M161">
        <v>0.99949759999999999</v>
      </c>
      <c r="N161">
        <v>0</v>
      </c>
      <c r="O161">
        <v>3.1669309999999999E-2</v>
      </c>
      <c r="P161">
        <v>0.96438029999999997</v>
      </c>
      <c r="Q161">
        <v>0.2557026</v>
      </c>
      <c r="R161">
        <v>-6.7729559999999994E-2</v>
      </c>
      <c r="S161">
        <v>3.123596</v>
      </c>
      <c r="T161">
        <v>-7.254207E-2</v>
      </c>
      <c r="U161">
        <v>-7.4615479999999998E-2</v>
      </c>
      <c r="V161">
        <v>9.8436159999999995E-2</v>
      </c>
      <c r="W161">
        <v>0.25692530000000002</v>
      </c>
      <c r="X161">
        <v>0.96140510000000001</v>
      </c>
      <c r="Y161">
        <v>5.5505699999999998E-2</v>
      </c>
      <c r="Z161">
        <v>-1.379609E-3</v>
      </c>
      <c r="AA161">
        <v>0.99845740000000005</v>
      </c>
      <c r="AB161">
        <v>27</v>
      </c>
      <c r="AC161">
        <v>49.571199999999898</v>
      </c>
      <c r="AD161">
        <v>-1.1575389999999901</v>
      </c>
      <c r="AE161">
        <v>-1.1988000000000001</v>
      </c>
      <c r="AF161">
        <v>2.7665779875276701</v>
      </c>
      <c r="AG161">
        <v>-1.1575389999999901</v>
      </c>
      <c r="AH161">
        <v>49.481404921388098</v>
      </c>
      <c r="AI161">
        <v>91.338010501051599</v>
      </c>
      <c r="AJ161">
        <v>86.799840746635596</v>
      </c>
      <c r="AK161">
        <v>49.572202727859199</v>
      </c>
      <c r="AL161">
        <v>75.112302185353101</v>
      </c>
      <c r="AM161">
        <v>84.153982424728099</v>
      </c>
      <c r="AN161">
        <v>1.00000002684082</v>
      </c>
    </row>
    <row r="162" spans="1:40" x14ac:dyDescent="0.25">
      <c r="A162" t="str">
        <f>"20190312164440192"</f>
        <v>20190312164440192</v>
      </c>
      <c r="B162" t="str">
        <f>"1552380280182245"</f>
        <v>1552380280182245</v>
      </c>
      <c r="C162" t="s">
        <v>40</v>
      </c>
      <c r="D162">
        <v>4.862889</v>
      </c>
      <c r="E162">
        <v>0.48743700000000001</v>
      </c>
      <c r="F162" t="s">
        <v>43</v>
      </c>
      <c r="G162">
        <v>-407.0625</v>
      </c>
      <c r="H162">
        <v>-0.05</v>
      </c>
      <c r="I162">
        <v>366.7149</v>
      </c>
      <c r="J162">
        <v>-456.83920000000001</v>
      </c>
      <c r="K162">
        <v>1.1075680000000001</v>
      </c>
      <c r="L162">
        <v>367.83010000000002</v>
      </c>
      <c r="M162">
        <v>0.99950799999999995</v>
      </c>
      <c r="N162">
        <v>0</v>
      </c>
      <c r="O162">
        <v>3.1334529999999999E-2</v>
      </c>
      <c r="P162">
        <v>0.96427169999999895</v>
      </c>
      <c r="Q162">
        <v>0.25621070000000001</v>
      </c>
      <c r="R162">
        <v>-6.7354949999999997E-2</v>
      </c>
      <c r="S162">
        <v>3.125092</v>
      </c>
      <c r="T162">
        <v>-7.2306629999999997E-2</v>
      </c>
      <c r="U162">
        <v>-6.9183350000000005E-2</v>
      </c>
      <c r="V162">
        <v>9.771792E-2</v>
      </c>
      <c r="W162">
        <v>0.25749119999999998</v>
      </c>
      <c r="X162">
        <v>0.96132700000000004</v>
      </c>
      <c r="Y162">
        <v>5.3425939999999998E-2</v>
      </c>
      <c r="Z162">
        <v>-1.342701E-3</v>
      </c>
      <c r="AA162">
        <v>0.99857090000000004</v>
      </c>
      <c r="AB162">
        <v>27</v>
      </c>
      <c r="AC162">
        <v>49.776699999999998</v>
      </c>
      <c r="AD162">
        <v>-1.1575679999999999</v>
      </c>
      <c r="AE162">
        <v>-1.11520000000001</v>
      </c>
      <c r="AF162">
        <v>2.67293855488664</v>
      </c>
      <c r="AG162">
        <v>-1.1575679999999999</v>
      </c>
      <c r="AH162">
        <v>49.690453584010498</v>
      </c>
      <c r="AI162">
        <v>91.332571273158095</v>
      </c>
      <c r="AJ162">
        <v>86.920924871189996</v>
      </c>
      <c r="AK162">
        <v>49.775754555581898</v>
      </c>
      <c r="AL162">
        <v>75.078750099759802</v>
      </c>
      <c r="AM162">
        <v>84.195877413517096</v>
      </c>
      <c r="AN162">
        <v>1.0000000554477799</v>
      </c>
    </row>
    <row r="163" spans="1:40" x14ac:dyDescent="0.25">
      <c r="A163" t="str">
        <f>"20190312164440215"</f>
        <v>20190312164440215</v>
      </c>
      <c r="B163" t="str">
        <f>"1552380280211526"</f>
        <v>1552380280211526</v>
      </c>
      <c r="C163" t="s">
        <v>40</v>
      </c>
      <c r="D163">
        <v>4.4830050000000004</v>
      </c>
      <c r="E163">
        <v>0.48714299999999999</v>
      </c>
      <c r="F163" t="s">
        <v>43</v>
      </c>
      <c r="G163">
        <v>-403.12369999999999</v>
      </c>
      <c r="H163">
        <v>-0.05</v>
      </c>
      <c r="I163">
        <v>366.6669</v>
      </c>
      <c r="J163">
        <v>-456.56130000000002</v>
      </c>
      <c r="K163">
        <v>1.107607</v>
      </c>
      <c r="L163">
        <v>367.83850000000001</v>
      </c>
      <c r="M163">
        <v>0.99951809999999996</v>
      </c>
      <c r="N163">
        <v>0</v>
      </c>
      <c r="O163">
        <v>3.1009640000000002E-2</v>
      </c>
      <c r="P163">
        <v>0.96475560000000005</v>
      </c>
      <c r="Q163">
        <v>0.25454599999999999</v>
      </c>
      <c r="R163">
        <v>-6.6734210000000002E-2</v>
      </c>
      <c r="S163">
        <v>3.1243590000000001</v>
      </c>
      <c r="T163">
        <v>-6.7329879999999995E-2</v>
      </c>
      <c r="U163">
        <v>-6.7657469999999997E-2</v>
      </c>
      <c r="V163">
        <v>9.6779450000000003E-2</v>
      </c>
      <c r="W163">
        <v>0.25589109999999998</v>
      </c>
      <c r="X163">
        <v>0.96184899999999995</v>
      </c>
      <c r="Y163">
        <v>5.2622339999999997E-2</v>
      </c>
      <c r="Z163">
        <v>-1.234951E-3</v>
      </c>
      <c r="AA163">
        <v>0.99861369999999905</v>
      </c>
      <c r="AB163">
        <v>28</v>
      </c>
      <c r="AC163">
        <v>53.437600000000003</v>
      </c>
      <c r="AD163">
        <v>-1.1576070000000001</v>
      </c>
      <c r="AE163">
        <v>-1.17160000000001</v>
      </c>
      <c r="AF163">
        <v>2.82679302118227</v>
      </c>
      <c r="AG163">
        <v>-1.1576070000000001</v>
      </c>
      <c r="AH163">
        <v>53.350545996111499</v>
      </c>
      <c r="AI163">
        <v>91.241275498475503</v>
      </c>
      <c r="AJ163">
        <v>86.967003915457497</v>
      </c>
      <c r="AK163">
        <v>53.437922590930398</v>
      </c>
      <c r="AL163">
        <v>75.173606701139093</v>
      </c>
      <c r="AM163">
        <v>84.254343294132795</v>
      </c>
      <c r="AN163">
        <v>1.0000000079012501</v>
      </c>
    </row>
    <row r="164" spans="1:40" x14ac:dyDescent="0.25">
      <c r="A164" t="str">
        <f>"20190312164440238"</f>
        <v>20190312164440238</v>
      </c>
      <c r="B164" t="str">
        <f>"1552380280231552"</f>
        <v>1552380280231552</v>
      </c>
      <c r="C164" t="s">
        <v>40</v>
      </c>
      <c r="D164">
        <v>4.4414049999999996</v>
      </c>
      <c r="E164">
        <v>0.48694320000000002</v>
      </c>
      <c r="F164" t="s">
        <v>43</v>
      </c>
      <c r="G164">
        <v>-406.0308</v>
      </c>
      <c r="H164">
        <v>-0.05</v>
      </c>
      <c r="I164">
        <v>366.77870000000001</v>
      </c>
      <c r="J164">
        <v>-456.27010000000001</v>
      </c>
      <c r="K164">
        <v>1.107639</v>
      </c>
      <c r="L164">
        <v>367.84730000000002</v>
      </c>
      <c r="M164">
        <v>0.99952730000000001</v>
      </c>
      <c r="N164">
        <v>0</v>
      </c>
      <c r="O164">
        <v>3.0708579999999999E-2</v>
      </c>
      <c r="P164">
        <v>0.96483129999999995</v>
      </c>
      <c r="Q164">
        <v>0.25433309999999998</v>
      </c>
      <c r="R164">
        <v>-6.6448720000000003E-2</v>
      </c>
      <c r="S164">
        <v>3.123901</v>
      </c>
      <c r="T164">
        <v>-7.1565749999999997E-2</v>
      </c>
      <c r="U164">
        <v>-6.5521239999999994E-2</v>
      </c>
      <c r="V164">
        <v>9.6190419999999999E-2</v>
      </c>
      <c r="W164">
        <v>0.25574350000000001</v>
      </c>
      <c r="X164">
        <v>0.96194729999999995</v>
      </c>
      <c r="Y164">
        <v>5.1639930000000001E-2</v>
      </c>
      <c r="Z164">
        <v>-1.2946800000000001E-3</v>
      </c>
      <c r="AA164">
        <v>0.99866489999999997</v>
      </c>
      <c r="AB164">
        <v>28</v>
      </c>
      <c r="AC164">
        <v>50.2393</v>
      </c>
      <c r="AD164">
        <v>-1.1576389999999901</v>
      </c>
      <c r="AE164">
        <v>-1.0686</v>
      </c>
      <c r="AF164">
        <v>2.6094903553503901</v>
      </c>
      <c r="AG164">
        <v>-1.1576389999999901</v>
      </c>
      <c r="AH164">
        <v>50.1561721685636</v>
      </c>
      <c r="AI164">
        <v>91.320406080378604</v>
      </c>
      <c r="AJ164">
        <v>87.021740418984905</v>
      </c>
      <c r="AK164">
        <v>50.237348403071501</v>
      </c>
      <c r="AL164">
        <v>75.182354090429698</v>
      </c>
      <c r="AM164">
        <v>84.289661034345301</v>
      </c>
      <c r="AN164">
        <v>0.99999997133465701</v>
      </c>
    </row>
    <row r="165" spans="1:40" x14ac:dyDescent="0.25">
      <c r="A165" t="str">
        <f>"20190312164440272"</f>
        <v>20190312164440272</v>
      </c>
      <c r="B165" t="str">
        <f>"1552380280261812"</f>
        <v>1552380280261812</v>
      </c>
      <c r="C165" t="s">
        <v>40</v>
      </c>
      <c r="D165">
        <v>4.4677550000000004</v>
      </c>
      <c r="E165">
        <v>0.4868422</v>
      </c>
      <c r="F165" t="s">
        <v>43</v>
      </c>
      <c r="G165">
        <v>-409.79829999999998</v>
      </c>
      <c r="H165">
        <v>-0.05</v>
      </c>
      <c r="I165">
        <v>366.86439999999999</v>
      </c>
      <c r="J165">
        <v>-455.84350000000001</v>
      </c>
      <c r="K165">
        <v>1.1076760000000001</v>
      </c>
      <c r="L165">
        <v>367.85989999999998</v>
      </c>
      <c r="M165">
        <v>0.99953919999999996</v>
      </c>
      <c r="N165">
        <v>0</v>
      </c>
      <c r="O165">
        <v>3.031414E-2</v>
      </c>
      <c r="P165">
        <v>0.96424169999999998</v>
      </c>
      <c r="Q165">
        <v>0.2564748</v>
      </c>
      <c r="R165">
        <v>-6.6776779999999994E-2</v>
      </c>
      <c r="S165">
        <v>3.1253359999999999</v>
      </c>
      <c r="T165">
        <v>-7.7853919999999993E-2</v>
      </c>
      <c r="U165">
        <v>-6.6101069999999998E-2</v>
      </c>
      <c r="V165">
        <v>9.6106810000000001E-2</v>
      </c>
      <c r="W165">
        <v>0.25797720000000002</v>
      </c>
      <c r="X165">
        <v>0.96135910000000002</v>
      </c>
      <c r="Y165">
        <v>5.1417669999999999E-2</v>
      </c>
      <c r="Z165">
        <v>-1.3951669999999999E-3</v>
      </c>
      <c r="AA165">
        <v>0.99867620000000001</v>
      </c>
      <c r="AB165">
        <v>28</v>
      </c>
      <c r="AC165">
        <v>46.045200000000001</v>
      </c>
      <c r="AD165">
        <v>-1.1576759999999999</v>
      </c>
      <c r="AE165">
        <v>-0.99549999999999195</v>
      </c>
      <c r="AF165">
        <v>2.3893551565835098</v>
      </c>
      <c r="AG165">
        <v>-1.1576759999999999</v>
      </c>
      <c r="AH165">
        <v>45.964818677109101</v>
      </c>
      <c r="AI165">
        <v>91.440809552374404</v>
      </c>
      <c r="AJ165">
        <v>87.0243142173791</v>
      </c>
      <c r="AK165">
        <v>46.041435553257799</v>
      </c>
      <c r="AL165">
        <v>75.049930430208505</v>
      </c>
      <c r="AM165">
        <v>84.291124019116296</v>
      </c>
      <c r="AN165">
        <v>1.00000003690051</v>
      </c>
    </row>
    <row r="166" spans="1:40" x14ac:dyDescent="0.25">
      <c r="A166" t="str">
        <f>"20190312164440294"</f>
        <v>20190312164440294</v>
      </c>
      <c r="B166" t="str">
        <f>"1552380280282305"</f>
        <v>1552380280282305</v>
      </c>
      <c r="C166" t="s">
        <v>40</v>
      </c>
      <c r="D166">
        <v>4.7107269999999897</v>
      </c>
      <c r="E166">
        <v>0.4866608</v>
      </c>
      <c r="F166" t="s">
        <v>43</v>
      </c>
      <c r="G166">
        <v>-407.79579999999999</v>
      </c>
      <c r="H166">
        <v>-0.05</v>
      </c>
      <c r="I166">
        <v>366.80939999999998</v>
      </c>
      <c r="J166">
        <v>-455.56639999999999</v>
      </c>
      <c r="K166">
        <v>1.107696</v>
      </c>
      <c r="L166">
        <v>367.86799999999999</v>
      </c>
      <c r="M166">
        <v>0.9995463</v>
      </c>
      <c r="N166">
        <v>0</v>
      </c>
      <c r="O166">
        <v>3.007549E-2</v>
      </c>
      <c r="P166">
        <v>0.96341869999999996</v>
      </c>
      <c r="Q166">
        <v>0.25937149999999998</v>
      </c>
      <c r="R166">
        <v>-6.7460370000000006E-2</v>
      </c>
      <c r="S166">
        <v>3.1265869999999998</v>
      </c>
      <c r="T166">
        <v>-7.5332880000000005E-2</v>
      </c>
      <c r="U166">
        <v>-6.8359379999999997E-2</v>
      </c>
      <c r="V166">
        <v>9.6533380000000002E-2</v>
      </c>
      <c r="W166">
        <v>0.26093189999999999</v>
      </c>
      <c r="X166">
        <v>0.96051850000000005</v>
      </c>
      <c r="Y166">
        <v>5.1893359999999999E-2</v>
      </c>
      <c r="Z166">
        <v>-1.3494360000000001E-3</v>
      </c>
      <c r="AA166">
        <v>0.99865170000000003</v>
      </c>
      <c r="AB166">
        <v>28</v>
      </c>
      <c r="AC166">
        <v>47.770600000000002</v>
      </c>
      <c r="AD166">
        <v>-1.1576959999999901</v>
      </c>
      <c r="AE166">
        <v>-1.0586000000000599</v>
      </c>
      <c r="AF166">
        <v>2.49338356147461</v>
      </c>
      <c r="AG166">
        <v>-1.1576959999999901</v>
      </c>
      <c r="AH166">
        <v>47.6891574167472</v>
      </c>
      <c r="AI166">
        <v>91.388735918728102</v>
      </c>
      <c r="AJ166">
        <v>87.0070682713678</v>
      </c>
      <c r="AK166">
        <v>47.7683258732431</v>
      </c>
      <c r="AL166">
        <v>74.874634555512799</v>
      </c>
      <c r="AM166">
        <v>84.260968978238196</v>
      </c>
      <c r="AN166">
        <v>0.99999996936704105</v>
      </c>
    </row>
    <row r="167" spans="1:40" x14ac:dyDescent="0.25">
      <c r="A167" t="str">
        <f>"20190312164440317"</f>
        <v>20190312164440317</v>
      </c>
      <c r="B167" t="str">
        <f>"1552380280311584"</f>
        <v>1552380280311584</v>
      </c>
      <c r="C167" t="s">
        <v>40</v>
      </c>
      <c r="D167">
        <v>4.463781</v>
      </c>
      <c r="E167">
        <v>0.48625210000000002</v>
      </c>
      <c r="F167" t="s">
        <v>43</v>
      </c>
      <c r="G167">
        <v>-401.19049999999999</v>
      </c>
      <c r="H167">
        <v>-0.05</v>
      </c>
      <c r="I167">
        <v>366.67189999999999</v>
      </c>
      <c r="J167">
        <v>-455.27449999999999</v>
      </c>
      <c r="K167">
        <v>1.1077049999999999</v>
      </c>
      <c r="L167">
        <v>367.8766</v>
      </c>
      <c r="M167">
        <v>0.99955349999999998</v>
      </c>
      <c r="N167">
        <v>0</v>
      </c>
      <c r="O167">
        <v>2.9829850000000002E-2</v>
      </c>
      <c r="P167">
        <v>0.96260880000000004</v>
      </c>
      <c r="Q167">
        <v>0.26215319999999998</v>
      </c>
      <c r="R167">
        <v>-6.8265199999999998E-2</v>
      </c>
      <c r="S167">
        <v>3.1269840000000002</v>
      </c>
      <c r="T167">
        <v>-6.6575410000000002E-2</v>
      </c>
      <c r="U167">
        <v>-6.8786620000000007E-2</v>
      </c>
      <c r="V167">
        <v>9.7077620000000003E-2</v>
      </c>
      <c r="W167">
        <v>0.26377410000000001</v>
      </c>
      <c r="X167">
        <v>0.95968699999999996</v>
      </c>
      <c r="Y167">
        <v>5.1786840000000001E-2</v>
      </c>
      <c r="Z167">
        <v>-1.1860869999999999E-3</v>
      </c>
      <c r="AA167">
        <v>0.99865749999999998</v>
      </c>
      <c r="AB167">
        <v>28</v>
      </c>
      <c r="AC167">
        <v>54.083999999999897</v>
      </c>
      <c r="AD167">
        <v>-1.157705</v>
      </c>
      <c r="AE167">
        <v>-1.2047000000000001</v>
      </c>
      <c r="AF167">
        <v>2.8161941583434902</v>
      </c>
      <c r="AG167">
        <v>-1.157705</v>
      </c>
      <c r="AH167">
        <v>53.999265616713103</v>
      </c>
      <c r="AI167">
        <v>91.2265253512561</v>
      </c>
      <c r="AJ167">
        <v>87.014589246851898</v>
      </c>
      <c r="AK167">
        <v>54.085043381223699</v>
      </c>
      <c r="AL167">
        <v>74.705877483599593</v>
      </c>
      <c r="AM167">
        <v>84.223864515260402</v>
      </c>
      <c r="AN167">
        <v>0.999999989052337</v>
      </c>
    </row>
    <row r="168" spans="1:40" x14ac:dyDescent="0.25">
      <c r="A168" t="str">
        <f>"20190312164440340"</f>
        <v>20190312164440340</v>
      </c>
      <c r="B168" t="str">
        <f>"1552380280332080"</f>
        <v>1552380280332080</v>
      </c>
      <c r="C168" t="s">
        <v>40</v>
      </c>
      <c r="D168">
        <v>4.7395069999999997</v>
      </c>
      <c r="E168">
        <v>0.48615160000000002</v>
      </c>
      <c r="F168" t="s">
        <v>42</v>
      </c>
      <c r="G168">
        <v>-398.27609999999999</v>
      </c>
      <c r="H168" s="1">
        <v>-1.3628699999999999E-6</v>
      </c>
      <c r="I168">
        <v>366.64659999999998</v>
      </c>
      <c r="J168">
        <v>-454.96260000000001</v>
      </c>
      <c r="K168">
        <v>1.1077109999999999</v>
      </c>
      <c r="L168">
        <v>367.88569999999999</v>
      </c>
      <c r="M168">
        <v>0.99956109999999998</v>
      </c>
      <c r="N168">
        <v>0</v>
      </c>
      <c r="O168">
        <v>2.9569539999999998E-2</v>
      </c>
      <c r="P168">
        <v>0.96241750000000004</v>
      </c>
      <c r="Q168">
        <v>0.26296009999999997</v>
      </c>
      <c r="R168">
        <v>-6.7857680000000004E-2</v>
      </c>
      <c r="S168">
        <v>3.1283259999999999</v>
      </c>
      <c r="T168">
        <v>-6.0795780000000001E-2</v>
      </c>
      <c r="U168">
        <v>-6.7504880000000003E-2</v>
      </c>
      <c r="V168">
        <v>9.6415650000000006E-2</v>
      </c>
      <c r="W168">
        <v>0.26464789999999999</v>
      </c>
      <c r="X168">
        <v>0.95951319999999996</v>
      </c>
      <c r="Y168">
        <v>5.1111620000000003E-2</v>
      </c>
      <c r="Z168">
        <v>-1.071062E-3</v>
      </c>
      <c r="AA168">
        <v>0.99869240000000004</v>
      </c>
      <c r="AB168">
        <v>29</v>
      </c>
      <c r="AC168">
        <v>56.686500000000002</v>
      </c>
      <c r="AD168">
        <v>-1.1077123628700001</v>
      </c>
      <c r="AE168">
        <v>-1.2391000000000001</v>
      </c>
      <c r="AF168">
        <v>2.9136425762185101</v>
      </c>
      <c r="AG168">
        <v>-1.1077123628700001</v>
      </c>
      <c r="AH168">
        <v>56.6034688767486</v>
      </c>
      <c r="AI168">
        <v>91.119635608266705</v>
      </c>
      <c r="AJ168">
        <v>87.0533216971711</v>
      </c>
      <c r="AK168">
        <v>56.689232034151402</v>
      </c>
      <c r="AL168">
        <v>74.653968532219594</v>
      </c>
      <c r="AM168">
        <v>84.261955986513897</v>
      </c>
      <c r="AN168">
        <v>1.0000000347567799</v>
      </c>
    </row>
    <row r="169" spans="1:40" x14ac:dyDescent="0.25">
      <c r="A169" t="str">
        <f>"20190312164440364"</f>
        <v>20190312164440364</v>
      </c>
      <c r="B169" t="str">
        <f>"1552380280351600"</f>
        <v>1552380280351600</v>
      </c>
      <c r="C169" t="s">
        <v>40</v>
      </c>
      <c r="D169">
        <v>4.7110200000000004</v>
      </c>
      <c r="E169">
        <v>0.48610979999999998</v>
      </c>
      <c r="F169" t="s">
        <v>42</v>
      </c>
      <c r="G169">
        <v>-395.87639999999999</v>
      </c>
      <c r="H169" s="1">
        <v>-2.2774110000000001E-6</v>
      </c>
      <c r="I169">
        <v>366.65050000000002</v>
      </c>
      <c r="J169">
        <v>-454.6705</v>
      </c>
      <c r="K169">
        <v>1.1077079999999999</v>
      </c>
      <c r="L169">
        <v>367.89409999999998</v>
      </c>
      <c r="M169">
        <v>0.99956829999999997</v>
      </c>
      <c r="N169">
        <v>0</v>
      </c>
      <c r="O169">
        <v>2.9325009999999999E-2</v>
      </c>
      <c r="P169">
        <v>0.96247990000000005</v>
      </c>
      <c r="Q169">
        <v>0.26283719999999999</v>
      </c>
      <c r="R169">
        <v>-6.7447409999999999E-2</v>
      </c>
      <c r="S169">
        <v>3.1285400000000001</v>
      </c>
      <c r="T169">
        <v>-5.8651920000000003E-2</v>
      </c>
      <c r="U169">
        <v>-6.5399170000000006E-2</v>
      </c>
      <c r="V169">
        <v>9.5773839999999999E-2</v>
      </c>
      <c r="W169">
        <v>0.26458900000000002</v>
      </c>
      <c r="X169">
        <v>0.95959369999999999</v>
      </c>
      <c r="Y169">
        <v>5.0195200000000002E-2</v>
      </c>
      <c r="Z169">
        <v>-1.020064E-3</v>
      </c>
      <c r="AA169">
        <v>0.99873889999999999</v>
      </c>
      <c r="AB169">
        <v>29</v>
      </c>
      <c r="AC169">
        <v>58.7941</v>
      </c>
      <c r="AD169">
        <v>-1.1077102774109999</v>
      </c>
      <c r="AE169">
        <v>-1.2435999999999501</v>
      </c>
      <c r="AF169">
        <v>2.9661531329370998</v>
      </c>
      <c r="AG169">
        <v>-1.1077102774109999</v>
      </c>
      <c r="AH169">
        <v>58.711514481320997</v>
      </c>
      <c r="AI169">
        <v>91.079494943150905</v>
      </c>
      <c r="AJ169">
        <v>87.107829880697594</v>
      </c>
      <c r="AK169">
        <v>58.796828308651797</v>
      </c>
      <c r="AL169">
        <v>74.657467738262994</v>
      </c>
      <c r="AM169">
        <v>84.300375086809396</v>
      </c>
      <c r="AN169">
        <v>1.0000000182145099</v>
      </c>
    </row>
    <row r="170" spans="1:40" x14ac:dyDescent="0.25">
      <c r="A170" t="str">
        <f>"20190312164440383"</f>
        <v>20190312164440383</v>
      </c>
      <c r="B170" t="str">
        <f>"1552380280372096"</f>
        <v>1552380280372096</v>
      </c>
      <c r="C170" t="s">
        <v>40</v>
      </c>
      <c r="D170">
        <v>4.357424</v>
      </c>
      <c r="E170">
        <v>0.48598530000000001</v>
      </c>
      <c r="F170" t="s">
        <v>42</v>
      </c>
      <c r="G170">
        <v>-394.82600000000002</v>
      </c>
      <c r="H170" s="1">
        <v>-2.719937E-6</v>
      </c>
      <c r="I170">
        <v>366.6961</v>
      </c>
      <c r="J170">
        <v>-454.40870000000001</v>
      </c>
      <c r="K170">
        <v>1.1076919999999999</v>
      </c>
      <c r="L170">
        <v>367.90159999999997</v>
      </c>
      <c r="M170">
        <v>0.99957450000000003</v>
      </c>
      <c r="N170">
        <v>0</v>
      </c>
      <c r="O170">
        <v>2.910517E-2</v>
      </c>
      <c r="P170">
        <v>0.96308609999999994</v>
      </c>
      <c r="Q170">
        <v>0.2607256</v>
      </c>
      <c r="R170">
        <v>-6.699078E-2</v>
      </c>
      <c r="S170">
        <v>3.128387</v>
      </c>
      <c r="T170">
        <v>-5.7905789999999999E-2</v>
      </c>
      <c r="U170">
        <v>-6.2622070000000002E-2</v>
      </c>
      <c r="V170">
        <v>9.5123940000000004E-2</v>
      </c>
      <c r="W170">
        <v>0.26253579999999999</v>
      </c>
      <c r="X170">
        <v>0.96022209999999997</v>
      </c>
      <c r="Y170">
        <v>4.9090880000000003E-2</v>
      </c>
      <c r="Z170">
        <v>-9.9286019999999999E-4</v>
      </c>
      <c r="AA170">
        <v>0.99879379999999995</v>
      </c>
      <c r="AB170">
        <v>29</v>
      </c>
      <c r="AC170">
        <v>59.582700000000003</v>
      </c>
      <c r="AD170">
        <v>-1.107694719937</v>
      </c>
      <c r="AE170">
        <v>-1.20549999999997</v>
      </c>
      <c r="AF170">
        <v>2.93814205420153</v>
      </c>
      <c r="AG170">
        <v>-1.107694719937</v>
      </c>
      <c r="AH170">
        <v>59.501814986899298</v>
      </c>
      <c r="AI170">
        <v>91.065206091077002</v>
      </c>
      <c r="AJ170">
        <v>87.173085962052895</v>
      </c>
      <c r="AK170">
        <v>59.584609196154297</v>
      </c>
      <c r="AL170">
        <v>74.779419811085603</v>
      </c>
      <c r="AM170">
        <v>84.3424802196526</v>
      </c>
      <c r="AN170">
        <v>1.00000004578558</v>
      </c>
    </row>
    <row r="171" spans="1:40" x14ac:dyDescent="0.25">
      <c r="A171" t="str">
        <f>"20190312164440408"</f>
        <v>20190312164440408</v>
      </c>
      <c r="B171" t="str">
        <f>"1552380280402353"</f>
        <v>1552380280402353</v>
      </c>
      <c r="C171" t="s">
        <v>40</v>
      </c>
      <c r="D171">
        <v>4.3684649999999996</v>
      </c>
      <c r="E171">
        <v>0.48575760000000001</v>
      </c>
      <c r="F171" t="s">
        <v>43</v>
      </c>
      <c r="G171">
        <v>-401.23840000000001</v>
      </c>
      <c r="H171">
        <v>-0.05</v>
      </c>
      <c r="I171">
        <v>366.90280000000001</v>
      </c>
      <c r="J171">
        <v>-454.09570000000002</v>
      </c>
      <c r="K171">
        <v>1.1076820000000001</v>
      </c>
      <c r="L171">
        <v>367.91039999999998</v>
      </c>
      <c r="M171">
        <v>0.99958210000000003</v>
      </c>
      <c r="N171">
        <v>0</v>
      </c>
      <c r="O171">
        <v>2.8840910000000001E-2</v>
      </c>
      <c r="P171">
        <v>0.96388320000000005</v>
      </c>
      <c r="Q171">
        <v>0.2579243</v>
      </c>
      <c r="R171">
        <v>-6.6366670000000003E-2</v>
      </c>
      <c r="S171">
        <v>3.1293329999999999</v>
      </c>
      <c r="T171">
        <v>-6.8135860000000006E-2</v>
      </c>
      <c r="U171">
        <v>-5.877686E-2</v>
      </c>
      <c r="V171">
        <v>9.4269370000000005E-2</v>
      </c>
      <c r="W171">
        <v>0.25980530000000002</v>
      </c>
      <c r="X171">
        <v>0.96104869999999998</v>
      </c>
      <c r="Y171">
        <v>4.7589190000000003E-2</v>
      </c>
      <c r="Z171">
        <v>-1.1457889999999999E-3</v>
      </c>
      <c r="AA171">
        <v>0.99886629999999998</v>
      </c>
      <c r="AB171">
        <v>29</v>
      </c>
      <c r="AC171">
        <v>52.857300000000002</v>
      </c>
      <c r="AD171">
        <v>-1.1576819999999901</v>
      </c>
      <c r="AE171">
        <v>-1.0075999999999601</v>
      </c>
      <c r="AF171">
        <v>2.5304230008475201</v>
      </c>
      <c r="AG171">
        <v>-1.1576819999999901</v>
      </c>
      <c r="AH171">
        <v>52.780942129186997</v>
      </c>
      <c r="AI171">
        <v>91.255066619338194</v>
      </c>
      <c r="AJ171">
        <v>87.255228349087105</v>
      </c>
      <c r="AK171">
        <v>52.854244107932601</v>
      </c>
      <c r="AL171">
        <v>74.941491208523999</v>
      </c>
      <c r="AM171">
        <v>84.397772568848495</v>
      </c>
      <c r="AN171">
        <v>1.00000005589998</v>
      </c>
    </row>
    <row r="172" spans="1:40" x14ac:dyDescent="0.25">
      <c r="A172" t="str">
        <f>"20190312164440430"</f>
        <v>20190312164440430</v>
      </c>
      <c r="B172" t="str">
        <f>"1552380280421873"</f>
        <v>1552380280421873</v>
      </c>
      <c r="C172" t="s">
        <v>40</v>
      </c>
      <c r="D172">
        <v>4.3155989999999997</v>
      </c>
      <c r="E172">
        <v>0.4857301</v>
      </c>
      <c r="F172" t="s">
        <v>43</v>
      </c>
      <c r="G172">
        <v>-408.35489999999999</v>
      </c>
      <c r="H172">
        <v>-0.05</v>
      </c>
      <c r="I172">
        <v>367.11169999999998</v>
      </c>
      <c r="J172">
        <v>-453.79140000000001</v>
      </c>
      <c r="K172">
        <v>1.107675</v>
      </c>
      <c r="L172">
        <v>367.91890000000001</v>
      </c>
      <c r="M172">
        <v>0.99958930000000001</v>
      </c>
      <c r="N172">
        <v>0</v>
      </c>
      <c r="O172">
        <v>2.8583790000000001E-2</v>
      </c>
      <c r="P172">
        <v>0.96447130000000003</v>
      </c>
      <c r="Q172">
        <v>0.25586730000000002</v>
      </c>
      <c r="R172">
        <v>-6.5779309999999994E-2</v>
      </c>
      <c r="S172">
        <v>3.129883</v>
      </c>
      <c r="T172">
        <v>-7.9215999999999995E-2</v>
      </c>
      <c r="U172">
        <v>-5.4656980000000001E-2</v>
      </c>
      <c r="V172">
        <v>9.3452320000000005E-2</v>
      </c>
      <c r="W172">
        <v>0.25781789999999999</v>
      </c>
      <c r="X172">
        <v>0.9616635</v>
      </c>
      <c r="Y172">
        <v>4.6008769999999997E-2</v>
      </c>
      <c r="Z172">
        <v>-1.305339E-3</v>
      </c>
      <c r="AA172">
        <v>0.99894019999999994</v>
      </c>
      <c r="AB172">
        <v>29</v>
      </c>
      <c r="AC172">
        <v>45.436500000000002</v>
      </c>
      <c r="AD172">
        <v>-1.157675</v>
      </c>
      <c r="AE172">
        <v>-0.80720000000002201</v>
      </c>
      <c r="AF172">
        <v>2.1042546731505598</v>
      </c>
      <c r="AG172">
        <v>-1.157675</v>
      </c>
      <c r="AH172">
        <v>45.3654207582792</v>
      </c>
      <c r="AI172">
        <v>91.460237858318294</v>
      </c>
      <c r="AJ172">
        <v>87.344264529591698</v>
      </c>
      <c r="AK172">
        <v>45.428950017701403</v>
      </c>
      <c r="AL172">
        <v>75.059377356729698</v>
      </c>
      <c r="AM172">
        <v>84.449551724643499</v>
      </c>
      <c r="AN172">
        <v>1.0000000464530201</v>
      </c>
    </row>
    <row r="173" spans="1:40" x14ac:dyDescent="0.25">
      <c r="A173" t="str">
        <f>"20190312164440452"</f>
        <v>20190312164440452</v>
      </c>
      <c r="B173" t="str">
        <f>"1552380280441393"</f>
        <v>1552380280441393</v>
      </c>
      <c r="C173" t="s">
        <v>40</v>
      </c>
      <c r="D173">
        <v>4.3069009999999999</v>
      </c>
      <c r="E173">
        <v>0.46857769999999999</v>
      </c>
      <c r="F173" t="s">
        <v>43</v>
      </c>
      <c r="G173">
        <v>-412.04090000000002</v>
      </c>
      <c r="H173">
        <v>-0.05</v>
      </c>
      <c r="I173">
        <v>367.20119999999997</v>
      </c>
      <c r="J173">
        <v>-453.50009999999997</v>
      </c>
      <c r="K173">
        <v>1.1076699999999999</v>
      </c>
      <c r="L173">
        <v>367.92700000000002</v>
      </c>
      <c r="M173">
        <v>0.99959609999999999</v>
      </c>
      <c r="N173">
        <v>0</v>
      </c>
      <c r="O173">
        <v>2.833842E-2</v>
      </c>
      <c r="P173">
        <v>0.96496709999999997</v>
      </c>
      <c r="Q173">
        <v>0.25402150000000001</v>
      </c>
      <c r="R173">
        <v>-6.5664730000000004E-2</v>
      </c>
      <c r="S173">
        <v>3.1298520000000001</v>
      </c>
      <c r="T173">
        <v>-8.6785790000000002E-2</v>
      </c>
      <c r="U173">
        <v>-5.3802490000000001E-2</v>
      </c>
      <c r="V173">
        <v>9.3115950000000003E-2</v>
      </c>
      <c r="W173">
        <v>0.25603809999999999</v>
      </c>
      <c r="X173">
        <v>0.96217140000000001</v>
      </c>
      <c r="Y173">
        <v>4.5486600000000002E-2</v>
      </c>
      <c r="Z173">
        <v>-1.4160080000000001E-3</v>
      </c>
      <c r="AA173">
        <v>0.99896399999999996</v>
      </c>
      <c r="AB173">
        <v>30</v>
      </c>
      <c r="AC173">
        <v>41.459199999999903</v>
      </c>
      <c r="AD173">
        <v>-1.15767</v>
      </c>
      <c r="AE173">
        <v>-0.72579999999999201</v>
      </c>
      <c r="AF173">
        <v>1.8989192806525701</v>
      </c>
      <c r="AG173">
        <v>-1.15767</v>
      </c>
      <c r="AH173">
        <v>41.3897195790965</v>
      </c>
      <c r="AI173">
        <v>91.6004619807414</v>
      </c>
      <c r="AJ173">
        <v>87.373168491106199</v>
      </c>
      <c r="AK173">
        <v>41.4494267885526</v>
      </c>
      <c r="AL173">
        <v>75.164893025827396</v>
      </c>
      <c r="AM173">
        <v>84.472307125121901</v>
      </c>
      <c r="AN173">
        <v>0.99999994588698404</v>
      </c>
    </row>
    <row r="174" spans="1:40" x14ac:dyDescent="0.25">
      <c r="A174" t="str">
        <f>"20190312164440473"</f>
        <v>20190312164440473</v>
      </c>
      <c r="B174" t="str">
        <f>"1552380280461888"</f>
        <v>1552380280461888</v>
      </c>
      <c r="C174" t="s">
        <v>40</v>
      </c>
      <c r="D174">
        <v>4.3043529999999999</v>
      </c>
      <c r="E174">
        <v>0.46713640000000001</v>
      </c>
      <c r="F174" t="s">
        <v>43</v>
      </c>
      <c r="G174">
        <v>-429.03870000000001</v>
      </c>
      <c r="H174">
        <v>-0.05</v>
      </c>
      <c r="I174">
        <v>368.56729999999999</v>
      </c>
      <c r="J174">
        <v>-453.21559999999999</v>
      </c>
      <c r="K174">
        <v>1.107664</v>
      </c>
      <c r="L174">
        <v>367.93490000000003</v>
      </c>
      <c r="M174">
        <v>0.99960280000000001</v>
      </c>
      <c r="N174">
        <v>0</v>
      </c>
      <c r="O174">
        <v>2.8098350000000001E-2</v>
      </c>
      <c r="P174">
        <v>0.96552859999999996</v>
      </c>
      <c r="Q174">
        <v>0.2518667</v>
      </c>
      <c r="R174">
        <v>-6.5710550000000006E-2</v>
      </c>
      <c r="S174">
        <v>3.15387</v>
      </c>
      <c r="T174">
        <v>-0.1492618</v>
      </c>
      <c r="U174">
        <v>8.255005E-2</v>
      </c>
      <c r="V174">
        <v>9.2946420000000002E-2</v>
      </c>
      <c r="W174">
        <v>0.25394899999999998</v>
      </c>
      <c r="X174">
        <v>0.96274130000000002</v>
      </c>
      <c r="Y174">
        <v>1.9003410000000001E-3</v>
      </c>
      <c r="Z174">
        <v>-1.3735129999999901E-3</v>
      </c>
      <c r="AA174">
        <v>0.99999729999999998</v>
      </c>
      <c r="AB174">
        <v>30</v>
      </c>
      <c r="AC174">
        <v>24.1768999999999</v>
      </c>
      <c r="AD174">
        <v>-1.157664</v>
      </c>
      <c r="AE174">
        <v>0.63239999999996099</v>
      </c>
      <c r="AF174">
        <v>4.7074440963217203E-2</v>
      </c>
      <c r="AG174">
        <v>-1.157664</v>
      </c>
      <c r="AH174">
        <v>24.129836705077398</v>
      </c>
      <c r="AI174">
        <v>92.746736972638999</v>
      </c>
      <c r="AJ174">
        <v>89.888222891793404</v>
      </c>
      <c r="AK174">
        <v>24.157636915757799</v>
      </c>
      <c r="AL174">
        <v>75.2886821696613</v>
      </c>
      <c r="AM174">
        <v>84.485554952661502</v>
      </c>
      <c r="AN174">
        <v>0.99999997115875205</v>
      </c>
    </row>
    <row r="175" spans="1:40" x14ac:dyDescent="0.25">
      <c r="A175" t="str">
        <f>"20190312164440495"</f>
        <v>20190312164440495</v>
      </c>
      <c r="B175" t="str">
        <f>"1552380280492144"</f>
        <v>1552380280492144</v>
      </c>
      <c r="C175" t="s">
        <v>40</v>
      </c>
      <c r="D175">
        <v>4.6306390000000004</v>
      </c>
      <c r="E175">
        <v>0.46682889999999999</v>
      </c>
      <c r="F175" t="s">
        <v>43</v>
      </c>
      <c r="G175">
        <v>-433.11590000000001</v>
      </c>
      <c r="H175">
        <v>-0.05</v>
      </c>
      <c r="I175">
        <v>368.53339999999997</v>
      </c>
      <c r="J175">
        <v>-452.93009999999998</v>
      </c>
      <c r="K175">
        <v>1.1076549999999901</v>
      </c>
      <c r="L175">
        <v>367.9427</v>
      </c>
      <c r="M175">
        <v>0.99960919999999998</v>
      </c>
      <c r="N175">
        <v>0</v>
      </c>
      <c r="O175">
        <v>2.78587E-2</v>
      </c>
      <c r="P175">
        <v>0.96606650000000005</v>
      </c>
      <c r="Q175">
        <v>0.24991910000000001</v>
      </c>
      <c r="R175">
        <v>-6.5238019999999994E-2</v>
      </c>
      <c r="S175">
        <v>3.1610109999999998</v>
      </c>
      <c r="T175">
        <v>-0.1820621</v>
      </c>
      <c r="U175">
        <v>9.4116210000000006E-2</v>
      </c>
      <c r="V175">
        <v>9.2258510000000002E-2</v>
      </c>
      <c r="W175">
        <v>0.25206729999999999</v>
      </c>
      <c r="X175">
        <v>0.96330179999999999</v>
      </c>
      <c r="Y175">
        <v>-1.945804E-3</v>
      </c>
      <c r="Z175">
        <v>-1.5465779999999901E-3</v>
      </c>
      <c r="AA175">
        <v>0.99999689999999997</v>
      </c>
      <c r="AB175">
        <v>30</v>
      </c>
      <c r="AC175">
        <v>19.8141999999999</v>
      </c>
      <c r="AD175">
        <v>-1.1576550000000001</v>
      </c>
      <c r="AE175">
        <v>0.59069999999996903</v>
      </c>
      <c r="AF175">
        <v>-3.8340642451432802E-2</v>
      </c>
      <c r="AG175">
        <v>-1.1576550000000001</v>
      </c>
      <c r="AH175">
        <v>19.755589026422001</v>
      </c>
      <c r="AI175">
        <v>93.353625985395198</v>
      </c>
      <c r="AJ175">
        <v>90.111196595319001</v>
      </c>
      <c r="AK175">
        <v>19.789515731436499</v>
      </c>
      <c r="AL175">
        <v>75.400121224034507</v>
      </c>
      <c r="AM175">
        <v>84.529285022554504</v>
      </c>
      <c r="AN175">
        <v>0.99999995713997403</v>
      </c>
    </row>
    <row r="176" spans="1:40" x14ac:dyDescent="0.25">
      <c r="A176" t="str">
        <f>"20190312164440517"</f>
        <v>20190312164440517</v>
      </c>
      <c r="B176" t="str">
        <f>"1552380280511666"</f>
        <v>1552380280511666</v>
      </c>
      <c r="C176" t="s">
        <v>40</v>
      </c>
      <c r="D176">
        <v>4.4503969999999997</v>
      </c>
      <c r="E176">
        <v>0.46659830000000002</v>
      </c>
      <c r="F176" t="s">
        <v>41</v>
      </c>
      <c r="G176">
        <v>-452.00510000000003</v>
      </c>
      <c r="H176">
        <v>1.047245</v>
      </c>
      <c r="I176">
        <v>367.97039999999998</v>
      </c>
      <c r="J176">
        <v>-452.61950000000002</v>
      </c>
      <c r="K176">
        <v>1.107645</v>
      </c>
      <c r="L176">
        <v>367.9511</v>
      </c>
      <c r="M176">
        <v>0.99961630000000001</v>
      </c>
      <c r="N176">
        <v>0</v>
      </c>
      <c r="O176">
        <v>2.7598290000000001E-2</v>
      </c>
      <c r="P176">
        <v>0.96681790000000001</v>
      </c>
      <c r="Q176">
        <v>0.2470762</v>
      </c>
      <c r="R176">
        <v>-6.4938070000000001E-2</v>
      </c>
      <c r="S176">
        <v>3.1654360000000001</v>
      </c>
      <c r="T176">
        <v>-0.20709440000000001</v>
      </c>
      <c r="U176">
        <v>9.6557619999999997E-2</v>
      </c>
      <c r="V176">
        <v>9.1728110000000002E-2</v>
      </c>
      <c r="W176">
        <v>0.24929709999999999</v>
      </c>
      <c r="X176">
        <v>0.96407310000000002</v>
      </c>
      <c r="Y176">
        <v>-2.9450330000000001E-3</v>
      </c>
      <c r="Z176">
        <v>-1.706667E-3</v>
      </c>
      <c r="AA176">
        <v>0.99999420000000006</v>
      </c>
      <c r="AB176">
        <v>30</v>
      </c>
      <c r="AC176">
        <v>0.61439999999998895</v>
      </c>
      <c r="AD176">
        <v>-6.0400000000000002E-2</v>
      </c>
      <c r="AE176">
        <v>1.9299999999986901E-2</v>
      </c>
      <c r="AF176">
        <v>-2.3138717789799499E-3</v>
      </c>
      <c r="AG176">
        <v>-6.0400000000000002E-2</v>
      </c>
      <c r="AH176">
        <v>0.60882058005589601</v>
      </c>
      <c r="AI176">
        <v>95.665631922301799</v>
      </c>
      <c r="AJ176">
        <v>90.217756188432702</v>
      </c>
      <c r="AK176">
        <v>0.61181370751414799</v>
      </c>
      <c r="AL176">
        <v>75.564078144666098</v>
      </c>
      <c r="AM176">
        <v>84.564873055348599</v>
      </c>
      <c r="AN176">
        <v>1.00000001618809</v>
      </c>
    </row>
    <row r="177" spans="1:40" x14ac:dyDescent="0.25">
      <c r="A177" t="str">
        <f>"20190312164440541"</f>
        <v>20190312164440541</v>
      </c>
      <c r="B177" t="str">
        <f>"1552380280532161"</f>
        <v>1552380280532161</v>
      </c>
      <c r="C177" t="s">
        <v>40</v>
      </c>
      <c r="D177">
        <v>4.2928040000000003</v>
      </c>
      <c r="E177">
        <v>0.46630260000000001</v>
      </c>
      <c r="F177" t="s">
        <v>41</v>
      </c>
      <c r="G177">
        <v>-451.7371</v>
      </c>
      <c r="H177">
        <v>1.0454289999999999</v>
      </c>
      <c r="I177">
        <v>367.97829999999999</v>
      </c>
      <c r="J177">
        <v>-452.29539999999997</v>
      </c>
      <c r="K177">
        <v>1.1076410000000001</v>
      </c>
      <c r="L177">
        <v>367.95979999999997</v>
      </c>
      <c r="M177">
        <v>0.9996237</v>
      </c>
      <c r="N177">
        <v>0</v>
      </c>
      <c r="O177">
        <v>2.7326670000000001E-2</v>
      </c>
      <c r="P177">
        <v>0.96758529999999998</v>
      </c>
      <c r="Q177">
        <v>0.2440252</v>
      </c>
      <c r="R177">
        <v>-6.5043290000000004E-2</v>
      </c>
      <c r="S177">
        <v>3.1667480000000001</v>
      </c>
      <c r="T177">
        <v>-0.2235037</v>
      </c>
      <c r="U177">
        <v>9.9151610000000001E-2</v>
      </c>
      <c r="V177">
        <v>9.1591889999999995E-2</v>
      </c>
      <c r="W177">
        <v>0.2463216</v>
      </c>
      <c r="X177">
        <v>0.96485050000000006</v>
      </c>
      <c r="Y177">
        <v>-4.0277209999999997E-3</v>
      </c>
      <c r="Z177">
        <v>-1.7835010000000001E-3</v>
      </c>
      <c r="AA177">
        <v>0.9999903</v>
      </c>
      <c r="AB177">
        <v>30</v>
      </c>
      <c r="AC177">
        <v>0.55829999999997404</v>
      </c>
      <c r="AD177">
        <v>-6.2211999999999698E-2</v>
      </c>
      <c r="AE177">
        <v>1.8500000000017201E-2</v>
      </c>
      <c r="AF177">
        <v>-3.1969155995876298E-3</v>
      </c>
      <c r="AG177">
        <v>-6.2211999999999698E-2</v>
      </c>
      <c r="AH177">
        <v>0.55175349840513299</v>
      </c>
      <c r="AI177">
        <v>96.433008042166506</v>
      </c>
      <c r="AJ177">
        <v>90.331973829107895</v>
      </c>
      <c r="AK177">
        <v>0.55525892718231395</v>
      </c>
      <c r="AL177">
        <v>75.740049582819395</v>
      </c>
      <c r="AM177">
        <v>84.577242867773194</v>
      </c>
      <c r="AN177">
        <v>0.99999994614528898</v>
      </c>
    </row>
    <row r="178" spans="1:40" x14ac:dyDescent="0.25">
      <c r="A178" t="str">
        <f>"20190312164440564"</f>
        <v>20190312164440564</v>
      </c>
      <c r="B178" t="str">
        <f>"1552380280551681"</f>
        <v>1552380280551681</v>
      </c>
      <c r="C178" t="s">
        <v>40</v>
      </c>
      <c r="D178">
        <v>4.4822689999999996</v>
      </c>
      <c r="E178">
        <v>0.46647509999999998</v>
      </c>
      <c r="F178" t="s">
        <v>41</v>
      </c>
      <c r="G178">
        <v>-451.46379999999999</v>
      </c>
      <c r="H178">
        <v>1.045558</v>
      </c>
      <c r="I178">
        <v>367.9864</v>
      </c>
      <c r="J178">
        <v>-451.99189999999999</v>
      </c>
      <c r="K178">
        <v>1.1076379999999999</v>
      </c>
      <c r="L178">
        <v>367.96780000000001</v>
      </c>
      <c r="M178">
        <v>0.99963029999999997</v>
      </c>
      <c r="N178">
        <v>0</v>
      </c>
      <c r="O178">
        <v>2.7072820000000001E-2</v>
      </c>
      <c r="P178">
        <v>0.96781110000000004</v>
      </c>
      <c r="Q178">
        <v>0.2431605</v>
      </c>
      <c r="R178">
        <v>-6.4921510000000002E-2</v>
      </c>
      <c r="S178">
        <v>3.1670229999999999</v>
      </c>
      <c r="T178">
        <v>-0.23656269999999999</v>
      </c>
      <c r="U178">
        <v>0.1021118</v>
      </c>
      <c r="V178">
        <v>9.1231729999999997E-2</v>
      </c>
      <c r="W178">
        <v>0.2455271</v>
      </c>
      <c r="X178">
        <v>0.96508720000000003</v>
      </c>
      <c r="Y178">
        <v>-5.215613E-3</v>
      </c>
      <c r="Z178">
        <v>-1.824017E-3</v>
      </c>
      <c r="AA178">
        <v>0.99998469999999995</v>
      </c>
      <c r="AB178">
        <v>30</v>
      </c>
      <c r="AC178">
        <v>0.52809999999999402</v>
      </c>
      <c r="AD178">
        <v>-6.2079999999999899E-2</v>
      </c>
      <c r="AE178">
        <v>1.8599999999992099E-2</v>
      </c>
      <c r="AF178">
        <v>-4.2374962608487101E-3</v>
      </c>
      <c r="AG178">
        <v>-6.2079999999999899E-2</v>
      </c>
      <c r="AH178">
        <v>0.52121631441400795</v>
      </c>
      <c r="AI178">
        <v>96.792051470005404</v>
      </c>
      <c r="AJ178">
        <v>90.465805262980794</v>
      </c>
      <c r="AK178">
        <v>0.52491744987748601</v>
      </c>
      <c r="AL178">
        <v>75.7870148153077</v>
      </c>
      <c r="AM178">
        <v>84.599756974695097</v>
      </c>
      <c r="AN178">
        <v>1.00000004449852</v>
      </c>
    </row>
    <row r="179" spans="1:40" x14ac:dyDescent="0.25">
      <c r="A179" t="str">
        <f>"20190312164440584"</f>
        <v>20190312164440584</v>
      </c>
      <c r="B179" t="str">
        <f>"1552380280581937"</f>
        <v>1552380280581937</v>
      </c>
      <c r="C179" t="s">
        <v>40</v>
      </c>
      <c r="D179">
        <v>4.0147789999999999</v>
      </c>
      <c r="E179">
        <v>0.4673409</v>
      </c>
      <c r="F179" t="s">
        <v>41</v>
      </c>
      <c r="G179">
        <v>-451.1848</v>
      </c>
      <c r="H179">
        <v>1.046386</v>
      </c>
      <c r="I179">
        <v>367.99349999999998</v>
      </c>
      <c r="J179">
        <v>-451.70949999999999</v>
      </c>
      <c r="K179">
        <v>1.1076410000000001</v>
      </c>
      <c r="L179">
        <v>367.97519999999997</v>
      </c>
      <c r="M179">
        <v>0.99963659999999999</v>
      </c>
      <c r="N179">
        <v>0</v>
      </c>
      <c r="O179">
        <v>2.683524E-2</v>
      </c>
      <c r="P179">
        <v>0.96792750000000005</v>
      </c>
      <c r="Q179">
        <v>0.242622</v>
      </c>
      <c r="R179">
        <v>-6.5200279999999999E-2</v>
      </c>
      <c r="S179">
        <v>3.1669309999999999</v>
      </c>
      <c r="T179">
        <v>-0.24036250000000001</v>
      </c>
      <c r="U179">
        <v>0.10098269999999999</v>
      </c>
      <c r="V179">
        <v>9.1284799999999999E-2</v>
      </c>
      <c r="W179">
        <v>0.24505370000000001</v>
      </c>
      <c r="X179">
        <v>0.96520249999999996</v>
      </c>
      <c r="Y179">
        <v>-5.0996519999999997E-3</v>
      </c>
      <c r="Z179">
        <v>-1.8396980000000001E-3</v>
      </c>
      <c r="AA179">
        <v>0.99998529999999997</v>
      </c>
      <c r="AB179">
        <v>31</v>
      </c>
      <c r="AC179">
        <v>0.52469999999999495</v>
      </c>
      <c r="AD179">
        <v>-6.1254999999999803E-2</v>
      </c>
      <c r="AE179">
        <v>1.8300000000010599E-2</v>
      </c>
      <c r="AF179">
        <v>-4.1563356420701997E-3</v>
      </c>
      <c r="AG179">
        <v>-6.1254999999999803E-2</v>
      </c>
      <c r="AH179">
        <v>0.517951588523207</v>
      </c>
      <c r="AI179">
        <v>96.744481809082799</v>
      </c>
      <c r="AJ179">
        <v>90.459763777982204</v>
      </c>
      <c r="AK179">
        <v>0.52157770102323497</v>
      </c>
      <c r="AL179">
        <v>75.8149934467897</v>
      </c>
      <c r="AM179">
        <v>84.597275859827803</v>
      </c>
      <c r="AN179">
        <v>1.0000000483004801</v>
      </c>
    </row>
    <row r="180" spans="1:40" x14ac:dyDescent="0.25">
      <c r="A180" t="str">
        <f>"20190312164440718"</f>
        <v>20190312164440718</v>
      </c>
      <c r="B180" t="str">
        <f>"1552380280711745"</f>
        <v>1552380280711745</v>
      </c>
      <c r="C180" t="s">
        <v>40</v>
      </c>
      <c r="D180">
        <v>4.4041420000000002</v>
      </c>
      <c r="E180">
        <v>0.46285860000000001</v>
      </c>
      <c r="F180" t="s">
        <v>41</v>
      </c>
      <c r="G180">
        <v>-449.59769999999997</v>
      </c>
      <c r="H180">
        <v>0.87285599999999997</v>
      </c>
      <c r="I180">
        <v>368.03960000000001</v>
      </c>
      <c r="J180">
        <v>-449.8218</v>
      </c>
      <c r="K180">
        <v>1.1075170000000001</v>
      </c>
      <c r="L180">
        <v>368.02280000000002</v>
      </c>
      <c r="M180">
        <v>0.99968460000000003</v>
      </c>
      <c r="N180">
        <v>0</v>
      </c>
      <c r="O180">
        <v>2.493254E-2</v>
      </c>
      <c r="P180">
        <v>0.9710027</v>
      </c>
      <c r="Q180">
        <v>0.23097980000000001</v>
      </c>
      <c r="R180">
        <v>-6.1661960000000002E-2</v>
      </c>
      <c r="S180">
        <v>3.320862</v>
      </c>
      <c r="T180">
        <v>-0.89931649999999996</v>
      </c>
      <c r="U180">
        <v>0.12527469999999999</v>
      </c>
      <c r="V180">
        <v>8.6034630000000001E-2</v>
      </c>
      <c r="W180">
        <v>0.2338375</v>
      </c>
      <c r="X180">
        <v>0.96846169999999998</v>
      </c>
      <c r="Y180">
        <v>-1.319213E-2</v>
      </c>
      <c r="Z180">
        <v>-4.8749140000000002E-3</v>
      </c>
      <c r="AA180">
        <v>0.99990109999999999</v>
      </c>
      <c r="AB180">
        <v>32</v>
      </c>
      <c r="AC180">
        <v>0.224100000000021</v>
      </c>
      <c r="AD180">
        <v>-0.23466100000000001</v>
      </c>
      <c r="AE180">
        <v>1.6799999999989199E-2</v>
      </c>
      <c r="AF180">
        <v>-5.36149103220597E-3</v>
      </c>
      <c r="AG180">
        <v>-0.23466100000000001</v>
      </c>
      <c r="AH180">
        <v>0.107374201344616</v>
      </c>
      <c r="AI180">
        <v>155.38551245871901</v>
      </c>
      <c r="AJ180">
        <v>92.858562681581503</v>
      </c>
      <c r="AK180">
        <v>0.25811576786682799</v>
      </c>
      <c r="AL180">
        <v>76.476892697814506</v>
      </c>
      <c r="AM180">
        <v>84.923377200433407</v>
      </c>
      <c r="AN180">
        <v>0.99999999916618798</v>
      </c>
    </row>
    <row r="181" spans="1:40" x14ac:dyDescent="0.25">
      <c r="A181" t="str">
        <f>"20190312164440742"</f>
        <v>20190312164440742</v>
      </c>
      <c r="B181" t="str">
        <f>"1552380280732244"</f>
        <v>1552380280732244</v>
      </c>
      <c r="C181" t="s">
        <v>40</v>
      </c>
      <c r="D181">
        <v>4.3783599999999998</v>
      </c>
      <c r="E181">
        <v>0.46171289999999998</v>
      </c>
      <c r="F181" t="s">
        <v>43</v>
      </c>
      <c r="G181">
        <v>-434.51029999999997</v>
      </c>
      <c r="H181">
        <v>-0.05</v>
      </c>
      <c r="I181">
        <v>368.72239999999999</v>
      </c>
      <c r="J181">
        <v>-449.49059999999997</v>
      </c>
      <c r="K181">
        <v>1.107488</v>
      </c>
      <c r="L181">
        <v>368.03059999999999</v>
      </c>
      <c r="M181">
        <v>0.99969529999999995</v>
      </c>
      <c r="N181">
        <v>0</v>
      </c>
      <c r="O181">
        <v>2.4491519999999999E-2</v>
      </c>
      <c r="P181">
        <v>0.97153829999999997</v>
      </c>
      <c r="Q181">
        <v>0.2289129</v>
      </c>
      <c r="R181">
        <v>-6.0932260000000002E-2</v>
      </c>
      <c r="S181">
        <v>3.1554869999999999</v>
      </c>
      <c r="T181">
        <v>-0.23854829999999999</v>
      </c>
      <c r="U181">
        <v>0.14419560000000001</v>
      </c>
      <c r="V181">
        <v>8.4906759999999998E-2</v>
      </c>
      <c r="W181">
        <v>0.23184260000000001</v>
      </c>
      <c r="X181">
        <v>0.96904069999999998</v>
      </c>
      <c r="Y181">
        <v>-2.117875E-2</v>
      </c>
      <c r="Z181">
        <v>-1.0485430000000001E-3</v>
      </c>
      <c r="AA181">
        <v>0.99977519999999998</v>
      </c>
      <c r="AB181">
        <v>32</v>
      </c>
      <c r="AC181">
        <v>14.9803</v>
      </c>
      <c r="AD181">
        <v>-1.1574879999999901</v>
      </c>
      <c r="AE181">
        <v>0.69179999999999997</v>
      </c>
      <c r="AF181">
        <v>-0.32277747059140099</v>
      </c>
      <c r="AG181">
        <v>-1.1574879999999901</v>
      </c>
      <c r="AH181">
        <v>14.9039588577551</v>
      </c>
      <c r="AI181">
        <v>94.439818172679907</v>
      </c>
      <c r="AJ181">
        <v>91.2406701051477</v>
      </c>
      <c r="AK181">
        <v>14.952322675735701</v>
      </c>
      <c r="AL181">
        <v>76.594422567752304</v>
      </c>
      <c r="AM181">
        <v>84.992566612456002</v>
      </c>
      <c r="AN181">
        <v>1.00000001366247</v>
      </c>
    </row>
    <row r="182" spans="1:40" x14ac:dyDescent="0.25">
      <c r="A182" t="str">
        <f>"20190312164440764"</f>
        <v>20190312164440764</v>
      </c>
      <c r="B182" t="str">
        <f>"1552380280761521"</f>
        <v>1552380280761521</v>
      </c>
      <c r="C182" t="s">
        <v>40</v>
      </c>
      <c r="D182">
        <v>4.3651200000000001</v>
      </c>
      <c r="E182">
        <v>0.46276509999999998</v>
      </c>
      <c r="F182" t="s">
        <v>43</v>
      </c>
      <c r="G182">
        <v>-435.26330000000002</v>
      </c>
      <c r="H182">
        <v>-0.05</v>
      </c>
      <c r="I182">
        <v>368.73079999999999</v>
      </c>
      <c r="J182">
        <v>-449.17500000000001</v>
      </c>
      <c r="K182">
        <v>1.107467</v>
      </c>
      <c r="L182">
        <v>368.03789999999998</v>
      </c>
      <c r="M182">
        <v>0.99970619999999999</v>
      </c>
      <c r="N182">
        <v>0</v>
      </c>
      <c r="O182">
        <v>2.403506E-2</v>
      </c>
      <c r="P182">
        <v>0.97180719999999998</v>
      </c>
      <c r="Q182">
        <v>0.22790640000000001</v>
      </c>
      <c r="R182">
        <v>-6.0414410000000002E-2</v>
      </c>
      <c r="S182">
        <v>3.1582340000000002</v>
      </c>
      <c r="T182">
        <v>-0.25694529999999999</v>
      </c>
      <c r="U182">
        <v>0.15542600000000001</v>
      </c>
      <c r="V182">
        <v>8.3969589999999997E-2</v>
      </c>
      <c r="W182">
        <v>0.23090359999999999</v>
      </c>
      <c r="X182">
        <v>0.9693465</v>
      </c>
      <c r="Y182">
        <v>-2.5129530000000001E-2</v>
      </c>
      <c r="Z182">
        <v>-9.3067340000000005E-4</v>
      </c>
      <c r="AA182">
        <v>0.99968380000000001</v>
      </c>
      <c r="AB182">
        <v>32</v>
      </c>
      <c r="AC182">
        <v>13.9116999999999</v>
      </c>
      <c r="AD182">
        <v>-1.157467</v>
      </c>
      <c r="AE182">
        <v>0.69290000000000795</v>
      </c>
      <c r="AF182">
        <v>-0.35587224821380398</v>
      </c>
      <c r="AG182">
        <v>-1.157467</v>
      </c>
      <c r="AH182">
        <v>13.828843147110399</v>
      </c>
      <c r="AI182">
        <v>94.782899011392601</v>
      </c>
      <c r="AJ182">
        <v>91.474127546884802</v>
      </c>
      <c r="AK182">
        <v>13.8817606124195</v>
      </c>
      <c r="AL182">
        <v>76.649723728091899</v>
      </c>
      <c r="AM182">
        <v>85.049115023390399</v>
      </c>
      <c r="AN182">
        <v>1.0000000007999801</v>
      </c>
    </row>
    <row r="183" spans="1:40" x14ac:dyDescent="0.25">
      <c r="A183" t="str">
        <f>"20190312164440785"</f>
        <v>20190312164440785</v>
      </c>
      <c r="B183" t="str">
        <f>"1552380280782017"</f>
        <v>1552380280782017</v>
      </c>
      <c r="C183" t="s">
        <v>40</v>
      </c>
      <c r="D183">
        <v>4.384887</v>
      </c>
      <c r="E183">
        <v>0.4629414</v>
      </c>
      <c r="F183" t="s">
        <v>43</v>
      </c>
      <c r="G183">
        <v>-434.25510000000003</v>
      </c>
      <c r="H183">
        <v>-0.05</v>
      </c>
      <c r="I183">
        <v>368.74009999999998</v>
      </c>
      <c r="J183">
        <v>-448.87040000000002</v>
      </c>
      <c r="K183">
        <v>1.1074389999999901</v>
      </c>
      <c r="L183">
        <v>368.04480000000001</v>
      </c>
      <c r="M183">
        <v>0.99971710000000003</v>
      </c>
      <c r="N183">
        <v>0</v>
      </c>
      <c r="O183">
        <v>2.356658E-2</v>
      </c>
      <c r="P183">
        <v>0.97227079999999999</v>
      </c>
      <c r="Q183">
        <v>0.22603980000000001</v>
      </c>
      <c r="R183">
        <v>-5.9965419999999998E-2</v>
      </c>
      <c r="S183">
        <v>3.1536559999999998</v>
      </c>
      <c r="T183">
        <v>-0.24465609999999999</v>
      </c>
      <c r="U183">
        <v>0.14840699999999901</v>
      </c>
      <c r="V183">
        <v>8.3090830000000004E-2</v>
      </c>
      <c r="W183">
        <v>0.2291031</v>
      </c>
      <c r="X183">
        <v>0.96984930000000003</v>
      </c>
      <c r="Y183">
        <v>-2.3453310000000002E-2</v>
      </c>
      <c r="Z183">
        <v>-9.162714E-4</v>
      </c>
      <c r="AA183">
        <v>0.99972450000000002</v>
      </c>
      <c r="AB183">
        <v>32</v>
      </c>
      <c r="AC183">
        <v>14.6152999999999</v>
      </c>
      <c r="AD183">
        <v>-1.1574390000000001</v>
      </c>
      <c r="AE183">
        <v>0.69529999999997405</v>
      </c>
      <c r="AF183">
        <v>-0.34849179740990099</v>
      </c>
      <c r="AG183">
        <v>-1.1574390000000001</v>
      </c>
      <c r="AH183">
        <v>14.536663995807</v>
      </c>
      <c r="AI183">
        <v>94.551101314825203</v>
      </c>
      <c r="AJ183">
        <v>91.3733058252717</v>
      </c>
      <c r="AK183">
        <v>14.5868335048623</v>
      </c>
      <c r="AL183">
        <v>76.755726616856407</v>
      </c>
      <c r="AM183">
        <v>85.103201203940301</v>
      </c>
      <c r="AN183">
        <v>0.99999999058509403</v>
      </c>
    </row>
    <row r="184" spans="1:40" x14ac:dyDescent="0.25">
      <c r="A184" t="str">
        <f>"20190312164440808"</f>
        <v>20190312164440808</v>
      </c>
      <c r="B184" t="str">
        <f>"1552380280801538"</f>
        <v>1552380280801538</v>
      </c>
      <c r="C184" t="s">
        <v>40</v>
      </c>
      <c r="D184">
        <v>4.3823290000000004</v>
      </c>
      <c r="E184">
        <v>0.46286860000000002</v>
      </c>
      <c r="F184" t="s">
        <v>43</v>
      </c>
      <c r="G184">
        <v>-433.93560000000002</v>
      </c>
      <c r="H184">
        <v>-0.05</v>
      </c>
      <c r="I184">
        <v>368.75029999999998</v>
      </c>
      <c r="J184">
        <v>-448.53469999999999</v>
      </c>
      <c r="K184">
        <v>1.1074200000000001</v>
      </c>
      <c r="L184">
        <v>368.05220000000003</v>
      </c>
      <c r="M184">
        <v>0.99972930000000004</v>
      </c>
      <c r="N184">
        <v>0</v>
      </c>
      <c r="O184">
        <v>2.3027450000000001E-2</v>
      </c>
      <c r="P184">
        <v>0.97282000000000002</v>
      </c>
      <c r="Q184">
        <v>0.22373299999999999</v>
      </c>
      <c r="R184">
        <v>-5.970512E-2</v>
      </c>
      <c r="S184">
        <v>3.1514890000000002</v>
      </c>
      <c r="T184">
        <v>-0.2442385</v>
      </c>
      <c r="U184">
        <v>0.14886469999999999</v>
      </c>
      <c r="V184">
        <v>8.2331959999999996E-2</v>
      </c>
      <c r="W184">
        <v>0.2268704</v>
      </c>
      <c r="X184">
        <v>0.97043869999999999</v>
      </c>
      <c r="Y184">
        <v>-2.4165860000000001E-2</v>
      </c>
      <c r="Z184">
        <v>-8.4610389999999897E-4</v>
      </c>
      <c r="AA184">
        <v>0.99970760000000003</v>
      </c>
      <c r="AB184">
        <v>32</v>
      </c>
      <c r="AC184">
        <v>14.5990999999999</v>
      </c>
      <c r="AD184">
        <v>-1.1574199999999999</v>
      </c>
      <c r="AE184">
        <v>0.69809999999995398</v>
      </c>
      <c r="AF184">
        <v>-0.35947868353394302</v>
      </c>
      <c r="AG184">
        <v>-1.1574199999999999</v>
      </c>
      <c r="AH184">
        <v>14.5202476098424</v>
      </c>
      <c r="AI184">
        <v>94.556064007055298</v>
      </c>
      <c r="AJ184">
        <v>91.418185524124894</v>
      </c>
      <c r="AK184">
        <v>14.5707390557737</v>
      </c>
      <c r="AL184">
        <v>76.887111176149403</v>
      </c>
      <c r="AM184">
        <v>85.150642246279006</v>
      </c>
      <c r="AN184">
        <v>1.00000000024564</v>
      </c>
    </row>
    <row r="185" spans="1:40" x14ac:dyDescent="0.25">
      <c r="A185" t="str">
        <f>"20190312164440831"</f>
        <v>20190312164440831</v>
      </c>
      <c r="B185" t="str">
        <f>"1552380280822033"</f>
        <v>1552380280822033</v>
      </c>
      <c r="C185" t="s">
        <v>40</v>
      </c>
      <c r="D185">
        <v>4.3825609999999999</v>
      </c>
      <c r="E185">
        <v>0.46343299999999998</v>
      </c>
      <c r="F185" t="s">
        <v>43</v>
      </c>
      <c r="G185">
        <v>-434.01870000000002</v>
      </c>
      <c r="H185">
        <v>-0.05</v>
      </c>
      <c r="I185">
        <v>368.74439999999998</v>
      </c>
      <c r="J185">
        <v>-448.20440000000002</v>
      </c>
      <c r="K185">
        <v>1.107423</v>
      </c>
      <c r="L185">
        <v>368.05930000000001</v>
      </c>
      <c r="M185">
        <v>0.99974130000000005</v>
      </c>
      <c r="N185">
        <v>0</v>
      </c>
      <c r="O185">
        <v>2.2482039999999998E-2</v>
      </c>
      <c r="P185">
        <v>0.97300540000000002</v>
      </c>
      <c r="Q185">
        <v>0.22296560000000001</v>
      </c>
      <c r="R185">
        <v>-5.955597E-2</v>
      </c>
      <c r="S185">
        <v>3.1508180000000001</v>
      </c>
      <c r="T185">
        <v>-0.25122830000000002</v>
      </c>
      <c r="U185">
        <v>0.15023800000000001</v>
      </c>
      <c r="V185">
        <v>8.1666879999999997E-2</v>
      </c>
      <c r="W185">
        <v>0.22624530000000001</v>
      </c>
      <c r="X185">
        <v>0.97064079999999997</v>
      </c>
      <c r="Y185">
        <v>-2.515096E-2</v>
      </c>
      <c r="Z185">
        <v>-7.8785420000000001E-4</v>
      </c>
      <c r="AA185">
        <v>0.9996834</v>
      </c>
      <c r="AB185">
        <v>32</v>
      </c>
      <c r="AC185">
        <v>14.185699999999899</v>
      </c>
      <c r="AD185">
        <v>-1.1574229999999901</v>
      </c>
      <c r="AE185">
        <v>0.68509999999997695</v>
      </c>
      <c r="AF185">
        <v>-0.36358667868745598</v>
      </c>
      <c r="AG185">
        <v>-1.1574229999999901</v>
      </c>
      <c r="AH185">
        <v>14.1038453094784</v>
      </c>
      <c r="AI185">
        <v>94.689877434687105</v>
      </c>
      <c r="AJ185">
        <v>91.476715660642</v>
      </c>
      <c r="AK185">
        <v>14.155927231642</v>
      </c>
      <c r="AL185">
        <v>76.923882766349195</v>
      </c>
      <c r="AM185">
        <v>85.190627818958404</v>
      </c>
      <c r="AN185">
        <v>0.99999998884283203</v>
      </c>
    </row>
    <row r="186" spans="1:40" x14ac:dyDescent="0.25">
      <c r="A186" t="str">
        <f>"20190312164440853"</f>
        <v>20190312164440853</v>
      </c>
      <c r="B186" t="str">
        <f>"1552380280841556"</f>
        <v>1552380280841556</v>
      </c>
      <c r="C186" t="s">
        <v>40</v>
      </c>
      <c r="D186">
        <v>4.3878170000000001</v>
      </c>
      <c r="E186">
        <v>0.46370749999999999</v>
      </c>
      <c r="F186" t="s">
        <v>41</v>
      </c>
      <c r="G186">
        <v>-447.22309999999999</v>
      </c>
      <c r="H186">
        <v>1.0319940000000001</v>
      </c>
      <c r="I186">
        <v>368.10489999999999</v>
      </c>
      <c r="J186">
        <v>-447.88580000000002</v>
      </c>
      <c r="K186">
        <v>1.1074600000000001</v>
      </c>
      <c r="L186">
        <v>368.06599999999997</v>
      </c>
      <c r="M186">
        <v>0.99975199999999997</v>
      </c>
      <c r="N186">
        <v>0</v>
      </c>
      <c r="O186">
        <v>2.195159E-2</v>
      </c>
      <c r="P186">
        <v>0.97334229999999999</v>
      </c>
      <c r="Q186">
        <v>0.22152079999999999</v>
      </c>
      <c r="R186">
        <v>-5.9441540000000001E-2</v>
      </c>
      <c r="S186">
        <v>3.147675</v>
      </c>
      <c r="T186">
        <v>-0.2420051</v>
      </c>
      <c r="U186">
        <v>0.1461182</v>
      </c>
      <c r="V186">
        <v>8.1051380000000006E-2</v>
      </c>
      <c r="W186">
        <v>0.22508900000000001</v>
      </c>
      <c r="X186">
        <v>0.97096119999999997</v>
      </c>
      <c r="Y186">
        <v>-2.4424459999999999E-2</v>
      </c>
      <c r="Z186">
        <v>-7.4699140000000005E-4</v>
      </c>
      <c r="AA186">
        <v>0.99970139999999996</v>
      </c>
      <c r="AB186">
        <v>32</v>
      </c>
      <c r="AC186">
        <v>0.66270000000002904</v>
      </c>
      <c r="AD186">
        <v>-7.5466000000000005E-2</v>
      </c>
      <c r="AE186">
        <v>3.89000000000123E-2</v>
      </c>
      <c r="AF186">
        <v>-2.40326234681233E-2</v>
      </c>
      <c r="AG186">
        <v>-7.5466000000000005E-2</v>
      </c>
      <c r="AH186">
        <v>0.65493034320783605</v>
      </c>
      <c r="AI186">
        <v>96.568679661001497</v>
      </c>
      <c r="AJ186">
        <v>92.101521743715196</v>
      </c>
      <c r="AK186">
        <v>0.65970178004996705</v>
      </c>
      <c r="AL186">
        <v>76.991888502054806</v>
      </c>
      <c r="AM186">
        <v>85.228274401538201</v>
      </c>
      <c r="AN186">
        <v>1.0000000180131701</v>
      </c>
    </row>
    <row r="187" spans="1:40" x14ac:dyDescent="0.25">
      <c r="A187" t="str">
        <f>"20190312164440874"</f>
        <v>20190312164440874</v>
      </c>
      <c r="B187" t="str">
        <f>"1552380280862049"</f>
        <v>1552380280862049</v>
      </c>
      <c r="C187" t="s">
        <v>40</v>
      </c>
      <c r="D187">
        <v>4.3861540000000003</v>
      </c>
      <c r="E187">
        <v>0.4640881</v>
      </c>
      <c r="F187" t="s">
        <v>41</v>
      </c>
      <c r="G187">
        <v>-446.93</v>
      </c>
      <c r="H187">
        <v>1.033949</v>
      </c>
      <c r="I187">
        <v>368.10950000000003</v>
      </c>
      <c r="J187">
        <v>-447.5772</v>
      </c>
      <c r="K187">
        <v>1.1075459999999999</v>
      </c>
      <c r="L187">
        <v>368.07229999999998</v>
      </c>
      <c r="M187">
        <v>0.99976120000000002</v>
      </c>
      <c r="N187">
        <v>0</v>
      </c>
      <c r="O187">
        <v>2.143782E-2</v>
      </c>
      <c r="P187">
        <v>0.97413530000000004</v>
      </c>
      <c r="Q187">
        <v>0.21806149999999999</v>
      </c>
      <c r="R187">
        <v>-5.9245329999999999E-2</v>
      </c>
      <c r="S187">
        <v>3.146118</v>
      </c>
      <c r="T187">
        <v>-0.24222779999999999</v>
      </c>
      <c r="U187">
        <v>0.14407349999999999</v>
      </c>
      <c r="V187">
        <v>8.0375749999999996E-2</v>
      </c>
      <c r="W187">
        <v>0.22210479999999999</v>
      </c>
      <c r="X187">
        <v>0.97170429999999997</v>
      </c>
      <c r="Y187">
        <v>-2.431154E-2</v>
      </c>
      <c r="Z187">
        <v>-7.1293940000000003E-4</v>
      </c>
      <c r="AA187">
        <v>0.99970420000000004</v>
      </c>
      <c r="AB187">
        <v>33</v>
      </c>
      <c r="AC187">
        <v>0.647199999999997</v>
      </c>
      <c r="AD187">
        <v>-7.3596999999999899E-2</v>
      </c>
      <c r="AE187">
        <v>3.72000000000412E-2</v>
      </c>
      <c r="AF187">
        <v>-2.3020069063274799E-2</v>
      </c>
      <c r="AG187">
        <v>-7.3596999999999899E-2</v>
      </c>
      <c r="AH187">
        <v>0.63960504530376205</v>
      </c>
      <c r="AI187">
        <v>96.559736563196196</v>
      </c>
      <c r="AJ187">
        <v>92.061246621490199</v>
      </c>
      <c r="AK187">
        <v>0.64423680115832105</v>
      </c>
      <c r="AL187">
        <v>77.167312158157898</v>
      </c>
      <c r="AM187">
        <v>85.2714717010671</v>
      </c>
      <c r="AN187">
        <v>1.00000002500479</v>
      </c>
    </row>
    <row r="188" spans="1:40" x14ac:dyDescent="0.25">
      <c r="A188" t="str">
        <f>"20190312164440897"</f>
        <v>20190312164440897</v>
      </c>
      <c r="B188" t="str">
        <f>"1552380280892305"</f>
        <v>1552380280892305</v>
      </c>
      <c r="C188" t="s">
        <v>40</v>
      </c>
      <c r="D188">
        <v>4.3705579999999999</v>
      </c>
      <c r="E188">
        <v>0.46449629999999997</v>
      </c>
      <c r="F188" t="s">
        <v>41</v>
      </c>
      <c r="G188">
        <v>-446.63830000000002</v>
      </c>
      <c r="H188">
        <v>1.034227</v>
      </c>
      <c r="I188">
        <v>368.11430000000001</v>
      </c>
      <c r="J188">
        <v>-447.24149999999997</v>
      </c>
      <c r="K188">
        <v>1.107666</v>
      </c>
      <c r="L188">
        <v>368.07889999999998</v>
      </c>
      <c r="M188">
        <v>0.99976969999999998</v>
      </c>
      <c r="N188">
        <v>0</v>
      </c>
      <c r="O188">
        <v>2.0890389999999998E-2</v>
      </c>
      <c r="P188">
        <v>0.9751126</v>
      </c>
      <c r="Q188">
        <v>0.2136826</v>
      </c>
      <c r="R188">
        <v>-5.9120600000000002E-2</v>
      </c>
      <c r="S188">
        <v>3.1431269999999998</v>
      </c>
      <c r="T188">
        <v>-0.24549219999999999</v>
      </c>
      <c r="U188">
        <v>0.14065549999999999</v>
      </c>
      <c r="V188">
        <v>7.9737890000000006E-2</v>
      </c>
      <c r="W188">
        <v>0.218394</v>
      </c>
      <c r="X188">
        <v>0.9725975</v>
      </c>
      <c r="Y188">
        <v>-2.3817029999999999E-2</v>
      </c>
      <c r="Z188">
        <v>-6.9984989999999998E-4</v>
      </c>
      <c r="AA188">
        <v>0.9997161</v>
      </c>
      <c r="AB188">
        <v>33</v>
      </c>
      <c r="AC188">
        <v>0.60319999999995799</v>
      </c>
      <c r="AD188">
        <v>-7.3439000000000004E-2</v>
      </c>
      <c r="AE188">
        <v>3.54000000000382E-2</v>
      </c>
      <c r="AF188">
        <v>-2.24592721111831E-2</v>
      </c>
      <c r="AG188">
        <v>-7.3439000000000004E-2</v>
      </c>
      <c r="AH188">
        <v>0.59501831363126301</v>
      </c>
      <c r="AI188">
        <v>97.031082250455697</v>
      </c>
      <c r="AJ188">
        <v>92.161632463344802</v>
      </c>
      <c r="AK188">
        <v>0.59995374753505504</v>
      </c>
      <c r="AL188">
        <v>77.385277405497902</v>
      </c>
      <c r="AM188">
        <v>85.3131180466861</v>
      </c>
      <c r="AN188">
        <v>0.99999998367194998</v>
      </c>
    </row>
    <row r="189" spans="1:40" x14ac:dyDescent="0.25">
      <c r="A189" t="str">
        <f>"20190312164440920"</f>
        <v>20190312164440920</v>
      </c>
      <c r="B189" t="str">
        <f>"1552380280911825"</f>
        <v>1552380280911825</v>
      </c>
      <c r="C189" t="s">
        <v>40</v>
      </c>
      <c r="D189">
        <v>4.3547459999999996</v>
      </c>
      <c r="E189">
        <v>0.464617</v>
      </c>
      <c r="F189" t="s">
        <v>41</v>
      </c>
      <c r="G189">
        <v>-446.34350000000001</v>
      </c>
      <c r="H189">
        <v>1.0358069999999999</v>
      </c>
      <c r="I189">
        <v>368.11810000000003</v>
      </c>
      <c r="J189">
        <v>-446.90969999999999</v>
      </c>
      <c r="K189">
        <v>1.1077680000000001</v>
      </c>
      <c r="L189">
        <v>368.08530000000002</v>
      </c>
      <c r="M189">
        <v>0.99977669999999996</v>
      </c>
      <c r="N189">
        <v>0</v>
      </c>
      <c r="O189">
        <v>2.0376370000000001E-2</v>
      </c>
      <c r="P189">
        <v>0.9760723</v>
      </c>
      <c r="Q189">
        <v>0.20936630000000001</v>
      </c>
      <c r="R189">
        <v>-5.872434E-2</v>
      </c>
      <c r="S189">
        <v>3.1399840000000001</v>
      </c>
      <c r="T189">
        <v>-0.25126700000000002</v>
      </c>
      <c r="U189">
        <v>0.13772579999999901</v>
      </c>
      <c r="V189">
        <v>7.8854019999999997E-2</v>
      </c>
      <c r="W189">
        <v>0.2147299</v>
      </c>
      <c r="X189">
        <v>0.97348509999999999</v>
      </c>
      <c r="Y189">
        <v>-2.3443820000000001E-2</v>
      </c>
      <c r="Z189">
        <v>-6.9086859999999996E-4</v>
      </c>
      <c r="AA189">
        <v>0.99972490000000003</v>
      </c>
      <c r="AB189">
        <v>33</v>
      </c>
      <c r="AC189">
        <v>0.56619999999998005</v>
      </c>
      <c r="AD189">
        <v>-7.1961000000000094E-2</v>
      </c>
      <c r="AE189">
        <v>3.2800000000008801E-2</v>
      </c>
      <c r="AF189">
        <v>-2.0919130633114999E-2</v>
      </c>
      <c r="AG189">
        <v>-7.1961000000000094E-2</v>
      </c>
      <c r="AH189">
        <v>0.55777122310398397</v>
      </c>
      <c r="AI189">
        <v>97.346313033653701</v>
      </c>
      <c r="AJ189">
        <v>92.147863391980394</v>
      </c>
      <c r="AK189">
        <v>0.56278302468212404</v>
      </c>
      <c r="AL189">
        <v>77.600319176461994</v>
      </c>
      <c r="AM189">
        <v>85.3690508890773</v>
      </c>
      <c r="AN189">
        <v>1.0000000631730801</v>
      </c>
    </row>
    <row r="190" spans="1:40" x14ac:dyDescent="0.25">
      <c r="A190" t="str">
        <f>"20190312164440942"</f>
        <v>20190312164440942</v>
      </c>
      <c r="B190" t="str">
        <f>"1552380280932321"</f>
        <v>1552380280932321</v>
      </c>
      <c r="C190" t="s">
        <v>40</v>
      </c>
      <c r="D190">
        <v>4.5201310000000001</v>
      </c>
      <c r="E190">
        <v>0.46482800000000002</v>
      </c>
      <c r="F190" t="s">
        <v>41</v>
      </c>
      <c r="G190">
        <v>-446.04790000000003</v>
      </c>
      <c r="H190">
        <v>1.0357889999999901</v>
      </c>
      <c r="I190">
        <v>368.1234</v>
      </c>
      <c r="J190">
        <v>-446.58780000000002</v>
      </c>
      <c r="K190">
        <v>1.107872</v>
      </c>
      <c r="L190">
        <v>368.09140000000002</v>
      </c>
      <c r="M190">
        <v>0.99978210000000001</v>
      </c>
      <c r="N190">
        <v>0</v>
      </c>
      <c r="O190">
        <v>1.9923969999999999E-2</v>
      </c>
      <c r="P190">
        <v>0.97679000000000005</v>
      </c>
      <c r="Q190">
        <v>0.20601439999999999</v>
      </c>
      <c r="R190">
        <v>-5.8647169999999998E-2</v>
      </c>
      <c r="S190">
        <v>3.138153</v>
      </c>
      <c r="T190">
        <v>-0.26211509999999999</v>
      </c>
      <c r="U190">
        <v>0.1391907</v>
      </c>
      <c r="V190">
        <v>7.833611E-2</v>
      </c>
      <c r="W190">
        <v>0.21201809999999999</v>
      </c>
      <c r="X190">
        <v>0.97412100000000001</v>
      </c>
      <c r="Y190">
        <v>-2.4381690000000001E-2</v>
      </c>
      <c r="Z190">
        <v>-6.4424090000000001E-4</v>
      </c>
      <c r="AA190">
        <v>0.99970250000000005</v>
      </c>
      <c r="AB190">
        <v>33</v>
      </c>
      <c r="AC190">
        <v>0.53989999999998795</v>
      </c>
      <c r="AD190">
        <v>-7.2083000000000105E-2</v>
      </c>
      <c r="AE190">
        <v>3.1999999999982202E-2</v>
      </c>
      <c r="AF190">
        <v>-2.08658478197058E-2</v>
      </c>
      <c r="AG190">
        <v>-7.2083000000000105E-2</v>
      </c>
      <c r="AH190">
        <v>0.53099828689206197</v>
      </c>
      <c r="AI190">
        <v>97.724754733753798</v>
      </c>
      <c r="AJ190">
        <v>92.250309018953999</v>
      </c>
      <c r="AK190">
        <v>0.53627467139194596</v>
      </c>
      <c r="AL190">
        <v>77.759355316090705</v>
      </c>
      <c r="AM190">
        <v>85.402326179913999</v>
      </c>
      <c r="AN190">
        <v>0.99999997174927002</v>
      </c>
    </row>
    <row r="191" spans="1:40" x14ac:dyDescent="0.25">
      <c r="A191" t="str">
        <f>"20190312164440965"</f>
        <v>20190312164440965</v>
      </c>
      <c r="B191" t="str">
        <f>"1552380280961602"</f>
        <v>1552380280961602</v>
      </c>
      <c r="C191" t="s">
        <v>40</v>
      </c>
      <c r="D191">
        <v>4.3629800000000003</v>
      </c>
      <c r="E191">
        <v>0.46532560000000001</v>
      </c>
      <c r="F191" t="s">
        <v>43</v>
      </c>
      <c r="G191">
        <v>-433.05549999999999</v>
      </c>
      <c r="H191">
        <v>-0.05</v>
      </c>
      <c r="I191">
        <v>368.68920000000003</v>
      </c>
      <c r="J191">
        <v>-446.25290000000001</v>
      </c>
      <c r="K191">
        <v>1.108004</v>
      </c>
      <c r="L191">
        <v>368.0976</v>
      </c>
      <c r="M191">
        <v>0.99978549999999999</v>
      </c>
      <c r="N191">
        <v>0</v>
      </c>
      <c r="O191">
        <v>1.9524260000000002E-2</v>
      </c>
      <c r="P191">
        <v>0.97737850000000004</v>
      </c>
      <c r="Q191">
        <v>0.2032832</v>
      </c>
      <c r="R191">
        <v>-5.8373599999999998E-2</v>
      </c>
      <c r="S191">
        <v>3.1362000000000001</v>
      </c>
      <c r="T191">
        <v>-0.26834520000000001</v>
      </c>
      <c r="U191">
        <v>0.138549799999999</v>
      </c>
      <c r="V191">
        <v>7.7658019999999994E-2</v>
      </c>
      <c r="W191">
        <v>0.2099472</v>
      </c>
      <c r="X191">
        <v>0.97462369999999998</v>
      </c>
      <c r="Y191">
        <v>-2.4601930000000001E-2</v>
      </c>
      <c r="Z191">
        <v>-6.1640709999999995E-4</v>
      </c>
      <c r="AA191">
        <v>0.99969710000000001</v>
      </c>
      <c r="AB191">
        <v>33</v>
      </c>
      <c r="AC191">
        <v>13.1974</v>
      </c>
      <c r="AD191">
        <v>-1.158004</v>
      </c>
      <c r="AE191">
        <v>0.59160000000002799</v>
      </c>
      <c r="AF191">
        <v>-0.33126624681060901</v>
      </c>
      <c r="AG191">
        <v>-1.158004</v>
      </c>
      <c r="AH191">
        <v>13.1057342712032</v>
      </c>
      <c r="AI191">
        <v>95.047855938848002</v>
      </c>
      <c r="AJ191">
        <v>91.447924768196998</v>
      </c>
      <c r="AK191">
        <v>13.160964302728001</v>
      </c>
      <c r="AL191">
        <v>77.880741652503502</v>
      </c>
      <c r="AM191">
        <v>85.444297047446895</v>
      </c>
      <c r="AN191">
        <v>0.99999997572992405</v>
      </c>
    </row>
    <row r="192" spans="1:40" x14ac:dyDescent="0.25">
      <c r="A192" t="str">
        <f>"20190312164440988"</f>
        <v>20190312164440988</v>
      </c>
      <c r="B192" t="str">
        <f>"1552380280982097"</f>
        <v>1552380280982097</v>
      </c>
      <c r="C192" t="s">
        <v>40</v>
      </c>
      <c r="D192">
        <v>4.411321</v>
      </c>
      <c r="E192">
        <v>0.46531460000000002</v>
      </c>
      <c r="F192" t="s">
        <v>43</v>
      </c>
      <c r="G192">
        <v>-432.63299999999998</v>
      </c>
      <c r="H192">
        <v>-0.05</v>
      </c>
      <c r="I192">
        <v>368.69319999999999</v>
      </c>
      <c r="J192">
        <v>-445.90789999999998</v>
      </c>
      <c r="K192">
        <v>1.1081399999999999</v>
      </c>
      <c r="L192">
        <v>368.10390000000001</v>
      </c>
      <c r="M192">
        <v>0.99978719999999999</v>
      </c>
      <c r="N192">
        <v>0</v>
      </c>
      <c r="O192">
        <v>1.9199049999999999E-2</v>
      </c>
      <c r="P192">
        <v>0.97798790000000002</v>
      </c>
      <c r="Q192">
        <v>0.2004959</v>
      </c>
      <c r="R192">
        <v>-5.7802609999999997E-2</v>
      </c>
      <c r="S192">
        <v>3.1329959999999999</v>
      </c>
      <c r="T192">
        <v>-0.266376</v>
      </c>
      <c r="U192">
        <v>0.1370239</v>
      </c>
      <c r="V192">
        <v>7.6744399999999893E-2</v>
      </c>
      <c r="W192">
        <v>0.2078045</v>
      </c>
      <c r="X192">
        <v>0.9751552</v>
      </c>
      <c r="Y192">
        <v>-2.4485630000000001E-2</v>
      </c>
      <c r="Z192">
        <v>-5.8989310000000001E-4</v>
      </c>
      <c r="AA192">
        <v>0.99970000000000003</v>
      </c>
      <c r="AB192">
        <v>33</v>
      </c>
      <c r="AC192">
        <v>13.274899999999899</v>
      </c>
      <c r="AD192">
        <v>-1.1581399999999999</v>
      </c>
      <c r="AE192">
        <v>0.58929999999997995</v>
      </c>
      <c r="AF192">
        <v>-0.33179819505420899</v>
      </c>
      <c r="AG192">
        <v>-1.1581399999999999</v>
      </c>
      <c r="AH192">
        <v>13.1836200612097</v>
      </c>
      <c r="AI192">
        <v>95.018787149214006</v>
      </c>
      <c r="AJ192">
        <v>91.441684748072603</v>
      </c>
      <c r="AK192">
        <v>13.2385503821291</v>
      </c>
      <c r="AL192">
        <v>78.006279185007003</v>
      </c>
      <c r="AM192">
        <v>85.500115541549704</v>
      </c>
      <c r="AN192">
        <v>1.00000003861932</v>
      </c>
    </row>
    <row r="193" spans="1:40" x14ac:dyDescent="0.25">
      <c r="A193" t="str">
        <f>"20190312164441009"</f>
        <v>20190312164441009</v>
      </c>
      <c r="B193" t="str">
        <f>"1552380281001617"</f>
        <v>1552380281001617</v>
      </c>
      <c r="C193" t="s">
        <v>40</v>
      </c>
      <c r="D193">
        <v>4.4115710000000004</v>
      </c>
      <c r="E193">
        <v>0.46541189999999999</v>
      </c>
      <c r="F193" t="s">
        <v>43</v>
      </c>
      <c r="G193">
        <v>-432.62290000000002</v>
      </c>
      <c r="H193">
        <v>-0.05</v>
      </c>
      <c r="I193">
        <v>368.69450000000001</v>
      </c>
      <c r="J193">
        <v>-445.60469999999998</v>
      </c>
      <c r="K193">
        <v>1.1082430000000001</v>
      </c>
      <c r="L193">
        <v>368.10950000000003</v>
      </c>
      <c r="M193">
        <v>0.99978699999999998</v>
      </c>
      <c r="N193">
        <v>0</v>
      </c>
      <c r="O193">
        <v>1.900075E-2</v>
      </c>
      <c r="P193">
        <v>0.97866410000000004</v>
      </c>
      <c r="Q193">
        <v>0.19724149999999999</v>
      </c>
      <c r="R193">
        <v>-5.7556620000000003E-2</v>
      </c>
      <c r="S193">
        <v>3.1317140000000001</v>
      </c>
      <c r="T193">
        <v>-0.27301300000000001</v>
      </c>
      <c r="U193">
        <v>0.13922119999999999</v>
      </c>
      <c r="V193">
        <v>7.6279979999999997E-2</v>
      </c>
      <c r="W193">
        <v>0.20506669999999999</v>
      </c>
      <c r="X193">
        <v>0.97577100000000005</v>
      </c>
      <c r="Y193">
        <v>-2.539657E-2</v>
      </c>
      <c r="Z193">
        <v>-5.4792449999999896E-4</v>
      </c>
      <c r="AA193">
        <v>0.99967729999999999</v>
      </c>
      <c r="AB193">
        <v>33</v>
      </c>
      <c r="AC193">
        <v>12.9817999999999</v>
      </c>
      <c r="AD193">
        <v>-1.1582429999999999</v>
      </c>
      <c r="AE193">
        <v>0.58499999999997898</v>
      </c>
      <c r="AF193">
        <v>-0.33555671899800199</v>
      </c>
      <c r="AG193">
        <v>-1.1582429999999999</v>
      </c>
      <c r="AH193">
        <v>12.888186096677501</v>
      </c>
      <c r="AI193">
        <v>95.133564876639895</v>
      </c>
      <c r="AJ193">
        <v>91.4914155607174</v>
      </c>
      <c r="AK193">
        <v>12.9444762745081</v>
      </c>
      <c r="AL193">
        <v>78.166596557449395</v>
      </c>
      <c r="AM193">
        <v>85.530047111662697</v>
      </c>
      <c r="AN193">
        <v>1.00000001561934</v>
      </c>
    </row>
    <row r="194" spans="1:40" x14ac:dyDescent="0.25">
      <c r="A194" t="str">
        <f>"20190312164441031"</f>
        <v>20190312164441031</v>
      </c>
      <c r="B194" t="str">
        <f>"1552380281022113"</f>
        <v>1552380281022113</v>
      </c>
      <c r="C194" t="s">
        <v>40</v>
      </c>
      <c r="D194">
        <v>4.3788729999999996</v>
      </c>
      <c r="E194">
        <v>0.46556049999999899</v>
      </c>
      <c r="F194" t="s">
        <v>41</v>
      </c>
      <c r="G194">
        <v>-444.60899999999998</v>
      </c>
      <c r="H194">
        <v>1.019822</v>
      </c>
      <c r="I194">
        <v>368.15339999999998</v>
      </c>
      <c r="J194">
        <v>-445.2749</v>
      </c>
      <c r="K194">
        <v>1.108347</v>
      </c>
      <c r="L194">
        <v>368.1155</v>
      </c>
      <c r="M194">
        <v>0.99978529999999999</v>
      </c>
      <c r="N194">
        <v>0</v>
      </c>
      <c r="O194">
        <v>1.887018E-2</v>
      </c>
      <c r="P194">
        <v>0.9792689</v>
      </c>
      <c r="Q194">
        <v>0.19422139999999999</v>
      </c>
      <c r="R194">
        <v>-5.7537499999999998E-2</v>
      </c>
      <c r="S194">
        <v>3.1296689999999998</v>
      </c>
      <c r="T194">
        <v>-0.27810259999999998</v>
      </c>
      <c r="U194">
        <v>0.13928219999999999</v>
      </c>
      <c r="V194">
        <v>7.610654E-2</v>
      </c>
      <c r="W194">
        <v>0.20255509999999999</v>
      </c>
      <c r="X194">
        <v>0.97630899999999998</v>
      </c>
      <c r="Y194">
        <v>-2.5573329999999998E-2</v>
      </c>
      <c r="Z194">
        <v>-5.3906500000000003E-4</v>
      </c>
      <c r="AA194">
        <v>0.99967280000000003</v>
      </c>
      <c r="AB194">
        <v>33</v>
      </c>
      <c r="AC194">
        <v>0.66589999999996496</v>
      </c>
      <c r="AD194">
        <v>-8.8524999999999895E-2</v>
      </c>
      <c r="AE194">
        <v>3.7899999999979103E-2</v>
      </c>
      <c r="AF194">
        <v>-2.4888696615725899E-2</v>
      </c>
      <c r="AG194">
        <v>-8.8524999999999895E-2</v>
      </c>
      <c r="AH194">
        <v>0.65495882168921105</v>
      </c>
      <c r="AI194">
        <v>97.692031376632102</v>
      </c>
      <c r="AJ194">
        <v>92.176215384077594</v>
      </c>
      <c r="AK194">
        <v>0.66138277944980495</v>
      </c>
      <c r="AL194">
        <v>78.313585983283303</v>
      </c>
      <c r="AM194">
        <v>85.542617228972304</v>
      </c>
      <c r="AN194">
        <v>1.00000001872389</v>
      </c>
    </row>
    <row r="195" spans="1:40" x14ac:dyDescent="0.25">
      <c r="A195" t="str">
        <f>"20190312164441054"</f>
        <v>20190312164441054</v>
      </c>
      <c r="B195" t="str">
        <f>"1552380281041636"</f>
        <v>1552380281041636</v>
      </c>
      <c r="C195" t="s">
        <v>40</v>
      </c>
      <c r="D195">
        <v>4.4332799999999999</v>
      </c>
      <c r="E195">
        <v>0.46559270000000003</v>
      </c>
      <c r="F195" t="s">
        <v>41</v>
      </c>
      <c r="G195">
        <v>-444.3168</v>
      </c>
      <c r="H195">
        <v>1.021817</v>
      </c>
      <c r="I195">
        <v>368.15789999999998</v>
      </c>
      <c r="J195">
        <v>-444.96280000000002</v>
      </c>
      <c r="K195">
        <v>1.1084240000000001</v>
      </c>
      <c r="L195">
        <v>368.12130000000002</v>
      </c>
      <c r="M195">
        <v>0.99978270000000002</v>
      </c>
      <c r="N195">
        <v>0</v>
      </c>
      <c r="O195">
        <v>1.8809590000000001E-2</v>
      </c>
      <c r="P195">
        <v>0.97976200000000002</v>
      </c>
      <c r="Q195">
        <v>0.1917894</v>
      </c>
      <c r="R195">
        <v>-5.7302840000000001E-2</v>
      </c>
      <c r="S195">
        <v>3.1277159999999999</v>
      </c>
      <c r="T195">
        <v>-0.28262880000000001</v>
      </c>
      <c r="U195">
        <v>0.1388855</v>
      </c>
      <c r="V195">
        <v>7.5792509999999993E-2</v>
      </c>
      <c r="W195">
        <v>0.2005538</v>
      </c>
      <c r="X195">
        <v>0.97674640000000001</v>
      </c>
      <c r="Y195">
        <v>-2.5534029999999999E-2</v>
      </c>
      <c r="Z195">
        <v>-5.4446339999999897E-4</v>
      </c>
      <c r="AA195">
        <v>0.99967379999999995</v>
      </c>
      <c r="AB195">
        <v>33</v>
      </c>
      <c r="AC195">
        <v>0.64600000000001501</v>
      </c>
      <c r="AD195">
        <v>-8.6607000000000101E-2</v>
      </c>
      <c r="AE195">
        <v>3.6599999999964397E-2</v>
      </c>
      <c r="AF195">
        <v>-2.40118345478556E-2</v>
      </c>
      <c r="AG195">
        <v>-8.6607000000000101E-2</v>
      </c>
      <c r="AH195">
        <v>0.63519381783735396</v>
      </c>
      <c r="AI195">
        <v>97.758776289672596</v>
      </c>
      <c r="AJ195">
        <v>92.164885682725796</v>
      </c>
      <c r="AK195">
        <v>0.64152048047287402</v>
      </c>
      <c r="AL195">
        <v>78.430653576285906</v>
      </c>
      <c r="AM195">
        <v>85.562915503902303</v>
      </c>
      <c r="AN195">
        <v>0.99999993058974701</v>
      </c>
    </row>
    <row r="196" spans="1:40" x14ac:dyDescent="0.25">
      <c r="A196" t="str">
        <f>"20190312164441075"</f>
        <v>20190312164441075</v>
      </c>
      <c r="B196" t="str">
        <f>"1552380281071889"</f>
        <v>1552380281071889</v>
      </c>
      <c r="C196" t="s">
        <v>40</v>
      </c>
      <c r="D196">
        <v>4.4009859999999996</v>
      </c>
      <c r="E196">
        <v>0.46562880000000001</v>
      </c>
      <c r="F196" t="s">
        <v>41</v>
      </c>
      <c r="G196">
        <v>-444.02550000000002</v>
      </c>
      <c r="H196">
        <v>1.0224549999999999</v>
      </c>
      <c r="I196">
        <v>368.16269999999997</v>
      </c>
      <c r="J196">
        <v>-444.64859999999999</v>
      </c>
      <c r="K196">
        <v>1.108487</v>
      </c>
      <c r="L196">
        <v>368.12709999999998</v>
      </c>
      <c r="M196">
        <v>0.99977950000000004</v>
      </c>
      <c r="N196">
        <v>0</v>
      </c>
      <c r="O196">
        <v>1.8796690000000001E-2</v>
      </c>
      <c r="P196">
        <v>0.9800565</v>
      </c>
      <c r="Q196">
        <v>0.19028059999999999</v>
      </c>
      <c r="R196">
        <v>-5.7298689999999999E-2</v>
      </c>
      <c r="S196">
        <v>3.1262819999999998</v>
      </c>
      <c r="T196">
        <v>-0.28693950000000001</v>
      </c>
      <c r="U196">
        <v>0.13925170000000001</v>
      </c>
      <c r="V196">
        <v>7.5759660000000006E-2</v>
      </c>
      <c r="W196">
        <v>0.1994293</v>
      </c>
      <c r="X196">
        <v>0.97697929999999999</v>
      </c>
      <c r="Y196">
        <v>-2.5682529999999999E-2</v>
      </c>
      <c r="Z196">
        <v>-5.450117E-4</v>
      </c>
      <c r="AA196">
        <v>0.99966999999999995</v>
      </c>
      <c r="AB196">
        <v>33</v>
      </c>
      <c r="AC196">
        <v>0.62309999999996502</v>
      </c>
      <c r="AD196">
        <v>-8.6032000000000095E-2</v>
      </c>
      <c r="AE196">
        <v>3.5599999999988002E-2</v>
      </c>
      <c r="AF196">
        <v>-2.34356649682297E-2</v>
      </c>
      <c r="AG196">
        <v>-8.6032000000000095E-2</v>
      </c>
      <c r="AH196">
        <v>0.61202958150118703</v>
      </c>
      <c r="AI196">
        <v>97.995763127078007</v>
      </c>
      <c r="AJ196">
        <v>92.192882552185296</v>
      </c>
      <c r="AK196">
        <v>0.61849086011761001</v>
      </c>
      <c r="AL196">
        <v>78.496412683043204</v>
      </c>
      <c r="AM196">
        <v>85.565884024370703</v>
      </c>
      <c r="AN196">
        <v>1.0000000622051399</v>
      </c>
    </row>
    <row r="197" spans="1:40" x14ac:dyDescent="0.25">
      <c r="A197" t="str">
        <f>"20190312164441098"</f>
        <v>20190312164441098</v>
      </c>
      <c r="B197" t="str">
        <f>"1552380281092385"</f>
        <v>1552380281092385</v>
      </c>
      <c r="C197" t="s">
        <v>40</v>
      </c>
      <c r="D197">
        <v>4.7427219999999997</v>
      </c>
      <c r="E197">
        <v>0.46561190000000002</v>
      </c>
      <c r="F197" t="s">
        <v>41</v>
      </c>
      <c r="G197">
        <v>-443.7337</v>
      </c>
      <c r="H197">
        <v>1.0237909999999999</v>
      </c>
      <c r="I197">
        <v>368.16730000000001</v>
      </c>
      <c r="J197">
        <v>-444.30990000000003</v>
      </c>
      <c r="K197">
        <v>1.1085309999999999</v>
      </c>
      <c r="L197">
        <v>368.13339999999999</v>
      </c>
      <c r="M197">
        <v>0.99977559999999999</v>
      </c>
      <c r="N197">
        <v>0</v>
      </c>
      <c r="O197">
        <v>1.8814819999999999E-2</v>
      </c>
      <c r="P197">
        <v>0.98035510000000003</v>
      </c>
      <c r="Q197">
        <v>0.18874369999999999</v>
      </c>
      <c r="R197">
        <v>-5.7272499999999997E-2</v>
      </c>
      <c r="S197">
        <v>3.125305</v>
      </c>
      <c r="T197">
        <v>-0.28945419999999999</v>
      </c>
      <c r="U197">
        <v>0.13797000000000001</v>
      </c>
      <c r="V197">
        <v>7.5741160000000002E-2</v>
      </c>
      <c r="W197">
        <v>0.1982563</v>
      </c>
      <c r="X197">
        <v>0.97721939999999996</v>
      </c>
      <c r="Y197">
        <v>-2.5270339999999999E-2</v>
      </c>
      <c r="Z197">
        <v>-5.7066259999999998E-4</v>
      </c>
      <c r="AA197">
        <v>0.99968049999999997</v>
      </c>
      <c r="AB197">
        <v>33</v>
      </c>
      <c r="AC197">
        <v>0.57620000000002802</v>
      </c>
      <c r="AD197">
        <v>-8.4739999999999996E-2</v>
      </c>
      <c r="AE197">
        <v>3.3900000000016903E-2</v>
      </c>
      <c r="AF197">
        <v>-2.25659961520915E-2</v>
      </c>
      <c r="AG197">
        <v>-8.4739999999999996E-2</v>
      </c>
      <c r="AH197">
        <v>0.56456711559092498</v>
      </c>
      <c r="AI197">
        <v>98.529507258374096</v>
      </c>
      <c r="AJ197">
        <v>92.2889190963472</v>
      </c>
      <c r="AK197">
        <v>0.57133713321382595</v>
      </c>
      <c r="AL197">
        <v>78.564989534476197</v>
      </c>
      <c r="AM197">
        <v>85.568047333719804</v>
      </c>
      <c r="AN197">
        <v>1.00000001977209</v>
      </c>
    </row>
    <row r="198" spans="1:40" x14ac:dyDescent="0.25">
      <c r="A198" t="str">
        <f>"20190312164441121"</f>
        <v>20190312164441121</v>
      </c>
      <c r="B198" t="str">
        <f>"1552380281111905"</f>
        <v>1552380281111905</v>
      </c>
      <c r="C198" t="s">
        <v>40</v>
      </c>
      <c r="D198">
        <v>4.4685689999999996</v>
      </c>
      <c r="E198">
        <v>0.46568870000000001</v>
      </c>
      <c r="F198" t="s">
        <v>41</v>
      </c>
      <c r="G198">
        <v>-443.4402</v>
      </c>
      <c r="H198">
        <v>1.0275019999999999</v>
      </c>
      <c r="I198">
        <v>368.17149999999998</v>
      </c>
      <c r="J198">
        <v>-443.97809999999998</v>
      </c>
      <c r="K198">
        <v>1.108565</v>
      </c>
      <c r="L198">
        <v>368.13959999999997</v>
      </c>
      <c r="M198">
        <v>0.99977229999999995</v>
      </c>
      <c r="N198">
        <v>0</v>
      </c>
      <c r="O198">
        <v>1.8836200000000001E-2</v>
      </c>
      <c r="P198">
        <v>0.98085330000000004</v>
      </c>
      <c r="Q198">
        <v>0.18621019999999999</v>
      </c>
      <c r="R198">
        <v>-5.7035519999999999E-2</v>
      </c>
      <c r="S198">
        <v>3.1242070000000002</v>
      </c>
      <c r="T198">
        <v>-0.29125709999999999</v>
      </c>
      <c r="U198">
        <v>0.1376648</v>
      </c>
      <c r="V198">
        <v>7.5523489999999999E-2</v>
      </c>
      <c r="W198">
        <v>0.19603670000000001</v>
      </c>
      <c r="X198">
        <v>0.97768390000000005</v>
      </c>
      <c r="Y198">
        <v>-2.5167109999999999E-2</v>
      </c>
      <c r="Z198">
        <v>-5.8119669999999999E-4</v>
      </c>
      <c r="AA198">
        <v>0.99968310000000005</v>
      </c>
      <c r="AB198">
        <v>32</v>
      </c>
      <c r="AC198">
        <v>0.53789999999997895</v>
      </c>
      <c r="AD198">
        <v>-8.1062999999999802E-2</v>
      </c>
      <c r="AE198">
        <v>3.1900000000007298E-2</v>
      </c>
      <c r="AF198">
        <v>-2.1280230300572099E-2</v>
      </c>
      <c r="AG198">
        <v>-8.1062999999999802E-2</v>
      </c>
      <c r="AH198">
        <v>0.52649008820896503</v>
      </c>
      <c r="AI198">
        <v>98.745991062501503</v>
      </c>
      <c r="AJ198">
        <v>92.314581201771503</v>
      </c>
      <c r="AK198">
        <v>0.53311900280606095</v>
      </c>
      <c r="AL198">
        <v>78.694708883406307</v>
      </c>
      <c r="AM198">
        <v>85.582824940018597</v>
      </c>
      <c r="AN198">
        <v>0.99999999680394003</v>
      </c>
    </row>
    <row r="199" spans="1:40" x14ac:dyDescent="0.25">
      <c r="A199" t="str">
        <f>"20190312164441143"</f>
        <v>20190312164441143</v>
      </c>
      <c r="B199" t="str">
        <f>"1552380281131429"</f>
        <v>1552380281131429</v>
      </c>
      <c r="C199" t="s">
        <v>40</v>
      </c>
      <c r="D199">
        <v>4.486148</v>
      </c>
      <c r="E199">
        <v>0.48449829999999999</v>
      </c>
      <c r="F199" t="s">
        <v>41</v>
      </c>
      <c r="G199">
        <v>-443.14839999999998</v>
      </c>
      <c r="H199">
        <v>1.029212</v>
      </c>
      <c r="I199">
        <v>368.17579999999998</v>
      </c>
      <c r="J199">
        <v>-443.66250000000002</v>
      </c>
      <c r="K199">
        <v>1.1085799999999999</v>
      </c>
      <c r="L199">
        <v>368.14550000000003</v>
      </c>
      <c r="M199">
        <v>0.99976940000000003</v>
      </c>
      <c r="N199">
        <v>0</v>
      </c>
      <c r="O199">
        <v>1.8842899999999999E-2</v>
      </c>
      <c r="P199">
        <v>0.98147899999999999</v>
      </c>
      <c r="Q199">
        <v>0.18300069999999999</v>
      </c>
      <c r="R199">
        <v>-5.665473E-2</v>
      </c>
      <c r="S199">
        <v>3.1232600000000001</v>
      </c>
      <c r="T199">
        <v>-0.29875119999999999</v>
      </c>
      <c r="U199">
        <v>0.1369629</v>
      </c>
      <c r="V199">
        <v>7.5153910000000004E-2</v>
      </c>
      <c r="W199">
        <v>0.1930915</v>
      </c>
      <c r="X199">
        <v>0.97829829999999995</v>
      </c>
      <c r="Y199">
        <v>-2.4949030000000001E-2</v>
      </c>
      <c r="Z199">
        <v>-6.0731239999999996E-4</v>
      </c>
      <c r="AA199">
        <v>0.99968860000000004</v>
      </c>
      <c r="AB199">
        <v>32</v>
      </c>
      <c r="AC199">
        <v>0.51410000000004097</v>
      </c>
      <c r="AD199">
        <v>-7.93679999999998E-2</v>
      </c>
      <c r="AE199">
        <v>3.02999999999542E-2</v>
      </c>
      <c r="AF199">
        <v>-2.0128881448959898E-2</v>
      </c>
      <c r="AG199">
        <v>-7.93679999999998E-2</v>
      </c>
      <c r="AH199">
        <v>0.50264123959159401</v>
      </c>
      <c r="AI199">
        <v>98.965956712865605</v>
      </c>
      <c r="AJ199">
        <v>92.293253994098606</v>
      </c>
      <c r="AK199">
        <v>0.50926679356753701</v>
      </c>
      <c r="AL199">
        <v>78.866744154896907</v>
      </c>
      <c r="AM199">
        <v>85.607105586139696</v>
      </c>
      <c r="AN199">
        <v>1.00000000067171</v>
      </c>
    </row>
    <row r="200" spans="1:40" x14ac:dyDescent="0.25">
      <c r="A200" t="str">
        <f>"20190312164441166"</f>
        <v>20190312164441166</v>
      </c>
      <c r="B200" t="str">
        <f>"1552380281161686"</f>
        <v>1552380281161686</v>
      </c>
      <c r="C200" t="s">
        <v>40</v>
      </c>
      <c r="D200">
        <v>4.6044320000000001</v>
      </c>
      <c r="E200">
        <v>0.48731780000000002</v>
      </c>
      <c r="F200" t="s">
        <v>41</v>
      </c>
      <c r="G200">
        <v>-442.85289999999998</v>
      </c>
      <c r="H200">
        <v>1.0421</v>
      </c>
      <c r="I200">
        <v>368.14150000000001</v>
      </c>
      <c r="J200">
        <v>-443.33479999999997</v>
      </c>
      <c r="K200">
        <v>1.10859</v>
      </c>
      <c r="L200">
        <v>368.15170000000001</v>
      </c>
      <c r="M200">
        <v>0.99976690000000001</v>
      </c>
      <c r="N200">
        <v>0</v>
      </c>
      <c r="O200">
        <v>1.8838870000000001E-2</v>
      </c>
      <c r="P200">
        <v>0.98194349999999997</v>
      </c>
      <c r="Q200">
        <v>0.1806441</v>
      </c>
      <c r="R200">
        <v>-5.6165619999999999E-2</v>
      </c>
      <c r="S200">
        <v>3.1033629999999999</v>
      </c>
      <c r="T200">
        <v>-0.25510319999999997</v>
      </c>
      <c r="U200">
        <v>-1.394653E-2</v>
      </c>
      <c r="V200">
        <v>7.4666280000000002E-2</v>
      </c>
      <c r="W200">
        <v>0.19097210000000001</v>
      </c>
      <c r="X200">
        <v>0.9787515</v>
      </c>
      <c r="Y200">
        <v>2.3191119999999999E-2</v>
      </c>
      <c r="Z200">
        <v>-2.4975850000000001E-3</v>
      </c>
      <c r="AA200">
        <v>0.9997279</v>
      </c>
      <c r="AB200">
        <v>32</v>
      </c>
      <c r="AC200">
        <v>0.481899999999996</v>
      </c>
      <c r="AD200">
        <v>-6.6489999999999896E-2</v>
      </c>
      <c r="AE200">
        <v>-1.0199999999997499E-2</v>
      </c>
      <c r="AF200">
        <v>1.8917180729637301E-2</v>
      </c>
      <c r="AG200">
        <v>-6.6489999999999896E-2</v>
      </c>
      <c r="AH200">
        <v>0.47262888854067098</v>
      </c>
      <c r="AI200">
        <v>98.001562753743698</v>
      </c>
      <c r="AJ200">
        <v>87.707934500000704</v>
      </c>
      <c r="AK200">
        <v>0.477657666231735</v>
      </c>
      <c r="AL200">
        <v>78.990479143624299</v>
      </c>
      <c r="AM200">
        <v>85.637511162482596</v>
      </c>
      <c r="AN200">
        <v>0.999999947549847</v>
      </c>
    </row>
    <row r="201" spans="1:40" x14ac:dyDescent="0.25">
      <c r="A201" t="str">
        <f>"20190312164441189"</f>
        <v>20190312164441189</v>
      </c>
      <c r="B201" t="str">
        <f>"1552380281182183"</f>
        <v>1552380281182183</v>
      </c>
      <c r="C201" t="s">
        <v>40</v>
      </c>
      <c r="D201">
        <v>4.4323800000000002</v>
      </c>
      <c r="E201">
        <v>0.48687730000000001</v>
      </c>
      <c r="F201" t="s">
        <v>41</v>
      </c>
      <c r="G201">
        <v>-442.5609</v>
      </c>
      <c r="H201">
        <v>1.044251</v>
      </c>
      <c r="I201">
        <v>368.14280000000002</v>
      </c>
      <c r="J201">
        <v>-443.0018</v>
      </c>
      <c r="K201">
        <v>1.1086009999999999</v>
      </c>
      <c r="L201">
        <v>368.15800000000002</v>
      </c>
      <c r="M201">
        <v>0.99976489999999996</v>
      </c>
      <c r="N201">
        <v>0</v>
      </c>
      <c r="O201">
        <v>1.8830220000000002E-2</v>
      </c>
      <c r="P201">
        <v>0.98240139999999998</v>
      </c>
      <c r="Q201">
        <v>0.17834820000000001</v>
      </c>
      <c r="R201">
        <v>-5.5492909999999999E-2</v>
      </c>
      <c r="S201">
        <v>3.1006469999999999</v>
      </c>
      <c r="T201">
        <v>-0.25804919999999998</v>
      </c>
      <c r="U201">
        <v>-3.4545899999999997E-2</v>
      </c>
      <c r="V201">
        <v>7.3993619999999996E-2</v>
      </c>
      <c r="W201">
        <v>0.1888859</v>
      </c>
      <c r="X201">
        <v>0.9792073</v>
      </c>
      <c r="Y201">
        <v>2.980087E-2</v>
      </c>
      <c r="Z201">
        <v>-2.8023430000000001E-3</v>
      </c>
      <c r="AA201">
        <v>0.999552</v>
      </c>
      <c r="AB201">
        <v>32</v>
      </c>
      <c r="AC201">
        <v>0.44089999999999901</v>
      </c>
      <c r="AD201">
        <v>-6.4349999999999893E-2</v>
      </c>
      <c r="AE201">
        <v>-1.51999999999929E-2</v>
      </c>
      <c r="AF201">
        <v>2.3010445724810001E-2</v>
      </c>
      <c r="AG201">
        <v>-6.4349999999999893E-2</v>
      </c>
      <c r="AH201">
        <v>0.43135777973282902</v>
      </c>
      <c r="AI201">
        <v>98.472945891969303</v>
      </c>
      <c r="AJ201">
        <v>86.946495306120696</v>
      </c>
      <c r="AK201">
        <v>0.43673783583345499</v>
      </c>
      <c r="AL201">
        <v>79.112225573202707</v>
      </c>
      <c r="AM201">
        <v>85.678667440744505</v>
      </c>
      <c r="AN201">
        <v>0.99999993769640005</v>
      </c>
    </row>
    <row r="202" spans="1:40" x14ac:dyDescent="0.25">
      <c r="A202" t="str">
        <f>"20190312164441212"</f>
        <v>20190312164441212</v>
      </c>
      <c r="B202" t="str">
        <f>"1552380281201702"</f>
        <v>1552380281201702</v>
      </c>
      <c r="C202" t="s">
        <v>40</v>
      </c>
      <c r="D202">
        <v>4.4675529999999997</v>
      </c>
      <c r="E202">
        <v>0.4868364</v>
      </c>
      <c r="F202" t="s">
        <v>41</v>
      </c>
      <c r="G202">
        <v>-442.26690000000002</v>
      </c>
      <c r="H202">
        <v>1.0481419999999999</v>
      </c>
      <c r="I202">
        <v>368.15050000000002</v>
      </c>
      <c r="J202">
        <v>-442.67419999999998</v>
      </c>
      <c r="K202">
        <v>1.1085780000000001</v>
      </c>
      <c r="L202">
        <v>368.16419999999999</v>
      </c>
      <c r="M202">
        <v>0.99976410000000004</v>
      </c>
      <c r="N202">
        <v>0</v>
      </c>
      <c r="O202">
        <v>1.8820569999999998E-2</v>
      </c>
      <c r="P202">
        <v>0.98269930000000005</v>
      </c>
      <c r="Q202">
        <v>0.17688980000000001</v>
      </c>
      <c r="R202">
        <v>-5.4883469999999997E-2</v>
      </c>
      <c r="S202">
        <v>3.0983890000000001</v>
      </c>
      <c r="T202">
        <v>-0.25526549999999998</v>
      </c>
      <c r="U202">
        <v>-2.990723E-2</v>
      </c>
      <c r="V202">
        <v>7.3381450000000001E-2</v>
      </c>
      <c r="W202">
        <v>0.1875086</v>
      </c>
      <c r="X202">
        <v>0.97951809999999995</v>
      </c>
      <c r="Y202">
        <v>2.8311469999999998E-2</v>
      </c>
      <c r="Z202">
        <v>-2.7122029999999998E-3</v>
      </c>
      <c r="AA202">
        <v>0.99959549999999997</v>
      </c>
      <c r="AB202">
        <v>32</v>
      </c>
      <c r="AC202">
        <v>0.40729999999996302</v>
      </c>
      <c r="AD202">
        <v>-6.0436000000000101E-2</v>
      </c>
      <c r="AE202">
        <v>-1.3699999999971599E-2</v>
      </c>
      <c r="AF202">
        <v>2.0903915696092502E-2</v>
      </c>
      <c r="AG202">
        <v>-6.0436000000000101E-2</v>
      </c>
      <c r="AH202">
        <v>0.398212368987788</v>
      </c>
      <c r="AI202">
        <v>98.618136851129293</v>
      </c>
      <c r="AJ202">
        <v>86.995051143804702</v>
      </c>
      <c r="AK202">
        <v>0.40331448598121999</v>
      </c>
      <c r="AL202">
        <v>79.192575596363</v>
      </c>
      <c r="AM202">
        <v>85.715640070044401</v>
      </c>
      <c r="AN202">
        <v>1.0000000102528299</v>
      </c>
    </row>
    <row r="203" spans="1:40" x14ac:dyDescent="0.25">
      <c r="A203" t="str">
        <f>"20190312164441232"</f>
        <v>20190312164441232</v>
      </c>
      <c r="B203" t="str">
        <f>"1552380281222201"</f>
        <v>1552380281222201</v>
      </c>
      <c r="C203" t="s">
        <v>40</v>
      </c>
      <c r="D203">
        <v>4.4388110000000003</v>
      </c>
      <c r="E203">
        <v>0.48715439999999999</v>
      </c>
      <c r="F203" t="s">
        <v>41</v>
      </c>
      <c r="G203">
        <v>-441.69589999999999</v>
      </c>
      <c r="H203">
        <v>1.028983</v>
      </c>
      <c r="I203">
        <v>368.15519999999998</v>
      </c>
      <c r="J203">
        <v>-442.36099999999999</v>
      </c>
      <c r="K203">
        <v>1.1083050000000001</v>
      </c>
      <c r="L203">
        <v>368.17009999999999</v>
      </c>
      <c r="M203">
        <v>0.99977360000000004</v>
      </c>
      <c r="N203">
        <v>0</v>
      </c>
      <c r="O203">
        <v>1.881093E-2</v>
      </c>
      <c r="P203">
        <v>0.98302080000000003</v>
      </c>
      <c r="Q203">
        <v>0.17525879999999999</v>
      </c>
      <c r="R203">
        <v>-5.4354630000000001E-2</v>
      </c>
      <c r="S203">
        <v>3.0966490000000002</v>
      </c>
      <c r="T203">
        <v>-0.25208540000000002</v>
      </c>
      <c r="U203">
        <v>-2.7832030000000001E-2</v>
      </c>
      <c r="V203">
        <v>7.2849360000000002E-2</v>
      </c>
      <c r="W203">
        <v>0.1850087</v>
      </c>
      <c r="X203">
        <v>0.98003300000000004</v>
      </c>
      <c r="Y203">
        <v>2.7643279999999999E-2</v>
      </c>
      <c r="Z203">
        <v>-2.6520839999999999E-3</v>
      </c>
      <c r="AA203">
        <v>0.99961440000000001</v>
      </c>
      <c r="AB203">
        <v>32</v>
      </c>
      <c r="AC203">
        <v>0.66509999999999503</v>
      </c>
      <c r="AD203">
        <v>-7.9321999999999795E-2</v>
      </c>
      <c r="AE203">
        <v>-1.4900000000011401E-2</v>
      </c>
      <c r="AF203">
        <v>2.7024929167291701E-2</v>
      </c>
      <c r="AG203">
        <v>-7.9321999999999795E-2</v>
      </c>
      <c r="AH203">
        <v>0.65538467140805001</v>
      </c>
      <c r="AI203">
        <v>96.8952084175083</v>
      </c>
      <c r="AJ203">
        <v>87.638733811177602</v>
      </c>
      <c r="AK203">
        <v>0.66072035990813405</v>
      </c>
      <c r="AL203">
        <v>79.338359992406296</v>
      </c>
      <c r="AM203">
        <v>85.748818109829401</v>
      </c>
      <c r="AN203">
        <v>0.99999996470854902</v>
      </c>
    </row>
    <row r="204" spans="1:40" x14ac:dyDescent="0.25">
      <c r="A204" t="str">
        <f>"20190312164441254"</f>
        <v>20190312164441254</v>
      </c>
      <c r="B204" t="str">
        <f>"1552380281251478"</f>
        <v>1552380281251478</v>
      </c>
      <c r="C204" t="s">
        <v>40</v>
      </c>
      <c r="D204">
        <v>4.5910349999999998</v>
      </c>
      <c r="E204">
        <v>0.4874754</v>
      </c>
      <c r="F204" t="s">
        <v>41</v>
      </c>
      <c r="G204">
        <v>-441.39949999999999</v>
      </c>
      <c r="H204">
        <v>1.0296350000000001</v>
      </c>
      <c r="I204">
        <v>368.16109999999998</v>
      </c>
      <c r="J204">
        <v>-442.04129999999998</v>
      </c>
      <c r="K204">
        <v>1.1080019999999999</v>
      </c>
      <c r="L204">
        <v>368.17610000000002</v>
      </c>
      <c r="M204">
        <v>0.99978480000000003</v>
      </c>
      <c r="N204">
        <v>0</v>
      </c>
      <c r="O204">
        <v>1.8800830000000001E-2</v>
      </c>
      <c r="P204">
        <v>0.98342059999999998</v>
      </c>
      <c r="Q204">
        <v>0.17313899999999999</v>
      </c>
      <c r="R204">
        <v>-5.3919599999999998E-2</v>
      </c>
      <c r="S204">
        <v>3.0954899999999999</v>
      </c>
      <c r="T204">
        <v>-0.25344169999999999</v>
      </c>
      <c r="U204">
        <v>-2.7984620000000002E-2</v>
      </c>
      <c r="V204">
        <v>7.2411299999999998E-2</v>
      </c>
      <c r="W204">
        <v>0.18175520000000001</v>
      </c>
      <c r="X204">
        <v>0.98067409999999999</v>
      </c>
      <c r="Y204">
        <v>2.7683739999999998E-2</v>
      </c>
      <c r="Z204">
        <v>-2.66811E-3</v>
      </c>
      <c r="AA204">
        <v>0.99961319999999998</v>
      </c>
      <c r="AB204">
        <v>33</v>
      </c>
      <c r="AC204">
        <v>0.64179999999998905</v>
      </c>
      <c r="AD204">
        <v>-7.8367000000000006E-2</v>
      </c>
      <c r="AE204">
        <v>-1.5000000000043199E-2</v>
      </c>
      <c r="AF204">
        <v>2.6666809751360099E-2</v>
      </c>
      <c r="AG204">
        <v>-7.8367000000000006E-2</v>
      </c>
      <c r="AH204">
        <v>0.63198697798807102</v>
      </c>
      <c r="AI204">
        <v>97.062429250799596</v>
      </c>
      <c r="AJ204">
        <v>87.583827040702403</v>
      </c>
      <c r="AK204">
        <v>0.63738531970685497</v>
      </c>
      <c r="AL204">
        <v>79.527988250375302</v>
      </c>
      <c r="AM204">
        <v>85.777041063220594</v>
      </c>
      <c r="AN204">
        <v>1.0000000197527601</v>
      </c>
    </row>
    <row r="205" spans="1:40" x14ac:dyDescent="0.25">
      <c r="A205" t="str">
        <f>"20190312164441277"</f>
        <v>20190312164441277</v>
      </c>
      <c r="B205" t="str">
        <f>"1552380281271974"</f>
        <v>1552380281271974</v>
      </c>
      <c r="C205" t="s">
        <v>40</v>
      </c>
      <c r="D205">
        <v>4.4068079999999998</v>
      </c>
      <c r="E205">
        <v>0.48729440000000002</v>
      </c>
      <c r="F205" t="s">
        <v>41</v>
      </c>
      <c r="G205">
        <v>-441.10039999999998</v>
      </c>
      <c r="H205">
        <v>1.031628</v>
      </c>
      <c r="I205">
        <v>368.16640000000001</v>
      </c>
      <c r="J205">
        <v>-441.697</v>
      </c>
      <c r="K205">
        <v>1.1077239999999999</v>
      </c>
      <c r="L205">
        <v>368.1825</v>
      </c>
      <c r="M205">
        <v>0.99979530000000005</v>
      </c>
      <c r="N205">
        <v>0</v>
      </c>
      <c r="O205">
        <v>1.8788699999999998E-2</v>
      </c>
      <c r="P205">
        <v>0.98401669999999997</v>
      </c>
      <c r="Q205">
        <v>0.17001740000000001</v>
      </c>
      <c r="R205">
        <v>-5.2964009999999999E-2</v>
      </c>
      <c r="S205">
        <v>3.0931700000000002</v>
      </c>
      <c r="T205">
        <v>-0.25133090000000002</v>
      </c>
      <c r="U205">
        <v>-3.0059809999999999E-2</v>
      </c>
      <c r="V205">
        <v>7.1454699999999996E-2</v>
      </c>
      <c r="W205">
        <v>0.17740439999999999</v>
      </c>
      <c r="X205">
        <v>0.98154059999999999</v>
      </c>
      <c r="Y205">
        <v>2.8348959999999999E-2</v>
      </c>
      <c r="Z205">
        <v>-2.6739149999999998E-3</v>
      </c>
      <c r="AA205">
        <v>0.99959450000000005</v>
      </c>
      <c r="AB205">
        <v>33</v>
      </c>
      <c r="AC205">
        <v>0.59659999999996605</v>
      </c>
      <c r="AD205">
        <v>-7.60959999999999E-2</v>
      </c>
      <c r="AE205">
        <v>-1.60999999999944E-2</v>
      </c>
      <c r="AF205">
        <v>2.6869986075464002E-2</v>
      </c>
      <c r="AG205">
        <v>-7.60959999999999E-2</v>
      </c>
      <c r="AH205">
        <v>0.58665491186850705</v>
      </c>
      <c r="AI205">
        <v>97.383012555591307</v>
      </c>
      <c r="AJ205">
        <v>87.377569744137006</v>
      </c>
      <c r="AK205">
        <v>0.59217951922296497</v>
      </c>
      <c r="AL205">
        <v>79.781390428341297</v>
      </c>
      <c r="AM205">
        <v>85.836297211416607</v>
      </c>
      <c r="AN205">
        <v>1.0000000223698999</v>
      </c>
    </row>
    <row r="206" spans="1:40" x14ac:dyDescent="0.25">
      <c r="A206" t="str">
        <f>"20190312164441311"</f>
        <v>20190312164441311</v>
      </c>
      <c r="B206" t="str">
        <f>"1552380281302230"</f>
        <v>1552380281302230</v>
      </c>
      <c r="C206" t="s">
        <v>40</v>
      </c>
      <c r="D206">
        <v>4.4291019999999897</v>
      </c>
      <c r="E206">
        <v>0.487321</v>
      </c>
      <c r="F206" t="s">
        <v>41</v>
      </c>
      <c r="G206">
        <v>-440.79919999999998</v>
      </c>
      <c r="H206">
        <v>1.03302</v>
      </c>
      <c r="I206">
        <v>368.17509999999999</v>
      </c>
      <c r="J206">
        <v>-441.19119999999998</v>
      </c>
      <c r="K206">
        <v>1.107416</v>
      </c>
      <c r="L206">
        <v>368.19200000000001</v>
      </c>
      <c r="M206">
        <v>0.99980749999999996</v>
      </c>
      <c r="N206">
        <v>0</v>
      </c>
      <c r="O206">
        <v>1.8770309999999998E-2</v>
      </c>
      <c r="P206">
        <v>0.9843269</v>
      </c>
      <c r="Q206">
        <v>0.16835829999999999</v>
      </c>
      <c r="R206">
        <v>-5.2500789999999999E-2</v>
      </c>
      <c r="S206">
        <v>3.0917970000000001</v>
      </c>
      <c r="T206">
        <v>-0.25725219999999999</v>
      </c>
      <c r="U206">
        <v>-2.5451660000000001E-2</v>
      </c>
      <c r="V206">
        <v>7.0978219999999995E-2</v>
      </c>
      <c r="W206">
        <v>0.1739908</v>
      </c>
      <c r="X206">
        <v>0.982186</v>
      </c>
      <c r="Y206">
        <v>2.6842640000000001E-2</v>
      </c>
      <c r="Z206">
        <v>-2.673819E-3</v>
      </c>
      <c r="AA206">
        <v>0.99963610000000003</v>
      </c>
      <c r="AB206">
        <v>33</v>
      </c>
      <c r="AC206">
        <v>0.39199999999999502</v>
      </c>
      <c r="AD206">
        <v>-7.4395999999999907E-2</v>
      </c>
      <c r="AE206">
        <v>-1.68999999999641E-2</v>
      </c>
      <c r="AF206">
        <v>2.34133520639619E-2</v>
      </c>
      <c r="AG206">
        <v>-7.4395999999999907E-2</v>
      </c>
      <c r="AH206">
        <v>0.37802310352129498</v>
      </c>
      <c r="AI206">
        <v>101.112920227153</v>
      </c>
      <c r="AJ206">
        <v>86.455838752583404</v>
      </c>
      <c r="AK206">
        <v>0.38598499539067899</v>
      </c>
      <c r="AL206">
        <v>79.980065964282701</v>
      </c>
      <c r="AM206">
        <v>85.866673663537696</v>
      </c>
      <c r="AN206">
        <v>1.0000000223975001</v>
      </c>
    </row>
    <row r="207" spans="1:40" x14ac:dyDescent="0.25">
      <c r="A207" t="str">
        <f>"20190312164441333"</f>
        <v>20190312164441333</v>
      </c>
      <c r="B207" t="str">
        <f>"1552380281321753"</f>
        <v>1552380281321753</v>
      </c>
      <c r="C207" t="s">
        <v>40</v>
      </c>
      <c r="D207">
        <v>4.576263</v>
      </c>
      <c r="E207">
        <v>0.4875988</v>
      </c>
      <c r="F207" t="s">
        <v>41</v>
      </c>
      <c r="G207">
        <v>-440.19529999999997</v>
      </c>
      <c r="H207">
        <v>1.023479</v>
      </c>
      <c r="I207">
        <v>368.18459999999999</v>
      </c>
      <c r="J207">
        <v>-440.84820000000002</v>
      </c>
      <c r="K207">
        <v>1.107254</v>
      </c>
      <c r="L207">
        <v>368.19839999999999</v>
      </c>
      <c r="M207">
        <v>0.99981339999999996</v>
      </c>
      <c r="N207">
        <v>0</v>
      </c>
      <c r="O207">
        <v>1.8758859999999999E-2</v>
      </c>
      <c r="P207">
        <v>0.98450839999999995</v>
      </c>
      <c r="Q207">
        <v>0.1673433</v>
      </c>
      <c r="R207">
        <v>-5.2342390000000003E-2</v>
      </c>
      <c r="S207">
        <v>3.0910950000000001</v>
      </c>
      <c r="T207">
        <v>-0.26056780000000002</v>
      </c>
      <c r="U207">
        <v>-2.310181E-2</v>
      </c>
      <c r="V207">
        <v>7.0812029999999998E-2</v>
      </c>
      <c r="W207">
        <v>0.171905</v>
      </c>
      <c r="X207">
        <v>0.98256520000000003</v>
      </c>
      <c r="Y207">
        <v>2.607168E-2</v>
      </c>
      <c r="Z207">
        <v>-2.675368E-3</v>
      </c>
      <c r="AA207">
        <v>0.99965649999999995</v>
      </c>
      <c r="AB207">
        <v>34</v>
      </c>
      <c r="AC207">
        <v>0.652900000000045</v>
      </c>
      <c r="AD207">
        <v>-8.3775000000000099E-2</v>
      </c>
      <c r="AE207">
        <v>-1.3800000000003299E-2</v>
      </c>
      <c r="AF207">
        <v>2.5623681532147499E-2</v>
      </c>
      <c r="AG207">
        <v>-8.3775000000000099E-2</v>
      </c>
      <c r="AH207">
        <v>0.64196169439454698</v>
      </c>
      <c r="AI207">
        <v>97.429144790097695</v>
      </c>
      <c r="AJ207">
        <v>87.714271894752798</v>
      </c>
      <c r="AK207">
        <v>0.64791175382931498</v>
      </c>
      <c r="AL207">
        <v>80.1014019381156</v>
      </c>
      <c r="AM207">
        <v>85.877904061715896</v>
      </c>
      <c r="AN207">
        <v>1.0000000224343799</v>
      </c>
    </row>
    <row r="208" spans="1:40" x14ac:dyDescent="0.25">
      <c r="A208" t="str">
        <f>"20190312164441353"</f>
        <v>20190312164441353</v>
      </c>
      <c r="B208" t="str">
        <f>"1552380281342249"</f>
        <v>1552380281342249</v>
      </c>
      <c r="C208" t="s">
        <v>40</v>
      </c>
      <c r="D208">
        <v>4.3979710000000001</v>
      </c>
      <c r="E208">
        <v>0.48759530000000001</v>
      </c>
      <c r="F208" t="s">
        <v>41</v>
      </c>
      <c r="G208">
        <v>-439.8861</v>
      </c>
      <c r="H208">
        <v>1.026151</v>
      </c>
      <c r="I208">
        <v>368.19040000000001</v>
      </c>
      <c r="J208">
        <v>-440.52120000000002</v>
      </c>
      <c r="K208">
        <v>1.1070329999999999</v>
      </c>
      <c r="L208">
        <v>368.20460000000003</v>
      </c>
      <c r="M208">
        <v>0.99981699999999996</v>
      </c>
      <c r="N208">
        <v>0</v>
      </c>
      <c r="O208">
        <v>1.8748379999999999E-2</v>
      </c>
      <c r="P208">
        <v>0.98459019999999997</v>
      </c>
      <c r="Q208">
        <v>0.1668887</v>
      </c>
      <c r="R208">
        <v>-5.2253319999999999E-2</v>
      </c>
      <c r="S208">
        <v>3.090179</v>
      </c>
      <c r="T208">
        <v>-0.26066030000000001</v>
      </c>
      <c r="U208">
        <v>-2.4597170000000002E-2</v>
      </c>
      <c r="V208">
        <v>7.0714490000000005E-2</v>
      </c>
      <c r="W208">
        <v>0.17066809999999999</v>
      </c>
      <c r="X208">
        <v>0.98278779999999999</v>
      </c>
      <c r="Y208">
        <v>2.6545220000000001E-2</v>
      </c>
      <c r="Z208">
        <v>-2.69615E-3</v>
      </c>
      <c r="AA208">
        <v>0.99964399999999998</v>
      </c>
      <c r="AB208">
        <v>34</v>
      </c>
      <c r="AC208">
        <v>0.63510000000002198</v>
      </c>
      <c r="AD208">
        <v>-8.0881999999999898E-2</v>
      </c>
      <c r="AE208">
        <v>-1.42000000000166E-2</v>
      </c>
      <c r="AF208">
        <v>2.5688260960180499E-2</v>
      </c>
      <c r="AG208">
        <v>-8.0881999999999898E-2</v>
      </c>
      <c r="AH208">
        <v>0.62459696950910204</v>
      </c>
      <c r="AI208">
        <v>97.372276351375504</v>
      </c>
      <c r="AJ208">
        <v>87.644881439843104</v>
      </c>
      <c r="AK208">
        <v>0.63033575100506001</v>
      </c>
      <c r="AL208">
        <v>80.173333933113099</v>
      </c>
      <c r="AM208">
        <v>85.884491671873903</v>
      </c>
      <c r="AN208">
        <v>0.99999999964120501</v>
      </c>
    </row>
    <row r="209" spans="1:40" x14ac:dyDescent="0.25">
      <c r="A209" t="str">
        <f>"20190312164441378"</f>
        <v>20190312164441378</v>
      </c>
      <c r="B209" t="str">
        <f>"1552380281371526"</f>
        <v>1552380281371526</v>
      </c>
      <c r="C209" t="s">
        <v>40</v>
      </c>
      <c r="D209">
        <v>4.3684000000000003</v>
      </c>
      <c r="E209">
        <v>0.48753039999999997</v>
      </c>
      <c r="F209" t="s">
        <v>41</v>
      </c>
      <c r="G209">
        <v>-439.57499999999999</v>
      </c>
      <c r="H209">
        <v>1.027763</v>
      </c>
      <c r="I209">
        <v>368.19709999999998</v>
      </c>
      <c r="J209">
        <v>-440.14789999999999</v>
      </c>
      <c r="K209">
        <v>1.1066229999999999</v>
      </c>
      <c r="L209">
        <v>368.2115</v>
      </c>
      <c r="M209">
        <v>0.99981900000000001</v>
      </c>
      <c r="N209">
        <v>0</v>
      </c>
      <c r="O209">
        <v>1.8737090000000001E-2</v>
      </c>
      <c r="P209">
        <v>0.98483500000000002</v>
      </c>
      <c r="Q209">
        <v>0.1654011</v>
      </c>
      <c r="R209">
        <v>-5.2369510000000001E-2</v>
      </c>
      <c r="S209">
        <v>3.0895389999999998</v>
      </c>
      <c r="T209">
        <v>-0.258932</v>
      </c>
      <c r="U209">
        <v>-2.3712159999999999E-2</v>
      </c>
      <c r="V209">
        <v>7.0824250000000005E-2</v>
      </c>
      <c r="W209">
        <v>0.16862339999999901</v>
      </c>
      <c r="X209">
        <v>0.98313280000000003</v>
      </c>
      <c r="Y209">
        <v>2.6252339999999999E-2</v>
      </c>
      <c r="Z209">
        <v>-2.6656919999999999E-3</v>
      </c>
      <c r="AA209">
        <v>0.99965179999999998</v>
      </c>
      <c r="AB209">
        <v>35</v>
      </c>
      <c r="AC209">
        <v>0.57290000000000396</v>
      </c>
      <c r="AD209">
        <v>-7.8859999999999902E-2</v>
      </c>
      <c r="AE209">
        <v>-1.44000000000232E-2</v>
      </c>
      <c r="AF209">
        <v>2.4664960729835098E-2</v>
      </c>
      <c r="AG209">
        <v>-7.8859999999999902E-2</v>
      </c>
      <c r="AH209">
        <v>0.56188982493463802</v>
      </c>
      <c r="AI209">
        <v>97.981566849279403</v>
      </c>
      <c r="AJ209">
        <v>87.486533051178796</v>
      </c>
      <c r="AK209">
        <v>0.56793259745579205</v>
      </c>
      <c r="AL209">
        <v>80.292209868133895</v>
      </c>
      <c r="AM209">
        <v>85.879567217758805</v>
      </c>
      <c r="AN209">
        <v>1.0000000139257299</v>
      </c>
    </row>
    <row r="210" spans="1:40" x14ac:dyDescent="0.25">
      <c r="A210" t="str">
        <f>"20190312164441401"</f>
        <v>20190312164441401</v>
      </c>
      <c r="B210" t="str">
        <f>"1552380281392023"</f>
        <v>1552380281392023</v>
      </c>
      <c r="C210" t="s">
        <v>40</v>
      </c>
      <c r="D210">
        <v>4.578862</v>
      </c>
      <c r="E210">
        <v>0.48755320000000002</v>
      </c>
      <c r="F210" t="s">
        <v>41</v>
      </c>
      <c r="G210">
        <v>-439.25979999999998</v>
      </c>
      <c r="H210">
        <v>1.032449</v>
      </c>
      <c r="I210">
        <v>368.20429999999999</v>
      </c>
      <c r="J210">
        <v>-439.78230000000002</v>
      </c>
      <c r="K210">
        <v>1.106017</v>
      </c>
      <c r="L210">
        <v>368.21839999999997</v>
      </c>
      <c r="M210">
        <v>0.99981989999999998</v>
      </c>
      <c r="N210">
        <v>0</v>
      </c>
      <c r="O210">
        <v>1.872658E-2</v>
      </c>
      <c r="P210">
        <v>0.98494329999999997</v>
      </c>
      <c r="Q210">
        <v>0.1646184</v>
      </c>
      <c r="R210">
        <v>-5.2799100000000002E-2</v>
      </c>
      <c r="S210">
        <v>3.0883479999999999</v>
      </c>
      <c r="T210">
        <v>-0.25822820000000002</v>
      </c>
      <c r="U210">
        <v>-2.3498539999999998E-2</v>
      </c>
      <c r="V210">
        <v>7.124577E-2</v>
      </c>
      <c r="W210">
        <v>0.1676358</v>
      </c>
      <c r="X210">
        <v>0.98327120000000001</v>
      </c>
      <c r="Y210">
        <v>2.6176660000000001E-2</v>
      </c>
      <c r="Z210">
        <v>-2.655457E-3</v>
      </c>
      <c r="AA210">
        <v>0.99965380000000004</v>
      </c>
      <c r="AB210">
        <v>35</v>
      </c>
      <c r="AC210">
        <v>0.52250000000003605</v>
      </c>
      <c r="AD210">
        <v>-7.3567999999999995E-2</v>
      </c>
      <c r="AE210">
        <v>-1.4099999999984901E-2</v>
      </c>
      <c r="AF210">
        <v>2.3418290534850599E-2</v>
      </c>
      <c r="AG210">
        <v>-7.3567999999999995E-2</v>
      </c>
      <c r="AH210">
        <v>0.51200147012338804</v>
      </c>
      <c r="AI210">
        <v>98.168273947196695</v>
      </c>
      <c r="AJ210">
        <v>87.381189726810206</v>
      </c>
      <c r="AK210">
        <v>0.51778969897448301</v>
      </c>
      <c r="AL210">
        <v>80.349612048624394</v>
      </c>
      <c r="AM210">
        <v>85.855710505564304</v>
      </c>
      <c r="AN210">
        <v>0.999999986966986</v>
      </c>
    </row>
    <row r="211" spans="1:40" x14ac:dyDescent="0.25">
      <c r="A211" t="str">
        <f>"20190312164441424"</f>
        <v>20190312164441424</v>
      </c>
      <c r="B211" t="str">
        <f>"1552380281411542"</f>
        <v>1552380281411542</v>
      </c>
      <c r="C211" t="s">
        <v>40</v>
      </c>
      <c r="D211">
        <v>4.3603839999999998</v>
      </c>
      <c r="E211">
        <v>0.48753649999999998</v>
      </c>
      <c r="F211" t="s">
        <v>41</v>
      </c>
      <c r="G211">
        <v>-438.94260000000003</v>
      </c>
      <c r="H211">
        <v>1.036422</v>
      </c>
      <c r="I211">
        <v>368.21140000000003</v>
      </c>
      <c r="J211">
        <v>-439.4314</v>
      </c>
      <c r="K211">
        <v>1.1052109999999999</v>
      </c>
      <c r="L211">
        <v>368.22500000000002</v>
      </c>
      <c r="M211">
        <v>0.99981989999999998</v>
      </c>
      <c r="N211">
        <v>0</v>
      </c>
      <c r="O211">
        <v>1.8717020000000001E-2</v>
      </c>
      <c r="P211">
        <v>0.98499910000000002</v>
      </c>
      <c r="Q211">
        <v>0.16387699999999999</v>
      </c>
      <c r="R211">
        <v>-5.4051889999999998E-2</v>
      </c>
      <c r="S211">
        <v>3.0873110000000001</v>
      </c>
      <c r="T211">
        <v>-0.2560616</v>
      </c>
      <c r="U211">
        <v>-2.5207520000000001E-2</v>
      </c>
      <c r="V211">
        <v>7.2490570000000004E-2</v>
      </c>
      <c r="W211">
        <v>0.1670172</v>
      </c>
      <c r="X211">
        <v>0.98328550000000003</v>
      </c>
      <c r="Y211">
        <v>2.6723650000000002E-2</v>
      </c>
      <c r="Z211">
        <v>-2.6559840000000001E-3</v>
      </c>
      <c r="AA211">
        <v>0.99963930000000001</v>
      </c>
      <c r="AB211">
        <v>35</v>
      </c>
      <c r="AC211">
        <v>0.48879999999996898</v>
      </c>
      <c r="AD211">
        <v>-6.8789000000000197E-2</v>
      </c>
      <c r="AE211">
        <v>-1.35999999999967E-2</v>
      </c>
      <c r="AF211">
        <v>2.2305129789796201E-2</v>
      </c>
      <c r="AG211">
        <v>-6.8789000000000197E-2</v>
      </c>
      <c r="AH211">
        <v>0.47898092338685799</v>
      </c>
      <c r="AI211">
        <v>98.163941753232095</v>
      </c>
      <c r="AJ211">
        <v>87.333782759245295</v>
      </c>
      <c r="AK211">
        <v>0.484409093953104</v>
      </c>
      <c r="AL211">
        <v>80.385562196669198</v>
      </c>
      <c r="AM211">
        <v>85.783621844569396</v>
      </c>
      <c r="AN211">
        <v>1.0000000011725001</v>
      </c>
    </row>
    <row r="212" spans="1:40" x14ac:dyDescent="0.25">
      <c r="A212" t="str">
        <f>"20190312164441445"</f>
        <v>20190312164441445</v>
      </c>
      <c r="B212" t="str">
        <f>"1552380281441798"</f>
        <v>1552380281441798</v>
      </c>
      <c r="C212" t="s">
        <v>40</v>
      </c>
      <c r="D212">
        <v>4.3949569999999998</v>
      </c>
      <c r="E212">
        <v>0.4876817</v>
      </c>
      <c r="F212" t="s">
        <v>41</v>
      </c>
      <c r="G212">
        <v>-438.62380000000002</v>
      </c>
      <c r="H212">
        <v>1.0389170000000001</v>
      </c>
      <c r="I212">
        <v>368.21710000000002</v>
      </c>
      <c r="J212">
        <v>-439.08600000000001</v>
      </c>
      <c r="K212">
        <v>1.10422</v>
      </c>
      <c r="L212">
        <v>368.23140000000001</v>
      </c>
      <c r="M212">
        <v>0.99981830000000005</v>
      </c>
      <c r="N212">
        <v>0</v>
      </c>
      <c r="O212">
        <v>1.8707310000000001E-2</v>
      </c>
      <c r="P212">
        <v>0.98498280000000005</v>
      </c>
      <c r="Q212">
        <v>0.16377249999999999</v>
      </c>
      <c r="R212">
        <v>-5.4659819999999998E-2</v>
      </c>
      <c r="S212">
        <v>3.0863339999999999</v>
      </c>
      <c r="T212">
        <v>-0.25361820000000002</v>
      </c>
      <c r="U212">
        <v>-2.8839110000000001E-2</v>
      </c>
      <c r="V212">
        <v>7.3089470000000004E-2</v>
      </c>
      <c r="W212">
        <v>0.16736229999999999</v>
      </c>
      <c r="X212">
        <v>0.98318249999999996</v>
      </c>
      <c r="Y212">
        <v>2.789165E-2</v>
      </c>
      <c r="Z212">
        <v>-2.6786610000000001E-3</v>
      </c>
      <c r="AA212">
        <v>0.99960740000000003</v>
      </c>
      <c r="AB212">
        <v>35</v>
      </c>
      <c r="AC212">
        <v>0.462199999999995</v>
      </c>
      <c r="AD212">
        <v>-6.5302999999999806E-2</v>
      </c>
      <c r="AE212">
        <v>-1.42999999999915E-2</v>
      </c>
      <c r="AF212">
        <v>2.2495447047744602E-2</v>
      </c>
      <c r="AG212">
        <v>-6.5302999999999806E-2</v>
      </c>
      <c r="AH212">
        <v>0.45282098225696299</v>
      </c>
      <c r="AI212">
        <v>98.196289476481994</v>
      </c>
      <c r="AJ212">
        <v>87.155972263815201</v>
      </c>
      <c r="AK212">
        <v>0.45805825930665101</v>
      </c>
      <c r="AL212">
        <v>80.365507318226804</v>
      </c>
      <c r="AM212">
        <v>85.748470585351001</v>
      </c>
      <c r="AN212">
        <v>1.00000001919621</v>
      </c>
    </row>
    <row r="213" spans="1:40" x14ac:dyDescent="0.25">
      <c r="A213" t="str">
        <f>"20190312164441467"</f>
        <v>20190312164441467</v>
      </c>
      <c r="B213" t="str">
        <f>"1552380281462294"</f>
        <v>1552380281462294</v>
      </c>
      <c r="C213" t="s">
        <v>40</v>
      </c>
      <c r="D213">
        <v>4.4174049999999996</v>
      </c>
      <c r="E213">
        <v>0.48781659999999999</v>
      </c>
      <c r="F213" t="s">
        <v>41</v>
      </c>
      <c r="G213">
        <v>-438.30290000000002</v>
      </c>
      <c r="H213">
        <v>1.0409040000000001</v>
      </c>
      <c r="I213">
        <v>368.22300000000001</v>
      </c>
      <c r="J213">
        <v>-438.75099999999998</v>
      </c>
      <c r="K213">
        <v>1.103102</v>
      </c>
      <c r="L213">
        <v>368.23770000000002</v>
      </c>
      <c r="M213">
        <v>0.99981520000000002</v>
      </c>
      <c r="N213">
        <v>0</v>
      </c>
      <c r="O213">
        <v>1.8693629999999999E-2</v>
      </c>
      <c r="P213">
        <v>0.9848768</v>
      </c>
      <c r="Q213">
        <v>0.16415350000000001</v>
      </c>
      <c r="R213">
        <v>-5.5420539999999997E-2</v>
      </c>
      <c r="S213">
        <v>3.0854490000000001</v>
      </c>
      <c r="T213">
        <v>-0.2496544</v>
      </c>
      <c r="U213">
        <v>-3.2348630000000003E-2</v>
      </c>
      <c r="V213">
        <v>7.3836780000000005E-2</v>
      </c>
      <c r="W213">
        <v>0.16857449999999999</v>
      </c>
      <c r="X213">
        <v>0.98291949999999995</v>
      </c>
      <c r="Y213">
        <v>2.9018720000000001E-2</v>
      </c>
      <c r="Z213">
        <v>-2.6820989999999999E-3</v>
      </c>
      <c r="AA213">
        <v>0.99957530000000006</v>
      </c>
      <c r="AB213">
        <v>35</v>
      </c>
      <c r="AC213">
        <v>0.44809999999995398</v>
      </c>
      <c r="AD213">
        <v>-6.2197999999999899E-2</v>
      </c>
      <c r="AE213">
        <v>-1.47000000000048E-2</v>
      </c>
      <c r="AF213">
        <v>2.26384364256687E-2</v>
      </c>
      <c r="AG213">
        <v>-6.2197999999999899E-2</v>
      </c>
      <c r="AH213">
        <v>0.43929236753337297</v>
      </c>
      <c r="AI213">
        <v>98.048220351938994</v>
      </c>
      <c r="AJ213">
        <v>87.0499363472791</v>
      </c>
      <c r="AK213">
        <v>0.44425091353972002</v>
      </c>
      <c r="AL213">
        <v>80.295052066252794</v>
      </c>
      <c r="AM213">
        <v>85.704017397165501</v>
      </c>
      <c r="AN213">
        <v>0.99999998780563404</v>
      </c>
    </row>
    <row r="214" spans="1:40" x14ac:dyDescent="0.25">
      <c r="A214" t="str">
        <f>"20190312164441489"</f>
        <v>20190312164441489</v>
      </c>
      <c r="B214" t="str">
        <f>"1552380281481814"</f>
        <v>1552380281481814</v>
      </c>
      <c r="C214" t="s">
        <v>40</v>
      </c>
      <c r="D214">
        <v>4.390936</v>
      </c>
      <c r="E214">
        <v>0.4876414</v>
      </c>
      <c r="F214" t="s">
        <v>41</v>
      </c>
      <c r="G214">
        <v>-437.98</v>
      </c>
      <c r="H214">
        <v>1.0418430000000001</v>
      </c>
      <c r="I214">
        <v>368.2285</v>
      </c>
      <c r="J214">
        <v>-438.37639999999999</v>
      </c>
      <c r="K214">
        <v>1.101577</v>
      </c>
      <c r="L214">
        <v>368.24470000000002</v>
      </c>
      <c r="M214">
        <v>0.99981209999999998</v>
      </c>
      <c r="N214">
        <v>0</v>
      </c>
      <c r="O214">
        <v>1.8657630000000001E-2</v>
      </c>
      <c r="P214">
        <v>0.98489709999999997</v>
      </c>
      <c r="Q214">
        <v>0.16372819999999999</v>
      </c>
      <c r="R214">
        <v>-5.6313330000000002E-2</v>
      </c>
      <c r="S214">
        <v>3.0849609999999998</v>
      </c>
      <c r="T214">
        <v>-0.245361</v>
      </c>
      <c r="U214">
        <v>-3.5064699999999997E-2</v>
      </c>
      <c r="V214">
        <v>7.4699169999999995E-2</v>
      </c>
      <c r="W214">
        <v>0.16892279999999901</v>
      </c>
      <c r="X214">
        <v>0.98279450000000002</v>
      </c>
      <c r="Y214">
        <v>2.9867089999999999E-2</v>
      </c>
      <c r="Z214">
        <v>-2.667357E-3</v>
      </c>
      <c r="AA214">
        <v>0.9995503</v>
      </c>
      <c r="AB214">
        <v>36</v>
      </c>
      <c r="AC214">
        <v>0.396399999999971</v>
      </c>
      <c r="AD214">
        <v>-5.9733999999999898E-2</v>
      </c>
      <c r="AE214">
        <v>-1.62000000000261E-2</v>
      </c>
      <c r="AF214">
        <v>2.30701665765791E-2</v>
      </c>
      <c r="AG214">
        <v>-5.9733999999999898E-2</v>
      </c>
      <c r="AH214">
        <v>0.38724979392087899</v>
      </c>
      <c r="AI214">
        <v>98.753589574737603</v>
      </c>
      <c r="AJ214">
        <v>86.590668979283706</v>
      </c>
      <c r="AK214">
        <v>0.39250832632395699</v>
      </c>
      <c r="AL214">
        <v>80.274805259591005</v>
      </c>
      <c r="AM214">
        <v>85.6534821857</v>
      </c>
      <c r="AN214">
        <v>0.999999953794388</v>
      </c>
    </row>
    <row r="215" spans="1:40" x14ac:dyDescent="0.25">
      <c r="A215" t="str">
        <f>"20190312164441513"</f>
        <v>20190312164441513</v>
      </c>
      <c r="B215" t="str">
        <f>"1552380281502310"</f>
        <v>1552380281502310</v>
      </c>
      <c r="C215" t="s">
        <v>40</v>
      </c>
      <c r="D215">
        <v>4.399394</v>
      </c>
      <c r="E215">
        <v>0.48752069999999997</v>
      </c>
      <c r="F215" t="s">
        <v>41</v>
      </c>
      <c r="G215">
        <v>-437.34019999999998</v>
      </c>
      <c r="H215">
        <v>1.0199640000000001</v>
      </c>
      <c r="I215">
        <v>368.23200000000003</v>
      </c>
      <c r="J215">
        <v>-437.99979999999999</v>
      </c>
      <c r="K215">
        <v>1.099758</v>
      </c>
      <c r="L215">
        <v>368.2516</v>
      </c>
      <c r="M215">
        <v>0.99980880000000005</v>
      </c>
      <c r="N215">
        <v>0</v>
      </c>
      <c r="O215">
        <v>1.858075E-2</v>
      </c>
      <c r="P215">
        <v>0.98503399999999997</v>
      </c>
      <c r="Q215">
        <v>0.16275789999999901</v>
      </c>
      <c r="R215">
        <v>-5.6730679999999999E-2</v>
      </c>
      <c r="S215">
        <v>3.0844119999999999</v>
      </c>
      <c r="T215">
        <v>-0.24331269999999999</v>
      </c>
      <c r="U215">
        <v>-3.5858149999999998E-2</v>
      </c>
      <c r="V215">
        <v>7.5053289999999995E-2</v>
      </c>
      <c r="W215">
        <v>0.168757399999999</v>
      </c>
      <c r="X215">
        <v>0.982796</v>
      </c>
      <c r="Y215">
        <v>3.005159E-2</v>
      </c>
      <c r="Z215">
        <v>-2.6468429999999999E-3</v>
      </c>
      <c r="AA215">
        <v>0.99954489999999996</v>
      </c>
      <c r="AB215">
        <v>36</v>
      </c>
      <c r="AC215">
        <v>0.65960000000001096</v>
      </c>
      <c r="AD215">
        <v>-7.9794000000000101E-2</v>
      </c>
      <c r="AE215">
        <v>-1.9600000000025299E-2</v>
      </c>
      <c r="AF215">
        <v>3.1393679502855203E-2</v>
      </c>
      <c r="AG215">
        <v>-7.9794000000000101E-2</v>
      </c>
      <c r="AH215">
        <v>0.649623380361251</v>
      </c>
      <c r="AI215">
        <v>96.994549067385407</v>
      </c>
      <c r="AJ215">
        <v>87.233278381369402</v>
      </c>
      <c r="AK215">
        <v>0.65525810323925504</v>
      </c>
      <c r="AL215">
        <v>80.284420636761993</v>
      </c>
      <c r="AM215">
        <v>85.632963180542504</v>
      </c>
      <c r="AN215">
        <v>1.0000000170052901</v>
      </c>
    </row>
    <row r="216" spans="1:40" x14ac:dyDescent="0.25">
      <c r="A216" t="str">
        <f>"20190312164441533"</f>
        <v>20190312164441533</v>
      </c>
      <c r="B216" t="str">
        <f>"1552380281521831"</f>
        <v>1552380281521831</v>
      </c>
      <c r="C216" t="s">
        <v>40</v>
      </c>
      <c r="D216">
        <v>4.3849169999999997</v>
      </c>
      <c r="E216">
        <v>0.48736629999999997</v>
      </c>
      <c r="F216" t="s">
        <v>41</v>
      </c>
      <c r="G216">
        <v>-437.01139999999998</v>
      </c>
      <c r="H216">
        <v>1.021585</v>
      </c>
      <c r="I216">
        <v>368.23950000000002</v>
      </c>
      <c r="J216">
        <v>-437.66079999999999</v>
      </c>
      <c r="K216">
        <v>1.0979159999999999</v>
      </c>
      <c r="L216">
        <v>368.25779999999997</v>
      </c>
      <c r="M216">
        <v>0.99980500000000005</v>
      </c>
      <c r="N216">
        <v>0</v>
      </c>
      <c r="O216">
        <v>1.848085E-2</v>
      </c>
      <c r="P216">
        <v>0.98526910000000001</v>
      </c>
      <c r="Q216">
        <v>0.16108929999999999</v>
      </c>
      <c r="R216">
        <v>-5.7405869999999998E-2</v>
      </c>
      <c r="S216">
        <v>3.0838009999999998</v>
      </c>
      <c r="T216">
        <v>-0.24402940000000001</v>
      </c>
      <c r="U216">
        <v>-3.7109379999999997E-2</v>
      </c>
      <c r="V216">
        <v>7.5645569999999995E-2</v>
      </c>
      <c r="W216">
        <v>0.16792260000000001</v>
      </c>
      <c r="X216">
        <v>0.98289360000000003</v>
      </c>
      <c r="Y216">
        <v>3.0358030000000001E-2</v>
      </c>
      <c r="Z216">
        <v>-2.659355E-3</v>
      </c>
      <c r="AA216">
        <v>0.99953559999999997</v>
      </c>
      <c r="AB216">
        <v>36</v>
      </c>
      <c r="AC216">
        <v>0.64940000000001397</v>
      </c>
      <c r="AD216">
        <v>-7.6330999999999899E-2</v>
      </c>
      <c r="AE216">
        <v>-1.8299999999953801E-2</v>
      </c>
      <c r="AF216">
        <v>2.9886055655763102E-2</v>
      </c>
      <c r="AG216">
        <v>-7.6330999999999899E-2</v>
      </c>
      <c r="AH216">
        <v>0.64011418013090104</v>
      </c>
      <c r="AI216">
        <v>96.792846633122096</v>
      </c>
      <c r="AJ216">
        <v>87.3268795985704</v>
      </c>
      <c r="AK216">
        <v>0.64534158512241802</v>
      </c>
      <c r="AL216">
        <v>80.332943854412605</v>
      </c>
      <c r="AM216">
        <v>85.599071107746596</v>
      </c>
      <c r="AN216">
        <v>1.00000004038617</v>
      </c>
    </row>
    <row r="217" spans="1:40" x14ac:dyDescent="0.25">
      <c r="A217" t="str">
        <f>"20190312164441555"</f>
        <v>20190312164441555</v>
      </c>
      <c r="B217" t="str">
        <f>"1552380281552086"</f>
        <v>1552380281552086</v>
      </c>
      <c r="C217" t="s">
        <v>40</v>
      </c>
      <c r="D217">
        <v>4.4230349999999996</v>
      </c>
      <c r="E217">
        <v>0.48743229999999999</v>
      </c>
      <c r="F217" t="s">
        <v>41</v>
      </c>
      <c r="G217">
        <v>-436.68299999999999</v>
      </c>
      <c r="H217">
        <v>1.0196400000000001</v>
      </c>
      <c r="I217">
        <v>368.24529999999999</v>
      </c>
      <c r="J217">
        <v>-437.29379999999998</v>
      </c>
      <c r="K217">
        <v>1.095637</v>
      </c>
      <c r="L217">
        <v>368.2645</v>
      </c>
      <c r="M217">
        <v>0.99980190000000002</v>
      </c>
      <c r="N217">
        <v>0</v>
      </c>
      <c r="O217">
        <v>1.832085E-2</v>
      </c>
      <c r="P217">
        <v>0.98566540000000002</v>
      </c>
      <c r="Q217">
        <v>0.15873679999999901</v>
      </c>
      <c r="R217">
        <v>-5.715634E-2</v>
      </c>
      <c r="S217">
        <v>3.0829469999999999</v>
      </c>
      <c r="T217">
        <v>-0.2469122</v>
      </c>
      <c r="U217">
        <v>-3.8848880000000002E-2</v>
      </c>
      <c r="V217">
        <v>7.5262700000000002E-2</v>
      </c>
      <c r="W217">
        <v>0.1663886</v>
      </c>
      <c r="X217">
        <v>0.98318380000000005</v>
      </c>
      <c r="Y217">
        <v>3.0760909999999999E-2</v>
      </c>
      <c r="Z217">
        <v>-2.694732E-3</v>
      </c>
      <c r="AA217">
        <v>0.99952319999999995</v>
      </c>
      <c r="AB217">
        <v>37</v>
      </c>
      <c r="AC217">
        <v>0.61079999999992596</v>
      </c>
      <c r="AD217">
        <v>-7.5996999999999995E-2</v>
      </c>
      <c r="AE217">
        <v>-1.9200000000011999E-2</v>
      </c>
      <c r="AF217">
        <v>2.9924688646910901E-2</v>
      </c>
      <c r="AG217">
        <v>-7.5996999999999995E-2</v>
      </c>
      <c r="AH217">
        <v>0.60105012306297001</v>
      </c>
      <c r="AI217">
        <v>97.197438122359699</v>
      </c>
      <c r="AJ217">
        <v>87.149748865360806</v>
      </c>
      <c r="AK217">
        <v>0.60657421758068997</v>
      </c>
      <c r="AL217">
        <v>80.422089552344701</v>
      </c>
      <c r="AM217">
        <v>85.622546396168602</v>
      </c>
      <c r="AN217">
        <v>1.00000001240184</v>
      </c>
    </row>
    <row r="218" spans="1:40" x14ac:dyDescent="0.25">
      <c r="A218" t="str">
        <f>"20190312164441580"</f>
        <v>20190312164441580</v>
      </c>
      <c r="B218" t="str">
        <f>"1552380281571606"</f>
        <v>1552380281571606</v>
      </c>
      <c r="C218" t="s">
        <v>40</v>
      </c>
      <c r="D218">
        <v>4.4408560000000001</v>
      </c>
      <c r="E218">
        <v>0.48743419999999998</v>
      </c>
      <c r="F218" t="s">
        <v>41</v>
      </c>
      <c r="G218">
        <v>-436.3526</v>
      </c>
      <c r="H218">
        <v>1.0194799999999999</v>
      </c>
      <c r="I218">
        <v>368.25209999999998</v>
      </c>
      <c r="J218">
        <v>-436.89499999999998</v>
      </c>
      <c r="K218">
        <v>1.0928290000000001</v>
      </c>
      <c r="L218">
        <v>368.27159999999998</v>
      </c>
      <c r="M218">
        <v>0.99980159999999996</v>
      </c>
      <c r="N218">
        <v>0</v>
      </c>
      <c r="O218">
        <v>1.806483E-2</v>
      </c>
      <c r="P218">
        <v>0.98613300000000004</v>
      </c>
      <c r="Q218">
        <v>0.1559151</v>
      </c>
      <c r="R218">
        <v>-5.6857110000000002E-2</v>
      </c>
      <c r="S218">
        <v>3.081512</v>
      </c>
      <c r="T218">
        <v>-0.24948780000000001</v>
      </c>
      <c r="U218">
        <v>-3.9611819999999999E-2</v>
      </c>
      <c r="V218">
        <v>7.4744110000000002E-2</v>
      </c>
      <c r="W218">
        <v>0.16416040000000001</v>
      </c>
      <c r="X218">
        <v>0.98359779999999997</v>
      </c>
      <c r="Y218">
        <v>3.0755749999999998E-2</v>
      </c>
      <c r="Z218">
        <v>-2.703114E-3</v>
      </c>
      <c r="AA218">
        <v>0.9995233</v>
      </c>
      <c r="AB218">
        <v>37</v>
      </c>
      <c r="AC218">
        <v>0.542399999999986</v>
      </c>
      <c r="AD218">
        <v>-7.3349000000000095E-2</v>
      </c>
      <c r="AE218">
        <v>-1.9499999999993599E-2</v>
      </c>
      <c r="AF218">
        <v>2.8770079285952901E-2</v>
      </c>
      <c r="AG218">
        <v>-7.3349000000000095E-2</v>
      </c>
      <c r="AH218">
        <v>0.53223857690854703</v>
      </c>
      <c r="AI218">
        <v>97.835338442310601</v>
      </c>
      <c r="AJ218">
        <v>86.905896164019197</v>
      </c>
      <c r="AK218">
        <v>0.53803874954575104</v>
      </c>
      <c r="AL218">
        <v>80.551535886420595</v>
      </c>
      <c r="AM218">
        <v>85.654415591603694</v>
      </c>
      <c r="AN218">
        <v>0.99999997553634501</v>
      </c>
    </row>
    <row r="219" spans="1:40" x14ac:dyDescent="0.25">
      <c r="A219" t="str">
        <f>"20190312164441602"</f>
        <v>20190312164441602</v>
      </c>
      <c r="B219" t="str">
        <f>"1552380281592103"</f>
        <v>1552380281592103</v>
      </c>
      <c r="C219" t="s">
        <v>40</v>
      </c>
      <c r="D219">
        <v>4.4356439999999999</v>
      </c>
      <c r="E219">
        <v>0.48739470000000001</v>
      </c>
      <c r="F219" t="s">
        <v>41</v>
      </c>
      <c r="G219">
        <v>-436.02050000000003</v>
      </c>
      <c r="H219">
        <v>1.020227</v>
      </c>
      <c r="I219">
        <v>368.2604</v>
      </c>
      <c r="J219">
        <v>-436.52350000000001</v>
      </c>
      <c r="K219">
        <v>1.089969</v>
      </c>
      <c r="L219">
        <v>368.27809999999999</v>
      </c>
      <c r="M219">
        <v>0.99980400000000003</v>
      </c>
      <c r="N219">
        <v>0</v>
      </c>
      <c r="O219">
        <v>1.7753459999999999E-2</v>
      </c>
      <c r="P219">
        <v>0.98670089999999999</v>
      </c>
      <c r="Q219">
        <v>0.15274789999999999</v>
      </c>
      <c r="R219">
        <v>-5.5582060000000003E-2</v>
      </c>
      <c r="S219">
        <v>3.0804140000000002</v>
      </c>
      <c r="T219">
        <v>-0.25588929999999999</v>
      </c>
      <c r="U219">
        <v>-3.8696290000000001E-2</v>
      </c>
      <c r="V219">
        <v>7.3201450000000001E-2</v>
      </c>
      <c r="W219">
        <v>0.16132199999999999</v>
      </c>
      <c r="X219">
        <v>0.98418329999999998</v>
      </c>
      <c r="Y219">
        <v>3.0146849999999999E-2</v>
      </c>
      <c r="Z219">
        <v>-2.7221659999999998E-3</v>
      </c>
      <c r="AA219">
        <v>0.99954180000000004</v>
      </c>
      <c r="AB219">
        <v>37</v>
      </c>
      <c r="AC219">
        <v>0.50299999999998501</v>
      </c>
      <c r="AD219">
        <v>-6.9741999999999901E-2</v>
      </c>
      <c r="AE219">
        <v>-1.7699999999990699E-2</v>
      </c>
      <c r="AF219">
        <v>2.6125909560904301E-2</v>
      </c>
      <c r="AG219">
        <v>-6.9741999999999901E-2</v>
      </c>
      <c r="AH219">
        <v>0.493137913569832</v>
      </c>
      <c r="AI219">
        <v>98.038542714442301</v>
      </c>
      <c r="AJ219">
        <v>86.967367180327699</v>
      </c>
      <c r="AK219">
        <v>0.49872989835620701</v>
      </c>
      <c r="AL219">
        <v>80.716361884538401</v>
      </c>
      <c r="AM219">
        <v>85.746294787468699</v>
      </c>
      <c r="AN219">
        <v>1.0000000039824899</v>
      </c>
    </row>
    <row r="220" spans="1:40" x14ac:dyDescent="0.25">
      <c r="A220" t="str">
        <f>"20190312164441624"</f>
        <v>20190312164441624</v>
      </c>
      <c r="B220" t="str">
        <f>"1552380281611625"</f>
        <v>1552380281611625</v>
      </c>
      <c r="C220" t="s">
        <v>40</v>
      </c>
      <c r="D220">
        <v>4.5241170000000004</v>
      </c>
      <c r="E220">
        <v>0.48726819999999998</v>
      </c>
      <c r="F220" t="s">
        <v>41</v>
      </c>
      <c r="G220">
        <v>-435.68900000000002</v>
      </c>
      <c r="H220">
        <v>1.0182610000000001</v>
      </c>
      <c r="I220">
        <v>368.26870000000002</v>
      </c>
      <c r="J220">
        <v>-436.1662</v>
      </c>
      <c r="K220">
        <v>1.0870820000000001</v>
      </c>
      <c r="L220">
        <v>368.2842</v>
      </c>
      <c r="M220">
        <v>0.99980849999999999</v>
      </c>
      <c r="N220">
        <v>0</v>
      </c>
      <c r="O220">
        <v>1.738205E-2</v>
      </c>
      <c r="P220">
        <v>0.98711839999999995</v>
      </c>
      <c r="Q220">
        <v>0.15029890000000001</v>
      </c>
      <c r="R220">
        <v>-5.4846399999999997E-2</v>
      </c>
      <c r="S220">
        <v>3.079437</v>
      </c>
      <c r="T220">
        <v>-0.26466630000000002</v>
      </c>
      <c r="U220">
        <v>-3.4454350000000002E-2</v>
      </c>
      <c r="V220">
        <v>7.2137759999999995E-2</v>
      </c>
      <c r="W220">
        <v>0.1591004</v>
      </c>
      <c r="X220">
        <v>0.98462340000000004</v>
      </c>
      <c r="Y220">
        <v>2.839904E-2</v>
      </c>
      <c r="Z220">
        <v>-2.7092819999999999E-3</v>
      </c>
      <c r="AA220">
        <v>0.99959299999999995</v>
      </c>
      <c r="AB220">
        <v>37</v>
      </c>
      <c r="AC220">
        <v>0.47719999999998203</v>
      </c>
      <c r="AD220">
        <v>-6.8820999999999799E-2</v>
      </c>
      <c r="AE220">
        <v>-1.5499999999974499E-2</v>
      </c>
      <c r="AF220">
        <v>2.33084280420656E-2</v>
      </c>
      <c r="AG220">
        <v>-6.8820999999999799E-2</v>
      </c>
      <c r="AH220">
        <v>0.467152433715111</v>
      </c>
      <c r="AI220">
        <v>98.370280967730196</v>
      </c>
      <c r="AJ220">
        <v>87.143613310489201</v>
      </c>
      <c r="AK220">
        <v>0.47276950957601299</v>
      </c>
      <c r="AL220">
        <v>80.845316065601693</v>
      </c>
      <c r="AM220">
        <v>85.809750476462099</v>
      </c>
      <c r="AN220">
        <v>1.0000000167627601</v>
      </c>
    </row>
    <row r="221" spans="1:40" x14ac:dyDescent="0.25">
      <c r="A221" t="str">
        <f>"20190312164441644"</f>
        <v>20190312164441644</v>
      </c>
      <c r="B221" t="str">
        <f>"1552380281641887"</f>
        <v>1552380281641887</v>
      </c>
      <c r="C221" t="s">
        <v>40</v>
      </c>
      <c r="D221">
        <v>4.6703650000000003</v>
      </c>
      <c r="E221">
        <v>0.46582319999999999</v>
      </c>
      <c r="F221" t="s">
        <v>41</v>
      </c>
      <c r="G221">
        <v>-435.35719999999998</v>
      </c>
      <c r="H221">
        <v>1.01574599999999</v>
      </c>
      <c r="I221">
        <v>368.27600000000001</v>
      </c>
      <c r="J221">
        <v>-435.82350000000002</v>
      </c>
      <c r="K221">
        <v>1.084263</v>
      </c>
      <c r="L221">
        <v>368.28980000000001</v>
      </c>
      <c r="M221">
        <v>0.9998148</v>
      </c>
      <c r="N221">
        <v>0</v>
      </c>
      <c r="O221">
        <v>1.6942990000000002E-2</v>
      </c>
      <c r="P221">
        <v>0.98753729999999995</v>
      </c>
      <c r="Q221">
        <v>0.14793580000000001</v>
      </c>
      <c r="R221">
        <v>-5.3715659999999998E-2</v>
      </c>
      <c r="S221">
        <v>3.0787960000000001</v>
      </c>
      <c r="T221">
        <v>-0.27160869999999998</v>
      </c>
      <c r="U221">
        <v>-3.0181880000000001E-2</v>
      </c>
      <c r="V221">
        <v>7.0610060000000002E-2</v>
      </c>
      <c r="W221">
        <v>0.15686620000000001</v>
      </c>
      <c r="X221">
        <v>0.98509250000000004</v>
      </c>
      <c r="Y221">
        <v>2.6575149999999999E-2</v>
      </c>
      <c r="Z221">
        <v>-2.6617210000000001E-3</v>
      </c>
      <c r="AA221">
        <v>0.99964330000000001</v>
      </c>
      <c r="AB221">
        <v>37</v>
      </c>
      <c r="AC221">
        <v>0.46630000000004601</v>
      </c>
      <c r="AD221">
        <v>-6.8517000000000106E-2</v>
      </c>
      <c r="AE221">
        <v>-1.3800000000003299E-2</v>
      </c>
      <c r="AF221">
        <v>2.1240665657548501E-2</v>
      </c>
      <c r="AG221">
        <v>-6.8517000000000106E-2</v>
      </c>
      <c r="AH221">
        <v>0.45615908185165299</v>
      </c>
      <c r="AI221">
        <v>98.533096905788</v>
      </c>
      <c r="AJ221">
        <v>87.3339957228347</v>
      </c>
      <c r="AK221">
        <v>0.461764932755096</v>
      </c>
      <c r="AL221">
        <v>80.974954282087893</v>
      </c>
      <c r="AM221">
        <v>85.900130105219006</v>
      </c>
      <c r="AN221">
        <v>1.00000000941594</v>
      </c>
    </row>
    <row r="222" spans="1:40" x14ac:dyDescent="0.25">
      <c r="A222" t="str">
        <f>"20190312164441667"</f>
        <v>20190312164441667</v>
      </c>
      <c r="B222" t="str">
        <f>"1552380281662383"</f>
        <v>1552380281662383</v>
      </c>
      <c r="C222" t="s">
        <v>40</v>
      </c>
      <c r="D222">
        <v>4.5158849999999999</v>
      </c>
      <c r="E222">
        <v>0.4653272</v>
      </c>
      <c r="F222" t="s">
        <v>43</v>
      </c>
      <c r="G222">
        <v>-422.58659999999998</v>
      </c>
      <c r="H222">
        <v>-0.05</v>
      </c>
      <c r="I222">
        <v>368.90859999999998</v>
      </c>
      <c r="J222">
        <v>-435.43709999999999</v>
      </c>
      <c r="K222">
        <v>1.081129</v>
      </c>
      <c r="L222">
        <v>368.29590000000002</v>
      </c>
      <c r="M222">
        <v>0.99982459999999995</v>
      </c>
      <c r="N222">
        <v>0</v>
      </c>
      <c r="O222">
        <v>1.6353050000000001E-2</v>
      </c>
      <c r="P222">
        <v>0.98790389999999995</v>
      </c>
      <c r="Q222">
        <v>0.14579349999999999</v>
      </c>
      <c r="R222">
        <v>-5.2826829999999998E-2</v>
      </c>
      <c r="S222">
        <v>3.0852659999999998</v>
      </c>
      <c r="T222">
        <v>-0.26437460000000002</v>
      </c>
      <c r="U222">
        <v>0.1442261</v>
      </c>
      <c r="V222">
        <v>6.9174990000000006E-2</v>
      </c>
      <c r="W222">
        <v>0.1547259</v>
      </c>
      <c r="X222">
        <v>0.98553270000000004</v>
      </c>
      <c r="Y222">
        <v>-3.0302599999999999E-2</v>
      </c>
      <c r="Z222">
        <v>-1.026111E-4</v>
      </c>
      <c r="AA222">
        <v>0.99954069999999995</v>
      </c>
      <c r="AB222">
        <v>37</v>
      </c>
      <c r="AC222">
        <v>12.8505</v>
      </c>
      <c r="AD222">
        <v>-1.1311290000000001</v>
      </c>
      <c r="AE222">
        <v>0.61269999999996105</v>
      </c>
      <c r="AF222">
        <v>-0.39937711871293402</v>
      </c>
      <c r="AG222">
        <v>-1.1311290000000001</v>
      </c>
      <c r="AH222">
        <v>12.7601611551356</v>
      </c>
      <c r="AI222">
        <v>95.063296887522796</v>
      </c>
      <c r="AJ222">
        <v>91.792701159267594</v>
      </c>
      <c r="AK222">
        <v>12.8164217940353</v>
      </c>
      <c r="AL222">
        <v>81.099100234617495</v>
      </c>
      <c r="AM222">
        <v>85.984968065947498</v>
      </c>
      <c r="AN222">
        <v>0.99999999307080001</v>
      </c>
    </row>
    <row r="223" spans="1:40" x14ac:dyDescent="0.25">
      <c r="A223" t="str">
        <f>"20190312164441690"</f>
        <v>20190312164441690</v>
      </c>
      <c r="B223" t="str">
        <f>"1552380281681902"</f>
        <v>1552380281681902</v>
      </c>
      <c r="C223" t="s">
        <v>40</v>
      </c>
      <c r="D223">
        <v>4.5221970000000002</v>
      </c>
      <c r="E223">
        <v>0.46531460000000002</v>
      </c>
      <c r="F223" t="s">
        <v>43</v>
      </c>
      <c r="G223">
        <v>-422.3442</v>
      </c>
      <c r="H223">
        <v>-0.05</v>
      </c>
      <c r="I223">
        <v>368.93729999999999</v>
      </c>
      <c r="J223">
        <v>-435.05489999999998</v>
      </c>
      <c r="K223">
        <v>1.078149</v>
      </c>
      <c r="L223">
        <v>368.30149999999998</v>
      </c>
      <c r="M223">
        <v>0.99983679999999997</v>
      </c>
      <c r="N223">
        <v>0</v>
      </c>
      <c r="O223">
        <v>1.567605E-2</v>
      </c>
      <c r="P223">
        <v>0.98827149999999997</v>
      </c>
      <c r="Q223">
        <v>0.14359269999999999</v>
      </c>
      <c r="R223">
        <v>-5.1968529999999999E-2</v>
      </c>
      <c r="S223">
        <v>3.0841370000000001</v>
      </c>
      <c r="T223">
        <v>-0.2664473</v>
      </c>
      <c r="U223">
        <v>0.15109249999999999</v>
      </c>
      <c r="V223">
        <v>6.7678719999999998E-2</v>
      </c>
      <c r="W223">
        <v>0.1523611</v>
      </c>
      <c r="X223">
        <v>0.98600489999999996</v>
      </c>
      <c r="Y223">
        <v>-3.3202500000000003E-2</v>
      </c>
      <c r="Z223" s="1">
        <v>7.9851249999999995E-5</v>
      </c>
      <c r="AA223">
        <v>0.99944869999999997</v>
      </c>
      <c r="AB223">
        <v>37</v>
      </c>
      <c r="AC223">
        <v>12.7106999999999</v>
      </c>
      <c r="AD223">
        <v>-1.1281490000000001</v>
      </c>
      <c r="AE223">
        <v>0.63580000000001702</v>
      </c>
      <c r="AF223">
        <v>-0.43305732754750198</v>
      </c>
      <c r="AG223">
        <v>-1.1281490000000001</v>
      </c>
      <c r="AH223">
        <v>12.619938539292599</v>
      </c>
      <c r="AI223">
        <v>95.105341314235702</v>
      </c>
      <c r="AJ223">
        <v>91.965352268429697</v>
      </c>
      <c r="AK223">
        <v>12.677661754072201</v>
      </c>
      <c r="AL223">
        <v>81.236219261279601</v>
      </c>
      <c r="AM223">
        <v>86.073414621712999</v>
      </c>
      <c r="AN223">
        <v>0.99999998837902804</v>
      </c>
    </row>
    <row r="224" spans="1:40" x14ac:dyDescent="0.25">
      <c r="A224" t="str">
        <f>"20190312164441712"</f>
        <v>20190312164441712</v>
      </c>
      <c r="B224" t="str">
        <f>"1552380281702399"</f>
        <v>1552380281702399</v>
      </c>
      <c r="C224" t="s">
        <v>40</v>
      </c>
      <c r="D224">
        <v>4.5149049999999997</v>
      </c>
      <c r="E224">
        <v>0.46556530000000002</v>
      </c>
      <c r="F224" t="s">
        <v>41</v>
      </c>
      <c r="G224">
        <v>-434.02800000000002</v>
      </c>
      <c r="H224">
        <v>0.98912699999999998</v>
      </c>
      <c r="I224">
        <v>368.35210000000001</v>
      </c>
      <c r="J224">
        <v>-434.6848</v>
      </c>
      <c r="K224">
        <v>1.075445</v>
      </c>
      <c r="L224">
        <v>368.30680000000001</v>
      </c>
      <c r="M224">
        <v>0.99985020000000002</v>
      </c>
      <c r="N224">
        <v>0</v>
      </c>
      <c r="O224">
        <v>1.4960279999999999E-2</v>
      </c>
      <c r="P224">
        <v>0.98856820000000001</v>
      </c>
      <c r="Q224">
        <v>0.14159669999999999</v>
      </c>
      <c r="R224">
        <v>-5.1799909999999998E-2</v>
      </c>
      <c r="S224">
        <v>3.082611</v>
      </c>
      <c r="T224">
        <v>-0.26759480000000002</v>
      </c>
      <c r="U224">
        <v>0.15371699999999999</v>
      </c>
      <c r="V224">
        <v>6.6826049999999998E-2</v>
      </c>
      <c r="W224">
        <v>0.15008160000000001</v>
      </c>
      <c r="X224">
        <v>0.98641259999999997</v>
      </c>
      <c r="Y224">
        <v>-3.4781779999999998E-2</v>
      </c>
      <c r="Z224">
        <v>2.105779E-4</v>
      </c>
      <c r="AA224">
        <v>0.99939489999999997</v>
      </c>
      <c r="AB224">
        <v>37</v>
      </c>
      <c r="AC224">
        <v>0.65679999999997496</v>
      </c>
      <c r="AD224">
        <v>-8.6317999999999895E-2</v>
      </c>
      <c r="AE224">
        <v>4.5299999999997398E-2</v>
      </c>
      <c r="AF224">
        <v>-3.4869244185647803E-2</v>
      </c>
      <c r="AG224">
        <v>-8.6317999999999895E-2</v>
      </c>
      <c r="AH224">
        <v>0.64629442784889701</v>
      </c>
      <c r="AI224">
        <v>97.596390025644297</v>
      </c>
      <c r="AJ224">
        <v>93.0882602553731</v>
      </c>
      <c r="AK224">
        <v>0.65296489092646604</v>
      </c>
      <c r="AL224">
        <v>81.368344682977906</v>
      </c>
      <c r="AM224">
        <v>86.124330650486499</v>
      </c>
      <c r="AN224">
        <v>1.00000001252796</v>
      </c>
    </row>
    <row r="225" spans="1:40" x14ac:dyDescent="0.25">
      <c r="A225" t="str">
        <f>"20190312164441734"</f>
        <v>20190312164441734</v>
      </c>
      <c r="B225" t="str">
        <f>"1552380281731678"</f>
        <v>1552380281731678</v>
      </c>
      <c r="C225" t="s">
        <v>40</v>
      </c>
      <c r="D225">
        <v>4.5136029999999998</v>
      </c>
      <c r="E225">
        <v>0.46581980000000001</v>
      </c>
      <c r="F225" t="s">
        <v>41</v>
      </c>
      <c r="G225">
        <v>-433.6909</v>
      </c>
      <c r="H225">
        <v>0.98818419999999896</v>
      </c>
      <c r="I225">
        <v>368.35599999999999</v>
      </c>
      <c r="J225">
        <v>-434.32240000000002</v>
      </c>
      <c r="K225">
        <v>1.0730120000000001</v>
      </c>
      <c r="L225">
        <v>368.3116</v>
      </c>
      <c r="M225">
        <v>0.99986399999999998</v>
      </c>
      <c r="N225">
        <v>0</v>
      </c>
      <c r="O225">
        <v>1.4224000000000001E-2</v>
      </c>
      <c r="P225">
        <v>0.98880120000000005</v>
      </c>
      <c r="Q225">
        <v>0.1399348</v>
      </c>
      <c r="R225">
        <v>-5.187133E-2</v>
      </c>
      <c r="S225">
        <v>3.081512</v>
      </c>
      <c r="T225">
        <v>-0.2706268</v>
      </c>
      <c r="U225">
        <v>0.1531372</v>
      </c>
      <c r="V225">
        <v>6.6187250000000003E-2</v>
      </c>
      <c r="W225">
        <v>0.14807529999999999</v>
      </c>
      <c r="X225">
        <v>0.98675880000000005</v>
      </c>
      <c r="Y225">
        <v>-3.5341169999999998E-2</v>
      </c>
      <c r="Z225">
        <v>3.020195E-4</v>
      </c>
      <c r="AA225">
        <v>0.99937529999999997</v>
      </c>
      <c r="AB225">
        <v>37</v>
      </c>
      <c r="AC225">
        <v>0.63150000000001605</v>
      </c>
      <c r="AD225">
        <v>-8.4827800000000203E-2</v>
      </c>
      <c r="AE225">
        <v>4.4399999999995998E-2</v>
      </c>
      <c r="AF225">
        <v>-3.4788114529629398E-2</v>
      </c>
      <c r="AG225">
        <v>-8.4827800000000203E-2</v>
      </c>
      <c r="AH225">
        <v>0.62091900615768902</v>
      </c>
      <c r="AI225">
        <v>97.767358464134105</v>
      </c>
      <c r="AJ225">
        <v>93.206747534231397</v>
      </c>
      <c r="AK225">
        <v>0.62765148034017904</v>
      </c>
      <c r="AL225">
        <v>81.484596082737497</v>
      </c>
      <c r="AM225">
        <v>86.162610219177097</v>
      </c>
      <c r="AN225">
        <v>0.99999998795504597</v>
      </c>
    </row>
    <row r="226" spans="1:40" x14ac:dyDescent="0.25">
      <c r="A226" t="str">
        <f>"20190312164441756"</f>
        <v>20190312164441756</v>
      </c>
      <c r="B226" t="str">
        <f>"1552380281751707"</f>
        <v>1552380281751707</v>
      </c>
      <c r="C226" t="s">
        <v>40</v>
      </c>
      <c r="D226">
        <v>4.5163039999999999</v>
      </c>
      <c r="E226">
        <v>0.4660533</v>
      </c>
      <c r="F226" t="s">
        <v>41</v>
      </c>
      <c r="G226">
        <v>-433.35309999999998</v>
      </c>
      <c r="H226">
        <v>0.98702199999999995</v>
      </c>
      <c r="I226">
        <v>368.35879999999997</v>
      </c>
      <c r="J226">
        <v>-433.94049999999999</v>
      </c>
      <c r="K226">
        <v>1.070695</v>
      </c>
      <c r="L226">
        <v>368.31630000000001</v>
      </c>
      <c r="M226">
        <v>0.99987820000000005</v>
      </c>
      <c r="N226">
        <v>0</v>
      </c>
      <c r="O226">
        <v>1.342467E-2</v>
      </c>
      <c r="P226">
        <v>0.98897330000000006</v>
      </c>
      <c r="Q226">
        <v>0.13832910000000001</v>
      </c>
      <c r="R226">
        <v>-5.289058E-2</v>
      </c>
      <c r="S226">
        <v>3.0806269999999998</v>
      </c>
      <c r="T226">
        <v>-0.27352749999999998</v>
      </c>
      <c r="U226">
        <v>0.15151979999999901</v>
      </c>
      <c r="V226">
        <v>6.6428459999999995E-2</v>
      </c>
      <c r="W226">
        <v>0.146069899999999</v>
      </c>
      <c r="X226">
        <v>0.98704150000000002</v>
      </c>
      <c r="Y226">
        <v>-3.5624910000000003E-2</v>
      </c>
      <c r="Z226">
        <v>3.8867799999999999E-4</v>
      </c>
      <c r="AA226">
        <v>0.99936519999999995</v>
      </c>
      <c r="AB226">
        <v>38</v>
      </c>
      <c r="AC226">
        <v>0.58740000000000203</v>
      </c>
      <c r="AD226">
        <v>-8.3673000000000206E-2</v>
      </c>
      <c r="AE226">
        <v>4.2499999999961298E-2</v>
      </c>
      <c r="AF226">
        <v>-3.3925472987493301E-2</v>
      </c>
      <c r="AG226">
        <v>-8.3673000000000206E-2</v>
      </c>
      <c r="AH226">
        <v>0.57628514065121195</v>
      </c>
      <c r="AI226">
        <v>98.247177935149196</v>
      </c>
      <c r="AJ226">
        <v>93.369071118150202</v>
      </c>
      <c r="AK226">
        <v>0.58331524237054899</v>
      </c>
      <c r="AL226">
        <v>81.600760700373499</v>
      </c>
      <c r="AM226">
        <v>86.149767157705099</v>
      </c>
      <c r="AN226">
        <v>1.0000000393531101</v>
      </c>
    </row>
    <row r="227" spans="1:40" x14ac:dyDescent="0.25">
      <c r="A227" t="str">
        <f>"20190312164441780"</f>
        <v>20190312164441780</v>
      </c>
      <c r="B227" t="str">
        <f>"1552380281772203"</f>
        <v>1552380281772203</v>
      </c>
      <c r="C227" t="s">
        <v>40</v>
      </c>
      <c r="D227">
        <v>4.69611</v>
      </c>
      <c r="E227">
        <v>0.46625549999999999</v>
      </c>
      <c r="F227" t="s">
        <v>41</v>
      </c>
      <c r="G227">
        <v>-433.01319999999998</v>
      </c>
      <c r="H227">
        <v>0.98745439999999995</v>
      </c>
      <c r="I227">
        <v>368.3605</v>
      </c>
      <c r="J227">
        <v>-433.53739999999999</v>
      </c>
      <c r="K227">
        <v>1.068522</v>
      </c>
      <c r="L227">
        <v>368.32100000000003</v>
      </c>
      <c r="M227">
        <v>0.99989280000000003</v>
      </c>
      <c r="N227">
        <v>0</v>
      </c>
      <c r="O227">
        <v>1.256735E-2</v>
      </c>
      <c r="P227">
        <v>0.98905319999999997</v>
      </c>
      <c r="Q227">
        <v>0.1373191</v>
      </c>
      <c r="R227">
        <v>-5.4015359999999998E-2</v>
      </c>
      <c r="S227">
        <v>3.079987</v>
      </c>
      <c r="T227">
        <v>-0.27651229999999999</v>
      </c>
      <c r="U227">
        <v>0.1468506</v>
      </c>
      <c r="V227">
        <v>6.6714709999999997E-2</v>
      </c>
      <c r="W227">
        <v>0.14463000000000001</v>
      </c>
      <c r="X227">
        <v>0.98723419999999895</v>
      </c>
      <c r="Y227">
        <v>-3.4977750000000002E-2</v>
      </c>
      <c r="Z227">
        <v>4.4077949999999998E-4</v>
      </c>
      <c r="AA227">
        <v>0.99938800000000005</v>
      </c>
      <c r="AB227">
        <v>38</v>
      </c>
      <c r="AC227">
        <v>0.52420000000000699</v>
      </c>
      <c r="AD227">
        <v>-8.1067600000000004E-2</v>
      </c>
      <c r="AE227">
        <v>3.9500000000032197E-2</v>
      </c>
      <c r="AF227">
        <v>-3.2144442358300003E-2</v>
      </c>
      <c r="AG227">
        <v>-8.1067600000000004E-2</v>
      </c>
      <c r="AH227">
        <v>0.51246770722562796</v>
      </c>
      <c r="AI227">
        <v>98.971823643673403</v>
      </c>
      <c r="AJ227">
        <v>93.589165050955899</v>
      </c>
      <c r="AK227">
        <v>0.51983494677962705</v>
      </c>
      <c r="AL227">
        <v>81.684146329625605</v>
      </c>
      <c r="AM227">
        <v>86.133978636287907</v>
      </c>
      <c r="AN227">
        <v>1.0000000275400101</v>
      </c>
    </row>
    <row r="228" spans="1:40" x14ac:dyDescent="0.25">
      <c r="A228" t="str">
        <f>"20190312164441803"</f>
        <v>20190312164441803</v>
      </c>
      <c r="B228" t="str">
        <f>"1552380281791723"</f>
        <v>1552380281791723</v>
      </c>
      <c r="C228" t="s">
        <v>40</v>
      </c>
      <c r="D228">
        <v>4.6547650000000003</v>
      </c>
      <c r="E228">
        <v>0.46647820000000001</v>
      </c>
      <c r="F228" t="s">
        <v>41</v>
      </c>
      <c r="G228">
        <v>-432.67059999999998</v>
      </c>
      <c r="H228">
        <v>0.99035810000000002</v>
      </c>
      <c r="I228">
        <v>368.3605</v>
      </c>
      <c r="J228">
        <v>-433.15339999999998</v>
      </c>
      <c r="K228">
        <v>1.0667180000000001</v>
      </c>
      <c r="L228">
        <v>368.32530000000003</v>
      </c>
      <c r="M228">
        <v>0.99990559999999995</v>
      </c>
      <c r="N228">
        <v>0</v>
      </c>
      <c r="O228">
        <v>1.1744950000000001E-2</v>
      </c>
      <c r="P228">
        <v>0.98905449999999995</v>
      </c>
      <c r="Q228">
        <v>0.13684939999999901</v>
      </c>
      <c r="R228">
        <v>-5.51689E-2</v>
      </c>
      <c r="S228">
        <v>3.079529</v>
      </c>
      <c r="T228">
        <v>-0.27794999999999997</v>
      </c>
      <c r="U228">
        <v>0.14163210000000001</v>
      </c>
      <c r="V228">
        <v>6.7060980000000006E-2</v>
      </c>
      <c r="W228">
        <v>0.1437628</v>
      </c>
      <c r="X228">
        <v>0.98733740000000003</v>
      </c>
      <c r="Y228">
        <v>-3.4116170000000001E-2</v>
      </c>
      <c r="Z228">
        <v>4.783883E-4</v>
      </c>
      <c r="AA228">
        <v>0.99941780000000002</v>
      </c>
      <c r="AB228">
        <v>38</v>
      </c>
      <c r="AC228">
        <v>0.48279999999999701</v>
      </c>
      <c r="AD228">
        <v>-7.6359899999999994E-2</v>
      </c>
      <c r="AE228">
        <v>3.51999999999748E-2</v>
      </c>
      <c r="AF228">
        <v>-2.8810099070350099E-2</v>
      </c>
      <c r="AG228">
        <v>-7.6359899999999994E-2</v>
      </c>
      <c r="AH228">
        <v>0.47144929974931798</v>
      </c>
      <c r="AI228">
        <v>99.183371776434001</v>
      </c>
      <c r="AJ228">
        <v>93.496976016821804</v>
      </c>
      <c r="AK228">
        <v>0.47846138649903203</v>
      </c>
      <c r="AL228">
        <v>81.734358004415597</v>
      </c>
      <c r="AM228">
        <v>86.114379047250495</v>
      </c>
      <c r="AN228">
        <v>1.00000002957058</v>
      </c>
    </row>
    <row r="229" spans="1:40" x14ac:dyDescent="0.25">
      <c r="A229" t="str">
        <f>"20190312164441823"</f>
        <v>20190312164441823</v>
      </c>
      <c r="B229" t="str">
        <f>"1552380281812222"</f>
        <v>1552380281812222</v>
      </c>
      <c r="C229" t="s">
        <v>40</v>
      </c>
      <c r="D229">
        <v>4.7188119999999998</v>
      </c>
      <c r="E229">
        <v>0.46658339999999998</v>
      </c>
      <c r="F229" t="s">
        <v>43</v>
      </c>
      <c r="G229">
        <v>-420.74400000000003</v>
      </c>
      <c r="H229">
        <v>-0.05</v>
      </c>
      <c r="I229">
        <v>368.87479999999999</v>
      </c>
      <c r="J229">
        <v>-432.80610000000001</v>
      </c>
      <c r="K229">
        <v>1.0652870000000001</v>
      </c>
      <c r="L229">
        <v>368.3288</v>
      </c>
      <c r="M229">
        <v>0.99991660000000004</v>
      </c>
      <c r="N229">
        <v>0</v>
      </c>
      <c r="O229">
        <v>1.099924E-2</v>
      </c>
      <c r="P229">
        <v>0.98917869999999997</v>
      </c>
      <c r="Q229">
        <v>0.1353808</v>
      </c>
      <c r="R229">
        <v>-5.6549179999999998E-2</v>
      </c>
      <c r="S229">
        <v>3.0791629999999999</v>
      </c>
      <c r="T229">
        <v>-0.27709230000000001</v>
      </c>
      <c r="U229">
        <v>0.13635249999999999</v>
      </c>
      <c r="V229">
        <v>6.7707210000000004E-2</v>
      </c>
      <c r="W229">
        <v>0.1419542</v>
      </c>
      <c r="X229">
        <v>0.98755490000000001</v>
      </c>
      <c r="Y229">
        <v>-3.3158229999999997E-2</v>
      </c>
      <c r="Z229">
        <v>5.0092569999999996E-4</v>
      </c>
      <c r="AA229">
        <v>0.99944999999999995</v>
      </c>
      <c r="AB229">
        <v>38</v>
      </c>
      <c r="AC229">
        <v>12.0620999999999</v>
      </c>
      <c r="AD229">
        <v>-1.1152869999999999</v>
      </c>
      <c r="AE229">
        <v>0.54599999999999205</v>
      </c>
      <c r="AF229">
        <v>-0.409793736685652</v>
      </c>
      <c r="AG229">
        <v>-1.1152869999999999</v>
      </c>
      <c r="AH229">
        <v>11.9652910552922</v>
      </c>
      <c r="AI229">
        <v>95.322061448957797</v>
      </c>
      <c r="AJ229">
        <v>91.961530042058001</v>
      </c>
      <c r="AK229">
        <v>12.024141800430201</v>
      </c>
      <c r="AL229">
        <v>81.839056566189399</v>
      </c>
      <c r="AM229">
        <v>86.077913096258598</v>
      </c>
      <c r="AN229">
        <v>0.99999997084881598</v>
      </c>
    </row>
    <row r="230" spans="1:40" x14ac:dyDescent="0.25">
      <c r="A230" t="str">
        <f>"20190312164441846"</f>
        <v>20190312164441846</v>
      </c>
      <c r="B230" t="str">
        <f>"1552380281841887"</f>
        <v>1552380281841887</v>
      </c>
      <c r="C230" t="s">
        <v>40</v>
      </c>
      <c r="D230">
        <v>4.5463849999999999</v>
      </c>
      <c r="E230">
        <v>0.46661320000000001</v>
      </c>
      <c r="F230" t="s">
        <v>41</v>
      </c>
      <c r="G230">
        <v>-431.97969999999998</v>
      </c>
      <c r="H230">
        <v>0.99047370000000001</v>
      </c>
      <c r="I230">
        <v>368.36349999999999</v>
      </c>
      <c r="J230">
        <v>-432.41399999999999</v>
      </c>
      <c r="K230">
        <v>1.0638700000000001</v>
      </c>
      <c r="L230">
        <v>368.33249999999998</v>
      </c>
      <c r="M230">
        <v>0.99992780000000003</v>
      </c>
      <c r="N230">
        <v>0</v>
      </c>
      <c r="O230">
        <v>1.015867E-2</v>
      </c>
      <c r="P230">
        <v>0.98926599999999998</v>
      </c>
      <c r="Q230">
        <v>0.134404</v>
      </c>
      <c r="R230">
        <v>-5.7346849999999998E-2</v>
      </c>
      <c r="S230">
        <v>3.0784910000000001</v>
      </c>
      <c r="T230">
        <v>-0.27895140000000002</v>
      </c>
      <c r="U230">
        <v>0.1312256</v>
      </c>
      <c r="V230">
        <v>6.7677089999999995E-2</v>
      </c>
      <c r="W230">
        <v>0.14062349999999901</v>
      </c>
      <c r="X230">
        <v>0.98774740000000005</v>
      </c>
      <c r="Y230">
        <v>-3.2345329999999999E-2</v>
      </c>
      <c r="Z230">
        <v>5.436293E-4</v>
      </c>
      <c r="AA230">
        <v>0.99947660000000005</v>
      </c>
      <c r="AB230">
        <v>38</v>
      </c>
      <c r="AC230">
        <v>0.43430000000000701</v>
      </c>
      <c r="AD230">
        <v>-7.3396300000000095E-2</v>
      </c>
      <c r="AE230">
        <v>3.1000000000005901E-2</v>
      </c>
      <c r="AF230">
        <v>-2.5851796730349201E-2</v>
      </c>
      <c r="AG230">
        <v>-7.3396300000000095E-2</v>
      </c>
      <c r="AH230">
        <v>0.42258439416229399</v>
      </c>
      <c r="AI230">
        <v>99.835062178230899</v>
      </c>
      <c r="AJ230">
        <v>93.500733200857397</v>
      </c>
      <c r="AK230">
        <v>0.42968930919606402</v>
      </c>
      <c r="AL230">
        <v>81.916073238799299</v>
      </c>
      <c r="AM230">
        <v>86.080414067319296</v>
      </c>
      <c r="AN230">
        <v>1.00000004173493</v>
      </c>
    </row>
    <row r="231" spans="1:40" x14ac:dyDescent="0.25">
      <c r="A231" t="str">
        <f>"20190312164441859"</f>
        <v>20190312164441859</v>
      </c>
      <c r="B231" t="str">
        <f>"1552380281851648"</f>
        <v>1552380281851648</v>
      </c>
      <c r="C231" t="s">
        <v>40</v>
      </c>
      <c r="D231">
        <v>4.5436259999999997</v>
      </c>
      <c r="E231">
        <v>0.4665067</v>
      </c>
      <c r="F231" t="s">
        <v>43</v>
      </c>
      <c r="G231">
        <v>-420.12599999999998</v>
      </c>
      <c r="H231">
        <v>-0.05</v>
      </c>
      <c r="I231">
        <v>368.84249999999997</v>
      </c>
      <c r="J231">
        <v>-432.1902</v>
      </c>
      <c r="K231">
        <v>1.063172</v>
      </c>
      <c r="L231">
        <v>368.33440000000002</v>
      </c>
      <c r="M231">
        <v>0.99993379999999998</v>
      </c>
      <c r="N231">
        <v>0</v>
      </c>
      <c r="O231">
        <v>9.6799269999999996E-3</v>
      </c>
      <c r="P231">
        <v>0.98926820000000004</v>
      </c>
      <c r="Q231">
        <v>0.13429720000000001</v>
      </c>
      <c r="R231">
        <v>-5.7560920000000002E-2</v>
      </c>
      <c r="S231">
        <v>3.0778810000000001</v>
      </c>
      <c r="T231">
        <v>-0.27900039999999998</v>
      </c>
      <c r="U231">
        <v>0.12774659999999999</v>
      </c>
      <c r="V231">
        <v>6.7419750000000001E-2</v>
      </c>
      <c r="W231">
        <v>0.14033219999999999</v>
      </c>
      <c r="X231">
        <v>0.98780639999999997</v>
      </c>
      <c r="Y231">
        <v>-3.1705150000000001E-2</v>
      </c>
      <c r="Z231">
        <v>5.5818519999999996E-4</v>
      </c>
      <c r="AA231">
        <v>0.99949710000000003</v>
      </c>
      <c r="AB231">
        <v>38</v>
      </c>
      <c r="AC231">
        <v>12.0642</v>
      </c>
      <c r="AD231">
        <v>-1.1131719999999901</v>
      </c>
      <c r="AE231">
        <v>0.50809999999995603</v>
      </c>
      <c r="AF231">
        <v>-0.38799585815689702</v>
      </c>
      <c r="AG231">
        <v>-1.1131719999999901</v>
      </c>
      <c r="AH231">
        <v>11.966849307154099</v>
      </c>
      <c r="AI231">
        <v>95.311659986531694</v>
      </c>
      <c r="AJ231">
        <v>91.857025165054495</v>
      </c>
      <c r="AK231">
        <v>12.0247733877884</v>
      </c>
      <c r="AL231">
        <v>81.932930454700198</v>
      </c>
      <c r="AM231">
        <v>86.095504478083996</v>
      </c>
      <c r="AN231">
        <v>1.00000001646393</v>
      </c>
    </row>
    <row r="232" spans="1:40" x14ac:dyDescent="0.25">
      <c r="A232" t="str">
        <f>"20190312164441879"</f>
        <v>20190312164441879</v>
      </c>
      <c r="B232" t="str">
        <f>"1552380281872143"</f>
        <v>1552380281872143</v>
      </c>
      <c r="C232" t="s">
        <v>40</v>
      </c>
      <c r="D232">
        <v>4.5390769999999998</v>
      </c>
      <c r="E232">
        <v>0.46651340000000002</v>
      </c>
      <c r="F232" t="s">
        <v>41</v>
      </c>
      <c r="G232">
        <v>-431.3005</v>
      </c>
      <c r="H232">
        <v>0.98238749999999997</v>
      </c>
      <c r="I232">
        <v>368.37090000000001</v>
      </c>
      <c r="J232">
        <v>-431.82279999999997</v>
      </c>
      <c r="K232">
        <v>1.0621510000000001</v>
      </c>
      <c r="L232">
        <v>368.33730000000003</v>
      </c>
      <c r="M232">
        <v>0.99994269999999996</v>
      </c>
      <c r="N232">
        <v>0</v>
      </c>
      <c r="O232">
        <v>8.8958790000000006E-3</v>
      </c>
      <c r="P232">
        <v>0.98920600000000003</v>
      </c>
      <c r="Q232">
        <v>0.13456279999999901</v>
      </c>
      <c r="R232">
        <v>-5.8006000000000002E-2</v>
      </c>
      <c r="S232">
        <v>3.0778810000000001</v>
      </c>
      <c r="T232">
        <v>-0.27971170000000001</v>
      </c>
      <c r="U232">
        <v>0.12783810000000001</v>
      </c>
      <c r="V232">
        <v>6.7092669999999993E-2</v>
      </c>
      <c r="W232">
        <v>0.14031569999999999</v>
      </c>
      <c r="X232">
        <v>0.98783100000000001</v>
      </c>
      <c r="Y232">
        <v>-3.2511539999999998E-2</v>
      </c>
      <c r="Z232">
        <v>6.6722190000000005E-4</v>
      </c>
      <c r="AA232">
        <v>0.99947109999999995</v>
      </c>
      <c r="AB232">
        <v>38</v>
      </c>
      <c r="AC232">
        <v>0.52229999999997201</v>
      </c>
      <c r="AD232">
        <v>-7.9763500000000098E-2</v>
      </c>
      <c r="AE232">
        <v>3.3599999999978501E-2</v>
      </c>
      <c r="AF232">
        <v>-2.8295088227240601E-2</v>
      </c>
      <c r="AG232">
        <v>-7.9763500000000098E-2</v>
      </c>
      <c r="AH232">
        <v>0.51071633257037696</v>
      </c>
      <c r="AI232">
        <v>98.863348479592403</v>
      </c>
      <c r="AJ232">
        <v>93.171101752109493</v>
      </c>
      <c r="AK232">
        <v>0.51768136947757004</v>
      </c>
      <c r="AL232">
        <v>81.9338851755424</v>
      </c>
      <c r="AM232">
        <v>86.1144850390165</v>
      </c>
      <c r="AN232">
        <v>1.0000000032976</v>
      </c>
    </row>
    <row r="233" spans="1:40" x14ac:dyDescent="0.25">
      <c r="A233" t="str">
        <f>"20190312164441902"</f>
        <v>20190312164441902</v>
      </c>
      <c r="B233" t="str">
        <f>"1552380281891663"</f>
        <v>1552380281891663</v>
      </c>
      <c r="C233" t="s">
        <v>40</v>
      </c>
      <c r="D233">
        <v>4.5458210000000001</v>
      </c>
      <c r="E233">
        <v>0.46646290000000001</v>
      </c>
      <c r="F233" t="s">
        <v>41</v>
      </c>
      <c r="G233">
        <v>-430.95280000000002</v>
      </c>
      <c r="H233">
        <v>0.98317149999999998</v>
      </c>
      <c r="I233">
        <v>368.37299999999999</v>
      </c>
      <c r="J233">
        <v>-431.4359</v>
      </c>
      <c r="K233">
        <v>1.0612280000000001</v>
      </c>
      <c r="L233">
        <v>368.34010000000001</v>
      </c>
      <c r="M233">
        <v>0.99995129999999999</v>
      </c>
      <c r="N233">
        <v>0</v>
      </c>
      <c r="O233">
        <v>8.0722789999999999E-3</v>
      </c>
      <c r="P233">
        <v>0.98918459999999997</v>
      </c>
      <c r="Q233">
        <v>0.13442999999999999</v>
      </c>
      <c r="R233">
        <v>-5.8671590000000003E-2</v>
      </c>
      <c r="S233">
        <v>3.0781559999999999</v>
      </c>
      <c r="T233">
        <v>-0.27950079999999999</v>
      </c>
      <c r="U233">
        <v>0.12640380000000001</v>
      </c>
      <c r="V233">
        <v>6.6946459999999999E-2</v>
      </c>
      <c r="W233">
        <v>0.13991770000000001</v>
      </c>
      <c r="X233">
        <v>0.98789740000000004</v>
      </c>
      <c r="Y233">
        <v>-3.2861460000000002E-2</v>
      </c>
      <c r="Z233">
        <v>7.5710860000000003E-4</v>
      </c>
      <c r="AA233">
        <v>0.9994596</v>
      </c>
      <c r="AB233">
        <v>39</v>
      </c>
      <c r="AC233">
        <v>0.48309999999997899</v>
      </c>
      <c r="AD233">
        <v>-7.8056500000000001E-2</v>
      </c>
      <c r="AE233">
        <v>3.2900000000040501E-2</v>
      </c>
      <c r="AF233">
        <v>-2.8264669778187802E-2</v>
      </c>
      <c r="AG233">
        <v>-7.8056500000000001E-2</v>
      </c>
      <c r="AH233">
        <v>0.47110777328159398</v>
      </c>
      <c r="AI233">
        <v>99.391122612139</v>
      </c>
      <c r="AJ233">
        <v>93.433412642750994</v>
      </c>
      <c r="AK233">
        <v>0.47836622246586602</v>
      </c>
      <c r="AL233">
        <v>81.956916329216597</v>
      </c>
      <c r="AM233">
        <v>86.123186393698802</v>
      </c>
      <c r="AN233">
        <v>1.00000003210329</v>
      </c>
    </row>
    <row r="234" spans="1:40" x14ac:dyDescent="0.25">
      <c r="A234" t="str">
        <f>"20190312164441924"</f>
        <v>20190312164441924</v>
      </c>
      <c r="B234" t="str">
        <f>"1552380281921919"</f>
        <v>1552380281921919</v>
      </c>
      <c r="C234" t="s">
        <v>40</v>
      </c>
      <c r="D234">
        <v>4.7145769999999896</v>
      </c>
      <c r="E234">
        <v>0.46644140000000001</v>
      </c>
      <c r="F234" t="s">
        <v>41</v>
      </c>
      <c r="G234">
        <v>-430.60090000000002</v>
      </c>
      <c r="H234">
        <v>0.98628490000000002</v>
      </c>
      <c r="I234">
        <v>368.37380000000002</v>
      </c>
      <c r="J234">
        <v>-431.0575</v>
      </c>
      <c r="K234">
        <v>1.060459</v>
      </c>
      <c r="L234">
        <v>368.3426</v>
      </c>
      <c r="M234">
        <v>0.99995880000000004</v>
      </c>
      <c r="N234">
        <v>0</v>
      </c>
      <c r="O234">
        <v>7.2688500000000003E-3</v>
      </c>
      <c r="P234">
        <v>0.98923159999999999</v>
      </c>
      <c r="Q234">
        <v>0.134101</v>
      </c>
      <c r="R234">
        <v>-5.8634239999999997E-2</v>
      </c>
      <c r="S234">
        <v>3.07782</v>
      </c>
      <c r="T234">
        <v>-0.27641389999999999</v>
      </c>
      <c r="U234">
        <v>0.125946</v>
      </c>
      <c r="V234">
        <v>6.6116709999999995E-2</v>
      </c>
      <c r="W234">
        <v>0.13936099999999901</v>
      </c>
      <c r="X234">
        <v>0.98803189999999996</v>
      </c>
      <c r="Y234">
        <v>-3.3516909999999997E-2</v>
      </c>
      <c r="Z234">
        <v>8.5019929999999896E-4</v>
      </c>
      <c r="AA234">
        <v>0.99943780000000004</v>
      </c>
      <c r="AB234">
        <v>39</v>
      </c>
      <c r="AC234">
        <v>0.45659999999998002</v>
      </c>
      <c r="AD234">
        <v>-7.4174100000000007E-2</v>
      </c>
      <c r="AE234">
        <v>3.1200000000012499E-2</v>
      </c>
      <c r="AF234">
        <v>-2.7166586313936099E-2</v>
      </c>
      <c r="AG234">
        <v>-7.4174100000000007E-2</v>
      </c>
      <c r="AH234">
        <v>0.44512271125590602</v>
      </c>
      <c r="AI234">
        <v>99.443437696887997</v>
      </c>
      <c r="AJ234">
        <v>93.492525511147704</v>
      </c>
      <c r="AK234">
        <v>0.45207748074701898</v>
      </c>
      <c r="AL234">
        <v>81.989128001627705</v>
      </c>
      <c r="AM234">
        <v>86.171612378089193</v>
      </c>
      <c r="AN234">
        <v>0.99999997153991604</v>
      </c>
    </row>
    <row r="235" spans="1:40" x14ac:dyDescent="0.25">
      <c r="A235" t="str">
        <f>"20190312164441946"</f>
        <v>20190312164441946</v>
      </c>
      <c r="B235" t="str">
        <f>"1552380281941946"</f>
        <v>1552380281941946</v>
      </c>
      <c r="C235" t="s">
        <v>40</v>
      </c>
      <c r="D235">
        <v>4.7831260000000002</v>
      </c>
      <c r="E235">
        <v>0.46639039999999998</v>
      </c>
      <c r="F235" t="s">
        <v>43</v>
      </c>
      <c r="G235">
        <v>-418.62360000000001</v>
      </c>
      <c r="H235">
        <v>-0.05</v>
      </c>
      <c r="I235">
        <v>368.85379999999998</v>
      </c>
      <c r="J235">
        <v>-430.6755</v>
      </c>
      <c r="K235">
        <v>1.059798</v>
      </c>
      <c r="L235">
        <v>368.34469999999999</v>
      </c>
      <c r="M235">
        <v>0.9999654</v>
      </c>
      <c r="N235">
        <v>0</v>
      </c>
      <c r="O235">
        <v>6.4594120000000003E-3</v>
      </c>
      <c r="P235">
        <v>0.98927370000000003</v>
      </c>
      <c r="Q235">
        <v>0.1335151</v>
      </c>
      <c r="R235">
        <v>-5.9256400000000001E-2</v>
      </c>
      <c r="S235">
        <v>3.077423</v>
      </c>
      <c r="T235">
        <v>-0.27484140000000001</v>
      </c>
      <c r="U235">
        <v>0.1265259</v>
      </c>
      <c r="V235">
        <v>6.5939699999999907E-2</v>
      </c>
      <c r="W235">
        <v>0.13857239999999901</v>
      </c>
      <c r="X235">
        <v>0.98815459999999999</v>
      </c>
      <c r="Y235">
        <v>-3.4513160000000001E-2</v>
      </c>
      <c r="Z235">
        <v>9.6197869999999997E-4</v>
      </c>
      <c r="AA235">
        <v>0.99940379999999995</v>
      </c>
      <c r="AB235">
        <v>39</v>
      </c>
      <c r="AC235">
        <v>12.0518999999999</v>
      </c>
      <c r="AD235">
        <v>-1.1097980000000001</v>
      </c>
      <c r="AE235">
        <v>0.50909999999998901</v>
      </c>
      <c r="AF235">
        <v>-0.42762051746399898</v>
      </c>
      <c r="AG235">
        <v>-1.1097980000000001</v>
      </c>
      <c r="AH235">
        <v>11.953754249682</v>
      </c>
      <c r="AI235">
        <v>95.300818912744802</v>
      </c>
      <c r="AJ235">
        <v>92.048762852014605</v>
      </c>
      <c r="AK235">
        <v>12.012774515887299</v>
      </c>
      <c r="AL235">
        <v>82.034753861448394</v>
      </c>
      <c r="AM235">
        <v>86.182304218494906</v>
      </c>
      <c r="AN235">
        <v>0.99999993378950203</v>
      </c>
    </row>
    <row r="236" spans="1:40" x14ac:dyDescent="0.25">
      <c r="A236" t="str">
        <f>"20190312164441969"</f>
        <v>20190312164441969</v>
      </c>
      <c r="B236" t="str">
        <f>"1552380281962443"</f>
        <v>1552380281962443</v>
      </c>
      <c r="C236" t="s">
        <v>40</v>
      </c>
      <c r="D236">
        <v>4.6456470000000003</v>
      </c>
      <c r="E236">
        <v>0.4663736</v>
      </c>
      <c r="F236" t="s">
        <v>43</v>
      </c>
      <c r="G236">
        <v>-418.25400000000002</v>
      </c>
      <c r="H236">
        <v>-0.05</v>
      </c>
      <c r="I236">
        <v>368.85090000000002</v>
      </c>
      <c r="J236">
        <v>-430.27229999999997</v>
      </c>
      <c r="K236">
        <v>1.0592090000000001</v>
      </c>
      <c r="L236">
        <v>368.3467</v>
      </c>
      <c r="M236">
        <v>0.99997139999999995</v>
      </c>
      <c r="N236">
        <v>0</v>
      </c>
      <c r="O236">
        <v>5.6105769999999899E-3</v>
      </c>
      <c r="P236">
        <v>0.98930629999999997</v>
      </c>
      <c r="Q236">
        <v>0.13280839999999999</v>
      </c>
      <c r="R236">
        <v>-6.0291020000000001E-2</v>
      </c>
      <c r="S236">
        <v>3.0770870000000001</v>
      </c>
      <c r="T236">
        <v>-0.27492139999999998</v>
      </c>
      <c r="U236">
        <v>0.1253967</v>
      </c>
      <c r="V236">
        <v>6.6134780000000004E-2</v>
      </c>
      <c r="W236">
        <v>0.13767939999999901</v>
      </c>
      <c r="X236">
        <v>0.98826650000000005</v>
      </c>
      <c r="Y236">
        <v>-3.4994490000000003E-2</v>
      </c>
      <c r="Z236">
        <v>1.0594720000000001E-3</v>
      </c>
      <c r="AA236">
        <v>0.99938700000000003</v>
      </c>
      <c r="AB236">
        <v>39</v>
      </c>
      <c r="AC236">
        <v>12.018299999999901</v>
      </c>
      <c r="AD236">
        <v>-1.1092089999999999</v>
      </c>
      <c r="AE236">
        <v>0.50420000000002496</v>
      </c>
      <c r="AF236">
        <v>-0.43307908697799402</v>
      </c>
      <c r="AG236">
        <v>-1.1092089999999999</v>
      </c>
      <c r="AH236">
        <v>11.9195863580318</v>
      </c>
      <c r="AI236">
        <v>95.313015191165704</v>
      </c>
      <c r="AJ236">
        <v>92.080835091959997</v>
      </c>
      <c r="AK236">
        <v>11.9789165222835</v>
      </c>
      <c r="AL236">
        <v>82.086415109420201</v>
      </c>
      <c r="AM236">
        <v>86.171475521971004</v>
      </c>
      <c r="AN236">
        <v>1.00000005066612</v>
      </c>
    </row>
    <row r="237" spans="1:40" x14ac:dyDescent="0.25">
      <c r="A237" t="str">
        <f>"20190312164441994"</f>
        <v>20190312164441994</v>
      </c>
      <c r="B237" t="str">
        <f>"1552380281981962"</f>
        <v>1552380281981962</v>
      </c>
      <c r="C237" t="s">
        <v>40</v>
      </c>
      <c r="D237">
        <v>4.6121189999999999</v>
      </c>
      <c r="E237">
        <v>0.46633360000000001</v>
      </c>
      <c r="F237" t="s">
        <v>41</v>
      </c>
      <c r="G237">
        <v>-429.21109999999999</v>
      </c>
      <c r="H237">
        <v>0.96399659999999998</v>
      </c>
      <c r="I237">
        <v>368.38889999999998</v>
      </c>
      <c r="J237">
        <v>-429.83229999999998</v>
      </c>
      <c r="K237">
        <v>1.058689</v>
      </c>
      <c r="L237">
        <v>368.34840000000003</v>
      </c>
      <c r="M237">
        <v>0.99997709999999995</v>
      </c>
      <c r="N237">
        <v>0</v>
      </c>
      <c r="O237">
        <v>4.6951199999999997E-3</v>
      </c>
      <c r="P237">
        <v>0.98929330000000004</v>
      </c>
      <c r="Q237">
        <v>0.13243460000000001</v>
      </c>
      <c r="R237">
        <v>-6.1321500000000001E-2</v>
      </c>
      <c r="S237">
        <v>3.0769959999999998</v>
      </c>
      <c r="T237">
        <v>-0.27618160000000003</v>
      </c>
      <c r="U237">
        <v>0.1230469</v>
      </c>
      <c r="V237">
        <v>6.6259109999999996E-2</v>
      </c>
      <c r="W237">
        <v>0.13713429999999999</v>
      </c>
      <c r="X237">
        <v>0.98833389999999999</v>
      </c>
      <c r="Y237">
        <v>-3.5143290000000001E-2</v>
      </c>
      <c r="Z237">
        <v>1.1529859999999999E-3</v>
      </c>
      <c r="AA237">
        <v>0.99938159999999998</v>
      </c>
      <c r="AB237">
        <v>39</v>
      </c>
      <c r="AC237">
        <v>0.62119999999998698</v>
      </c>
      <c r="AD237">
        <v>-9.4692399999999996E-2</v>
      </c>
      <c r="AE237">
        <v>4.0499999999951797E-2</v>
      </c>
      <c r="AF237">
        <v>-3.6732983704537203E-2</v>
      </c>
      <c r="AG237">
        <v>-9.4692399999999996E-2</v>
      </c>
      <c r="AH237">
        <v>0.60733090286096003</v>
      </c>
      <c r="AI237">
        <v>98.8460496283042</v>
      </c>
      <c r="AJ237">
        <v>93.461184296259802</v>
      </c>
      <c r="AK237">
        <v>0.61576520547974001</v>
      </c>
      <c r="AL237">
        <v>82.117945652727002</v>
      </c>
      <c r="AM237">
        <v>86.164560354245694</v>
      </c>
      <c r="AN237">
        <v>0.99999999189184596</v>
      </c>
    </row>
    <row r="238" spans="1:40" x14ac:dyDescent="0.25">
      <c r="A238" t="str">
        <f>"20190312164442014"</f>
        <v>20190312164442014</v>
      </c>
      <c r="B238" t="str">
        <f>"1552380282012218"</f>
        <v>1552380282012218</v>
      </c>
      <c r="C238" t="s">
        <v>40</v>
      </c>
      <c r="D238">
        <v>4.5470059999999997</v>
      </c>
      <c r="E238">
        <v>0.46609800000000001</v>
      </c>
      <c r="F238" t="s">
        <v>41</v>
      </c>
      <c r="G238">
        <v>-428.85270000000003</v>
      </c>
      <c r="H238">
        <v>0.97060000000000002</v>
      </c>
      <c r="I238">
        <v>368.38670000000002</v>
      </c>
      <c r="J238">
        <v>-429.47059999999999</v>
      </c>
      <c r="K238">
        <v>1.0583290000000001</v>
      </c>
      <c r="L238">
        <v>368.34949999999998</v>
      </c>
      <c r="M238">
        <v>0.99998089999999995</v>
      </c>
      <c r="N238">
        <v>0</v>
      </c>
      <c r="O238">
        <v>3.9496599999999998E-3</v>
      </c>
      <c r="P238">
        <v>0.98929619999999996</v>
      </c>
      <c r="Q238">
        <v>0.13184679999999999</v>
      </c>
      <c r="R238">
        <v>-6.2528550000000002E-2</v>
      </c>
      <c r="S238">
        <v>3.0769350000000002</v>
      </c>
      <c r="T238">
        <v>-0.276675</v>
      </c>
      <c r="U238">
        <v>0.12048339999999901</v>
      </c>
      <c r="V238">
        <v>6.6727149999999999E-2</v>
      </c>
      <c r="W238">
        <v>0.1364253</v>
      </c>
      <c r="X238">
        <v>0.98840050000000002</v>
      </c>
      <c r="Y238">
        <v>-3.5054689999999999E-2</v>
      </c>
      <c r="Z238">
        <v>1.2179739999999999E-3</v>
      </c>
      <c r="AA238">
        <v>0.99938459999999996</v>
      </c>
      <c r="AB238">
        <v>39</v>
      </c>
      <c r="AC238">
        <v>0.61789999999996303</v>
      </c>
      <c r="AD238">
        <v>-8.7729000000000001E-2</v>
      </c>
      <c r="AE238">
        <v>3.72000000000412E-2</v>
      </c>
      <c r="AF238">
        <v>-3.4074784468611702E-2</v>
      </c>
      <c r="AG238">
        <v>-8.7729000000000001E-2</v>
      </c>
      <c r="AH238">
        <v>0.60587295840007105</v>
      </c>
      <c r="AI238">
        <v>98.226212366703606</v>
      </c>
      <c r="AJ238">
        <v>93.218969870672893</v>
      </c>
      <c r="AK238">
        <v>0.61313906260980999</v>
      </c>
      <c r="AL238">
        <v>82.158953539339507</v>
      </c>
      <c r="AM238">
        <v>86.137808829871304</v>
      </c>
      <c r="AN238">
        <v>0.99999996171372996</v>
      </c>
    </row>
    <row r="239" spans="1:40" x14ac:dyDescent="0.25">
      <c r="A239" t="str">
        <f>"20190312164442036"</f>
        <v>20190312164442036</v>
      </c>
      <c r="B239" t="str">
        <f>"1552380282031738"</f>
        <v>1552380282031738</v>
      </c>
      <c r="C239" t="s">
        <v>40</v>
      </c>
      <c r="D239">
        <v>4.550929</v>
      </c>
      <c r="E239">
        <v>0.4659952</v>
      </c>
      <c r="F239" t="s">
        <v>41</v>
      </c>
      <c r="G239">
        <v>-428.49740000000003</v>
      </c>
      <c r="H239">
        <v>0.96997990000000001</v>
      </c>
      <c r="I239">
        <v>368.38670000000002</v>
      </c>
      <c r="J239">
        <v>-429.08269999999999</v>
      </c>
      <c r="K239">
        <v>1.058011</v>
      </c>
      <c r="L239">
        <v>368.35050000000001</v>
      </c>
      <c r="M239">
        <v>0.99998430000000005</v>
      </c>
      <c r="N239">
        <v>0</v>
      </c>
      <c r="O239">
        <v>3.1572560000000002E-3</v>
      </c>
      <c r="P239">
        <v>0.98927770000000004</v>
      </c>
      <c r="Q239">
        <v>0.13149829999999901</v>
      </c>
      <c r="R239">
        <v>-6.3546039999999998E-2</v>
      </c>
      <c r="S239">
        <v>3.0772089999999999</v>
      </c>
      <c r="T239">
        <v>-0.27954240000000002</v>
      </c>
      <c r="U239">
        <v>0.1187439</v>
      </c>
      <c r="V239">
        <v>6.6959530000000003E-2</v>
      </c>
      <c r="W239">
        <v>0.13596569999999999</v>
      </c>
      <c r="X239">
        <v>0.98844810000000005</v>
      </c>
      <c r="Y239">
        <v>-3.5272310000000001E-2</v>
      </c>
      <c r="Z239">
        <v>1.3121179999999999E-3</v>
      </c>
      <c r="AA239">
        <v>0.99937690000000001</v>
      </c>
      <c r="AB239">
        <v>40</v>
      </c>
      <c r="AC239">
        <v>0.58529999999996096</v>
      </c>
      <c r="AD239">
        <v>-8.8031099999999904E-2</v>
      </c>
      <c r="AE239">
        <v>3.6200000000007997E-2</v>
      </c>
      <c r="AF239">
        <v>-3.3594799835868799E-2</v>
      </c>
      <c r="AG239">
        <v>-8.8031099999999904E-2</v>
      </c>
      <c r="AH239">
        <v>0.57250988041582695</v>
      </c>
      <c r="AI239">
        <v>98.726753794328403</v>
      </c>
      <c r="AJ239">
        <v>93.358257348852206</v>
      </c>
      <c r="AK239">
        <v>0.58021172714532998</v>
      </c>
      <c r="AL239">
        <v>82.1855342561431</v>
      </c>
      <c r="AM239">
        <v>86.1245855775244</v>
      </c>
      <c r="AN239">
        <v>0.999999948313959</v>
      </c>
    </row>
    <row r="240" spans="1:40" x14ac:dyDescent="0.25">
      <c r="A240" t="str">
        <f>"20190312164442059"</f>
        <v>20190312164442059</v>
      </c>
      <c r="B240" t="str">
        <f>"1552380282052235"</f>
        <v>1552380282052235</v>
      </c>
      <c r="C240" t="s">
        <v>40</v>
      </c>
      <c r="D240">
        <v>4.7689309999999896</v>
      </c>
      <c r="E240">
        <v>0.4659393</v>
      </c>
      <c r="F240" t="s">
        <v>41</v>
      </c>
      <c r="G240">
        <v>-428.13920000000002</v>
      </c>
      <c r="H240">
        <v>0.97204290000000004</v>
      </c>
      <c r="I240">
        <v>368.38580000000002</v>
      </c>
      <c r="J240">
        <v>-428.6755</v>
      </c>
      <c r="K240">
        <v>1.0577299999999901</v>
      </c>
      <c r="L240">
        <v>368.35120000000001</v>
      </c>
      <c r="M240">
        <v>0.99998690000000001</v>
      </c>
      <c r="N240">
        <v>0</v>
      </c>
      <c r="O240">
        <v>2.3345250000000001E-3</v>
      </c>
      <c r="P240">
        <v>0.98929290000000003</v>
      </c>
      <c r="Q240">
        <v>0.13099189999999999</v>
      </c>
      <c r="R240">
        <v>-6.4350599999999994E-2</v>
      </c>
      <c r="S240">
        <v>3.0772400000000002</v>
      </c>
      <c r="T240">
        <v>-0.2805339</v>
      </c>
      <c r="U240">
        <v>0.1158752</v>
      </c>
      <c r="V240">
        <v>6.6948659999999993E-2</v>
      </c>
      <c r="W240">
        <v>0.13536189999999901</v>
      </c>
      <c r="X240">
        <v>0.98853179999999996</v>
      </c>
      <c r="Y240">
        <v>-3.5159990000000002E-2</v>
      </c>
      <c r="Z240">
        <v>1.386476E-3</v>
      </c>
      <c r="AA240">
        <v>0.99938070000000001</v>
      </c>
      <c r="AB240">
        <v>40</v>
      </c>
      <c r="AC240">
        <v>0.53629999999998201</v>
      </c>
      <c r="AD240">
        <v>-8.5687099999999794E-2</v>
      </c>
      <c r="AE240">
        <v>3.4600000000011698E-2</v>
      </c>
      <c r="AF240">
        <v>-3.2521131606264103E-2</v>
      </c>
      <c r="AG240">
        <v>-8.5687099999999794E-2</v>
      </c>
      <c r="AH240">
        <v>0.52308148572812896</v>
      </c>
      <c r="AI240">
        <v>99.285501643746699</v>
      </c>
      <c r="AJ240">
        <v>93.557626047529993</v>
      </c>
      <c r="AK240">
        <v>0.53105003890302904</v>
      </c>
      <c r="AL240">
        <v>82.220453013395897</v>
      </c>
      <c r="AM240">
        <v>86.125539866454801</v>
      </c>
      <c r="AN240">
        <v>1.0000000433293199</v>
      </c>
    </row>
    <row r="241" spans="1:40" x14ac:dyDescent="0.25">
      <c r="A241" t="str">
        <f>"20190312164442081"</f>
        <v>20190312164442081</v>
      </c>
      <c r="B241" t="str">
        <f>"1552380282071757"</f>
        <v>1552380282071757</v>
      </c>
      <c r="C241" t="s">
        <v>40</v>
      </c>
      <c r="D241">
        <v>4.588946</v>
      </c>
      <c r="E241">
        <v>0.46252749999999998</v>
      </c>
      <c r="F241" t="s">
        <v>41</v>
      </c>
      <c r="G241">
        <v>-427.77850000000001</v>
      </c>
      <c r="H241">
        <v>0.97576430000000003</v>
      </c>
      <c r="I241">
        <v>368.38380000000001</v>
      </c>
      <c r="J241">
        <v>-428.26659999999998</v>
      </c>
      <c r="K241">
        <v>1.0575030000000001</v>
      </c>
      <c r="L241">
        <v>368.35149999999999</v>
      </c>
      <c r="M241">
        <v>0.99998889999999996</v>
      </c>
      <c r="N241">
        <v>0</v>
      </c>
      <c r="O241">
        <v>1.5157829999999999E-3</v>
      </c>
      <c r="P241">
        <v>0.98934200000000005</v>
      </c>
      <c r="Q241">
        <v>0.13029689999999999</v>
      </c>
      <c r="R241">
        <v>-6.5005750000000001E-2</v>
      </c>
      <c r="S241">
        <v>3.0770870000000001</v>
      </c>
      <c r="T241">
        <v>-0.28133770000000002</v>
      </c>
      <c r="U241">
        <v>0.11334230000000001</v>
      </c>
      <c r="V241">
        <v>6.6792009999999999E-2</v>
      </c>
      <c r="W241">
        <v>0.13458609999999999</v>
      </c>
      <c r="X241">
        <v>0.98864830000000004</v>
      </c>
      <c r="Y241">
        <v>-3.5154379999999999E-2</v>
      </c>
      <c r="Z241">
        <v>1.4649419999999999E-3</v>
      </c>
      <c r="AA241">
        <v>0.99938079999999996</v>
      </c>
      <c r="AB241">
        <v>40</v>
      </c>
      <c r="AC241">
        <v>0.488099999999974</v>
      </c>
      <c r="AD241">
        <v>-8.1738699999999997E-2</v>
      </c>
      <c r="AE241">
        <v>3.2300000000020597E-2</v>
      </c>
      <c r="AF241">
        <v>-3.0702829990887401E-2</v>
      </c>
      <c r="AG241">
        <v>-8.1738699999999997E-2</v>
      </c>
      <c r="AH241">
        <v>0.47488875015026</v>
      </c>
      <c r="AI241">
        <v>99.746201752355901</v>
      </c>
      <c r="AJ241">
        <v>93.699177232911694</v>
      </c>
      <c r="AK241">
        <v>0.48284904873719697</v>
      </c>
      <c r="AL241">
        <v>82.265313456387702</v>
      </c>
      <c r="AM241">
        <v>86.135032129055304</v>
      </c>
      <c r="AN241">
        <v>1.00000002600296</v>
      </c>
    </row>
    <row r="242" spans="1:40" x14ac:dyDescent="0.25">
      <c r="A242" t="str">
        <f>"20190312164442102"</f>
        <v>20190312164442102</v>
      </c>
      <c r="B242" t="str">
        <f>"1552380282092251"</f>
        <v>1552380282092251</v>
      </c>
      <c r="C242" t="s">
        <v>40</v>
      </c>
      <c r="D242">
        <v>4.8622709999999998</v>
      </c>
      <c r="E242">
        <v>0.46249230000000002</v>
      </c>
      <c r="F242" t="s">
        <v>43</v>
      </c>
      <c r="G242">
        <v>-413.07479999999998</v>
      </c>
      <c r="H242">
        <v>-0.05</v>
      </c>
      <c r="I242">
        <v>369.02120000000002</v>
      </c>
      <c r="J242">
        <v>-427.88690000000003</v>
      </c>
      <c r="K242">
        <v>1.0573170000000001</v>
      </c>
      <c r="L242">
        <v>368.35160000000002</v>
      </c>
      <c r="M242">
        <v>0.99999009999999999</v>
      </c>
      <c r="N242">
        <v>0</v>
      </c>
      <c r="O242">
        <v>7.6265709999999995E-4</v>
      </c>
      <c r="P242">
        <v>0.98937229999999998</v>
      </c>
      <c r="Q242">
        <v>0.12992919999999999</v>
      </c>
      <c r="R242">
        <v>-6.5278059999999999E-2</v>
      </c>
      <c r="S242">
        <v>3.0707089999999999</v>
      </c>
      <c r="T242">
        <v>-0.223858</v>
      </c>
      <c r="U242">
        <v>0.135376</v>
      </c>
      <c r="V242">
        <v>6.6318240000000001E-2</v>
      </c>
      <c r="W242">
        <v>0.1341571</v>
      </c>
      <c r="X242">
        <v>0.98873849999999996</v>
      </c>
      <c r="Y242">
        <v>-4.3169190000000003E-2</v>
      </c>
      <c r="Z242">
        <v>1.515197E-3</v>
      </c>
      <c r="AA242">
        <v>0.99906669999999997</v>
      </c>
      <c r="AB242">
        <v>40</v>
      </c>
      <c r="AC242">
        <v>14.812099999999999</v>
      </c>
      <c r="AD242">
        <v>-1.1073170000000001</v>
      </c>
      <c r="AE242">
        <v>0.66960000000000197</v>
      </c>
      <c r="AF242">
        <v>-0.65465195283627198</v>
      </c>
      <c r="AG242">
        <v>-1.1073170000000001</v>
      </c>
      <c r="AH242">
        <v>14.730450225395099</v>
      </c>
      <c r="AI242">
        <v>94.294728109174997</v>
      </c>
      <c r="AJ242">
        <v>92.544669583664501</v>
      </c>
      <c r="AK242">
        <v>14.786510202231099</v>
      </c>
      <c r="AL242">
        <v>82.290118322695307</v>
      </c>
      <c r="AM242">
        <v>86.1627140121591</v>
      </c>
      <c r="AN242">
        <v>1.00000002890967</v>
      </c>
    </row>
    <row r="243" spans="1:40" x14ac:dyDescent="0.25">
      <c r="A243" t="str">
        <f>"20190312164442115"</f>
        <v>20190312164442115</v>
      </c>
      <c r="B243" t="str">
        <f>"1552380282111770"</f>
        <v>1552380282111770</v>
      </c>
      <c r="C243" t="s">
        <v>40</v>
      </c>
      <c r="D243">
        <v>4.7546759999999999</v>
      </c>
      <c r="E243">
        <v>0.46253480000000002</v>
      </c>
      <c r="F243" t="s">
        <v>43</v>
      </c>
      <c r="G243">
        <v>-412.9384</v>
      </c>
      <c r="H243">
        <v>-0.05</v>
      </c>
      <c r="I243">
        <v>369.00779999999997</v>
      </c>
      <c r="J243">
        <v>-427.65690000000001</v>
      </c>
      <c r="K243">
        <v>1.0572239999999999</v>
      </c>
      <c r="L243">
        <v>368.35149999999999</v>
      </c>
      <c r="M243">
        <v>0.9999903</v>
      </c>
      <c r="N243">
        <v>0</v>
      </c>
      <c r="O243">
        <v>3.1054880000000001E-4</v>
      </c>
      <c r="P243">
        <v>0.98939589999999999</v>
      </c>
      <c r="Q243">
        <v>0.1297276</v>
      </c>
      <c r="R243">
        <v>-6.5320470000000005E-2</v>
      </c>
      <c r="S243">
        <v>3.0709529999999998</v>
      </c>
      <c r="T243">
        <v>-0.2274824</v>
      </c>
      <c r="U243">
        <v>0.13482669999999999</v>
      </c>
      <c r="V243">
        <v>6.5912680000000001E-2</v>
      </c>
      <c r="W243">
        <v>0.13392409999999999</v>
      </c>
      <c r="X243">
        <v>0.98879720000000004</v>
      </c>
      <c r="Y243">
        <v>-4.3433409999999999E-2</v>
      </c>
      <c r="Z243">
        <v>1.582743E-3</v>
      </c>
      <c r="AA243">
        <v>0.99905509999999997</v>
      </c>
      <c r="AB243">
        <v>40</v>
      </c>
      <c r="AC243">
        <v>14.718500000000001</v>
      </c>
      <c r="AD243">
        <v>-1.107224</v>
      </c>
      <c r="AE243">
        <v>0.656299999999987</v>
      </c>
      <c r="AF243">
        <v>-0.64806893177517599</v>
      </c>
      <c r="AG243">
        <v>-1.107224</v>
      </c>
      <c r="AH243">
        <v>14.6360413046755</v>
      </c>
      <c r="AI243">
        <v>94.321995798273804</v>
      </c>
      <c r="AJ243">
        <v>92.535342396721802</v>
      </c>
      <c r="AK243">
        <v>14.6921626521991</v>
      </c>
      <c r="AL243">
        <v>82.303589772375403</v>
      </c>
      <c r="AM243">
        <v>86.186336677430901</v>
      </c>
      <c r="AN243">
        <v>1.00000002433671</v>
      </c>
    </row>
    <row r="244" spans="1:40" x14ac:dyDescent="0.25">
      <c r="A244" t="str">
        <f>"20190312164442136"</f>
        <v>20190312164442136</v>
      </c>
      <c r="B244" t="str">
        <f>"1552380282132267"</f>
        <v>1552380282132267</v>
      </c>
      <c r="C244" t="s">
        <v>40</v>
      </c>
      <c r="D244">
        <v>4.6081699999999897</v>
      </c>
      <c r="E244">
        <v>0.46520020000000001</v>
      </c>
      <c r="F244" t="s">
        <v>43</v>
      </c>
      <c r="G244">
        <v>-413.02620000000002</v>
      </c>
      <c r="H244">
        <v>-0.05</v>
      </c>
      <c r="I244">
        <v>368.99119999999999</v>
      </c>
      <c r="J244">
        <v>-427.28269999999998</v>
      </c>
      <c r="K244">
        <v>1.0571010000000001</v>
      </c>
      <c r="L244">
        <v>368.35109999999997</v>
      </c>
      <c r="M244">
        <v>0.99999059999999995</v>
      </c>
      <c r="N244">
        <v>0</v>
      </c>
      <c r="O244">
        <v>-4.1789840000000002E-4</v>
      </c>
      <c r="P244">
        <v>0.98944359999999998</v>
      </c>
      <c r="Q244">
        <v>0.12932630000000001</v>
      </c>
      <c r="R244">
        <v>-6.5395770000000006E-2</v>
      </c>
      <c r="S244">
        <v>3.0715330000000001</v>
      </c>
      <c r="T244">
        <v>-0.23244870000000001</v>
      </c>
      <c r="U244">
        <v>0.13430790000000001</v>
      </c>
      <c r="V244">
        <v>6.5265610000000002E-2</v>
      </c>
      <c r="W244">
        <v>0.13348090000000001</v>
      </c>
      <c r="X244">
        <v>0.9889</v>
      </c>
      <c r="Y244">
        <v>-4.3975710000000001E-2</v>
      </c>
      <c r="Z244">
        <v>1.692406E-3</v>
      </c>
      <c r="AA244">
        <v>0.99903120000000001</v>
      </c>
      <c r="AB244">
        <v>40</v>
      </c>
      <c r="AC244">
        <v>14.2564999999999</v>
      </c>
      <c r="AD244">
        <v>-1.1071009999999999</v>
      </c>
      <c r="AE244">
        <v>0.64010000000001799</v>
      </c>
      <c r="AF244">
        <v>-0.64219285705955997</v>
      </c>
      <c r="AG244">
        <v>-1.1071009999999999</v>
      </c>
      <c r="AH244">
        <v>14.1709462106061</v>
      </c>
      <c r="AI244">
        <v>94.462580810062704</v>
      </c>
      <c r="AJ244">
        <v>92.594730261257396</v>
      </c>
      <c r="AK244">
        <v>14.2286261035193</v>
      </c>
      <c r="AL244">
        <v>82.329212981965696</v>
      </c>
      <c r="AM244">
        <v>86.224058275946405</v>
      </c>
      <c r="AN244">
        <v>0.99999998025674097</v>
      </c>
    </row>
    <row r="245" spans="1:40" x14ac:dyDescent="0.25">
      <c r="A245" t="str">
        <f>"20190312164442160"</f>
        <v>20190312164442160</v>
      </c>
      <c r="B245" t="str">
        <f>"1552380282152296"</f>
        <v>1552380282152296</v>
      </c>
      <c r="C245" t="s">
        <v>40</v>
      </c>
      <c r="D245">
        <v>4.5615569999999996</v>
      </c>
      <c r="E245">
        <v>0.46944619999999998</v>
      </c>
      <c r="F245" t="s">
        <v>43</v>
      </c>
      <c r="G245">
        <v>-412.7756</v>
      </c>
      <c r="H245">
        <v>-0.05</v>
      </c>
      <c r="I245">
        <v>368.88740000000001</v>
      </c>
      <c r="J245">
        <v>-426.8571</v>
      </c>
      <c r="K245">
        <v>1.0569820000000001</v>
      </c>
      <c r="L245">
        <v>368.3503</v>
      </c>
      <c r="M245">
        <v>0.99999000000000005</v>
      </c>
      <c r="N245">
        <v>0</v>
      </c>
      <c r="O245">
        <v>-1.234562E-3</v>
      </c>
      <c r="P245">
        <v>0.98952560000000001</v>
      </c>
      <c r="Q245">
        <v>0.12848850000000001</v>
      </c>
      <c r="R245">
        <v>-6.5802479999999997E-2</v>
      </c>
      <c r="S245">
        <v>3.0701290000000001</v>
      </c>
      <c r="T245">
        <v>-0.234296</v>
      </c>
      <c r="U245">
        <v>0.113494899999999</v>
      </c>
      <c r="V245">
        <v>6.4861290000000002E-2</v>
      </c>
      <c r="W245">
        <v>0.13260559999999999</v>
      </c>
      <c r="X245">
        <v>0.98904440000000005</v>
      </c>
      <c r="Y245">
        <v>-3.8061810000000001E-2</v>
      </c>
      <c r="Z245">
        <v>1.5437840000000001E-3</v>
      </c>
      <c r="AA245">
        <v>0.9992742</v>
      </c>
      <c r="AB245">
        <v>40</v>
      </c>
      <c r="AC245">
        <v>14.0815</v>
      </c>
      <c r="AD245">
        <v>-1.1069819999999999</v>
      </c>
      <c r="AE245">
        <v>0.53710000000000901</v>
      </c>
      <c r="AF245">
        <v>-0.55108352808076899</v>
      </c>
      <c r="AG245">
        <v>-1.1069819999999999</v>
      </c>
      <c r="AH245">
        <v>13.9944670455922</v>
      </c>
      <c r="AI245">
        <v>94.519271220809003</v>
      </c>
      <c r="AJ245">
        <v>92.255066563267803</v>
      </c>
      <c r="AK245">
        <v>14.048993205685999</v>
      </c>
      <c r="AL245">
        <v>82.379814180894002</v>
      </c>
      <c r="AM245">
        <v>86.247929478093596</v>
      </c>
      <c r="AN245">
        <v>1.00000002863159</v>
      </c>
    </row>
    <row r="246" spans="1:40" x14ac:dyDescent="0.25">
      <c r="A246" t="str">
        <f>"20190312164442183"</f>
        <v>20190312164442183</v>
      </c>
      <c r="B246" t="str">
        <f>"1552380282171816"</f>
        <v>1552380282171816</v>
      </c>
      <c r="C246" t="s">
        <v>40</v>
      </c>
      <c r="D246">
        <v>4.7186969999999997</v>
      </c>
      <c r="E246">
        <v>0.47287620000000002</v>
      </c>
      <c r="F246" t="s">
        <v>43</v>
      </c>
      <c r="G246">
        <v>-412.62610000000001</v>
      </c>
      <c r="H246">
        <v>-0.05</v>
      </c>
      <c r="I246">
        <v>368.71550000000002</v>
      </c>
      <c r="J246">
        <v>-426.4273</v>
      </c>
      <c r="K246">
        <v>1.0568869999999999</v>
      </c>
      <c r="L246">
        <v>368.3492</v>
      </c>
      <c r="M246">
        <v>0.99998880000000001</v>
      </c>
      <c r="N246">
        <v>0</v>
      </c>
      <c r="O246">
        <v>-2.0458759999999999E-3</v>
      </c>
      <c r="P246">
        <v>0.98951040000000001</v>
      </c>
      <c r="Q246">
        <v>0.128417899999999</v>
      </c>
      <c r="R246">
        <v>-6.6167119999999996E-2</v>
      </c>
      <c r="S246">
        <v>3.0679630000000002</v>
      </c>
      <c r="T246">
        <v>-0.23864659999999999</v>
      </c>
      <c r="U246">
        <v>7.8735349999999996E-2</v>
      </c>
      <c r="V246">
        <v>6.4421129999999993E-2</v>
      </c>
      <c r="W246">
        <v>0.13250680000000001</v>
      </c>
      <c r="X246">
        <v>0.98908640000000003</v>
      </c>
      <c r="Y246">
        <v>-2.7610920000000001E-2</v>
      </c>
      <c r="Z246">
        <v>1.230964E-3</v>
      </c>
      <c r="AA246">
        <v>0.99961800000000001</v>
      </c>
      <c r="AB246">
        <v>41</v>
      </c>
      <c r="AC246">
        <v>13.8011999999999</v>
      </c>
      <c r="AD246">
        <v>-1.106887</v>
      </c>
      <c r="AE246">
        <v>0.366300000000023</v>
      </c>
      <c r="AF246">
        <v>-0.39201521176925302</v>
      </c>
      <c r="AG246">
        <v>-1.106887</v>
      </c>
      <c r="AH246">
        <v>13.712280952585401</v>
      </c>
      <c r="AI246">
        <v>94.613164384277198</v>
      </c>
      <c r="AJ246">
        <v>91.637561327041794</v>
      </c>
      <c r="AK246">
        <v>13.762467935645301</v>
      </c>
      <c r="AL246">
        <v>82.385525339046495</v>
      </c>
      <c r="AM246">
        <v>86.273477486852002</v>
      </c>
      <c r="AN246">
        <v>1.0000000203508299</v>
      </c>
    </row>
    <row r="247" spans="1:40" x14ac:dyDescent="0.25">
      <c r="A247" t="str">
        <f>"20190312164442205"</f>
        <v>20190312164442205</v>
      </c>
      <c r="B247" t="str">
        <f>"1552380282202072"</f>
        <v>1552380282202072</v>
      </c>
      <c r="C247" t="s">
        <v>40</v>
      </c>
      <c r="D247">
        <v>4.6155249999999999</v>
      </c>
      <c r="E247">
        <v>0.47655380000000003</v>
      </c>
      <c r="F247" t="s">
        <v>43</v>
      </c>
      <c r="G247">
        <v>-412.08940000000001</v>
      </c>
      <c r="H247">
        <v>-0.05</v>
      </c>
      <c r="I247">
        <v>368.58249999999998</v>
      </c>
      <c r="J247">
        <v>-426.02940000000001</v>
      </c>
      <c r="K247">
        <v>1.0568150000000001</v>
      </c>
      <c r="L247">
        <v>368.34789999999998</v>
      </c>
      <c r="M247">
        <v>0.99998719999999996</v>
      </c>
      <c r="N247">
        <v>0</v>
      </c>
      <c r="O247">
        <v>-2.7800759999999998E-3</v>
      </c>
      <c r="P247">
        <v>0.98953259999999998</v>
      </c>
      <c r="Q247">
        <v>0.12807189999999999</v>
      </c>
      <c r="R247">
        <v>-6.6505880000000003E-2</v>
      </c>
      <c r="S247">
        <v>3.0658569999999998</v>
      </c>
      <c r="T247">
        <v>-0.23668549999999999</v>
      </c>
      <c r="U247">
        <v>4.9896240000000001E-2</v>
      </c>
      <c r="V247">
        <v>6.402977E-2</v>
      </c>
      <c r="W247">
        <v>0.13214339999999999</v>
      </c>
      <c r="X247">
        <v>0.98916040000000005</v>
      </c>
      <c r="Y247">
        <v>-1.8987569999999999E-2</v>
      </c>
      <c r="Z247">
        <v>9.460804E-4</v>
      </c>
      <c r="AA247">
        <v>0.99981929999999997</v>
      </c>
      <c r="AB247">
        <v>41</v>
      </c>
      <c r="AC247">
        <v>13.9399999999999</v>
      </c>
      <c r="AD247">
        <v>-1.1068149999999899</v>
      </c>
      <c r="AE247">
        <v>0.2346</v>
      </c>
      <c r="AF247">
        <v>-0.27164172177613199</v>
      </c>
      <c r="AG247">
        <v>-1.1068149999999899</v>
      </c>
      <c r="AH247">
        <v>13.8519939996616</v>
      </c>
      <c r="AI247">
        <v>94.5675208168349</v>
      </c>
      <c r="AJ247">
        <v>91.123443278343203</v>
      </c>
      <c r="AK247">
        <v>13.8987973017774</v>
      </c>
      <c r="AL247">
        <v>82.406531137191394</v>
      </c>
      <c r="AM247">
        <v>86.296329317884897</v>
      </c>
      <c r="AN247">
        <v>0.99999999326898603</v>
      </c>
    </row>
    <row r="248" spans="1:40" x14ac:dyDescent="0.25">
      <c r="A248" t="str">
        <f>"20190312164442225"</f>
        <v>20190312164442225</v>
      </c>
      <c r="B248" t="str">
        <f>"1552380282221592"</f>
        <v>1552380282221592</v>
      </c>
      <c r="C248" t="s">
        <v>40</v>
      </c>
      <c r="D248">
        <v>4.6206559999999897</v>
      </c>
      <c r="E248">
        <v>0.47820760000000001</v>
      </c>
      <c r="F248" t="s">
        <v>43</v>
      </c>
      <c r="G248">
        <v>-411.01920000000001</v>
      </c>
      <c r="H248">
        <v>-0.05</v>
      </c>
      <c r="I248">
        <v>368.4418</v>
      </c>
      <c r="J248">
        <v>-425.6508</v>
      </c>
      <c r="K248">
        <v>1.056765</v>
      </c>
      <c r="L248">
        <v>368.34640000000002</v>
      </c>
      <c r="M248">
        <v>0.99998520000000002</v>
      </c>
      <c r="N248">
        <v>0</v>
      </c>
      <c r="O248">
        <v>-3.4590879999999999E-3</v>
      </c>
      <c r="P248">
        <v>0.98957850000000003</v>
      </c>
      <c r="Q248">
        <v>0.127397699999999</v>
      </c>
      <c r="R248">
        <v>-6.7116529999999994E-2</v>
      </c>
      <c r="S248">
        <v>3.0622250000000002</v>
      </c>
      <c r="T248">
        <v>-0.2258009</v>
      </c>
      <c r="U248">
        <v>1.9165040000000001E-2</v>
      </c>
      <c r="V248">
        <v>6.3963290000000006E-2</v>
      </c>
      <c r="W248">
        <v>0.1314594</v>
      </c>
      <c r="X248">
        <v>0.98925580000000002</v>
      </c>
      <c r="Y248">
        <v>-9.6817489999999999E-3</v>
      </c>
      <c r="Z248">
        <v>6.1118540000000001E-4</v>
      </c>
      <c r="AA248">
        <v>0.99995299999999998</v>
      </c>
      <c r="AB248">
        <v>41</v>
      </c>
      <c r="AC248">
        <v>14.631599999999899</v>
      </c>
      <c r="AD248">
        <v>-1.106765</v>
      </c>
      <c r="AE248">
        <v>9.5399999999983706E-2</v>
      </c>
      <c r="AF248">
        <v>-0.14518121540472101</v>
      </c>
      <c r="AG248">
        <v>-1.106765</v>
      </c>
      <c r="AH248">
        <v>14.5479466105211</v>
      </c>
      <c r="AI248">
        <v>94.350298370981903</v>
      </c>
      <c r="AJ248">
        <v>90.571764181330494</v>
      </c>
      <c r="AK248">
        <v>14.5907078969152</v>
      </c>
      <c r="AL248">
        <v>82.446066076028302</v>
      </c>
      <c r="AM248">
        <v>86.300519837641502</v>
      </c>
      <c r="AN248">
        <v>0.99999995707481104</v>
      </c>
    </row>
    <row r="249" spans="1:40" x14ac:dyDescent="0.25">
      <c r="A249" t="str">
        <f>"20190312164442249"</f>
        <v>20190312164442249</v>
      </c>
      <c r="B249" t="str">
        <f>"1552380282241618"</f>
        <v>1552380282241618</v>
      </c>
      <c r="C249" t="s">
        <v>40</v>
      </c>
      <c r="D249">
        <v>4.7324400000000004</v>
      </c>
      <c r="E249">
        <v>0.47945399999999999</v>
      </c>
      <c r="F249" t="s">
        <v>43</v>
      </c>
      <c r="G249">
        <v>-410.3947</v>
      </c>
      <c r="H249">
        <v>-0.05</v>
      </c>
      <c r="I249">
        <v>368.36709999999999</v>
      </c>
      <c r="J249">
        <v>-425.20830000000001</v>
      </c>
      <c r="K249">
        <v>1.0567230000000001</v>
      </c>
      <c r="L249">
        <v>368.34429999999998</v>
      </c>
      <c r="M249">
        <v>0.99998220000000004</v>
      </c>
      <c r="N249">
        <v>0</v>
      </c>
      <c r="O249">
        <v>-4.2270019999999997E-3</v>
      </c>
      <c r="P249">
        <v>0.98956049999999995</v>
      </c>
      <c r="Q249">
        <v>0.1271844</v>
      </c>
      <c r="R249">
        <v>-6.7779010000000001E-2</v>
      </c>
      <c r="S249">
        <v>3.0604550000000001</v>
      </c>
      <c r="T249">
        <v>-0.22202440000000001</v>
      </c>
      <c r="U249">
        <v>4.1503909999999998E-3</v>
      </c>
      <c r="V249">
        <v>6.3860219999999995E-2</v>
      </c>
      <c r="W249">
        <v>0.131242</v>
      </c>
      <c r="X249">
        <v>0.98929140000000004</v>
      </c>
      <c r="Y249">
        <v>-5.5574450000000003E-3</v>
      </c>
      <c r="Z249">
        <v>5.0757389999999997E-4</v>
      </c>
      <c r="AA249">
        <v>0.9999844</v>
      </c>
      <c r="AB249">
        <v>41</v>
      </c>
      <c r="AC249">
        <v>14.813599999999999</v>
      </c>
      <c r="AD249">
        <v>-1.1067229999999999</v>
      </c>
      <c r="AE249">
        <v>2.28000000000179E-2</v>
      </c>
      <c r="AF249">
        <v>-8.4943351873408901E-2</v>
      </c>
      <c r="AG249">
        <v>-1.1067229999999999</v>
      </c>
      <c r="AH249">
        <v>14.7311484867421</v>
      </c>
      <c r="AI249">
        <v>94.296379875402806</v>
      </c>
      <c r="AJ249">
        <v>90.330377609378203</v>
      </c>
      <c r="AK249">
        <v>14.772907192228701</v>
      </c>
      <c r="AL249">
        <v>82.458631612136799</v>
      </c>
      <c r="AM249">
        <v>86.3065971845013</v>
      </c>
      <c r="AN249">
        <v>1.0000000321882001</v>
      </c>
    </row>
    <row r="250" spans="1:40" x14ac:dyDescent="0.25">
      <c r="A250" t="str">
        <f>"20190312164442271"</f>
        <v>20190312164442271</v>
      </c>
      <c r="B250" t="str">
        <f>"1552380282262114"</f>
        <v>1552380282262114</v>
      </c>
      <c r="C250" t="s">
        <v>40</v>
      </c>
      <c r="D250">
        <v>4.5912379999999997</v>
      </c>
      <c r="E250">
        <v>0.48044049999999999</v>
      </c>
      <c r="F250" t="s">
        <v>41</v>
      </c>
      <c r="G250">
        <v>-424.13010000000003</v>
      </c>
      <c r="H250">
        <v>0.98020980000000002</v>
      </c>
      <c r="I250">
        <v>368.34129999999999</v>
      </c>
      <c r="J250">
        <v>-424.79809999999998</v>
      </c>
      <c r="K250">
        <v>1.056697</v>
      </c>
      <c r="L250">
        <v>368.34210000000002</v>
      </c>
      <c r="M250">
        <v>0.99997899999999995</v>
      </c>
      <c r="N250">
        <v>0</v>
      </c>
      <c r="O250">
        <v>-4.9119659999999898E-3</v>
      </c>
      <c r="P250">
        <v>0.98953120000000006</v>
      </c>
      <c r="Q250">
        <v>0.12706199999999901</v>
      </c>
      <c r="R250">
        <v>-6.8435529999999994E-2</v>
      </c>
      <c r="S250">
        <v>3.059021</v>
      </c>
      <c r="T250">
        <v>-0.21714020000000001</v>
      </c>
      <c r="U250">
        <v>-7.9650880000000004E-3</v>
      </c>
      <c r="V250">
        <v>6.3833119999999993E-2</v>
      </c>
      <c r="W250">
        <v>0.13112089999999901</v>
      </c>
      <c r="X250">
        <v>0.9893092</v>
      </c>
      <c r="Y250">
        <v>-2.2901089999999998E-3</v>
      </c>
      <c r="Z250">
        <v>4.2940939999999998E-4</v>
      </c>
      <c r="AA250">
        <v>0.99999729999999998</v>
      </c>
      <c r="AB250">
        <v>41</v>
      </c>
      <c r="AC250">
        <v>0.66799999999994897</v>
      </c>
      <c r="AD250">
        <v>-7.6487199999999894E-2</v>
      </c>
      <c r="AE250">
        <v>-8.0000000002655703E-4</v>
      </c>
      <c r="AF250">
        <v>-2.4491226883557298E-3</v>
      </c>
      <c r="AG250">
        <v>-7.6487199999999894E-2</v>
      </c>
      <c r="AH250">
        <v>0.65935135096549102</v>
      </c>
      <c r="AI250">
        <v>96.616902151679099</v>
      </c>
      <c r="AJ250">
        <v>90.212820900414599</v>
      </c>
      <c r="AK250">
        <v>0.66377744311312703</v>
      </c>
      <c r="AL250">
        <v>82.465630562234097</v>
      </c>
      <c r="AM250">
        <v>86.308226438560496</v>
      </c>
      <c r="AN250">
        <v>1.00000002541519</v>
      </c>
    </row>
    <row r="251" spans="1:40" x14ac:dyDescent="0.25">
      <c r="A251" t="str">
        <f>"20190312164442292"</f>
        <v>20190312164442292</v>
      </c>
      <c r="B251" t="str">
        <f>"1552380282281637"</f>
        <v>1552380282281637</v>
      </c>
      <c r="C251" t="s">
        <v>40</v>
      </c>
      <c r="D251">
        <v>4.7042020000000004</v>
      </c>
      <c r="E251">
        <v>0.48126669999999999</v>
      </c>
      <c r="F251" t="s">
        <v>41</v>
      </c>
      <c r="G251">
        <v>-423.75689999999997</v>
      </c>
      <c r="H251">
        <v>0.98389729999999997</v>
      </c>
      <c r="I251">
        <v>368.33580000000001</v>
      </c>
      <c r="J251">
        <v>-424.40750000000003</v>
      </c>
      <c r="K251">
        <v>1.0566770000000001</v>
      </c>
      <c r="L251">
        <v>368.33980000000003</v>
      </c>
      <c r="M251">
        <v>0.99997570000000002</v>
      </c>
      <c r="N251">
        <v>0</v>
      </c>
      <c r="O251">
        <v>-5.5451040000000004E-3</v>
      </c>
      <c r="P251">
        <v>0.98947470000000004</v>
      </c>
      <c r="Q251">
        <v>0.1272305</v>
      </c>
      <c r="R251">
        <v>-6.8939680000000003E-2</v>
      </c>
      <c r="S251">
        <v>3.0579529999999999</v>
      </c>
      <c r="T251">
        <v>-0.21395800000000001</v>
      </c>
      <c r="U251">
        <v>-1.818848E-2</v>
      </c>
      <c r="V251">
        <v>6.370642E-2</v>
      </c>
      <c r="W251">
        <v>0.13129579999999999</v>
      </c>
      <c r="X251">
        <v>0.98929409999999895</v>
      </c>
      <c r="Y251">
        <v>4.1521469999999998E-4</v>
      </c>
      <c r="Z251">
        <v>3.729936E-4</v>
      </c>
      <c r="AA251">
        <v>0.99999979999999999</v>
      </c>
      <c r="AB251">
        <v>41</v>
      </c>
      <c r="AC251">
        <v>0.65060000000005302</v>
      </c>
      <c r="AD251">
        <v>-7.27797000000001E-2</v>
      </c>
      <c r="AE251">
        <v>-4.0000000000190898E-3</v>
      </c>
      <c r="AF251">
        <v>3.8741376798911103E-4</v>
      </c>
      <c r="AG251">
        <v>-7.27797000000001E-2</v>
      </c>
      <c r="AH251">
        <v>0.64257141262487805</v>
      </c>
      <c r="AI251">
        <v>96.461964009164305</v>
      </c>
      <c r="AJ251">
        <v>89.965455713240004</v>
      </c>
      <c r="AK251">
        <v>0.64668002531719604</v>
      </c>
      <c r="AL251">
        <v>82.455521612226306</v>
      </c>
      <c r="AM251">
        <v>86.315477816290993</v>
      </c>
      <c r="AN251">
        <v>0.999999955670832</v>
      </c>
    </row>
    <row r="252" spans="1:40" x14ac:dyDescent="0.25">
      <c r="A252" t="str">
        <f>"20190312164442326"</f>
        <v>20190312164442326</v>
      </c>
      <c r="B252" t="str">
        <f>"1552380282321650"</f>
        <v>1552380282321650</v>
      </c>
      <c r="C252" t="s">
        <v>40</v>
      </c>
      <c r="D252">
        <v>4.6015959999999998</v>
      </c>
      <c r="E252">
        <v>0.48253079999999998</v>
      </c>
      <c r="F252" t="s">
        <v>41</v>
      </c>
      <c r="G252">
        <v>-423.38330000000002</v>
      </c>
      <c r="H252">
        <v>0.98582340000000002</v>
      </c>
      <c r="I252">
        <v>368.33019999999999</v>
      </c>
      <c r="J252">
        <v>-423.7894</v>
      </c>
      <c r="K252">
        <v>1.056648</v>
      </c>
      <c r="L252">
        <v>368.3356</v>
      </c>
      <c r="M252">
        <v>0.99996980000000002</v>
      </c>
      <c r="N252">
        <v>0</v>
      </c>
      <c r="O252">
        <v>-6.5140429999999997E-3</v>
      </c>
      <c r="P252">
        <v>0.98943669999999995</v>
      </c>
      <c r="Q252">
        <v>0.1270936</v>
      </c>
      <c r="R252">
        <v>-6.9729689999999997E-2</v>
      </c>
      <c r="S252">
        <v>3.057312</v>
      </c>
      <c r="T252">
        <v>-0.2118438</v>
      </c>
      <c r="U252">
        <v>-2.6947019999999999E-2</v>
      </c>
      <c r="V252">
        <v>6.353106E-2</v>
      </c>
      <c r="W252">
        <v>0.13117529999999999</v>
      </c>
      <c r="X252">
        <v>0.98932140000000002</v>
      </c>
      <c r="Y252">
        <v>2.3096610000000002E-3</v>
      </c>
      <c r="Z252">
        <v>3.708912E-4</v>
      </c>
      <c r="AA252">
        <v>0.99999729999999998</v>
      </c>
      <c r="AB252">
        <v>42</v>
      </c>
      <c r="AC252">
        <v>0.40609999999997998</v>
      </c>
      <c r="AD252">
        <v>-7.0824600000000001E-2</v>
      </c>
      <c r="AE252">
        <v>-5.4000000000087303E-3</v>
      </c>
      <c r="AF252">
        <v>2.6732146453495999E-3</v>
      </c>
      <c r="AG252">
        <v>-7.0824600000000001E-2</v>
      </c>
      <c r="AH252">
        <v>0.39414049687284702</v>
      </c>
      <c r="AI252">
        <v>100.186749533281</v>
      </c>
      <c r="AJ252">
        <v>89.611403624758097</v>
      </c>
      <c r="AK252">
        <v>0.400462234570096</v>
      </c>
      <c r="AL252">
        <v>82.462486275719399</v>
      </c>
      <c r="AM252">
        <v>86.325693224054703</v>
      </c>
      <c r="AN252">
        <v>0.99999999370638604</v>
      </c>
    </row>
    <row r="253" spans="1:40" x14ac:dyDescent="0.25">
      <c r="A253" t="str">
        <f>"20190312164442349"</f>
        <v>20190312164442349</v>
      </c>
      <c r="B253" t="str">
        <f>"1552380282341677"</f>
        <v>1552380282341677</v>
      </c>
      <c r="C253" t="s">
        <v>40</v>
      </c>
      <c r="D253">
        <v>4.5913589999999997</v>
      </c>
      <c r="E253">
        <v>0.48301939999999999</v>
      </c>
      <c r="F253" t="s">
        <v>43</v>
      </c>
      <c r="G253">
        <v>-407.62189999999998</v>
      </c>
      <c r="H253">
        <v>-0.05</v>
      </c>
      <c r="I253">
        <v>368.12400000000002</v>
      </c>
      <c r="J253">
        <v>-423.35489999999999</v>
      </c>
      <c r="K253">
        <v>1.056629</v>
      </c>
      <c r="L253">
        <v>368.33240000000001</v>
      </c>
      <c r="M253">
        <v>0.9999652</v>
      </c>
      <c r="N253">
        <v>0</v>
      </c>
      <c r="O253">
        <v>-7.1771669999999999E-3</v>
      </c>
      <c r="P253">
        <v>0.98949589999999998</v>
      </c>
      <c r="Q253">
        <v>0.1265694</v>
      </c>
      <c r="R253">
        <v>-6.9842520000000005E-2</v>
      </c>
      <c r="S253">
        <v>3.0560610000000001</v>
      </c>
      <c r="T253">
        <v>-0.20918510000000001</v>
      </c>
      <c r="U253">
        <v>-4.0008540000000002E-2</v>
      </c>
      <c r="V253">
        <v>6.2982750000000004E-2</v>
      </c>
      <c r="W253">
        <v>0.13066759999999999</v>
      </c>
      <c r="X253">
        <v>0.98942359999999896</v>
      </c>
      <c r="Y253">
        <v>5.916414E-3</v>
      </c>
      <c r="Z253">
        <v>2.8843050000000001E-4</v>
      </c>
      <c r="AA253">
        <v>0.9999825</v>
      </c>
      <c r="AB253">
        <v>42</v>
      </c>
      <c r="AC253">
        <v>15.733000000000001</v>
      </c>
      <c r="AD253">
        <v>-1.1066290000000001</v>
      </c>
      <c r="AE253">
        <v>-0.20839999999998299</v>
      </c>
      <c r="AF253">
        <v>9.5005291670920297E-2</v>
      </c>
      <c r="AG253">
        <v>-1.1066290000000001</v>
      </c>
      <c r="AH253">
        <v>15.6566437045808</v>
      </c>
      <c r="AI253">
        <v>94.042931507168106</v>
      </c>
      <c r="AJ253">
        <v>89.652330631173498</v>
      </c>
      <c r="AK253">
        <v>15.695991394024</v>
      </c>
      <c r="AL253">
        <v>82.491827597199702</v>
      </c>
      <c r="AM253">
        <v>86.357694124430097</v>
      </c>
      <c r="AN253">
        <v>0.99999995436213995</v>
      </c>
    </row>
    <row r="254" spans="1:40" x14ac:dyDescent="0.25">
      <c r="A254" t="str">
        <f>"20190312164442371"</f>
        <v>20190312164442371</v>
      </c>
      <c r="B254" t="str">
        <f>"1552380282362176"</f>
        <v>1552380282362176</v>
      </c>
      <c r="C254" t="s">
        <v>40</v>
      </c>
      <c r="D254">
        <v>4.5975599999999996</v>
      </c>
      <c r="E254">
        <v>0.4833288</v>
      </c>
      <c r="F254" t="s">
        <v>41</v>
      </c>
      <c r="G254">
        <v>-422.26</v>
      </c>
      <c r="H254">
        <v>0.98183600000000004</v>
      </c>
      <c r="I254">
        <v>368.31630000000001</v>
      </c>
      <c r="J254">
        <v>-422.92290000000003</v>
      </c>
      <c r="K254">
        <v>1.0566230000000001</v>
      </c>
      <c r="L254">
        <v>368.3288</v>
      </c>
      <c r="M254">
        <v>0.99996019999999997</v>
      </c>
      <c r="N254">
        <v>0</v>
      </c>
      <c r="O254">
        <v>-7.8255419999999996E-3</v>
      </c>
      <c r="P254">
        <v>0.98958990000000002</v>
      </c>
      <c r="Q254">
        <v>0.12589210000000001</v>
      </c>
      <c r="R254">
        <v>-6.9735119999999998E-2</v>
      </c>
      <c r="S254">
        <v>3.0553590000000002</v>
      </c>
      <c r="T254">
        <v>-0.2086527</v>
      </c>
      <c r="U254">
        <v>-4.4891359999999998E-2</v>
      </c>
      <c r="V254">
        <v>6.2229069999999997E-2</v>
      </c>
      <c r="W254">
        <v>0.1300114</v>
      </c>
      <c r="X254">
        <v>0.98955769999999998</v>
      </c>
      <c r="Y254">
        <v>6.8680879999999996E-3</v>
      </c>
      <c r="Z254">
        <v>2.9952679999999999E-4</v>
      </c>
      <c r="AA254">
        <v>0.99997639999999999</v>
      </c>
      <c r="AB254">
        <v>42</v>
      </c>
      <c r="AC254">
        <v>0.66290000000003602</v>
      </c>
      <c r="AD254">
        <v>-7.4786999999999798E-2</v>
      </c>
      <c r="AE254">
        <v>-1.24999999999886E-2</v>
      </c>
      <c r="AF254">
        <v>7.2201532264234997E-3</v>
      </c>
      <c r="AG254">
        <v>-7.4786999999999798E-2</v>
      </c>
      <c r="AH254">
        <v>0.65464819753979897</v>
      </c>
      <c r="AI254">
        <v>96.516822468812705</v>
      </c>
      <c r="AJ254">
        <v>89.368107119895996</v>
      </c>
      <c r="AK254">
        <v>0.65894574019696095</v>
      </c>
      <c r="AL254">
        <v>82.529748405979404</v>
      </c>
      <c r="AM254">
        <v>86.401650776289699</v>
      </c>
      <c r="AN254">
        <v>0.99999993145615496</v>
      </c>
    </row>
    <row r="255" spans="1:40" x14ac:dyDescent="0.25">
      <c r="A255" t="str">
        <f>"20190312164442395"</f>
        <v>20190312164442395</v>
      </c>
      <c r="B255" t="str">
        <f>"1552380282392429"</f>
        <v>1552380282392429</v>
      </c>
      <c r="C255" t="s">
        <v>40</v>
      </c>
      <c r="D255">
        <v>4.604349</v>
      </c>
      <c r="E255">
        <v>0.48367290000000002</v>
      </c>
      <c r="F255" t="s">
        <v>41</v>
      </c>
      <c r="G255">
        <v>-421.88099999999997</v>
      </c>
      <c r="H255">
        <v>0.98490140000000004</v>
      </c>
      <c r="I255">
        <v>368.31240000000003</v>
      </c>
      <c r="J255">
        <v>-422.49090000000001</v>
      </c>
      <c r="K255">
        <v>1.05661</v>
      </c>
      <c r="L255">
        <v>368.32499999999999</v>
      </c>
      <c r="M255">
        <v>0.99995509999999999</v>
      </c>
      <c r="N255">
        <v>0</v>
      </c>
      <c r="O255">
        <v>-8.4688109999999997E-3</v>
      </c>
      <c r="P255">
        <v>0.98962709999999998</v>
      </c>
      <c r="Q255">
        <v>0.12567429999999999</v>
      </c>
      <c r="R255">
        <v>-6.960326E-2</v>
      </c>
      <c r="S255">
        <v>3.0549930000000001</v>
      </c>
      <c r="T255">
        <v>-0.210481</v>
      </c>
      <c r="U255">
        <v>-4.6783449999999997E-2</v>
      </c>
      <c r="V255">
        <v>6.145772E-2</v>
      </c>
      <c r="W255">
        <v>0.1298166</v>
      </c>
      <c r="X255">
        <v>0.9896315</v>
      </c>
      <c r="Y255">
        <v>6.8473689999999999E-3</v>
      </c>
      <c r="Z255">
        <v>3.471549E-4</v>
      </c>
      <c r="AA255">
        <v>0.99997650000000005</v>
      </c>
      <c r="AB255">
        <v>42</v>
      </c>
      <c r="AC255">
        <v>0.60990000000003797</v>
      </c>
      <c r="AD255">
        <v>-7.17085999999999E-2</v>
      </c>
      <c r="AE255">
        <v>-1.25999999999635E-2</v>
      </c>
      <c r="AF255">
        <v>7.3330468198637196E-3</v>
      </c>
      <c r="AG255">
        <v>-7.17085999999999E-2</v>
      </c>
      <c r="AH255">
        <v>0.60167104659753601</v>
      </c>
      <c r="AI255">
        <v>96.796088966664698</v>
      </c>
      <c r="AJ255">
        <v>89.301725029857806</v>
      </c>
      <c r="AK255">
        <v>0.60597355157085597</v>
      </c>
      <c r="AL255">
        <v>82.541005185968103</v>
      </c>
      <c r="AM255">
        <v>86.446402827917893</v>
      </c>
      <c r="AN255">
        <v>0.99999995338770298</v>
      </c>
    </row>
    <row r="256" spans="1:40" x14ac:dyDescent="0.25">
      <c r="A256" t="str">
        <f>"20190312164442419"</f>
        <v>20190312164442419</v>
      </c>
      <c r="B256" t="str">
        <f>"1552380282411949"</f>
        <v>1552380282411949</v>
      </c>
      <c r="C256" t="s">
        <v>40</v>
      </c>
      <c r="D256">
        <v>4.5574000000000003</v>
      </c>
      <c r="E256">
        <v>0.48380990000000001</v>
      </c>
      <c r="F256" t="s">
        <v>41</v>
      </c>
      <c r="G256">
        <v>-421.50110000000001</v>
      </c>
      <c r="H256">
        <v>0.98760400000000004</v>
      </c>
      <c r="I256">
        <v>368.3091</v>
      </c>
      <c r="J256">
        <v>-422.0453</v>
      </c>
      <c r="K256">
        <v>1.0566059999999999</v>
      </c>
      <c r="L256">
        <v>368.32080000000002</v>
      </c>
      <c r="M256">
        <v>0.99994899999999998</v>
      </c>
      <c r="N256">
        <v>0</v>
      </c>
      <c r="O256">
        <v>-9.1280760000000006E-3</v>
      </c>
      <c r="P256">
        <v>0.98970800000000003</v>
      </c>
      <c r="Q256">
        <v>0.1253098</v>
      </c>
      <c r="R256">
        <v>-6.9107290000000002E-2</v>
      </c>
      <c r="S256">
        <v>3.0550229999999998</v>
      </c>
      <c r="T256">
        <v>-0.21296979999999999</v>
      </c>
      <c r="U256">
        <v>-4.9377440000000002E-2</v>
      </c>
      <c r="V256">
        <v>6.0306110000000003E-2</v>
      </c>
      <c r="W256">
        <v>0.12947899999999901</v>
      </c>
      <c r="X256">
        <v>0.98974660000000003</v>
      </c>
      <c r="Y256">
        <v>7.0380240000000004E-3</v>
      </c>
      <c r="Z256">
        <v>3.9050370000000002E-4</v>
      </c>
      <c r="AA256">
        <v>0.99997510000000001</v>
      </c>
      <c r="AB256">
        <v>42</v>
      </c>
      <c r="AC256">
        <v>0.54419999999998903</v>
      </c>
      <c r="AD256">
        <v>-6.9001999999999897E-2</v>
      </c>
      <c r="AE256">
        <v>-1.17000000000189E-2</v>
      </c>
      <c r="AF256">
        <v>6.6254979732081904E-3</v>
      </c>
      <c r="AG256">
        <v>-6.9001999999999897E-2</v>
      </c>
      <c r="AH256">
        <v>0.53567601710142398</v>
      </c>
      <c r="AI256">
        <v>97.339463276983295</v>
      </c>
      <c r="AJ256">
        <v>89.291374444535094</v>
      </c>
      <c r="AK256">
        <v>0.54014254463524503</v>
      </c>
      <c r="AL256">
        <v>82.560513123607805</v>
      </c>
      <c r="AM256">
        <v>86.513229663375398</v>
      </c>
      <c r="AN256">
        <v>0.99999998527794598</v>
      </c>
    </row>
    <row r="257" spans="1:40" x14ac:dyDescent="0.25">
      <c r="A257" t="str">
        <f>"20190312164442440"</f>
        <v>20190312164442440</v>
      </c>
      <c r="B257" t="str">
        <f>"1552380282432445"</f>
        <v>1552380282432445</v>
      </c>
      <c r="C257" t="s">
        <v>40</v>
      </c>
      <c r="D257">
        <v>4.5526629999999999</v>
      </c>
      <c r="E257">
        <v>0.48391380000000001</v>
      </c>
      <c r="F257" t="s">
        <v>41</v>
      </c>
      <c r="G257">
        <v>-421.11840000000001</v>
      </c>
      <c r="H257">
        <v>0.99125240000000003</v>
      </c>
      <c r="I257">
        <v>368.30540000000002</v>
      </c>
      <c r="J257">
        <v>-421.61430000000001</v>
      </c>
      <c r="K257">
        <v>1.0565929999999999</v>
      </c>
      <c r="L257">
        <v>368.31639999999999</v>
      </c>
      <c r="M257">
        <v>0.99994309999999997</v>
      </c>
      <c r="N257">
        <v>0</v>
      </c>
      <c r="O257">
        <v>-9.7633939999999999E-3</v>
      </c>
      <c r="P257">
        <v>0.98979969999999995</v>
      </c>
      <c r="Q257">
        <v>0.1247714</v>
      </c>
      <c r="R257">
        <v>-6.8769299999999894E-2</v>
      </c>
      <c r="S257">
        <v>3.0550540000000002</v>
      </c>
      <c r="T257">
        <v>-0.21562039999999999</v>
      </c>
      <c r="U257">
        <v>-4.925537E-2</v>
      </c>
      <c r="V257">
        <v>5.9336100000000003E-2</v>
      </c>
      <c r="W257">
        <v>0.1289679</v>
      </c>
      <c r="X257">
        <v>0.98987199999999997</v>
      </c>
      <c r="Y257">
        <v>6.3659569999999898E-3</v>
      </c>
      <c r="Z257">
        <v>4.6381200000000002E-4</v>
      </c>
      <c r="AA257">
        <v>0.99997959999999997</v>
      </c>
      <c r="AB257">
        <v>42</v>
      </c>
      <c r="AC257">
        <v>0.495900000000006</v>
      </c>
      <c r="AD257">
        <v>-6.5340600000000096E-2</v>
      </c>
      <c r="AE257">
        <v>-1.0999999999967199E-2</v>
      </c>
      <c r="AF257">
        <v>6.0527332737620202E-3</v>
      </c>
      <c r="AG257">
        <v>-6.5340600000000096E-2</v>
      </c>
      <c r="AH257">
        <v>0.48752395691517397</v>
      </c>
      <c r="AI257">
        <v>97.633019167015703</v>
      </c>
      <c r="AJ257">
        <v>89.288694945911203</v>
      </c>
      <c r="AK257">
        <v>0.49192035753226498</v>
      </c>
      <c r="AL257">
        <v>82.590044968452901</v>
      </c>
      <c r="AM257">
        <v>86.5696121022401</v>
      </c>
      <c r="AN257">
        <v>1.0000000341888</v>
      </c>
    </row>
    <row r="258" spans="1:40" x14ac:dyDescent="0.25">
      <c r="A258" t="str">
        <f>"20190312164442462"</f>
        <v>20190312164442462</v>
      </c>
      <c r="B258" t="str">
        <f>"1552380282451498"</f>
        <v>1552380282451498</v>
      </c>
      <c r="C258" t="s">
        <v>40</v>
      </c>
      <c r="D258">
        <v>4.5548859999999998</v>
      </c>
      <c r="E258">
        <v>0.48400850000000001</v>
      </c>
      <c r="F258" t="s">
        <v>41</v>
      </c>
      <c r="G258">
        <v>-420.73500000000001</v>
      </c>
      <c r="H258">
        <v>0.99383489999999997</v>
      </c>
      <c r="I258">
        <v>368.30220000000003</v>
      </c>
      <c r="J258">
        <v>-421.21390000000002</v>
      </c>
      <c r="K258">
        <v>1.056583</v>
      </c>
      <c r="L258">
        <v>368.31209999999999</v>
      </c>
      <c r="M258">
        <v>0.99993690000000002</v>
      </c>
      <c r="N258">
        <v>0</v>
      </c>
      <c r="O258">
        <v>-1.035223E-2</v>
      </c>
      <c r="P258">
        <v>0.98996660000000003</v>
      </c>
      <c r="Q258">
        <v>0.1238099</v>
      </c>
      <c r="R258">
        <v>-6.8099820000000005E-2</v>
      </c>
      <c r="S258">
        <v>3.0550229999999998</v>
      </c>
      <c r="T258">
        <v>-0.2181419</v>
      </c>
      <c r="U258">
        <v>-4.8889160000000001E-2</v>
      </c>
      <c r="V258">
        <v>5.8079190000000003E-2</v>
      </c>
      <c r="W258">
        <v>0.12803439999999999</v>
      </c>
      <c r="X258">
        <v>0.99006769999999999</v>
      </c>
      <c r="Y258">
        <v>5.6609119999999997E-3</v>
      </c>
      <c r="Z258">
        <v>5.363519E-4</v>
      </c>
      <c r="AA258">
        <v>0.99998379999999998</v>
      </c>
      <c r="AB258">
        <v>42</v>
      </c>
      <c r="AC258">
        <v>0.47890000000000998</v>
      </c>
      <c r="AD258">
        <v>-6.2748100000000001E-2</v>
      </c>
      <c r="AE258">
        <v>-9.8999999999591602E-3</v>
      </c>
      <c r="AF258">
        <v>4.8583681202919596E-3</v>
      </c>
      <c r="AG258">
        <v>-6.2748100000000001E-2</v>
      </c>
      <c r="AH258">
        <v>0.470896087575917</v>
      </c>
      <c r="AI258">
        <v>97.589695864014303</v>
      </c>
      <c r="AJ258">
        <v>89.408884211087596</v>
      </c>
      <c r="AK258">
        <v>0.475083206489882</v>
      </c>
      <c r="AL258">
        <v>82.643977649642906</v>
      </c>
      <c r="AM258">
        <v>86.642771773033601</v>
      </c>
      <c r="AN258">
        <v>1.0000000252388499</v>
      </c>
    </row>
    <row r="259" spans="1:40" x14ac:dyDescent="0.25">
      <c r="A259" t="str">
        <f>"20190312164442483"</f>
        <v>20190312164442483</v>
      </c>
      <c r="B259" t="str">
        <f>"1552380282471993"</f>
        <v>1552380282471993</v>
      </c>
      <c r="C259" t="s">
        <v>40</v>
      </c>
      <c r="D259">
        <v>4.7409489999999996</v>
      </c>
      <c r="E259">
        <v>0.48423699999999997</v>
      </c>
      <c r="F259" t="s">
        <v>41</v>
      </c>
      <c r="G259">
        <v>-420.35270000000003</v>
      </c>
      <c r="H259">
        <v>0.99396439999999997</v>
      </c>
      <c r="I259">
        <v>368.29829999999998</v>
      </c>
      <c r="J259">
        <v>-420.79829999999998</v>
      </c>
      <c r="K259">
        <v>1.0565739999999999</v>
      </c>
      <c r="L259">
        <v>368.3075</v>
      </c>
      <c r="M259">
        <v>0.9999304</v>
      </c>
      <c r="N259">
        <v>0</v>
      </c>
      <c r="O259">
        <v>-1.096134E-2</v>
      </c>
      <c r="P259">
        <v>0.99007590000000001</v>
      </c>
      <c r="Q259">
        <v>0.1230091</v>
      </c>
      <c r="R259">
        <v>-6.7961690000000005E-2</v>
      </c>
      <c r="S259">
        <v>3.054932</v>
      </c>
      <c r="T259">
        <v>-0.22235820000000001</v>
      </c>
      <c r="U259">
        <v>-4.7851560000000001E-2</v>
      </c>
      <c r="V259">
        <v>5.7334719999999999E-2</v>
      </c>
      <c r="W259">
        <v>0.12726299999999999</v>
      </c>
      <c r="X259">
        <v>0.99021049999999999</v>
      </c>
      <c r="Y259">
        <v>4.7172660000000003E-3</v>
      </c>
      <c r="Z259">
        <v>6.2527510000000004E-4</v>
      </c>
      <c r="AA259">
        <v>0.99998869999999895</v>
      </c>
      <c r="AB259">
        <v>43</v>
      </c>
      <c r="AC259">
        <v>0.44559999999995598</v>
      </c>
      <c r="AD259">
        <v>-6.2609599999999904E-2</v>
      </c>
      <c r="AE259">
        <v>-9.2000000000211895E-3</v>
      </c>
      <c r="AF259">
        <v>4.2315244371854098E-3</v>
      </c>
      <c r="AG259">
        <v>-6.2609599999999904E-2</v>
      </c>
      <c r="AH259">
        <v>0.43704951237723599</v>
      </c>
      <c r="AI259">
        <v>98.152073046563501</v>
      </c>
      <c r="AJ259">
        <v>89.445278146114504</v>
      </c>
      <c r="AK259">
        <v>0.44153158899494699</v>
      </c>
      <c r="AL259">
        <v>82.688539884869201</v>
      </c>
      <c r="AM259">
        <v>86.686185699327694</v>
      </c>
      <c r="AN259">
        <v>0.99999998779836397</v>
      </c>
    </row>
    <row r="260" spans="1:40" x14ac:dyDescent="0.25">
      <c r="A260" t="str">
        <f>"20190312164442505"</f>
        <v>20190312164442505</v>
      </c>
      <c r="B260" t="str">
        <f>"1552380282491513"</f>
        <v>1552380282491513</v>
      </c>
      <c r="C260" t="s">
        <v>40</v>
      </c>
      <c r="D260">
        <v>4.6918819999999997</v>
      </c>
      <c r="E260">
        <v>0.48449490000000001</v>
      </c>
      <c r="F260" t="s">
        <v>41</v>
      </c>
      <c r="G260">
        <v>-419.96789999999999</v>
      </c>
      <c r="H260">
        <v>0.99546250000000003</v>
      </c>
      <c r="I260">
        <v>368.29399999999998</v>
      </c>
      <c r="J260">
        <v>-420.39479999999998</v>
      </c>
      <c r="K260">
        <v>1.05657</v>
      </c>
      <c r="L260">
        <v>368.30270000000002</v>
      </c>
      <c r="M260">
        <v>0.99992360000000002</v>
      </c>
      <c r="N260">
        <v>0</v>
      </c>
      <c r="O260">
        <v>-1.15491E-2</v>
      </c>
      <c r="P260">
        <v>0.99010030000000004</v>
      </c>
      <c r="Q260">
        <v>0.1227082</v>
      </c>
      <c r="R260">
        <v>-6.8147289999999999E-2</v>
      </c>
      <c r="S260">
        <v>3.0546259999999998</v>
      </c>
      <c r="T260">
        <v>-0.224882</v>
      </c>
      <c r="U260">
        <v>-4.9224850000000001E-2</v>
      </c>
      <c r="V260">
        <v>5.6936540000000001E-2</v>
      </c>
      <c r="W260">
        <v>0.1269911</v>
      </c>
      <c r="X260">
        <v>0.99026840000000005</v>
      </c>
      <c r="Y260">
        <v>4.5828140000000002E-3</v>
      </c>
      <c r="Z260">
        <v>6.8056210000000004E-4</v>
      </c>
      <c r="AA260">
        <v>0.99998929999999997</v>
      </c>
      <c r="AB260">
        <v>43</v>
      </c>
      <c r="AC260">
        <v>0.42689999999998901</v>
      </c>
      <c r="AD260">
        <v>-6.1107499999999898E-2</v>
      </c>
      <c r="AE260">
        <v>-8.6999999999761695E-3</v>
      </c>
      <c r="AF260">
        <v>3.6934153624158098E-3</v>
      </c>
      <c r="AG260">
        <v>-6.1107499999999898E-2</v>
      </c>
      <c r="AH260">
        <v>0.41840259946927</v>
      </c>
      <c r="AI260">
        <v>98.308954188484506</v>
      </c>
      <c r="AJ260">
        <v>89.494239241956706</v>
      </c>
      <c r="AK260">
        <v>0.42285754470735398</v>
      </c>
      <c r="AL260">
        <v>82.704246177941798</v>
      </c>
      <c r="AM260">
        <v>86.709340816181495</v>
      </c>
      <c r="AN260">
        <v>1.0000000065524699</v>
      </c>
    </row>
    <row r="261" spans="1:40" x14ac:dyDescent="0.25">
      <c r="A261" t="str">
        <f>"20190312164442527"</f>
        <v>20190312164442527</v>
      </c>
      <c r="B261" t="str">
        <f>"1552380282521770"</f>
        <v>1552380282521770</v>
      </c>
      <c r="C261" t="s">
        <v>40</v>
      </c>
      <c r="D261">
        <v>4.5343589999999896</v>
      </c>
      <c r="E261">
        <v>0.4848963</v>
      </c>
      <c r="F261" t="s">
        <v>41</v>
      </c>
      <c r="G261">
        <v>-419.58229999999998</v>
      </c>
      <c r="H261">
        <v>0.99684620000000002</v>
      </c>
      <c r="I261">
        <v>368.28859999999997</v>
      </c>
      <c r="J261">
        <v>-419.96179999999998</v>
      </c>
      <c r="K261">
        <v>1.05657</v>
      </c>
      <c r="L261">
        <v>368.29719999999998</v>
      </c>
      <c r="M261">
        <v>0.99991609999999997</v>
      </c>
      <c r="N261">
        <v>0</v>
      </c>
      <c r="O261">
        <v>-1.217407E-2</v>
      </c>
      <c r="P261">
        <v>0.99001380000000005</v>
      </c>
      <c r="Q261">
        <v>0.1232992</v>
      </c>
      <c r="R261">
        <v>-6.8339960000000005E-2</v>
      </c>
      <c r="S261">
        <v>3.0543520000000002</v>
      </c>
      <c r="T261">
        <v>-0.22477030000000001</v>
      </c>
      <c r="U261">
        <v>-5.1391600000000003E-2</v>
      </c>
      <c r="V261">
        <v>5.6510909999999998E-2</v>
      </c>
      <c r="W261">
        <v>0.12761400000000001</v>
      </c>
      <c r="X261">
        <v>0.99021269999999995</v>
      </c>
      <c r="Y261">
        <v>4.6698879999999996E-3</v>
      </c>
      <c r="Z261">
        <v>7.2300390000000004E-4</v>
      </c>
      <c r="AA261">
        <v>0.99998889999999996</v>
      </c>
      <c r="AB261">
        <v>43</v>
      </c>
      <c r="AC261">
        <v>0.379500000000007</v>
      </c>
      <c r="AD261">
        <v>-5.9723800000000098E-2</v>
      </c>
      <c r="AE261">
        <v>-8.6000000000012698E-3</v>
      </c>
      <c r="AF261">
        <v>3.8831341078483001E-3</v>
      </c>
      <c r="AG261">
        <v>-5.9723800000000098E-2</v>
      </c>
      <c r="AH261">
        <v>0.37040744581690599</v>
      </c>
      <c r="AI261">
        <v>99.158937092773101</v>
      </c>
      <c r="AJ261">
        <v>89.399366702474794</v>
      </c>
      <c r="AK261">
        <v>0.37521152292213</v>
      </c>
      <c r="AL261">
        <v>82.668263860304705</v>
      </c>
      <c r="AM261">
        <v>86.733703412025406</v>
      </c>
      <c r="AN261">
        <v>1.00000000359315</v>
      </c>
    </row>
    <row r="262" spans="1:40" x14ac:dyDescent="0.25">
      <c r="A262" t="str">
        <f>"20190312164442550"</f>
        <v>20190312164442550</v>
      </c>
      <c r="B262" t="str">
        <f>"1552380282542265"</f>
        <v>1552380282542265</v>
      </c>
      <c r="C262" t="s">
        <v>40</v>
      </c>
      <c r="D262">
        <v>4.5202280000000004</v>
      </c>
      <c r="E262">
        <v>0.48517830000000001</v>
      </c>
      <c r="F262" t="s">
        <v>43</v>
      </c>
      <c r="G262">
        <v>-404.69990000000001</v>
      </c>
      <c r="H262">
        <v>-0.05</v>
      </c>
      <c r="I262">
        <v>368.01650000000001</v>
      </c>
      <c r="J262">
        <v>-419.51620000000003</v>
      </c>
      <c r="K262">
        <v>1.0565850000000001</v>
      </c>
      <c r="L262">
        <v>368.29140000000001</v>
      </c>
      <c r="M262">
        <v>0.99990789999999996</v>
      </c>
      <c r="N262">
        <v>0</v>
      </c>
      <c r="O262">
        <v>-1.280629E-2</v>
      </c>
      <c r="P262">
        <v>0.9899521</v>
      </c>
      <c r="Q262">
        <v>0.1236493</v>
      </c>
      <c r="R262">
        <v>-6.8598660000000006E-2</v>
      </c>
      <c r="S262">
        <v>3.053925</v>
      </c>
      <c r="T262">
        <v>-0.22142609999999999</v>
      </c>
      <c r="U262">
        <v>-5.6182860000000001E-2</v>
      </c>
      <c r="V262">
        <v>5.6142930000000001E-2</v>
      </c>
      <c r="W262">
        <v>0.127998</v>
      </c>
      <c r="X262">
        <v>0.99018410000000001</v>
      </c>
      <c r="Y262">
        <v>5.6069529999999996E-3</v>
      </c>
      <c r="Z262">
        <v>7.2421020000000005E-4</v>
      </c>
      <c r="AA262">
        <v>0.99998399999999998</v>
      </c>
      <c r="AB262">
        <v>43</v>
      </c>
      <c r="AC262">
        <v>14.8163</v>
      </c>
      <c r="AD262">
        <v>-1.1065849999999999</v>
      </c>
      <c r="AE262">
        <v>-0.27490000000000198</v>
      </c>
      <c r="AF262">
        <v>8.4661614135219707E-2</v>
      </c>
      <c r="AG262">
        <v>-1.1065849999999999</v>
      </c>
      <c r="AH262">
        <v>14.736431756715101</v>
      </c>
      <c r="AI262">
        <v>94.294312302474793</v>
      </c>
      <c r="AJ262">
        <v>89.670836204420795</v>
      </c>
      <c r="AK262">
        <v>14.778163582511</v>
      </c>
      <c r="AL262">
        <v>82.646080584785594</v>
      </c>
      <c r="AM262">
        <v>86.754833302336095</v>
      </c>
      <c r="AN262">
        <v>1.0000000342428901</v>
      </c>
    </row>
    <row r="263" spans="1:40" x14ac:dyDescent="0.25">
      <c r="A263" t="str">
        <f>"20190312164442572"</f>
        <v>20190312164442572</v>
      </c>
      <c r="B263" t="str">
        <f>"1552380282561785"</f>
        <v>1552380282561785</v>
      </c>
      <c r="C263" t="s">
        <v>40</v>
      </c>
      <c r="D263">
        <v>4.703837</v>
      </c>
      <c r="E263">
        <v>0.48529670000000003</v>
      </c>
      <c r="F263" t="s">
        <v>41</v>
      </c>
      <c r="G263">
        <v>-418.43430000000001</v>
      </c>
      <c r="H263">
        <v>0.97886419999999996</v>
      </c>
      <c r="I263">
        <v>368.27019999999999</v>
      </c>
      <c r="J263">
        <v>-419.08249999999998</v>
      </c>
      <c r="K263">
        <v>1.056584</v>
      </c>
      <c r="L263">
        <v>368.28550000000001</v>
      </c>
      <c r="M263">
        <v>0.99989989999999995</v>
      </c>
      <c r="N263">
        <v>0</v>
      </c>
      <c r="O263">
        <v>-1.340272E-2</v>
      </c>
      <c r="P263">
        <v>0.98981039999999998</v>
      </c>
      <c r="Q263">
        <v>0.1245732</v>
      </c>
      <c r="R263">
        <v>-6.8969730000000007E-2</v>
      </c>
      <c r="S263">
        <v>3.0537109999999998</v>
      </c>
      <c r="T263">
        <v>-0.21942780000000001</v>
      </c>
      <c r="U263">
        <v>-5.9814449999999998E-2</v>
      </c>
      <c r="V263">
        <v>5.5923710000000001E-2</v>
      </c>
      <c r="W263">
        <v>0.1289556</v>
      </c>
      <c r="X263">
        <v>0.99007219999999996</v>
      </c>
      <c r="Y263">
        <v>6.2002180000000004E-3</v>
      </c>
      <c r="Z263">
        <v>7.3923899999999896E-4</v>
      </c>
      <c r="AA263">
        <v>0.99998050000000005</v>
      </c>
      <c r="AB263">
        <v>43</v>
      </c>
      <c r="AC263">
        <v>0.64819999999997402</v>
      </c>
      <c r="AD263">
        <v>-7.7719799999999895E-2</v>
      </c>
      <c r="AE263">
        <v>-1.53000000000247E-2</v>
      </c>
      <c r="AF263">
        <v>6.51725191457343E-3</v>
      </c>
      <c r="AG263">
        <v>-7.7719799999999895E-2</v>
      </c>
      <c r="AH263">
        <v>0.63916319439233105</v>
      </c>
      <c r="AI263">
        <v>96.932555326508904</v>
      </c>
      <c r="AJ263">
        <v>89.415801642356499</v>
      </c>
      <c r="AK263">
        <v>0.64390405414965801</v>
      </c>
      <c r="AL263">
        <v>82.590755271924095</v>
      </c>
      <c r="AM263">
        <v>86.767113134239096</v>
      </c>
      <c r="AN263">
        <v>0.99999998466218099</v>
      </c>
    </row>
    <row r="264" spans="1:40" x14ac:dyDescent="0.25">
      <c r="A264" t="str">
        <f>"20190312164442595"</f>
        <v>20190312164442595</v>
      </c>
      <c r="B264" t="str">
        <f>"1552380282592043"</f>
        <v>1552380282592043</v>
      </c>
      <c r="C264" t="s">
        <v>40</v>
      </c>
      <c r="D264">
        <v>4.5105870000000001</v>
      </c>
      <c r="E264">
        <v>0.47516950000000002</v>
      </c>
      <c r="F264" t="s">
        <v>41</v>
      </c>
      <c r="G264">
        <v>-418.04320000000001</v>
      </c>
      <c r="H264">
        <v>0.98329929999999999</v>
      </c>
      <c r="I264">
        <v>368.26389999999998</v>
      </c>
      <c r="J264">
        <v>-418.6429</v>
      </c>
      <c r="K264">
        <v>1.0565960000000001</v>
      </c>
      <c r="L264">
        <v>368.2792</v>
      </c>
      <c r="M264">
        <v>0.9998918</v>
      </c>
      <c r="N264">
        <v>0</v>
      </c>
      <c r="O264">
        <v>-1.398829E-2</v>
      </c>
      <c r="P264">
        <v>0.9898536</v>
      </c>
      <c r="Q264">
        <v>0.1240619</v>
      </c>
      <c r="R264">
        <v>-6.9272319999999998E-2</v>
      </c>
      <c r="S264">
        <v>3.0537109999999998</v>
      </c>
      <c r="T264">
        <v>-0.21553059999999999</v>
      </c>
      <c r="U264">
        <v>-6.2347409999999999E-2</v>
      </c>
      <c r="V264">
        <v>5.5640759999999997E-2</v>
      </c>
      <c r="W264">
        <v>0.12848039999999999</v>
      </c>
      <c r="X264">
        <v>0.99014990000000003</v>
      </c>
      <c r="Y264">
        <v>6.4439170000000004E-3</v>
      </c>
      <c r="Z264">
        <v>7.588149E-4</v>
      </c>
      <c r="AA264">
        <v>0.99997899999999995</v>
      </c>
      <c r="AB264">
        <v>43</v>
      </c>
      <c r="AC264">
        <v>0.59969999999998402</v>
      </c>
      <c r="AD264">
        <v>-7.3296699999999798E-2</v>
      </c>
      <c r="AE264">
        <v>-1.53000000000247E-2</v>
      </c>
      <c r="AF264">
        <v>6.8080048332598798E-3</v>
      </c>
      <c r="AG264">
        <v>-7.3296699999999798E-2</v>
      </c>
      <c r="AH264">
        <v>0.59103208388311501</v>
      </c>
      <c r="AI264">
        <v>97.068963592837704</v>
      </c>
      <c r="AJ264">
        <v>89.340048190470895</v>
      </c>
      <c r="AK264">
        <v>0.59559858910168495</v>
      </c>
      <c r="AL264">
        <v>82.618210482417098</v>
      </c>
      <c r="AM264">
        <v>86.783687606127103</v>
      </c>
      <c r="AN264">
        <v>0.99999996591377305</v>
      </c>
    </row>
    <row r="265" spans="1:40" x14ac:dyDescent="0.25">
      <c r="A265" t="str">
        <f>"20190312164442617"</f>
        <v>20190312164442617</v>
      </c>
      <c r="B265" t="str">
        <f>"1552380282611561"</f>
        <v>1552380282611561</v>
      </c>
      <c r="C265" t="s">
        <v>40</v>
      </c>
      <c r="D265">
        <v>4.4979440000000004</v>
      </c>
      <c r="E265">
        <v>0.4752767</v>
      </c>
      <c r="F265" t="s">
        <v>42</v>
      </c>
      <c r="G265">
        <v>-398.98309999999998</v>
      </c>
      <c r="H265" s="1">
        <v>-6.6013470000000002E-7</v>
      </c>
      <c r="I265">
        <v>368.38350000000003</v>
      </c>
      <c r="J265">
        <v>-418.21260000000001</v>
      </c>
      <c r="K265">
        <v>1.0566070000000001</v>
      </c>
      <c r="L265">
        <v>368.27280000000002</v>
      </c>
      <c r="M265">
        <v>0.99988390000000005</v>
      </c>
      <c r="N265">
        <v>0</v>
      </c>
      <c r="O265">
        <v>-1.4537349999999999E-2</v>
      </c>
      <c r="P265">
        <v>0.98991510000000005</v>
      </c>
      <c r="Q265">
        <v>0.1232601</v>
      </c>
      <c r="R265">
        <v>-6.9824659999999997E-2</v>
      </c>
      <c r="S265">
        <v>3.0524900000000001</v>
      </c>
      <c r="T265">
        <v>-0.16405169999999999</v>
      </c>
      <c r="U265">
        <v>1.620483E-2</v>
      </c>
      <c r="V265">
        <v>5.5641980000000001E-2</v>
      </c>
      <c r="W265">
        <v>0.1277142</v>
      </c>
      <c r="X265">
        <v>0.99024900000000005</v>
      </c>
      <c r="Y265">
        <v>-1.9795839999999999E-2</v>
      </c>
      <c r="Z265">
        <v>1.3122769999999999E-3</v>
      </c>
      <c r="AA265">
        <v>0.9998032</v>
      </c>
      <c r="AB265">
        <v>43</v>
      </c>
      <c r="AC265">
        <v>19.229500000000002</v>
      </c>
      <c r="AD265">
        <v>-1.0566076601346901</v>
      </c>
      <c r="AE265">
        <v>0.110700000000008</v>
      </c>
      <c r="AF265">
        <v>-0.38906257036504599</v>
      </c>
      <c r="AG265">
        <v>-1.0566076601346901</v>
      </c>
      <c r="AH265">
        <v>19.167988594271801</v>
      </c>
      <c r="AI265">
        <v>93.154505410409101</v>
      </c>
      <c r="AJ265">
        <v>91.162802376993696</v>
      </c>
      <c r="AK265">
        <v>19.201030602060101</v>
      </c>
      <c r="AL265">
        <v>82.662475539213602</v>
      </c>
      <c r="AM265">
        <v>86.783938438628496</v>
      </c>
      <c r="AN265">
        <v>1.0000000144104799</v>
      </c>
    </row>
    <row r="266" spans="1:40" x14ac:dyDescent="0.25">
      <c r="A266" t="str">
        <f>"20190312164442639"</f>
        <v>20190312164442639</v>
      </c>
      <c r="B266" t="str">
        <f>"1552380282632058"</f>
        <v>1552380282632058</v>
      </c>
      <c r="C266" t="s">
        <v>40</v>
      </c>
      <c r="D266">
        <v>4.5918609999999997</v>
      </c>
      <c r="E266">
        <v>0.4751166</v>
      </c>
      <c r="F266" t="s">
        <v>42</v>
      </c>
      <c r="G266">
        <v>-398.68380000000002</v>
      </c>
      <c r="H266" s="1">
        <v>-7.6885059999999895E-7</v>
      </c>
      <c r="I266">
        <v>368.36529999999999</v>
      </c>
      <c r="J266">
        <v>-417.77030000000002</v>
      </c>
      <c r="K266">
        <v>1.0566120000000001</v>
      </c>
      <c r="L266">
        <v>368.26609999999999</v>
      </c>
      <c r="M266">
        <v>0.99987579999999998</v>
      </c>
      <c r="N266">
        <v>0</v>
      </c>
      <c r="O266">
        <v>-1.50679E-2</v>
      </c>
      <c r="P266">
        <v>0.98996030000000002</v>
      </c>
      <c r="Q266">
        <v>0.1221735</v>
      </c>
      <c r="R266">
        <v>-7.1081909999999998E-2</v>
      </c>
      <c r="S266">
        <v>3.0521850000000001</v>
      </c>
      <c r="T266">
        <v>-0.16513839999999999</v>
      </c>
      <c r="U266">
        <v>1.446533E-2</v>
      </c>
      <c r="V266">
        <v>5.6364400000000002E-2</v>
      </c>
      <c r="W266">
        <v>0.12666520000000001</v>
      </c>
      <c r="X266">
        <v>0.99034290000000003</v>
      </c>
      <c r="Y266">
        <v>-1.9755700000000001E-2</v>
      </c>
      <c r="Z266">
        <v>1.34868799999999E-3</v>
      </c>
      <c r="AA266">
        <v>0.99980389999999997</v>
      </c>
      <c r="AB266">
        <v>44</v>
      </c>
      <c r="AC266">
        <v>19.086500000000001</v>
      </c>
      <c r="AD266">
        <v>-1.0566127688506</v>
      </c>
      <c r="AE266">
        <v>9.9199999999996097E-2</v>
      </c>
      <c r="AF266">
        <v>-0.38560357703041298</v>
      </c>
      <c r="AG266">
        <v>-1.0566127688506</v>
      </c>
      <c r="AH266">
        <v>19.024536630168299</v>
      </c>
      <c r="AI266">
        <v>93.178260138622306</v>
      </c>
      <c r="AJ266">
        <v>91.161154839641696</v>
      </c>
      <c r="AK266">
        <v>19.057757335388001</v>
      </c>
      <c r="AL266">
        <v>82.723071125143605</v>
      </c>
      <c r="AM266">
        <v>86.7425807232772</v>
      </c>
      <c r="AN266">
        <v>1.0000000390293999</v>
      </c>
    </row>
    <row r="267" spans="1:40" x14ac:dyDescent="0.25">
      <c r="A267" t="str">
        <f>"20190312164442661"</f>
        <v>20190312164442661</v>
      </c>
      <c r="B267" t="str">
        <f>"1552380282651581"</f>
        <v>1552380282651581</v>
      </c>
      <c r="C267" t="s">
        <v>40</v>
      </c>
      <c r="D267">
        <v>4.495927</v>
      </c>
      <c r="E267">
        <v>0.47518660000000001</v>
      </c>
      <c r="F267" t="s">
        <v>42</v>
      </c>
      <c r="G267">
        <v>-398.50970000000001</v>
      </c>
      <c r="H267" s="1">
        <v>-8.4709759999999998E-7</v>
      </c>
      <c r="I267">
        <v>368.34519999999998</v>
      </c>
      <c r="J267">
        <v>-417.34030000000001</v>
      </c>
      <c r="K267">
        <v>1.0566249999999999</v>
      </c>
      <c r="L267">
        <v>368.2593</v>
      </c>
      <c r="M267">
        <v>0.99986830000000004</v>
      </c>
      <c r="N267">
        <v>0</v>
      </c>
      <c r="O267">
        <v>-1.5545349999999999E-2</v>
      </c>
      <c r="P267">
        <v>0.98994680000000002</v>
      </c>
      <c r="Q267">
        <v>0.1213912</v>
      </c>
      <c r="R267">
        <v>-7.259285E-2</v>
      </c>
      <c r="S267">
        <v>3.0520019999999999</v>
      </c>
      <c r="T267">
        <v>-0.1674291</v>
      </c>
      <c r="U267">
        <v>1.254272E-2</v>
      </c>
      <c r="V267">
        <v>5.7392749999999999E-2</v>
      </c>
      <c r="W267">
        <v>0.1259197</v>
      </c>
      <c r="X267">
        <v>0.99037889999999995</v>
      </c>
      <c r="Y267">
        <v>-1.9601690000000001E-2</v>
      </c>
      <c r="Z267">
        <v>1.389401E-3</v>
      </c>
      <c r="AA267">
        <v>0.99980690000000005</v>
      </c>
      <c r="AB267">
        <v>44</v>
      </c>
      <c r="AC267">
        <v>18.8306</v>
      </c>
      <c r="AD267">
        <v>-1.0566258470976</v>
      </c>
      <c r="AE267">
        <v>8.5899999999980894E-2</v>
      </c>
      <c r="AF267">
        <v>-0.37743271666210498</v>
      </c>
      <c r="AG267">
        <v>-1.0566258470976</v>
      </c>
      <c r="AH267">
        <v>18.767898251964699</v>
      </c>
      <c r="AI267">
        <v>93.221679833452697</v>
      </c>
      <c r="AJ267">
        <v>91.152094219347205</v>
      </c>
      <c r="AK267">
        <v>18.801407352441998</v>
      </c>
      <c r="AL267">
        <v>82.766129846922297</v>
      </c>
      <c r="AM267">
        <v>86.6834019627576</v>
      </c>
      <c r="AN267">
        <v>1.0000000320829301</v>
      </c>
    </row>
    <row r="268" spans="1:40" x14ac:dyDescent="0.25">
      <c r="A268" t="str">
        <f>"20190312164442683"</f>
        <v>20190312164442683</v>
      </c>
      <c r="B268" t="str">
        <f>"1552380282672077"</f>
        <v>1552380282672077</v>
      </c>
      <c r="C268" t="s">
        <v>40</v>
      </c>
      <c r="D268">
        <v>4.5742349999999998</v>
      </c>
      <c r="E268">
        <v>0.47524080000000002</v>
      </c>
      <c r="F268" t="s">
        <v>42</v>
      </c>
      <c r="G268">
        <v>-398.47210000000001</v>
      </c>
      <c r="H268" s="1">
        <v>-8.7009979999999995E-7</v>
      </c>
      <c r="I268">
        <v>368.3066</v>
      </c>
      <c r="J268">
        <v>-416.91649999999998</v>
      </c>
      <c r="K268">
        <v>1.056654</v>
      </c>
      <c r="L268">
        <v>368.2525</v>
      </c>
      <c r="M268">
        <v>0.99986149999999996</v>
      </c>
      <c r="N268">
        <v>0</v>
      </c>
      <c r="O268">
        <v>-1.5976290000000001E-2</v>
      </c>
      <c r="P268">
        <v>0.98993200000000003</v>
      </c>
      <c r="Q268">
        <v>0.1203872</v>
      </c>
      <c r="R268">
        <v>-7.4442540000000001E-2</v>
      </c>
      <c r="S268">
        <v>3.051971</v>
      </c>
      <c r="T268">
        <v>-0.17091020000000001</v>
      </c>
      <c r="U268">
        <v>7.6599119999999996E-3</v>
      </c>
      <c r="V268">
        <v>5.880473E-2</v>
      </c>
      <c r="W268">
        <v>0.1249523</v>
      </c>
      <c r="X268">
        <v>0.99041860000000004</v>
      </c>
      <c r="Y268">
        <v>-1.8432E-2</v>
      </c>
      <c r="Z268">
        <v>1.4096460000000001E-3</v>
      </c>
      <c r="AA268">
        <v>0.99982910000000003</v>
      </c>
      <c r="AB268">
        <v>44</v>
      </c>
      <c r="AC268">
        <v>18.444399999999899</v>
      </c>
      <c r="AD268">
        <v>-1.0566548700998</v>
      </c>
      <c r="AE268">
        <v>5.4100000000005297E-2</v>
      </c>
      <c r="AF268">
        <v>-0.34762847801707403</v>
      </c>
      <c r="AG268">
        <v>-1.0566548700998</v>
      </c>
      <c r="AH268">
        <v>18.380856312929598</v>
      </c>
      <c r="AI268">
        <v>93.289537503431802</v>
      </c>
      <c r="AJ268">
        <v>91.083478922858703</v>
      </c>
      <c r="AK268">
        <v>18.4144846213463</v>
      </c>
      <c r="AL268">
        <v>82.821999101014896</v>
      </c>
      <c r="AM268">
        <v>86.602131603739394</v>
      </c>
      <c r="AN268">
        <v>1.0000000383858101</v>
      </c>
    </row>
    <row r="269" spans="1:40" x14ac:dyDescent="0.25">
      <c r="A269" t="str">
        <f>"20190312164442706"</f>
        <v>20190312164442706</v>
      </c>
      <c r="B269" t="str">
        <f>"1552380282702330"</f>
        <v>1552380282702330</v>
      </c>
      <c r="C269" t="s">
        <v>40</v>
      </c>
      <c r="D269">
        <v>4.4693069999999997</v>
      </c>
      <c r="E269">
        <v>0.47612100000000002</v>
      </c>
      <c r="F269" t="s">
        <v>42</v>
      </c>
      <c r="G269">
        <v>-398.65820000000002</v>
      </c>
      <c r="H269" s="1">
        <v>-8.040149E-7</v>
      </c>
      <c r="I269">
        <v>368.25819999999999</v>
      </c>
      <c r="J269">
        <v>-416.46809999999999</v>
      </c>
      <c r="K269">
        <v>1.0566899999999999</v>
      </c>
      <c r="L269">
        <v>368.24509999999998</v>
      </c>
      <c r="M269">
        <v>0.99985460000000004</v>
      </c>
      <c r="N269">
        <v>0</v>
      </c>
      <c r="O269">
        <v>-1.6388349999999999E-2</v>
      </c>
      <c r="P269">
        <v>0.98995920000000004</v>
      </c>
      <c r="Q269">
        <v>0.1195983</v>
      </c>
      <c r="R269">
        <v>-7.5348129999999999E-2</v>
      </c>
      <c r="S269">
        <v>3.0520939999999999</v>
      </c>
      <c r="T269">
        <v>-0.17663180000000001</v>
      </c>
      <c r="U269">
        <v>9.765625E-4</v>
      </c>
      <c r="V269">
        <v>5.9289099999999997E-2</v>
      </c>
      <c r="W269">
        <v>0.1242052</v>
      </c>
      <c r="X269">
        <v>0.99048360000000002</v>
      </c>
      <c r="Y269">
        <v>-1.6653169999999998E-2</v>
      </c>
      <c r="Z269">
        <v>1.429095E-3</v>
      </c>
      <c r="AA269">
        <v>0.99986030000000004</v>
      </c>
      <c r="AB269">
        <v>44</v>
      </c>
      <c r="AC269">
        <v>17.809899999999899</v>
      </c>
      <c r="AD269">
        <v>-1.0566908040148999</v>
      </c>
      <c r="AE269">
        <v>1.3100000000008501E-2</v>
      </c>
      <c r="AF269">
        <v>-0.303906530435546</v>
      </c>
      <c r="AG269">
        <v>-1.0566908040148999</v>
      </c>
      <c r="AH269">
        <v>17.744827316354002</v>
      </c>
      <c r="AI269">
        <v>93.407396590674594</v>
      </c>
      <c r="AJ269">
        <v>90.981179421227395</v>
      </c>
      <c r="AK269">
        <v>17.778859668768199</v>
      </c>
      <c r="AL269">
        <v>82.865140197209499</v>
      </c>
      <c r="AM269">
        <v>86.574434291491201</v>
      </c>
      <c r="AN269">
        <v>0.99999994547740301</v>
      </c>
    </row>
    <row r="270" spans="1:40" x14ac:dyDescent="0.25">
      <c r="A270" t="str">
        <f>"20190312164442729"</f>
        <v>20190312164442729</v>
      </c>
      <c r="B270" t="str">
        <f>"1552380282721850"</f>
        <v>1552380282721850</v>
      </c>
      <c r="C270" t="s">
        <v>40</v>
      </c>
      <c r="D270">
        <v>4.4371090000000004</v>
      </c>
      <c r="E270">
        <v>0.4757382</v>
      </c>
      <c r="F270" t="s">
        <v>42</v>
      </c>
      <c r="G270">
        <v>-399.00200000000001</v>
      </c>
      <c r="H270" s="1">
        <v>-7.0520910000000002E-7</v>
      </c>
      <c r="I270">
        <v>368.18979999999999</v>
      </c>
      <c r="J270">
        <v>-416.00510000000003</v>
      </c>
      <c r="K270">
        <v>1.056724</v>
      </c>
      <c r="L270">
        <v>368.2373</v>
      </c>
      <c r="M270">
        <v>0.99984810000000002</v>
      </c>
      <c r="N270">
        <v>0</v>
      </c>
      <c r="O270">
        <v>-1.6767379999999998E-2</v>
      </c>
      <c r="P270">
        <v>0.98990840000000002</v>
      </c>
      <c r="Q270">
        <v>0.11940820000000001</v>
      </c>
      <c r="R270">
        <v>-7.6308909999999994E-2</v>
      </c>
      <c r="S270">
        <v>3.0520320000000001</v>
      </c>
      <c r="T270">
        <v>-0.18464549999999999</v>
      </c>
      <c r="U270">
        <v>-9.6435549999999998E-3</v>
      </c>
      <c r="V270">
        <v>5.9863020000000003E-2</v>
      </c>
      <c r="W270">
        <v>0.1240581</v>
      </c>
      <c r="X270">
        <v>0.99046749999999995</v>
      </c>
      <c r="Y270">
        <v>-1.355279E-2</v>
      </c>
      <c r="Z270">
        <v>1.423044E-3</v>
      </c>
      <c r="AA270">
        <v>0.99990710000000005</v>
      </c>
      <c r="AB270">
        <v>44</v>
      </c>
      <c r="AC270">
        <v>17.0031</v>
      </c>
      <c r="AD270">
        <v>-1.0567247052091</v>
      </c>
      <c r="AE270">
        <v>-4.7500000000013601E-2</v>
      </c>
      <c r="AF270">
        <v>-0.23669312491630501</v>
      </c>
      <c r="AG270">
        <v>-1.0567247052091</v>
      </c>
      <c r="AH270">
        <v>16.936091076538698</v>
      </c>
      <c r="AI270">
        <v>93.569984872809002</v>
      </c>
      <c r="AJ270">
        <v>90.800694457658906</v>
      </c>
      <c r="AK270">
        <v>16.970676818877699</v>
      </c>
      <c r="AL270">
        <v>82.873633996679402</v>
      </c>
      <c r="AM270">
        <v>86.541298754861103</v>
      </c>
      <c r="AN270">
        <v>0.99999993094768702</v>
      </c>
    </row>
    <row r="271" spans="1:40" x14ac:dyDescent="0.25">
      <c r="A271" t="str">
        <f>"20190312164442751"</f>
        <v>20190312164442751</v>
      </c>
      <c r="B271" t="str">
        <f>"1552380282742346"</f>
        <v>1552380282742346</v>
      </c>
      <c r="C271" t="s">
        <v>40</v>
      </c>
      <c r="D271">
        <v>4.445004</v>
      </c>
      <c r="E271">
        <v>0.47436509999999998</v>
      </c>
      <c r="F271" t="s">
        <v>41</v>
      </c>
      <c r="G271">
        <v>-414.88569999999999</v>
      </c>
      <c r="H271">
        <v>0.98678960000000004</v>
      </c>
      <c r="I271">
        <v>368.23320000000001</v>
      </c>
      <c r="J271">
        <v>-415.56529999999998</v>
      </c>
      <c r="K271">
        <v>1.056765</v>
      </c>
      <c r="L271">
        <v>368.22969999999998</v>
      </c>
      <c r="M271">
        <v>0.99984249999999997</v>
      </c>
      <c r="N271">
        <v>0</v>
      </c>
      <c r="O271">
        <v>-1.7084200000000001E-2</v>
      </c>
      <c r="P271">
        <v>0.98998549999999996</v>
      </c>
      <c r="Q271">
        <v>0.11893860000000001</v>
      </c>
      <c r="R271">
        <v>-7.6041330000000004E-2</v>
      </c>
      <c r="S271">
        <v>3.052765</v>
      </c>
      <c r="T271">
        <v>-0.190883</v>
      </c>
      <c r="U271">
        <v>-1.019287E-2</v>
      </c>
      <c r="V271">
        <v>5.9268590000000003E-2</v>
      </c>
      <c r="W271">
        <v>0.1236313</v>
      </c>
      <c r="X271">
        <v>0.99055669999999996</v>
      </c>
      <c r="Y271">
        <v>-1.368582E-2</v>
      </c>
      <c r="Z271">
        <v>1.4946149999999999E-3</v>
      </c>
      <c r="AA271">
        <v>0.99990520000000005</v>
      </c>
      <c r="AB271">
        <v>44</v>
      </c>
      <c r="AC271">
        <v>0.67959999999999299</v>
      </c>
      <c r="AD271">
        <v>-6.9975399999999896E-2</v>
      </c>
      <c r="AE271">
        <v>3.5000000000309198E-3</v>
      </c>
      <c r="AF271">
        <v>-1.4951535034648101E-2</v>
      </c>
      <c r="AG271">
        <v>-6.9975399999999896E-2</v>
      </c>
      <c r="AH271">
        <v>0.67231340177931898</v>
      </c>
      <c r="AI271">
        <v>95.940578441922199</v>
      </c>
      <c r="AJ271">
        <v>91.273987203261001</v>
      </c>
      <c r="AK271">
        <v>0.67611050518175797</v>
      </c>
      <c r="AL271">
        <v>82.898278188669394</v>
      </c>
      <c r="AM271">
        <v>86.575868591571904</v>
      </c>
      <c r="AN271">
        <v>1.00000002000758</v>
      </c>
    </row>
    <row r="272" spans="1:40" x14ac:dyDescent="0.25">
      <c r="A272" t="str">
        <f>"20190312164442772"</f>
        <v>20190312164442772</v>
      </c>
      <c r="B272" t="str">
        <f>"1552380282761883"</f>
        <v>1552380282761883</v>
      </c>
      <c r="C272" t="s">
        <v>40</v>
      </c>
      <c r="D272">
        <v>4.445093</v>
      </c>
      <c r="E272">
        <v>0.47476629999999997</v>
      </c>
      <c r="F272" t="s">
        <v>41</v>
      </c>
      <c r="G272">
        <v>-414.4871</v>
      </c>
      <c r="H272">
        <v>0.98532410000000004</v>
      </c>
      <c r="I272">
        <v>368.23059999999998</v>
      </c>
      <c r="J272">
        <v>-415.13709999999998</v>
      </c>
      <c r="K272">
        <v>1.056799</v>
      </c>
      <c r="L272">
        <v>368.22230000000002</v>
      </c>
      <c r="M272">
        <v>0.99983759999999999</v>
      </c>
      <c r="N272">
        <v>0</v>
      </c>
      <c r="O272">
        <v>-1.7364569999999999E-2</v>
      </c>
      <c r="P272">
        <v>0.99001050000000002</v>
      </c>
      <c r="Q272">
        <v>0.1189856</v>
      </c>
      <c r="R272">
        <v>-7.564419E-2</v>
      </c>
      <c r="S272">
        <v>3.05484</v>
      </c>
      <c r="T272">
        <v>-0.2023325</v>
      </c>
      <c r="U272">
        <v>2.3498540000000002E-3</v>
      </c>
      <c r="V272">
        <v>5.8583679999999999E-2</v>
      </c>
      <c r="W272">
        <v>0.1237202</v>
      </c>
      <c r="X272">
        <v>0.99058630000000003</v>
      </c>
      <c r="Y272">
        <v>-1.8056260000000001E-2</v>
      </c>
      <c r="Z272">
        <v>1.746137E-3</v>
      </c>
      <c r="AA272">
        <v>0.99983540000000004</v>
      </c>
      <c r="AB272">
        <v>44</v>
      </c>
      <c r="AC272">
        <v>0.64999999999997704</v>
      </c>
      <c r="AD272">
        <v>-7.1474899999999994E-2</v>
      </c>
      <c r="AE272">
        <v>8.2999999999628891E-3</v>
      </c>
      <c r="AF272">
        <v>-1.9351894813984E-2</v>
      </c>
      <c r="AG272">
        <v>-7.1474899999999994E-2</v>
      </c>
      <c r="AH272">
        <v>0.64199642783272803</v>
      </c>
      <c r="AI272">
        <v>96.349846084990503</v>
      </c>
      <c r="AJ272">
        <v>91.726561415710606</v>
      </c>
      <c r="AK272">
        <v>0.64625271412419205</v>
      </c>
      <c r="AL272">
        <v>82.893144876200097</v>
      </c>
      <c r="AM272">
        <v>86.615446355094903</v>
      </c>
      <c r="AN272">
        <v>0.99999997659903594</v>
      </c>
    </row>
    <row r="273" spans="1:40" x14ac:dyDescent="0.25">
      <c r="A273" t="str">
        <f>"20190312164442797"</f>
        <v>20190312164442797</v>
      </c>
      <c r="B273" t="str">
        <f>"1552380282792121"</f>
        <v>1552380282792121</v>
      </c>
      <c r="C273" t="s">
        <v>40</v>
      </c>
      <c r="D273">
        <v>4.5853580000000003</v>
      </c>
      <c r="E273">
        <v>0.47449469999999999</v>
      </c>
      <c r="F273" t="s">
        <v>41</v>
      </c>
      <c r="G273">
        <v>-414.08330000000001</v>
      </c>
      <c r="H273">
        <v>0.9865893</v>
      </c>
      <c r="I273">
        <v>368.22250000000003</v>
      </c>
      <c r="J273">
        <v>-414.67009999999999</v>
      </c>
      <c r="K273">
        <v>1.0568280000000001</v>
      </c>
      <c r="L273">
        <v>368.214</v>
      </c>
      <c r="M273">
        <v>0.99983259999999996</v>
      </c>
      <c r="N273">
        <v>0</v>
      </c>
      <c r="O273">
        <v>-1.7643519999999999E-2</v>
      </c>
      <c r="P273">
        <v>0.98998710000000001</v>
      </c>
      <c r="Q273">
        <v>0.119657399999999</v>
      </c>
      <c r="R273">
        <v>-7.4887019999999999E-2</v>
      </c>
      <c r="S273">
        <v>3.0547490000000002</v>
      </c>
      <c r="T273">
        <v>-0.20349819999999999</v>
      </c>
      <c r="U273">
        <v>7.6293949999999998E-4</v>
      </c>
      <c r="V273">
        <v>5.7541769999999999E-2</v>
      </c>
      <c r="W273">
        <v>0.12443609999999999</v>
      </c>
      <c r="X273">
        <v>0.99055769999999999</v>
      </c>
      <c r="Y273">
        <v>-1.7814859999999998E-2</v>
      </c>
      <c r="Z273">
        <v>1.766756E-3</v>
      </c>
      <c r="AA273">
        <v>0.9998397</v>
      </c>
      <c r="AB273">
        <v>45</v>
      </c>
      <c r="AC273">
        <v>0.586799999999982</v>
      </c>
      <c r="AD273">
        <v>-7.0238700000000098E-2</v>
      </c>
      <c r="AE273">
        <v>8.5000000000263701E-3</v>
      </c>
      <c r="AF273">
        <v>-1.85857825934936E-2</v>
      </c>
      <c r="AG273">
        <v>-7.0238700000000098E-2</v>
      </c>
      <c r="AH273">
        <v>0.57827514253356405</v>
      </c>
      <c r="AI273">
        <v>96.921820845165001</v>
      </c>
      <c r="AJ273">
        <v>91.840854604948206</v>
      </c>
      <c r="AK273">
        <v>0.58282162516889902</v>
      </c>
      <c r="AL273">
        <v>82.851807395763998</v>
      </c>
      <c r="AM273">
        <v>86.675408595312405</v>
      </c>
      <c r="AN273">
        <v>0.99999997765361603</v>
      </c>
    </row>
    <row r="274" spans="1:40" x14ac:dyDescent="0.25">
      <c r="A274" t="str">
        <f>"20190312164442819"</f>
        <v>20190312164442819</v>
      </c>
      <c r="B274" t="str">
        <f>"1552380282811642"</f>
        <v>1552380282811642</v>
      </c>
      <c r="C274" t="s">
        <v>40</v>
      </c>
      <c r="D274">
        <v>4.5644799999999996</v>
      </c>
      <c r="E274">
        <v>0.4746764</v>
      </c>
      <c r="F274" t="s">
        <v>42</v>
      </c>
      <c r="G274">
        <v>-398.26710000000003</v>
      </c>
      <c r="H274" s="1">
        <v>-9.7021019999999999E-7</v>
      </c>
      <c r="I274">
        <v>368.238</v>
      </c>
      <c r="J274">
        <v>-414.21559999999999</v>
      </c>
      <c r="K274">
        <v>1.0568610000000001</v>
      </c>
      <c r="L274">
        <v>368.20589999999999</v>
      </c>
      <c r="M274">
        <v>0.99982789999999999</v>
      </c>
      <c r="N274">
        <v>0</v>
      </c>
      <c r="O274">
        <v>-1.7894139999999999E-2</v>
      </c>
      <c r="P274">
        <v>0.98997550000000001</v>
      </c>
      <c r="Q274">
        <v>0.1199636</v>
      </c>
      <c r="R274">
        <v>-7.4549439999999995E-2</v>
      </c>
      <c r="S274">
        <v>3.054443</v>
      </c>
      <c r="T274">
        <v>-0.19679389999999999</v>
      </c>
      <c r="U274">
        <v>4.4860840000000004E-3</v>
      </c>
      <c r="V274">
        <v>5.6948369999999998E-2</v>
      </c>
      <c r="W274">
        <v>0.1247848</v>
      </c>
      <c r="X274">
        <v>0.99054810000000004</v>
      </c>
      <c r="Y274">
        <v>-1.9285730000000001E-2</v>
      </c>
      <c r="Z274">
        <v>1.77230799999999E-3</v>
      </c>
      <c r="AA274">
        <v>0.99981240000000005</v>
      </c>
      <c r="AB274">
        <v>45</v>
      </c>
      <c r="AC274">
        <v>15.9484999999999</v>
      </c>
      <c r="AD274">
        <v>-1.0568619702102</v>
      </c>
      <c r="AE274">
        <v>3.2100000000070801E-2</v>
      </c>
      <c r="AF274">
        <v>-0.316094898573342</v>
      </c>
      <c r="AG274">
        <v>-1.0568619702102</v>
      </c>
      <c r="AH274">
        <v>15.875656877474499</v>
      </c>
      <c r="AI274">
        <v>93.807878258873799</v>
      </c>
      <c r="AJ274">
        <v>91.140646403465794</v>
      </c>
      <c r="AK274">
        <v>15.9139358582434</v>
      </c>
      <c r="AL274">
        <v>82.8316712182327</v>
      </c>
      <c r="AM274">
        <v>86.709585932032795</v>
      </c>
      <c r="AN274">
        <v>0.99999995078515203</v>
      </c>
    </row>
    <row r="275" spans="1:40" x14ac:dyDescent="0.25">
      <c r="A275" t="str">
        <f>"20190312164442840"</f>
        <v>20190312164442840</v>
      </c>
      <c r="B275" t="str">
        <f>"1552380282832156"</f>
        <v>1552380282832156</v>
      </c>
      <c r="C275" t="s">
        <v>40</v>
      </c>
      <c r="D275">
        <v>4.5595429999999997</v>
      </c>
      <c r="E275">
        <v>0.47499000000000002</v>
      </c>
      <c r="F275" t="s">
        <v>42</v>
      </c>
      <c r="G275">
        <v>-397.94040000000001</v>
      </c>
      <c r="H275" s="1">
        <v>-1.1118169999999999E-6</v>
      </c>
      <c r="I275">
        <v>368.22969999999998</v>
      </c>
      <c r="J275">
        <v>-413.77370000000002</v>
      </c>
      <c r="K275">
        <v>1.056875</v>
      </c>
      <c r="L275">
        <v>368.19779999999997</v>
      </c>
      <c r="M275">
        <v>0.99982360000000003</v>
      </c>
      <c r="N275">
        <v>0</v>
      </c>
      <c r="O275">
        <v>-1.8122969999999999E-2</v>
      </c>
      <c r="P275">
        <v>0.98989159999999998</v>
      </c>
      <c r="Q275">
        <v>0.1209157</v>
      </c>
      <c r="R275">
        <v>-7.412262E-2</v>
      </c>
      <c r="S275">
        <v>3.0547490000000002</v>
      </c>
      <c r="T275">
        <v>-0.19836580000000001</v>
      </c>
      <c r="U275">
        <v>4.4860840000000004E-3</v>
      </c>
      <c r="V275">
        <v>5.6290369999999999E-2</v>
      </c>
      <c r="W275">
        <v>0.1257778</v>
      </c>
      <c r="X275">
        <v>0.99046020000000001</v>
      </c>
      <c r="Y275">
        <v>-1.951222E-2</v>
      </c>
      <c r="Z275">
        <v>1.8084450000000001E-3</v>
      </c>
      <c r="AA275">
        <v>0.99980800000000003</v>
      </c>
      <c r="AB275">
        <v>45</v>
      </c>
      <c r="AC275">
        <v>15.833299999999999</v>
      </c>
      <c r="AD275">
        <v>-1.056876111817</v>
      </c>
      <c r="AE275">
        <v>3.1900000000007298E-2</v>
      </c>
      <c r="AF275">
        <v>-0.31743033810587201</v>
      </c>
      <c r="AG275">
        <v>-1.056876111817</v>
      </c>
      <c r="AH275">
        <v>15.759902045808399</v>
      </c>
      <c r="AI275">
        <v>93.835797026223602</v>
      </c>
      <c r="AJ275">
        <v>91.153875179501696</v>
      </c>
      <c r="AK275">
        <v>15.798489219819601</v>
      </c>
      <c r="AL275">
        <v>82.774325291809603</v>
      </c>
      <c r="AM275">
        <v>86.747234322930893</v>
      </c>
      <c r="AN275">
        <v>1.0000000342558</v>
      </c>
    </row>
    <row r="276" spans="1:40" x14ac:dyDescent="0.25">
      <c r="A276" t="str">
        <f>"20190312164442854"</f>
        <v>20190312164442854</v>
      </c>
      <c r="B276" t="str">
        <f>"1552380282841898"</f>
        <v>1552380282841898</v>
      </c>
      <c r="C276" t="s">
        <v>40</v>
      </c>
      <c r="D276">
        <v>4.4462999999999999</v>
      </c>
      <c r="E276">
        <v>0.47504059999999998</v>
      </c>
      <c r="F276" t="s">
        <v>42</v>
      </c>
      <c r="G276">
        <v>-397.45089999999999</v>
      </c>
      <c r="H276" s="1">
        <v>-1.324417E-6</v>
      </c>
      <c r="I276">
        <v>368.21499999999997</v>
      </c>
      <c r="J276">
        <v>-413.50400000000002</v>
      </c>
      <c r="K276">
        <v>1.056891</v>
      </c>
      <c r="L276">
        <v>368.19279999999998</v>
      </c>
      <c r="M276">
        <v>0.99982090000000001</v>
      </c>
      <c r="N276">
        <v>0</v>
      </c>
      <c r="O276">
        <v>-1.8257410000000002E-2</v>
      </c>
      <c r="P276">
        <v>0.98990560000000005</v>
      </c>
      <c r="Q276">
        <v>0.1208658</v>
      </c>
      <c r="R276">
        <v>-7.4019360000000006E-2</v>
      </c>
      <c r="S276">
        <v>3.0550540000000002</v>
      </c>
      <c r="T276">
        <v>-0.19780929999999999</v>
      </c>
      <c r="U276">
        <v>3.2348630000000001E-3</v>
      </c>
      <c r="V276">
        <v>5.604961E-2</v>
      </c>
      <c r="W276">
        <v>0.12575319999999901</v>
      </c>
      <c r="X276">
        <v>0.99047700000000005</v>
      </c>
      <c r="Y276">
        <v>-1.9237790000000001E-2</v>
      </c>
      <c r="Z276">
        <v>1.803022E-3</v>
      </c>
      <c r="AA276">
        <v>0.99981330000000002</v>
      </c>
      <c r="AB276">
        <v>45</v>
      </c>
      <c r="AC276">
        <v>16.053100000000001</v>
      </c>
      <c r="AD276">
        <v>-1.0568923244169901</v>
      </c>
      <c r="AE276">
        <v>2.2199999999997999E-2</v>
      </c>
      <c r="AF276">
        <v>-0.31392723794234401</v>
      </c>
      <c r="AG276">
        <v>-1.0568923244169901</v>
      </c>
      <c r="AH276">
        <v>15.980749706730601</v>
      </c>
      <c r="AI276">
        <v>93.783037999564399</v>
      </c>
      <c r="AJ276">
        <v>91.125378536237207</v>
      </c>
      <c r="AK276">
        <v>16.0187369316467</v>
      </c>
      <c r="AL276">
        <v>82.775746212557607</v>
      </c>
      <c r="AM276">
        <v>86.761171889923403</v>
      </c>
      <c r="AN276">
        <v>1.0000000568101901</v>
      </c>
    </row>
    <row r="277" spans="1:40" x14ac:dyDescent="0.25">
      <c r="A277" t="str">
        <f>"20190312164442873"</f>
        <v>20190312164442873</v>
      </c>
      <c r="B277" t="str">
        <f>"1552380282862397"</f>
        <v>1552380282862397</v>
      </c>
      <c r="C277" t="s">
        <v>40</v>
      </c>
      <c r="D277">
        <v>4.6012130000000004</v>
      </c>
      <c r="E277">
        <v>0.47510829999999998</v>
      </c>
      <c r="F277" t="s">
        <v>42</v>
      </c>
      <c r="G277">
        <v>-397.18630000000002</v>
      </c>
      <c r="H277" s="1">
        <v>-1.4393670000000001E-6</v>
      </c>
      <c r="I277">
        <v>368.20690000000002</v>
      </c>
      <c r="J277">
        <v>-413.11189999999999</v>
      </c>
      <c r="K277">
        <v>1.0569059999999999</v>
      </c>
      <c r="L277">
        <v>368.18560000000002</v>
      </c>
      <c r="M277">
        <v>0.99981730000000002</v>
      </c>
      <c r="N277">
        <v>0</v>
      </c>
      <c r="O277">
        <v>-1.8447399999999999E-2</v>
      </c>
      <c r="P277">
        <v>0.9898612</v>
      </c>
      <c r="Q277">
        <v>0.12129189999999899</v>
      </c>
      <c r="R277">
        <v>-7.3915259999999997E-2</v>
      </c>
      <c r="S277">
        <v>3.0549930000000001</v>
      </c>
      <c r="T277">
        <v>-0.19787009999999999</v>
      </c>
      <c r="U277">
        <v>2.6550290000000002E-3</v>
      </c>
      <c r="V277">
        <v>5.575314E-2</v>
      </c>
      <c r="W277">
        <v>0.12621489999999999</v>
      </c>
      <c r="X277">
        <v>0.99043490000000001</v>
      </c>
      <c r="Y277">
        <v>-1.9237600000000001E-2</v>
      </c>
      <c r="Z277">
        <v>1.815896E-3</v>
      </c>
      <c r="AA277">
        <v>0.99981330000000002</v>
      </c>
      <c r="AB277">
        <v>45</v>
      </c>
      <c r="AC277">
        <v>15.9255999999999</v>
      </c>
      <c r="AD277">
        <v>-1.0569074393669999</v>
      </c>
      <c r="AE277">
        <v>2.1299999999996499E-2</v>
      </c>
      <c r="AF277">
        <v>-0.31370430737171601</v>
      </c>
      <c r="AG277">
        <v>-1.0569074393669999</v>
      </c>
      <c r="AH277">
        <v>15.852676286900801</v>
      </c>
      <c r="AI277">
        <v>93.813554794073298</v>
      </c>
      <c r="AJ277">
        <v>91.133662663214594</v>
      </c>
      <c r="AK277">
        <v>15.890966276004701</v>
      </c>
      <c r="AL277">
        <v>82.749079524094</v>
      </c>
      <c r="AM277">
        <v>86.778130576197199</v>
      </c>
      <c r="AN277">
        <v>0.99999995236993799</v>
      </c>
    </row>
    <row r="278" spans="1:40" x14ac:dyDescent="0.25">
      <c r="A278" t="str">
        <f>"20190312164442896"</f>
        <v>20190312164442896</v>
      </c>
      <c r="B278" t="str">
        <f>"1552380282891674"</f>
        <v>1552380282891674</v>
      </c>
      <c r="C278" t="s">
        <v>40</v>
      </c>
      <c r="D278">
        <v>4.5712630000000001</v>
      </c>
      <c r="E278">
        <v>0.47514679999999998</v>
      </c>
      <c r="F278" t="s">
        <v>42</v>
      </c>
      <c r="G278">
        <v>-396.71769999999998</v>
      </c>
      <c r="H278" s="1">
        <v>-1.6421759999999999E-6</v>
      </c>
      <c r="I278">
        <v>368.1968</v>
      </c>
      <c r="J278">
        <v>-412.65260000000001</v>
      </c>
      <c r="K278">
        <v>1.0569249999999999</v>
      </c>
      <c r="L278">
        <v>368.17700000000002</v>
      </c>
      <c r="M278">
        <v>0.99981310000000001</v>
      </c>
      <c r="N278">
        <v>0</v>
      </c>
      <c r="O278">
        <v>-1.8662439999999999E-2</v>
      </c>
      <c r="P278">
        <v>0.98977289999999996</v>
      </c>
      <c r="Q278">
        <v>0.122014</v>
      </c>
      <c r="R278">
        <v>-7.3909340000000004E-2</v>
      </c>
      <c r="S278">
        <v>3.0550229999999998</v>
      </c>
      <c r="T278">
        <v>-0.1969514</v>
      </c>
      <c r="U278">
        <v>2.1057129999999999E-3</v>
      </c>
      <c r="V278">
        <v>5.5531070000000002E-2</v>
      </c>
      <c r="W278">
        <v>0.1269778</v>
      </c>
      <c r="X278">
        <v>0.99034990000000001</v>
      </c>
      <c r="Y278">
        <v>-1.927307E-2</v>
      </c>
      <c r="Z278">
        <v>1.8224529999999999E-3</v>
      </c>
      <c r="AA278">
        <v>0.99981260000000005</v>
      </c>
      <c r="AB278">
        <v>45</v>
      </c>
      <c r="AC278">
        <v>15.934900000000001</v>
      </c>
      <c r="AD278">
        <v>-1.056926642176</v>
      </c>
      <c r="AE278">
        <v>1.9800000000032E-2</v>
      </c>
      <c r="AF278">
        <v>-0.31579515599379099</v>
      </c>
      <c r="AG278">
        <v>-1.056926642176</v>
      </c>
      <c r="AH278">
        <v>15.861972548490099</v>
      </c>
      <c r="AI278">
        <v>93.811386343910598</v>
      </c>
      <c r="AJ278">
        <v>91.140547908630396</v>
      </c>
      <c r="AK278">
        <v>15.900282816243999</v>
      </c>
      <c r="AL278">
        <v>82.705014331114597</v>
      </c>
      <c r="AM278">
        <v>86.790661858031399</v>
      </c>
      <c r="AN278">
        <v>0.99999999292909703</v>
      </c>
    </row>
    <row r="279" spans="1:40" x14ac:dyDescent="0.25">
      <c r="A279" t="str">
        <f>"20190312164442919"</f>
        <v>20190312164442919</v>
      </c>
      <c r="B279" t="str">
        <f>"1552380282912170"</f>
        <v>1552380282912170</v>
      </c>
      <c r="C279" t="s">
        <v>40</v>
      </c>
      <c r="D279">
        <v>4.468388</v>
      </c>
      <c r="E279">
        <v>0.47517419999999999</v>
      </c>
      <c r="F279" t="s">
        <v>42</v>
      </c>
      <c r="G279">
        <v>-395.9923</v>
      </c>
      <c r="H279" s="1">
        <v>-1.9557729999999999E-6</v>
      </c>
      <c r="I279">
        <v>368.18340000000001</v>
      </c>
      <c r="J279">
        <v>-412.18799999999999</v>
      </c>
      <c r="K279">
        <v>1.0569489999999999</v>
      </c>
      <c r="L279">
        <v>368.16820000000001</v>
      </c>
      <c r="M279">
        <v>0.9998089</v>
      </c>
      <c r="N279">
        <v>0</v>
      </c>
      <c r="O279">
        <v>-1.8872719999999999E-2</v>
      </c>
      <c r="P279">
        <v>0.98972190000000004</v>
      </c>
      <c r="Q279">
        <v>0.1224953</v>
      </c>
      <c r="R279">
        <v>-7.3795029999999998E-2</v>
      </c>
      <c r="S279">
        <v>3.0549930000000001</v>
      </c>
      <c r="T279">
        <v>-0.1938066</v>
      </c>
      <c r="U279">
        <v>1.190186E-3</v>
      </c>
      <c r="V279">
        <v>5.5204370000000003E-2</v>
      </c>
      <c r="W279">
        <v>0.1275009</v>
      </c>
      <c r="X279">
        <v>0.99030099999999999</v>
      </c>
      <c r="Y279">
        <v>-1.9185979999999998E-2</v>
      </c>
      <c r="Z279">
        <v>1.8039950000000001E-3</v>
      </c>
      <c r="AA279">
        <v>0.99981430000000004</v>
      </c>
      <c r="AB279">
        <v>45</v>
      </c>
      <c r="AC279">
        <v>16.195699999999999</v>
      </c>
      <c r="AD279">
        <v>-1.0569509557729999</v>
      </c>
      <c r="AE279">
        <v>1.51999999999929E-2</v>
      </c>
      <c r="AF279">
        <v>-0.319497428739619</v>
      </c>
      <c r="AG279">
        <v>-1.0569509557729999</v>
      </c>
      <c r="AH279">
        <v>16.1238566567656</v>
      </c>
      <c r="AI279">
        <v>93.749752730565802</v>
      </c>
      <c r="AJ279">
        <v>91.135178717032701</v>
      </c>
      <c r="AK279">
        <v>16.161620507170799</v>
      </c>
      <c r="AL279">
        <v>82.674797624887006</v>
      </c>
      <c r="AM279">
        <v>86.809346674079293</v>
      </c>
      <c r="AN279">
        <v>1.0000000362844499</v>
      </c>
    </row>
    <row r="280" spans="1:40" x14ac:dyDescent="0.25">
      <c r="A280" t="str">
        <f>"20190312164442941"</f>
        <v>20190312164442941</v>
      </c>
      <c r="B280" t="str">
        <f>"1552380282931690"</f>
        <v>1552380282931690</v>
      </c>
      <c r="C280" t="s">
        <v>40</v>
      </c>
      <c r="D280">
        <v>4.6536350000000004</v>
      </c>
      <c r="E280">
        <v>0.47519929999999999</v>
      </c>
      <c r="F280" t="s">
        <v>42</v>
      </c>
      <c r="G280">
        <v>-395.25580000000002</v>
      </c>
      <c r="H280" s="1">
        <v>-2.2730620000000001E-6</v>
      </c>
      <c r="I280">
        <v>368.17590000000001</v>
      </c>
      <c r="J280">
        <v>-411.7294</v>
      </c>
      <c r="K280">
        <v>1.056969</v>
      </c>
      <c r="L280">
        <v>368.15940000000001</v>
      </c>
      <c r="M280">
        <v>0.99980500000000005</v>
      </c>
      <c r="N280">
        <v>0</v>
      </c>
      <c r="O280">
        <v>-1.9070719999999999E-2</v>
      </c>
      <c r="P280">
        <v>0.98962030000000001</v>
      </c>
      <c r="Q280">
        <v>0.123230199999999</v>
      </c>
      <c r="R280">
        <v>-7.3932739999999997E-2</v>
      </c>
      <c r="S280">
        <v>3.0549010000000001</v>
      </c>
      <c r="T280">
        <v>-0.19069420000000001</v>
      </c>
      <c r="U280">
        <v>1.403809E-3</v>
      </c>
      <c r="V280">
        <v>5.5143360000000002E-2</v>
      </c>
      <c r="W280">
        <v>0.12827649999999999</v>
      </c>
      <c r="X280">
        <v>0.99020419999999998</v>
      </c>
      <c r="Y280">
        <v>-1.9455429999999999E-2</v>
      </c>
      <c r="Z280">
        <v>1.7958819999999999E-3</v>
      </c>
      <c r="AA280">
        <v>0.99980910000000001</v>
      </c>
      <c r="AB280">
        <v>45</v>
      </c>
      <c r="AC280">
        <v>16.473599999999902</v>
      </c>
      <c r="AD280">
        <v>-1.056971273062</v>
      </c>
      <c r="AE280">
        <v>1.6500000000007699E-2</v>
      </c>
      <c r="AF280">
        <v>-0.32930887389390101</v>
      </c>
      <c r="AG280">
        <v>-1.056971273062</v>
      </c>
      <c r="AH280">
        <v>16.402764107402501</v>
      </c>
      <c r="AI280">
        <v>93.686221934789302</v>
      </c>
      <c r="AJ280">
        <v>91.150139947255099</v>
      </c>
      <c r="AK280">
        <v>16.4400822068989</v>
      </c>
      <c r="AL280">
        <v>82.6299908529232</v>
      </c>
      <c r="AM280">
        <v>86.812554678346203</v>
      </c>
      <c r="AN280">
        <v>1.00000000415098</v>
      </c>
    </row>
    <row r="281" spans="1:40" x14ac:dyDescent="0.25">
      <c r="A281" t="str">
        <f>"20190312164442954"</f>
        <v>20190312164442954</v>
      </c>
      <c r="B281" t="str">
        <f>"1552380282942426"</f>
        <v>1552380282942426</v>
      </c>
      <c r="C281" t="s">
        <v>40</v>
      </c>
      <c r="D281">
        <v>4.6402910000000004</v>
      </c>
      <c r="E281">
        <v>0.47526940000000001</v>
      </c>
      <c r="F281" t="s">
        <v>42</v>
      </c>
      <c r="G281">
        <v>-394.5213</v>
      </c>
      <c r="H281" s="1">
        <v>-2.590392E-6</v>
      </c>
      <c r="I281">
        <v>368.16329999999999</v>
      </c>
      <c r="J281">
        <v>-411.46440000000001</v>
      </c>
      <c r="K281">
        <v>1.056978</v>
      </c>
      <c r="L281">
        <v>368.15429999999998</v>
      </c>
      <c r="M281">
        <v>0.99980279999999999</v>
      </c>
      <c r="N281">
        <v>0</v>
      </c>
      <c r="O281">
        <v>-1.9179430000000001E-2</v>
      </c>
      <c r="P281">
        <v>0.98953400000000002</v>
      </c>
      <c r="Q281">
        <v>0.1238004</v>
      </c>
      <c r="R281">
        <v>-7.4136540000000001E-2</v>
      </c>
      <c r="S281">
        <v>3.0548709999999999</v>
      </c>
      <c r="T281">
        <v>-0.187638</v>
      </c>
      <c r="U281">
        <v>7.0190429999999896E-4</v>
      </c>
      <c r="V281">
        <v>5.5238309999999999E-2</v>
      </c>
      <c r="W281">
        <v>0.12887000000000001</v>
      </c>
      <c r="X281">
        <v>0.99012180000000005</v>
      </c>
      <c r="Y281">
        <v>-1.9336829999999999E-2</v>
      </c>
      <c r="Z281">
        <v>1.7702029999999999E-3</v>
      </c>
      <c r="AA281">
        <v>0.99981149999999996</v>
      </c>
      <c r="AB281">
        <v>46</v>
      </c>
      <c r="AC281">
        <v>16.943100000000001</v>
      </c>
      <c r="AD281">
        <v>-1.056980590392</v>
      </c>
      <c r="AE281">
        <v>9.0000000000145502E-3</v>
      </c>
      <c r="AF281">
        <v>-0.33266698607887302</v>
      </c>
      <c r="AG281">
        <v>-1.056980590392</v>
      </c>
      <c r="AH281">
        <v>16.874140326889101</v>
      </c>
      <c r="AI281">
        <v>93.583577352807495</v>
      </c>
      <c r="AJ281">
        <v>91.129417269053604</v>
      </c>
      <c r="AK281">
        <v>16.9104845307175</v>
      </c>
      <c r="AL281">
        <v>82.595700899745097</v>
      </c>
      <c r="AM281">
        <v>86.806812468576595</v>
      </c>
      <c r="AN281">
        <v>0.99999996331344698</v>
      </c>
    </row>
    <row r="282" spans="1:40" x14ac:dyDescent="0.25">
      <c r="A282" t="str">
        <f>"20190312164442973"</f>
        <v>20190312164442973</v>
      </c>
      <c r="B282" t="str">
        <f>"1552380282961946"</f>
        <v>1552380282961946</v>
      </c>
      <c r="C282" t="s">
        <v>40</v>
      </c>
      <c r="D282">
        <v>4.6737510000000002</v>
      </c>
      <c r="E282">
        <v>0.47525339999999999</v>
      </c>
      <c r="F282" t="s">
        <v>42</v>
      </c>
      <c r="G282">
        <v>-394.13670000000002</v>
      </c>
      <c r="H282" s="1">
        <v>-2.7573400000000001E-6</v>
      </c>
      <c r="I282">
        <v>368.15230000000003</v>
      </c>
      <c r="J282">
        <v>-411.06810000000002</v>
      </c>
      <c r="K282">
        <v>1.056994</v>
      </c>
      <c r="L282">
        <v>368.14659999999998</v>
      </c>
      <c r="M282">
        <v>0.99979969999999996</v>
      </c>
      <c r="N282">
        <v>0</v>
      </c>
      <c r="O282">
        <v>-1.9331399999999999E-2</v>
      </c>
      <c r="P282">
        <v>0.98945340000000004</v>
      </c>
      <c r="Q282">
        <v>0.1245604</v>
      </c>
      <c r="R282">
        <v>-7.3937849999999999E-2</v>
      </c>
      <c r="S282">
        <v>3.0550229999999998</v>
      </c>
      <c r="T282">
        <v>-0.1863542</v>
      </c>
      <c r="U282">
        <v>-3.3569339999999902E-4</v>
      </c>
      <c r="V282">
        <v>5.48861E-2</v>
      </c>
      <c r="W282">
        <v>0.12966530000000001</v>
      </c>
      <c r="X282">
        <v>0.99003759999999996</v>
      </c>
      <c r="Y282">
        <v>-1.9150279999999999E-2</v>
      </c>
      <c r="Z282">
        <v>1.7616019999999999E-3</v>
      </c>
      <c r="AA282">
        <v>0.99981500000000001</v>
      </c>
      <c r="AB282">
        <v>46</v>
      </c>
      <c r="AC282">
        <v>16.931399999999901</v>
      </c>
      <c r="AD282">
        <v>-1.0569967573399901</v>
      </c>
      <c r="AE282">
        <v>5.7000000000471101E-3</v>
      </c>
      <c r="AF282">
        <v>-0.331718197658251</v>
      </c>
      <c r="AG282">
        <v>-1.0569967573399901</v>
      </c>
      <c r="AH282">
        <v>16.862408258074399</v>
      </c>
      <c r="AI282">
        <v>93.586121836168601</v>
      </c>
      <c r="AJ282">
        <v>91.126980279227894</v>
      </c>
      <c r="AK282">
        <v>16.8987600542069</v>
      </c>
      <c r="AL282">
        <v>82.549748369130299</v>
      </c>
      <c r="AM282">
        <v>86.826861816417306</v>
      </c>
      <c r="AN282">
        <v>1.0000000117055201</v>
      </c>
    </row>
    <row r="283" spans="1:40" x14ac:dyDescent="0.25">
      <c r="A283" t="str">
        <f>"20190312164442998"</f>
        <v>20190312164442998</v>
      </c>
      <c r="B283" t="str">
        <f>"1552380282992202"</f>
        <v>1552380282992202</v>
      </c>
      <c r="C283" t="s">
        <v>40</v>
      </c>
      <c r="D283">
        <v>4.5217809999999998</v>
      </c>
      <c r="E283">
        <v>0.47523110000000002</v>
      </c>
      <c r="F283" t="s">
        <v>42</v>
      </c>
      <c r="G283">
        <v>-393.43259999999998</v>
      </c>
      <c r="H283" s="1">
        <v>-3.0606700000000002E-6</v>
      </c>
      <c r="I283">
        <v>368.14519999999999</v>
      </c>
      <c r="J283">
        <v>-410.57029999999997</v>
      </c>
      <c r="K283">
        <v>1.0570219999999999</v>
      </c>
      <c r="L283">
        <v>368.13690000000003</v>
      </c>
      <c r="M283">
        <v>0.99979620000000002</v>
      </c>
      <c r="N283">
        <v>0</v>
      </c>
      <c r="O283">
        <v>-1.9500400000000001E-2</v>
      </c>
      <c r="P283">
        <v>0.98934359999999999</v>
      </c>
      <c r="Q283">
        <v>0.12552339999999901</v>
      </c>
      <c r="R283">
        <v>-7.3779490000000003E-2</v>
      </c>
      <c r="S283">
        <v>3.0550229999999998</v>
      </c>
      <c r="T283">
        <v>-0.1831043</v>
      </c>
      <c r="U283">
        <v>-2.4414059999999999E-4</v>
      </c>
      <c r="V283">
        <v>5.4555930000000002E-2</v>
      </c>
      <c r="W283">
        <v>0.13067329999999999</v>
      </c>
      <c r="X283">
        <v>0.98992329999999995</v>
      </c>
      <c r="Y283">
        <v>-1.9351050000000002E-2</v>
      </c>
      <c r="Z283">
        <v>1.747066E-3</v>
      </c>
      <c r="AA283">
        <v>0.99981120000000001</v>
      </c>
      <c r="AB283">
        <v>46</v>
      </c>
      <c r="AC283">
        <v>17.137699999999899</v>
      </c>
      <c r="AD283">
        <v>-1.05702506067</v>
      </c>
      <c r="AE283">
        <v>8.2999999999628891E-3</v>
      </c>
      <c r="AF283">
        <v>-0.341196999645906</v>
      </c>
      <c r="AG283">
        <v>-1.05702506067</v>
      </c>
      <c r="AH283">
        <v>17.0693438022072</v>
      </c>
      <c r="AI283">
        <v>93.5428302986315</v>
      </c>
      <c r="AJ283">
        <v>91.145125744629695</v>
      </c>
      <c r="AK283">
        <v>17.1054440225737</v>
      </c>
      <c r="AL283">
        <v>82.491498534173303</v>
      </c>
      <c r="AM283">
        <v>86.845547880307805</v>
      </c>
      <c r="AN283">
        <v>1.00000000035697</v>
      </c>
    </row>
    <row r="284" spans="1:40" x14ac:dyDescent="0.25">
      <c r="A284" t="str">
        <f>"20190312164443020"</f>
        <v>20190312164443020</v>
      </c>
      <c r="B284" t="str">
        <f>"1552380283011722"</f>
        <v>1552380283011722</v>
      </c>
      <c r="C284" t="s">
        <v>40</v>
      </c>
      <c r="D284">
        <v>4.6701100000000002</v>
      </c>
      <c r="E284">
        <v>0.4930332</v>
      </c>
      <c r="F284" t="s">
        <v>42</v>
      </c>
      <c r="G284">
        <v>-392.75189999999998</v>
      </c>
      <c r="H284" s="1">
        <v>-3.3543919999999998E-6</v>
      </c>
      <c r="I284">
        <v>368.13560000000001</v>
      </c>
      <c r="J284">
        <v>-410.1046</v>
      </c>
      <c r="K284">
        <v>1.05705</v>
      </c>
      <c r="L284">
        <v>368.1277</v>
      </c>
      <c r="M284">
        <v>0.99979340000000005</v>
      </c>
      <c r="N284">
        <v>0</v>
      </c>
      <c r="O284">
        <v>-1.9634459999999999E-2</v>
      </c>
      <c r="P284">
        <v>0.98925750000000001</v>
      </c>
      <c r="Q284">
        <v>0.12631919999999999</v>
      </c>
      <c r="R284">
        <v>-7.3574970000000003E-2</v>
      </c>
      <c r="S284">
        <v>3.0553279999999998</v>
      </c>
      <c r="T284">
        <v>-0.18124680000000001</v>
      </c>
      <c r="U284">
        <v>-2.13623E-4</v>
      </c>
      <c r="V284">
        <v>5.4213419999999998E-2</v>
      </c>
      <c r="W284">
        <v>0.13151089999999999</v>
      </c>
      <c r="X284">
        <v>0.98983120000000002</v>
      </c>
      <c r="Y284">
        <v>-1.9496039999999999E-2</v>
      </c>
      <c r="Z284">
        <v>1.7414430000000001E-3</v>
      </c>
      <c r="AA284">
        <v>0.99980840000000004</v>
      </c>
      <c r="AB284">
        <v>46</v>
      </c>
      <c r="AC284">
        <v>17.352699999999999</v>
      </c>
      <c r="AD284">
        <v>-1.057053354392</v>
      </c>
      <c r="AE284">
        <v>7.9000000000064505E-3</v>
      </c>
      <c r="AF284">
        <v>-0.34732524972499601</v>
      </c>
      <c r="AG284">
        <v>-1.057053354392</v>
      </c>
      <c r="AH284">
        <v>17.285059407358698</v>
      </c>
      <c r="AI284">
        <v>93.498812766182297</v>
      </c>
      <c r="AJ284">
        <v>91.151144045784903</v>
      </c>
      <c r="AK284">
        <v>17.320833563632199</v>
      </c>
      <c r="AL284">
        <v>82.443089888969496</v>
      </c>
      <c r="AM284">
        <v>86.865021277107999</v>
      </c>
      <c r="AN284">
        <v>1.0000000081101701</v>
      </c>
    </row>
    <row r="285" spans="1:40" x14ac:dyDescent="0.25">
      <c r="A285" t="str">
        <f>"20190312164443042"</f>
        <v>20190312164443042</v>
      </c>
      <c r="B285" t="str">
        <f>"1552380283032218"</f>
        <v>1552380283032218</v>
      </c>
      <c r="C285" t="s">
        <v>40</v>
      </c>
      <c r="D285">
        <v>4.5572980000000003</v>
      </c>
      <c r="E285">
        <v>0.49491750000000001</v>
      </c>
      <c r="F285" t="s">
        <v>41</v>
      </c>
      <c r="G285">
        <v>-409.20650000000001</v>
      </c>
      <c r="H285">
        <v>0.99301450000000002</v>
      </c>
      <c r="I285">
        <v>368.08620000000002</v>
      </c>
      <c r="J285">
        <v>-409.65219999999999</v>
      </c>
      <c r="K285">
        <v>1.0570790000000001</v>
      </c>
      <c r="L285">
        <v>368.11880000000002</v>
      </c>
      <c r="M285">
        <v>0.99979119999999999</v>
      </c>
      <c r="N285">
        <v>0</v>
      </c>
      <c r="O285">
        <v>-1.9738100000000001E-2</v>
      </c>
      <c r="P285">
        <v>0.98915149999999996</v>
      </c>
      <c r="Q285">
        <v>0.12737129999999999</v>
      </c>
      <c r="R285">
        <v>-7.3184529999999998E-2</v>
      </c>
      <c r="S285">
        <v>3.0499879999999999</v>
      </c>
      <c r="T285">
        <v>-0.21763830000000001</v>
      </c>
      <c r="U285">
        <v>-0.13992309999999999</v>
      </c>
      <c r="V285">
        <v>5.3714919999999999E-2</v>
      </c>
      <c r="W285">
        <v>0.13260469999999999</v>
      </c>
      <c r="X285">
        <v>0.98971240000000005</v>
      </c>
      <c r="Y285">
        <v>2.608574E-2</v>
      </c>
      <c r="Z285">
        <v>4.7668800000000001E-4</v>
      </c>
      <c r="AA285">
        <v>0.99965959999999998</v>
      </c>
      <c r="AB285">
        <v>46</v>
      </c>
      <c r="AC285">
        <v>0.44569999999998799</v>
      </c>
      <c r="AD285">
        <v>-6.4064499999999996E-2</v>
      </c>
      <c r="AE285">
        <v>-3.26000000000021E-2</v>
      </c>
      <c r="AF285">
        <v>2.3317066309576001E-2</v>
      </c>
      <c r="AG285">
        <v>-6.4064499999999996E-2</v>
      </c>
      <c r="AH285">
        <v>0.43727030988777299</v>
      </c>
      <c r="AI285">
        <v>98.323448227224503</v>
      </c>
      <c r="AJ285">
        <v>86.947642327252595</v>
      </c>
      <c r="AK285">
        <v>0.442553126359858</v>
      </c>
      <c r="AL285">
        <v>82.3798657333639</v>
      </c>
      <c r="AM285">
        <v>86.893419012102498</v>
      </c>
      <c r="AN285">
        <v>0.99999996690322701</v>
      </c>
    </row>
    <row r="286" spans="1:40" x14ac:dyDescent="0.25">
      <c r="A286" t="str">
        <f>"20190312164443064"</f>
        <v>20190312164443064</v>
      </c>
      <c r="B286" t="str">
        <f>"1552380283051743"</f>
        <v>1552380283051743</v>
      </c>
      <c r="C286" t="s">
        <v>40</v>
      </c>
      <c r="D286">
        <v>4.7270130000000004</v>
      </c>
      <c r="E286">
        <v>0.49693730000000003</v>
      </c>
      <c r="F286" t="s">
        <v>41</v>
      </c>
      <c r="G286">
        <v>-408.79070000000002</v>
      </c>
      <c r="H286">
        <v>0.99595149999999999</v>
      </c>
      <c r="I286">
        <v>368.07510000000002</v>
      </c>
      <c r="J286">
        <v>-409.21190000000001</v>
      </c>
      <c r="K286">
        <v>1.0571079999999999</v>
      </c>
      <c r="L286">
        <v>368.11009999999999</v>
      </c>
      <c r="M286">
        <v>0.99978940000000005</v>
      </c>
      <c r="N286">
        <v>0</v>
      </c>
      <c r="O286">
        <v>-1.9813600000000001E-2</v>
      </c>
      <c r="P286">
        <v>0.98909119999999995</v>
      </c>
      <c r="Q286">
        <v>0.12811739999999999</v>
      </c>
      <c r="R286">
        <v>-7.2695830000000003E-2</v>
      </c>
      <c r="S286">
        <v>3.0493769999999998</v>
      </c>
      <c r="T286">
        <v>-0.21655189999999999</v>
      </c>
      <c r="U286">
        <v>-0.1540222</v>
      </c>
      <c r="V286">
        <v>5.314456E-2</v>
      </c>
      <c r="W286">
        <v>0.13339110000000001</v>
      </c>
      <c r="X286">
        <v>0.98963760000000001</v>
      </c>
      <c r="Y286">
        <v>3.061939E-2</v>
      </c>
      <c r="Z286">
        <v>3.1901599999999998E-4</v>
      </c>
      <c r="AA286">
        <v>0.99953110000000001</v>
      </c>
      <c r="AB286">
        <v>46</v>
      </c>
      <c r="AC286">
        <v>0.42119999999999802</v>
      </c>
      <c r="AD286">
        <v>-6.1156499999999898E-2</v>
      </c>
      <c r="AE286">
        <v>-3.4999999999968098E-2</v>
      </c>
      <c r="AF286">
        <v>2.6101036977389198E-2</v>
      </c>
      <c r="AG286">
        <v>-6.1156499999999898E-2</v>
      </c>
      <c r="AH286">
        <v>0.41316034859585399</v>
      </c>
      <c r="AI286">
        <v>98.403340657338504</v>
      </c>
      <c r="AJ286">
        <v>86.385193919962802</v>
      </c>
      <c r="AK286">
        <v>0.41847682764448602</v>
      </c>
      <c r="AL286">
        <v>82.334405142311496</v>
      </c>
      <c r="AM286">
        <v>86.926110095402905</v>
      </c>
      <c r="AN286">
        <v>1.0000000545752801</v>
      </c>
    </row>
    <row r="287" spans="1:40" x14ac:dyDescent="0.25">
      <c r="A287" t="str">
        <f>"20190312164443076"</f>
        <v>20190312164443076</v>
      </c>
      <c r="B287" t="str">
        <f>"1552380283072235"</f>
        <v>1552380283072235</v>
      </c>
      <c r="C287" t="s">
        <v>40</v>
      </c>
      <c r="D287">
        <v>4.5343749999999998</v>
      </c>
      <c r="E287">
        <v>0.49646869999999999</v>
      </c>
      <c r="F287" t="s">
        <v>41</v>
      </c>
      <c r="G287">
        <v>-408.37459999999999</v>
      </c>
      <c r="H287">
        <v>0.99827379999999999</v>
      </c>
      <c r="I287">
        <v>368.06319999999999</v>
      </c>
      <c r="J287">
        <v>-408.95339999999999</v>
      </c>
      <c r="K287">
        <v>1.057123</v>
      </c>
      <c r="L287">
        <v>368.10489999999999</v>
      </c>
      <c r="M287">
        <v>0.99978860000000003</v>
      </c>
      <c r="N287">
        <v>0</v>
      </c>
      <c r="O287">
        <v>-1.9847529999999999E-2</v>
      </c>
      <c r="P287">
        <v>0.98905129999999997</v>
      </c>
      <c r="Q287">
        <v>0.12860179999999999</v>
      </c>
      <c r="R287">
        <v>-7.2383760000000005E-2</v>
      </c>
      <c r="S287">
        <v>3.0484309999999999</v>
      </c>
      <c r="T287">
        <v>-0.21449489999999999</v>
      </c>
      <c r="U287">
        <v>-0.16903689999999999</v>
      </c>
      <c r="V287">
        <v>5.2795130000000003E-2</v>
      </c>
      <c r="W287">
        <v>0.13389860000000001</v>
      </c>
      <c r="X287">
        <v>0.98958769999999996</v>
      </c>
      <c r="Y287">
        <v>3.5498540000000002E-2</v>
      </c>
      <c r="Z287">
        <v>1.4710370000000001E-4</v>
      </c>
      <c r="AA287">
        <v>0.99936970000000003</v>
      </c>
      <c r="AB287">
        <v>46</v>
      </c>
      <c r="AC287">
        <v>0.57880000000000098</v>
      </c>
      <c r="AD287">
        <v>-5.88491999999999E-2</v>
      </c>
      <c r="AE287">
        <v>-4.1699999999991598E-2</v>
      </c>
      <c r="AF287">
        <v>2.9896405393952899E-2</v>
      </c>
      <c r="AG287">
        <v>-5.88491999999999E-2</v>
      </c>
      <c r="AH287">
        <v>0.57361440232340599</v>
      </c>
      <c r="AI287">
        <v>95.849804653965407</v>
      </c>
      <c r="AJ287">
        <v>87.016481202495498</v>
      </c>
      <c r="AK287">
        <v>0.57739978000425096</v>
      </c>
      <c r="AL287">
        <v>82.305063815353705</v>
      </c>
      <c r="AM287">
        <v>86.946129111418998</v>
      </c>
      <c r="AN287">
        <v>0.99999998841248305</v>
      </c>
    </row>
    <row r="288" spans="1:40" x14ac:dyDescent="0.25">
      <c r="A288" t="str">
        <f>"20190312164443097"</f>
        <v>20190312164443097</v>
      </c>
      <c r="B288" t="str">
        <f>"1552380283091755"</f>
        <v>1552380283091755</v>
      </c>
      <c r="C288" t="s">
        <v>40</v>
      </c>
      <c r="D288">
        <v>4.8668610000000001</v>
      </c>
      <c r="E288">
        <v>0.4967259</v>
      </c>
      <c r="F288" t="s">
        <v>41</v>
      </c>
      <c r="G288">
        <v>-407.96629999999999</v>
      </c>
      <c r="H288">
        <v>0.98631259999999998</v>
      </c>
      <c r="I288">
        <v>368.05169999999998</v>
      </c>
      <c r="J288">
        <v>-408.5206</v>
      </c>
      <c r="K288">
        <v>1.05715</v>
      </c>
      <c r="L288">
        <v>368.09640000000002</v>
      </c>
      <c r="M288">
        <v>0.9997876</v>
      </c>
      <c r="N288">
        <v>0</v>
      </c>
      <c r="O288">
        <v>-1.9891590000000001E-2</v>
      </c>
      <c r="P288">
        <v>0.98899979999999998</v>
      </c>
      <c r="Q288">
        <v>0.1292864</v>
      </c>
      <c r="R288">
        <v>-7.1865830000000006E-2</v>
      </c>
      <c r="S288">
        <v>3.0496219999999998</v>
      </c>
      <c r="T288">
        <v>-0.2187982</v>
      </c>
      <c r="U288">
        <v>-0.16442870000000001</v>
      </c>
      <c r="V288">
        <v>5.2227559999999999E-2</v>
      </c>
      <c r="W288">
        <v>0.13462249999999901</v>
      </c>
      <c r="X288">
        <v>0.98951960000000005</v>
      </c>
      <c r="Y288">
        <v>3.3929889999999997E-2</v>
      </c>
      <c r="Z288">
        <v>2.0931340000000001E-4</v>
      </c>
      <c r="AA288">
        <v>0.99942419999999998</v>
      </c>
      <c r="AB288">
        <v>46</v>
      </c>
      <c r="AC288">
        <v>0.55430000000001201</v>
      </c>
      <c r="AD288">
        <v>-7.0837399999999995E-2</v>
      </c>
      <c r="AE288">
        <v>-4.4700000000034303E-2</v>
      </c>
      <c r="AF288">
        <v>3.31275483186785E-2</v>
      </c>
      <c r="AG288">
        <v>-7.0837399999999995E-2</v>
      </c>
      <c r="AH288">
        <v>0.54621640360326995</v>
      </c>
      <c r="AI288">
        <v>97.3758966060565</v>
      </c>
      <c r="AJ288">
        <v>86.529312225139904</v>
      </c>
      <c r="AK288">
        <v>0.55178594695919603</v>
      </c>
      <c r="AL288">
        <v>82.263208433531304</v>
      </c>
      <c r="AM288">
        <v>86.978690838543201</v>
      </c>
      <c r="AN288">
        <v>0.99999998715698102</v>
      </c>
    </row>
    <row r="289" spans="1:40" x14ac:dyDescent="0.25">
      <c r="A289" t="str">
        <f>"20190312164443120"</f>
        <v>20190312164443120</v>
      </c>
      <c r="B289" t="str">
        <f>"1552380283112250"</f>
        <v>1552380283112250</v>
      </c>
      <c r="C289" t="s">
        <v>40</v>
      </c>
      <c r="D289">
        <v>4.5420699999999998</v>
      </c>
      <c r="E289">
        <v>0.49716199999999999</v>
      </c>
      <c r="F289" t="s">
        <v>41</v>
      </c>
      <c r="G289">
        <v>-407.54809999999998</v>
      </c>
      <c r="H289">
        <v>0.98964110000000005</v>
      </c>
      <c r="I289">
        <v>368.04320000000001</v>
      </c>
      <c r="J289">
        <v>-408.0335</v>
      </c>
      <c r="K289">
        <v>1.057167</v>
      </c>
      <c r="L289">
        <v>368.08670000000001</v>
      </c>
      <c r="M289">
        <v>0.99978679999999998</v>
      </c>
      <c r="N289">
        <v>0</v>
      </c>
      <c r="O289">
        <v>-1.9925410000000001E-2</v>
      </c>
      <c r="P289">
        <v>0.98895379999999999</v>
      </c>
      <c r="Q289">
        <v>0.1300858</v>
      </c>
      <c r="R289">
        <v>-7.1052710000000005E-2</v>
      </c>
      <c r="S289">
        <v>3.0490719999999998</v>
      </c>
      <c r="T289">
        <v>-0.21204190000000001</v>
      </c>
      <c r="U289">
        <v>-0.1650085</v>
      </c>
      <c r="V289">
        <v>5.137543E-2</v>
      </c>
      <c r="W289">
        <v>0.13546540000000001</v>
      </c>
      <c r="X289">
        <v>0.98944920000000003</v>
      </c>
      <c r="Y289">
        <v>3.4097120000000002E-2</v>
      </c>
      <c r="Z289">
        <v>1.9944329999999999E-4</v>
      </c>
      <c r="AA289">
        <v>0.99941849999999999</v>
      </c>
      <c r="AB289">
        <v>46</v>
      </c>
      <c r="AC289">
        <v>0.48540000000002598</v>
      </c>
      <c r="AD289">
        <v>-6.7525899999999903E-2</v>
      </c>
      <c r="AE289">
        <v>-4.3499999999994501E-2</v>
      </c>
      <c r="AF289">
        <v>3.3182376011253303E-2</v>
      </c>
      <c r="AG289">
        <v>-6.7525899999999903E-2</v>
      </c>
      <c r="AH289">
        <v>0.47701247530658802</v>
      </c>
      <c r="AI289">
        <v>98.038086521176993</v>
      </c>
      <c r="AJ289">
        <v>86.020749099773099</v>
      </c>
      <c r="AK289">
        <v>0.482909638386604</v>
      </c>
      <c r="AL289">
        <v>82.214467544635596</v>
      </c>
      <c r="AM289">
        <v>87.0276854588015</v>
      </c>
      <c r="AN289">
        <v>1.0000000143927401</v>
      </c>
    </row>
    <row r="290" spans="1:40" x14ac:dyDescent="0.25">
      <c r="A290" t="str">
        <f>"20190312164443141"</f>
        <v>20190312164443141</v>
      </c>
      <c r="B290" t="str">
        <f>"1552380283131770"</f>
        <v>1552380283131770</v>
      </c>
      <c r="C290" t="s">
        <v>40</v>
      </c>
      <c r="D290">
        <v>4.5655510000000001</v>
      </c>
      <c r="E290">
        <v>0.49723270000000003</v>
      </c>
      <c r="F290" t="s">
        <v>41</v>
      </c>
      <c r="G290">
        <v>-407.12720000000002</v>
      </c>
      <c r="H290">
        <v>0.9957104</v>
      </c>
      <c r="I290">
        <v>368.03699999999998</v>
      </c>
      <c r="J290">
        <v>-407.5829</v>
      </c>
      <c r="K290">
        <v>1.0571889999999999</v>
      </c>
      <c r="L290">
        <v>368.07769999999999</v>
      </c>
      <c r="M290">
        <v>0.99978610000000001</v>
      </c>
      <c r="N290">
        <v>0</v>
      </c>
      <c r="O290">
        <v>-1.9943990000000002E-2</v>
      </c>
      <c r="P290">
        <v>0.98892550000000001</v>
      </c>
      <c r="Q290">
        <v>0.13075139999999999</v>
      </c>
      <c r="R290">
        <v>-7.0220399999999905E-2</v>
      </c>
      <c r="S290">
        <v>3.0486759999999999</v>
      </c>
      <c r="T290">
        <v>-0.2067995</v>
      </c>
      <c r="U290">
        <v>-0.16711429999999999</v>
      </c>
      <c r="V290">
        <v>5.0519790000000002E-2</v>
      </c>
      <c r="W290">
        <v>0.13617029999999999</v>
      </c>
      <c r="X290">
        <v>0.98939650000000001</v>
      </c>
      <c r="Y290">
        <v>3.4773940000000003E-2</v>
      </c>
      <c r="Z290">
        <v>1.72889599999999E-4</v>
      </c>
      <c r="AA290">
        <v>0.99939520000000004</v>
      </c>
      <c r="AB290">
        <v>47</v>
      </c>
      <c r="AC290">
        <v>0.45569999999997801</v>
      </c>
      <c r="AD290">
        <v>-6.1478600000000001E-2</v>
      </c>
      <c r="AE290">
        <v>-4.0700000000015203E-2</v>
      </c>
      <c r="AF290">
        <v>3.1042760904164E-2</v>
      </c>
      <c r="AG290">
        <v>-6.1478600000000001E-2</v>
      </c>
      <c r="AH290">
        <v>0.448325788693267</v>
      </c>
      <c r="AI290">
        <v>97.789808282222396</v>
      </c>
      <c r="AJ290">
        <v>86.039074900500694</v>
      </c>
      <c r="AK290">
        <v>0.45358492487069402</v>
      </c>
      <c r="AL290">
        <v>82.173702029269194</v>
      </c>
      <c r="AM290">
        <v>87.076946344898104</v>
      </c>
      <c r="AN290">
        <v>1.0000000169979899</v>
      </c>
    </row>
    <row r="291" spans="1:40" x14ac:dyDescent="0.25">
      <c r="A291" t="str">
        <f>"20190312164443163"</f>
        <v>20190312164443163</v>
      </c>
      <c r="B291" t="str">
        <f>"1552380283152266"</f>
        <v>1552380283152266</v>
      </c>
      <c r="C291" t="s">
        <v>40</v>
      </c>
      <c r="D291">
        <v>4.5753760000000003</v>
      </c>
      <c r="E291">
        <v>0.4976236</v>
      </c>
      <c r="F291" t="s">
        <v>41</v>
      </c>
      <c r="G291">
        <v>-406.70639999999997</v>
      </c>
      <c r="H291">
        <v>0.99790800000000002</v>
      </c>
      <c r="I291">
        <v>368.0299</v>
      </c>
      <c r="J291">
        <v>-407.12630000000001</v>
      </c>
      <c r="K291">
        <v>1.057207</v>
      </c>
      <c r="L291">
        <v>368.0686</v>
      </c>
      <c r="M291">
        <v>0.99978579999999995</v>
      </c>
      <c r="N291">
        <v>0</v>
      </c>
      <c r="O291">
        <v>-1.994899E-2</v>
      </c>
      <c r="P291">
        <v>0.98885970000000001</v>
      </c>
      <c r="Q291">
        <v>0.13173550000000001</v>
      </c>
      <c r="R291">
        <v>-6.9302249999999996E-2</v>
      </c>
      <c r="S291">
        <v>3.0491640000000002</v>
      </c>
      <c r="T291">
        <v>-0.2064377</v>
      </c>
      <c r="U291">
        <v>-0.16540529999999901</v>
      </c>
      <c r="V291">
        <v>4.9592959999999998E-2</v>
      </c>
      <c r="W291">
        <v>0.13719429999999999</v>
      </c>
      <c r="X291">
        <v>0.98930189999999996</v>
      </c>
      <c r="Y291">
        <v>3.4203160000000003E-2</v>
      </c>
      <c r="Z291">
        <v>1.9218849999999999E-4</v>
      </c>
      <c r="AA291">
        <v>0.99941489999999999</v>
      </c>
      <c r="AB291">
        <v>47</v>
      </c>
      <c r="AC291">
        <v>0.41990000000004102</v>
      </c>
      <c r="AD291">
        <v>-5.92989999999999E-2</v>
      </c>
      <c r="AE291">
        <v>-3.8700000000005702E-2</v>
      </c>
      <c r="AF291">
        <v>2.9727707192010601E-2</v>
      </c>
      <c r="AG291">
        <v>-5.92989999999999E-2</v>
      </c>
      <c r="AH291">
        <v>0.412432379653695</v>
      </c>
      <c r="AI291">
        <v>98.160956266993594</v>
      </c>
      <c r="AJ291">
        <v>85.8773081694182</v>
      </c>
      <c r="AK291">
        <v>0.41773266063680398</v>
      </c>
      <c r="AL291">
        <v>82.114475116044403</v>
      </c>
      <c r="AM291">
        <v>87.130207940747795</v>
      </c>
      <c r="AN291">
        <v>0.99999999348882995</v>
      </c>
    </row>
    <row r="292" spans="1:40" x14ac:dyDescent="0.25">
      <c r="A292" t="str">
        <f>"20190312164443175"</f>
        <v>20190312164443175</v>
      </c>
      <c r="B292" t="str">
        <f>"1552380283171786"</f>
        <v>1552380283171786</v>
      </c>
      <c r="C292" t="s">
        <v>40</v>
      </c>
      <c r="D292">
        <v>4.5674229999999998</v>
      </c>
      <c r="E292">
        <v>0.49777840000000001</v>
      </c>
      <c r="F292" t="s">
        <v>41</v>
      </c>
      <c r="G292">
        <v>-406.28460000000001</v>
      </c>
      <c r="H292">
        <v>1.000281</v>
      </c>
      <c r="I292">
        <v>368.02260000000001</v>
      </c>
      <c r="J292">
        <v>-406.86989999999997</v>
      </c>
      <c r="K292">
        <v>1.0572140000000001</v>
      </c>
      <c r="L292">
        <v>368.06349999999998</v>
      </c>
      <c r="M292">
        <v>0.9997857</v>
      </c>
      <c r="N292">
        <v>0</v>
      </c>
      <c r="O292">
        <v>-1.9943849999999999E-2</v>
      </c>
      <c r="P292">
        <v>0.98883270000000001</v>
      </c>
      <c r="Q292">
        <v>0.13212679999999999</v>
      </c>
      <c r="R292">
        <v>-6.8938180000000002E-2</v>
      </c>
      <c r="S292">
        <v>3.049652</v>
      </c>
      <c r="T292">
        <v>-0.20635990000000001</v>
      </c>
      <c r="U292">
        <v>-0.16625980000000001</v>
      </c>
      <c r="V292">
        <v>4.9231209999999997E-2</v>
      </c>
      <c r="W292">
        <v>0.13760810000000001</v>
      </c>
      <c r="X292">
        <v>0.98926250000000004</v>
      </c>
      <c r="Y292">
        <v>3.4478229999999999E-2</v>
      </c>
      <c r="Z292">
        <v>1.8244729999999999E-4</v>
      </c>
      <c r="AA292">
        <v>0.9994054</v>
      </c>
      <c r="AB292">
        <v>47</v>
      </c>
      <c r="AC292">
        <v>0.58529999999996096</v>
      </c>
      <c r="AD292">
        <v>-5.69329999999999E-2</v>
      </c>
      <c r="AE292">
        <v>-4.0899999999964999E-2</v>
      </c>
      <c r="AF292">
        <v>2.89460009281419E-2</v>
      </c>
      <c r="AG292">
        <v>-5.69329999999999E-2</v>
      </c>
      <c r="AH292">
        <v>0.58053313409646601</v>
      </c>
      <c r="AI292">
        <v>95.594192193464494</v>
      </c>
      <c r="AJ292">
        <v>87.145535308133901</v>
      </c>
      <c r="AK292">
        <v>0.58403592119200798</v>
      </c>
      <c r="AL292">
        <v>82.090539132898897</v>
      </c>
      <c r="AM292">
        <v>87.150993410659098</v>
      </c>
      <c r="AN292">
        <v>0.99999999756496205</v>
      </c>
    </row>
    <row r="293" spans="1:40" x14ac:dyDescent="0.25">
      <c r="A293" t="str">
        <f>"20190312164443199"</f>
        <v>20190312164443199</v>
      </c>
      <c r="B293" t="str">
        <f>"1552380283192282"</f>
        <v>1552380283192282</v>
      </c>
      <c r="C293" t="s">
        <v>40</v>
      </c>
      <c r="D293">
        <v>4.6322739999999998</v>
      </c>
      <c r="E293">
        <v>0.49812600000000001</v>
      </c>
      <c r="F293" t="s">
        <v>41</v>
      </c>
      <c r="G293">
        <v>-405.87180000000001</v>
      </c>
      <c r="H293">
        <v>0.98944989999999999</v>
      </c>
      <c r="I293">
        <v>368.0086</v>
      </c>
      <c r="J293">
        <v>-406.39420000000001</v>
      </c>
      <c r="K293">
        <v>1.0572469999999901</v>
      </c>
      <c r="L293">
        <v>368.05399999999997</v>
      </c>
      <c r="M293">
        <v>0.99978599999999995</v>
      </c>
      <c r="N293">
        <v>0</v>
      </c>
      <c r="O293">
        <v>-1.9918129999999999E-2</v>
      </c>
      <c r="P293">
        <v>0.98879399999999995</v>
      </c>
      <c r="Q293">
        <v>0.1327865</v>
      </c>
      <c r="R293">
        <v>-6.8223690000000003E-2</v>
      </c>
      <c r="S293">
        <v>3.0500180000000001</v>
      </c>
      <c r="T293">
        <v>-0.20733560000000001</v>
      </c>
      <c r="U293">
        <v>-0.16659549999999901</v>
      </c>
      <c r="V293">
        <v>4.853557E-2</v>
      </c>
      <c r="W293">
        <v>0.13833489999999901</v>
      </c>
      <c r="X293">
        <v>0.98919550000000001</v>
      </c>
      <c r="Y293">
        <v>3.4606430000000001E-2</v>
      </c>
      <c r="Z293">
        <v>1.7719170000000001E-4</v>
      </c>
      <c r="AA293">
        <v>0.99940099999999998</v>
      </c>
      <c r="AB293">
        <v>47</v>
      </c>
      <c r="AC293">
        <v>0.52240000000000397</v>
      </c>
      <c r="AD293">
        <v>-6.7797099999999805E-2</v>
      </c>
      <c r="AE293">
        <v>-4.5400000000029202E-2</v>
      </c>
      <c r="AF293">
        <v>3.4410374783915301E-2</v>
      </c>
      <c r="AG293">
        <v>-6.7797099999999805E-2</v>
      </c>
      <c r="AH293">
        <v>0.51459832002182104</v>
      </c>
      <c r="AI293">
        <v>97.488823181780504</v>
      </c>
      <c r="AJ293">
        <v>86.174417054898896</v>
      </c>
      <c r="AK293">
        <v>0.52018453613161197</v>
      </c>
      <c r="AL293">
        <v>82.048494405114397</v>
      </c>
      <c r="AM293">
        <v>87.190995178175697</v>
      </c>
      <c r="AN293">
        <v>0.99999999166674203</v>
      </c>
    </row>
    <row r="294" spans="1:40" x14ac:dyDescent="0.25">
      <c r="A294" t="str">
        <f>"20190312164443221"</f>
        <v>20190312164443221</v>
      </c>
      <c r="B294" t="str">
        <f>"1552380283211802"</f>
        <v>1552380283211802</v>
      </c>
      <c r="C294" t="s">
        <v>40</v>
      </c>
      <c r="D294">
        <v>4.6056850000000003</v>
      </c>
      <c r="E294">
        <v>0.49839339999999999</v>
      </c>
      <c r="F294" t="s">
        <v>41</v>
      </c>
      <c r="G294">
        <v>-405.44760000000002</v>
      </c>
      <c r="H294">
        <v>0.99490429999999996</v>
      </c>
      <c r="I294">
        <v>368.0018</v>
      </c>
      <c r="J294">
        <v>-405.90170000000001</v>
      </c>
      <c r="K294">
        <v>1.0573159999999999</v>
      </c>
      <c r="L294">
        <v>368.04430000000002</v>
      </c>
      <c r="M294">
        <v>0.99978590000000001</v>
      </c>
      <c r="N294">
        <v>0</v>
      </c>
      <c r="O294">
        <v>-1.9867659999999999E-2</v>
      </c>
      <c r="P294">
        <v>0.98878860000000002</v>
      </c>
      <c r="Q294">
        <v>0.1331965</v>
      </c>
      <c r="R294">
        <v>-6.7497799999999997E-2</v>
      </c>
      <c r="S294">
        <v>3.0494080000000001</v>
      </c>
      <c r="T294">
        <v>-0.20086589999999999</v>
      </c>
      <c r="U294">
        <v>-0.16802979999999901</v>
      </c>
      <c r="V294">
        <v>4.785056E-2</v>
      </c>
      <c r="W294">
        <v>0.1389261</v>
      </c>
      <c r="X294">
        <v>0.98914610000000003</v>
      </c>
      <c r="Y294">
        <v>3.5137219999999997E-2</v>
      </c>
      <c r="Z294">
        <v>1.5094030000000001E-4</v>
      </c>
      <c r="AA294">
        <v>0.99938249999999995</v>
      </c>
      <c r="AB294">
        <v>47</v>
      </c>
      <c r="AC294">
        <v>0.45409999999998202</v>
      </c>
      <c r="AD294">
        <v>-6.2411699999999903E-2</v>
      </c>
      <c r="AE294">
        <v>-4.25000000000181E-2</v>
      </c>
      <c r="AF294">
        <v>3.2854330695845597E-2</v>
      </c>
      <c r="AG294">
        <v>-6.2411699999999903E-2</v>
      </c>
      <c r="AH294">
        <v>0.44649378244214699</v>
      </c>
      <c r="AI294">
        <v>97.936166322141403</v>
      </c>
      <c r="AJ294">
        <v>85.7915918597878</v>
      </c>
      <c r="AK294">
        <v>0.45203022587196201</v>
      </c>
      <c r="AL294">
        <v>82.014291523856301</v>
      </c>
      <c r="AM294">
        <v>87.230439998547197</v>
      </c>
      <c r="AN294">
        <v>1.0000000722493601</v>
      </c>
    </row>
    <row r="295" spans="1:40" x14ac:dyDescent="0.25">
      <c r="A295" t="str">
        <f>"20190312164443242"</f>
        <v>20190312164443242</v>
      </c>
      <c r="B295" t="str">
        <f>"1552380283232302"</f>
        <v>1552380283232302</v>
      </c>
      <c r="C295" t="s">
        <v>40</v>
      </c>
      <c r="D295">
        <v>4.6176839999999997</v>
      </c>
      <c r="E295">
        <v>0.49821339999999997</v>
      </c>
      <c r="F295" t="s">
        <v>41</v>
      </c>
      <c r="G295">
        <v>-405.02190000000002</v>
      </c>
      <c r="H295">
        <v>0.99920070000000005</v>
      </c>
      <c r="I295">
        <v>367.99560000000002</v>
      </c>
      <c r="J295">
        <v>-405.46379999999999</v>
      </c>
      <c r="K295">
        <v>1.0574110000000001</v>
      </c>
      <c r="L295">
        <v>368.03559999999999</v>
      </c>
      <c r="M295">
        <v>0.99978520000000004</v>
      </c>
      <c r="N295">
        <v>0</v>
      </c>
      <c r="O295">
        <v>-1.9801909999999999E-2</v>
      </c>
      <c r="P295">
        <v>0.98879539999999999</v>
      </c>
      <c r="Q295">
        <v>0.1335462</v>
      </c>
      <c r="R295">
        <v>-6.6701899999999995E-2</v>
      </c>
      <c r="S295">
        <v>3.049744</v>
      </c>
      <c r="T295">
        <v>-0.20176350000000001</v>
      </c>
      <c r="U295">
        <v>-0.16769410000000001</v>
      </c>
      <c r="V295">
        <v>4.71105E-2</v>
      </c>
      <c r="W295">
        <v>0.13960229999999901</v>
      </c>
      <c r="X295">
        <v>0.98908629999999997</v>
      </c>
      <c r="Y295">
        <v>3.5086869999999999E-2</v>
      </c>
      <c r="Z295">
        <v>1.489222E-4</v>
      </c>
      <c r="AA295">
        <v>0.9993843</v>
      </c>
      <c r="AB295">
        <v>47</v>
      </c>
      <c r="AC295">
        <v>0.44189999999997498</v>
      </c>
      <c r="AD295">
        <v>-5.8210300000000097E-2</v>
      </c>
      <c r="AE295">
        <v>-3.9999999999963599E-2</v>
      </c>
      <c r="AF295">
        <v>3.0712926597607802E-2</v>
      </c>
      <c r="AG295">
        <v>-5.8210300000000097E-2</v>
      </c>
      <c r="AH295">
        <v>0.43511662086045799</v>
      </c>
      <c r="AI295">
        <v>97.601148345212394</v>
      </c>
      <c r="AJ295">
        <v>85.962445014160593</v>
      </c>
      <c r="AK295">
        <v>0.44006612757096297</v>
      </c>
      <c r="AL295">
        <v>81.975165913977605</v>
      </c>
      <c r="AM295">
        <v>87.273044433064499</v>
      </c>
      <c r="AN295">
        <v>0.99999995511161399</v>
      </c>
    </row>
    <row r="296" spans="1:40" x14ac:dyDescent="0.25">
      <c r="A296" t="str">
        <f>"20190312164443263"</f>
        <v>20190312164443263</v>
      </c>
      <c r="B296" t="str">
        <f>"1552380283251818"</f>
        <v>1552380283251818</v>
      </c>
      <c r="C296" t="s">
        <v>40</v>
      </c>
      <c r="D296">
        <v>4.6469509999999996</v>
      </c>
      <c r="E296">
        <v>0.49835859999999899</v>
      </c>
      <c r="F296" t="s">
        <v>41</v>
      </c>
      <c r="G296">
        <v>-404.59859999999998</v>
      </c>
      <c r="H296">
        <v>1.0003040000000001</v>
      </c>
      <c r="I296">
        <v>367.9889</v>
      </c>
      <c r="J296">
        <v>-405.01690000000002</v>
      </c>
      <c r="K296">
        <v>1.0575570000000001</v>
      </c>
      <c r="L296">
        <v>368.02679999999998</v>
      </c>
      <c r="M296">
        <v>0.99978370000000005</v>
      </c>
      <c r="N296">
        <v>0</v>
      </c>
      <c r="O296">
        <v>-1.971531E-2</v>
      </c>
      <c r="P296">
        <v>0.98880330000000005</v>
      </c>
      <c r="Q296">
        <v>0.1338172</v>
      </c>
      <c r="R296">
        <v>-6.6039570000000006E-2</v>
      </c>
      <c r="S296">
        <v>3.0500790000000002</v>
      </c>
      <c r="T296">
        <v>-0.20139989999999999</v>
      </c>
      <c r="U296">
        <v>-0.1646118</v>
      </c>
      <c r="V296">
        <v>4.6524049999999997E-2</v>
      </c>
      <c r="W296">
        <v>0.1403866</v>
      </c>
      <c r="X296">
        <v>0.98900310000000002</v>
      </c>
      <c r="Y296">
        <v>3.4162320000000003E-2</v>
      </c>
      <c r="Z296">
        <v>1.734137E-4</v>
      </c>
      <c r="AA296">
        <v>0.99941630000000004</v>
      </c>
      <c r="AB296">
        <v>47</v>
      </c>
      <c r="AC296">
        <v>0.41830000000004403</v>
      </c>
      <c r="AD296">
        <v>-5.7252999999999998E-2</v>
      </c>
      <c r="AE296">
        <v>-3.7899999999979103E-2</v>
      </c>
      <c r="AF296">
        <v>2.9104741720309399E-2</v>
      </c>
      <c r="AG296">
        <v>-5.7252999999999998E-2</v>
      </c>
      <c r="AH296">
        <v>0.41132310745166001</v>
      </c>
      <c r="AI296">
        <v>97.904702684061704</v>
      </c>
      <c r="AJ296">
        <v>85.952563616138207</v>
      </c>
      <c r="AK296">
        <v>0.41630720714791303</v>
      </c>
      <c r="AL296">
        <v>81.929782333824306</v>
      </c>
      <c r="AM296">
        <v>87.306714136744702</v>
      </c>
      <c r="AN296">
        <v>1.0000000082487801</v>
      </c>
    </row>
    <row r="297" spans="1:40" x14ac:dyDescent="0.25">
      <c r="A297" t="str">
        <f>"20190312164443286"</f>
        <v>20190312164443286</v>
      </c>
      <c r="B297" t="str">
        <f>"1552380283282074"</f>
        <v>1552380283282074</v>
      </c>
      <c r="C297" t="s">
        <v>40</v>
      </c>
      <c r="D297">
        <v>4.903035</v>
      </c>
      <c r="E297">
        <v>0.49872290000000002</v>
      </c>
      <c r="F297" t="s">
        <v>41</v>
      </c>
      <c r="G297">
        <v>-404.17509999999999</v>
      </c>
      <c r="H297">
        <v>1.0021199999999999</v>
      </c>
      <c r="I297">
        <v>367.98110000000003</v>
      </c>
      <c r="J297">
        <v>-404.53359999999998</v>
      </c>
      <c r="K297">
        <v>1.057701</v>
      </c>
      <c r="L297">
        <v>368.01740000000001</v>
      </c>
      <c r="M297">
        <v>0.99978199999999995</v>
      </c>
      <c r="N297">
        <v>0</v>
      </c>
      <c r="O297">
        <v>-1.9602870000000001E-2</v>
      </c>
      <c r="P297">
        <v>0.98891010000000001</v>
      </c>
      <c r="Q297">
        <v>0.13311539999999999</v>
      </c>
      <c r="R297">
        <v>-6.5856159999999997E-2</v>
      </c>
      <c r="S297">
        <v>3.0502009999999999</v>
      </c>
      <c r="T297">
        <v>-0.20110439999999999</v>
      </c>
      <c r="U297">
        <v>-0.16458130000000001</v>
      </c>
      <c r="V297">
        <v>4.6439510000000003E-2</v>
      </c>
      <c r="W297">
        <v>0.14024819999999999</v>
      </c>
      <c r="X297">
        <v>0.98902670000000004</v>
      </c>
      <c r="Y297">
        <v>3.426216E-2</v>
      </c>
      <c r="Z297">
        <v>1.624753E-4</v>
      </c>
      <c r="AA297">
        <v>0.99941290000000005</v>
      </c>
      <c r="AB297">
        <v>47</v>
      </c>
      <c r="AC297">
        <v>0.35849999999999199</v>
      </c>
      <c r="AD297">
        <v>-5.5580999999999797E-2</v>
      </c>
      <c r="AE297">
        <v>-3.6299999999982901E-2</v>
      </c>
      <c r="AF297">
        <v>2.8585096246606798E-2</v>
      </c>
      <c r="AG297">
        <v>-5.5580999999999797E-2</v>
      </c>
      <c r="AH297">
        <v>0.35079630721927801</v>
      </c>
      <c r="AI297">
        <v>98.973980171166502</v>
      </c>
      <c r="AJ297">
        <v>85.341471124683807</v>
      </c>
      <c r="AK297">
        <v>0.35632064835918498</v>
      </c>
      <c r="AL297">
        <v>81.937791234840503</v>
      </c>
      <c r="AM297">
        <v>87.311665042471901</v>
      </c>
      <c r="AN297">
        <v>0.999999999502585</v>
      </c>
    </row>
    <row r="298" spans="1:40" x14ac:dyDescent="0.25">
      <c r="A298" t="str">
        <f>"20190312164443310"</f>
        <v>20190312164443310</v>
      </c>
      <c r="B298" t="str">
        <f>"1552380283302570"</f>
        <v>1552380283302570</v>
      </c>
      <c r="C298" t="s">
        <v>40</v>
      </c>
      <c r="D298">
        <v>5.0860960000000004</v>
      </c>
      <c r="E298">
        <v>0.51646619999999999</v>
      </c>
      <c r="F298" t="s">
        <v>42</v>
      </c>
      <c r="G298">
        <v>-388.74979999999999</v>
      </c>
      <c r="H298" s="1">
        <v>-1.065891E-6</v>
      </c>
      <c r="I298">
        <v>367.15690000000001</v>
      </c>
      <c r="J298">
        <v>-404.04169999999999</v>
      </c>
      <c r="K298">
        <v>1.0578019999999999</v>
      </c>
      <c r="L298">
        <v>368.00779999999997</v>
      </c>
      <c r="M298">
        <v>0.99978049999999996</v>
      </c>
      <c r="N298">
        <v>0</v>
      </c>
      <c r="O298">
        <v>-1.947691E-2</v>
      </c>
      <c r="P298">
        <v>0.98909650000000005</v>
      </c>
      <c r="Q298">
        <v>0.13201079999999901</v>
      </c>
      <c r="R298">
        <v>-6.5281249999999999E-2</v>
      </c>
      <c r="S298">
        <v>3.0500790000000002</v>
      </c>
      <c r="T298">
        <v>-0.20439019999999999</v>
      </c>
      <c r="U298">
        <v>-0.16625980000000001</v>
      </c>
      <c r="V298">
        <v>4.5975330000000002E-2</v>
      </c>
      <c r="W298">
        <v>0.13966419999999999</v>
      </c>
      <c r="X298">
        <v>0.98913099999999998</v>
      </c>
      <c r="Y298">
        <v>3.4935679999999997E-2</v>
      </c>
      <c r="Z298">
        <v>1.341855E-4</v>
      </c>
      <c r="AA298">
        <v>0.99938950000000004</v>
      </c>
      <c r="AB298">
        <v>47</v>
      </c>
      <c r="AC298">
        <v>15.291899999999901</v>
      </c>
      <c r="AD298">
        <v>-1.057803065891</v>
      </c>
      <c r="AE298">
        <v>-0.85089999999996702</v>
      </c>
      <c r="AF298">
        <v>0.55026582062653095</v>
      </c>
      <c r="AG298">
        <v>-1.057803065891</v>
      </c>
      <c r="AH298">
        <v>15.2329071793597</v>
      </c>
      <c r="AI298">
        <v>93.969773819151499</v>
      </c>
      <c r="AJ298">
        <v>87.931175853204493</v>
      </c>
      <c r="AK298">
        <v>15.2795026402873</v>
      </c>
      <c r="AL298">
        <v>81.971584396697907</v>
      </c>
      <c r="AM298">
        <v>87.338777349366794</v>
      </c>
      <c r="AN298">
        <v>0.99999997744562397</v>
      </c>
    </row>
    <row r="299" spans="1:40" x14ac:dyDescent="0.25">
      <c r="A299" t="str">
        <f>"20190312164443322"</f>
        <v>20190312164443322</v>
      </c>
      <c r="B299" t="str">
        <f>"1552380283312331"</f>
        <v>1552380283312331</v>
      </c>
      <c r="C299" t="s">
        <v>40</v>
      </c>
      <c r="D299">
        <v>4.6319530000000002</v>
      </c>
      <c r="E299">
        <v>0.51935710000000002</v>
      </c>
      <c r="F299" t="s">
        <v>42</v>
      </c>
      <c r="G299">
        <v>-377.4975</v>
      </c>
      <c r="H299" s="1">
        <v>-1.9867E-6</v>
      </c>
      <c r="I299">
        <v>365.29790000000003</v>
      </c>
      <c r="J299">
        <v>-403.77969999999999</v>
      </c>
      <c r="K299">
        <v>1.05785</v>
      </c>
      <c r="L299">
        <v>368.00279999999998</v>
      </c>
      <c r="M299">
        <v>0.9997798</v>
      </c>
      <c r="N299">
        <v>0</v>
      </c>
      <c r="O299">
        <v>-1.9400089999999998E-2</v>
      </c>
      <c r="P299">
        <v>0.9891548</v>
      </c>
      <c r="Q299">
        <v>0.13155749999999999</v>
      </c>
      <c r="R299">
        <v>-6.5313159999999995E-2</v>
      </c>
      <c r="S299">
        <v>3.028778</v>
      </c>
      <c r="T299">
        <v>-0.12069829999999999</v>
      </c>
      <c r="U299">
        <v>-0.30920409999999998</v>
      </c>
      <c r="V299">
        <v>4.6077269999999997E-2</v>
      </c>
      <c r="W299">
        <v>0.13948479999999999</v>
      </c>
      <c r="X299">
        <v>0.98915160000000002</v>
      </c>
      <c r="Y299">
        <v>8.2192059999999997E-2</v>
      </c>
      <c r="Z299">
        <v>-8.6221539999999997E-4</v>
      </c>
      <c r="AA299">
        <v>0.9966161</v>
      </c>
      <c r="AB299">
        <v>47</v>
      </c>
      <c r="AC299">
        <v>26.2821999999999</v>
      </c>
      <c r="AD299">
        <v>-1.0578519867</v>
      </c>
      <c r="AE299">
        <v>-2.7048999999999501</v>
      </c>
      <c r="AF299">
        <v>2.1909852607367299</v>
      </c>
      <c r="AG299">
        <v>-1.0578519867</v>
      </c>
      <c r="AH299">
        <v>26.2875897151429</v>
      </c>
      <c r="AI299">
        <v>92.2964705662624</v>
      </c>
      <c r="AJ299">
        <v>85.235594692716205</v>
      </c>
      <c r="AK299">
        <v>26.399940156565101</v>
      </c>
      <c r="AL299">
        <v>81.981965098838302</v>
      </c>
      <c r="AM299">
        <v>87.332940659938004</v>
      </c>
      <c r="AN299">
        <v>1.0000000060121199</v>
      </c>
    </row>
    <row r="300" spans="1:40" x14ac:dyDescent="0.25">
      <c r="A300" t="str">
        <f>"20190312164443343"</f>
        <v>20190312164443343</v>
      </c>
      <c r="B300" t="str">
        <f>"1552380283331856"</f>
        <v>1552380283331856</v>
      </c>
      <c r="C300" t="s">
        <v>40</v>
      </c>
      <c r="D300">
        <v>4.8197640000000002</v>
      </c>
      <c r="E300">
        <v>0.52107559999999997</v>
      </c>
      <c r="F300" t="s">
        <v>42</v>
      </c>
      <c r="G300">
        <v>-376.82279999999997</v>
      </c>
      <c r="H300" s="1">
        <v>-2.2845380000000001E-6</v>
      </c>
      <c r="I300">
        <v>365.04149999999998</v>
      </c>
      <c r="J300">
        <v>-403.34359999999998</v>
      </c>
      <c r="K300">
        <v>1.0579339999999999</v>
      </c>
      <c r="L300">
        <v>367.99439999999998</v>
      </c>
      <c r="M300">
        <v>0.99977859999999996</v>
      </c>
      <c r="N300">
        <v>0</v>
      </c>
      <c r="O300">
        <v>-1.9265290000000001E-2</v>
      </c>
      <c r="P300">
        <v>0.98930799999999997</v>
      </c>
      <c r="Q300">
        <v>0.130526</v>
      </c>
      <c r="R300">
        <v>-6.5060670000000001E-2</v>
      </c>
      <c r="S300">
        <v>3.0267330000000001</v>
      </c>
      <c r="T300">
        <v>-0.1187758</v>
      </c>
      <c r="U300">
        <v>-0.33248899999999998</v>
      </c>
      <c r="V300">
        <v>4.5948509999999998E-2</v>
      </c>
      <c r="W300">
        <v>0.13890820000000001</v>
      </c>
      <c r="X300">
        <v>0.98923870000000003</v>
      </c>
      <c r="Y300">
        <v>8.9969140000000003E-2</v>
      </c>
      <c r="Z300">
        <v>-1.006079E-3</v>
      </c>
      <c r="AA300">
        <v>0.99594400000000005</v>
      </c>
      <c r="AB300">
        <v>47</v>
      </c>
      <c r="AC300">
        <v>26.520800000000001</v>
      </c>
      <c r="AD300">
        <v>-1.057936284538</v>
      </c>
      <c r="AE300">
        <v>-2.9529000000000001</v>
      </c>
      <c r="AF300">
        <v>2.4375713750481198</v>
      </c>
      <c r="AG300">
        <v>-1.057936284538</v>
      </c>
      <c r="AH300">
        <v>26.531066790127401</v>
      </c>
      <c r="AI300">
        <v>92.273914008864494</v>
      </c>
      <c r="AJ300">
        <v>84.750623584135298</v>
      </c>
      <c r="AK300">
        <v>26.663804837509499</v>
      </c>
      <c r="AL300">
        <v>82.015326415055696</v>
      </c>
      <c r="AM300">
        <v>87.340616707686195</v>
      </c>
      <c r="AN300">
        <v>0.99999997958807396</v>
      </c>
    </row>
    <row r="301" spans="1:40" x14ac:dyDescent="0.25">
      <c r="A301" t="str">
        <f>"20190312164443355"</f>
        <v>20190312164443355</v>
      </c>
      <c r="B301" t="str">
        <f>"1552380283352347"</f>
        <v>1552380283352347</v>
      </c>
      <c r="C301" t="s">
        <v>40</v>
      </c>
      <c r="D301">
        <v>4.7092700000000001</v>
      </c>
      <c r="E301">
        <v>0.52319099999999996</v>
      </c>
      <c r="F301" t="s">
        <v>42</v>
      </c>
      <c r="G301">
        <v>-376.52929999999998</v>
      </c>
      <c r="H301" s="1">
        <v>-2.4144589999999998E-6</v>
      </c>
      <c r="I301">
        <v>364.92849999999999</v>
      </c>
      <c r="J301">
        <v>-403.0856</v>
      </c>
      <c r="K301">
        <v>1.057971</v>
      </c>
      <c r="L301">
        <v>367.98950000000002</v>
      </c>
      <c r="M301">
        <v>0.9997781</v>
      </c>
      <c r="N301">
        <v>0</v>
      </c>
      <c r="O301">
        <v>-1.9182939999999999E-2</v>
      </c>
      <c r="P301">
        <v>0.98936429999999997</v>
      </c>
      <c r="Q301">
        <v>0.13008019999999901</v>
      </c>
      <c r="R301">
        <v>-6.5098160000000002E-2</v>
      </c>
      <c r="S301">
        <v>3.025452</v>
      </c>
      <c r="T301">
        <v>-0.1193666</v>
      </c>
      <c r="U301">
        <v>-0.34591670000000002</v>
      </c>
      <c r="V301">
        <v>4.6063149999999997E-2</v>
      </c>
      <c r="W301">
        <v>0.1387264</v>
      </c>
      <c r="X301">
        <v>0.98925890000000005</v>
      </c>
      <c r="Y301">
        <v>9.4457330000000006E-2</v>
      </c>
      <c r="Z301">
        <v>-1.102715E-3</v>
      </c>
      <c r="AA301">
        <v>0.99552830000000003</v>
      </c>
      <c r="AB301">
        <v>47</v>
      </c>
      <c r="AC301">
        <v>26.5563</v>
      </c>
      <c r="AD301">
        <v>-1.0579734144589901</v>
      </c>
      <c r="AE301">
        <v>-3.0610000000000301</v>
      </c>
      <c r="AF301">
        <v>2.5470000606233301</v>
      </c>
      <c r="AG301">
        <v>-1.0579734144589901</v>
      </c>
      <c r="AH301">
        <v>26.568519238601802</v>
      </c>
      <c r="AI301">
        <v>92.269949666079299</v>
      </c>
      <c r="AJ301">
        <v>84.5240547953034</v>
      </c>
      <c r="AK301">
        <v>26.711284723623301</v>
      </c>
      <c r="AL301">
        <v>82.025844785340198</v>
      </c>
      <c r="AM301">
        <v>87.334045555660893</v>
      </c>
      <c r="AN301">
        <v>0.99999999953704599</v>
      </c>
    </row>
    <row r="302" spans="1:40" x14ac:dyDescent="0.25">
      <c r="A302" t="str">
        <f>"20190312164443375"</f>
        <v>20190312164443375</v>
      </c>
      <c r="B302" t="str">
        <f>"1552380283371868"</f>
        <v>1552380283371868</v>
      </c>
      <c r="C302" t="s">
        <v>40</v>
      </c>
      <c r="D302">
        <v>4.6673910000000003</v>
      </c>
      <c r="E302">
        <v>0.52386179999999904</v>
      </c>
      <c r="F302" t="s">
        <v>42</v>
      </c>
      <c r="G302">
        <v>-374.3673</v>
      </c>
      <c r="H302" s="1">
        <v>-3.2990789999999999E-6</v>
      </c>
      <c r="I302">
        <v>364.54059999999998</v>
      </c>
      <c r="J302">
        <v>-402.65190000000001</v>
      </c>
      <c r="K302">
        <v>1.0580290000000001</v>
      </c>
      <c r="L302">
        <v>367.98129999999998</v>
      </c>
      <c r="M302">
        <v>0.99977689999999997</v>
      </c>
      <c r="N302">
        <v>0</v>
      </c>
      <c r="O302">
        <v>-1.90419E-2</v>
      </c>
      <c r="P302">
        <v>0.98947320000000005</v>
      </c>
      <c r="Q302">
        <v>0.12923189999999901</v>
      </c>
      <c r="R302">
        <v>-6.5133189999999994E-2</v>
      </c>
      <c r="S302">
        <v>3.0230100000000002</v>
      </c>
      <c r="T302">
        <v>-0.11136649999999999</v>
      </c>
      <c r="U302">
        <v>-0.3630371</v>
      </c>
      <c r="V302">
        <v>4.6230769999999997E-2</v>
      </c>
      <c r="W302">
        <v>0.13830329999999999</v>
      </c>
      <c r="X302">
        <v>0.98931029999999998</v>
      </c>
      <c r="Y302">
        <v>0.1002518</v>
      </c>
      <c r="Z302">
        <v>-1.140842E-3</v>
      </c>
      <c r="AA302">
        <v>0.9949614</v>
      </c>
      <c r="AB302">
        <v>47</v>
      </c>
      <c r="AC302">
        <v>28.284600000000001</v>
      </c>
      <c r="AD302">
        <v>-1.0580322990790001</v>
      </c>
      <c r="AE302">
        <v>-3.4406999999999899</v>
      </c>
      <c r="AF302">
        <v>2.8974658926229502</v>
      </c>
      <c r="AG302">
        <v>-1.0580322990790001</v>
      </c>
      <c r="AH302">
        <v>28.305961606386798</v>
      </c>
      <c r="AI302">
        <v>92.129512336983296</v>
      </c>
      <c r="AJ302">
        <v>84.155423594454206</v>
      </c>
      <c r="AK302">
        <v>28.473535140671501</v>
      </c>
      <c r="AL302">
        <v>82.050322417101896</v>
      </c>
      <c r="AM302">
        <v>87.324497251939803</v>
      </c>
      <c r="AN302">
        <v>0.99999997828588605</v>
      </c>
    </row>
    <row r="303" spans="1:40" x14ac:dyDescent="0.25">
      <c r="A303" t="str">
        <f>"20190312164443389"</f>
        <v>20190312164443389</v>
      </c>
      <c r="B303" t="str">
        <f>"1552380283381627"</f>
        <v>1552380283381627</v>
      </c>
      <c r="C303" t="s">
        <v>40</v>
      </c>
      <c r="D303">
        <v>4.8055700000000003</v>
      </c>
      <c r="E303">
        <v>0.52426549999999905</v>
      </c>
      <c r="F303" t="s">
        <v>42</v>
      </c>
      <c r="G303">
        <v>-374.63330000000002</v>
      </c>
      <c r="H303" s="1">
        <v>-3.1804780000000001E-6</v>
      </c>
      <c r="I303">
        <v>364.5659</v>
      </c>
      <c r="J303">
        <v>-402.36689999999999</v>
      </c>
      <c r="K303">
        <v>1.0580609999999999</v>
      </c>
      <c r="L303">
        <v>367.976</v>
      </c>
      <c r="M303">
        <v>0.9997762</v>
      </c>
      <c r="N303">
        <v>0</v>
      </c>
      <c r="O303">
        <v>-1.894786E-2</v>
      </c>
      <c r="P303">
        <v>0.98955789999999999</v>
      </c>
      <c r="Q303">
        <v>0.12860849999999999</v>
      </c>
      <c r="R303">
        <v>-6.5081330000000007E-2</v>
      </c>
      <c r="S303">
        <v>3.022583</v>
      </c>
      <c r="T303">
        <v>-0.1141379</v>
      </c>
      <c r="U303">
        <v>-0.36843870000000001</v>
      </c>
      <c r="V303">
        <v>4.6268110000000001E-2</v>
      </c>
      <c r="W303">
        <v>0.1379457</v>
      </c>
      <c r="X303">
        <v>0.98935850000000003</v>
      </c>
      <c r="Y303">
        <v>0.1021101</v>
      </c>
      <c r="Z303">
        <v>-1.207732E-3</v>
      </c>
      <c r="AA303">
        <v>0.9947724</v>
      </c>
      <c r="AB303">
        <v>47</v>
      </c>
      <c r="AC303">
        <v>27.7335999999999</v>
      </c>
      <c r="AD303">
        <v>-1.058064180478</v>
      </c>
      <c r="AE303">
        <v>-3.4100999999999999</v>
      </c>
      <c r="AF303">
        <v>2.8798429332322701</v>
      </c>
      <c r="AG303">
        <v>-1.058064180478</v>
      </c>
      <c r="AH303">
        <v>27.753444152456201</v>
      </c>
      <c r="AI303">
        <v>92.171621586557194</v>
      </c>
      <c r="AJ303">
        <v>84.075890766422901</v>
      </c>
      <c r="AK303">
        <v>27.922511660909102</v>
      </c>
      <c r="AL303">
        <v>82.071009834451701</v>
      </c>
      <c r="AM303">
        <v>87.322469688103297</v>
      </c>
      <c r="AN303">
        <v>0.999999997836856</v>
      </c>
    </row>
    <row r="304" spans="1:40" x14ac:dyDescent="0.25">
      <c r="A304" t="str">
        <f>"20190312164443411"</f>
        <v>20190312164443411</v>
      </c>
      <c r="B304" t="str">
        <f>"1552380283402123"</f>
        <v>1552380283402123</v>
      </c>
      <c r="C304" t="s">
        <v>40</v>
      </c>
      <c r="D304">
        <v>4.9338559999999996</v>
      </c>
      <c r="E304">
        <v>0.52524190000000004</v>
      </c>
      <c r="F304" t="s">
        <v>42</v>
      </c>
      <c r="G304">
        <v>-376.39600000000002</v>
      </c>
      <c r="H304" s="1">
        <v>-2.497706E-6</v>
      </c>
      <c r="I304">
        <v>364.78609999999998</v>
      </c>
      <c r="J304">
        <v>-401.89319999999998</v>
      </c>
      <c r="K304">
        <v>1.0580969999999901</v>
      </c>
      <c r="L304">
        <v>367.96710000000002</v>
      </c>
      <c r="M304">
        <v>0.99977539999999998</v>
      </c>
      <c r="N304">
        <v>0</v>
      </c>
      <c r="O304">
        <v>-1.8788039999999999E-2</v>
      </c>
      <c r="P304">
        <v>0.98963820000000002</v>
      </c>
      <c r="Q304">
        <v>0.1280452</v>
      </c>
      <c r="R304">
        <v>-6.4970079999999999E-2</v>
      </c>
      <c r="S304">
        <v>3.0232239999999999</v>
      </c>
      <c r="T304">
        <v>-0.1231667</v>
      </c>
      <c r="U304">
        <v>-0.37130740000000001</v>
      </c>
      <c r="V304">
        <v>4.6310509999999999E-2</v>
      </c>
      <c r="W304">
        <v>0.13778089999999901</v>
      </c>
      <c r="X304">
        <v>0.98937949999999997</v>
      </c>
      <c r="Y304">
        <v>0.1031632</v>
      </c>
      <c r="Z304">
        <v>-1.3306839999999999E-3</v>
      </c>
      <c r="AA304">
        <v>0.99466350000000003</v>
      </c>
      <c r="AB304">
        <v>47</v>
      </c>
      <c r="AC304">
        <v>25.497199999999999</v>
      </c>
      <c r="AD304">
        <v>-1.0580994977060001</v>
      </c>
      <c r="AE304">
        <v>-3.18100000000004</v>
      </c>
      <c r="AF304">
        <v>2.69679993422224</v>
      </c>
      <c r="AG304">
        <v>-1.0580994977060001</v>
      </c>
      <c r="AH304">
        <v>25.509209563360798</v>
      </c>
      <c r="AI304">
        <v>92.362068739959696</v>
      </c>
      <c r="AJ304">
        <v>83.965181859784494</v>
      </c>
      <c r="AK304">
        <v>25.673178162816601</v>
      </c>
      <c r="AL304">
        <v>82.080543366390501</v>
      </c>
      <c r="AM304">
        <v>87.320076381338396</v>
      </c>
      <c r="AN304">
        <v>1.00000001738075</v>
      </c>
    </row>
    <row r="305" spans="1:40" x14ac:dyDescent="0.25">
      <c r="A305" t="str">
        <f>"20190312164443435"</f>
        <v>20190312164443435</v>
      </c>
      <c r="B305" t="str">
        <f>"1552380283432378"</f>
        <v>1552380283432378</v>
      </c>
      <c r="C305" t="s">
        <v>40</v>
      </c>
      <c r="D305">
        <v>4.7518250000000002</v>
      </c>
      <c r="E305">
        <v>0.52466820000000003</v>
      </c>
      <c r="F305" t="s">
        <v>42</v>
      </c>
      <c r="G305">
        <v>-377.77359999999999</v>
      </c>
      <c r="H305" s="1">
        <v>-1.9865630000000002E-6</v>
      </c>
      <c r="I305">
        <v>364.94529999999997</v>
      </c>
      <c r="J305">
        <v>-401.40039999999999</v>
      </c>
      <c r="K305">
        <v>1.0581339999999999</v>
      </c>
      <c r="L305">
        <v>367.95800000000003</v>
      </c>
      <c r="M305">
        <v>0.99977470000000002</v>
      </c>
      <c r="N305">
        <v>0</v>
      </c>
      <c r="O305">
        <v>-1.8622199999999998E-2</v>
      </c>
      <c r="P305">
        <v>0.98967340000000004</v>
      </c>
      <c r="Q305">
        <v>0.1276755</v>
      </c>
      <c r="R305">
        <v>-6.515994E-2</v>
      </c>
      <c r="S305">
        <v>3.023682</v>
      </c>
      <c r="T305">
        <v>-0.13264479999999901</v>
      </c>
      <c r="U305">
        <v>-0.3788147</v>
      </c>
      <c r="V305">
        <v>4.6660779999999999E-2</v>
      </c>
      <c r="W305">
        <v>0.13778000000000001</v>
      </c>
      <c r="X305">
        <v>0.98936310000000005</v>
      </c>
      <c r="Y305">
        <v>0.10572810000000001</v>
      </c>
      <c r="Z305">
        <v>-1.4958129999999999E-3</v>
      </c>
      <c r="AA305">
        <v>0.99439390000000005</v>
      </c>
      <c r="AB305">
        <v>47</v>
      </c>
      <c r="AC305">
        <v>23.626799999999999</v>
      </c>
      <c r="AD305">
        <v>-1.058135986563</v>
      </c>
      <c r="AE305">
        <v>-3.0127000000000499</v>
      </c>
      <c r="AF305">
        <v>2.5671051457944598</v>
      </c>
      <c r="AG305">
        <v>-1.058135986563</v>
      </c>
      <c r="AH305">
        <v>23.632167042928799</v>
      </c>
      <c r="AI305">
        <v>92.548746516646304</v>
      </c>
      <c r="AJ305">
        <v>83.800406761068004</v>
      </c>
      <c r="AK305">
        <v>23.7947263010212</v>
      </c>
      <c r="AL305">
        <v>82.080594893804999</v>
      </c>
      <c r="AM305">
        <v>87.299791945992297</v>
      </c>
      <c r="AN305">
        <v>0.99999995021590804</v>
      </c>
    </row>
    <row r="306" spans="1:40" x14ac:dyDescent="0.25">
      <c r="A306" t="str">
        <f>"20190312164443454"</f>
        <v>20190312164443454</v>
      </c>
      <c r="B306" t="str">
        <f>"1552380283442138"</f>
        <v>1552380283442138</v>
      </c>
      <c r="C306" t="s">
        <v>40</v>
      </c>
      <c r="D306">
        <v>4.790349</v>
      </c>
      <c r="E306">
        <v>0.52444040000000003</v>
      </c>
      <c r="F306" t="s">
        <v>42</v>
      </c>
      <c r="G306">
        <v>-378.53699999999998</v>
      </c>
      <c r="H306" s="1">
        <v>-1.6789959999999901E-6</v>
      </c>
      <c r="I306">
        <v>365.12470000000002</v>
      </c>
      <c r="J306">
        <v>-401.00029999999998</v>
      </c>
      <c r="K306">
        <v>1.05823</v>
      </c>
      <c r="L306">
        <v>367.95069999999998</v>
      </c>
      <c r="M306">
        <v>0.99977150000000004</v>
      </c>
      <c r="N306">
        <v>0</v>
      </c>
      <c r="O306">
        <v>-1.8498319999999999E-2</v>
      </c>
      <c r="P306">
        <v>0.98974269999999998</v>
      </c>
      <c r="Q306">
        <v>0.12722320000000001</v>
      </c>
      <c r="R306">
        <v>-6.4993490000000001E-2</v>
      </c>
      <c r="S306">
        <v>3.024689</v>
      </c>
      <c r="T306">
        <v>-0.139985</v>
      </c>
      <c r="U306">
        <v>-0.37481690000000001</v>
      </c>
      <c r="V306">
        <v>4.6614269999999999E-2</v>
      </c>
      <c r="W306">
        <v>0.1378617</v>
      </c>
      <c r="X306">
        <v>0.98935399999999996</v>
      </c>
      <c r="Y306">
        <v>0.1045079</v>
      </c>
      <c r="Z306">
        <v>-1.5556929999999999E-3</v>
      </c>
      <c r="AA306">
        <v>0.99452280000000004</v>
      </c>
      <c r="AB306">
        <v>47</v>
      </c>
      <c r="AC306">
        <v>22.4633</v>
      </c>
      <c r="AD306">
        <v>-1.058231678996</v>
      </c>
      <c r="AE306">
        <v>-2.8259999999999601</v>
      </c>
      <c r="AF306">
        <v>2.4047056396555599</v>
      </c>
      <c r="AG306">
        <v>-1.058231678996</v>
      </c>
      <c r="AH306">
        <v>22.462660649780499</v>
      </c>
      <c r="AI306">
        <v>92.681948236437705</v>
      </c>
      <c r="AJ306">
        <v>83.889560185770506</v>
      </c>
      <c r="AK306">
        <v>22.615781811978501</v>
      </c>
      <c r="AL306">
        <v>82.075869426721994</v>
      </c>
      <c r="AM306">
        <v>87.302454676159996</v>
      </c>
      <c r="AN306">
        <v>1.00000003790526</v>
      </c>
    </row>
    <row r="307" spans="1:40" x14ac:dyDescent="0.25">
      <c r="A307" t="str">
        <f>"20190312164443477"</f>
        <v>20190312164443477</v>
      </c>
      <c r="B307" t="str">
        <f>"1552380283472395"</f>
        <v>1552380283472395</v>
      </c>
      <c r="C307" t="s">
        <v>40</v>
      </c>
      <c r="D307">
        <v>4.8895869999999997</v>
      </c>
      <c r="E307">
        <v>0.52497539999999998</v>
      </c>
      <c r="F307" t="s">
        <v>42</v>
      </c>
      <c r="G307">
        <v>-378.86720000000003</v>
      </c>
      <c r="H307" s="1">
        <v>-1.538968E-6</v>
      </c>
      <c r="I307">
        <v>365.22879999999998</v>
      </c>
      <c r="J307">
        <v>-400.54360000000003</v>
      </c>
      <c r="K307">
        <v>1.0586629999999999</v>
      </c>
      <c r="L307">
        <v>367.94240000000002</v>
      </c>
      <c r="M307">
        <v>0.9997566</v>
      </c>
      <c r="N307">
        <v>0</v>
      </c>
      <c r="O307">
        <v>-1.8382820000000001E-2</v>
      </c>
      <c r="P307">
        <v>0.98989159999999998</v>
      </c>
      <c r="Q307">
        <v>0.12610539999999901</v>
      </c>
      <c r="R307">
        <v>-6.4902249999999995E-2</v>
      </c>
      <c r="S307">
        <v>3.0252690000000002</v>
      </c>
      <c r="T307">
        <v>-0.1446443</v>
      </c>
      <c r="U307">
        <v>-0.37203979999999998</v>
      </c>
      <c r="V307">
        <v>4.6637310000000001E-2</v>
      </c>
      <c r="W307">
        <v>0.138206</v>
      </c>
      <c r="X307">
        <v>0.98930479999999998</v>
      </c>
      <c r="Y307">
        <v>0.1036946</v>
      </c>
      <c r="Z307">
        <v>-1.5933200000000001E-3</v>
      </c>
      <c r="AA307">
        <v>0.99460789999999999</v>
      </c>
      <c r="AB307">
        <v>47</v>
      </c>
      <c r="AC307">
        <v>21.676400000000001</v>
      </c>
      <c r="AD307">
        <v>-1.0586645389679901</v>
      </c>
      <c r="AE307">
        <v>-2.71360000000004</v>
      </c>
      <c r="AF307">
        <v>2.3092152075132901</v>
      </c>
      <c r="AG307">
        <v>-1.0586645389679901</v>
      </c>
      <c r="AH307">
        <v>21.671728070029801</v>
      </c>
      <c r="AI307">
        <v>92.780959530189605</v>
      </c>
      <c r="AJ307">
        <v>83.917839215559397</v>
      </c>
      <c r="AK307">
        <v>21.820106393461899</v>
      </c>
      <c r="AL307">
        <v>82.055951224332304</v>
      </c>
      <c r="AM307">
        <v>87.300989311582697</v>
      </c>
      <c r="AN307">
        <v>0.99999996221153697</v>
      </c>
    </row>
    <row r="308" spans="1:40" x14ac:dyDescent="0.25">
      <c r="A308" t="str">
        <f>"20190312164443499"</f>
        <v>20190312164443499</v>
      </c>
      <c r="B308" t="str">
        <f>"1552380283491914"</f>
        <v>1552380283491914</v>
      </c>
      <c r="C308" t="s">
        <v>40</v>
      </c>
      <c r="D308">
        <v>4.7763710000000001</v>
      </c>
      <c r="E308">
        <v>0.52504430000000002</v>
      </c>
      <c r="F308" t="s">
        <v>42</v>
      </c>
      <c r="G308">
        <v>-379.64769999999999</v>
      </c>
      <c r="H308" s="1">
        <v>-1.241534E-6</v>
      </c>
      <c r="I308">
        <v>365.34840000000003</v>
      </c>
      <c r="J308">
        <v>-400.06569999999999</v>
      </c>
      <c r="K308">
        <v>1.0594669999999999</v>
      </c>
      <c r="L308">
        <v>367.93380000000002</v>
      </c>
      <c r="M308">
        <v>0.99974180000000001</v>
      </c>
      <c r="N308">
        <v>0</v>
      </c>
      <c r="O308">
        <v>-1.8253019999999998E-2</v>
      </c>
      <c r="P308">
        <v>0.98997780000000002</v>
      </c>
      <c r="Q308">
        <v>0.1255636</v>
      </c>
      <c r="R308">
        <v>-6.4634520000000001E-2</v>
      </c>
      <c r="S308">
        <v>3.0255740000000002</v>
      </c>
      <c r="T308">
        <v>-0.15328629999999999</v>
      </c>
      <c r="U308">
        <v>-0.37557980000000002</v>
      </c>
      <c r="V308">
        <v>4.6500390000000003E-2</v>
      </c>
      <c r="W308">
        <v>0.13898379999999999</v>
      </c>
      <c r="X308">
        <v>0.98920229999999998</v>
      </c>
      <c r="Y308">
        <v>0.104944</v>
      </c>
      <c r="Z308">
        <v>-1.726146E-3</v>
      </c>
      <c r="AA308">
        <v>0.99447660000000004</v>
      </c>
      <c r="AB308">
        <v>47</v>
      </c>
      <c r="AC308">
        <v>20.417999999999999</v>
      </c>
      <c r="AD308">
        <v>-1.059468241534</v>
      </c>
      <c r="AE308">
        <v>-2.5853999999999902</v>
      </c>
      <c r="AF308">
        <v>2.20639799957674</v>
      </c>
      <c r="AG308">
        <v>-1.059468241534</v>
      </c>
      <c r="AH308">
        <v>20.407713523600599</v>
      </c>
      <c r="AI308">
        <v>92.954659833765106</v>
      </c>
      <c r="AJ308">
        <v>83.829384494353803</v>
      </c>
      <c r="AK308">
        <v>20.553964005726598</v>
      </c>
      <c r="AL308">
        <v>82.010952482779501</v>
      </c>
      <c r="AM308">
        <v>87.308623089514995</v>
      </c>
      <c r="AN308">
        <v>0.99999998662894096</v>
      </c>
    </row>
    <row r="309" spans="1:40" x14ac:dyDescent="0.25">
      <c r="A309" t="str">
        <f>"20190312164443512"</f>
        <v>20190312164443512</v>
      </c>
      <c r="B309" t="str">
        <f>"1552380283501675"</f>
        <v>1552380283501675</v>
      </c>
      <c r="C309" t="s">
        <v>40</v>
      </c>
      <c r="D309">
        <v>4.8093019999999997</v>
      </c>
      <c r="E309">
        <v>0.52478959999999997</v>
      </c>
      <c r="F309" t="s">
        <v>42</v>
      </c>
      <c r="G309">
        <v>-379.8272</v>
      </c>
      <c r="H309" s="1">
        <v>-1.1610589999999999E-6</v>
      </c>
      <c r="I309">
        <v>365.42129999999997</v>
      </c>
      <c r="J309">
        <v>-399.80509999999998</v>
      </c>
      <c r="K309">
        <v>1.059944</v>
      </c>
      <c r="L309">
        <v>367.92910000000001</v>
      </c>
      <c r="M309">
        <v>0.99974099999999999</v>
      </c>
      <c r="N309">
        <v>0</v>
      </c>
      <c r="O309">
        <v>-1.8174550000000001E-2</v>
      </c>
      <c r="P309">
        <v>0.98993589999999998</v>
      </c>
      <c r="Q309">
        <v>0.1259062</v>
      </c>
      <c r="R309">
        <v>-6.4612240000000001E-2</v>
      </c>
      <c r="S309">
        <v>3.0259399999999999</v>
      </c>
      <c r="T309">
        <v>-0.1584044</v>
      </c>
      <c r="U309">
        <v>-0.3756409</v>
      </c>
      <c r="V309">
        <v>4.6557199999999903E-2</v>
      </c>
      <c r="W309">
        <v>0.1394956</v>
      </c>
      <c r="X309">
        <v>0.9891276</v>
      </c>
      <c r="Y309">
        <v>0.1050194</v>
      </c>
      <c r="Z309">
        <v>-1.7895369999999999E-3</v>
      </c>
      <c r="AA309">
        <v>0.99446860000000004</v>
      </c>
      <c r="AB309">
        <v>46</v>
      </c>
      <c r="AC309">
        <v>19.977899999999899</v>
      </c>
      <c r="AD309">
        <v>-1.0599451610590001</v>
      </c>
      <c r="AE309">
        <v>-2.5078000000000298</v>
      </c>
      <c r="AF309">
        <v>2.13833641472849</v>
      </c>
      <c r="AG309">
        <v>-1.0599451610590001</v>
      </c>
      <c r="AH309">
        <v>19.964854247849601</v>
      </c>
      <c r="AI309">
        <v>93.021761204423399</v>
      </c>
      <c r="AJ309">
        <v>83.886638892005493</v>
      </c>
      <c r="AK309">
        <v>20.106998072931798</v>
      </c>
      <c r="AL309">
        <v>81.981340164142495</v>
      </c>
      <c r="AM309">
        <v>87.305136646716505</v>
      </c>
      <c r="AN309">
        <v>1.0000000021864699</v>
      </c>
    </row>
    <row r="310" spans="1:40" x14ac:dyDescent="0.25">
      <c r="A310" t="str">
        <f>"20190312164443524"</f>
        <v>20190312164443524</v>
      </c>
      <c r="B310" t="str">
        <f>"1552380283512411"</f>
        <v>1552380283512411</v>
      </c>
      <c r="C310" t="s">
        <v>40</v>
      </c>
      <c r="D310">
        <v>4.9236700000000004</v>
      </c>
      <c r="E310">
        <v>0.5250146</v>
      </c>
      <c r="F310" t="s">
        <v>42</v>
      </c>
      <c r="G310">
        <v>-379.8152</v>
      </c>
      <c r="H310" s="1">
        <v>-1.1540460000000001E-6</v>
      </c>
      <c r="I310">
        <v>365.46289999999999</v>
      </c>
      <c r="J310">
        <v>-399.55450000000002</v>
      </c>
      <c r="K310">
        <v>1.0603640000000001</v>
      </c>
      <c r="L310">
        <v>367.92469999999997</v>
      </c>
      <c r="M310">
        <v>0.99975060000000004</v>
      </c>
      <c r="N310">
        <v>0</v>
      </c>
      <c r="O310">
        <v>-1.809448E-2</v>
      </c>
      <c r="P310">
        <v>0.98980559999999995</v>
      </c>
      <c r="Q310">
        <v>0.1269335</v>
      </c>
      <c r="R310">
        <v>-6.4599630000000005E-2</v>
      </c>
      <c r="S310">
        <v>3.0265499999999999</v>
      </c>
      <c r="T310">
        <v>-0.16047999999999901</v>
      </c>
      <c r="U310">
        <v>-0.37338260000000001</v>
      </c>
      <c r="V310">
        <v>4.6626040000000001E-2</v>
      </c>
      <c r="W310">
        <v>0.13991960000000001</v>
      </c>
      <c r="X310">
        <v>0.98906450000000001</v>
      </c>
      <c r="Y310">
        <v>0.10434160000000001</v>
      </c>
      <c r="Z310">
        <v>-1.7990149999999999E-3</v>
      </c>
      <c r="AA310">
        <v>0.99453990000000003</v>
      </c>
      <c r="AB310">
        <v>46</v>
      </c>
      <c r="AC310">
        <v>19.7393</v>
      </c>
      <c r="AD310">
        <v>-1.060365154046</v>
      </c>
      <c r="AE310">
        <v>-2.4617999999999798</v>
      </c>
      <c r="AF310">
        <v>2.0982318382493799</v>
      </c>
      <c r="AG310">
        <v>-1.060365154046</v>
      </c>
      <c r="AH310">
        <v>19.724569623564498</v>
      </c>
      <c r="AI310">
        <v>93.059947215603998</v>
      </c>
      <c r="AJ310">
        <v>83.927907317310897</v>
      </c>
      <c r="AK310">
        <v>19.864178763336799</v>
      </c>
      <c r="AL310">
        <v>81.956806397966702</v>
      </c>
      <c r="AM310">
        <v>87.300985953245103</v>
      </c>
      <c r="AN310">
        <v>1.0000000336152399</v>
      </c>
    </row>
    <row r="311" spans="1:40" x14ac:dyDescent="0.25">
      <c r="A311" t="str">
        <f>"20190312164443543"</f>
        <v>20190312164443543</v>
      </c>
      <c r="B311" t="str">
        <f>"1552380283531930"</f>
        <v>1552380283531930</v>
      </c>
      <c r="C311" t="s">
        <v>40</v>
      </c>
      <c r="D311">
        <v>5.0770739999999996</v>
      </c>
      <c r="E311">
        <v>0.52481560000000005</v>
      </c>
      <c r="F311" t="s">
        <v>42</v>
      </c>
      <c r="G311">
        <v>-379.20030000000003</v>
      </c>
      <c r="H311" s="1">
        <v>-1.3793770000000001E-6</v>
      </c>
      <c r="I311">
        <v>365.40249999999997</v>
      </c>
      <c r="J311">
        <v>-399.15570000000002</v>
      </c>
      <c r="K311">
        <v>1.0611159999999999</v>
      </c>
      <c r="L311">
        <v>367.91750000000002</v>
      </c>
      <c r="M311">
        <v>0.99977210000000005</v>
      </c>
      <c r="N311">
        <v>0</v>
      </c>
      <c r="O311">
        <v>-1.7981690000000002E-2</v>
      </c>
      <c r="P311">
        <v>0.98946820000000002</v>
      </c>
      <c r="Q311">
        <v>0.12948470000000001</v>
      </c>
      <c r="R311">
        <v>-6.4706310000000003E-2</v>
      </c>
      <c r="S311">
        <v>3.026672</v>
      </c>
      <c r="T311">
        <v>-0.15767629999999999</v>
      </c>
      <c r="U311">
        <v>-0.37503049999999999</v>
      </c>
      <c r="V311">
        <v>4.6847630000000001E-2</v>
      </c>
      <c r="W311">
        <v>0.14089119999999999</v>
      </c>
      <c r="X311">
        <v>0.98891600000000002</v>
      </c>
      <c r="Y311">
        <v>0.1049857</v>
      </c>
      <c r="Z311">
        <v>-1.790067E-3</v>
      </c>
      <c r="AA311">
        <v>0.99447209999999997</v>
      </c>
      <c r="AB311">
        <v>46</v>
      </c>
      <c r="AC311">
        <v>19.955400000000001</v>
      </c>
      <c r="AD311">
        <v>-1.0611173793769999</v>
      </c>
      <c r="AE311">
        <v>-2.5150000000000401</v>
      </c>
      <c r="AF311">
        <v>2.1497542993346199</v>
      </c>
      <c r="AG311">
        <v>-1.0611173793769999</v>
      </c>
      <c r="AH311">
        <v>19.941895532676799</v>
      </c>
      <c r="AI311">
        <v>93.028349647622207</v>
      </c>
      <c r="AJ311">
        <v>83.847223824866205</v>
      </c>
      <c r="AK311">
        <v>20.085482595061499</v>
      </c>
      <c r="AL311">
        <v>81.900580113459995</v>
      </c>
      <c r="AM311">
        <v>87.287771395175398</v>
      </c>
      <c r="AN311">
        <v>0.99999994286502603</v>
      </c>
    </row>
    <row r="312" spans="1:40" x14ac:dyDescent="0.25">
      <c r="A312" t="str">
        <f>"20190312164443557"</f>
        <v>20190312164443557</v>
      </c>
      <c r="B312" t="str">
        <f>"1552380283552427"</f>
        <v>1552380283552427</v>
      </c>
      <c r="C312" t="s">
        <v>40</v>
      </c>
      <c r="D312">
        <v>4.7935230000000004</v>
      </c>
      <c r="E312">
        <v>0.52464529999999998</v>
      </c>
      <c r="F312" t="s">
        <v>42</v>
      </c>
      <c r="G312">
        <v>-378.05579999999998</v>
      </c>
      <c r="H312" s="1">
        <v>-1.792371E-6</v>
      </c>
      <c r="I312">
        <v>365.3141</v>
      </c>
      <c r="J312">
        <v>-398.88339999999999</v>
      </c>
      <c r="K312">
        <v>1.061733</v>
      </c>
      <c r="L312">
        <v>367.9128</v>
      </c>
      <c r="M312">
        <v>0.99978739999999999</v>
      </c>
      <c r="N312">
        <v>0</v>
      </c>
      <c r="O312">
        <v>-1.7906439999999999E-2</v>
      </c>
      <c r="P312">
        <v>0.98927120000000002</v>
      </c>
      <c r="Q312">
        <v>0.13097829999999999</v>
      </c>
      <c r="R312">
        <v>-6.4711019999999994E-2</v>
      </c>
      <c r="S312">
        <v>3.027466</v>
      </c>
      <c r="T312">
        <v>-0.15225179999999999</v>
      </c>
      <c r="U312">
        <v>-0.37353520000000001</v>
      </c>
      <c r="V312">
        <v>4.6929709999999999E-2</v>
      </c>
      <c r="W312">
        <v>0.14112350000000001</v>
      </c>
      <c r="X312">
        <v>0.98887899999999995</v>
      </c>
      <c r="Y312">
        <v>0.10455349999999999</v>
      </c>
      <c r="Z312">
        <v>-1.7211220000000001E-3</v>
      </c>
      <c r="AA312">
        <v>0.99451769999999995</v>
      </c>
      <c r="AB312">
        <v>46</v>
      </c>
      <c r="AC312">
        <v>20.8276</v>
      </c>
      <c r="AD312">
        <v>-1.0617347923710001</v>
      </c>
      <c r="AE312">
        <v>-2.5987</v>
      </c>
      <c r="AF312">
        <v>2.2196359255859299</v>
      </c>
      <c r="AG312">
        <v>-1.0617347923710001</v>
      </c>
      <c r="AH312">
        <v>20.8175272898084</v>
      </c>
      <c r="AI312">
        <v>92.903239745664806</v>
      </c>
      <c r="AJ312">
        <v>83.913921914802799</v>
      </c>
      <c r="AK312">
        <v>20.962430843616399</v>
      </c>
      <c r="AL312">
        <v>81.8871361025966</v>
      </c>
      <c r="AM312">
        <v>87.282925007876003</v>
      </c>
      <c r="AN312">
        <v>0.99999995828696597</v>
      </c>
    </row>
    <row r="313" spans="1:40" x14ac:dyDescent="0.25">
      <c r="A313" t="str">
        <f>"20190312164443576"</f>
        <v>20190312164443576</v>
      </c>
      <c r="B313" t="str">
        <f>"1552380283571946"</f>
        <v>1552380283571946</v>
      </c>
      <c r="C313" t="s">
        <v>40</v>
      </c>
      <c r="D313">
        <v>4.7966540000000002</v>
      </c>
      <c r="E313">
        <v>0.52434340000000002</v>
      </c>
      <c r="F313" t="s">
        <v>42</v>
      </c>
      <c r="G313">
        <v>-377.36619999999999</v>
      </c>
      <c r="H313" s="1">
        <v>-2.0388459999999999E-6</v>
      </c>
      <c r="I313">
        <v>365.26979999999998</v>
      </c>
      <c r="J313">
        <v>-398.45389999999998</v>
      </c>
      <c r="K313">
        <v>1.062964</v>
      </c>
      <c r="L313">
        <v>367.90519999999998</v>
      </c>
      <c r="M313">
        <v>0.99980599999999997</v>
      </c>
      <c r="N313">
        <v>0</v>
      </c>
      <c r="O313">
        <v>-1.7781040000000001E-2</v>
      </c>
      <c r="P313">
        <v>0.98901220000000001</v>
      </c>
      <c r="Q313">
        <v>0.13313520000000001</v>
      </c>
      <c r="R313">
        <v>-6.4262130000000001E-2</v>
      </c>
      <c r="S313">
        <v>3.0279850000000001</v>
      </c>
      <c r="T313">
        <v>-0.14941160000000001</v>
      </c>
      <c r="U313">
        <v>-0.37191770000000002</v>
      </c>
      <c r="V313">
        <v>4.6611819999999998E-2</v>
      </c>
      <c r="W313">
        <v>0.14152239999999999</v>
      </c>
      <c r="X313">
        <v>0.98883710000000002</v>
      </c>
      <c r="Y313">
        <v>0.10413890000000001</v>
      </c>
      <c r="Z313">
        <v>-1.6848060000000001E-3</v>
      </c>
      <c r="AA313">
        <v>0.99456129999999998</v>
      </c>
      <c r="AB313">
        <v>47</v>
      </c>
      <c r="AC313">
        <v>21.087699999999899</v>
      </c>
      <c r="AD313">
        <v>-1.062966038846</v>
      </c>
      <c r="AE313">
        <v>-2.6354000000000002</v>
      </c>
      <c r="AF313">
        <v>2.2543686839463901</v>
      </c>
      <c r="AG313">
        <v>-1.062966038846</v>
      </c>
      <c r="AH313">
        <v>21.078493892144099</v>
      </c>
      <c r="AI313">
        <v>92.870576378738207</v>
      </c>
      <c r="AJ313">
        <v>83.895357288242494</v>
      </c>
      <c r="AK313">
        <v>21.225338153349998</v>
      </c>
      <c r="AL313">
        <v>81.864049698209797</v>
      </c>
      <c r="AM313">
        <v>87.301188303227605</v>
      </c>
      <c r="AN313">
        <v>1.00000003090094</v>
      </c>
    </row>
    <row r="314" spans="1:40" x14ac:dyDescent="0.25">
      <c r="A314" t="str">
        <f>"20190312164443600"</f>
        <v>20190312164443600</v>
      </c>
      <c r="B314" t="str">
        <f>"1552380283592443"</f>
        <v>1552380283592443</v>
      </c>
      <c r="C314" t="s">
        <v>40</v>
      </c>
      <c r="D314">
        <v>4.7688920000000001</v>
      </c>
      <c r="E314">
        <v>0.52450479999999999</v>
      </c>
      <c r="F314" t="s">
        <v>42</v>
      </c>
      <c r="G314">
        <v>-376.22609999999997</v>
      </c>
      <c r="H314" s="1">
        <v>-2.444919E-6</v>
      </c>
      <c r="I314">
        <v>365.20179999999999</v>
      </c>
      <c r="J314">
        <v>-397.96789999999999</v>
      </c>
      <c r="K314">
        <v>1.064875</v>
      </c>
      <c r="L314">
        <v>367.89679999999998</v>
      </c>
      <c r="M314">
        <v>0.99981929999999997</v>
      </c>
      <c r="N314">
        <v>0</v>
      </c>
      <c r="O314">
        <v>-1.7627319999999998E-2</v>
      </c>
      <c r="P314">
        <v>0.98880170000000001</v>
      </c>
      <c r="Q314">
        <v>0.13477809999999901</v>
      </c>
      <c r="R314">
        <v>-6.4075279999999998E-2</v>
      </c>
      <c r="S314">
        <v>3.0289000000000001</v>
      </c>
      <c r="T314">
        <v>-0.144846</v>
      </c>
      <c r="U314">
        <v>-0.36837769999999997</v>
      </c>
      <c r="V314">
        <v>4.6586910000000002E-2</v>
      </c>
      <c r="W314">
        <v>0.14184379999999999</v>
      </c>
      <c r="X314">
        <v>0.98879220000000001</v>
      </c>
      <c r="Y314">
        <v>0.1031175</v>
      </c>
      <c r="Z314">
        <v>-1.6160110000000001E-3</v>
      </c>
      <c r="AA314">
        <v>0.99466790000000005</v>
      </c>
      <c r="AB314">
        <v>47</v>
      </c>
      <c r="AC314">
        <v>21.741800000000001</v>
      </c>
      <c r="AD314">
        <v>-1.0648774449189999</v>
      </c>
      <c r="AE314">
        <v>-2.6949999999999901</v>
      </c>
      <c r="AF314">
        <v>2.3058740691633299</v>
      </c>
      <c r="AG314">
        <v>-1.0648774449189999</v>
      </c>
      <c r="AH314">
        <v>21.7345789253758</v>
      </c>
      <c r="AI314">
        <v>92.789313164931002</v>
      </c>
      <c r="AJ314">
        <v>83.944005601308902</v>
      </c>
      <c r="AK314">
        <v>21.882480212693601</v>
      </c>
      <c r="AL314">
        <v>81.845446996642806</v>
      </c>
      <c r="AM314">
        <v>87.302506150912393</v>
      </c>
      <c r="AN314">
        <v>1.0000000092813099</v>
      </c>
    </row>
    <row r="315" spans="1:40" x14ac:dyDescent="0.25">
      <c r="A315" t="str">
        <f>"20190312164443623"</f>
        <v>20190312164443623</v>
      </c>
      <c r="B315" t="str">
        <f>"1552380283611962"</f>
        <v>1552380283611962</v>
      </c>
      <c r="C315" t="s">
        <v>40</v>
      </c>
      <c r="D315">
        <v>4.7992220000000003</v>
      </c>
      <c r="E315">
        <v>0.52411600000000003</v>
      </c>
      <c r="F315" t="s">
        <v>42</v>
      </c>
      <c r="G315">
        <v>-374.70519999999999</v>
      </c>
      <c r="H315" s="1">
        <v>-3.061239E-6</v>
      </c>
      <c r="I315">
        <v>365.06420000000003</v>
      </c>
      <c r="J315">
        <v>-397.48540000000003</v>
      </c>
      <c r="K315">
        <v>1.067345</v>
      </c>
      <c r="L315">
        <v>367.88839999999999</v>
      </c>
      <c r="M315">
        <v>0.99982890000000002</v>
      </c>
      <c r="N315">
        <v>0</v>
      </c>
      <c r="O315">
        <v>-1.746787E-2</v>
      </c>
      <c r="P315">
        <v>0.98868299999999998</v>
      </c>
      <c r="Q315">
        <v>0.13587060000000001</v>
      </c>
      <c r="R315">
        <v>-6.3603930000000003E-2</v>
      </c>
      <c r="S315">
        <v>3.028931</v>
      </c>
      <c r="T315">
        <v>-0.13865239999999901</v>
      </c>
      <c r="U315">
        <v>-0.36880489999999999</v>
      </c>
      <c r="V315">
        <v>4.6282289999999997E-2</v>
      </c>
      <c r="W315">
        <v>0.14190749999999999</v>
      </c>
      <c r="X315">
        <v>0.98879740000000005</v>
      </c>
      <c r="Y315">
        <v>0.103420899999999</v>
      </c>
      <c r="Z315">
        <v>-1.5611399999999999E-3</v>
      </c>
      <c r="AA315">
        <v>0.99463650000000003</v>
      </c>
      <c r="AB315">
        <v>47</v>
      </c>
      <c r="AC315">
        <v>22.780200000000001</v>
      </c>
      <c r="AD315">
        <v>-1.0673480612390001</v>
      </c>
      <c r="AE315">
        <v>-2.8241999999999599</v>
      </c>
      <c r="AF315">
        <v>2.42060658281089</v>
      </c>
      <c r="AG315">
        <v>-1.0673480612390001</v>
      </c>
      <c r="AH315">
        <v>22.776812458873898</v>
      </c>
      <c r="AI315">
        <v>92.667982036327899</v>
      </c>
      <c r="AJ315">
        <v>83.933659067341907</v>
      </c>
      <c r="AK315">
        <v>22.929931397614101</v>
      </c>
      <c r="AL315">
        <v>81.841760241018605</v>
      </c>
      <c r="AM315">
        <v>87.320132654576696</v>
      </c>
      <c r="AN315">
        <v>1.00000004358532</v>
      </c>
    </row>
    <row r="316" spans="1:40" x14ac:dyDescent="0.25">
      <c r="A316" t="str">
        <f>"20190312164443644"</f>
        <v>20190312164443644</v>
      </c>
      <c r="B316" t="str">
        <f>"1552380283632458"</f>
        <v>1552380283632458</v>
      </c>
      <c r="C316" t="s">
        <v>40</v>
      </c>
      <c r="D316">
        <v>4.7059839999999999</v>
      </c>
      <c r="E316">
        <v>0.49433559999999999</v>
      </c>
      <c r="F316" t="s">
        <v>42</v>
      </c>
      <c r="G316">
        <v>-373.84449999999998</v>
      </c>
      <c r="H316" s="1">
        <v>-3.4335810000000002E-6</v>
      </c>
      <c r="I316">
        <v>365.04669999999999</v>
      </c>
      <c r="J316">
        <v>-397.05540000000002</v>
      </c>
      <c r="K316">
        <v>1.06989</v>
      </c>
      <c r="L316">
        <v>367.8809</v>
      </c>
      <c r="M316">
        <v>0.99983699999999998</v>
      </c>
      <c r="N316">
        <v>0</v>
      </c>
      <c r="O316">
        <v>-1.732442E-2</v>
      </c>
      <c r="P316">
        <v>0.98849869999999995</v>
      </c>
      <c r="Q316">
        <v>0.13725409999999999</v>
      </c>
      <c r="R316">
        <v>-6.3494709999999996E-2</v>
      </c>
      <c r="S316">
        <v>3.0296940000000001</v>
      </c>
      <c r="T316">
        <v>-0.1367854</v>
      </c>
      <c r="U316">
        <v>-0.3641663</v>
      </c>
      <c r="V316">
        <v>4.6322629999999997E-2</v>
      </c>
      <c r="W316">
        <v>0.14229129999999901</v>
      </c>
      <c r="X316">
        <v>0.98874030000000002</v>
      </c>
      <c r="Y316">
        <v>0.1020363</v>
      </c>
      <c r="Z316">
        <v>-1.5152150000000001E-3</v>
      </c>
      <c r="AA316">
        <v>0.99477950000000004</v>
      </c>
      <c r="AB316">
        <v>47</v>
      </c>
      <c r="AC316">
        <v>23.210899999999999</v>
      </c>
      <c r="AD316">
        <v>-1.069893433581</v>
      </c>
      <c r="AE316">
        <v>-2.8342000000000001</v>
      </c>
      <c r="AF316">
        <v>2.4265740668617899</v>
      </c>
      <c r="AG316">
        <v>-1.069893433581</v>
      </c>
      <c r="AH316">
        <v>23.207932520389701</v>
      </c>
      <c r="AI316">
        <v>92.625195157850797</v>
      </c>
      <c r="AJ316">
        <v>84.0309590726892</v>
      </c>
      <c r="AK316">
        <v>23.358961139831301</v>
      </c>
      <c r="AL316">
        <v>81.819544249524697</v>
      </c>
      <c r="AM316">
        <v>87.317645599681299</v>
      </c>
      <c r="AN316">
        <v>0.99999999047494803</v>
      </c>
    </row>
    <row r="317" spans="1:40" x14ac:dyDescent="0.25">
      <c r="A317" t="str">
        <f>"20190312164443665"</f>
        <v>20190312164443665</v>
      </c>
      <c r="B317" t="str">
        <f>"1552380283661738"</f>
        <v>1552380283661738</v>
      </c>
      <c r="C317" t="s">
        <v>40</v>
      </c>
      <c r="D317">
        <v>4.9510620000000003</v>
      </c>
      <c r="E317">
        <v>0.49079889999999998</v>
      </c>
      <c r="F317" t="s">
        <v>42</v>
      </c>
      <c r="G317">
        <v>-369.38510000000002</v>
      </c>
      <c r="H317" s="1">
        <v>-9.6428770000000009E-7</v>
      </c>
      <c r="I317">
        <v>366.72620000000001</v>
      </c>
      <c r="J317">
        <v>-396.58620000000002</v>
      </c>
      <c r="K317">
        <v>1.0728439999999999</v>
      </c>
      <c r="L317">
        <v>367.87279999999998</v>
      </c>
      <c r="M317">
        <v>0.9998454</v>
      </c>
      <c r="N317">
        <v>0</v>
      </c>
      <c r="O317">
        <v>-1.7172429999999999E-2</v>
      </c>
      <c r="P317">
        <v>0.98833269999999995</v>
      </c>
      <c r="Q317">
        <v>0.1385594</v>
      </c>
      <c r="R317">
        <v>-6.3244579999999995E-2</v>
      </c>
      <c r="S317">
        <v>3.043091</v>
      </c>
      <c r="T317">
        <v>-0.1176629</v>
      </c>
      <c r="U317">
        <v>-0.1269836</v>
      </c>
      <c r="V317">
        <v>4.6227860000000003E-2</v>
      </c>
      <c r="W317">
        <v>0.1423191</v>
      </c>
      <c r="X317">
        <v>0.98874070000000003</v>
      </c>
      <c r="Y317">
        <v>2.452298E-2</v>
      </c>
      <c r="Z317">
        <v>1.8965200000000001E-4</v>
      </c>
      <c r="AA317">
        <v>0.99969920000000001</v>
      </c>
      <c r="AB317">
        <v>47</v>
      </c>
      <c r="AC317">
        <v>27.2011</v>
      </c>
      <c r="AD317">
        <v>-1.0728449642876901</v>
      </c>
      <c r="AE317">
        <v>-1.1465999999999701</v>
      </c>
      <c r="AF317">
        <v>0.67826535601642501</v>
      </c>
      <c r="AG317">
        <v>-1.0728449642876901</v>
      </c>
      <c r="AH317">
        <v>27.1745809009415</v>
      </c>
      <c r="AI317">
        <v>92.260144277718396</v>
      </c>
      <c r="AJ317">
        <v>88.570219889419803</v>
      </c>
      <c r="AK317">
        <v>27.204207162723701</v>
      </c>
      <c r="AL317">
        <v>81.817934770262596</v>
      </c>
      <c r="AM317">
        <v>87.323126434484905</v>
      </c>
      <c r="AN317">
        <v>0.99999995655073803</v>
      </c>
    </row>
    <row r="318" spans="1:40" x14ac:dyDescent="0.25">
      <c r="A318" t="str">
        <f>"20190312164443689"</f>
        <v>20190312164443689</v>
      </c>
      <c r="B318" t="str">
        <f>"1552380283682235"</f>
        <v>1552380283682235</v>
      </c>
      <c r="C318" t="s">
        <v>40</v>
      </c>
      <c r="D318">
        <v>4.8398159999999999</v>
      </c>
      <c r="E318">
        <v>0.49029889999999998</v>
      </c>
      <c r="F318" t="s">
        <v>42</v>
      </c>
      <c r="G318">
        <v>-366.02339999999998</v>
      </c>
      <c r="H318" s="1">
        <v>-2.1723770000000002E-6</v>
      </c>
      <c r="I318">
        <v>366.88709999999998</v>
      </c>
      <c r="J318">
        <v>-396.08940000000001</v>
      </c>
      <c r="K318">
        <v>1.076122</v>
      </c>
      <c r="L318">
        <v>367.86430000000001</v>
      </c>
      <c r="M318">
        <v>0.99985199999999996</v>
      </c>
      <c r="N318">
        <v>0</v>
      </c>
      <c r="O318">
        <v>-1.7025539999999999E-2</v>
      </c>
      <c r="P318">
        <v>0.98820019999999997</v>
      </c>
      <c r="Q318">
        <v>0.139642299999999</v>
      </c>
      <c r="R318">
        <v>-6.2934669999999998E-2</v>
      </c>
      <c r="S318">
        <v>3.044098</v>
      </c>
      <c r="T318">
        <v>-0.1068568</v>
      </c>
      <c r="U318">
        <v>-9.817505E-2</v>
      </c>
      <c r="V318">
        <v>4.6064300000000002E-2</v>
      </c>
      <c r="W318">
        <v>0.14215439999999999</v>
      </c>
      <c r="X318">
        <v>0.98877210000000004</v>
      </c>
      <c r="Y318">
        <v>1.5213890000000001E-2</v>
      </c>
      <c r="Z318">
        <v>3.3037220000000001E-4</v>
      </c>
      <c r="AA318">
        <v>0.9998842</v>
      </c>
      <c r="AB318">
        <v>47</v>
      </c>
      <c r="AC318">
        <v>30.065999999999999</v>
      </c>
      <c r="AD318">
        <v>-1.0761241723770001</v>
      </c>
      <c r="AE318">
        <v>-0.97720000000003804</v>
      </c>
      <c r="AF318">
        <v>0.46457238709026799</v>
      </c>
      <c r="AG318">
        <v>-1.0761241723770001</v>
      </c>
      <c r="AH318">
        <v>30.039836887165599</v>
      </c>
      <c r="AI318">
        <v>92.051397820926397</v>
      </c>
      <c r="AJ318">
        <v>89.113979368122003</v>
      </c>
      <c r="AK318">
        <v>30.062695669961801</v>
      </c>
      <c r="AL318">
        <v>81.827468916219601</v>
      </c>
      <c r="AM318">
        <v>87.332668433108395</v>
      </c>
      <c r="AN318">
        <v>1.00000002945612</v>
      </c>
    </row>
    <row r="319" spans="1:40" x14ac:dyDescent="0.25">
      <c r="A319" t="str">
        <f>"20190312164443712"</f>
        <v>20190312164443712</v>
      </c>
      <c r="B319" t="str">
        <f>"1552380283701758"</f>
        <v>1552380283701758</v>
      </c>
      <c r="C319" t="s">
        <v>40</v>
      </c>
      <c r="D319">
        <v>4.7409910000000002</v>
      </c>
      <c r="E319">
        <v>0.48988009999999899</v>
      </c>
      <c r="F319" t="s">
        <v>42</v>
      </c>
      <c r="G319">
        <v>-364.19889999999998</v>
      </c>
      <c r="H319" s="1">
        <v>-2.9554600000000001E-6</v>
      </c>
      <c r="I319">
        <v>366.88510000000002</v>
      </c>
      <c r="J319">
        <v>-395.58980000000003</v>
      </c>
      <c r="K319">
        <v>1.0795220000000001</v>
      </c>
      <c r="L319">
        <v>367.85579999999999</v>
      </c>
      <c r="M319">
        <v>0.99985550000000001</v>
      </c>
      <c r="N319">
        <v>0</v>
      </c>
      <c r="O319">
        <v>-1.691024E-2</v>
      </c>
      <c r="P319">
        <v>0.98812659999999997</v>
      </c>
      <c r="Q319">
        <v>0.1401239</v>
      </c>
      <c r="R319">
        <v>-6.3018370000000004E-2</v>
      </c>
      <c r="S319">
        <v>3.0444339999999999</v>
      </c>
      <c r="T319">
        <v>-0.1027323</v>
      </c>
      <c r="U319">
        <v>-9.3475340000000004E-2</v>
      </c>
      <c r="V319">
        <v>4.625816E-2</v>
      </c>
      <c r="W319">
        <v>0.1418712</v>
      </c>
      <c r="X319">
        <v>0.98880369999999995</v>
      </c>
      <c r="Y319">
        <v>1.3784319999999999E-2</v>
      </c>
      <c r="Z319">
        <v>3.3782099999999998E-4</v>
      </c>
      <c r="AA319">
        <v>0.99990489999999999</v>
      </c>
      <c r="AB319">
        <v>48</v>
      </c>
      <c r="AC319">
        <v>31.390899999999998</v>
      </c>
      <c r="AD319">
        <v>-1.0795249554599999</v>
      </c>
      <c r="AE319">
        <v>-0.97069999999996504</v>
      </c>
      <c r="AF319">
        <v>0.43921380377622599</v>
      </c>
      <c r="AG319">
        <v>-1.0795249554599999</v>
      </c>
      <c r="AH319">
        <v>31.3657668251908</v>
      </c>
      <c r="AI319">
        <v>91.970994783329502</v>
      </c>
      <c r="AJ319">
        <v>89.197741512990405</v>
      </c>
      <c r="AK319">
        <v>31.387411671355199</v>
      </c>
      <c r="AL319">
        <v>81.843861026402806</v>
      </c>
      <c r="AM319">
        <v>87.321544850924198</v>
      </c>
      <c r="AN319">
        <v>1.0000000059448499</v>
      </c>
    </row>
    <row r="320" spans="1:40" x14ac:dyDescent="0.25">
      <c r="A320" t="str">
        <f>"20190312164443724"</f>
        <v>20190312164443724</v>
      </c>
      <c r="B320" t="str">
        <f>"1552380283712491"</f>
        <v>1552380283712491</v>
      </c>
      <c r="C320" t="s">
        <v>40</v>
      </c>
      <c r="D320">
        <v>4.7944250000000004</v>
      </c>
      <c r="E320">
        <v>0.48990509999999898</v>
      </c>
      <c r="F320" t="s">
        <v>42</v>
      </c>
      <c r="G320">
        <v>-363.7971</v>
      </c>
      <c r="H320" s="1">
        <v>-3.122708E-6</v>
      </c>
      <c r="I320">
        <v>366.91379999999998</v>
      </c>
      <c r="J320">
        <v>-395.3186</v>
      </c>
      <c r="K320">
        <v>1.081356</v>
      </c>
      <c r="L320">
        <v>367.85120000000001</v>
      </c>
      <c r="M320">
        <v>0.99985690000000005</v>
      </c>
      <c r="N320">
        <v>0</v>
      </c>
      <c r="O320">
        <v>-1.6853569999999998E-2</v>
      </c>
      <c r="P320">
        <v>0.9880911</v>
      </c>
      <c r="Q320">
        <v>0.1403876</v>
      </c>
      <c r="R320">
        <v>-6.2988829999999996E-2</v>
      </c>
      <c r="S320">
        <v>3.0449220000000001</v>
      </c>
      <c r="T320">
        <v>-0.1033906</v>
      </c>
      <c r="U320">
        <v>-9.0209960000000006E-2</v>
      </c>
      <c r="V320">
        <v>4.6282999999999998E-2</v>
      </c>
      <c r="W320">
        <v>0.1419089</v>
      </c>
      <c r="X320">
        <v>0.98879709999999998</v>
      </c>
      <c r="Y320">
        <v>1.276532E-2</v>
      </c>
      <c r="Z320">
        <v>3.5530499999999999E-4</v>
      </c>
      <c r="AA320">
        <v>0.99991850000000004</v>
      </c>
      <c r="AB320">
        <v>48</v>
      </c>
      <c r="AC320">
        <v>31.5215</v>
      </c>
      <c r="AD320">
        <v>-1.0813591227079999</v>
      </c>
      <c r="AE320">
        <v>-0.93740000000002499</v>
      </c>
      <c r="AF320">
        <v>0.40553964192193798</v>
      </c>
      <c r="AG320">
        <v>-1.0813591227079999</v>
      </c>
      <c r="AH320">
        <v>31.4957880017589</v>
      </c>
      <c r="AI320">
        <v>91.966226625601095</v>
      </c>
      <c r="AJ320">
        <v>89.262300535514598</v>
      </c>
      <c r="AK320">
        <v>31.516955148065499</v>
      </c>
      <c r="AL320">
        <v>81.841678672067601</v>
      </c>
      <c r="AM320">
        <v>87.320090791730706</v>
      </c>
      <c r="AN320">
        <v>0.99999997847830902</v>
      </c>
    </row>
    <row r="321" spans="1:40" x14ac:dyDescent="0.25">
      <c r="A321" t="str">
        <f>"20190312164443743"</f>
        <v>20190312164443743</v>
      </c>
      <c r="B321" t="str">
        <f>"1552380283732010"</f>
        <v>1552380283732010</v>
      </c>
      <c r="C321" t="s">
        <v>40</v>
      </c>
      <c r="D321">
        <v>4.6064660000000002</v>
      </c>
      <c r="E321">
        <v>0.49013760000000001</v>
      </c>
      <c r="F321" t="s">
        <v>42</v>
      </c>
      <c r="G321">
        <v>-364.36219999999997</v>
      </c>
      <c r="H321" s="1">
        <v>-2.8763100000000002E-6</v>
      </c>
      <c r="I321">
        <v>366.93639999999999</v>
      </c>
      <c r="J321">
        <v>-394.90719999999999</v>
      </c>
      <c r="K321">
        <v>1.084047</v>
      </c>
      <c r="L321">
        <v>367.84429999999998</v>
      </c>
      <c r="M321">
        <v>0.99985860000000004</v>
      </c>
      <c r="N321">
        <v>0</v>
      </c>
      <c r="O321">
        <v>-1.6770739999999999E-2</v>
      </c>
      <c r="P321">
        <v>0.98808050000000003</v>
      </c>
      <c r="Q321">
        <v>0.14042389999999999</v>
      </c>
      <c r="R321">
        <v>-6.3074080000000005E-2</v>
      </c>
      <c r="S321">
        <v>3.0455320000000001</v>
      </c>
      <c r="T321">
        <v>-0.10638499999999999</v>
      </c>
      <c r="U321">
        <v>-8.9996339999999994E-2</v>
      </c>
      <c r="V321">
        <v>4.6448099999999999E-2</v>
      </c>
      <c r="W321">
        <v>0.14178569999999999</v>
      </c>
      <c r="X321">
        <v>0.98880699999999999</v>
      </c>
      <c r="Y321">
        <v>1.2772230000000001E-2</v>
      </c>
      <c r="Z321">
        <v>3.6250440000000001E-4</v>
      </c>
      <c r="AA321">
        <v>0.99991830000000004</v>
      </c>
      <c r="AB321">
        <v>48</v>
      </c>
      <c r="AC321">
        <v>30.545000000000002</v>
      </c>
      <c r="AD321">
        <v>-1.0840498763099999</v>
      </c>
      <c r="AE321">
        <v>-0.90789999999998305</v>
      </c>
      <c r="AF321">
        <v>0.39501256850434302</v>
      </c>
      <c r="AG321">
        <v>-1.0840498763099999</v>
      </c>
      <c r="AH321">
        <v>30.517525676615399</v>
      </c>
      <c r="AI321">
        <v>92.034246895851297</v>
      </c>
      <c r="AJ321">
        <v>89.258416641292698</v>
      </c>
      <c r="AK321">
        <v>30.539328291343999</v>
      </c>
      <c r="AL321">
        <v>81.8488093579777</v>
      </c>
      <c r="AM321">
        <v>87.310571959823804</v>
      </c>
      <c r="AN321">
        <v>0.99999994698354799</v>
      </c>
    </row>
    <row r="322" spans="1:40" x14ac:dyDescent="0.25">
      <c r="A322" t="str">
        <f>"20190312164443755"</f>
        <v>20190312164443755</v>
      </c>
      <c r="B322" t="str">
        <f>"1552380283752507"</f>
        <v>1552380283752507</v>
      </c>
      <c r="C322" t="s">
        <v>40</v>
      </c>
      <c r="D322">
        <v>4.6734080000000002</v>
      </c>
      <c r="E322">
        <v>0.49015110000000001</v>
      </c>
      <c r="F322" t="s">
        <v>42</v>
      </c>
      <c r="G322">
        <v>-364.39949999999999</v>
      </c>
      <c r="H322" s="1">
        <v>-2.8628910000000001E-6</v>
      </c>
      <c r="I322">
        <v>366.92169999999999</v>
      </c>
      <c r="J322">
        <v>-394.65379999999999</v>
      </c>
      <c r="K322">
        <v>1.0856330000000001</v>
      </c>
      <c r="L322">
        <v>367.84010000000001</v>
      </c>
      <c r="M322">
        <v>0.99985930000000001</v>
      </c>
      <c r="N322">
        <v>0</v>
      </c>
      <c r="O322">
        <v>-1.6719589999999999E-2</v>
      </c>
      <c r="P322">
        <v>0.98807590000000001</v>
      </c>
      <c r="Q322">
        <v>0.14049059999999999</v>
      </c>
      <c r="R322">
        <v>-6.29966E-2</v>
      </c>
      <c r="S322">
        <v>3.0456850000000002</v>
      </c>
      <c r="T322">
        <v>-0.10822420000000001</v>
      </c>
      <c r="U322">
        <v>-9.2102050000000005E-2</v>
      </c>
      <c r="V322">
        <v>4.6420900000000001E-2</v>
      </c>
      <c r="W322">
        <v>0.14183299999999999</v>
      </c>
      <c r="X322">
        <v>0.9888015</v>
      </c>
      <c r="Y322">
        <v>1.351219E-2</v>
      </c>
      <c r="Z322">
        <v>3.5378869999999998E-4</v>
      </c>
      <c r="AA322">
        <v>0.99990860000000004</v>
      </c>
      <c r="AB322">
        <v>48</v>
      </c>
      <c r="AC322">
        <v>30.254300000000001</v>
      </c>
      <c r="AD322">
        <v>-1.0856358628909999</v>
      </c>
      <c r="AE322">
        <v>-0.91840000000001898</v>
      </c>
      <c r="AF322">
        <v>0.41190177536692402</v>
      </c>
      <c r="AG322">
        <v>-1.0856358628909999</v>
      </c>
      <c r="AH322">
        <v>30.2265412245109</v>
      </c>
      <c r="AI322">
        <v>92.056797001966103</v>
      </c>
      <c r="AJ322">
        <v>89.219269831751902</v>
      </c>
      <c r="AK322">
        <v>30.248835724642401</v>
      </c>
      <c r="AL322">
        <v>81.846071650052096</v>
      </c>
      <c r="AM322">
        <v>87.312129649435093</v>
      </c>
      <c r="AN322">
        <v>0.99999995312402801</v>
      </c>
    </row>
    <row r="323" spans="1:40" x14ac:dyDescent="0.25">
      <c r="A323" t="str">
        <f>"20190312164443778"</f>
        <v>20190312164443778</v>
      </c>
      <c r="B323" t="str">
        <f>"1552380283772027"</f>
        <v>1552380283772027</v>
      </c>
      <c r="C323" t="s">
        <v>40</v>
      </c>
      <c r="D323">
        <v>4.5863239999999896</v>
      </c>
      <c r="E323">
        <v>0.48974459999999997</v>
      </c>
      <c r="F323" t="s">
        <v>42</v>
      </c>
      <c r="G323">
        <v>-364.48579999999998</v>
      </c>
      <c r="H323" s="1">
        <v>-2.8245039999999999E-6</v>
      </c>
      <c r="I323">
        <v>366.92930000000001</v>
      </c>
      <c r="J323">
        <v>-394.15120000000002</v>
      </c>
      <c r="K323">
        <v>1.088587</v>
      </c>
      <c r="L323">
        <v>367.83179999999999</v>
      </c>
      <c r="M323">
        <v>0.99986109999999995</v>
      </c>
      <c r="N323">
        <v>0</v>
      </c>
      <c r="O323">
        <v>-1.6617119999999999E-2</v>
      </c>
      <c r="P323">
        <v>0.9880892</v>
      </c>
      <c r="Q323">
        <v>0.14052609999999999</v>
      </c>
      <c r="R323">
        <v>-6.2708769999999997E-2</v>
      </c>
      <c r="S323">
        <v>3.0459290000000001</v>
      </c>
      <c r="T323">
        <v>-0.1096115</v>
      </c>
      <c r="U323">
        <v>-9.1949459999999997E-2</v>
      </c>
      <c r="V323">
        <v>4.6235560000000002E-2</v>
      </c>
      <c r="W323">
        <v>0.14194949999999901</v>
      </c>
      <c r="X323">
        <v>0.98879349999999999</v>
      </c>
      <c r="Y323">
        <v>1.356215E-2</v>
      </c>
      <c r="Z323">
        <v>3.5370950000000002E-4</v>
      </c>
      <c r="AA323">
        <v>0.99990800000000002</v>
      </c>
      <c r="AB323">
        <v>49</v>
      </c>
      <c r="AC323">
        <v>29.665400000000002</v>
      </c>
      <c r="AD323">
        <v>-1.088589824504</v>
      </c>
      <c r="AE323">
        <v>-0.90249999999997499</v>
      </c>
      <c r="AF323">
        <v>0.40887140545466499</v>
      </c>
      <c r="AG323">
        <v>-1.088589824504</v>
      </c>
      <c r="AH323">
        <v>29.636430387957098</v>
      </c>
      <c r="AI323">
        <v>92.103412822352396</v>
      </c>
      <c r="AJ323">
        <v>89.209583629073904</v>
      </c>
      <c r="AK323">
        <v>29.6592348143447</v>
      </c>
      <c r="AL323">
        <v>81.839328740628403</v>
      </c>
      <c r="AM323">
        <v>87.322823963043504</v>
      </c>
      <c r="AN323">
        <v>0.99999998660050604</v>
      </c>
    </row>
    <row r="324" spans="1:40" x14ac:dyDescent="0.25">
      <c r="A324" t="str">
        <f>"20190312164443789"</f>
        <v>20190312164443789</v>
      </c>
      <c r="B324" t="str">
        <f>"1552380283781786"</f>
        <v>1552380283781786</v>
      </c>
      <c r="C324" t="s">
        <v>40</v>
      </c>
      <c r="D324">
        <v>4.8751340000000001</v>
      </c>
      <c r="E324">
        <v>0.4898055</v>
      </c>
      <c r="F324" t="s">
        <v>42</v>
      </c>
      <c r="G324">
        <v>-364.97840000000002</v>
      </c>
      <c r="H324" s="1">
        <v>-2.6023539999999999E-6</v>
      </c>
      <c r="I324">
        <v>366.99040000000002</v>
      </c>
      <c r="J324">
        <v>-393.89949999999999</v>
      </c>
      <c r="K324">
        <v>1.089982</v>
      </c>
      <c r="L324">
        <v>367.82760000000002</v>
      </c>
      <c r="M324">
        <v>0.99986169999999996</v>
      </c>
      <c r="N324">
        <v>0</v>
      </c>
      <c r="O324">
        <v>-1.656531E-2</v>
      </c>
      <c r="P324">
        <v>0.98812639999999996</v>
      </c>
      <c r="Q324">
        <v>0.14032069999999999</v>
      </c>
      <c r="R324">
        <v>-6.2581899999999996E-2</v>
      </c>
      <c r="S324">
        <v>3.0467219999999999</v>
      </c>
      <c r="T324">
        <v>-0.1136889</v>
      </c>
      <c r="U324">
        <v>-8.7860110000000005E-2</v>
      </c>
      <c r="V324">
        <v>4.6160449999999999E-2</v>
      </c>
      <c r="W324">
        <v>0.14181779999999999</v>
      </c>
      <c r="X324">
        <v>0.98881589999999997</v>
      </c>
      <c r="Y324">
        <v>1.226619E-2</v>
      </c>
      <c r="Z324">
        <v>3.890063E-4</v>
      </c>
      <c r="AA324">
        <v>0.9999247</v>
      </c>
      <c r="AB324">
        <v>49</v>
      </c>
      <c r="AC324">
        <v>28.9210999999999</v>
      </c>
      <c r="AD324">
        <v>-1.0899846023540001</v>
      </c>
      <c r="AE324">
        <v>-0.83719999999999495</v>
      </c>
      <c r="AF324">
        <v>0.35749026232904701</v>
      </c>
      <c r="AG324">
        <v>-1.0899846023540001</v>
      </c>
      <c r="AH324">
        <v>28.889999060156899</v>
      </c>
      <c r="AI324">
        <v>92.160510154459999</v>
      </c>
      <c r="AJ324">
        <v>89.291047470711007</v>
      </c>
      <c r="AK324">
        <v>28.9127638149122</v>
      </c>
      <c r="AL324">
        <v>81.846951658233294</v>
      </c>
      <c r="AM324">
        <v>87.3272272035979</v>
      </c>
      <c r="AN324">
        <v>0.99999997981692501</v>
      </c>
    </row>
    <row r="325" spans="1:40" x14ac:dyDescent="0.25">
      <c r="A325" t="str">
        <f>"20190312164443802"</f>
        <v>20190312164443802</v>
      </c>
      <c r="B325" t="str">
        <f>"1552380283792523"</f>
        <v>1552380283792523</v>
      </c>
      <c r="C325" t="s">
        <v>40</v>
      </c>
      <c r="D325">
        <v>4.5746900000000004</v>
      </c>
      <c r="E325">
        <v>0.48981269999999999</v>
      </c>
      <c r="F325" t="s">
        <v>42</v>
      </c>
      <c r="G325">
        <v>-364.59370000000001</v>
      </c>
      <c r="H325" s="1">
        <v>-2.7686130000000002E-6</v>
      </c>
      <c r="I325">
        <v>366.98360000000002</v>
      </c>
      <c r="J325">
        <v>-393.62869999999998</v>
      </c>
      <c r="K325">
        <v>1.0913539999999999</v>
      </c>
      <c r="L325">
        <v>367.82319999999999</v>
      </c>
      <c r="M325">
        <v>0.99986249999999999</v>
      </c>
      <c r="N325">
        <v>0</v>
      </c>
      <c r="O325">
        <v>-1.6511029999999999E-2</v>
      </c>
      <c r="P325">
        <v>0.98814930000000001</v>
      </c>
      <c r="Q325">
        <v>0.1402369</v>
      </c>
      <c r="R325">
        <v>-6.2407020000000001E-2</v>
      </c>
      <c r="S325">
        <v>3.0466000000000002</v>
      </c>
      <c r="T325">
        <v>-0.11331330000000001</v>
      </c>
      <c r="U325">
        <v>-8.7738040000000003E-2</v>
      </c>
      <c r="V325">
        <v>4.6040959999999999E-2</v>
      </c>
      <c r="W325">
        <v>0.14184479999999999</v>
      </c>
      <c r="X325">
        <v>0.98881759999999996</v>
      </c>
      <c r="Y325">
        <v>1.2281520000000001E-2</v>
      </c>
      <c r="Z325">
        <v>3.8543540000000003E-4</v>
      </c>
      <c r="AA325">
        <v>0.99992449999999999</v>
      </c>
      <c r="AB325">
        <v>49</v>
      </c>
      <c r="AC325">
        <v>29.034999999999901</v>
      </c>
      <c r="AD325">
        <v>-1.0913567686129999</v>
      </c>
      <c r="AE325">
        <v>-0.83959999999996104</v>
      </c>
      <c r="AF325">
        <v>0.35957962476485</v>
      </c>
      <c r="AG325">
        <v>-1.0913567686129999</v>
      </c>
      <c r="AH325">
        <v>29.003961299432099</v>
      </c>
      <c r="AI325">
        <v>92.1547350675324</v>
      </c>
      <c r="AJ325">
        <v>89.289706007769098</v>
      </c>
      <c r="AK325">
        <v>29.026714043479</v>
      </c>
      <c r="AL325">
        <v>81.845388888995103</v>
      </c>
      <c r="AM325">
        <v>87.334140471445096</v>
      </c>
      <c r="AN325">
        <v>0.99999998167726001</v>
      </c>
    </row>
    <row r="326" spans="1:40" x14ac:dyDescent="0.25">
      <c r="A326" t="str">
        <f>"20190312164443815"</f>
        <v>20190312164443815</v>
      </c>
      <c r="B326" t="str">
        <f>"1552380283812042"</f>
        <v>1552380283812042</v>
      </c>
      <c r="C326" t="s">
        <v>40</v>
      </c>
      <c r="D326">
        <v>4.7406430000000004</v>
      </c>
      <c r="E326">
        <v>0.48986750000000001</v>
      </c>
      <c r="F326" t="s">
        <v>42</v>
      </c>
      <c r="G326">
        <v>-364.39609999999999</v>
      </c>
      <c r="H326" s="1">
        <v>-2.853023E-6</v>
      </c>
      <c r="I326">
        <v>366.98559999999998</v>
      </c>
      <c r="J326">
        <v>-393.34620000000001</v>
      </c>
      <c r="K326">
        <v>1.092714</v>
      </c>
      <c r="L326">
        <v>367.81849999999997</v>
      </c>
      <c r="M326">
        <v>0.9998631</v>
      </c>
      <c r="N326">
        <v>0</v>
      </c>
      <c r="O326">
        <v>-1.64557E-2</v>
      </c>
      <c r="P326">
        <v>0.98818459999999997</v>
      </c>
      <c r="Q326">
        <v>0.14005190000000001</v>
      </c>
      <c r="R326">
        <v>-6.2264460000000001E-2</v>
      </c>
      <c r="S326">
        <v>3.0466000000000002</v>
      </c>
      <c r="T326">
        <v>-0.11373999999999999</v>
      </c>
      <c r="U326">
        <v>-8.7280269999999993E-2</v>
      </c>
      <c r="V326">
        <v>4.5954729999999999E-2</v>
      </c>
      <c r="W326">
        <v>0.1417872</v>
      </c>
      <c r="X326">
        <v>0.98882990000000004</v>
      </c>
      <c r="Y326">
        <v>1.2186789999999999E-2</v>
      </c>
      <c r="Z326">
        <v>3.865901E-4</v>
      </c>
      <c r="AA326">
        <v>0.99992570000000003</v>
      </c>
      <c r="AB326">
        <v>49</v>
      </c>
      <c r="AC326">
        <v>28.950099999999999</v>
      </c>
      <c r="AD326">
        <v>-1.092716853023</v>
      </c>
      <c r="AE326">
        <v>-0.83289999999999498</v>
      </c>
      <c r="AF326">
        <v>0.35588574700703102</v>
      </c>
      <c r="AG326">
        <v>-1.092716853023</v>
      </c>
      <c r="AH326">
        <v>28.918720354446901</v>
      </c>
      <c r="AI326">
        <v>92.163773445724502</v>
      </c>
      <c r="AJ326">
        <v>89.294930005281799</v>
      </c>
      <c r="AK326">
        <v>28.9415457728938</v>
      </c>
      <c r="AL326">
        <v>81.848723047881194</v>
      </c>
      <c r="AM326">
        <v>87.339159221438095</v>
      </c>
      <c r="AN326">
        <v>1.0000000092136101</v>
      </c>
    </row>
    <row r="327" spans="1:40" x14ac:dyDescent="0.25">
      <c r="A327" t="str">
        <f>"20190312164443834"</f>
        <v>20190312164443834</v>
      </c>
      <c r="B327" t="str">
        <f>"1552380283821803"</f>
        <v>1552380283821803</v>
      </c>
      <c r="C327" t="s">
        <v>40</v>
      </c>
      <c r="D327">
        <v>4.718153</v>
      </c>
      <c r="E327">
        <v>0.48988199999999998</v>
      </c>
      <c r="F327" t="s">
        <v>42</v>
      </c>
      <c r="G327">
        <v>-364.29730000000001</v>
      </c>
      <c r="H327" s="1">
        <v>-2.894845E-6</v>
      </c>
      <c r="I327">
        <v>366.98880000000003</v>
      </c>
      <c r="J327">
        <v>-392.92860000000002</v>
      </c>
      <c r="K327">
        <v>1.094562</v>
      </c>
      <c r="L327">
        <v>367.8116</v>
      </c>
      <c r="M327">
        <v>0.99986399999999998</v>
      </c>
      <c r="N327">
        <v>0</v>
      </c>
      <c r="O327">
        <v>-1.6379589999999999E-2</v>
      </c>
      <c r="P327">
        <v>0.98826250000000004</v>
      </c>
      <c r="Q327">
        <v>0.13965050000000001</v>
      </c>
      <c r="R327">
        <v>-6.192831E-2</v>
      </c>
      <c r="S327">
        <v>3.0466000000000002</v>
      </c>
      <c r="T327">
        <v>-0.114602</v>
      </c>
      <c r="U327">
        <v>-8.7005620000000006E-2</v>
      </c>
      <c r="V327">
        <v>4.5696340000000002E-2</v>
      </c>
      <c r="W327">
        <v>0.1415979</v>
      </c>
      <c r="X327">
        <v>0.988869</v>
      </c>
      <c r="Y327">
        <v>1.2172820000000001E-2</v>
      </c>
      <c r="Z327">
        <v>3.8692050000000002E-4</v>
      </c>
      <c r="AA327">
        <v>0.99992590000000003</v>
      </c>
      <c r="AB327">
        <v>49</v>
      </c>
      <c r="AC327">
        <v>28.6313</v>
      </c>
      <c r="AD327">
        <v>-1.094564894845</v>
      </c>
      <c r="AE327">
        <v>-0.822799999999972</v>
      </c>
      <c r="AF327">
        <v>0.35320401257525103</v>
      </c>
      <c r="AG327">
        <v>-1.094564894845</v>
      </c>
      <c r="AH327">
        <v>28.599172720117501</v>
      </c>
      <c r="AI327">
        <v>92.191622120854404</v>
      </c>
      <c r="AJ327">
        <v>89.292424622760706</v>
      </c>
      <c r="AK327">
        <v>28.622290363607199</v>
      </c>
      <c r="AL327">
        <v>81.859679689668894</v>
      </c>
      <c r="AM327">
        <v>87.354203499855501</v>
      </c>
      <c r="AN327">
        <v>1.0000000099674</v>
      </c>
    </row>
    <row r="328" spans="1:40" x14ac:dyDescent="0.25">
      <c r="A328" t="str">
        <f>"20190312164443856"</f>
        <v>20190312164443856</v>
      </c>
      <c r="B328" t="str">
        <f>"1552380283852059"</f>
        <v>1552380283852059</v>
      </c>
      <c r="C328" t="s">
        <v>40</v>
      </c>
      <c r="D328">
        <v>4.6086090000000004</v>
      </c>
      <c r="E328">
        <v>0.48977989999999999</v>
      </c>
      <c r="F328" t="s">
        <v>42</v>
      </c>
      <c r="G328">
        <v>-364.02850000000001</v>
      </c>
      <c r="H328" s="1">
        <v>-3.0086240000000001E-6</v>
      </c>
      <c r="I328">
        <v>366.9975</v>
      </c>
      <c r="J328">
        <v>-392.44150000000002</v>
      </c>
      <c r="K328">
        <v>1.096457</v>
      </c>
      <c r="L328">
        <v>367.80360000000002</v>
      </c>
      <c r="M328">
        <v>0.99986459999999999</v>
      </c>
      <c r="N328">
        <v>0</v>
      </c>
      <c r="O328">
        <v>-1.63043999999999E-2</v>
      </c>
      <c r="P328">
        <v>0.9883653</v>
      </c>
      <c r="Q328">
        <v>0.13903499999999999</v>
      </c>
      <c r="R328">
        <v>-6.167475E-2</v>
      </c>
      <c r="S328">
        <v>3.04657</v>
      </c>
      <c r="T328">
        <v>-0.1153854</v>
      </c>
      <c r="U328">
        <v>-8.5815429999999998E-2</v>
      </c>
      <c r="V328">
        <v>4.5519579999999997E-2</v>
      </c>
      <c r="W328">
        <v>0.14125190000000001</v>
      </c>
      <c r="X328">
        <v>0.98892659999999999</v>
      </c>
      <c r="Y328">
        <v>1.1858179999999999E-2</v>
      </c>
      <c r="Z328">
        <v>3.9268030000000001E-4</v>
      </c>
      <c r="AA328">
        <v>0.99992959999999997</v>
      </c>
      <c r="AB328">
        <v>49</v>
      </c>
      <c r="AC328">
        <v>28.413</v>
      </c>
      <c r="AD328">
        <v>-1.0964600086239999</v>
      </c>
      <c r="AE328">
        <v>-0.80610000000001403</v>
      </c>
      <c r="AF328">
        <v>0.342225554306757</v>
      </c>
      <c r="AG328">
        <v>-1.0964600086239999</v>
      </c>
      <c r="AH328">
        <v>28.380136625285701</v>
      </c>
      <c r="AI328">
        <v>92.212348101571493</v>
      </c>
      <c r="AJ328">
        <v>89.309124905285401</v>
      </c>
      <c r="AK328">
        <v>28.403371239175399</v>
      </c>
      <c r="AL328">
        <v>81.879705027714607</v>
      </c>
      <c r="AM328">
        <v>87.3645766542638</v>
      </c>
      <c r="AN328">
        <v>0.99999997580227196</v>
      </c>
    </row>
    <row r="329" spans="1:40" x14ac:dyDescent="0.25">
      <c r="A329" t="str">
        <f>"20190312164443869"</f>
        <v>20190312164443869</v>
      </c>
      <c r="B329" t="str">
        <f>"1552380283861819"</f>
        <v>1552380283861819</v>
      </c>
      <c r="C329" t="s">
        <v>40</v>
      </c>
      <c r="D329">
        <v>4.6609389999999999</v>
      </c>
      <c r="E329">
        <v>0.48948789999999998</v>
      </c>
      <c r="F329" t="s">
        <v>42</v>
      </c>
      <c r="G329">
        <v>-365.67700000000002</v>
      </c>
      <c r="H329" s="1">
        <v>-2.2884439999999999E-6</v>
      </c>
      <c r="I329">
        <v>367.07060000000001</v>
      </c>
      <c r="J329">
        <v>-392.14580000000001</v>
      </c>
      <c r="K329">
        <v>1.0975060000000001</v>
      </c>
      <c r="L329">
        <v>367.79880000000003</v>
      </c>
      <c r="M329">
        <v>0.99986489999999995</v>
      </c>
      <c r="N329">
        <v>0</v>
      </c>
      <c r="O329">
        <v>-1.626466E-2</v>
      </c>
      <c r="P329">
        <v>0.98840249999999996</v>
      </c>
      <c r="Q329">
        <v>0.13874040000000001</v>
      </c>
      <c r="R329">
        <v>-6.1740929999999999E-2</v>
      </c>
      <c r="S329">
        <v>3.0476679999999998</v>
      </c>
      <c r="T329">
        <v>-0.1248533</v>
      </c>
      <c r="U329">
        <v>-8.3465579999999998E-2</v>
      </c>
      <c r="V329">
        <v>4.5627170000000002E-2</v>
      </c>
      <c r="W329">
        <v>0.141125799999999</v>
      </c>
      <c r="X329">
        <v>0.98893960000000003</v>
      </c>
      <c r="Y329">
        <v>1.111851E-2</v>
      </c>
      <c r="Z329">
        <v>4.3824329999999999E-4</v>
      </c>
      <c r="AA329">
        <v>0.99993810000000005</v>
      </c>
      <c r="AB329">
        <v>49</v>
      </c>
      <c r="AC329">
        <v>26.468800000000002</v>
      </c>
      <c r="AD329">
        <v>-1.0975082884439999</v>
      </c>
      <c r="AE329">
        <v>-0.72820000000001495</v>
      </c>
      <c r="AF329">
        <v>0.29708603881274198</v>
      </c>
      <c r="AG329">
        <v>-1.0975082884439999</v>
      </c>
      <c r="AH329">
        <v>26.431733457000099</v>
      </c>
      <c r="AI329">
        <v>92.377540872921003</v>
      </c>
      <c r="AJ329">
        <v>89.356036959883895</v>
      </c>
      <c r="AK329">
        <v>26.4561773145623</v>
      </c>
      <c r="AL329">
        <v>81.887002769322805</v>
      </c>
      <c r="AM329">
        <v>87.358391061822303</v>
      </c>
      <c r="AN329">
        <v>0.99999993125800202</v>
      </c>
    </row>
    <row r="330" spans="1:40" x14ac:dyDescent="0.25">
      <c r="A330" t="str">
        <f>"20190312164443881"</f>
        <v>20190312164443881</v>
      </c>
      <c r="B330" t="str">
        <f>"1552380283872555"</f>
        <v>1552380283872555</v>
      </c>
      <c r="C330" t="s">
        <v>40</v>
      </c>
      <c r="D330">
        <v>4.5781349999999996</v>
      </c>
      <c r="E330">
        <v>0.48948789999999998</v>
      </c>
      <c r="F330" t="s">
        <v>42</v>
      </c>
      <c r="G330">
        <v>-365.82310000000001</v>
      </c>
      <c r="H330" s="1">
        <v>-2.221221E-6</v>
      </c>
      <c r="I330">
        <v>367.09609999999998</v>
      </c>
      <c r="J330">
        <v>-391.88139999999999</v>
      </c>
      <c r="K330">
        <v>1.0983339999999999</v>
      </c>
      <c r="L330">
        <v>367.79450000000003</v>
      </c>
      <c r="M330">
        <v>0.999865</v>
      </c>
      <c r="N330">
        <v>0</v>
      </c>
      <c r="O330">
        <v>-1.62366E-2</v>
      </c>
      <c r="P330">
        <v>0.98844829999999995</v>
      </c>
      <c r="Q330">
        <v>0.13844400000000001</v>
      </c>
      <c r="R330">
        <v>-6.1673270000000002E-2</v>
      </c>
      <c r="S330">
        <v>3.0479430000000001</v>
      </c>
      <c r="T330">
        <v>-0.12708159999999999</v>
      </c>
      <c r="U330">
        <v>-8.1359860000000006E-2</v>
      </c>
      <c r="V330">
        <v>4.5588549999999999E-2</v>
      </c>
      <c r="W330">
        <v>0.14098039999999901</v>
      </c>
      <c r="X330">
        <v>0.98896220000000001</v>
      </c>
      <c r="Y330">
        <v>1.04545E-2</v>
      </c>
      <c r="Z330">
        <v>4.5868869999999998E-4</v>
      </c>
      <c r="AA330">
        <v>0.99994519999999998</v>
      </c>
      <c r="AB330">
        <v>49</v>
      </c>
      <c r="AC330">
        <v>26.0582999999999</v>
      </c>
      <c r="AD330">
        <v>-1.0983362212209999</v>
      </c>
      <c r="AE330">
        <v>-0.69840000000004898</v>
      </c>
      <c r="AF330">
        <v>0.27472069078081601</v>
      </c>
      <c r="AG330">
        <v>-1.0983362212209999</v>
      </c>
      <c r="AH330">
        <v>26.020011811900201</v>
      </c>
      <c r="AI330">
        <v>92.416954819769899</v>
      </c>
      <c r="AJ330">
        <v>89.395090540004603</v>
      </c>
      <c r="AK330">
        <v>26.044631473764799</v>
      </c>
      <c r="AL330">
        <v>81.895418359596405</v>
      </c>
      <c r="AM330">
        <v>87.360684054172395</v>
      </c>
      <c r="AN330">
        <v>1.0000000110520499</v>
      </c>
    </row>
    <row r="331" spans="1:40" x14ac:dyDescent="0.25">
      <c r="A331" t="str">
        <f>"20190312164443901"</f>
        <v>20190312164443901</v>
      </c>
      <c r="B331" t="str">
        <f>"1552380283892074"</f>
        <v>1552380283892074</v>
      </c>
      <c r="C331" t="s">
        <v>40</v>
      </c>
      <c r="D331">
        <v>4.7765329999999997</v>
      </c>
      <c r="E331">
        <v>0.47227049999999998</v>
      </c>
      <c r="F331" t="s">
        <v>42</v>
      </c>
      <c r="G331">
        <v>-365.7244</v>
      </c>
      <c r="H331" s="1">
        <v>-2.263192E-6</v>
      </c>
      <c r="I331">
        <v>367.09829999999999</v>
      </c>
      <c r="J331">
        <v>-391.44170000000003</v>
      </c>
      <c r="K331">
        <v>1.099596</v>
      </c>
      <c r="L331">
        <v>367.78739999999999</v>
      </c>
      <c r="M331">
        <v>0.999865</v>
      </c>
      <c r="N331">
        <v>0</v>
      </c>
      <c r="O331">
        <v>-1.6197719999999999E-2</v>
      </c>
      <c r="P331">
        <v>0.98852240000000002</v>
      </c>
      <c r="Q331">
        <v>0.1378472</v>
      </c>
      <c r="R331">
        <v>-6.1821679999999997E-2</v>
      </c>
      <c r="S331">
        <v>3.0479430000000001</v>
      </c>
      <c r="T331">
        <v>-0.12798309999999999</v>
      </c>
      <c r="U331">
        <v>-8.1115720000000002E-2</v>
      </c>
      <c r="V331">
        <v>4.5777610000000003E-2</v>
      </c>
      <c r="W331">
        <v>0.14063200000000001</v>
      </c>
      <c r="X331">
        <v>0.98900310000000002</v>
      </c>
      <c r="Y331">
        <v>1.04134E-2</v>
      </c>
      <c r="Z331">
        <v>4.6117160000000001E-4</v>
      </c>
      <c r="AA331">
        <v>0.99994570000000005</v>
      </c>
      <c r="AB331">
        <v>49</v>
      </c>
      <c r="AC331">
        <v>25.717300000000002</v>
      </c>
      <c r="AD331">
        <v>-1.099598263192</v>
      </c>
      <c r="AE331">
        <v>-0.68909999999999605</v>
      </c>
      <c r="AF331">
        <v>0.27194957014934001</v>
      </c>
      <c r="AG331">
        <v>-1.099598263192</v>
      </c>
      <c r="AH331">
        <v>25.6781774939443</v>
      </c>
      <c r="AI331">
        <v>92.451900853828207</v>
      </c>
      <c r="AJ331">
        <v>89.393220952061398</v>
      </c>
      <c r="AK331">
        <v>25.7031490739875</v>
      </c>
      <c r="AL331">
        <v>81.915581325614795</v>
      </c>
      <c r="AM331">
        <v>87.349863580657498</v>
      </c>
      <c r="AN331">
        <v>1.0000000404054601</v>
      </c>
    </row>
    <row r="332" spans="1:40" x14ac:dyDescent="0.25">
      <c r="A332" t="str">
        <f>"20190312164443922"</f>
        <v>20190312164443922</v>
      </c>
      <c r="B332" t="str">
        <f>"1552380283912584"</f>
        <v>1552380283912584</v>
      </c>
      <c r="C332" t="s">
        <v>40</v>
      </c>
      <c r="D332">
        <v>4.7110050000000001</v>
      </c>
      <c r="E332">
        <v>0.47187020000000002</v>
      </c>
      <c r="F332" t="s">
        <v>42</v>
      </c>
      <c r="G332">
        <v>-373.71050000000002</v>
      </c>
      <c r="H332" s="1">
        <v>-2.9452359999999999E-6</v>
      </c>
      <c r="I332">
        <v>368.12380000000002</v>
      </c>
      <c r="J332">
        <v>-390.96640000000002</v>
      </c>
      <c r="K332">
        <v>1.1007800000000001</v>
      </c>
      <c r="L332">
        <v>367.77969999999999</v>
      </c>
      <c r="M332">
        <v>0.99986470000000005</v>
      </c>
      <c r="N332">
        <v>0</v>
      </c>
      <c r="O332">
        <v>-1.616735E-2</v>
      </c>
      <c r="P332">
        <v>0.98856900000000003</v>
      </c>
      <c r="Q332">
        <v>0.13757620000000001</v>
      </c>
      <c r="R332">
        <v>-6.1679270000000001E-2</v>
      </c>
      <c r="S332">
        <v>3.0650019999999998</v>
      </c>
      <c r="T332">
        <v>-0.19007550000000001</v>
      </c>
      <c r="U332">
        <v>5.8166500000000003E-2</v>
      </c>
      <c r="V332">
        <v>4.5667850000000003E-2</v>
      </c>
      <c r="W332">
        <v>0.14062069999999999</v>
      </c>
      <c r="X332">
        <v>0.98900969999999999</v>
      </c>
      <c r="Y332">
        <v>-3.503792E-2</v>
      </c>
      <c r="Z332">
        <v>2.0868689999999999E-3</v>
      </c>
      <c r="AA332">
        <v>0.99938380000000004</v>
      </c>
      <c r="AB332">
        <v>49</v>
      </c>
      <c r="AC332">
        <v>17.255899999999901</v>
      </c>
      <c r="AD332">
        <v>-1.1007829452359901</v>
      </c>
      <c r="AE332">
        <v>0.344100000000025</v>
      </c>
      <c r="AF332">
        <v>-0.62051437907495099</v>
      </c>
      <c r="AG332">
        <v>-1.1007829452359901</v>
      </c>
      <c r="AH332">
        <v>17.178204578714801</v>
      </c>
      <c r="AI332">
        <v>93.664129255677295</v>
      </c>
      <c r="AJ332">
        <v>92.068749601181807</v>
      </c>
      <c r="AK332">
        <v>17.224618246432598</v>
      </c>
      <c r="AL332">
        <v>81.916234613926804</v>
      </c>
      <c r="AM332">
        <v>87.356226347811898</v>
      </c>
      <c r="AN332">
        <v>0.99999996024310001</v>
      </c>
    </row>
    <row r="333" spans="1:40" x14ac:dyDescent="0.25">
      <c r="A333" t="str">
        <f>"20190312164443934"</f>
        <v>20190312164443934</v>
      </c>
      <c r="B333" t="str">
        <f>"1552380283922331"</f>
        <v>1552380283922331</v>
      </c>
      <c r="C333" t="s">
        <v>40</v>
      </c>
      <c r="D333">
        <v>4.7105290000000002</v>
      </c>
      <c r="E333">
        <v>0.47205809999999998</v>
      </c>
      <c r="F333" t="s">
        <v>42</v>
      </c>
      <c r="G333">
        <v>-373.94349999999997</v>
      </c>
      <c r="H333" s="1">
        <v>-2.8451390000000001E-6</v>
      </c>
      <c r="I333">
        <v>368.12470000000002</v>
      </c>
      <c r="J333">
        <v>-390.71780000000001</v>
      </c>
      <c r="K333">
        <v>1.101335</v>
      </c>
      <c r="L333">
        <v>367.7756</v>
      </c>
      <c r="M333">
        <v>0.99986450000000004</v>
      </c>
      <c r="N333">
        <v>0</v>
      </c>
      <c r="O333">
        <v>-1.6155289999999999E-2</v>
      </c>
      <c r="P333">
        <v>0.98861509999999997</v>
      </c>
      <c r="Q333">
        <v>0.13732529999999901</v>
      </c>
      <c r="R333">
        <v>-6.1498200000000003E-2</v>
      </c>
      <c r="S333">
        <v>3.0661930000000002</v>
      </c>
      <c r="T333">
        <v>-0.19827339999999999</v>
      </c>
      <c r="U333">
        <v>6.216431E-2</v>
      </c>
      <c r="V333">
        <v>4.5499360000000003E-2</v>
      </c>
      <c r="W333">
        <v>0.1405013</v>
      </c>
      <c r="X333">
        <v>0.98903450000000004</v>
      </c>
      <c r="Y333">
        <v>-3.6309800000000003E-2</v>
      </c>
      <c r="Z333">
        <v>2.2161189999999999E-3</v>
      </c>
      <c r="AA333">
        <v>0.99933819999999995</v>
      </c>
      <c r="AB333">
        <v>50</v>
      </c>
      <c r="AC333">
        <v>16.7743</v>
      </c>
      <c r="AD333">
        <v>-1.1013378451389999</v>
      </c>
      <c r="AE333">
        <v>0.349100000000021</v>
      </c>
      <c r="AF333">
        <v>-0.61738921944851699</v>
      </c>
      <c r="AG333">
        <v>-1.1013378451389999</v>
      </c>
      <c r="AH333">
        <v>16.6945362755168</v>
      </c>
      <c r="AI333">
        <v>93.771760267339005</v>
      </c>
      <c r="AJ333">
        <v>92.1179194864403</v>
      </c>
      <c r="AK333">
        <v>16.7422117998779</v>
      </c>
      <c r="AL333">
        <v>81.9231448532868</v>
      </c>
      <c r="AM333">
        <v>87.366032654279707</v>
      </c>
      <c r="AN333">
        <v>1.00000002462617</v>
      </c>
    </row>
    <row r="334" spans="1:40" x14ac:dyDescent="0.25">
      <c r="A334" t="str">
        <f>"20190312164443945"</f>
        <v>20190312164443945</v>
      </c>
      <c r="B334" t="str">
        <f>"1552380283941850"</f>
        <v>1552380283941850</v>
      </c>
      <c r="C334" t="s">
        <v>40</v>
      </c>
      <c r="D334">
        <v>4.6862300000000001</v>
      </c>
      <c r="E334">
        <v>0.47209580000000001</v>
      </c>
      <c r="F334" t="s">
        <v>42</v>
      </c>
      <c r="G334">
        <v>-373.69479999999999</v>
      </c>
      <c r="H334" s="1">
        <v>-2.9532069999999999E-6</v>
      </c>
      <c r="I334">
        <v>368.11680000000001</v>
      </c>
      <c r="J334">
        <v>-390.45080000000002</v>
      </c>
      <c r="K334">
        <v>1.101882</v>
      </c>
      <c r="L334">
        <v>367.7713</v>
      </c>
      <c r="M334">
        <v>0.99986419999999998</v>
      </c>
      <c r="N334">
        <v>0</v>
      </c>
      <c r="O334">
        <v>-1.614467E-2</v>
      </c>
      <c r="P334">
        <v>0.98866019999999999</v>
      </c>
      <c r="Q334">
        <v>0.13702129999999901</v>
      </c>
      <c r="R334">
        <v>-6.1451819999999997E-2</v>
      </c>
      <c r="S334">
        <v>3.0659179999999999</v>
      </c>
      <c r="T334">
        <v>-0.1983559</v>
      </c>
      <c r="U334">
        <v>6.14624E-2</v>
      </c>
      <c r="V334">
        <v>4.5464480000000002E-2</v>
      </c>
      <c r="W334">
        <v>0.14033409999999999</v>
      </c>
      <c r="X334">
        <v>0.98905980000000004</v>
      </c>
      <c r="Y334">
        <v>-3.6072729999999997E-2</v>
      </c>
      <c r="Z334">
        <v>2.208897E-3</v>
      </c>
      <c r="AA334">
        <v>0.99934670000000003</v>
      </c>
      <c r="AB334">
        <v>50</v>
      </c>
      <c r="AC334">
        <v>16.756</v>
      </c>
      <c r="AD334">
        <v>-1.1018849532070001</v>
      </c>
      <c r="AE334">
        <v>0.34550000000001502</v>
      </c>
      <c r="AF334">
        <v>-0.61332536498411305</v>
      </c>
      <c r="AG334">
        <v>-1.1018849532070001</v>
      </c>
      <c r="AH334">
        <v>16.676153394185</v>
      </c>
      <c r="AI334">
        <v>93.777804495631301</v>
      </c>
      <c r="AJ334">
        <v>92.1063084668329</v>
      </c>
      <c r="AK334">
        <v>16.723767831437499</v>
      </c>
      <c r="AL334">
        <v>81.932820235130194</v>
      </c>
      <c r="AM334">
        <v>87.368116254497195</v>
      </c>
      <c r="AN334">
        <v>0.99999998327025996</v>
      </c>
    </row>
    <row r="335" spans="1:40" x14ac:dyDescent="0.25">
      <c r="A335" t="str">
        <f>"20190312164443968"</f>
        <v>20190312164443968</v>
      </c>
      <c r="B335" t="str">
        <f>"1552380283962347"</f>
        <v>1552380283962347</v>
      </c>
      <c r="C335" t="s">
        <v>40</v>
      </c>
      <c r="D335">
        <v>4.6431870000000002</v>
      </c>
      <c r="E335">
        <v>0.47212480000000001</v>
      </c>
      <c r="F335" t="s">
        <v>42</v>
      </c>
      <c r="G335">
        <v>-373.26069999999999</v>
      </c>
      <c r="H335" s="1">
        <v>-3.1397619999999998E-6</v>
      </c>
      <c r="I335">
        <v>368.11500000000001</v>
      </c>
      <c r="J335">
        <v>-389.96890000000002</v>
      </c>
      <c r="K335">
        <v>1.1027530000000001</v>
      </c>
      <c r="L335">
        <v>367.76350000000002</v>
      </c>
      <c r="M335">
        <v>0.99986359999999996</v>
      </c>
      <c r="N335">
        <v>0</v>
      </c>
      <c r="O335">
        <v>-1.6131260000000001E-2</v>
      </c>
      <c r="P335">
        <v>0.98876940000000002</v>
      </c>
      <c r="Q335">
        <v>0.1362042</v>
      </c>
      <c r="R335">
        <v>-6.1513640000000001E-2</v>
      </c>
      <c r="S335">
        <v>3.0654300000000001</v>
      </c>
      <c r="T335">
        <v>-0.196493</v>
      </c>
      <c r="U335">
        <v>6.1309809999999999E-2</v>
      </c>
      <c r="V335">
        <v>4.5540230000000001E-2</v>
      </c>
      <c r="W335">
        <v>0.13975099999999999</v>
      </c>
      <c r="X335">
        <v>0.98913890000000004</v>
      </c>
      <c r="Y335">
        <v>-3.6014959999999999E-2</v>
      </c>
      <c r="Z335">
        <v>2.185836E-3</v>
      </c>
      <c r="AA335">
        <v>0.99934889999999998</v>
      </c>
      <c r="AB335">
        <v>50</v>
      </c>
      <c r="AC335">
        <v>16.708200000000001</v>
      </c>
      <c r="AD335">
        <v>-1.102756139762</v>
      </c>
      <c r="AE335">
        <v>0.35149999999998699</v>
      </c>
      <c r="AF335">
        <v>-0.61828813011150396</v>
      </c>
      <c r="AG335">
        <v>-1.102756139762</v>
      </c>
      <c r="AH335">
        <v>16.627954485307502</v>
      </c>
      <c r="AI335">
        <v>93.791653445042996</v>
      </c>
      <c r="AJ335">
        <v>92.129485458615406</v>
      </c>
      <c r="AK335">
        <v>16.675947399805501</v>
      </c>
      <c r="AL335">
        <v>81.966562121307106</v>
      </c>
      <c r="AM335">
        <v>87.3639478805583</v>
      </c>
      <c r="AN335">
        <v>1.0000000090213299</v>
      </c>
    </row>
    <row r="336" spans="1:40" x14ac:dyDescent="0.25">
      <c r="A336" t="str">
        <f>"20190312164443978"</f>
        <v>20190312164443978</v>
      </c>
      <c r="B336" t="str">
        <f>"1552380283972107"</f>
        <v>1552380283972107</v>
      </c>
      <c r="C336" t="s">
        <v>40</v>
      </c>
      <c r="D336">
        <v>4.7022380000000004</v>
      </c>
      <c r="E336">
        <v>0.47197660000000002</v>
      </c>
      <c r="F336" t="s">
        <v>42</v>
      </c>
      <c r="G336">
        <v>-372.81849999999997</v>
      </c>
      <c r="H336" s="1">
        <v>-3.330563E-6</v>
      </c>
      <c r="I336">
        <v>368.1087</v>
      </c>
      <c r="J336">
        <v>-389.7072</v>
      </c>
      <c r="K336">
        <v>1.103154</v>
      </c>
      <c r="L336">
        <v>367.75920000000002</v>
      </c>
      <c r="M336">
        <v>0.99986319999999995</v>
      </c>
      <c r="N336">
        <v>0</v>
      </c>
      <c r="O336">
        <v>-1.6126120000000001E-2</v>
      </c>
      <c r="P336">
        <v>0.98888779999999998</v>
      </c>
      <c r="Q336">
        <v>0.13530780000000001</v>
      </c>
      <c r="R336">
        <v>-6.1587000000000003E-2</v>
      </c>
      <c r="S336">
        <v>3.0650019999999998</v>
      </c>
      <c r="T336">
        <v>-0.19707659999999999</v>
      </c>
      <c r="U336">
        <v>6.1706539999999997E-2</v>
      </c>
      <c r="V336">
        <v>4.5618039999999999E-2</v>
      </c>
      <c r="W336">
        <v>0.1389743</v>
      </c>
      <c r="X336">
        <v>0.98924480000000004</v>
      </c>
      <c r="Y336">
        <v>-3.6141E-2</v>
      </c>
      <c r="Z336">
        <v>2.1963339999999999E-3</v>
      </c>
      <c r="AA336">
        <v>0.99934429999999996</v>
      </c>
      <c r="AB336">
        <v>50</v>
      </c>
      <c r="AC336">
        <v>16.8887</v>
      </c>
      <c r="AD336">
        <v>-1.103157330563</v>
      </c>
      <c r="AE336">
        <v>0.349499999999977</v>
      </c>
      <c r="AF336">
        <v>-0.61916499582957496</v>
      </c>
      <c r="AG336">
        <v>-1.103157330563</v>
      </c>
      <c r="AH336">
        <v>16.809180305235699</v>
      </c>
      <c r="AI336">
        <v>93.752300522932202</v>
      </c>
      <c r="AJ336">
        <v>92.109532347213502</v>
      </c>
      <c r="AK336">
        <v>16.8567156920308</v>
      </c>
      <c r="AL336">
        <v>82.011502780931593</v>
      </c>
      <c r="AM336">
        <v>87.359732567765604</v>
      </c>
      <c r="AN336">
        <v>1.0000000679804799</v>
      </c>
    </row>
    <row r="337" spans="1:40" x14ac:dyDescent="0.25">
      <c r="A337" t="str">
        <f>"20190312164443993"</f>
        <v>20190312164443993</v>
      </c>
      <c r="B337" t="str">
        <f>"1552380283981867"</f>
        <v>1552380283981867</v>
      </c>
      <c r="C337" t="s">
        <v>40</v>
      </c>
      <c r="D337">
        <v>4.5575289999999997</v>
      </c>
      <c r="E337">
        <v>0.47189769999999998</v>
      </c>
      <c r="F337" t="s">
        <v>42</v>
      </c>
      <c r="G337">
        <v>-372.66239999999999</v>
      </c>
      <c r="H337" s="1">
        <v>-3.3974549999999999E-6</v>
      </c>
      <c r="I337">
        <v>368.10910000000001</v>
      </c>
      <c r="J337">
        <v>-389.38900000000001</v>
      </c>
      <c r="K337">
        <v>1.1036090000000001</v>
      </c>
      <c r="L337">
        <v>367.75420000000003</v>
      </c>
      <c r="M337">
        <v>0.99986269999999999</v>
      </c>
      <c r="N337">
        <v>0</v>
      </c>
      <c r="O337">
        <v>-1.6120800000000001E-2</v>
      </c>
      <c r="P337">
        <v>0.98896340000000005</v>
      </c>
      <c r="Q337">
        <v>0.13475519999999999</v>
      </c>
      <c r="R337">
        <v>-6.1582230000000002E-2</v>
      </c>
      <c r="S337">
        <v>3.0647579999999999</v>
      </c>
      <c r="T337">
        <v>-0.19835439999999999</v>
      </c>
      <c r="U337">
        <v>6.2927250000000004E-2</v>
      </c>
      <c r="V337">
        <v>4.5619020000000003E-2</v>
      </c>
      <c r="W337">
        <v>0.13856109999999999</v>
      </c>
      <c r="X337">
        <v>0.98930260000000003</v>
      </c>
      <c r="Y337">
        <v>-3.6532929999999998E-2</v>
      </c>
      <c r="Z337">
        <v>2.2230370000000002E-3</v>
      </c>
      <c r="AA337">
        <v>0.99933000000000005</v>
      </c>
      <c r="AB337">
        <v>50</v>
      </c>
      <c r="AC337">
        <v>16.726600000000001</v>
      </c>
      <c r="AD337">
        <v>-1.1036123974550001</v>
      </c>
      <c r="AE337">
        <v>0.354899999999986</v>
      </c>
      <c r="AF337">
        <v>-0.62179639271140197</v>
      </c>
      <c r="AG337">
        <v>-1.1036123974550001</v>
      </c>
      <c r="AH337">
        <v>16.6462715848524</v>
      </c>
      <c r="AI337">
        <v>93.790401783007596</v>
      </c>
      <c r="AJ337">
        <v>92.139202949754704</v>
      </c>
      <c r="AK337">
        <v>16.694398723957399</v>
      </c>
      <c r="AL337">
        <v>82.035407771608604</v>
      </c>
      <c r="AM337">
        <v>87.359829970523805</v>
      </c>
      <c r="AN337">
        <v>0.999999953892864</v>
      </c>
    </row>
    <row r="338" spans="1:40" x14ac:dyDescent="0.25">
      <c r="A338" t="str">
        <f>"20190312164444013"</f>
        <v>20190312164444013</v>
      </c>
      <c r="B338" t="str">
        <f>"1552380284002363"</f>
        <v>1552380284002363</v>
      </c>
      <c r="C338" t="s">
        <v>40</v>
      </c>
      <c r="D338">
        <v>4.5611059999999997</v>
      </c>
      <c r="E338">
        <v>0.47184540000000003</v>
      </c>
      <c r="F338" t="s">
        <v>42</v>
      </c>
      <c r="G338">
        <v>-372.3381</v>
      </c>
      <c r="H338" s="1">
        <v>-3.5371119999999999E-6</v>
      </c>
      <c r="I338">
        <v>368.1062</v>
      </c>
      <c r="J338">
        <v>-388.95049999999998</v>
      </c>
      <c r="K338">
        <v>1.104147</v>
      </c>
      <c r="L338">
        <v>367.74709999999999</v>
      </c>
      <c r="M338">
        <v>0.99986209999999998</v>
      </c>
      <c r="N338">
        <v>0</v>
      </c>
      <c r="O338">
        <v>-1.6114969999999999E-2</v>
      </c>
      <c r="P338">
        <v>0.98915030000000004</v>
      </c>
      <c r="Q338">
        <v>0.13325039999999999</v>
      </c>
      <c r="R338">
        <v>-6.1854579999999999E-2</v>
      </c>
      <c r="S338">
        <v>3.0644529999999999</v>
      </c>
      <c r="T338">
        <v>-0.19834489999999999</v>
      </c>
      <c r="U338">
        <v>6.3293459999999996E-2</v>
      </c>
      <c r="V338">
        <v>4.5895999999999999E-2</v>
      </c>
      <c r="W338">
        <v>0.13723779999999999</v>
      </c>
      <c r="X338">
        <v>0.98947430000000003</v>
      </c>
      <c r="Y338">
        <v>-3.6648300000000002E-2</v>
      </c>
      <c r="Z338">
        <v>2.2265039999999998E-3</v>
      </c>
      <c r="AA338">
        <v>0.99932580000000004</v>
      </c>
      <c r="AB338">
        <v>50</v>
      </c>
      <c r="AC338">
        <v>16.612399999999901</v>
      </c>
      <c r="AD338">
        <v>-1.104150537112</v>
      </c>
      <c r="AE338">
        <v>0.35910000000001202</v>
      </c>
      <c r="AF338">
        <v>-0.62400848284490695</v>
      </c>
      <c r="AG338">
        <v>-1.104150537112</v>
      </c>
      <c r="AH338">
        <v>16.531459657050199</v>
      </c>
      <c r="AI338">
        <v>93.818448220907598</v>
      </c>
      <c r="AJ338">
        <v>92.161701821324797</v>
      </c>
      <c r="AK338">
        <v>16.580039004415699</v>
      </c>
      <c r="AL338">
        <v>82.111959187499494</v>
      </c>
      <c r="AM338">
        <v>87.344283085322502</v>
      </c>
      <c r="AN338">
        <v>1.00000002346266</v>
      </c>
    </row>
    <row r="339" spans="1:40" x14ac:dyDescent="0.25">
      <c r="A339" t="str">
        <f>"20190312164444037"</f>
        <v>20190312164444037</v>
      </c>
      <c r="B339" t="str">
        <f>"1552380284032620"</f>
        <v>1552380284032620</v>
      </c>
      <c r="C339" t="s">
        <v>40</v>
      </c>
      <c r="D339">
        <v>4.5453890000000001</v>
      </c>
      <c r="E339">
        <v>0.47166710000000001</v>
      </c>
      <c r="F339" t="s">
        <v>42</v>
      </c>
      <c r="G339">
        <v>-372.15789999999998</v>
      </c>
      <c r="H339" s="1">
        <v>-3.617365E-6</v>
      </c>
      <c r="I339">
        <v>368.08969999999999</v>
      </c>
      <c r="J339">
        <v>-388.42070000000001</v>
      </c>
      <c r="K339">
        <v>1.104692</v>
      </c>
      <c r="L339">
        <v>367.73860000000002</v>
      </c>
      <c r="M339">
        <v>0.99986129999999995</v>
      </c>
      <c r="N339">
        <v>0</v>
      </c>
      <c r="O339">
        <v>-1.610909E-2</v>
      </c>
      <c r="P339">
        <v>0.98930910000000005</v>
      </c>
      <c r="Q339">
        <v>0.13191420000000001</v>
      </c>
      <c r="R339">
        <v>-6.2181029999999998E-2</v>
      </c>
      <c r="S339">
        <v>3.063965</v>
      </c>
      <c r="T339">
        <v>-0.201461</v>
      </c>
      <c r="U339">
        <v>6.2530520000000006E-2</v>
      </c>
      <c r="V339">
        <v>4.6227600000000001E-2</v>
      </c>
      <c r="W339">
        <v>0.13610129999999901</v>
      </c>
      <c r="X339">
        <v>0.98961580000000005</v>
      </c>
      <c r="Y339">
        <v>-3.6394030000000001E-2</v>
      </c>
      <c r="Z339">
        <v>2.2530369999999998E-3</v>
      </c>
      <c r="AA339">
        <v>0.99933499999999997</v>
      </c>
      <c r="AB339">
        <v>50</v>
      </c>
      <c r="AC339">
        <v>16.262799999999999</v>
      </c>
      <c r="AD339">
        <v>-1.104695617365</v>
      </c>
      <c r="AE339">
        <v>0.35109999999997399</v>
      </c>
      <c r="AF339">
        <v>-0.61022133134557</v>
      </c>
      <c r="AG339">
        <v>-1.104695617365</v>
      </c>
      <c r="AH339">
        <v>16.180409198684401</v>
      </c>
      <c r="AI339">
        <v>93.902964967464797</v>
      </c>
      <c r="AJ339">
        <v>92.159805995908201</v>
      </c>
      <c r="AK339">
        <v>16.229552190899401</v>
      </c>
      <c r="AL339">
        <v>82.177692402328702</v>
      </c>
      <c r="AM339">
        <v>87.325505129021906</v>
      </c>
      <c r="AN339">
        <v>0.99999999323654498</v>
      </c>
    </row>
    <row r="340" spans="1:40" x14ac:dyDescent="0.25">
      <c r="A340" t="str">
        <f>"20190312164444057"</f>
        <v>20190312164444057</v>
      </c>
      <c r="B340" t="str">
        <f>"1552380284052141"</f>
        <v>1552380284052141</v>
      </c>
      <c r="C340" t="s">
        <v>40</v>
      </c>
      <c r="D340">
        <v>4.7400399999999996</v>
      </c>
      <c r="E340">
        <v>0.47143299999999999</v>
      </c>
      <c r="F340" t="s">
        <v>42</v>
      </c>
      <c r="G340">
        <v>-372.0333</v>
      </c>
      <c r="H340" s="1">
        <v>-3.6728370000000002E-6</v>
      </c>
      <c r="I340">
        <v>368.07830000000001</v>
      </c>
      <c r="J340">
        <v>-387.94330000000002</v>
      </c>
      <c r="K340">
        <v>1.1051</v>
      </c>
      <c r="L340">
        <v>367.73079999999999</v>
      </c>
      <c r="M340">
        <v>0.99986059999999999</v>
      </c>
      <c r="N340">
        <v>0</v>
      </c>
      <c r="O340">
        <v>-1.6105049999999999E-2</v>
      </c>
      <c r="P340">
        <v>0.9894617</v>
      </c>
      <c r="Q340">
        <v>0.1305704</v>
      </c>
      <c r="R340">
        <v>-6.2586320000000001E-2</v>
      </c>
      <c r="S340">
        <v>3.0640260000000001</v>
      </c>
      <c r="T340">
        <v>-0.20654929999999999</v>
      </c>
      <c r="U340">
        <v>6.35376E-2</v>
      </c>
      <c r="V340">
        <v>4.6636289999999997E-2</v>
      </c>
      <c r="W340">
        <v>0.1349216</v>
      </c>
      <c r="X340">
        <v>0.98975820000000003</v>
      </c>
      <c r="Y340">
        <v>-3.6711420000000002E-2</v>
      </c>
      <c r="Z340">
        <v>2.3201760000000002E-3</v>
      </c>
      <c r="AA340">
        <v>0.99932319999999997</v>
      </c>
      <c r="AB340">
        <v>50</v>
      </c>
      <c r="AC340">
        <v>15.91</v>
      </c>
      <c r="AD340">
        <v>-1.1051036728370001</v>
      </c>
      <c r="AE340">
        <v>0.34750000000002501</v>
      </c>
      <c r="AF340">
        <v>-0.60079153631103899</v>
      </c>
      <c r="AG340">
        <v>-1.1051036728370001</v>
      </c>
      <c r="AH340">
        <v>15.8260213743512</v>
      </c>
      <c r="AI340">
        <v>93.991515508953498</v>
      </c>
      <c r="AJ340">
        <v>92.174033315884202</v>
      </c>
      <c r="AK340">
        <v>15.87593011887</v>
      </c>
      <c r="AL340">
        <v>82.245913874574597</v>
      </c>
      <c r="AM340">
        <v>87.302282794560796</v>
      </c>
      <c r="AN340">
        <v>1.0000000380793801</v>
      </c>
    </row>
    <row r="341" spans="1:40" x14ac:dyDescent="0.25">
      <c r="A341" t="str">
        <f>"20190312164444080"</f>
        <v>20190312164444080</v>
      </c>
      <c r="B341" t="str">
        <f>"1552380284071659"</f>
        <v>1552380284071659</v>
      </c>
      <c r="C341" t="s">
        <v>40</v>
      </c>
      <c r="D341">
        <v>4.5505469999999999</v>
      </c>
      <c r="E341">
        <v>0.47140530000000003</v>
      </c>
      <c r="F341" t="s">
        <v>42</v>
      </c>
      <c r="G341">
        <v>-371.90179999999998</v>
      </c>
      <c r="H341" s="1">
        <v>-3.730903E-6</v>
      </c>
      <c r="I341">
        <v>368.06900000000002</v>
      </c>
      <c r="J341">
        <v>-387.42570000000001</v>
      </c>
      <c r="K341">
        <v>1.105472</v>
      </c>
      <c r="L341">
        <v>367.72250000000003</v>
      </c>
      <c r="M341">
        <v>0.99986010000000003</v>
      </c>
      <c r="N341">
        <v>0</v>
      </c>
      <c r="O341">
        <v>-1.6101379999999998E-2</v>
      </c>
      <c r="P341">
        <v>0.98958679999999999</v>
      </c>
      <c r="Q341">
        <v>0.12974349999999901</v>
      </c>
      <c r="R341">
        <v>-6.2329420000000003E-2</v>
      </c>
      <c r="S341">
        <v>3.063904</v>
      </c>
      <c r="T341">
        <v>-0.2110718</v>
      </c>
      <c r="U341">
        <v>6.4605709999999997E-2</v>
      </c>
      <c r="V341">
        <v>4.6382729999999997E-2</v>
      </c>
      <c r="W341">
        <v>0.1342573</v>
      </c>
      <c r="X341">
        <v>0.98986039999999997</v>
      </c>
      <c r="Y341">
        <v>-3.7050699999999902E-2</v>
      </c>
      <c r="Z341">
        <v>2.382365E-3</v>
      </c>
      <c r="AA341">
        <v>0.99931060000000005</v>
      </c>
      <c r="AB341">
        <v>50</v>
      </c>
      <c r="AC341">
        <v>15.523899999999999</v>
      </c>
      <c r="AD341">
        <v>-1.1054757309029899</v>
      </c>
      <c r="AE341">
        <v>0.34649999999999098</v>
      </c>
      <c r="AF341">
        <v>-0.59340617261751305</v>
      </c>
      <c r="AG341">
        <v>-1.1054757309029899</v>
      </c>
      <c r="AH341">
        <v>15.4380603357474</v>
      </c>
      <c r="AI341">
        <v>94.092785270166601</v>
      </c>
      <c r="AJ341">
        <v>92.201244121389294</v>
      </c>
      <c r="AK341">
        <v>15.488961049970101</v>
      </c>
      <c r="AL341">
        <v>82.284324617618495</v>
      </c>
      <c r="AM341">
        <v>87.3172053179117</v>
      </c>
      <c r="AN341">
        <v>0.99999999586685095</v>
      </c>
    </row>
    <row r="342" spans="1:40" x14ac:dyDescent="0.25">
      <c r="A342" t="str">
        <f>"20190312164444101"</f>
        <v>20190312164444101</v>
      </c>
      <c r="B342" t="str">
        <f>"1552380284092158"</f>
        <v>1552380284092158</v>
      </c>
      <c r="C342" t="s">
        <v>40</v>
      </c>
      <c r="D342">
        <v>4.5416239999999997</v>
      </c>
      <c r="E342">
        <v>0.4712769</v>
      </c>
      <c r="F342" t="s">
        <v>42</v>
      </c>
      <c r="G342">
        <v>-371.44749999999999</v>
      </c>
      <c r="H342" s="1">
        <v>-3.9267349999999999E-6</v>
      </c>
      <c r="I342">
        <v>368.06369999999998</v>
      </c>
      <c r="J342">
        <v>-386.93950000000001</v>
      </c>
      <c r="K342">
        <v>1.1057539999999999</v>
      </c>
      <c r="L342">
        <v>367.71460000000002</v>
      </c>
      <c r="M342">
        <v>0.99985950000000001</v>
      </c>
      <c r="N342">
        <v>0</v>
      </c>
      <c r="O342">
        <v>-1.6097790000000001E-2</v>
      </c>
      <c r="P342">
        <v>0.98969260000000003</v>
      </c>
      <c r="Q342">
        <v>0.1289536</v>
      </c>
      <c r="R342">
        <v>-6.2287479999999999E-2</v>
      </c>
      <c r="S342">
        <v>3.0634769999999998</v>
      </c>
      <c r="T342">
        <v>-0.21195079999999999</v>
      </c>
      <c r="U342">
        <v>6.5429689999999999E-2</v>
      </c>
      <c r="V342">
        <v>4.6344120000000003E-2</v>
      </c>
      <c r="W342">
        <v>0.13360520000000001</v>
      </c>
      <c r="X342">
        <v>0.98995040000000001</v>
      </c>
      <c r="Y342">
        <v>-3.7317000000000003E-2</v>
      </c>
      <c r="Z342">
        <v>2.4015410000000001E-3</v>
      </c>
      <c r="AA342">
        <v>0.99930059999999998</v>
      </c>
      <c r="AB342">
        <v>51</v>
      </c>
      <c r="AC342">
        <v>15.492000000000001</v>
      </c>
      <c r="AD342">
        <v>-1.105757926735</v>
      </c>
      <c r="AE342">
        <v>0.34909999999996399</v>
      </c>
      <c r="AF342">
        <v>-0.59541263446329296</v>
      </c>
      <c r="AG342">
        <v>-1.105757926735</v>
      </c>
      <c r="AH342">
        <v>15.405926431966501</v>
      </c>
      <c r="AI342">
        <v>94.102303219917204</v>
      </c>
      <c r="AJ342">
        <v>92.213282065204197</v>
      </c>
      <c r="AK342">
        <v>15.4570303106702</v>
      </c>
      <c r="AL342">
        <v>82.322026598316995</v>
      </c>
      <c r="AM342">
        <v>87.319678620805504</v>
      </c>
      <c r="AN342">
        <v>0.99999996069288599</v>
      </c>
    </row>
    <row r="343" spans="1:40" x14ac:dyDescent="0.25">
      <c r="A343" t="str">
        <f>"20190312164444114"</f>
        <v>20190312164444114</v>
      </c>
      <c r="B343" t="str">
        <f>"1552380284112652"</f>
        <v>1552380284112652</v>
      </c>
      <c r="C343" t="s">
        <v>40</v>
      </c>
      <c r="D343">
        <v>4.5733280000000001</v>
      </c>
      <c r="E343">
        <v>0.47107549999999998</v>
      </c>
      <c r="F343" t="s">
        <v>42</v>
      </c>
      <c r="G343">
        <v>-371.26220000000001</v>
      </c>
      <c r="H343" s="1">
        <v>-4.0075960000000003E-6</v>
      </c>
      <c r="I343">
        <v>368.05579999999998</v>
      </c>
      <c r="J343">
        <v>-386.65730000000002</v>
      </c>
      <c r="K343">
        <v>1.105898</v>
      </c>
      <c r="L343">
        <v>367.71010000000001</v>
      </c>
      <c r="M343">
        <v>0.99985919999999895</v>
      </c>
      <c r="N343">
        <v>0</v>
      </c>
      <c r="O343">
        <v>-1.6095950000000001E-2</v>
      </c>
      <c r="P343">
        <v>0.98977389999999998</v>
      </c>
      <c r="Q343">
        <v>0.12844920000000001</v>
      </c>
      <c r="R343">
        <v>-6.2039669999999998E-2</v>
      </c>
      <c r="S343">
        <v>3.0635680000000001</v>
      </c>
      <c r="T343">
        <v>-0.216081</v>
      </c>
      <c r="U343">
        <v>6.6680909999999996E-2</v>
      </c>
      <c r="V343">
        <v>4.6097529999999998E-2</v>
      </c>
      <c r="W343">
        <v>0.13317560000000001</v>
      </c>
      <c r="X343">
        <v>0.99001989999999995</v>
      </c>
      <c r="Y343">
        <v>-3.7716479999999997E-2</v>
      </c>
      <c r="Z343">
        <v>2.462082E-3</v>
      </c>
      <c r="AA343">
        <v>0.99928550000000005</v>
      </c>
      <c r="AB343">
        <v>51</v>
      </c>
      <c r="AC343">
        <v>15.395099999999999</v>
      </c>
      <c r="AD343">
        <v>-1.105902007596</v>
      </c>
      <c r="AE343">
        <v>0.34569999999996498</v>
      </c>
      <c r="AF343">
        <v>-0.59041164304128602</v>
      </c>
      <c r="AG343">
        <v>-1.105902007596</v>
      </c>
      <c r="AH343">
        <v>15.3085852512793</v>
      </c>
      <c r="AI343">
        <v>94.128847120580005</v>
      </c>
      <c r="AJ343">
        <v>92.208652026884295</v>
      </c>
      <c r="AK343">
        <v>15.359830323097</v>
      </c>
      <c r="AL343">
        <v>82.346863597673604</v>
      </c>
      <c r="AM343">
        <v>87.334106460588899</v>
      </c>
      <c r="AN343">
        <v>1.00000006255173</v>
      </c>
    </row>
    <row r="344" spans="1:40" x14ac:dyDescent="0.25">
      <c r="A344" t="str">
        <f>"20190312164444127"</f>
        <v>20190312164444127</v>
      </c>
      <c r="B344" t="str">
        <f>"1552380284122411"</f>
        <v>1552380284122411</v>
      </c>
      <c r="C344" t="s">
        <v>40</v>
      </c>
      <c r="D344">
        <v>4.5685229999999999</v>
      </c>
      <c r="E344">
        <v>0.4709777</v>
      </c>
      <c r="F344" t="s">
        <v>42</v>
      </c>
      <c r="G344">
        <v>-371.25420000000003</v>
      </c>
      <c r="H344" s="1">
        <v>-4.0105900000000003E-6</v>
      </c>
      <c r="I344">
        <v>368.05829999999997</v>
      </c>
      <c r="J344">
        <v>-386.36320000000001</v>
      </c>
      <c r="K344">
        <v>1.106031</v>
      </c>
      <c r="L344">
        <v>367.7054</v>
      </c>
      <c r="M344">
        <v>0.99985880000000005</v>
      </c>
      <c r="N344">
        <v>0</v>
      </c>
      <c r="O344">
        <v>-1.6093989999999999E-2</v>
      </c>
      <c r="P344">
        <v>0.98982870000000001</v>
      </c>
      <c r="Q344">
        <v>0.12805730000000001</v>
      </c>
      <c r="R344">
        <v>-6.1973449999999999E-2</v>
      </c>
      <c r="S344">
        <v>3.0638429999999999</v>
      </c>
      <c r="T344">
        <v>-0.2199749</v>
      </c>
      <c r="U344">
        <v>6.9274899999999903E-2</v>
      </c>
      <c r="V344">
        <v>4.6033249999999998E-2</v>
      </c>
      <c r="W344">
        <v>0.13285749999999999</v>
      </c>
      <c r="X344">
        <v>0.99006559999999999</v>
      </c>
      <c r="Y344">
        <v>-3.8551229999999999E-2</v>
      </c>
      <c r="Z344">
        <v>2.5358749999999999E-3</v>
      </c>
      <c r="AA344">
        <v>0.99925339999999996</v>
      </c>
      <c r="AB344">
        <v>51</v>
      </c>
      <c r="AC344">
        <v>15.108999999999901</v>
      </c>
      <c r="AD344">
        <v>-1.1060350105900001</v>
      </c>
      <c r="AE344">
        <v>0.35289999999997601</v>
      </c>
      <c r="AF344">
        <v>-0.592846026079757</v>
      </c>
      <c r="AG344">
        <v>-1.1060350105900001</v>
      </c>
      <c r="AH344">
        <v>15.0209135000635</v>
      </c>
      <c r="AI344">
        <v>94.207996143052696</v>
      </c>
      <c r="AJ344">
        <v>92.260179067481204</v>
      </c>
      <c r="AK344">
        <v>15.073241928386899</v>
      </c>
      <c r="AL344">
        <v>82.365252573450107</v>
      </c>
      <c r="AM344">
        <v>87.337941229261503</v>
      </c>
      <c r="AN344">
        <v>1.0000000338575801</v>
      </c>
    </row>
    <row r="345" spans="1:40" x14ac:dyDescent="0.25">
      <c r="A345" t="str">
        <f>"20190312164444146"</f>
        <v>20190312164444146</v>
      </c>
      <c r="B345" t="str">
        <f>"1552380284141931"</f>
        <v>1552380284141931</v>
      </c>
      <c r="C345" t="s">
        <v>40</v>
      </c>
      <c r="D345">
        <v>4.6803850000000002</v>
      </c>
      <c r="E345">
        <v>0.47094049999999998</v>
      </c>
      <c r="F345" t="s">
        <v>42</v>
      </c>
      <c r="G345">
        <v>-371.05669999999998</v>
      </c>
      <c r="H345" s="1">
        <v>-4.0956500000000003E-6</v>
      </c>
      <c r="I345">
        <v>368.0564</v>
      </c>
      <c r="J345">
        <v>-385.9402</v>
      </c>
      <c r="K345">
        <v>1.106198</v>
      </c>
      <c r="L345">
        <v>367.6986</v>
      </c>
      <c r="M345">
        <v>0.99985840000000004</v>
      </c>
      <c r="N345">
        <v>0</v>
      </c>
      <c r="O345">
        <v>-1.6091149999999999E-2</v>
      </c>
      <c r="P345">
        <v>0.98995480000000002</v>
      </c>
      <c r="Q345">
        <v>0.1272045</v>
      </c>
      <c r="R345">
        <v>-6.171285E-2</v>
      </c>
      <c r="S345">
        <v>3.0638730000000001</v>
      </c>
      <c r="T345">
        <v>-0.2213929</v>
      </c>
      <c r="U345">
        <v>7.0281979999999994E-2</v>
      </c>
      <c r="V345">
        <v>4.5774629999999997E-2</v>
      </c>
      <c r="W345">
        <v>0.13210229999999901</v>
      </c>
      <c r="X345">
        <v>0.99017860000000002</v>
      </c>
      <c r="Y345">
        <v>-3.88738E-2</v>
      </c>
      <c r="Z345">
        <v>2.563578E-3</v>
      </c>
      <c r="AA345">
        <v>0.99924080000000004</v>
      </c>
      <c r="AB345">
        <v>51</v>
      </c>
      <c r="AC345">
        <v>14.8835</v>
      </c>
      <c r="AD345">
        <v>-1.1062020956500001</v>
      </c>
      <c r="AE345">
        <v>0.35779999999999701</v>
      </c>
      <c r="AF345">
        <v>-0.59396997584683797</v>
      </c>
      <c r="AG345">
        <v>-1.1062020956500001</v>
      </c>
      <c r="AH345">
        <v>14.7941389015713</v>
      </c>
      <c r="AI345">
        <v>94.272789920750398</v>
      </c>
      <c r="AJ345">
        <v>92.299133785447196</v>
      </c>
      <c r="AK345">
        <v>14.8473239759767</v>
      </c>
      <c r="AL345">
        <v>82.408906850223602</v>
      </c>
      <c r="AM345">
        <v>87.353177305366799</v>
      </c>
      <c r="AN345">
        <v>0.99999999715744303</v>
      </c>
    </row>
    <row r="346" spans="1:40" x14ac:dyDescent="0.25">
      <c r="A346" t="str">
        <f>"20190312164444158"</f>
        <v>20190312164444158</v>
      </c>
      <c r="B346" t="str">
        <f>"1552380284152198"</f>
        <v>1552380284152198</v>
      </c>
      <c r="C346" t="s">
        <v>40</v>
      </c>
      <c r="D346">
        <v>4.7200030000000002</v>
      </c>
      <c r="E346">
        <v>0.47097060000000002</v>
      </c>
      <c r="F346" t="s">
        <v>42</v>
      </c>
      <c r="G346">
        <v>-370.84339999999997</v>
      </c>
      <c r="H346" s="1">
        <v>-4.1878529999999999E-6</v>
      </c>
      <c r="I346">
        <v>368.05250000000001</v>
      </c>
      <c r="J346">
        <v>-385.6567</v>
      </c>
      <c r="K346">
        <v>1.106295</v>
      </c>
      <c r="L346">
        <v>367.69400000000002</v>
      </c>
      <c r="M346">
        <v>0.99985820000000003</v>
      </c>
      <c r="N346">
        <v>0</v>
      </c>
      <c r="O346">
        <v>-1.6089280000000001E-2</v>
      </c>
      <c r="P346">
        <v>0.99001039999999996</v>
      </c>
      <c r="Q346">
        <v>0.126808</v>
      </c>
      <c r="R346">
        <v>-6.164037E-2</v>
      </c>
      <c r="S346">
        <v>3.0637509999999999</v>
      </c>
      <c r="T346">
        <v>-0.22449279999999999</v>
      </c>
      <c r="U346">
        <v>7.1838379999999993E-2</v>
      </c>
      <c r="V346">
        <v>4.5703550000000003E-2</v>
      </c>
      <c r="W346">
        <v>0.13176660000000001</v>
      </c>
      <c r="X346">
        <v>0.99022659999999996</v>
      </c>
      <c r="Y346">
        <v>-3.9374810000000003E-2</v>
      </c>
      <c r="Z346">
        <v>2.61766E-3</v>
      </c>
      <c r="AA346">
        <v>0.99922109999999997</v>
      </c>
      <c r="AB346">
        <v>51</v>
      </c>
      <c r="AC346">
        <v>14.8133</v>
      </c>
      <c r="AD346">
        <v>-1.106299187853</v>
      </c>
      <c r="AE346">
        <v>0.35849999999999199</v>
      </c>
      <c r="AF346">
        <v>-0.59348363862113196</v>
      </c>
      <c r="AG346">
        <v>-1.106299187853</v>
      </c>
      <c r="AH346">
        <v>14.7235415724878</v>
      </c>
      <c r="AI346">
        <v>94.293548945029499</v>
      </c>
      <c r="AJ346">
        <v>92.308256416415304</v>
      </c>
      <c r="AK346">
        <v>14.776968469856399</v>
      </c>
      <c r="AL346">
        <v>82.428310573189293</v>
      </c>
      <c r="AM346">
        <v>87.357409448001803</v>
      </c>
      <c r="AN346">
        <v>0.99999998535286105</v>
      </c>
    </row>
    <row r="347" spans="1:40" x14ac:dyDescent="0.25">
      <c r="A347" t="str">
        <f>"20190312164444170"</f>
        <v>20190312164444170</v>
      </c>
      <c r="B347" t="str">
        <f>"1552380284161957"</f>
        <v>1552380284161957</v>
      </c>
      <c r="C347" t="s">
        <v>40</v>
      </c>
      <c r="D347">
        <v>4.5952109999999999</v>
      </c>
      <c r="E347">
        <v>0.47098449999999997</v>
      </c>
      <c r="F347" t="s">
        <v>42</v>
      </c>
      <c r="G347">
        <v>-370.6284</v>
      </c>
      <c r="H347" s="1">
        <v>-4.2812520000000004E-6</v>
      </c>
      <c r="I347">
        <v>368.04599999999999</v>
      </c>
      <c r="J347">
        <v>-385.3732</v>
      </c>
      <c r="K347">
        <v>1.106382</v>
      </c>
      <c r="L347">
        <v>367.68939999999998</v>
      </c>
      <c r="M347">
        <v>0.99985780000000002</v>
      </c>
      <c r="N347">
        <v>0</v>
      </c>
      <c r="O347">
        <v>-1.608718E-2</v>
      </c>
      <c r="P347">
        <v>0.99004349999999997</v>
      </c>
      <c r="Q347">
        <v>0.12655</v>
      </c>
      <c r="R347">
        <v>-6.1636339999999998E-2</v>
      </c>
      <c r="S347">
        <v>3.0636290000000002</v>
      </c>
      <c r="T347">
        <v>-0.22552659999999999</v>
      </c>
      <c r="U347">
        <v>7.1777339999999995E-2</v>
      </c>
      <c r="V347">
        <v>4.5701659999999998E-2</v>
      </c>
      <c r="W347">
        <v>0.1315672</v>
      </c>
      <c r="X347">
        <v>0.99025319999999994</v>
      </c>
      <c r="Y347">
        <v>-3.9352430000000001E-2</v>
      </c>
      <c r="Z347">
        <v>2.6288090000000002E-3</v>
      </c>
      <c r="AA347">
        <v>0.9992219</v>
      </c>
      <c r="AB347">
        <v>51</v>
      </c>
      <c r="AC347">
        <v>14.7447999999999</v>
      </c>
      <c r="AD347">
        <v>-1.106386281252</v>
      </c>
      <c r="AE347">
        <v>0.35660000000001402</v>
      </c>
      <c r="AF347">
        <v>-0.59043671298919398</v>
      </c>
      <c r="AG347">
        <v>-1.106386281252</v>
      </c>
      <c r="AH347">
        <v>14.654692219041801</v>
      </c>
      <c r="AI347">
        <v>94.313986064490095</v>
      </c>
      <c r="AJ347">
        <v>92.307195818089994</v>
      </c>
      <c r="AK347">
        <v>14.7082531304786</v>
      </c>
      <c r="AL347">
        <v>82.439835686421105</v>
      </c>
      <c r="AM347">
        <v>87.357589454611897</v>
      </c>
      <c r="AN347">
        <v>0.99999998497641696</v>
      </c>
    </row>
    <row r="348" spans="1:40" x14ac:dyDescent="0.25">
      <c r="A348" t="str">
        <f>"20190312164444191"</f>
        <v>20190312164444191</v>
      </c>
      <c r="B348" t="str">
        <f>"1552380284182453"</f>
        <v>1552380284182453</v>
      </c>
      <c r="C348" t="s">
        <v>40</v>
      </c>
      <c r="D348">
        <v>4.5847550000000004</v>
      </c>
      <c r="E348">
        <v>0.47093249999999998</v>
      </c>
      <c r="F348" t="s">
        <v>42</v>
      </c>
      <c r="G348">
        <v>-370.37119999999999</v>
      </c>
      <c r="H348" s="1">
        <v>-4.3925369999999901E-6</v>
      </c>
      <c r="I348">
        <v>368.04070000000002</v>
      </c>
      <c r="J348">
        <v>-384.88600000000002</v>
      </c>
      <c r="K348">
        <v>1.106508</v>
      </c>
      <c r="L348">
        <v>367.6816</v>
      </c>
      <c r="M348">
        <v>0.99985740000000001</v>
      </c>
      <c r="N348">
        <v>0</v>
      </c>
      <c r="O348">
        <v>-1.608445E-2</v>
      </c>
      <c r="P348">
        <v>0.9900407</v>
      </c>
      <c r="Q348">
        <v>0.12657379999999999</v>
      </c>
      <c r="R348">
        <v>-6.1634510000000003E-2</v>
      </c>
      <c r="S348">
        <v>3.063507</v>
      </c>
      <c r="T348">
        <v>-0.22592960000000001</v>
      </c>
      <c r="U348">
        <v>7.1746829999999998E-2</v>
      </c>
      <c r="V348">
        <v>4.5703260000000002E-2</v>
      </c>
      <c r="W348">
        <v>0.13168250000000001</v>
      </c>
      <c r="X348">
        <v>0.99023779999999995</v>
      </c>
      <c r="Y348">
        <v>-3.9340189999999997E-2</v>
      </c>
      <c r="Z348">
        <v>2.632948E-3</v>
      </c>
      <c r="AA348">
        <v>0.99922239999999996</v>
      </c>
      <c r="AB348">
        <v>51</v>
      </c>
      <c r="AC348">
        <v>14.5147999999999</v>
      </c>
      <c r="AD348">
        <v>-1.106512392537</v>
      </c>
      <c r="AE348">
        <v>0.35910000000001202</v>
      </c>
      <c r="AF348">
        <v>-0.58909774453019303</v>
      </c>
      <c r="AG348">
        <v>-1.106512392537</v>
      </c>
      <c r="AH348">
        <v>14.423375667930999</v>
      </c>
      <c r="AI348">
        <v>94.383304433879104</v>
      </c>
      <c r="AJ348">
        <v>92.338846711013801</v>
      </c>
      <c r="AK348">
        <v>14.477747458970001</v>
      </c>
      <c r="AL348">
        <v>82.433171499502095</v>
      </c>
      <c r="AM348">
        <v>87.357456038342207</v>
      </c>
      <c r="AN348">
        <v>0.99999998466485795</v>
      </c>
    </row>
    <row r="349" spans="1:40" x14ac:dyDescent="0.25">
      <c r="A349" t="str">
        <f>"20190312164444212"</f>
        <v>20190312164444212</v>
      </c>
      <c r="B349" t="str">
        <f>"1552380284201973"</f>
        <v>1552380284201973</v>
      </c>
      <c r="C349" t="s">
        <v>40</v>
      </c>
      <c r="D349">
        <v>4.5902479999999999</v>
      </c>
      <c r="E349">
        <v>0.47094140000000001</v>
      </c>
      <c r="F349" t="s">
        <v>42</v>
      </c>
      <c r="G349">
        <v>-369.94150000000002</v>
      </c>
      <c r="H349" s="1">
        <v>-4.2649619999999999E-7</v>
      </c>
      <c r="I349">
        <v>368.03590000000003</v>
      </c>
      <c r="J349">
        <v>-384.41</v>
      </c>
      <c r="K349">
        <v>1.106606</v>
      </c>
      <c r="L349">
        <v>367.67399999999998</v>
      </c>
      <c r="M349">
        <v>0.99985710000000005</v>
      </c>
      <c r="N349">
        <v>0</v>
      </c>
      <c r="O349">
        <v>-1.6081450000000001E-2</v>
      </c>
      <c r="P349">
        <v>0.99008200000000002</v>
      </c>
      <c r="Q349">
        <v>0.1261977</v>
      </c>
      <c r="R349">
        <v>-6.1741770000000001E-2</v>
      </c>
      <c r="S349">
        <v>3.0637210000000001</v>
      </c>
      <c r="T349">
        <v>-0.22683990000000001</v>
      </c>
      <c r="U349">
        <v>7.2631840000000003E-2</v>
      </c>
      <c r="V349">
        <v>4.5813619999999999E-2</v>
      </c>
      <c r="W349">
        <v>0.13138849999999999</v>
      </c>
      <c r="X349">
        <v>0.99027169999999998</v>
      </c>
      <c r="Y349">
        <v>-3.9622089999999999E-2</v>
      </c>
      <c r="Z349">
        <v>2.6535349999999998E-3</v>
      </c>
      <c r="AA349">
        <v>0.99921119999999997</v>
      </c>
      <c r="AB349">
        <v>51</v>
      </c>
      <c r="AC349">
        <v>14.468500000000001</v>
      </c>
      <c r="AD349">
        <v>-1.1066064264961999</v>
      </c>
      <c r="AE349">
        <v>0.36189999999999101</v>
      </c>
      <c r="AF349">
        <v>-0.59107532226076298</v>
      </c>
      <c r="AG349">
        <v>-1.1066064264961999</v>
      </c>
      <c r="AH349">
        <v>14.376760732095001</v>
      </c>
      <c r="AI349">
        <v>94.397784976932996</v>
      </c>
      <c r="AJ349">
        <v>92.354289676751307</v>
      </c>
      <c r="AK349">
        <v>14.4313962237774</v>
      </c>
      <c r="AL349">
        <v>82.450163705765306</v>
      </c>
      <c r="AM349">
        <v>87.351174696910405</v>
      </c>
      <c r="AN349">
        <v>0.99999993276531995</v>
      </c>
    </row>
    <row r="350" spans="1:40" x14ac:dyDescent="0.25">
      <c r="A350" t="str">
        <f>"20190312164444237"</f>
        <v>20190312164444237</v>
      </c>
      <c r="B350" t="str">
        <f>"1552380284232229"</f>
        <v>1552380284232229</v>
      </c>
      <c r="C350" t="s">
        <v>40</v>
      </c>
      <c r="D350">
        <v>4.6040539999999996</v>
      </c>
      <c r="E350">
        <v>0.47090399999999999</v>
      </c>
      <c r="F350" t="s">
        <v>42</v>
      </c>
      <c r="G350">
        <v>-369.59589999999997</v>
      </c>
      <c r="H350" s="1">
        <v>-5.4607409999999896E-7</v>
      </c>
      <c r="I350">
        <v>368.02850000000001</v>
      </c>
      <c r="J350">
        <v>-383.86430000000001</v>
      </c>
      <c r="K350">
        <v>1.1067009999999999</v>
      </c>
      <c r="L350">
        <v>367.6651</v>
      </c>
      <c r="M350">
        <v>0.99985670000000004</v>
      </c>
      <c r="N350">
        <v>0</v>
      </c>
      <c r="O350">
        <v>-1.6077870000000001E-2</v>
      </c>
      <c r="P350">
        <v>0.99014360000000001</v>
      </c>
      <c r="Q350">
        <v>0.1256446</v>
      </c>
      <c r="R350">
        <v>-6.1883779999999999E-2</v>
      </c>
      <c r="S350">
        <v>3.0637819999999998</v>
      </c>
      <c r="T350">
        <v>-0.2288617</v>
      </c>
      <c r="U350">
        <v>7.3333739999999994E-2</v>
      </c>
      <c r="V350">
        <v>4.5958239999999997E-2</v>
      </c>
      <c r="W350">
        <v>0.1309205</v>
      </c>
      <c r="X350">
        <v>0.99032710000000002</v>
      </c>
      <c r="Y350">
        <v>-3.984352E-2</v>
      </c>
      <c r="Z350">
        <v>2.6850509999999999E-3</v>
      </c>
      <c r="AA350">
        <v>0.99920229999999999</v>
      </c>
      <c r="AB350">
        <v>51</v>
      </c>
      <c r="AC350">
        <v>14.2684</v>
      </c>
      <c r="AD350">
        <v>-1.1067015460741001</v>
      </c>
      <c r="AE350">
        <v>0.36340000000001199</v>
      </c>
      <c r="AF350">
        <v>-0.58921926111436995</v>
      </c>
      <c r="AG350">
        <v>-1.1067015460741001</v>
      </c>
      <c r="AH350">
        <v>14.175487899213399</v>
      </c>
      <c r="AI350">
        <v>94.460276219560996</v>
      </c>
      <c r="AJ350">
        <v>92.380189984202104</v>
      </c>
      <c r="AK350">
        <v>14.230826568773001</v>
      </c>
      <c r="AL350">
        <v>82.477212670634103</v>
      </c>
      <c r="AM350">
        <v>87.342973539192599</v>
      </c>
      <c r="AN350">
        <v>1.0000000510692699</v>
      </c>
    </row>
    <row r="351" spans="1:40" x14ac:dyDescent="0.25">
      <c r="A351" t="str">
        <f>"20190312164444258"</f>
        <v>20190312164444258</v>
      </c>
      <c r="B351" t="str">
        <f>"1552380284252256"</f>
        <v>1552380284252256</v>
      </c>
      <c r="C351" t="s">
        <v>40</v>
      </c>
      <c r="D351">
        <v>4.651656</v>
      </c>
      <c r="E351">
        <v>0.4708465</v>
      </c>
      <c r="F351" t="s">
        <v>42</v>
      </c>
      <c r="G351">
        <v>-369.22300000000001</v>
      </c>
      <c r="H351" s="1">
        <v>-6.7591139999999896E-7</v>
      </c>
      <c r="I351">
        <v>368.01740000000001</v>
      </c>
      <c r="J351">
        <v>-383.35219999999998</v>
      </c>
      <c r="K351">
        <v>1.1067739999999999</v>
      </c>
      <c r="L351">
        <v>367.65690000000001</v>
      </c>
      <c r="M351">
        <v>0.99985630000000003</v>
      </c>
      <c r="N351">
        <v>0</v>
      </c>
      <c r="O351">
        <v>-1.607043E-2</v>
      </c>
      <c r="P351">
        <v>0.99025300000000005</v>
      </c>
      <c r="Q351">
        <v>0.1246647</v>
      </c>
      <c r="R351">
        <v>-6.2110650000000003E-2</v>
      </c>
      <c r="S351">
        <v>3.0638730000000001</v>
      </c>
      <c r="T351">
        <v>-0.2315885</v>
      </c>
      <c r="U351">
        <v>7.3730470000000006E-2</v>
      </c>
      <c r="V351">
        <v>4.6190479999999999E-2</v>
      </c>
      <c r="W351">
        <v>0.1300142</v>
      </c>
      <c r="X351">
        <v>0.99043570000000003</v>
      </c>
      <c r="Y351">
        <v>-3.996065E-2</v>
      </c>
      <c r="Z351">
        <v>2.7207260000000001E-3</v>
      </c>
      <c r="AA351">
        <v>0.99919749999999996</v>
      </c>
      <c r="AB351">
        <v>51</v>
      </c>
      <c r="AC351">
        <v>14.1291999999999</v>
      </c>
      <c r="AD351">
        <v>-1.1067746759114001</v>
      </c>
      <c r="AE351">
        <v>0.36050000000000099</v>
      </c>
      <c r="AF351">
        <v>-0.58393837245353897</v>
      </c>
      <c r="AG351">
        <v>-1.1067746759114001</v>
      </c>
      <c r="AH351">
        <v>14.0355163699226</v>
      </c>
      <c r="AI351">
        <v>94.504864205668795</v>
      </c>
      <c r="AJ351">
        <v>92.382379062794698</v>
      </c>
      <c r="AK351">
        <v>14.091190651482499</v>
      </c>
      <c r="AL351">
        <v>82.529587602070293</v>
      </c>
      <c r="AM351">
        <v>87.329858605271397</v>
      </c>
      <c r="AN351">
        <v>1.00000006423937</v>
      </c>
    </row>
    <row r="352" spans="1:40" x14ac:dyDescent="0.25">
      <c r="A352" t="str">
        <f>"20190312164444270"</f>
        <v>20190312164444270</v>
      </c>
      <c r="B352" t="str">
        <f>"1552380284262016"</f>
        <v>1552380284262016</v>
      </c>
      <c r="C352" t="s">
        <v>40</v>
      </c>
      <c r="D352">
        <v>4.6279199999999996</v>
      </c>
      <c r="E352">
        <v>0.47077950000000002</v>
      </c>
      <c r="F352" t="s">
        <v>42</v>
      </c>
      <c r="G352">
        <v>-368.9151</v>
      </c>
      <c r="H352" s="1">
        <v>-7.846172E-7</v>
      </c>
      <c r="I352">
        <v>368.0027</v>
      </c>
      <c r="J352">
        <v>-383.0643</v>
      </c>
      <c r="K352">
        <v>1.106808</v>
      </c>
      <c r="L352">
        <v>367.65230000000003</v>
      </c>
      <c r="M352">
        <v>0.99985619999999997</v>
      </c>
      <c r="N352">
        <v>0</v>
      </c>
      <c r="O352">
        <v>-1.606372E-2</v>
      </c>
      <c r="P352">
        <v>0.99030280000000004</v>
      </c>
      <c r="Q352">
        <v>0.12421119999999999</v>
      </c>
      <c r="R352">
        <v>-6.2226379999999998E-2</v>
      </c>
      <c r="S352">
        <v>3.0636899999999998</v>
      </c>
      <c r="T352">
        <v>-0.2348663</v>
      </c>
      <c r="U352">
        <v>7.3394780000000007E-2</v>
      </c>
      <c r="V352">
        <v>4.6311339999999999E-2</v>
      </c>
      <c r="W352">
        <v>0.12959960000000001</v>
      </c>
      <c r="X352">
        <v>0.99048440000000004</v>
      </c>
      <c r="Y352">
        <v>-3.9841759999999997E-2</v>
      </c>
      <c r="Z352">
        <v>2.7542270000000002E-3</v>
      </c>
      <c r="AA352">
        <v>0.99920220000000004</v>
      </c>
      <c r="AB352">
        <v>52</v>
      </c>
      <c r="AC352">
        <v>14.1492</v>
      </c>
      <c r="AD352">
        <v>-1.1068087846171999</v>
      </c>
      <c r="AE352">
        <v>0.35039999999997901</v>
      </c>
      <c r="AF352">
        <v>-0.57413593791260897</v>
      </c>
      <c r="AG352">
        <v>-1.1068087846171999</v>
      </c>
      <c r="AH352">
        <v>14.0557906060533</v>
      </c>
      <c r="AI352">
        <v>94.498670741277294</v>
      </c>
      <c r="AJ352">
        <v>92.339056564949004</v>
      </c>
      <c r="AK352">
        <v>14.1109853419995</v>
      </c>
      <c r="AL352">
        <v>82.553545183539896</v>
      </c>
      <c r="AM352">
        <v>87.323013617133896</v>
      </c>
      <c r="AN352">
        <v>1.0000000715880499</v>
      </c>
    </row>
    <row r="353" spans="1:40" x14ac:dyDescent="0.25">
      <c r="A353" t="str">
        <f>"20190312164444282"</f>
        <v>20190312164444282</v>
      </c>
      <c r="B353" t="str">
        <f>"1552380284271776"</f>
        <v>1552380284271776</v>
      </c>
      <c r="C353" t="s">
        <v>40</v>
      </c>
      <c r="D353">
        <v>4.6292530000000003</v>
      </c>
      <c r="E353">
        <v>0.47072249999999999</v>
      </c>
      <c r="F353" t="s">
        <v>41</v>
      </c>
      <c r="G353">
        <v>-381.92739999999998</v>
      </c>
      <c r="H353">
        <v>1.018948</v>
      </c>
      <c r="I353">
        <v>367.67939999999999</v>
      </c>
      <c r="J353">
        <v>-382.78379999999999</v>
      </c>
      <c r="K353">
        <v>1.10684</v>
      </c>
      <c r="L353">
        <v>367.64780000000002</v>
      </c>
      <c r="M353">
        <v>0.99985619999999997</v>
      </c>
      <c r="N353">
        <v>0</v>
      </c>
      <c r="O353">
        <v>-1.6052469999999999E-2</v>
      </c>
      <c r="P353">
        <v>0.99036599999999997</v>
      </c>
      <c r="Q353">
        <v>0.1236136</v>
      </c>
      <c r="R353">
        <v>-6.2410939999999998E-2</v>
      </c>
      <c r="S353">
        <v>3.0637210000000001</v>
      </c>
      <c r="T353">
        <v>-0.2369127</v>
      </c>
      <c r="U353">
        <v>7.3669429999999994E-2</v>
      </c>
      <c r="V353">
        <v>4.6505079999999997E-2</v>
      </c>
      <c r="W353">
        <v>0.1290374</v>
      </c>
      <c r="X353">
        <v>0.99054869999999995</v>
      </c>
      <c r="Y353">
        <v>-3.9916760000000003E-2</v>
      </c>
      <c r="Z353">
        <v>2.7801499999999999E-3</v>
      </c>
      <c r="AA353">
        <v>0.99919919999999995</v>
      </c>
      <c r="AB353">
        <v>52</v>
      </c>
      <c r="AC353">
        <v>0.85640000000000704</v>
      </c>
      <c r="AD353">
        <v>-8.7891999999999998E-2</v>
      </c>
      <c r="AE353">
        <v>3.1599999999968903E-2</v>
      </c>
      <c r="AF353">
        <v>-4.4871487589964003E-2</v>
      </c>
      <c r="AG353">
        <v>-8.7891999999999998E-2</v>
      </c>
      <c r="AH353">
        <v>0.84687452119000595</v>
      </c>
      <c r="AI353">
        <v>95.916929932213307</v>
      </c>
      <c r="AJ353">
        <v>93.032970004128899</v>
      </c>
      <c r="AK353">
        <v>0.85260477872419704</v>
      </c>
      <c r="AL353">
        <v>82.586029476866997</v>
      </c>
      <c r="AM353">
        <v>87.312005282013601</v>
      </c>
      <c r="AN353">
        <v>1.0000000500681201</v>
      </c>
    </row>
    <row r="354" spans="1:40" x14ac:dyDescent="0.25">
      <c r="A354" t="str">
        <f>"20190312164444294"</f>
        <v>20190312164444294</v>
      </c>
      <c r="B354" t="str">
        <f>"1552380284292272"</f>
        <v>1552380284292272</v>
      </c>
      <c r="C354" t="s">
        <v>40</v>
      </c>
      <c r="D354">
        <v>4.7514250000000002</v>
      </c>
      <c r="E354">
        <v>0.47073979999999999</v>
      </c>
      <c r="F354" t="s">
        <v>42</v>
      </c>
      <c r="G354">
        <v>-368.59089999999998</v>
      </c>
      <c r="H354" s="1">
        <v>-8.9874069999999895E-7</v>
      </c>
      <c r="I354">
        <v>367.98829999999998</v>
      </c>
      <c r="J354">
        <v>-382.53</v>
      </c>
      <c r="K354">
        <v>1.1068659999999999</v>
      </c>
      <c r="L354">
        <v>367.64370000000002</v>
      </c>
      <c r="M354">
        <v>0.99985619999999997</v>
      </c>
      <c r="N354">
        <v>0</v>
      </c>
      <c r="O354">
        <v>-1.603953E-2</v>
      </c>
      <c r="P354">
        <v>0.99044549999999998</v>
      </c>
      <c r="Q354">
        <v>0.1228887</v>
      </c>
      <c r="R354">
        <v>-6.2579040000000002E-2</v>
      </c>
      <c r="S354">
        <v>3.063599</v>
      </c>
      <c r="T354">
        <v>-0.23891599999999999</v>
      </c>
      <c r="U354">
        <v>7.3516849999999995E-2</v>
      </c>
      <c r="V354">
        <v>4.6683420000000003E-2</v>
      </c>
      <c r="W354">
        <v>0.12834409999999999</v>
      </c>
      <c r="X354">
        <v>0.99063029999999996</v>
      </c>
      <c r="Y354">
        <v>-3.9852440000000003E-2</v>
      </c>
      <c r="Z354">
        <v>2.8001900000000001E-3</v>
      </c>
      <c r="AA354">
        <v>0.99920169999999997</v>
      </c>
      <c r="AB354">
        <v>52</v>
      </c>
      <c r="AC354">
        <v>13.9390999999999</v>
      </c>
      <c r="AD354">
        <v>-1.1068668987407</v>
      </c>
      <c r="AE354">
        <v>0.344599999999957</v>
      </c>
      <c r="AF354">
        <v>-0.56457788388662</v>
      </c>
      <c r="AG354">
        <v>-1.1068668987407</v>
      </c>
      <c r="AH354">
        <v>13.844535730928101</v>
      </c>
      <c r="AI354">
        <v>94.567279303941703</v>
      </c>
      <c r="AJ354">
        <v>92.335218527428196</v>
      </c>
      <c r="AK354">
        <v>13.9001824492863</v>
      </c>
      <c r="AL354">
        <v>82.626085126274802</v>
      </c>
      <c r="AM354">
        <v>87.301934365500898</v>
      </c>
      <c r="AN354">
        <v>0.99999997049289702</v>
      </c>
    </row>
    <row r="355" spans="1:40" x14ac:dyDescent="0.25">
      <c r="A355" t="str">
        <f>"20190312164444312"</f>
        <v>20190312164444312</v>
      </c>
      <c r="B355" t="str">
        <f>"1552380284302031"</f>
        <v>1552380284302031</v>
      </c>
      <c r="C355" t="s">
        <v>40</v>
      </c>
      <c r="D355">
        <v>4.7202310000000001</v>
      </c>
      <c r="E355">
        <v>0.47071980000000002</v>
      </c>
      <c r="F355" t="s">
        <v>41</v>
      </c>
      <c r="G355">
        <v>-381.45650000000001</v>
      </c>
      <c r="H355">
        <v>1.0224200000000001</v>
      </c>
      <c r="I355">
        <v>367.66899999999998</v>
      </c>
      <c r="J355">
        <v>-382.09190000000001</v>
      </c>
      <c r="K355">
        <v>1.1069009999999999</v>
      </c>
      <c r="L355">
        <v>367.63670000000002</v>
      </c>
      <c r="M355">
        <v>0.99985670000000004</v>
      </c>
      <c r="N355">
        <v>0</v>
      </c>
      <c r="O355">
        <v>-1.6009209999999999E-2</v>
      </c>
      <c r="P355">
        <v>0.99056820000000001</v>
      </c>
      <c r="Q355">
        <v>0.12169779999999999</v>
      </c>
      <c r="R355">
        <v>-6.2967999999999996E-2</v>
      </c>
      <c r="S355">
        <v>3.0634769999999998</v>
      </c>
      <c r="T355">
        <v>-0.2411025</v>
      </c>
      <c r="U355">
        <v>7.2906490000000004E-2</v>
      </c>
      <c r="V355">
        <v>4.7097569999999998E-2</v>
      </c>
      <c r="W355">
        <v>0.12720390000000001</v>
      </c>
      <c r="X355">
        <v>0.99075780000000002</v>
      </c>
      <c r="Y355">
        <v>-3.962181E-2</v>
      </c>
      <c r="Z355">
        <v>2.814413E-3</v>
      </c>
      <c r="AA355">
        <v>0.99921079999999995</v>
      </c>
      <c r="AB355">
        <v>52</v>
      </c>
      <c r="AC355">
        <v>0.63540000000000396</v>
      </c>
      <c r="AD355">
        <v>-8.4480999999999806E-2</v>
      </c>
      <c r="AE355">
        <v>3.2300000000020597E-2</v>
      </c>
      <c r="AF355">
        <v>-4.1732438005938503E-2</v>
      </c>
      <c r="AG355">
        <v>-8.4480999999999806E-2</v>
      </c>
      <c r="AH355">
        <v>0.62380254334399599</v>
      </c>
      <c r="AI355">
        <v>97.695595191827806</v>
      </c>
      <c r="AJ355">
        <v>93.827388864184996</v>
      </c>
      <c r="AK355">
        <v>0.63087894942322997</v>
      </c>
      <c r="AL355">
        <v>82.691954016665306</v>
      </c>
      <c r="AM355">
        <v>87.278384191117496</v>
      </c>
      <c r="AN355">
        <v>1.00000001576797</v>
      </c>
    </row>
    <row r="356" spans="1:40" x14ac:dyDescent="0.25">
      <c r="A356" t="str">
        <f>"20190312164444323"</f>
        <v>20190312164444323</v>
      </c>
      <c r="B356" t="str">
        <f>"1552380284311792"</f>
        <v>1552380284311792</v>
      </c>
      <c r="C356" t="s">
        <v>40</v>
      </c>
      <c r="D356">
        <v>4.7320060000000002</v>
      </c>
      <c r="E356">
        <v>0.47072439999999999</v>
      </c>
      <c r="F356" t="s">
        <v>41</v>
      </c>
      <c r="G356">
        <v>-380.99880000000002</v>
      </c>
      <c r="H356">
        <v>1.019679</v>
      </c>
      <c r="I356">
        <v>367.66239999999999</v>
      </c>
      <c r="J356">
        <v>-381.8295</v>
      </c>
      <c r="K356">
        <v>1.106924</v>
      </c>
      <c r="L356">
        <v>367.63249999999999</v>
      </c>
      <c r="M356">
        <v>0.99985670000000004</v>
      </c>
      <c r="N356">
        <v>0</v>
      </c>
      <c r="O356">
        <v>-1.5984930000000001E-2</v>
      </c>
      <c r="P356">
        <v>0.99062499999999998</v>
      </c>
      <c r="Q356">
        <v>0.1211878</v>
      </c>
      <c r="R356">
        <v>-6.3052490000000003E-2</v>
      </c>
      <c r="S356">
        <v>3.063202</v>
      </c>
      <c r="T356">
        <v>-0.24448600000000001</v>
      </c>
      <c r="U356">
        <v>7.2326660000000001E-2</v>
      </c>
      <c r="V356">
        <v>4.7203540000000002E-2</v>
      </c>
      <c r="W356">
        <v>0.12672240000000001</v>
      </c>
      <c r="X356">
        <v>0.99081439999999998</v>
      </c>
      <c r="Y356">
        <v>-3.9406530000000002E-2</v>
      </c>
      <c r="Z356">
        <v>2.8435349999999999E-3</v>
      </c>
      <c r="AA356">
        <v>0.99921919999999997</v>
      </c>
      <c r="AB356">
        <v>52</v>
      </c>
      <c r="AC356">
        <v>0.83069999999997801</v>
      </c>
      <c r="AD356">
        <v>-8.7245000000000003E-2</v>
      </c>
      <c r="AE356">
        <v>2.98999999999978E-2</v>
      </c>
      <c r="AF356">
        <v>-4.2704626068500701E-2</v>
      </c>
      <c r="AG356">
        <v>-8.7245000000000003E-2</v>
      </c>
      <c r="AH356">
        <v>0.82107085264212798</v>
      </c>
      <c r="AI356">
        <v>96.057225496778898</v>
      </c>
      <c r="AJ356">
        <v>92.977321754942494</v>
      </c>
      <c r="AK356">
        <v>0.82679666192548296</v>
      </c>
      <c r="AL356">
        <v>82.719766590352094</v>
      </c>
      <c r="AM356">
        <v>87.272425352395501</v>
      </c>
      <c r="AN356">
        <v>0.99999995804882502</v>
      </c>
    </row>
    <row r="357" spans="1:40" x14ac:dyDescent="0.25">
      <c r="A357" t="str">
        <f>"20190312164444336"</f>
        <v>20190312164444336</v>
      </c>
      <c r="B357" t="str">
        <f>"1552380284332288"</f>
        <v>1552380284332288</v>
      </c>
      <c r="C357" t="s">
        <v>40</v>
      </c>
      <c r="D357">
        <v>4.6831009999999997</v>
      </c>
      <c r="E357">
        <v>0.47081139999999999</v>
      </c>
      <c r="F357" t="s">
        <v>42</v>
      </c>
      <c r="G357">
        <v>-368.06389999999999</v>
      </c>
      <c r="H357" s="1">
        <v>-1.107217E-6</v>
      </c>
      <c r="I357">
        <v>367.9572</v>
      </c>
      <c r="J357">
        <v>-381.56619999999998</v>
      </c>
      <c r="K357">
        <v>1.106943</v>
      </c>
      <c r="L357">
        <v>367.62830000000002</v>
      </c>
      <c r="M357">
        <v>0.99985710000000005</v>
      </c>
      <c r="N357">
        <v>0</v>
      </c>
      <c r="O357">
        <v>-1.595742E-2</v>
      </c>
      <c r="P357">
        <v>0.99070100000000005</v>
      </c>
      <c r="Q357">
        <v>0.12059259999999999</v>
      </c>
      <c r="R357">
        <v>-6.3004749999999998E-2</v>
      </c>
      <c r="S357">
        <v>3.0630799999999998</v>
      </c>
      <c r="T357">
        <v>-0.24630650000000001</v>
      </c>
      <c r="U357">
        <v>7.2265629999999997E-2</v>
      </c>
      <c r="V357">
        <v>4.7179840000000001E-2</v>
      </c>
      <c r="W357">
        <v>0.1261553</v>
      </c>
      <c r="X357">
        <v>0.99088790000000004</v>
      </c>
      <c r="Y357">
        <v>-3.9357679999999999E-2</v>
      </c>
      <c r="Z357">
        <v>2.8605869999999999E-3</v>
      </c>
      <c r="AA357">
        <v>0.99922109999999997</v>
      </c>
      <c r="AB357">
        <v>52</v>
      </c>
      <c r="AC357">
        <v>13.5022999999999</v>
      </c>
      <c r="AD357">
        <v>-1.1069441072169901</v>
      </c>
      <c r="AE357">
        <v>0.32889999999997599</v>
      </c>
      <c r="AF357">
        <v>-0.540691498330376</v>
      </c>
      <c r="AG357">
        <v>-1.1069441072169901</v>
      </c>
      <c r="AH357">
        <v>13.405288325409799</v>
      </c>
      <c r="AI357">
        <v>94.716681853752206</v>
      </c>
      <c r="AJ357">
        <v>92.309727097933305</v>
      </c>
      <c r="AK357">
        <v>13.461776541015499</v>
      </c>
      <c r="AL357">
        <v>82.752521950868697</v>
      </c>
      <c r="AM357">
        <v>87.273994663060193</v>
      </c>
      <c r="AN357">
        <v>0.999999963693462</v>
      </c>
    </row>
    <row r="358" spans="1:40" x14ac:dyDescent="0.25">
      <c r="A358" t="str">
        <f>"20190312164444348"</f>
        <v>20190312164444348</v>
      </c>
      <c r="B358" t="str">
        <f>"1552380284342048"</f>
        <v>1552380284342048</v>
      </c>
      <c r="C358" t="s">
        <v>40</v>
      </c>
      <c r="D358">
        <v>4.6239949999999999</v>
      </c>
      <c r="E358">
        <v>0.48804059999999999</v>
      </c>
      <c r="F358" t="s">
        <v>41</v>
      </c>
      <c r="G358">
        <v>-380.52969999999999</v>
      </c>
      <c r="H358">
        <v>1.0230999999999999</v>
      </c>
      <c r="I358">
        <v>367.6524</v>
      </c>
      <c r="J358">
        <v>-381.26299999999998</v>
      </c>
      <c r="K358">
        <v>1.1069639999999901</v>
      </c>
      <c r="L358">
        <v>367.6234</v>
      </c>
      <c r="M358">
        <v>0.99985740000000001</v>
      </c>
      <c r="N358">
        <v>0</v>
      </c>
      <c r="O358">
        <v>-1.5922639999999998E-2</v>
      </c>
      <c r="P358">
        <v>0.99074660000000003</v>
      </c>
      <c r="Q358">
        <v>0.1201425</v>
      </c>
      <c r="R358">
        <v>-6.3142149999999994E-2</v>
      </c>
      <c r="S358">
        <v>3.0628660000000001</v>
      </c>
      <c r="T358">
        <v>-0.247831</v>
      </c>
      <c r="U358">
        <v>7.1533200000000005E-2</v>
      </c>
      <c r="V358">
        <v>4.7348729999999999E-2</v>
      </c>
      <c r="W358">
        <v>0.12573619999999999</v>
      </c>
      <c r="X358">
        <v>0.99093319999999996</v>
      </c>
      <c r="Y358">
        <v>-3.9084519999999998E-2</v>
      </c>
      <c r="Z358">
        <v>2.8646019999999999E-3</v>
      </c>
      <c r="AA358">
        <v>0.9992318</v>
      </c>
      <c r="AB358">
        <v>52</v>
      </c>
      <c r="AC358">
        <v>0.73330000000004203</v>
      </c>
      <c r="AD358">
        <v>-8.3863999999999897E-2</v>
      </c>
      <c r="AE358">
        <v>2.89999999999963E-2</v>
      </c>
      <c r="AF358">
        <v>-4.0148284715412499E-2</v>
      </c>
      <c r="AG358">
        <v>-8.3863999999999897E-2</v>
      </c>
      <c r="AH358">
        <v>0.72329971773470902</v>
      </c>
      <c r="AI358">
        <v>96.603632508716402</v>
      </c>
      <c r="AJ358">
        <v>93.177063536935407</v>
      </c>
      <c r="AK358">
        <v>0.72925135374348105</v>
      </c>
      <c r="AL358">
        <v>82.776727988313894</v>
      </c>
      <c r="AM358">
        <v>87.264376034772695</v>
      </c>
      <c r="AN358">
        <v>1.0000000505426401</v>
      </c>
    </row>
    <row r="359" spans="1:40" x14ac:dyDescent="0.25">
      <c r="A359" t="str">
        <f>"20190312164444361"</f>
        <v>20190312164444361</v>
      </c>
      <c r="B359" t="str">
        <f>"1552380284352316"</f>
        <v>1552380284352316</v>
      </c>
      <c r="C359" t="s">
        <v>40</v>
      </c>
      <c r="D359">
        <v>4.5956029999999997</v>
      </c>
      <c r="E359">
        <v>0.49031079999999999</v>
      </c>
      <c r="F359" t="s">
        <v>42</v>
      </c>
      <c r="G359">
        <v>-366.02539999999999</v>
      </c>
      <c r="H359" s="1">
        <v>-2.100282E-6</v>
      </c>
      <c r="I359">
        <v>367.28879999999998</v>
      </c>
      <c r="J359">
        <v>-380.97199999999998</v>
      </c>
      <c r="K359">
        <v>1.1069819999999999</v>
      </c>
      <c r="L359">
        <v>367.61880000000002</v>
      </c>
      <c r="M359">
        <v>0.99985780000000002</v>
      </c>
      <c r="N359">
        <v>0</v>
      </c>
      <c r="O359">
        <v>-1.588297E-2</v>
      </c>
      <c r="P359">
        <v>0.9908285</v>
      </c>
      <c r="Q359">
        <v>0.1195837</v>
      </c>
      <c r="R359">
        <v>-6.2918450000000001E-2</v>
      </c>
      <c r="S359">
        <v>3.0506289999999998</v>
      </c>
      <c r="T359">
        <v>-0.2216167</v>
      </c>
      <c r="U359">
        <v>-6.6986080000000003E-2</v>
      </c>
      <c r="V359">
        <v>4.7161189999999999E-2</v>
      </c>
      <c r="W359">
        <v>0.12520490000000001</v>
      </c>
      <c r="X359">
        <v>0.99100940000000004</v>
      </c>
      <c r="Y359">
        <v>6.0964340000000004E-3</v>
      </c>
      <c r="Z359">
        <v>9.3099030000000002E-4</v>
      </c>
      <c r="AA359">
        <v>0.99998100000000001</v>
      </c>
      <c r="AB359">
        <v>52</v>
      </c>
      <c r="AC359">
        <v>14.946599999999901</v>
      </c>
      <c r="AD359">
        <v>-1.106984100282</v>
      </c>
      <c r="AE359">
        <v>-0.33000000000003998</v>
      </c>
      <c r="AF359">
        <v>9.2053468647635001E-2</v>
      </c>
      <c r="AG359">
        <v>-1.106984100282</v>
      </c>
      <c r="AH359">
        <v>14.868438355650699</v>
      </c>
      <c r="AI359">
        <v>94.257844949823607</v>
      </c>
      <c r="AJ359">
        <v>89.645274928737507</v>
      </c>
      <c r="AK359">
        <v>14.9098741367978</v>
      </c>
      <c r="AL359">
        <v>82.807411626005603</v>
      </c>
      <c r="AM359">
        <v>87.275404196554206</v>
      </c>
      <c r="AN359">
        <v>1.00000003785729</v>
      </c>
    </row>
    <row r="360" spans="1:40" x14ac:dyDescent="0.25">
      <c r="A360" t="str">
        <f>"20190312164444380"</f>
        <v>20190312164444380</v>
      </c>
      <c r="B360" t="str">
        <f>"1552380284371839"</f>
        <v>1552380284371839</v>
      </c>
      <c r="C360" t="s">
        <v>40</v>
      </c>
      <c r="D360">
        <v>4.6514059999999997</v>
      </c>
      <c r="E360">
        <v>0.49294339999999998</v>
      </c>
      <c r="F360" t="s">
        <v>41</v>
      </c>
      <c r="G360">
        <v>-380.06049999999999</v>
      </c>
      <c r="H360">
        <v>1.0403150000000001</v>
      </c>
      <c r="I360">
        <v>367.59359999999998</v>
      </c>
      <c r="J360">
        <v>-380.50450000000001</v>
      </c>
      <c r="K360">
        <v>1.107003</v>
      </c>
      <c r="L360">
        <v>367.6114</v>
      </c>
      <c r="M360">
        <v>0.99985880000000005</v>
      </c>
      <c r="N360">
        <v>0</v>
      </c>
      <c r="O360">
        <v>-1.5814350000000001E-2</v>
      </c>
      <c r="P360">
        <v>0.9909287</v>
      </c>
      <c r="Q360">
        <v>0.1186548</v>
      </c>
      <c r="R360">
        <v>-6.310093E-2</v>
      </c>
      <c r="S360">
        <v>3.0493160000000001</v>
      </c>
      <c r="T360">
        <v>-0.2230618</v>
      </c>
      <c r="U360">
        <v>-8.4472660000000005E-2</v>
      </c>
      <c r="V360">
        <v>4.7407169999999998E-2</v>
      </c>
      <c r="W360">
        <v>0.12431879999999999</v>
      </c>
      <c r="X360">
        <v>0.99110920000000002</v>
      </c>
      <c r="Y360">
        <v>1.189E-2</v>
      </c>
      <c r="Z360">
        <v>7.2077549999999995E-4</v>
      </c>
      <c r="AA360">
        <v>0.99992910000000002</v>
      </c>
      <c r="AB360">
        <v>52</v>
      </c>
      <c r="AC360">
        <v>0.44400000000001599</v>
      </c>
      <c r="AD360">
        <v>-6.6687999999999997E-2</v>
      </c>
      <c r="AE360">
        <v>-1.7800000000022399E-2</v>
      </c>
      <c r="AF360">
        <v>1.0538722406647201E-2</v>
      </c>
      <c r="AG360">
        <v>-6.6687999999999997E-2</v>
      </c>
      <c r="AH360">
        <v>0.43444093095162001</v>
      </c>
      <c r="AI360">
        <v>98.724429286335095</v>
      </c>
      <c r="AJ360">
        <v>88.610384352215803</v>
      </c>
      <c r="AK360">
        <v>0.43965586144173502</v>
      </c>
      <c r="AL360">
        <v>82.858581126722996</v>
      </c>
      <c r="AM360">
        <v>87.261490386301602</v>
      </c>
      <c r="AN360">
        <v>1.0000000250627401</v>
      </c>
    </row>
    <row r="361" spans="1:40" x14ac:dyDescent="0.25">
      <c r="A361" t="str">
        <f>"20190312164444394"</f>
        <v>20190312164444394</v>
      </c>
      <c r="B361" t="str">
        <f>"1552380284382571"</f>
        <v>1552380284382571</v>
      </c>
      <c r="C361" t="s">
        <v>40</v>
      </c>
      <c r="D361">
        <v>4.6347579999999997</v>
      </c>
      <c r="E361">
        <v>0.49374440000000003</v>
      </c>
      <c r="F361" t="s">
        <v>41</v>
      </c>
      <c r="G361">
        <v>-379.58980000000003</v>
      </c>
      <c r="H361">
        <v>1.0445739999999999</v>
      </c>
      <c r="I361">
        <v>367.57929999999999</v>
      </c>
      <c r="J361">
        <v>-380.21010000000001</v>
      </c>
      <c r="K361">
        <v>1.1070180000000001</v>
      </c>
      <c r="L361">
        <v>367.60680000000002</v>
      </c>
      <c r="M361">
        <v>0.99985939999999995</v>
      </c>
      <c r="N361">
        <v>0</v>
      </c>
      <c r="O361">
        <v>-1.5767650000000001E-2</v>
      </c>
      <c r="P361">
        <v>0.99100310000000003</v>
      </c>
      <c r="Q361">
        <v>0.1179634</v>
      </c>
      <c r="R361">
        <v>-6.3228709999999994E-2</v>
      </c>
      <c r="S361">
        <v>3.045563</v>
      </c>
      <c r="T361">
        <v>-0.20793120000000001</v>
      </c>
      <c r="U361">
        <v>-0.1069031</v>
      </c>
      <c r="V361">
        <v>4.757844E-2</v>
      </c>
      <c r="W361">
        <v>0.123653</v>
      </c>
      <c r="X361">
        <v>0.99118419999999896</v>
      </c>
      <c r="Y361">
        <v>1.9308849999999999E-2</v>
      </c>
      <c r="Z361">
        <v>4.1666799999999998E-4</v>
      </c>
      <c r="AA361">
        <v>0.99981350000000002</v>
      </c>
      <c r="AB361">
        <v>52</v>
      </c>
      <c r="AC361">
        <v>0.62029999999998597</v>
      </c>
      <c r="AD361">
        <v>-6.2444000000000097E-2</v>
      </c>
      <c r="AE361">
        <v>-2.7500000000031801E-2</v>
      </c>
      <c r="AF361">
        <v>1.7538364724417801E-2</v>
      </c>
      <c r="AG361">
        <v>-6.2444000000000097E-2</v>
      </c>
      <c r="AH361">
        <v>0.61444200350331801</v>
      </c>
      <c r="AI361">
        <v>95.800538562952298</v>
      </c>
      <c r="AJ361">
        <v>88.365018172958102</v>
      </c>
      <c r="AK361">
        <v>0.61785582706840103</v>
      </c>
      <c r="AL361">
        <v>82.897024723313095</v>
      </c>
      <c r="AM361">
        <v>87.251819636224994</v>
      </c>
      <c r="AN361">
        <v>0.999999945345735</v>
      </c>
    </row>
    <row r="362" spans="1:40" x14ac:dyDescent="0.25">
      <c r="A362" t="str">
        <f>"20190312164444414"</f>
        <v>20190312164444414</v>
      </c>
      <c r="B362" t="str">
        <f>"1552380284402092"</f>
        <v>1552380284402092</v>
      </c>
      <c r="C362" t="s">
        <v>40</v>
      </c>
      <c r="D362">
        <v>4.6049559999999996</v>
      </c>
      <c r="E362">
        <v>0.49446639999999997</v>
      </c>
      <c r="F362" t="s">
        <v>41</v>
      </c>
      <c r="G362">
        <v>-379.12689999999998</v>
      </c>
      <c r="H362">
        <v>1.0351379999999999</v>
      </c>
      <c r="I362">
        <v>367.56639999999999</v>
      </c>
      <c r="J362">
        <v>-379.71820000000002</v>
      </c>
      <c r="K362">
        <v>1.1070329999999999</v>
      </c>
      <c r="L362">
        <v>367.59910000000002</v>
      </c>
      <c r="M362">
        <v>0.99986050000000004</v>
      </c>
      <c r="N362">
        <v>0</v>
      </c>
      <c r="O362">
        <v>-1.5683780000000001E-2</v>
      </c>
      <c r="P362">
        <v>0.99107610000000002</v>
      </c>
      <c r="Q362">
        <v>0.11735719999999999</v>
      </c>
      <c r="R362">
        <v>-6.3211649999999994E-2</v>
      </c>
      <c r="S362">
        <v>3.0440369999999999</v>
      </c>
      <c r="T362">
        <v>-0.20198179999999999</v>
      </c>
      <c r="U362">
        <v>-0.113647499999999</v>
      </c>
      <c r="V362">
        <v>4.7640839999999997E-2</v>
      </c>
      <c r="W362">
        <v>0.1230866</v>
      </c>
      <c r="X362">
        <v>0.99125180000000002</v>
      </c>
      <c r="Y362">
        <v>2.1617730000000002E-2</v>
      </c>
      <c r="Z362">
        <v>3.2290850000000001E-4</v>
      </c>
      <c r="AA362">
        <v>0.99976620000000005</v>
      </c>
      <c r="AB362">
        <v>52</v>
      </c>
      <c r="AC362">
        <v>0.59130000000004601</v>
      </c>
      <c r="AD362">
        <v>-7.1895000000000001E-2</v>
      </c>
      <c r="AE362">
        <v>-3.2700000000033903E-2</v>
      </c>
      <c r="AF362">
        <v>2.3081812710851E-2</v>
      </c>
      <c r="AG362">
        <v>-7.1895000000000001E-2</v>
      </c>
      <c r="AH362">
        <v>0.58314540566885598</v>
      </c>
      <c r="AI362">
        <v>97.022986846040496</v>
      </c>
      <c r="AJ362">
        <v>87.733326133630797</v>
      </c>
      <c r="AK362">
        <v>0.58801379682428701</v>
      </c>
      <c r="AL362">
        <v>82.929727588793</v>
      </c>
      <c r="AM362">
        <v>87.248408257019804</v>
      </c>
      <c r="AN362">
        <v>1.0000000458693501</v>
      </c>
    </row>
    <row r="363" spans="1:40" x14ac:dyDescent="0.25">
      <c r="A363" t="str">
        <f>"20190312164444427"</f>
        <v>20190312164444427</v>
      </c>
      <c r="B363" t="str">
        <f>"1552380284422588"</f>
        <v>1552380284422588</v>
      </c>
      <c r="C363" t="s">
        <v>40</v>
      </c>
      <c r="D363">
        <v>4.6705129999999997</v>
      </c>
      <c r="E363">
        <v>0.49486730000000001</v>
      </c>
      <c r="F363" t="s">
        <v>41</v>
      </c>
      <c r="G363">
        <v>-378.65499999999997</v>
      </c>
      <c r="H363">
        <v>1.038883</v>
      </c>
      <c r="I363">
        <v>367.55720000000002</v>
      </c>
      <c r="J363">
        <v>-379.39710000000002</v>
      </c>
      <c r="K363">
        <v>1.1070439999999999</v>
      </c>
      <c r="L363">
        <v>367.59410000000003</v>
      </c>
      <c r="M363">
        <v>0.99986120000000001</v>
      </c>
      <c r="N363">
        <v>0</v>
      </c>
      <c r="O363">
        <v>-1.5626350000000001E-2</v>
      </c>
      <c r="P363">
        <v>0.99112359999999999</v>
      </c>
      <c r="Q363">
        <v>0.1168915</v>
      </c>
      <c r="R363">
        <v>-6.3330259999999999E-2</v>
      </c>
      <c r="S363">
        <v>3.0424500000000001</v>
      </c>
      <c r="T363">
        <v>-0.1951232</v>
      </c>
      <c r="U363">
        <v>-0.11959839999999999</v>
      </c>
      <c r="V363">
        <v>4.7814179999999998E-2</v>
      </c>
      <c r="W363">
        <v>0.12264559999999999</v>
      </c>
      <c r="X363">
        <v>0.99129809999999996</v>
      </c>
      <c r="Y363">
        <v>2.3643770000000001E-2</v>
      </c>
      <c r="Z363">
        <v>2.435592E-4</v>
      </c>
      <c r="AA363">
        <v>0.99972039999999995</v>
      </c>
      <c r="AB363">
        <v>52</v>
      </c>
      <c r="AC363">
        <v>0.74210000000005005</v>
      </c>
      <c r="AD363">
        <v>-6.8161000000000097E-2</v>
      </c>
      <c r="AE363">
        <v>-3.6900000000002799E-2</v>
      </c>
      <c r="AF363">
        <v>2.50878621017658E-2</v>
      </c>
      <c r="AG363">
        <v>-6.8161000000000097E-2</v>
      </c>
      <c r="AH363">
        <v>0.73638900371436999</v>
      </c>
      <c r="AI363">
        <v>95.285245009936204</v>
      </c>
      <c r="AJ363">
        <v>88.048758382679395</v>
      </c>
      <c r="AK363">
        <v>0.73996222034458004</v>
      </c>
      <c r="AL363">
        <v>82.955187828050896</v>
      </c>
      <c r="AM363">
        <v>87.238540914058007</v>
      </c>
      <c r="AN363">
        <v>1.00000003103602</v>
      </c>
    </row>
    <row r="364" spans="1:40" x14ac:dyDescent="0.25">
      <c r="A364" t="str">
        <f>"20190312164444449"</f>
        <v>20190312164444449</v>
      </c>
      <c r="B364" t="str">
        <f>"1552380284442107"</f>
        <v>1552380284442107</v>
      </c>
      <c r="C364" t="s">
        <v>40</v>
      </c>
      <c r="D364">
        <v>4.7074639999999999</v>
      </c>
      <c r="E364">
        <v>0.49498110000000001</v>
      </c>
      <c r="F364" t="s">
        <v>42</v>
      </c>
      <c r="G364">
        <v>-361.6696</v>
      </c>
      <c r="H364" s="1">
        <v>-4.042851E-6</v>
      </c>
      <c r="I364">
        <v>366.87180000000001</v>
      </c>
      <c r="J364">
        <v>-378.9074</v>
      </c>
      <c r="K364">
        <v>1.107065</v>
      </c>
      <c r="L364">
        <v>367.58640000000003</v>
      </c>
      <c r="M364">
        <v>0.99986240000000004</v>
      </c>
      <c r="N364">
        <v>0</v>
      </c>
      <c r="O364">
        <v>-1.553675E-2</v>
      </c>
      <c r="P364">
        <v>0.99120249999999999</v>
      </c>
      <c r="Q364">
        <v>0.1163445</v>
      </c>
      <c r="R364">
        <v>-6.3100580000000003E-2</v>
      </c>
      <c r="S364">
        <v>3.0414119999999998</v>
      </c>
      <c r="T364">
        <v>-0.18992890000000001</v>
      </c>
      <c r="U364">
        <v>-0.12390139999999999</v>
      </c>
      <c r="V364">
        <v>4.7670190000000001E-2</v>
      </c>
      <c r="W364">
        <v>0.12213449999999999</v>
      </c>
      <c r="X364">
        <v>0.99136809999999997</v>
      </c>
      <c r="Y364">
        <v>2.515659E-2</v>
      </c>
      <c r="Z364">
        <v>1.84403E-4</v>
      </c>
      <c r="AA364">
        <v>0.99968349999999995</v>
      </c>
      <c r="AB364">
        <v>52</v>
      </c>
      <c r="AC364">
        <v>17.237799999999901</v>
      </c>
      <c r="AD364">
        <v>-1.1070690428509999</v>
      </c>
      <c r="AE364">
        <v>-0.714600000000018</v>
      </c>
      <c r="AF364">
        <v>0.44485809860935199</v>
      </c>
      <c r="AG364">
        <v>-1.1070690428509999</v>
      </c>
      <c r="AH364">
        <v>17.176098402146799</v>
      </c>
      <c r="AI364">
        <v>93.686610768643206</v>
      </c>
      <c r="AJ364">
        <v>88.516380496315804</v>
      </c>
      <c r="AK364">
        <v>17.217486951171701</v>
      </c>
      <c r="AL364">
        <v>82.984693277677707</v>
      </c>
      <c r="AM364">
        <v>87.247038194953106</v>
      </c>
      <c r="AN364">
        <v>0.99999999640124704</v>
      </c>
    </row>
    <row r="365" spans="1:40" x14ac:dyDescent="0.25">
      <c r="A365" t="str">
        <f>"20190312164444470"</f>
        <v>20190312164444470</v>
      </c>
      <c r="B365" t="str">
        <f>"1552380284462134"</f>
        <v>1552380284462134</v>
      </c>
      <c r="C365" t="s">
        <v>40</v>
      </c>
      <c r="D365">
        <v>4.8117549999999998</v>
      </c>
      <c r="E365">
        <v>0.4950116</v>
      </c>
      <c r="F365" t="s">
        <v>41</v>
      </c>
      <c r="G365">
        <v>-377.71510000000001</v>
      </c>
      <c r="H365">
        <v>1.03233</v>
      </c>
      <c r="I365">
        <v>367.53739999999999</v>
      </c>
      <c r="J365">
        <v>-378.37430000000001</v>
      </c>
      <c r="K365">
        <v>1.1070819999999999</v>
      </c>
      <c r="L365">
        <v>367.57819999999998</v>
      </c>
      <c r="M365">
        <v>0.99986359999999996</v>
      </c>
      <c r="N365">
        <v>0</v>
      </c>
      <c r="O365">
        <v>-1.543513E-2</v>
      </c>
      <c r="P365">
        <v>0.99131749999999996</v>
      </c>
      <c r="Q365">
        <v>0.1155969</v>
      </c>
      <c r="R365">
        <v>-6.2664120000000004E-2</v>
      </c>
      <c r="S365">
        <v>3.0411380000000001</v>
      </c>
      <c r="T365">
        <v>-0.19083739999999999</v>
      </c>
      <c r="U365">
        <v>-0.1240845</v>
      </c>
      <c r="V365">
        <v>4.7330509999999999E-2</v>
      </c>
      <c r="W365">
        <v>0.1214297</v>
      </c>
      <c r="X365">
        <v>0.99147090000000004</v>
      </c>
      <c r="Y365">
        <v>2.532125E-2</v>
      </c>
      <c r="Z365">
        <v>1.73774199999999E-4</v>
      </c>
      <c r="AA365">
        <v>0.99967930000000005</v>
      </c>
      <c r="AB365">
        <v>53</v>
      </c>
      <c r="AC365">
        <v>0.65919999999999801</v>
      </c>
      <c r="AD365">
        <v>-7.4751999999999902E-2</v>
      </c>
      <c r="AE365">
        <v>-4.0799999999990101E-2</v>
      </c>
      <c r="AF365">
        <v>3.0232841836357899E-2</v>
      </c>
      <c r="AG365">
        <v>-7.4751999999999902E-2</v>
      </c>
      <c r="AH365">
        <v>0.65140668142577396</v>
      </c>
      <c r="AI365">
        <v>96.539348542132501</v>
      </c>
      <c r="AJ365">
        <v>87.342716705230202</v>
      </c>
      <c r="AK365">
        <v>0.65637835951198298</v>
      </c>
      <c r="AL365">
        <v>83.025377823864204</v>
      </c>
      <c r="AM365">
        <v>87.266907896227096</v>
      </c>
      <c r="AN365">
        <v>0.99999994738287801</v>
      </c>
    </row>
    <row r="366" spans="1:40" x14ac:dyDescent="0.25">
      <c r="A366" t="str">
        <f>"20190312164444492"</f>
        <v>20190312164444492</v>
      </c>
      <c r="B366" t="str">
        <f>"1552380284481654"</f>
        <v>1552380284481654</v>
      </c>
      <c r="C366" t="s">
        <v>40</v>
      </c>
      <c r="D366">
        <v>4.8848099999999999</v>
      </c>
      <c r="E366">
        <v>0.49499100000000001</v>
      </c>
      <c r="F366" t="s">
        <v>41</v>
      </c>
      <c r="G366">
        <v>-377.24180000000001</v>
      </c>
      <c r="H366">
        <v>1.0325709999999999</v>
      </c>
      <c r="I366">
        <v>367.5324</v>
      </c>
      <c r="J366">
        <v>-377.88310000000001</v>
      </c>
      <c r="K366">
        <v>1.107094</v>
      </c>
      <c r="L366">
        <v>367.57060000000001</v>
      </c>
      <c r="M366">
        <v>0.999865</v>
      </c>
      <c r="N366">
        <v>0</v>
      </c>
      <c r="O366">
        <v>-1.5340309999999999E-2</v>
      </c>
      <c r="P366">
        <v>0.99142600000000003</v>
      </c>
      <c r="Q366">
        <v>0.11475870000000001</v>
      </c>
      <c r="R366">
        <v>-6.2495099999999998E-2</v>
      </c>
      <c r="S366">
        <v>3.0418090000000002</v>
      </c>
      <c r="T366">
        <v>-0.20019670000000001</v>
      </c>
      <c r="U366">
        <v>-0.1228943</v>
      </c>
      <c r="V366">
        <v>4.7251840000000003E-2</v>
      </c>
      <c r="W366">
        <v>0.12063459999999999</v>
      </c>
      <c r="X366">
        <v>0.9915718</v>
      </c>
      <c r="Y366">
        <v>2.501507E-2</v>
      </c>
      <c r="Z366">
        <v>1.860718E-4</v>
      </c>
      <c r="AA366">
        <v>0.99968710000000005</v>
      </c>
      <c r="AB366">
        <v>53</v>
      </c>
      <c r="AC366">
        <v>0.64130000000000098</v>
      </c>
      <c r="AD366">
        <v>-7.4523000000000103E-2</v>
      </c>
      <c r="AE366">
        <v>-3.8200000000017498E-2</v>
      </c>
      <c r="AF366">
        <v>2.7981076773171101E-2</v>
      </c>
      <c r="AG366">
        <v>-7.4523000000000103E-2</v>
      </c>
      <c r="AH366">
        <v>0.63328893201856595</v>
      </c>
      <c r="AI366">
        <v>96.704998626007594</v>
      </c>
      <c r="AJ366">
        <v>87.4701033150684</v>
      </c>
      <c r="AK366">
        <v>0.63827226917954205</v>
      </c>
      <c r="AL366">
        <v>83.071271718827404</v>
      </c>
      <c r="AM366">
        <v>87.271721042720102</v>
      </c>
      <c r="AN366">
        <v>1.00000003882789</v>
      </c>
    </row>
    <row r="367" spans="1:40" x14ac:dyDescent="0.25">
      <c r="A367" t="str">
        <f>"20190312164444504"</f>
        <v>20190312164444504</v>
      </c>
      <c r="B367" t="str">
        <f>"1552380284492391"</f>
        <v>1552380284492391</v>
      </c>
      <c r="C367" t="s">
        <v>40</v>
      </c>
      <c r="D367">
        <v>4.961106</v>
      </c>
      <c r="E367">
        <v>0.49504949999999998</v>
      </c>
      <c r="F367" t="s">
        <v>41</v>
      </c>
      <c r="G367">
        <v>-376.76760000000002</v>
      </c>
      <c r="H367">
        <v>1.032913</v>
      </c>
      <c r="I367">
        <v>367.52550000000002</v>
      </c>
      <c r="J367">
        <v>-377.59640000000002</v>
      </c>
      <c r="K367">
        <v>1.1071009999999999</v>
      </c>
      <c r="L367">
        <v>367.56630000000001</v>
      </c>
      <c r="M367">
        <v>0.99986569999999997</v>
      </c>
      <c r="N367">
        <v>0</v>
      </c>
      <c r="O367">
        <v>-1.528408E-2</v>
      </c>
      <c r="P367">
        <v>0.99145779999999994</v>
      </c>
      <c r="Q367">
        <v>0.1145331</v>
      </c>
      <c r="R367">
        <v>-6.240134E-2</v>
      </c>
      <c r="S367">
        <v>3.0416560000000001</v>
      </c>
      <c r="T367">
        <v>-0.20241120000000001</v>
      </c>
      <c r="U367">
        <v>-0.122406</v>
      </c>
      <c r="V367">
        <v>4.721231E-2</v>
      </c>
      <c r="W367">
        <v>0.12043379999999999</v>
      </c>
      <c r="X367">
        <v>0.99159810000000004</v>
      </c>
      <c r="Y367">
        <v>2.4912719999999999E-2</v>
      </c>
      <c r="Z367">
        <v>1.8780119999999999E-4</v>
      </c>
      <c r="AA367">
        <v>0.99968959999999996</v>
      </c>
      <c r="AB367">
        <v>53</v>
      </c>
      <c r="AC367">
        <v>0.82880000000000098</v>
      </c>
      <c r="AD367">
        <v>-7.4188000000000101E-2</v>
      </c>
      <c r="AE367">
        <v>-4.0799999999990101E-2</v>
      </c>
      <c r="AF367">
        <v>2.7904522631601598E-2</v>
      </c>
      <c r="AG367">
        <v>-7.4188000000000101E-2</v>
      </c>
      <c r="AH367">
        <v>0.82275043932156999</v>
      </c>
      <c r="AI367">
        <v>95.149522410297607</v>
      </c>
      <c r="AJ367">
        <v>88.057492670510001</v>
      </c>
      <c r="AK367">
        <v>0.82655962103839398</v>
      </c>
      <c r="AL367">
        <v>83.082861265775705</v>
      </c>
      <c r="AM367">
        <v>87.274072217491195</v>
      </c>
      <c r="AN367">
        <v>1.0000000471607899</v>
      </c>
    </row>
    <row r="368" spans="1:40" x14ac:dyDescent="0.25">
      <c r="A368" t="str">
        <f>"20190312164444515"</f>
        <v>20190312164444515</v>
      </c>
      <c r="B368" t="str">
        <f>"1552380284511910"</f>
        <v>1552380284511910</v>
      </c>
      <c r="C368" t="s">
        <v>40</v>
      </c>
      <c r="D368">
        <v>4.737438</v>
      </c>
      <c r="E368">
        <v>0.49477989999999999</v>
      </c>
      <c r="F368" t="s">
        <v>41</v>
      </c>
      <c r="G368">
        <v>-376.75349999999997</v>
      </c>
      <c r="H368">
        <v>1.0512649999999999</v>
      </c>
      <c r="I368">
        <v>367.53199999999998</v>
      </c>
      <c r="J368">
        <v>-377.3229</v>
      </c>
      <c r="K368">
        <v>1.107108</v>
      </c>
      <c r="L368">
        <v>367.56209999999999</v>
      </c>
      <c r="M368">
        <v>0.99986640000000004</v>
      </c>
      <c r="N368">
        <v>0</v>
      </c>
      <c r="O368">
        <v>-1.5228800000000001E-2</v>
      </c>
      <c r="P368">
        <v>0.9915351</v>
      </c>
      <c r="Q368">
        <v>0.11413769999999999</v>
      </c>
      <c r="R368">
        <v>-6.1893990000000003E-2</v>
      </c>
      <c r="S368">
        <v>3.0414430000000001</v>
      </c>
      <c r="T368">
        <v>-0.20168820000000001</v>
      </c>
      <c r="U368">
        <v>-0.1224976</v>
      </c>
      <c r="V368">
        <v>4.6757470000000002E-2</v>
      </c>
      <c r="W368">
        <v>0.12006269999999999</v>
      </c>
      <c r="X368">
        <v>0.99166460000000001</v>
      </c>
      <c r="Y368">
        <v>2.5000680000000001E-2</v>
      </c>
      <c r="Z368">
        <v>1.8057309999999999E-4</v>
      </c>
      <c r="AA368">
        <v>0.9996874</v>
      </c>
      <c r="AB368">
        <v>53</v>
      </c>
      <c r="AC368">
        <v>0.56940000000002999</v>
      </c>
      <c r="AD368">
        <v>-5.5842999999999997E-2</v>
      </c>
      <c r="AE368">
        <v>-3.0100000000004401E-2</v>
      </c>
      <c r="AF368">
        <v>2.1221529488085498E-2</v>
      </c>
      <c r="AG368">
        <v>-5.5842999999999997E-2</v>
      </c>
      <c r="AH368">
        <v>0.56437906927796899</v>
      </c>
      <c r="AI368">
        <v>95.646825189422103</v>
      </c>
      <c r="AJ368">
        <v>87.846604206120602</v>
      </c>
      <c r="AK368">
        <v>0.56753196192098299</v>
      </c>
      <c r="AL368">
        <v>83.104278784791006</v>
      </c>
      <c r="AM368">
        <v>87.300475340173506</v>
      </c>
      <c r="AN368">
        <v>0.99999999591262501</v>
      </c>
    </row>
    <row r="369" spans="1:40" x14ac:dyDescent="0.25">
      <c r="A369" t="str">
        <f>"20190312164444527"</f>
        <v>20190312164444527</v>
      </c>
      <c r="B369" t="str">
        <f>"1552380284521670"</f>
        <v>1552380284521670</v>
      </c>
      <c r="C369" t="s">
        <v>40</v>
      </c>
      <c r="D369">
        <v>4.7399959999999997</v>
      </c>
      <c r="E369">
        <v>0.49462990000000001</v>
      </c>
      <c r="F369" t="s">
        <v>41</v>
      </c>
      <c r="G369">
        <v>-376.29050000000001</v>
      </c>
      <c r="H369">
        <v>1.0368580000000001</v>
      </c>
      <c r="I369">
        <v>367.52179999999998</v>
      </c>
      <c r="J369">
        <v>-377.04450000000003</v>
      </c>
      <c r="K369">
        <v>1.107116</v>
      </c>
      <c r="L369">
        <v>367.55779999999999</v>
      </c>
      <c r="M369">
        <v>0.99986699999999995</v>
      </c>
      <c r="N369">
        <v>0</v>
      </c>
      <c r="O369">
        <v>-1.5171489999999999E-2</v>
      </c>
      <c r="P369">
        <v>0.9915929</v>
      </c>
      <c r="Q369">
        <v>0.1136175</v>
      </c>
      <c r="R369">
        <v>-6.1925769999999998E-2</v>
      </c>
      <c r="S369">
        <v>3.0420229999999999</v>
      </c>
      <c r="T369">
        <v>-0.20697689999999999</v>
      </c>
      <c r="U369">
        <v>-0.1186523</v>
      </c>
      <c r="V369">
        <v>4.6843639999999999E-2</v>
      </c>
      <c r="W369">
        <v>0.1195666</v>
      </c>
      <c r="X369">
        <v>0.9917205</v>
      </c>
      <c r="Y369">
        <v>2.3790180000000001E-2</v>
      </c>
      <c r="Z369">
        <v>2.2249490000000001E-4</v>
      </c>
      <c r="AA369">
        <v>0.99971690000000002</v>
      </c>
      <c r="AB369">
        <v>53</v>
      </c>
      <c r="AC369">
        <v>0.75400000000001899</v>
      </c>
      <c r="AD369">
        <v>-7.0257999999999904E-2</v>
      </c>
      <c r="AE369">
        <v>-3.6000000000001302E-2</v>
      </c>
      <c r="AF369">
        <v>2.4345447640395299E-2</v>
      </c>
      <c r="AG369">
        <v>-7.0257999999999904E-2</v>
      </c>
      <c r="AH369">
        <v>0.74797977531613102</v>
      </c>
      <c r="AI369">
        <v>95.363244420638793</v>
      </c>
      <c r="AJ369">
        <v>88.135779627889093</v>
      </c>
      <c r="AK369">
        <v>0.75166656947530996</v>
      </c>
      <c r="AL369">
        <v>83.132909664676802</v>
      </c>
      <c r="AM369">
        <v>87.295659944754107</v>
      </c>
      <c r="AN369">
        <v>1.0000000242821201</v>
      </c>
    </row>
    <row r="370" spans="1:40" x14ac:dyDescent="0.25">
      <c r="A370" t="str">
        <f>"20190312164444539"</f>
        <v>20190312164444539</v>
      </c>
      <c r="B370" t="str">
        <f>"1552380284532406"</f>
        <v>1552380284532406</v>
      </c>
      <c r="C370" t="s">
        <v>40</v>
      </c>
      <c r="D370">
        <v>4.7311899999999998</v>
      </c>
      <c r="E370">
        <v>0.49454910000000002</v>
      </c>
      <c r="F370" t="s">
        <v>42</v>
      </c>
      <c r="G370">
        <v>-361.0342</v>
      </c>
      <c r="H370" s="1">
        <v>-4.3032970000000001E-6</v>
      </c>
      <c r="I370">
        <v>366.9402</v>
      </c>
      <c r="J370">
        <v>-376.77760000000001</v>
      </c>
      <c r="K370">
        <v>1.1071219999999999</v>
      </c>
      <c r="L370">
        <v>367.55380000000002</v>
      </c>
      <c r="M370">
        <v>0.99986770000000003</v>
      </c>
      <c r="N370">
        <v>0</v>
      </c>
      <c r="O370">
        <v>-1.511346E-2</v>
      </c>
      <c r="P370">
        <v>0.9916372</v>
      </c>
      <c r="Q370">
        <v>0.11341039999999999</v>
      </c>
      <c r="R370">
        <v>-6.1595009999999999E-2</v>
      </c>
      <c r="S370">
        <v>3.0422060000000002</v>
      </c>
      <c r="T370">
        <v>-0.210369</v>
      </c>
      <c r="U370">
        <v>-0.1173401</v>
      </c>
      <c r="V370">
        <v>4.6568440000000003E-2</v>
      </c>
      <c r="W370">
        <v>0.1193815</v>
      </c>
      <c r="X370">
        <v>0.99175570000000002</v>
      </c>
      <c r="Y370">
        <v>2.3415370000000001E-2</v>
      </c>
      <c r="Z370">
        <v>2.350548E-4</v>
      </c>
      <c r="AA370">
        <v>0.9997258</v>
      </c>
      <c r="AB370">
        <v>53</v>
      </c>
      <c r="AC370">
        <v>15.743399999999999</v>
      </c>
      <c r="AD370">
        <v>-1.107126303297</v>
      </c>
      <c r="AE370">
        <v>-0.61360000000001902</v>
      </c>
      <c r="AF370">
        <v>0.37374287935711498</v>
      </c>
      <c r="AG370">
        <v>-1.107126303297</v>
      </c>
      <c r="AH370">
        <v>15.673482257166301</v>
      </c>
      <c r="AI370">
        <v>94.039341009274693</v>
      </c>
      <c r="AJ370">
        <v>88.634009218730995</v>
      </c>
      <c r="AK370">
        <v>15.716979940721099</v>
      </c>
      <c r="AL370">
        <v>83.1435912183927</v>
      </c>
      <c r="AM370">
        <v>87.311619476215498</v>
      </c>
      <c r="AN370">
        <v>0.99999996531438595</v>
      </c>
    </row>
    <row r="371" spans="1:40" x14ac:dyDescent="0.25">
      <c r="A371" t="str">
        <f>"20190312164444551"</f>
        <v>20190312164444551</v>
      </c>
      <c r="B371" t="str">
        <f>"1552380284542167"</f>
        <v>1552380284542167</v>
      </c>
      <c r="C371" t="s">
        <v>40</v>
      </c>
      <c r="D371">
        <v>4.74742</v>
      </c>
      <c r="E371">
        <v>0.49454769999999998</v>
      </c>
      <c r="F371" t="s">
        <v>41</v>
      </c>
      <c r="G371">
        <v>-375.81299999999999</v>
      </c>
      <c r="H371">
        <v>1.039822</v>
      </c>
      <c r="I371">
        <v>367.51690000000002</v>
      </c>
      <c r="J371">
        <v>-376.48829999999998</v>
      </c>
      <c r="K371">
        <v>1.1071310000000001</v>
      </c>
      <c r="L371">
        <v>367.54939999999999</v>
      </c>
      <c r="M371">
        <v>0.9998686</v>
      </c>
      <c r="N371">
        <v>0</v>
      </c>
      <c r="O371">
        <v>-1.5049109999999999E-2</v>
      </c>
      <c r="P371">
        <v>0.99169430000000003</v>
      </c>
      <c r="Q371">
        <v>0.11291610000000001</v>
      </c>
      <c r="R371">
        <v>-6.158081E-2</v>
      </c>
      <c r="S371">
        <v>3.0424500000000001</v>
      </c>
      <c r="T371">
        <v>-0.2125437</v>
      </c>
      <c r="U371">
        <v>-0.1154785</v>
      </c>
      <c r="V371">
        <v>4.6615509999999999E-2</v>
      </c>
      <c r="W371">
        <v>0.1189114</v>
      </c>
      <c r="X371">
        <v>0.99180999999999997</v>
      </c>
      <c r="Y371">
        <v>2.2866589999999999E-2</v>
      </c>
      <c r="Z371">
        <v>2.5211519999999998E-4</v>
      </c>
      <c r="AA371">
        <v>0.99973849999999997</v>
      </c>
      <c r="AB371">
        <v>53</v>
      </c>
      <c r="AC371">
        <v>0.67529999999993595</v>
      </c>
      <c r="AD371">
        <v>-6.73089999999998E-2</v>
      </c>
      <c r="AE371">
        <v>-3.24999999999704E-2</v>
      </c>
      <c r="AF371">
        <v>2.2114280891476601E-2</v>
      </c>
      <c r="AG371">
        <v>-6.73089999999998E-2</v>
      </c>
      <c r="AH371">
        <v>0.66908090090696803</v>
      </c>
      <c r="AI371">
        <v>95.741468326249205</v>
      </c>
      <c r="AJ371">
        <v>88.106964526322102</v>
      </c>
      <c r="AK371">
        <v>0.67282151783279598</v>
      </c>
      <c r="AL371">
        <v>83.170719454628497</v>
      </c>
      <c r="AM371">
        <v>87.309053249870203</v>
      </c>
      <c r="AN371">
        <v>1.00000000146126</v>
      </c>
    </row>
    <row r="372" spans="1:40" x14ac:dyDescent="0.25">
      <c r="A372" t="str">
        <f>"20190312164444562"</f>
        <v>20190312164444562</v>
      </c>
      <c r="B372" t="str">
        <f>"1552380284552434"</f>
        <v>1552380284552434</v>
      </c>
      <c r="C372" t="s">
        <v>40</v>
      </c>
      <c r="D372">
        <v>4.7503900000000003</v>
      </c>
      <c r="E372">
        <v>0.49450919999999998</v>
      </c>
      <c r="F372" t="s">
        <v>41</v>
      </c>
      <c r="G372">
        <v>-375.34280000000001</v>
      </c>
      <c r="H372">
        <v>1.0260800000000001</v>
      </c>
      <c r="I372">
        <v>367.50580000000002</v>
      </c>
      <c r="J372">
        <v>-376.21170000000001</v>
      </c>
      <c r="K372">
        <v>1.1071359999999999</v>
      </c>
      <c r="L372">
        <v>367.5453</v>
      </c>
      <c r="M372">
        <v>0.99986949999999997</v>
      </c>
      <c r="N372">
        <v>0</v>
      </c>
      <c r="O372">
        <v>-1.4982479999999999E-2</v>
      </c>
      <c r="P372">
        <v>0.99168900000000004</v>
      </c>
      <c r="Q372">
        <v>0.1129584</v>
      </c>
      <c r="R372">
        <v>-6.1592019999999997E-2</v>
      </c>
      <c r="S372">
        <v>3.0424500000000001</v>
      </c>
      <c r="T372">
        <v>-0.2153677</v>
      </c>
      <c r="U372">
        <v>-0.115448</v>
      </c>
      <c r="V372">
        <v>4.6691009999999998E-2</v>
      </c>
      <c r="W372">
        <v>0.1189757</v>
      </c>
      <c r="X372">
        <v>0.99179879999999998</v>
      </c>
      <c r="Y372">
        <v>2.2922370000000001E-2</v>
      </c>
      <c r="Z372">
        <v>2.4877789999999998E-4</v>
      </c>
      <c r="AA372">
        <v>0.99973719999999999</v>
      </c>
      <c r="AB372">
        <v>53</v>
      </c>
      <c r="AC372">
        <v>0.86889999999999601</v>
      </c>
      <c r="AD372">
        <v>-8.1056000000000197E-2</v>
      </c>
      <c r="AE372">
        <v>-3.9499999999975402E-2</v>
      </c>
      <c r="AF372">
        <v>2.6249097010745698E-2</v>
      </c>
      <c r="AG372">
        <v>-8.1056000000000197E-2</v>
      </c>
      <c r="AH372">
        <v>0.86190921981424795</v>
      </c>
      <c r="AI372">
        <v>95.369956020507004</v>
      </c>
      <c r="AJ372">
        <v>88.255619347709796</v>
      </c>
      <c r="AK372">
        <v>0.86611003540582798</v>
      </c>
      <c r="AL372">
        <v>83.167009422444593</v>
      </c>
      <c r="AM372">
        <v>87.304670934480598</v>
      </c>
      <c r="AN372">
        <v>1.0000000636433699</v>
      </c>
    </row>
    <row r="373" spans="1:40" x14ac:dyDescent="0.25">
      <c r="A373" t="str">
        <f>"20190312164444581"</f>
        <v>20190312164444581</v>
      </c>
      <c r="B373" t="str">
        <f>"1552380284571954"</f>
        <v>1552380284571954</v>
      </c>
      <c r="C373" t="s">
        <v>40</v>
      </c>
      <c r="D373">
        <v>5.0261149999999999</v>
      </c>
      <c r="E373">
        <v>0.49458150000000001</v>
      </c>
      <c r="F373" t="s">
        <v>41</v>
      </c>
      <c r="G373">
        <v>-375.33229999999998</v>
      </c>
      <c r="H373">
        <v>1.044686</v>
      </c>
      <c r="I373">
        <v>367.51190000000003</v>
      </c>
      <c r="J373">
        <v>-375.75229999999999</v>
      </c>
      <c r="K373">
        <v>1.1071409999999999</v>
      </c>
      <c r="L373">
        <v>367.5385</v>
      </c>
      <c r="M373">
        <v>0.99987110000000001</v>
      </c>
      <c r="N373">
        <v>0</v>
      </c>
      <c r="O373">
        <v>-1.4866030000000001E-2</v>
      </c>
      <c r="P373">
        <v>0.99180259999999998</v>
      </c>
      <c r="Q373">
        <v>0.1119145</v>
      </c>
      <c r="R373">
        <v>-6.1669420000000003E-2</v>
      </c>
      <c r="S373">
        <v>3.0426329999999999</v>
      </c>
      <c r="T373">
        <v>-0.2162395</v>
      </c>
      <c r="U373">
        <v>-0.1151428</v>
      </c>
      <c r="V373">
        <v>4.6879230000000001E-2</v>
      </c>
      <c r="W373">
        <v>0.1179668</v>
      </c>
      <c r="X373">
        <v>0.99191039999999997</v>
      </c>
      <c r="Y373">
        <v>2.293591E-2</v>
      </c>
      <c r="Z373">
        <v>2.410267E-4</v>
      </c>
      <c r="AA373">
        <v>0.99973690000000004</v>
      </c>
      <c r="AB373">
        <v>53</v>
      </c>
      <c r="AC373">
        <v>0.42000000000001497</v>
      </c>
      <c r="AD373">
        <v>-6.2454999999999899E-2</v>
      </c>
      <c r="AE373">
        <v>-2.6599999999973499E-2</v>
      </c>
      <c r="AF373">
        <v>1.99146124424113E-2</v>
      </c>
      <c r="AG373">
        <v>-6.2454999999999899E-2</v>
      </c>
      <c r="AH373">
        <v>0.411290738898209</v>
      </c>
      <c r="AI373">
        <v>98.624518494035499</v>
      </c>
      <c r="AJ373">
        <v>87.227915225571294</v>
      </c>
      <c r="AK373">
        <v>0.41648204129009703</v>
      </c>
      <c r="AL373">
        <v>83.225224922426904</v>
      </c>
      <c r="AM373">
        <v>87.294125709795793</v>
      </c>
      <c r="AN373">
        <v>1.0000000348678899</v>
      </c>
    </row>
    <row r="374" spans="1:40" x14ac:dyDescent="0.25">
      <c r="A374" t="str">
        <f>"20190312164444593"</f>
        <v>20190312164444593</v>
      </c>
      <c r="B374" t="str">
        <f>"1552380284581714"</f>
        <v>1552380284581714</v>
      </c>
      <c r="C374" t="s">
        <v>40</v>
      </c>
      <c r="D374">
        <v>5.330622</v>
      </c>
      <c r="E374">
        <v>0.49467840000000002</v>
      </c>
      <c r="F374" t="s">
        <v>41</v>
      </c>
      <c r="G374">
        <v>-374.85640000000001</v>
      </c>
      <c r="H374">
        <v>1.04253</v>
      </c>
      <c r="I374">
        <v>367.50400000000002</v>
      </c>
      <c r="J374">
        <v>-375.46800000000002</v>
      </c>
      <c r="K374">
        <v>1.1071470000000001</v>
      </c>
      <c r="L374">
        <v>367.5342</v>
      </c>
      <c r="M374">
        <v>0.99987199999999998</v>
      </c>
      <c r="N374">
        <v>0</v>
      </c>
      <c r="O374">
        <v>-1.4789500000000001E-2</v>
      </c>
      <c r="P374">
        <v>0.99185800000000002</v>
      </c>
      <c r="Q374">
        <v>0.1114255</v>
      </c>
      <c r="R374">
        <v>-6.1662199999999903E-2</v>
      </c>
      <c r="S374">
        <v>3.0423279999999999</v>
      </c>
      <c r="T374">
        <v>-0.21964110000000001</v>
      </c>
      <c r="U374">
        <v>-0.1160583</v>
      </c>
      <c r="V374">
        <v>4.6945050000000002E-2</v>
      </c>
      <c r="W374">
        <v>0.1174994</v>
      </c>
      <c r="X374">
        <v>0.99196269999999998</v>
      </c>
      <c r="Y374">
        <v>2.33148E-2</v>
      </c>
      <c r="Z374">
        <v>2.256623E-4</v>
      </c>
      <c r="AA374">
        <v>0.99972810000000001</v>
      </c>
      <c r="AB374">
        <v>53</v>
      </c>
      <c r="AC374">
        <v>0.61160000000000903</v>
      </c>
      <c r="AD374">
        <v>-6.4616999999999897E-2</v>
      </c>
      <c r="AE374">
        <v>-3.0199999999979299E-2</v>
      </c>
      <c r="AF374">
        <v>2.0918338710606499E-2</v>
      </c>
      <c r="AG374">
        <v>-6.4616999999999897E-2</v>
      </c>
      <c r="AH374">
        <v>0.60524024035100499</v>
      </c>
      <c r="AI374">
        <v>96.090351681459595</v>
      </c>
      <c r="AJ374">
        <v>88.020528783725695</v>
      </c>
      <c r="AK374">
        <v>0.60903914662651504</v>
      </c>
      <c r="AL374">
        <v>83.252192098226104</v>
      </c>
      <c r="AM374">
        <v>87.290474881398595</v>
      </c>
      <c r="AN374">
        <v>0.99999997245557504</v>
      </c>
    </row>
    <row r="375" spans="1:40" x14ac:dyDescent="0.25">
      <c r="A375" t="str">
        <f>"20190312164444605"</f>
        <v>20190312164444605</v>
      </c>
      <c r="B375" t="str">
        <f>"1552380284592450"</f>
        <v>1552380284592450</v>
      </c>
      <c r="C375" t="s">
        <v>40</v>
      </c>
      <c r="D375">
        <v>4.7551519999999998</v>
      </c>
      <c r="E375">
        <v>0.49474499999999999</v>
      </c>
      <c r="F375" t="s">
        <v>41</v>
      </c>
      <c r="G375">
        <v>-374.38479999999998</v>
      </c>
      <c r="H375">
        <v>1.0287599999999999</v>
      </c>
      <c r="I375">
        <v>367.4923</v>
      </c>
      <c r="J375">
        <v>-375.19330000000002</v>
      </c>
      <c r="K375">
        <v>1.107154</v>
      </c>
      <c r="L375">
        <v>367.53019999999998</v>
      </c>
      <c r="M375">
        <v>0.99987320000000002</v>
      </c>
      <c r="N375">
        <v>0</v>
      </c>
      <c r="O375">
        <v>-1.471249E-2</v>
      </c>
      <c r="P375">
        <v>0.99188410000000005</v>
      </c>
      <c r="Q375">
        <v>0.111164</v>
      </c>
      <c r="R375">
        <v>-6.1716970000000003E-2</v>
      </c>
      <c r="S375">
        <v>3.042084</v>
      </c>
      <c r="T375">
        <v>-0.22026680000000001</v>
      </c>
      <c r="U375">
        <v>-0.11737060000000001</v>
      </c>
      <c r="V375">
        <v>4.7073919999999998E-2</v>
      </c>
      <c r="W375">
        <v>0.117257399999999</v>
      </c>
      <c r="X375">
        <v>0.99198529999999996</v>
      </c>
      <c r="Y375">
        <v>2.3823810000000001E-2</v>
      </c>
      <c r="Z375">
        <v>2.0235650000000001E-4</v>
      </c>
      <c r="AA375">
        <v>0.99971620000000005</v>
      </c>
      <c r="AB375">
        <v>53</v>
      </c>
      <c r="AC375">
        <v>0.80850000000003697</v>
      </c>
      <c r="AD375">
        <v>-7.8394000000000005E-2</v>
      </c>
      <c r="AE375">
        <v>-3.7899999999979103E-2</v>
      </c>
      <c r="AF375">
        <v>2.5758982000917498E-2</v>
      </c>
      <c r="AG375">
        <v>-7.8394000000000005E-2</v>
      </c>
      <c r="AH375">
        <v>0.80145163018027898</v>
      </c>
      <c r="AI375">
        <v>95.583750328384696</v>
      </c>
      <c r="AJ375">
        <v>88.159124001325694</v>
      </c>
      <c r="AK375">
        <v>0.80568843848496996</v>
      </c>
      <c r="AL375">
        <v>83.266154674933901</v>
      </c>
      <c r="AM375">
        <v>87.2831098344477</v>
      </c>
      <c r="AN375">
        <v>1.0000000436075001</v>
      </c>
    </row>
    <row r="376" spans="1:40" x14ac:dyDescent="0.25">
      <c r="A376" t="str">
        <f>"20190312164444616"</f>
        <v>20190312164444616</v>
      </c>
      <c r="B376" t="str">
        <f>"1552380284611970"</f>
        <v>1552380284611970</v>
      </c>
      <c r="C376" t="s">
        <v>40</v>
      </c>
      <c r="D376">
        <v>4.755763</v>
      </c>
      <c r="E376">
        <v>0.49477969999999999</v>
      </c>
      <c r="F376" t="s">
        <v>41</v>
      </c>
      <c r="G376">
        <v>-374.37279999999998</v>
      </c>
      <c r="H376">
        <v>1.0478050000000001</v>
      </c>
      <c r="I376">
        <v>367.4982</v>
      </c>
      <c r="J376">
        <v>-374.9237</v>
      </c>
      <c r="K376">
        <v>1.1071599999999999</v>
      </c>
      <c r="L376">
        <v>367.52620000000002</v>
      </c>
      <c r="M376">
        <v>0.99987420000000005</v>
      </c>
      <c r="N376">
        <v>0</v>
      </c>
      <c r="O376">
        <v>-1.463334E-2</v>
      </c>
      <c r="P376">
        <v>0.99193450000000005</v>
      </c>
      <c r="Q376">
        <v>0.1106328</v>
      </c>
      <c r="R376">
        <v>-6.1860489999999997E-2</v>
      </c>
      <c r="S376">
        <v>3.0418400000000001</v>
      </c>
      <c r="T376">
        <v>-0.22013779999999999</v>
      </c>
      <c r="U376">
        <v>-0.118103</v>
      </c>
      <c r="V376">
        <v>4.7293259999999997E-2</v>
      </c>
      <c r="W376">
        <v>0.1167455</v>
      </c>
      <c r="X376">
        <v>0.99203520000000001</v>
      </c>
      <c r="Y376">
        <v>2.4145369999999999E-2</v>
      </c>
      <c r="Z376">
        <v>1.8491969999999999E-4</v>
      </c>
      <c r="AA376">
        <v>0.99970840000000005</v>
      </c>
      <c r="AB376">
        <v>53</v>
      </c>
      <c r="AC376">
        <v>0.55090000000001205</v>
      </c>
      <c r="AD376">
        <v>-5.9355000000000199E-2</v>
      </c>
      <c r="AE376">
        <v>-2.8000000000019998E-2</v>
      </c>
      <c r="AF376">
        <v>1.9707166390271799E-2</v>
      </c>
      <c r="AG376">
        <v>-5.9355000000000199E-2</v>
      </c>
      <c r="AH376">
        <v>0.54494120418849601</v>
      </c>
      <c r="AI376">
        <v>96.212123031292094</v>
      </c>
      <c r="AJ376">
        <v>87.928867187659804</v>
      </c>
      <c r="AK376">
        <v>0.54851828087543497</v>
      </c>
      <c r="AL376">
        <v>83.295686934475</v>
      </c>
      <c r="AM376">
        <v>87.270606728450801</v>
      </c>
      <c r="AN376">
        <v>1.00000000112535</v>
      </c>
    </row>
    <row r="377" spans="1:40" x14ac:dyDescent="0.25">
      <c r="A377" t="str">
        <f>"20190312164444630"</f>
        <v>20190312164444630</v>
      </c>
      <c r="B377" t="str">
        <f>"1552380284621730"</f>
        <v>1552380284621730</v>
      </c>
      <c r="C377" t="s">
        <v>40</v>
      </c>
      <c r="D377">
        <v>4.7697669999999999</v>
      </c>
      <c r="E377">
        <v>0.49477310000000002</v>
      </c>
      <c r="F377" t="s">
        <v>41</v>
      </c>
      <c r="G377">
        <v>-373.90309999999999</v>
      </c>
      <c r="H377">
        <v>1.032589</v>
      </c>
      <c r="I377">
        <v>367.48610000000002</v>
      </c>
      <c r="J377">
        <v>-374.60239999999999</v>
      </c>
      <c r="K377">
        <v>1.1071660000000001</v>
      </c>
      <c r="L377">
        <v>367.52159999999998</v>
      </c>
      <c r="M377">
        <v>0.99987550000000003</v>
      </c>
      <c r="N377">
        <v>0</v>
      </c>
      <c r="O377">
        <v>-1.45369E-2</v>
      </c>
      <c r="P377">
        <v>0.99197440000000003</v>
      </c>
      <c r="Q377">
        <v>0.1103285</v>
      </c>
      <c r="R377">
        <v>-6.1763119999999998E-2</v>
      </c>
      <c r="S377">
        <v>3.041779</v>
      </c>
      <c r="T377">
        <v>-0.2224177</v>
      </c>
      <c r="U377">
        <v>-0.11907959999999999</v>
      </c>
      <c r="V377">
        <v>4.7288879999999998E-2</v>
      </c>
      <c r="W377">
        <v>0.1164637</v>
      </c>
      <c r="X377">
        <v>0.99206850000000002</v>
      </c>
      <c r="Y377">
        <v>2.456115E-2</v>
      </c>
      <c r="Z377">
        <v>1.6461899999999999E-4</v>
      </c>
      <c r="AA377">
        <v>0.99969830000000004</v>
      </c>
      <c r="AB377">
        <v>54</v>
      </c>
      <c r="AC377">
        <v>0.69929999999999304</v>
      </c>
      <c r="AD377">
        <v>-7.4577000000000102E-2</v>
      </c>
      <c r="AE377">
        <v>-3.5499999999956303E-2</v>
      </c>
      <c r="AF377">
        <v>2.5046278912844101E-2</v>
      </c>
      <c r="AG377">
        <v>-7.4577000000000102E-2</v>
      </c>
      <c r="AH377">
        <v>0.69189335845078204</v>
      </c>
      <c r="AI377">
        <v>96.147983905747694</v>
      </c>
      <c r="AJ377">
        <v>87.926819624920896</v>
      </c>
      <c r="AK377">
        <v>0.69635153800697702</v>
      </c>
      <c r="AL377">
        <v>83.311943574451902</v>
      </c>
      <c r="AM377">
        <v>87.2709505937312</v>
      </c>
      <c r="AN377">
        <v>0.999999970140796</v>
      </c>
    </row>
    <row r="378" spans="1:40" x14ac:dyDescent="0.25">
      <c r="A378" t="str">
        <f>"20190312164444650"</f>
        <v>20190312164444650</v>
      </c>
      <c r="B378" t="str">
        <f>"1552380284642226"</f>
        <v>1552380284642226</v>
      </c>
      <c r="C378" t="s">
        <v>40</v>
      </c>
      <c r="D378">
        <v>4.7682320000000002</v>
      </c>
      <c r="E378">
        <v>0.49493910000000002</v>
      </c>
      <c r="F378" t="s">
        <v>41</v>
      </c>
      <c r="G378">
        <v>-373.4282</v>
      </c>
      <c r="H378">
        <v>1.0206850000000001</v>
      </c>
      <c r="I378">
        <v>367.47579999999999</v>
      </c>
      <c r="J378">
        <v>-374.11439999999999</v>
      </c>
      <c r="K378">
        <v>1.1071740000000001</v>
      </c>
      <c r="L378">
        <v>367.5145</v>
      </c>
      <c r="M378">
        <v>0.99987749999999997</v>
      </c>
      <c r="N378">
        <v>0</v>
      </c>
      <c r="O378">
        <v>-1.43835E-2</v>
      </c>
      <c r="P378">
        <v>0.99206700000000003</v>
      </c>
      <c r="Q378">
        <v>0.1095556</v>
      </c>
      <c r="R378">
        <v>-6.1654399999999998E-2</v>
      </c>
      <c r="S378">
        <v>3.041779</v>
      </c>
      <c r="T378">
        <v>-0.2240423</v>
      </c>
      <c r="U378">
        <v>-0.1187134</v>
      </c>
      <c r="V378">
        <v>4.7328349999999998E-2</v>
      </c>
      <c r="W378">
        <v>0.11572490000000001</v>
      </c>
      <c r="X378">
        <v>0.99215310000000001</v>
      </c>
      <c r="Y378">
        <v>2.4593449999999999E-2</v>
      </c>
      <c r="Z378">
        <v>1.5335379999999901E-4</v>
      </c>
      <c r="AA378">
        <v>0.99969750000000002</v>
      </c>
      <c r="AB378">
        <v>54</v>
      </c>
      <c r="AC378">
        <v>0.68619999999998504</v>
      </c>
      <c r="AD378">
        <v>-8.6488999999999802E-2</v>
      </c>
      <c r="AE378">
        <v>-3.8700000000005702E-2</v>
      </c>
      <c r="AF378">
        <v>2.8376485148323801E-2</v>
      </c>
      <c r="AG378">
        <v>-8.6488999999999802E-2</v>
      </c>
      <c r="AH378">
        <v>0.67598093604196596</v>
      </c>
      <c r="AI378">
        <v>97.284800747915497</v>
      </c>
      <c r="AJ378">
        <v>87.596235711031696</v>
      </c>
      <c r="AK378">
        <v>0.68208195836171004</v>
      </c>
      <c r="AL378">
        <v>83.354562071356199</v>
      </c>
      <c r="AM378">
        <v>87.268908765991995</v>
      </c>
      <c r="AN378">
        <v>0.99999999951667096</v>
      </c>
    </row>
    <row r="379" spans="1:40" x14ac:dyDescent="0.25">
      <c r="A379" t="str">
        <f>"20190312164444672"</f>
        <v>20190312164444672</v>
      </c>
      <c r="B379" t="str">
        <f>"1552380284662253"</f>
        <v>1552380284662253</v>
      </c>
      <c r="C379" t="s">
        <v>40</v>
      </c>
      <c r="D379">
        <v>4.7831900000000003</v>
      </c>
      <c r="E379">
        <v>0.49508980000000002</v>
      </c>
      <c r="F379" t="s">
        <v>41</v>
      </c>
      <c r="G379">
        <v>-372.94690000000003</v>
      </c>
      <c r="H379">
        <v>1.01989</v>
      </c>
      <c r="I379">
        <v>367.46820000000002</v>
      </c>
      <c r="J379">
        <v>-373.57159999999999</v>
      </c>
      <c r="K379">
        <v>1.107183</v>
      </c>
      <c r="L379">
        <v>367.50670000000002</v>
      </c>
      <c r="M379">
        <v>0.99987979999999999</v>
      </c>
      <c r="N379">
        <v>0</v>
      </c>
      <c r="O379">
        <v>-1.4204710000000001E-2</v>
      </c>
      <c r="P379">
        <v>0.99216539999999998</v>
      </c>
      <c r="Q379">
        <v>0.108788</v>
      </c>
      <c r="R379">
        <v>-6.1425680000000003E-2</v>
      </c>
      <c r="S379">
        <v>3.0416560000000001</v>
      </c>
      <c r="T379">
        <v>-0.22750619999999999</v>
      </c>
      <c r="U379">
        <v>-0.1200867</v>
      </c>
      <c r="V379">
        <v>4.7272719999999997E-2</v>
      </c>
      <c r="W379">
        <v>0.1149978</v>
      </c>
      <c r="X379">
        <v>0.99224029999999996</v>
      </c>
      <c r="Y379">
        <v>2.5221319999999998E-2</v>
      </c>
      <c r="Z379">
        <v>1.189368E-4</v>
      </c>
      <c r="AA379">
        <v>0.99968190000000001</v>
      </c>
      <c r="AB379">
        <v>54</v>
      </c>
      <c r="AC379">
        <v>0.62469999999996095</v>
      </c>
      <c r="AD379">
        <v>-8.7292999999999996E-2</v>
      </c>
      <c r="AE379">
        <v>-3.8499999999999E-2</v>
      </c>
      <c r="AF379">
        <v>2.9057037652658799E-2</v>
      </c>
      <c r="AG379">
        <v>-8.7292999999999996E-2</v>
      </c>
      <c r="AH379">
        <v>0.61325469052208903</v>
      </c>
      <c r="AI379">
        <v>98.092317699922006</v>
      </c>
      <c r="AJ379">
        <v>87.287258538256197</v>
      </c>
      <c r="AK379">
        <v>0.62011748462165694</v>
      </c>
      <c r="AL379">
        <v>83.3965019002312</v>
      </c>
      <c r="AM379">
        <v>87.272353423576007</v>
      </c>
      <c r="AN379">
        <v>1.00000000850256</v>
      </c>
    </row>
    <row r="380" spans="1:40" x14ac:dyDescent="0.25">
      <c r="A380" t="str">
        <f>"20190312164444693"</f>
        <v>20190312164444693</v>
      </c>
      <c r="B380" t="str">
        <f>"1552380284681773"</f>
        <v>1552380284681773</v>
      </c>
      <c r="C380" t="s">
        <v>40</v>
      </c>
      <c r="D380">
        <v>4.7633340000000004</v>
      </c>
      <c r="E380">
        <v>0.4952317</v>
      </c>
      <c r="F380" t="s">
        <v>41</v>
      </c>
      <c r="G380">
        <v>-372.46230000000003</v>
      </c>
      <c r="H380">
        <v>1.0238</v>
      </c>
      <c r="I380">
        <v>367.46280000000002</v>
      </c>
      <c r="J380">
        <v>-373.0831</v>
      </c>
      <c r="K380">
        <v>1.107192</v>
      </c>
      <c r="L380">
        <v>367.49990000000003</v>
      </c>
      <c r="M380">
        <v>0.99988180000000004</v>
      </c>
      <c r="N380">
        <v>0</v>
      </c>
      <c r="O380">
        <v>-1.403737E-2</v>
      </c>
      <c r="P380">
        <v>0.9922356</v>
      </c>
      <c r="Q380">
        <v>0.108405</v>
      </c>
      <c r="R380">
        <v>-6.0968700000000001E-2</v>
      </c>
      <c r="S380">
        <v>3.04129</v>
      </c>
      <c r="T380">
        <v>-0.22862660000000001</v>
      </c>
      <c r="U380">
        <v>-0.120575</v>
      </c>
      <c r="V380">
        <v>4.6978119999999998E-2</v>
      </c>
      <c r="W380">
        <v>0.1146501</v>
      </c>
      <c r="X380">
        <v>0.99229449999999997</v>
      </c>
      <c r="Y380">
        <v>2.5551899999999999E-2</v>
      </c>
      <c r="Z380" s="1">
        <v>9.4577030000000001E-5</v>
      </c>
      <c r="AA380">
        <v>0.99967349999999999</v>
      </c>
      <c r="AB380">
        <v>54</v>
      </c>
      <c r="AC380">
        <v>0.62079999999997404</v>
      </c>
      <c r="AD380">
        <v>-8.3391999999999897E-2</v>
      </c>
      <c r="AE380">
        <v>-3.7100000000009403E-2</v>
      </c>
      <c r="AF380">
        <v>2.78804742901817E-2</v>
      </c>
      <c r="AG380">
        <v>-8.3391999999999897E-2</v>
      </c>
      <c r="AH380">
        <v>0.61028649011300395</v>
      </c>
      <c r="AI380">
        <v>97.772929252221203</v>
      </c>
      <c r="AJ380">
        <v>87.384304559717194</v>
      </c>
      <c r="AK380">
        <v>0.61658831202439701</v>
      </c>
      <c r="AL380">
        <v>83.416556109758403</v>
      </c>
      <c r="AM380">
        <v>87.289474315840096</v>
      </c>
      <c r="AN380">
        <v>0.99999998195949702</v>
      </c>
    </row>
    <row r="381" spans="1:40" x14ac:dyDescent="0.25">
      <c r="A381" t="str">
        <f>"20190312164444714"</f>
        <v>20190312164444714</v>
      </c>
      <c r="B381" t="str">
        <f>"1552380284702269"</f>
        <v>1552380284702269</v>
      </c>
      <c r="C381" t="s">
        <v>40</v>
      </c>
      <c r="D381">
        <v>4.7649269999999904</v>
      </c>
      <c r="E381">
        <v>0.49535230000000002</v>
      </c>
      <c r="F381" t="s">
        <v>41</v>
      </c>
      <c r="G381">
        <v>-371.9785</v>
      </c>
      <c r="H381">
        <v>1.0242549999999999</v>
      </c>
      <c r="I381">
        <v>367.45580000000001</v>
      </c>
      <c r="J381">
        <v>-372.55259999999998</v>
      </c>
      <c r="K381">
        <v>1.1072070000000001</v>
      </c>
      <c r="L381">
        <v>367.49250000000001</v>
      </c>
      <c r="M381">
        <v>0.99988429999999995</v>
      </c>
      <c r="N381">
        <v>0</v>
      </c>
      <c r="O381">
        <v>-1.385131E-2</v>
      </c>
      <c r="P381">
        <v>0.99233870000000002</v>
      </c>
      <c r="Q381">
        <v>0.1077376</v>
      </c>
      <c r="R381">
        <v>-6.0472449999999997E-2</v>
      </c>
      <c r="S381">
        <v>3.0410460000000001</v>
      </c>
      <c r="T381">
        <v>-0.2285268</v>
      </c>
      <c r="U381">
        <v>-0.1203613</v>
      </c>
      <c r="V381">
        <v>4.6662969999999998E-2</v>
      </c>
      <c r="W381">
        <v>0.1140196</v>
      </c>
      <c r="X381">
        <v>0.99238199999999999</v>
      </c>
      <c r="Y381">
        <v>2.5670149999999999E-2</v>
      </c>
      <c r="Z381" s="1">
        <v>7.6155289999999998E-5</v>
      </c>
      <c r="AA381">
        <v>0.99967039999999996</v>
      </c>
      <c r="AB381">
        <v>54</v>
      </c>
      <c r="AC381">
        <v>0.57409999999998695</v>
      </c>
      <c r="AD381">
        <v>-8.2952000000000095E-2</v>
      </c>
      <c r="AE381">
        <v>-3.6699999999996097E-2</v>
      </c>
      <c r="AF381">
        <v>2.8158792122829901E-2</v>
      </c>
      <c r="AG381">
        <v>-8.2952000000000095E-2</v>
      </c>
      <c r="AH381">
        <v>0.56285019191452101</v>
      </c>
      <c r="AI381">
        <v>98.3734883189437</v>
      </c>
      <c r="AJ381">
        <v>87.135941416975001</v>
      </c>
      <c r="AK381">
        <v>0.56962644813599494</v>
      </c>
      <c r="AL381">
        <v>83.452919469567306</v>
      </c>
      <c r="AM381">
        <v>87.3078679162291</v>
      </c>
      <c r="AN381">
        <v>0.99999996793868895</v>
      </c>
    </row>
    <row r="382" spans="1:40" x14ac:dyDescent="0.25">
      <c r="A382" t="str">
        <f>"20190312164444725"</f>
        <v>20190312164444725</v>
      </c>
      <c r="B382" t="str">
        <f>"1552380284721790"</f>
        <v>1552380284721790</v>
      </c>
      <c r="C382" t="s">
        <v>40</v>
      </c>
      <c r="D382">
        <v>4.7814649999999999</v>
      </c>
      <c r="E382">
        <v>0.49549579999999999</v>
      </c>
      <c r="F382" t="s">
        <v>41</v>
      </c>
      <c r="G382">
        <v>-371.49250000000001</v>
      </c>
      <c r="H382">
        <v>1.0274319999999999</v>
      </c>
      <c r="I382">
        <v>367.45060000000001</v>
      </c>
      <c r="J382">
        <v>-372.28039999999999</v>
      </c>
      <c r="K382">
        <v>1.1072109999999999</v>
      </c>
      <c r="L382">
        <v>367.48869999999999</v>
      </c>
      <c r="M382">
        <v>0.99988560000000004</v>
      </c>
      <c r="N382">
        <v>0</v>
      </c>
      <c r="O382">
        <v>-1.375418E-2</v>
      </c>
      <c r="P382">
        <v>0.99242589999999997</v>
      </c>
      <c r="Q382">
        <v>0.1071613</v>
      </c>
      <c r="R382">
        <v>-6.0066660000000001E-2</v>
      </c>
      <c r="S382">
        <v>3.04068</v>
      </c>
      <c r="T382">
        <v>-0.22894059999999999</v>
      </c>
      <c r="U382">
        <v>-0.119751</v>
      </c>
      <c r="V382">
        <v>4.6351249999999997E-2</v>
      </c>
      <c r="W382">
        <v>0.11346199999999999</v>
      </c>
      <c r="X382">
        <v>0.99246049999999997</v>
      </c>
      <c r="Y382">
        <v>2.5571549999999998E-2</v>
      </c>
      <c r="Z382" s="1">
        <v>7.2708589999999996E-5</v>
      </c>
      <c r="AA382">
        <v>0.99967300000000003</v>
      </c>
      <c r="AB382">
        <v>54</v>
      </c>
      <c r="AC382">
        <v>0.78789999999997895</v>
      </c>
      <c r="AD382">
        <v>-7.9779000000000197E-2</v>
      </c>
      <c r="AE382">
        <v>-3.8099999999985798E-2</v>
      </c>
      <c r="AF382">
        <v>2.69832590222348E-2</v>
      </c>
      <c r="AG382">
        <v>-7.9779000000000197E-2</v>
      </c>
      <c r="AH382">
        <v>0.78036736451567301</v>
      </c>
      <c r="AI382">
        <v>95.833755746983698</v>
      </c>
      <c r="AJ382">
        <v>88.019636364261302</v>
      </c>
      <c r="AK382">
        <v>0.78489872512929904</v>
      </c>
      <c r="AL382">
        <v>83.485076189076494</v>
      </c>
      <c r="AM382">
        <v>87.326037030670093</v>
      </c>
      <c r="AN382">
        <v>0.99999995394040497</v>
      </c>
    </row>
    <row r="383" spans="1:40" x14ac:dyDescent="0.25">
      <c r="A383" t="str">
        <f>"20190312164444738"</f>
        <v>20190312164444738</v>
      </c>
      <c r="B383" t="str">
        <f>"1552380284732526"</f>
        <v>1552380284732526</v>
      </c>
      <c r="C383" t="s">
        <v>40</v>
      </c>
      <c r="D383">
        <v>4.9340310000000001</v>
      </c>
      <c r="E383">
        <v>0.49560209999999999</v>
      </c>
      <c r="F383" t="s">
        <v>41</v>
      </c>
      <c r="G383">
        <v>-371.48070000000001</v>
      </c>
      <c r="H383">
        <v>1.046861</v>
      </c>
      <c r="I383">
        <v>367.45710000000003</v>
      </c>
      <c r="J383">
        <v>-371.99079999999998</v>
      </c>
      <c r="K383">
        <v>1.107213</v>
      </c>
      <c r="L383">
        <v>367.48480000000001</v>
      </c>
      <c r="M383">
        <v>0.99988679999999996</v>
      </c>
      <c r="N383">
        <v>0</v>
      </c>
      <c r="O383">
        <v>-1.3649649999999999E-2</v>
      </c>
      <c r="P383">
        <v>0.99248349999999996</v>
      </c>
      <c r="Q383">
        <v>0.10681069999999999</v>
      </c>
      <c r="R383">
        <v>-5.973357E-2</v>
      </c>
      <c r="S383">
        <v>3.0404659999999999</v>
      </c>
      <c r="T383">
        <v>-0.2296224</v>
      </c>
      <c r="U383">
        <v>-0.1196899</v>
      </c>
      <c r="V383">
        <v>4.6120189999999998E-2</v>
      </c>
      <c r="W383">
        <v>0.11313040000000001</v>
      </c>
      <c r="X383">
        <v>0.99250919999999998</v>
      </c>
      <c r="Y383">
        <v>2.565802E-2</v>
      </c>
      <c r="Z383" s="1">
        <v>6.1791910000000001E-5</v>
      </c>
      <c r="AA383">
        <v>0.99967079999999997</v>
      </c>
      <c r="AB383">
        <v>54</v>
      </c>
      <c r="AC383">
        <v>0.51009999999996503</v>
      </c>
      <c r="AD383">
        <v>-6.0351999999999899E-2</v>
      </c>
      <c r="AE383">
        <v>-2.76999999999816E-2</v>
      </c>
      <c r="AF383">
        <v>2.04491829093599E-2</v>
      </c>
      <c r="AG383">
        <v>-6.0351999999999899E-2</v>
      </c>
      <c r="AH383">
        <v>0.50340453290537601</v>
      </c>
      <c r="AI383">
        <v>96.830848778302496</v>
      </c>
      <c r="AJ383">
        <v>87.6738229845337</v>
      </c>
      <c r="AK383">
        <v>0.50742157693119505</v>
      </c>
      <c r="AL383">
        <v>83.504199128228805</v>
      </c>
      <c r="AM383">
        <v>87.339477841204797</v>
      </c>
      <c r="AN383">
        <v>1.0000000357072101</v>
      </c>
    </row>
    <row r="384" spans="1:40" x14ac:dyDescent="0.25">
      <c r="A384" t="str">
        <f>"20190312164444749"</f>
        <v>20190312164444749</v>
      </c>
      <c r="B384" t="str">
        <f>"1552380284742286"</f>
        <v>1552380284742286</v>
      </c>
      <c r="C384" t="s">
        <v>40</v>
      </c>
      <c r="D384">
        <v>4.7692129999999997</v>
      </c>
      <c r="E384">
        <v>0.49561830000000001</v>
      </c>
      <c r="F384" t="s">
        <v>41</v>
      </c>
      <c r="G384">
        <v>-371.00459999999998</v>
      </c>
      <c r="H384">
        <v>1.0323789999999999</v>
      </c>
      <c r="I384">
        <v>367.44560000000001</v>
      </c>
      <c r="J384">
        <v>-371.70510000000002</v>
      </c>
      <c r="K384">
        <v>1.107218</v>
      </c>
      <c r="L384">
        <v>367.48090000000002</v>
      </c>
      <c r="M384">
        <v>0.9998882</v>
      </c>
      <c r="N384">
        <v>0</v>
      </c>
      <c r="O384">
        <v>-1.354667E-2</v>
      </c>
      <c r="P384">
        <v>0.992564</v>
      </c>
      <c r="Q384">
        <v>0.106281399999999</v>
      </c>
      <c r="R384">
        <v>-5.9340749999999998E-2</v>
      </c>
      <c r="S384">
        <v>3.0403440000000002</v>
      </c>
      <c r="T384">
        <v>-0.2308596</v>
      </c>
      <c r="U384">
        <v>-0.11999509999999999</v>
      </c>
      <c r="V384">
        <v>4.5827689999999997E-2</v>
      </c>
      <c r="W384">
        <v>0.1126192</v>
      </c>
      <c r="X384">
        <v>0.99258080000000004</v>
      </c>
      <c r="Y384">
        <v>2.5861490000000001E-2</v>
      </c>
      <c r="Z384" s="1">
        <v>4.6611650000000003E-5</v>
      </c>
      <c r="AA384">
        <v>0.99966560000000004</v>
      </c>
      <c r="AB384">
        <v>54</v>
      </c>
      <c r="AC384">
        <v>0.70050000000003299</v>
      </c>
      <c r="AD384">
        <v>-7.4838999999999795E-2</v>
      </c>
      <c r="AE384">
        <v>-3.53000000000065E-2</v>
      </c>
      <c r="AF384">
        <v>2.5516618079774001E-2</v>
      </c>
      <c r="AG384">
        <v>-7.4838999999999795E-2</v>
      </c>
      <c r="AH384">
        <v>0.69302375670576899</v>
      </c>
      <c r="AI384">
        <v>96.159292737004407</v>
      </c>
      <c r="AJ384">
        <v>87.891364629976295</v>
      </c>
      <c r="AK384">
        <v>0.69751982127951495</v>
      </c>
      <c r="AL384">
        <v>83.533676579980806</v>
      </c>
      <c r="AM384">
        <v>87.356517621382494</v>
      </c>
      <c r="AN384">
        <v>0.99999995295400601</v>
      </c>
    </row>
    <row r="385" spans="1:40" x14ac:dyDescent="0.25">
      <c r="A385" t="str">
        <f>"20190312164444761"</f>
        <v>20190312164444761</v>
      </c>
      <c r="B385" t="str">
        <f>"1552380284752554"</f>
        <v>1552380284752554</v>
      </c>
      <c r="C385" t="s">
        <v>40</v>
      </c>
      <c r="D385">
        <v>5.0465910000000003</v>
      </c>
      <c r="E385">
        <v>0.49566959999999999</v>
      </c>
      <c r="F385" t="s">
        <v>41</v>
      </c>
      <c r="G385">
        <v>-370.5258</v>
      </c>
      <c r="H385">
        <v>1.01695</v>
      </c>
      <c r="I385">
        <v>367.43450000000001</v>
      </c>
      <c r="J385">
        <v>-371.41379999999998</v>
      </c>
      <c r="K385">
        <v>1.107219</v>
      </c>
      <c r="L385">
        <v>367.47699999999998</v>
      </c>
      <c r="M385">
        <v>0.99988929999999998</v>
      </c>
      <c r="N385">
        <v>0</v>
      </c>
      <c r="O385">
        <v>-1.344047E-2</v>
      </c>
      <c r="P385">
        <v>0.99262360000000005</v>
      </c>
      <c r="Q385">
        <v>0.1059534</v>
      </c>
      <c r="R385">
        <v>-5.8924949999999997E-2</v>
      </c>
      <c r="S385">
        <v>3.0402830000000001</v>
      </c>
      <c r="T385">
        <v>-0.23287179999999999</v>
      </c>
      <c r="U385">
        <v>-0.119232199999999</v>
      </c>
      <c r="V385">
        <v>4.5515399999999998E-2</v>
      </c>
      <c r="W385">
        <v>0.1123088</v>
      </c>
      <c r="X385">
        <v>0.99263040000000002</v>
      </c>
      <c r="Y385">
        <v>2.5717480000000001E-2</v>
      </c>
      <c r="Z385" s="1">
        <v>4.4406390000000002E-5</v>
      </c>
      <c r="AA385">
        <v>0.99966929999999998</v>
      </c>
      <c r="AB385">
        <v>54</v>
      </c>
      <c r="AC385">
        <v>0.88799999999997603</v>
      </c>
      <c r="AD385">
        <v>-9.0268999999999905E-2</v>
      </c>
      <c r="AE385">
        <v>-4.2499999999961298E-2</v>
      </c>
      <c r="AF385">
        <v>3.02489148467621E-2</v>
      </c>
      <c r="AG385">
        <v>-9.0268999999999905E-2</v>
      </c>
      <c r="AH385">
        <v>0.87942417537073203</v>
      </c>
      <c r="AI385">
        <v>95.857193264432695</v>
      </c>
      <c r="AJ385">
        <v>88.030015325918598</v>
      </c>
      <c r="AK385">
        <v>0.88456224735000899</v>
      </c>
      <c r="AL385">
        <v>83.551575139577395</v>
      </c>
      <c r="AM385">
        <v>87.374637186067602</v>
      </c>
      <c r="AN385">
        <v>1.0000000145993799</v>
      </c>
    </row>
    <row r="386" spans="1:40" x14ac:dyDescent="0.25">
      <c r="A386" t="str">
        <f>"20190312164444774"</f>
        <v>20190312164444774</v>
      </c>
      <c r="B386" t="str">
        <f>"1552380284762314"</f>
        <v>1552380284762314</v>
      </c>
      <c r="C386" t="s">
        <v>40</v>
      </c>
      <c r="D386">
        <v>4.7762370000000001</v>
      </c>
      <c r="E386">
        <v>0.49575530000000001</v>
      </c>
      <c r="F386" t="s">
        <v>41</v>
      </c>
      <c r="G386">
        <v>-370.51530000000002</v>
      </c>
      <c r="H386">
        <v>1.038351</v>
      </c>
      <c r="I386">
        <v>367.44170000000003</v>
      </c>
      <c r="J386">
        <v>-371.12380000000002</v>
      </c>
      <c r="K386">
        <v>1.107224</v>
      </c>
      <c r="L386">
        <v>367.47309999999999</v>
      </c>
      <c r="M386">
        <v>0.99989070000000002</v>
      </c>
      <c r="N386">
        <v>0</v>
      </c>
      <c r="O386">
        <v>-1.3334510000000001E-2</v>
      </c>
      <c r="P386">
        <v>0.99270009999999997</v>
      </c>
      <c r="Q386">
        <v>0.10530009999999999</v>
      </c>
      <c r="R386">
        <v>-5.8809090000000001E-2</v>
      </c>
      <c r="S386">
        <v>3.0401310000000001</v>
      </c>
      <c r="T386">
        <v>-0.2332118</v>
      </c>
      <c r="U386">
        <v>-0.1188049</v>
      </c>
      <c r="V386">
        <v>4.5502899999999999E-2</v>
      </c>
      <c r="W386">
        <v>0.11167390000000001</v>
      </c>
      <c r="X386">
        <v>0.99270259999999999</v>
      </c>
      <c r="Y386">
        <v>2.5684769999999999E-2</v>
      </c>
      <c r="Z386" s="1">
        <v>3.7613910000000003E-5</v>
      </c>
      <c r="AA386">
        <v>0.99967010000000001</v>
      </c>
      <c r="AB386">
        <v>54</v>
      </c>
      <c r="AC386">
        <v>0.60849999999999205</v>
      </c>
      <c r="AD386">
        <v>-6.8872999999999907E-2</v>
      </c>
      <c r="AE386">
        <v>-3.1399999999962298E-2</v>
      </c>
      <c r="AF386">
        <v>2.2989264255168E-2</v>
      </c>
      <c r="AG386">
        <v>-6.8872999999999907E-2</v>
      </c>
      <c r="AH386">
        <v>0.60118341175253598</v>
      </c>
      <c r="AI386">
        <v>96.530716528374796</v>
      </c>
      <c r="AJ386">
        <v>87.810075407712404</v>
      </c>
      <c r="AK386">
        <v>0.60555221985094998</v>
      </c>
      <c r="AL386">
        <v>83.588182509849801</v>
      </c>
      <c r="AM386">
        <v>87.375547812498297</v>
      </c>
      <c r="AN386">
        <v>1.0000000129481801</v>
      </c>
    </row>
    <row r="387" spans="1:40" x14ac:dyDescent="0.25">
      <c r="A387" t="str">
        <f>"20190312164444785"</f>
        <v>20190312164444785</v>
      </c>
      <c r="B387" t="str">
        <f>"1552380284781834"</f>
        <v>1552380284781834</v>
      </c>
      <c r="C387" t="s">
        <v>40</v>
      </c>
      <c r="D387">
        <v>5.5052199999999996</v>
      </c>
      <c r="E387">
        <v>0.4959112</v>
      </c>
      <c r="F387" t="s">
        <v>41</v>
      </c>
      <c r="G387">
        <v>-370.03530000000001</v>
      </c>
      <c r="H387">
        <v>1.0233479999999999</v>
      </c>
      <c r="I387">
        <v>367.43009999999998</v>
      </c>
      <c r="J387">
        <v>-370.82100000000003</v>
      </c>
      <c r="K387">
        <v>1.107224</v>
      </c>
      <c r="L387">
        <v>367.46910000000003</v>
      </c>
      <c r="M387">
        <v>0.99989220000000001</v>
      </c>
      <c r="N387">
        <v>0</v>
      </c>
      <c r="O387">
        <v>-1.3223789999999999E-2</v>
      </c>
      <c r="P387">
        <v>0.99274949999999995</v>
      </c>
      <c r="Q387">
        <v>0.1050383</v>
      </c>
      <c r="R387">
        <v>-5.8444999999999997E-2</v>
      </c>
      <c r="S387">
        <v>3.039917</v>
      </c>
      <c r="T387">
        <v>-0.23449719999999999</v>
      </c>
      <c r="U387">
        <v>-0.11920169999999999</v>
      </c>
      <c r="V387">
        <v>4.524719E-2</v>
      </c>
      <c r="W387">
        <v>0.1114299</v>
      </c>
      <c r="X387">
        <v>0.99274169999999995</v>
      </c>
      <c r="Y387">
        <v>2.592703E-2</v>
      </c>
      <c r="Z387" s="1">
        <v>1.9972680000000001E-5</v>
      </c>
      <c r="AA387">
        <v>0.99966379999999999</v>
      </c>
      <c r="AB387">
        <v>54</v>
      </c>
      <c r="AC387">
        <v>0.78569999999996298</v>
      </c>
      <c r="AD387">
        <v>-8.3876000000000006E-2</v>
      </c>
      <c r="AE387">
        <v>-3.9000000000044097E-2</v>
      </c>
      <c r="AF387">
        <v>2.8284896960679502E-2</v>
      </c>
      <c r="AG387">
        <v>-8.3876000000000006E-2</v>
      </c>
      <c r="AH387">
        <v>0.77731038520822004</v>
      </c>
      <c r="AI387">
        <v>96.154653528861303</v>
      </c>
      <c r="AJ387">
        <v>87.916031307315805</v>
      </c>
      <c r="AK387">
        <v>0.78233410620055899</v>
      </c>
      <c r="AL387">
        <v>83.602250444561903</v>
      </c>
      <c r="AM387">
        <v>87.390378490342499</v>
      </c>
      <c r="AN387">
        <v>1.00000000686789</v>
      </c>
    </row>
    <row r="388" spans="1:40" x14ac:dyDescent="0.25">
      <c r="A388" t="str">
        <f>"20190312164444805"</f>
        <v>20190312164444805</v>
      </c>
      <c r="B388" t="str">
        <f>"1552380284791594"</f>
        <v>1552380284791594</v>
      </c>
      <c r="C388" t="s">
        <v>40</v>
      </c>
      <c r="D388">
        <v>4.7751080000000004</v>
      </c>
      <c r="E388">
        <v>0.49598239999999999</v>
      </c>
      <c r="F388" t="s">
        <v>41</v>
      </c>
      <c r="G388">
        <v>-370.0224</v>
      </c>
      <c r="H388">
        <v>1.0459579999999999</v>
      </c>
      <c r="I388">
        <v>367.43729999999999</v>
      </c>
      <c r="J388">
        <v>-370.37049999999999</v>
      </c>
      <c r="K388">
        <v>1.107226</v>
      </c>
      <c r="L388">
        <v>367.4631</v>
      </c>
      <c r="M388">
        <v>0.99989410000000001</v>
      </c>
      <c r="N388">
        <v>0</v>
      </c>
      <c r="O388">
        <v>-1.305836E-2</v>
      </c>
      <c r="P388">
        <v>0.99286940000000001</v>
      </c>
      <c r="Q388">
        <v>0.10436479999999999</v>
      </c>
      <c r="R388">
        <v>-5.7607850000000002E-2</v>
      </c>
      <c r="S388">
        <v>3.0395509999999999</v>
      </c>
      <c r="T388">
        <v>-0.2334937</v>
      </c>
      <c r="U388">
        <v>-0.11947629999999999</v>
      </c>
      <c r="V388">
        <v>4.4571729999999997E-2</v>
      </c>
      <c r="W388">
        <v>0.11078159999999999</v>
      </c>
      <c r="X388">
        <v>0.99284479999999997</v>
      </c>
      <c r="Y388">
        <v>2.618639E-2</v>
      </c>
      <c r="Z388" s="1">
        <v>-2.7359930000000002E-6</v>
      </c>
      <c r="AA388">
        <v>0.99965709999999997</v>
      </c>
      <c r="AB388">
        <v>54</v>
      </c>
      <c r="AC388">
        <v>0.34809999999998797</v>
      </c>
      <c r="AD388">
        <v>-6.12680000000001E-2</v>
      </c>
      <c r="AE388">
        <v>-2.5800000000003799E-2</v>
      </c>
      <c r="AF388">
        <v>2.0616901287182798E-2</v>
      </c>
      <c r="AG388">
        <v>-6.12680000000001E-2</v>
      </c>
      <c r="AH388">
        <v>0.33799391444165799</v>
      </c>
      <c r="AI388">
        <v>100.255758238273</v>
      </c>
      <c r="AJ388">
        <v>86.509405680300304</v>
      </c>
      <c r="AK388">
        <v>0.34412019795745802</v>
      </c>
      <c r="AL388">
        <v>83.639626663283394</v>
      </c>
      <c r="AM388">
        <v>87.429549430189496</v>
      </c>
      <c r="AN388">
        <v>0.99999999945039597</v>
      </c>
    </row>
    <row r="389" spans="1:40" x14ac:dyDescent="0.25">
      <c r="A389" t="str">
        <f>"20190312164444816"</f>
        <v>20190312164444816</v>
      </c>
      <c r="B389" t="str">
        <f>"1552380284812090"</f>
        <v>1552380284812090</v>
      </c>
      <c r="C389" t="s">
        <v>40</v>
      </c>
      <c r="D389">
        <v>4.9591120000000002</v>
      </c>
      <c r="E389">
        <v>0.49612329999999999</v>
      </c>
      <c r="F389" t="s">
        <v>41</v>
      </c>
      <c r="G389">
        <v>-369.53680000000003</v>
      </c>
      <c r="H389">
        <v>1.042918</v>
      </c>
      <c r="I389">
        <v>367.43090000000001</v>
      </c>
      <c r="J389">
        <v>-370.07530000000003</v>
      </c>
      <c r="K389">
        <v>1.107229</v>
      </c>
      <c r="L389">
        <v>367.45929999999998</v>
      </c>
      <c r="M389">
        <v>0.99989539999999999</v>
      </c>
      <c r="N389">
        <v>0</v>
      </c>
      <c r="O389">
        <v>-1.294966E-2</v>
      </c>
      <c r="P389">
        <v>0.99292009999999997</v>
      </c>
      <c r="Q389">
        <v>0.104116</v>
      </c>
      <c r="R389">
        <v>-5.7180910000000001E-2</v>
      </c>
      <c r="S389">
        <v>3.0393370000000002</v>
      </c>
      <c r="T389">
        <v>-0.23442879999999999</v>
      </c>
      <c r="U389">
        <v>-0.1178284</v>
      </c>
      <c r="V389">
        <v>4.4251449999999998E-2</v>
      </c>
      <c r="W389">
        <v>0.11054940000000001</v>
      </c>
      <c r="X389">
        <v>0.99288500000000002</v>
      </c>
      <c r="Y389">
        <v>2.5757249999999999E-2</v>
      </c>
      <c r="Z389" s="1">
        <v>5.4060950000000003E-6</v>
      </c>
      <c r="AA389">
        <v>0.99966820000000001</v>
      </c>
      <c r="AB389">
        <v>55</v>
      </c>
      <c r="AC389">
        <v>0.53849999999999898</v>
      </c>
      <c r="AD389">
        <v>-6.4310999999999993E-2</v>
      </c>
      <c r="AE389">
        <v>-2.8399999999976399E-2</v>
      </c>
      <c r="AF389">
        <v>2.1123639308507199E-2</v>
      </c>
      <c r="AG389">
        <v>-6.4310999999999993E-2</v>
      </c>
      <c r="AH389">
        <v>0.53126639250492602</v>
      </c>
      <c r="AI389">
        <v>96.896803485454697</v>
      </c>
      <c r="AJ389">
        <v>87.723066612064699</v>
      </c>
      <c r="AK389">
        <v>0.53556147421545697</v>
      </c>
      <c r="AL389">
        <v>83.6530129180572</v>
      </c>
      <c r="AM389">
        <v>87.448098651534593</v>
      </c>
      <c r="AN389">
        <v>0.99999999194623101</v>
      </c>
    </row>
    <row r="390" spans="1:40" x14ac:dyDescent="0.25">
      <c r="A390" t="str">
        <f>"20190312164444830"</f>
        <v>20190312164444830</v>
      </c>
      <c r="B390" t="str">
        <f>"1552380284821850"</f>
        <v>1552380284821850</v>
      </c>
      <c r="C390" t="s">
        <v>40</v>
      </c>
      <c r="D390">
        <v>4.9862900000000003</v>
      </c>
      <c r="E390">
        <v>0.49616270000000001</v>
      </c>
      <c r="F390" t="s">
        <v>41</v>
      </c>
      <c r="G390">
        <v>-369.05520000000001</v>
      </c>
      <c r="H390">
        <v>1.02887</v>
      </c>
      <c r="I390">
        <v>367.41950000000003</v>
      </c>
      <c r="J390">
        <v>-369.74009999999998</v>
      </c>
      <c r="K390">
        <v>1.1072310000000001</v>
      </c>
      <c r="L390">
        <v>367.45499999999998</v>
      </c>
      <c r="M390">
        <v>0.99989700000000004</v>
      </c>
      <c r="N390">
        <v>0</v>
      </c>
      <c r="O390">
        <v>-1.2825949999999999E-2</v>
      </c>
      <c r="P390">
        <v>0.99295029999999995</v>
      </c>
      <c r="Q390">
        <v>0.104058399999999</v>
      </c>
      <c r="R390">
        <v>-5.676171E-2</v>
      </c>
      <c r="S390">
        <v>3.0391240000000002</v>
      </c>
      <c r="T390">
        <v>-0.23363800000000001</v>
      </c>
      <c r="U390">
        <v>-0.11791989999999899</v>
      </c>
      <c r="V390">
        <v>4.395363E-2</v>
      </c>
      <c r="W390">
        <v>0.1105096</v>
      </c>
      <c r="X390">
        <v>0.99290270000000003</v>
      </c>
      <c r="Y390">
        <v>2.5913149999999999E-2</v>
      </c>
      <c r="Z390" s="1">
        <v>-1.0084589999999999E-5</v>
      </c>
      <c r="AA390">
        <v>0.9996642</v>
      </c>
      <c r="AB390">
        <v>55</v>
      </c>
      <c r="AC390">
        <v>0.68489999999996998</v>
      </c>
      <c r="AD390">
        <v>-7.8360999999999598E-2</v>
      </c>
      <c r="AE390">
        <v>-3.5499999999956303E-2</v>
      </c>
      <c r="AF390">
        <v>2.6368165236455E-2</v>
      </c>
      <c r="AG390">
        <v>-7.8360999999999598E-2</v>
      </c>
      <c r="AH390">
        <v>0.67646763470465399</v>
      </c>
      <c r="AI390">
        <v>96.602637920746304</v>
      </c>
      <c r="AJ390">
        <v>87.767786587255301</v>
      </c>
      <c r="AK390">
        <v>0.68150142132048896</v>
      </c>
      <c r="AL390">
        <v>83.655307606631496</v>
      </c>
      <c r="AM390">
        <v>87.465296044850106</v>
      </c>
      <c r="AN390">
        <v>1.00000003247481</v>
      </c>
    </row>
    <row r="391" spans="1:40" x14ac:dyDescent="0.25">
      <c r="A391" t="str">
        <f>"20190312164444851"</f>
        <v>20190312164444851</v>
      </c>
      <c r="B391" t="str">
        <f>"1552380284842347"</f>
        <v>1552380284842347</v>
      </c>
      <c r="C391" t="s">
        <v>40</v>
      </c>
      <c r="D391">
        <v>5.8534839999999999</v>
      </c>
      <c r="E391">
        <v>0.49627599999999999</v>
      </c>
      <c r="F391" t="s">
        <v>41</v>
      </c>
      <c r="G391">
        <v>-368.57060000000001</v>
      </c>
      <c r="H391">
        <v>1.0176270000000001</v>
      </c>
      <c r="I391">
        <v>367.40949999999998</v>
      </c>
      <c r="J391">
        <v>-369.22770000000003</v>
      </c>
      <c r="K391">
        <v>1.107235</v>
      </c>
      <c r="L391">
        <v>367.44850000000002</v>
      </c>
      <c r="M391">
        <v>0.99989910000000004</v>
      </c>
      <c r="N391">
        <v>0</v>
      </c>
      <c r="O391">
        <v>-1.2636680000000001E-2</v>
      </c>
      <c r="P391">
        <v>0.99302729999999995</v>
      </c>
      <c r="Q391">
        <v>0.1038999</v>
      </c>
      <c r="R391">
        <v>-5.5694489999999999E-2</v>
      </c>
      <c r="S391">
        <v>3.0390009999999998</v>
      </c>
      <c r="T391">
        <v>-0.23300789999999999</v>
      </c>
      <c r="U391">
        <v>-0.1176147</v>
      </c>
      <c r="V391">
        <v>4.3072340000000001E-2</v>
      </c>
      <c r="W391">
        <v>0.1103768</v>
      </c>
      <c r="X391">
        <v>0.99295599999999995</v>
      </c>
      <c r="Y391">
        <v>2.6003080000000001E-2</v>
      </c>
      <c r="Z391" s="1">
        <v>-2.7981239999999998E-5</v>
      </c>
      <c r="AA391">
        <v>0.99966189999999999</v>
      </c>
      <c r="AB391">
        <v>55</v>
      </c>
      <c r="AC391">
        <v>0.65710000000001401</v>
      </c>
      <c r="AD391">
        <v>-8.9607999999999896E-2</v>
      </c>
      <c r="AE391">
        <v>-3.9000000000044097E-2</v>
      </c>
      <c r="AF391">
        <v>3.0134716277938602E-2</v>
      </c>
      <c r="AG391">
        <v>-8.9607999999999896E-2</v>
      </c>
      <c r="AH391">
        <v>0.64557705643580399</v>
      </c>
      <c r="AI391">
        <v>97.893845151902795</v>
      </c>
      <c r="AJ391">
        <v>87.327445804813493</v>
      </c>
      <c r="AK391">
        <v>0.65246258941449597</v>
      </c>
      <c r="AL391">
        <v>83.662962739390494</v>
      </c>
      <c r="AM391">
        <v>87.516186857429503</v>
      </c>
      <c r="AN391">
        <v>0.99999994119365598</v>
      </c>
    </row>
    <row r="392" spans="1:40" x14ac:dyDescent="0.25">
      <c r="A392" t="str">
        <f>"20190312164444873"</f>
        <v>20190312164444873</v>
      </c>
      <c r="B392" t="str">
        <f>"1552380284862372"</f>
        <v>1552380284862372</v>
      </c>
      <c r="C392" t="s">
        <v>40</v>
      </c>
      <c r="D392">
        <v>4.8121700000000001</v>
      </c>
      <c r="E392">
        <v>0.51071789999999995</v>
      </c>
      <c r="F392" t="s">
        <v>41</v>
      </c>
      <c r="G392">
        <v>-368.0788</v>
      </c>
      <c r="H392">
        <v>1.019331</v>
      </c>
      <c r="I392">
        <v>367.40440000000001</v>
      </c>
      <c r="J392">
        <v>-368.69220000000001</v>
      </c>
      <c r="K392">
        <v>1.1072390000000001</v>
      </c>
      <c r="L392">
        <v>367.44170000000003</v>
      </c>
      <c r="M392">
        <v>0.9999015</v>
      </c>
      <c r="N392">
        <v>0</v>
      </c>
      <c r="O392">
        <v>-1.243907E-2</v>
      </c>
      <c r="P392">
        <v>0.99307330000000005</v>
      </c>
      <c r="Q392">
        <v>0.10400280000000001</v>
      </c>
      <c r="R392">
        <v>-5.467263E-2</v>
      </c>
      <c r="S392">
        <v>3.03891</v>
      </c>
      <c r="T392">
        <v>-0.23264360000000001</v>
      </c>
      <c r="U392">
        <v>-0.11593630000000001</v>
      </c>
      <c r="V392">
        <v>4.2244789999999997E-2</v>
      </c>
      <c r="W392">
        <v>0.110506199999999</v>
      </c>
      <c r="X392">
        <v>0.9929772</v>
      </c>
      <c r="Y392">
        <v>2.565104E-2</v>
      </c>
      <c r="Z392" s="1">
        <v>-2.9585320000000001E-5</v>
      </c>
      <c r="AA392">
        <v>0.99967099999999998</v>
      </c>
      <c r="AB392">
        <v>55</v>
      </c>
      <c r="AC392">
        <v>0.61340000000001205</v>
      </c>
      <c r="AD392">
        <v>-8.7907999999999806E-2</v>
      </c>
      <c r="AE392">
        <v>-3.7300000000016098E-2</v>
      </c>
      <c r="AF392">
        <v>2.9071932394388999E-2</v>
      </c>
      <c r="AG392">
        <v>-8.7907999999999806E-2</v>
      </c>
      <c r="AH392">
        <v>0.60150795439448301</v>
      </c>
      <c r="AI392">
        <v>98.305128232786402</v>
      </c>
      <c r="AJ392">
        <v>87.232947910175298</v>
      </c>
      <c r="AK392">
        <v>0.60859248509735897</v>
      </c>
      <c r="AL392">
        <v>83.655503285607494</v>
      </c>
      <c r="AM392">
        <v>87.563902316665406</v>
      </c>
      <c r="AN392">
        <v>0.99999998112021105</v>
      </c>
    </row>
    <row r="393" spans="1:40" x14ac:dyDescent="0.25">
      <c r="A393" t="str">
        <f>"20190312164444893"</f>
        <v>20190312164444893</v>
      </c>
      <c r="B393" t="str">
        <f>"1552380284881893"</f>
        <v>1552380284881893</v>
      </c>
      <c r="C393" t="s">
        <v>40</v>
      </c>
      <c r="D393">
        <v>4.8162379999999896</v>
      </c>
      <c r="E393">
        <v>0.51229150000000001</v>
      </c>
      <c r="F393" t="s">
        <v>41</v>
      </c>
      <c r="G393">
        <v>-367.58679999999998</v>
      </c>
      <c r="H393">
        <v>1.0210980000000001</v>
      </c>
      <c r="I393">
        <v>367.3587</v>
      </c>
      <c r="J393">
        <v>-368.19209999999998</v>
      </c>
      <c r="K393">
        <v>1.1072409999999999</v>
      </c>
      <c r="L393">
        <v>367.43560000000002</v>
      </c>
      <c r="M393">
        <v>0.99990349999999995</v>
      </c>
      <c r="N393">
        <v>0</v>
      </c>
      <c r="O393">
        <v>-1.2254340000000001E-2</v>
      </c>
      <c r="P393">
        <v>0.99308640000000004</v>
      </c>
      <c r="Q393">
        <v>0.104294</v>
      </c>
      <c r="R393">
        <v>-5.3870849999999998E-2</v>
      </c>
      <c r="S393">
        <v>3.033112</v>
      </c>
      <c r="T393">
        <v>-0.2363199</v>
      </c>
      <c r="U393">
        <v>-0.22793579999999999</v>
      </c>
      <c r="V393">
        <v>4.1625200000000001E-2</v>
      </c>
      <c r="W393">
        <v>0.1108214</v>
      </c>
      <c r="X393">
        <v>0.99296830000000003</v>
      </c>
      <c r="Y393">
        <v>6.256051E-2</v>
      </c>
      <c r="Z393">
        <v>-1.47816299999999E-3</v>
      </c>
      <c r="AA393">
        <v>0.99804009999999999</v>
      </c>
      <c r="AB393">
        <v>55</v>
      </c>
      <c r="AC393">
        <v>0.60529999999999895</v>
      </c>
      <c r="AD393">
        <v>-8.6142999999999803E-2</v>
      </c>
      <c r="AE393">
        <v>-7.69000000000232E-2</v>
      </c>
      <c r="AF393">
        <v>6.8118789493923707E-2</v>
      </c>
      <c r="AG393">
        <v>-8.6142999999999803E-2</v>
      </c>
      <c r="AH393">
        <v>0.59435049391883299</v>
      </c>
      <c r="AI393">
        <v>98.193911447282204</v>
      </c>
      <c r="AJ393">
        <v>83.461831684696605</v>
      </c>
      <c r="AK393">
        <v>0.60441152830888201</v>
      </c>
      <c r="AL393">
        <v>83.637332437334393</v>
      </c>
      <c r="AM393">
        <v>87.599568141093201</v>
      </c>
      <c r="AN393">
        <v>1.0000000423889399</v>
      </c>
    </row>
    <row r="394" spans="1:40" x14ac:dyDescent="0.25">
      <c r="A394" t="str">
        <f>"20190312164444904"</f>
        <v>20190312164444904</v>
      </c>
      <c r="B394" t="str">
        <f>"1552380284892629"</f>
        <v>1552380284892629</v>
      </c>
      <c r="C394" t="s">
        <v>40</v>
      </c>
      <c r="D394">
        <v>4.944051</v>
      </c>
      <c r="E394">
        <v>0.51352379999999997</v>
      </c>
      <c r="F394" t="s">
        <v>41</v>
      </c>
      <c r="G394">
        <v>-367.0949</v>
      </c>
      <c r="H394">
        <v>1.0189999999999999</v>
      </c>
      <c r="I394">
        <v>367.34910000000002</v>
      </c>
      <c r="J394">
        <v>-367.91219999999998</v>
      </c>
      <c r="K394">
        <v>1.1072409999999999</v>
      </c>
      <c r="L394">
        <v>367.43209999999999</v>
      </c>
      <c r="M394">
        <v>0.99990469999999998</v>
      </c>
      <c r="N394">
        <v>0</v>
      </c>
      <c r="O394">
        <v>-1.215113E-2</v>
      </c>
      <c r="P394">
        <v>0.99311669999999996</v>
      </c>
      <c r="Q394">
        <v>0.1041802</v>
      </c>
      <c r="R394">
        <v>-5.3535230000000003E-2</v>
      </c>
      <c r="S394">
        <v>3.0335999999999999</v>
      </c>
      <c r="T394">
        <v>-0.2441779</v>
      </c>
      <c r="U394">
        <v>-0.23809810000000001</v>
      </c>
      <c r="V394">
        <v>4.1391280000000003E-2</v>
      </c>
      <c r="W394">
        <v>0.1107204</v>
      </c>
      <c r="X394">
        <v>0.99298929999999996</v>
      </c>
      <c r="Y394">
        <v>6.595355E-2</v>
      </c>
      <c r="Z394">
        <v>-1.671131E-3</v>
      </c>
      <c r="AA394">
        <v>0.99782130000000002</v>
      </c>
      <c r="AB394">
        <v>55</v>
      </c>
      <c r="AC394">
        <v>0.81729999999998804</v>
      </c>
      <c r="AD394">
        <v>-8.8240999999999695E-2</v>
      </c>
      <c r="AE394">
        <v>-8.2999999999969903E-2</v>
      </c>
      <c r="AF394">
        <v>7.2229176737214601E-2</v>
      </c>
      <c r="AG394">
        <v>-8.8240999999999695E-2</v>
      </c>
      <c r="AH394">
        <v>0.80891514777891205</v>
      </c>
      <c r="AI394">
        <v>96.201050924037105</v>
      </c>
      <c r="AJ394">
        <v>84.897510804179703</v>
      </c>
      <c r="AK394">
        <v>0.81691324163543499</v>
      </c>
      <c r="AL394">
        <v>83.643154857257301</v>
      </c>
      <c r="AM394">
        <v>87.613092557293896</v>
      </c>
      <c r="AN394">
        <v>0.99999999747534396</v>
      </c>
    </row>
    <row r="395" spans="1:40" x14ac:dyDescent="0.25">
      <c r="A395" t="str">
        <f>"20190312164444917"</f>
        <v>20190312164444917</v>
      </c>
      <c r="B395" t="str">
        <f>"1552380284912149"</f>
        <v>1552380284912149</v>
      </c>
      <c r="C395" t="s">
        <v>40</v>
      </c>
      <c r="D395">
        <v>4.831385</v>
      </c>
      <c r="E395">
        <v>0.51454509999999998</v>
      </c>
      <c r="F395" t="s">
        <v>41</v>
      </c>
      <c r="G395">
        <v>-367.08240000000001</v>
      </c>
      <c r="H395">
        <v>1.0443629999999999</v>
      </c>
      <c r="I395">
        <v>367.36399999999998</v>
      </c>
      <c r="J395">
        <v>-367.62470000000002</v>
      </c>
      <c r="K395">
        <v>1.107243</v>
      </c>
      <c r="L395">
        <v>367.42869999999999</v>
      </c>
      <c r="M395">
        <v>0.99990599999999996</v>
      </c>
      <c r="N395">
        <v>0</v>
      </c>
      <c r="O395">
        <v>-1.2045169999999999E-2</v>
      </c>
      <c r="P395">
        <v>0.99314119999999995</v>
      </c>
      <c r="Q395">
        <v>0.1041521</v>
      </c>
      <c r="R395">
        <v>-5.3134460000000001E-2</v>
      </c>
      <c r="S395">
        <v>3.0315859999999999</v>
      </c>
      <c r="T395">
        <v>-0.2299939</v>
      </c>
      <c r="U395">
        <v>-0.2472839</v>
      </c>
      <c r="V395">
        <v>4.1094930000000002E-2</v>
      </c>
      <c r="W395">
        <v>0.1107057</v>
      </c>
      <c r="X395">
        <v>0.99300319999999997</v>
      </c>
      <c r="Y395">
        <v>6.9124790000000005E-2</v>
      </c>
      <c r="Z395">
        <v>-1.70313E-3</v>
      </c>
      <c r="AA395">
        <v>0.99760660000000001</v>
      </c>
      <c r="AB395">
        <v>55</v>
      </c>
      <c r="AC395">
        <v>0.542300000000011</v>
      </c>
      <c r="AD395">
        <v>-6.2880000000000005E-2</v>
      </c>
      <c r="AE395">
        <v>-6.4699999999959304E-2</v>
      </c>
      <c r="AF395">
        <v>5.74021557648942E-2</v>
      </c>
      <c r="AG395">
        <v>-6.2880000000000005E-2</v>
      </c>
      <c r="AH395">
        <v>0.53593571133722895</v>
      </c>
      <c r="AI395">
        <v>96.654063052010699</v>
      </c>
      <c r="AJ395">
        <v>83.886560402830895</v>
      </c>
      <c r="AK395">
        <v>0.54265641853109903</v>
      </c>
      <c r="AL395">
        <v>83.644002013618703</v>
      </c>
      <c r="AM395">
        <v>87.630195728328502</v>
      </c>
      <c r="AN395">
        <v>0.999999950247216</v>
      </c>
    </row>
    <row r="396" spans="1:40" x14ac:dyDescent="0.25">
      <c r="A396" t="str">
        <f>"20190312164444928"</f>
        <v>20190312164444928</v>
      </c>
      <c r="B396" t="str">
        <f>"1552380284921909"</f>
        <v>1552380284921909</v>
      </c>
      <c r="C396" t="s">
        <v>40</v>
      </c>
      <c r="D396">
        <v>4.8517109999999999</v>
      </c>
      <c r="E396">
        <v>0.51467050000000003</v>
      </c>
      <c r="F396" t="s">
        <v>41</v>
      </c>
      <c r="G396">
        <v>-366.59519999999998</v>
      </c>
      <c r="H396">
        <v>1.0311809999999999</v>
      </c>
      <c r="I396">
        <v>367.34190000000001</v>
      </c>
      <c r="J396">
        <v>-367.32080000000002</v>
      </c>
      <c r="K396">
        <v>1.1072439999999999</v>
      </c>
      <c r="L396">
        <v>367.42500000000001</v>
      </c>
      <c r="M396">
        <v>0.9999072</v>
      </c>
      <c r="N396">
        <v>0</v>
      </c>
      <c r="O396">
        <v>-1.193291E-2</v>
      </c>
      <c r="P396">
        <v>0.99316610000000005</v>
      </c>
      <c r="Q396">
        <v>0.10414180000000001</v>
      </c>
      <c r="R396">
        <v>-5.2686240000000002E-2</v>
      </c>
      <c r="S396">
        <v>3.030548</v>
      </c>
      <c r="T396">
        <v>-0.223991</v>
      </c>
      <c r="U396">
        <v>-0.25466919999999998</v>
      </c>
      <c r="V396">
        <v>4.0757549999999997E-2</v>
      </c>
      <c r="W396">
        <v>0.1107091</v>
      </c>
      <c r="X396">
        <v>0.99301680000000003</v>
      </c>
      <c r="Y396">
        <v>7.1679900000000005E-2</v>
      </c>
      <c r="Z396">
        <v>-1.7616029999999901E-3</v>
      </c>
      <c r="AA396">
        <v>0.99742620000000004</v>
      </c>
      <c r="AB396">
        <v>55</v>
      </c>
      <c r="AC396">
        <v>0.72560000000004199</v>
      </c>
      <c r="AD396">
        <v>-7.60630000000002E-2</v>
      </c>
      <c r="AE396">
        <v>-8.31000000000017E-2</v>
      </c>
      <c r="AF396">
        <v>7.3636669996098802E-2</v>
      </c>
      <c r="AG396">
        <v>-7.60630000000002E-2</v>
      </c>
      <c r="AH396">
        <v>0.71874406158483395</v>
      </c>
      <c r="AI396">
        <v>96.009766982115593</v>
      </c>
      <c r="AJ396">
        <v>84.150350248639498</v>
      </c>
      <c r="AK396">
        <v>0.72649911576035497</v>
      </c>
      <c r="AL396">
        <v>83.643806473130297</v>
      </c>
      <c r="AM396">
        <v>87.649661525407694</v>
      </c>
      <c r="AN396">
        <v>1.0000000238935201</v>
      </c>
    </row>
    <row r="397" spans="1:40" x14ac:dyDescent="0.25">
      <c r="A397" t="str">
        <f>"20190312164444939"</f>
        <v>20190312164444939</v>
      </c>
      <c r="B397" t="str">
        <f>"1552380284931669"</f>
        <v>1552380284931669</v>
      </c>
      <c r="C397" t="s">
        <v>40</v>
      </c>
      <c r="D397">
        <v>4.8416860000000002</v>
      </c>
      <c r="E397">
        <v>0.51462669999999999</v>
      </c>
      <c r="F397" t="s">
        <v>41</v>
      </c>
      <c r="G397">
        <v>-366.58229999999998</v>
      </c>
      <c r="H397">
        <v>1.052405</v>
      </c>
      <c r="I397">
        <v>367.36290000000002</v>
      </c>
      <c r="J397">
        <v>-367.04140000000001</v>
      </c>
      <c r="K397">
        <v>1.1072489999999999</v>
      </c>
      <c r="L397">
        <v>367.42169999999999</v>
      </c>
      <c r="M397">
        <v>0.99990829999999997</v>
      </c>
      <c r="N397">
        <v>0</v>
      </c>
      <c r="O397">
        <v>-1.182946E-2</v>
      </c>
      <c r="P397">
        <v>0.99312769999999995</v>
      </c>
      <c r="Q397">
        <v>0.10455449999999999</v>
      </c>
      <c r="R397">
        <v>-5.2593109999999998E-2</v>
      </c>
      <c r="S397">
        <v>3.0308229999999998</v>
      </c>
      <c r="T397">
        <v>-0.22520090000000001</v>
      </c>
      <c r="U397">
        <v>-0.25405879999999997</v>
      </c>
      <c r="V397">
        <v>4.0766950000000003E-2</v>
      </c>
      <c r="W397">
        <v>0.1111337</v>
      </c>
      <c r="X397">
        <v>0.99296899999999999</v>
      </c>
      <c r="Y397">
        <v>7.1574360000000004E-2</v>
      </c>
      <c r="Z397">
        <v>-1.774699E-3</v>
      </c>
      <c r="AA397">
        <v>0.99743369999999998</v>
      </c>
      <c r="AB397">
        <v>55</v>
      </c>
      <c r="AC397">
        <v>0.45910000000003398</v>
      </c>
      <c r="AD397">
        <v>-5.4843999999999803E-2</v>
      </c>
      <c r="AE397">
        <v>-5.8799999999962403E-2</v>
      </c>
      <c r="AF397">
        <v>5.2625976163704E-2</v>
      </c>
      <c r="AG397">
        <v>-5.4843999999999803E-2</v>
      </c>
      <c r="AH397">
        <v>0.453397608491871</v>
      </c>
      <c r="AI397">
        <v>96.851560951702695</v>
      </c>
      <c r="AJ397">
        <v>83.379290248353399</v>
      </c>
      <c r="AK397">
        <v>0.459724644857474</v>
      </c>
      <c r="AL397">
        <v>83.619327729295094</v>
      </c>
      <c r="AM397">
        <v>87.649007029212697</v>
      </c>
      <c r="AN397">
        <v>1.0000000392244901</v>
      </c>
    </row>
    <row r="398" spans="1:40" x14ac:dyDescent="0.25">
      <c r="A398" t="str">
        <f>"20190312164444951"</f>
        <v>20190312164444951</v>
      </c>
      <c r="B398" t="str">
        <f>"1552380284942405"</f>
        <v>1552380284942405</v>
      </c>
      <c r="C398" t="s">
        <v>40</v>
      </c>
      <c r="D398">
        <v>4.9413210000000003</v>
      </c>
      <c r="E398">
        <v>0.51509559999999999</v>
      </c>
      <c r="F398" t="s">
        <v>41</v>
      </c>
      <c r="G398">
        <v>-366.09739999999999</v>
      </c>
      <c r="H398">
        <v>1.037539</v>
      </c>
      <c r="I398">
        <v>367.34230000000002</v>
      </c>
      <c r="J398">
        <v>-366.76260000000002</v>
      </c>
      <c r="K398">
        <v>1.107253</v>
      </c>
      <c r="L398">
        <v>367.41840000000002</v>
      </c>
      <c r="M398">
        <v>0.9999093</v>
      </c>
      <c r="N398">
        <v>0</v>
      </c>
      <c r="O398">
        <v>-1.1726250000000001E-2</v>
      </c>
      <c r="P398">
        <v>0.99309970000000003</v>
      </c>
      <c r="Q398">
        <v>0.1049438</v>
      </c>
      <c r="R398">
        <v>-5.2342819999999998E-2</v>
      </c>
      <c r="S398">
        <v>3.030945</v>
      </c>
      <c r="T398">
        <v>-0.2239854</v>
      </c>
      <c r="U398">
        <v>-0.25387569999999998</v>
      </c>
      <c r="V398">
        <v>4.061886E-2</v>
      </c>
      <c r="W398">
        <v>0.1115351</v>
      </c>
      <c r="X398">
        <v>0.99293010000000004</v>
      </c>
      <c r="Y398">
        <v>7.1615490000000004E-2</v>
      </c>
      <c r="Z398">
        <v>-1.7741969999999999E-3</v>
      </c>
      <c r="AA398">
        <v>0.9974307</v>
      </c>
      <c r="AB398">
        <v>55</v>
      </c>
      <c r="AC398">
        <v>0.66520000000002699</v>
      </c>
      <c r="AD398">
        <v>-6.9713999999999998E-2</v>
      </c>
      <c r="AE398">
        <v>-7.6099999999996698E-2</v>
      </c>
      <c r="AF398">
        <v>6.75618248721815E-2</v>
      </c>
      <c r="AG398">
        <v>-6.9713999999999998E-2</v>
      </c>
      <c r="AH398">
        <v>0.65890316583046105</v>
      </c>
      <c r="AI398">
        <v>96.008331462675997</v>
      </c>
      <c r="AJ398">
        <v>84.145534220523501</v>
      </c>
      <c r="AK398">
        <v>0.66601653426732799</v>
      </c>
      <c r="AL398">
        <v>83.596185570138204</v>
      </c>
      <c r="AM398">
        <v>87.657446045981899</v>
      </c>
      <c r="AN398">
        <v>1.0000000769028501</v>
      </c>
    </row>
    <row r="399" spans="1:40" x14ac:dyDescent="0.25">
      <c r="A399" t="str">
        <f>"20190312164444962"</f>
        <v>20190312164444962</v>
      </c>
      <c r="B399" t="str">
        <f>"1552380284951695"</f>
        <v>1552380284951695</v>
      </c>
      <c r="C399" t="s">
        <v>40</v>
      </c>
      <c r="D399">
        <v>4.8404470000000002</v>
      </c>
      <c r="E399">
        <v>0.51539269999999904</v>
      </c>
      <c r="F399" t="s">
        <v>41</v>
      </c>
      <c r="G399">
        <v>-365.608</v>
      </c>
      <c r="H399">
        <v>1.024799</v>
      </c>
      <c r="I399">
        <v>367.32049999999998</v>
      </c>
      <c r="J399">
        <v>-366.47969999999998</v>
      </c>
      <c r="K399">
        <v>1.1072550000000001</v>
      </c>
      <c r="L399">
        <v>367.4151</v>
      </c>
      <c r="M399">
        <v>0.99991070000000004</v>
      </c>
      <c r="N399">
        <v>0</v>
      </c>
      <c r="O399">
        <v>-1.1621970000000001E-2</v>
      </c>
      <c r="P399">
        <v>0.99309669999999906</v>
      </c>
      <c r="Q399">
        <v>0.1051885</v>
      </c>
      <c r="R399">
        <v>-5.1909160000000003E-2</v>
      </c>
      <c r="S399">
        <v>3.0301209999999998</v>
      </c>
      <c r="T399">
        <v>-0.21635960000000001</v>
      </c>
      <c r="U399">
        <v>-0.25720209999999999</v>
      </c>
      <c r="V399">
        <v>4.0288270000000001E-2</v>
      </c>
      <c r="W399">
        <v>0.1117919</v>
      </c>
      <c r="X399">
        <v>0.99291459999999998</v>
      </c>
      <c r="Y399">
        <v>7.2836699999999893E-2</v>
      </c>
      <c r="Z399">
        <v>-1.7652200000000001E-3</v>
      </c>
      <c r="AA399">
        <v>0.99734230000000001</v>
      </c>
      <c r="AB399">
        <v>55</v>
      </c>
      <c r="AC399">
        <v>0.87169999999997505</v>
      </c>
      <c r="AD399">
        <v>-8.2455999999999793E-2</v>
      </c>
      <c r="AE399">
        <v>-9.4600000000014006E-2</v>
      </c>
      <c r="AF399">
        <v>8.37221201969678E-2</v>
      </c>
      <c r="AG399">
        <v>-8.2455999999999793E-2</v>
      </c>
      <c r="AH399">
        <v>0.86509013994769102</v>
      </c>
      <c r="AI399">
        <v>95.419525448202293</v>
      </c>
      <c r="AJ399">
        <v>84.472215784218406</v>
      </c>
      <c r="AK399">
        <v>0.87303455577714195</v>
      </c>
      <c r="AL399">
        <v>83.581378847082803</v>
      </c>
      <c r="AM399">
        <v>87.676454481475503</v>
      </c>
      <c r="AN399">
        <v>0.99999998824918102</v>
      </c>
    </row>
    <row r="400" spans="1:40" x14ac:dyDescent="0.25">
      <c r="A400" t="str">
        <f>"20190312164444974"</f>
        <v>20190312164444974</v>
      </c>
      <c r="B400" t="str">
        <f>"1552380284962432"</f>
        <v>1552380284962432</v>
      </c>
      <c r="C400" t="s">
        <v>40</v>
      </c>
      <c r="D400">
        <v>4.8761999999999999</v>
      </c>
      <c r="E400">
        <v>0.51576769999999905</v>
      </c>
      <c r="F400" t="s">
        <v>41</v>
      </c>
      <c r="G400">
        <v>-365.59739999999999</v>
      </c>
      <c r="H400">
        <v>1.046284</v>
      </c>
      <c r="I400">
        <v>367.3399</v>
      </c>
      <c r="J400">
        <v>-366.185</v>
      </c>
      <c r="K400">
        <v>1.1072550000000001</v>
      </c>
      <c r="L400">
        <v>367.4117</v>
      </c>
      <c r="M400">
        <v>0.99991169999999996</v>
      </c>
      <c r="N400">
        <v>0</v>
      </c>
      <c r="O400">
        <v>-1.1513280000000001E-2</v>
      </c>
      <c r="P400">
        <v>0.99308450000000004</v>
      </c>
      <c r="Q400">
        <v>0.1054549</v>
      </c>
      <c r="R400">
        <v>-5.1599560000000003E-2</v>
      </c>
      <c r="S400">
        <v>3.02948</v>
      </c>
      <c r="T400">
        <v>-0.2093633</v>
      </c>
      <c r="U400">
        <v>-0.25851439999999998</v>
      </c>
      <c r="V400">
        <v>4.0086330000000003E-2</v>
      </c>
      <c r="W400">
        <v>0.11207</v>
      </c>
      <c r="X400">
        <v>0.99289139999999998</v>
      </c>
      <c r="Y400">
        <v>7.3399939999999997E-2</v>
      </c>
      <c r="Z400">
        <v>-1.735496E-3</v>
      </c>
      <c r="AA400">
        <v>0.99730110000000005</v>
      </c>
      <c r="AB400">
        <v>55</v>
      </c>
      <c r="AC400">
        <v>0.587600000000009</v>
      </c>
      <c r="AD400">
        <v>-6.0970999999999803E-2</v>
      </c>
      <c r="AE400">
        <v>-7.1799999999996006E-2</v>
      </c>
      <c r="AF400">
        <v>6.4347272164234998E-2</v>
      </c>
      <c r="AG400">
        <v>-6.0970999999999803E-2</v>
      </c>
      <c r="AH400">
        <v>0.58221143882259796</v>
      </c>
      <c r="AI400">
        <v>95.942478899750498</v>
      </c>
      <c r="AJ400">
        <v>83.693142681714207</v>
      </c>
      <c r="AK400">
        <v>0.58892121185423296</v>
      </c>
      <c r="AL400">
        <v>83.565343980997994</v>
      </c>
      <c r="AM400">
        <v>87.6880343367432</v>
      </c>
      <c r="AN400">
        <v>0.99999996547341297</v>
      </c>
    </row>
    <row r="401" spans="1:40" x14ac:dyDescent="0.25">
      <c r="A401" t="str">
        <f>"20190312164444989"</f>
        <v>20190312164444989</v>
      </c>
      <c r="B401" t="str">
        <f>"1552380284981953"</f>
        <v>1552380284981953</v>
      </c>
      <c r="C401" t="s">
        <v>40</v>
      </c>
      <c r="D401">
        <v>4.852811</v>
      </c>
      <c r="E401">
        <v>0.5162407</v>
      </c>
      <c r="F401" t="s">
        <v>41</v>
      </c>
      <c r="G401">
        <v>-365.10649999999998</v>
      </c>
      <c r="H401">
        <v>1.0349200000000001</v>
      </c>
      <c r="I401">
        <v>367.31849999999997</v>
      </c>
      <c r="J401">
        <v>-365.82589999999999</v>
      </c>
      <c r="K401">
        <v>1.1072580000000001</v>
      </c>
      <c r="L401">
        <v>367.4076</v>
      </c>
      <c r="M401">
        <v>0.9999133</v>
      </c>
      <c r="N401">
        <v>0</v>
      </c>
      <c r="O401">
        <v>-1.1381820000000001E-2</v>
      </c>
      <c r="P401">
        <v>0.99309820000000004</v>
      </c>
      <c r="Q401">
        <v>0.1054312</v>
      </c>
      <c r="R401">
        <v>-5.1384680000000002E-2</v>
      </c>
      <c r="S401">
        <v>3.0289609999999998</v>
      </c>
      <c r="T401">
        <v>-0.20345540000000001</v>
      </c>
      <c r="U401">
        <v>-0.26049800000000001</v>
      </c>
      <c r="V401">
        <v>4.0001839999999997E-2</v>
      </c>
      <c r="W401">
        <v>0.11206149999999999</v>
      </c>
      <c r="X401">
        <v>0.9928958</v>
      </c>
      <c r="Y401">
        <v>7.4199890000000004E-2</v>
      </c>
      <c r="Z401">
        <v>-1.7224629999999901E-3</v>
      </c>
      <c r="AA401">
        <v>0.99724190000000001</v>
      </c>
      <c r="AB401">
        <v>55</v>
      </c>
      <c r="AC401">
        <v>0.71940000000000703</v>
      </c>
      <c r="AD401">
        <v>-7.2338E-2</v>
      </c>
      <c r="AE401">
        <v>-8.9100000000030294E-2</v>
      </c>
      <c r="AF401">
        <v>8.0108233746801094E-2</v>
      </c>
      <c r="AG401">
        <v>-7.2338E-2</v>
      </c>
      <c r="AH401">
        <v>0.713264709386352</v>
      </c>
      <c r="AI401">
        <v>95.755093848885295</v>
      </c>
      <c r="AJ401">
        <v>83.591846689595698</v>
      </c>
      <c r="AK401">
        <v>0.72138523759086504</v>
      </c>
      <c r="AL401">
        <v>83.565834294634399</v>
      </c>
      <c r="AM401">
        <v>87.692912210906997</v>
      </c>
      <c r="AN401">
        <v>0.999999998321637</v>
      </c>
    </row>
    <row r="402" spans="1:40" x14ac:dyDescent="0.25">
      <c r="A402" t="str">
        <f>"20190312164445005"</f>
        <v>20190312164445005</v>
      </c>
      <c r="B402" t="str">
        <f>"1552380285002447"</f>
        <v>1552380285002447</v>
      </c>
      <c r="C402" t="s">
        <v>40</v>
      </c>
      <c r="D402">
        <v>4.9054209999999996</v>
      </c>
      <c r="E402">
        <v>0.51653930000000003</v>
      </c>
      <c r="F402" t="s">
        <v>41</v>
      </c>
      <c r="G402">
        <v>-364.61200000000002</v>
      </c>
      <c r="H402">
        <v>1.0290709999999901</v>
      </c>
      <c r="I402">
        <v>367.30149999999998</v>
      </c>
      <c r="J402">
        <v>-365.41379999999998</v>
      </c>
      <c r="K402">
        <v>1.1072580000000001</v>
      </c>
      <c r="L402">
        <v>367.40289999999999</v>
      </c>
      <c r="M402">
        <v>0.99991479999999999</v>
      </c>
      <c r="N402">
        <v>0</v>
      </c>
      <c r="O402">
        <v>-1.123298E-2</v>
      </c>
      <c r="P402">
        <v>0.99310980000000004</v>
      </c>
      <c r="Q402">
        <v>0.10543660000000001</v>
      </c>
      <c r="R402">
        <v>-5.1149159999999999E-2</v>
      </c>
      <c r="S402">
        <v>3.0278930000000002</v>
      </c>
      <c r="T402">
        <v>-0.19509409999999999</v>
      </c>
      <c r="U402">
        <v>-0.26431270000000001</v>
      </c>
      <c r="V402">
        <v>3.9913869999999997E-2</v>
      </c>
      <c r="W402">
        <v>0.1120838</v>
      </c>
      <c r="X402">
        <v>0.99289689999999997</v>
      </c>
      <c r="Y402">
        <v>7.5633290000000006E-2</v>
      </c>
      <c r="Z402">
        <v>-1.707919E-3</v>
      </c>
      <c r="AA402">
        <v>0.99713430000000003</v>
      </c>
      <c r="AB402">
        <v>56</v>
      </c>
      <c r="AC402">
        <v>0.80180000000001395</v>
      </c>
      <c r="AD402">
        <v>-7.8187000000000201E-2</v>
      </c>
      <c r="AE402">
        <v>-0.10140000000001199</v>
      </c>
      <c r="AF402">
        <v>9.1530136404345805E-2</v>
      </c>
      <c r="AG402">
        <v>-7.8187000000000201E-2</v>
      </c>
      <c r="AH402">
        <v>0.79544361839356403</v>
      </c>
      <c r="AI402">
        <v>95.577206965120297</v>
      </c>
      <c r="AJ402">
        <v>83.435956228253303</v>
      </c>
      <c r="AK402">
        <v>0.80450079110106798</v>
      </c>
      <c r="AL402">
        <v>83.564548991440006</v>
      </c>
      <c r="AM402">
        <v>87.697982923595404</v>
      </c>
      <c r="AN402">
        <v>1.00000007463521</v>
      </c>
    </row>
    <row r="403" spans="1:40" x14ac:dyDescent="0.25">
      <c r="A403" t="str">
        <f>"20190312164445017"</f>
        <v>20190312164445017</v>
      </c>
      <c r="B403" t="str">
        <f>"1552380285012208"</f>
        <v>1552380285012208</v>
      </c>
      <c r="C403" t="s">
        <v>40</v>
      </c>
      <c r="D403">
        <v>5.1724500000000004</v>
      </c>
      <c r="E403">
        <v>0.51667029999999903</v>
      </c>
      <c r="F403" t="s">
        <v>41</v>
      </c>
      <c r="G403">
        <v>-364.59500000000003</v>
      </c>
      <c r="H403">
        <v>1.0564</v>
      </c>
      <c r="I403">
        <v>367.33080000000001</v>
      </c>
      <c r="J403">
        <v>-365.1207</v>
      </c>
      <c r="K403">
        <v>1.107256</v>
      </c>
      <c r="L403">
        <v>367.39960000000002</v>
      </c>
      <c r="M403">
        <v>0.99991580000000002</v>
      </c>
      <c r="N403">
        <v>0</v>
      </c>
      <c r="O403">
        <v>-1.112811E-2</v>
      </c>
      <c r="P403">
        <v>0.99312140000000004</v>
      </c>
      <c r="Q403">
        <v>0.1054556</v>
      </c>
      <c r="R403">
        <v>-5.0883230000000002E-2</v>
      </c>
      <c r="S403">
        <v>3.0270389999999998</v>
      </c>
      <c r="T403">
        <v>-0.1881574</v>
      </c>
      <c r="U403">
        <v>-0.26608280000000001</v>
      </c>
      <c r="V403">
        <v>3.9752040000000002E-2</v>
      </c>
      <c r="W403">
        <v>0.11211459999999999</v>
      </c>
      <c r="X403">
        <v>0.9928998</v>
      </c>
      <c r="Y403">
        <v>7.6348449999999998E-2</v>
      </c>
      <c r="Z403">
        <v>-1.676393E-3</v>
      </c>
      <c r="AA403">
        <v>0.99707979999999996</v>
      </c>
      <c r="AB403">
        <v>56</v>
      </c>
      <c r="AC403">
        <v>0.52569999999997197</v>
      </c>
      <c r="AD403">
        <v>-5.0855999999999998E-2</v>
      </c>
      <c r="AE403">
        <v>-6.8800000000010103E-2</v>
      </c>
      <c r="AF403">
        <v>6.2371682917450301E-2</v>
      </c>
      <c r="AG403">
        <v>-5.0855999999999998E-2</v>
      </c>
      <c r="AH403">
        <v>0.52163355149687396</v>
      </c>
      <c r="AI403">
        <v>95.529242393672206</v>
      </c>
      <c r="AJ403">
        <v>83.1815196894499</v>
      </c>
      <c r="AK403">
        <v>0.52780500339916903</v>
      </c>
      <c r="AL403">
        <v>83.562772350446593</v>
      </c>
      <c r="AM403">
        <v>87.707313115457694</v>
      </c>
      <c r="AN403">
        <v>0.99999996052868001</v>
      </c>
    </row>
    <row r="404" spans="1:40" x14ac:dyDescent="0.25">
      <c r="A404" t="str">
        <f>"20190312164445028"</f>
        <v>20190312164445028</v>
      </c>
      <c r="B404" t="str">
        <f>"1552380285021968"</f>
        <v>1552380285021968</v>
      </c>
      <c r="C404" t="s">
        <v>40</v>
      </c>
      <c r="D404">
        <v>4.8713150000000001</v>
      </c>
      <c r="E404">
        <v>0.51674869999999995</v>
      </c>
      <c r="F404" t="s">
        <v>41</v>
      </c>
      <c r="G404">
        <v>-364.10579999999999</v>
      </c>
      <c r="H404">
        <v>1.04504</v>
      </c>
      <c r="I404">
        <v>367.31020000000001</v>
      </c>
      <c r="J404">
        <v>-364.8272</v>
      </c>
      <c r="K404">
        <v>1.1072550000000001</v>
      </c>
      <c r="L404">
        <v>367.39640000000003</v>
      </c>
      <c r="M404">
        <v>0.99991699999999994</v>
      </c>
      <c r="N404">
        <v>0</v>
      </c>
      <c r="O404">
        <v>-1.1023369999999999E-2</v>
      </c>
      <c r="P404">
        <v>0.99310469999999895</v>
      </c>
      <c r="Q404">
        <v>0.1055523</v>
      </c>
      <c r="R404">
        <v>-5.1008909999999998E-2</v>
      </c>
      <c r="S404">
        <v>3.0268549999999999</v>
      </c>
      <c r="T404">
        <v>-0.18561800000000001</v>
      </c>
      <c r="U404">
        <v>-0.2664185</v>
      </c>
      <c r="V404">
        <v>3.9981940000000001E-2</v>
      </c>
      <c r="W404">
        <v>0.11222310000000001</v>
      </c>
      <c r="X404">
        <v>0.99287840000000005</v>
      </c>
      <c r="Y404">
        <v>7.6570609999999997E-2</v>
      </c>
      <c r="Z404">
        <v>-1.6670980000000001E-3</v>
      </c>
      <c r="AA404">
        <v>0.99706269999999997</v>
      </c>
      <c r="AB404">
        <v>56</v>
      </c>
      <c r="AC404">
        <v>0.72140000000001603</v>
      </c>
      <c r="AD404">
        <v>-6.2214999999999902E-2</v>
      </c>
      <c r="AE404">
        <v>-8.6200000000019303E-2</v>
      </c>
      <c r="AF404">
        <v>7.7672752948180906E-2</v>
      </c>
      <c r="AG404">
        <v>-6.2214999999999902E-2</v>
      </c>
      <c r="AH404">
        <v>0.717048295125855</v>
      </c>
      <c r="AI404">
        <v>94.930176446544394</v>
      </c>
      <c r="AJ404">
        <v>83.8176605141972</v>
      </c>
      <c r="AK404">
        <v>0.72392128047077298</v>
      </c>
      <c r="AL404">
        <v>83.5565168459228</v>
      </c>
      <c r="AM404">
        <v>87.694018327474893</v>
      </c>
      <c r="AN404">
        <v>1.0000000484431599</v>
      </c>
    </row>
    <row r="405" spans="1:40" x14ac:dyDescent="0.25">
      <c r="A405" t="str">
        <f>"20190312164445042"</f>
        <v>20190312164445042</v>
      </c>
      <c r="B405" t="str">
        <f>"1552380285031728"</f>
        <v>1552380285031728</v>
      </c>
      <c r="C405" t="s">
        <v>40</v>
      </c>
      <c r="D405">
        <v>4.871238</v>
      </c>
      <c r="E405">
        <v>0.51678789999999997</v>
      </c>
      <c r="F405" t="s">
        <v>41</v>
      </c>
      <c r="G405">
        <v>-363.6121</v>
      </c>
      <c r="H405">
        <v>1.0338229999999999</v>
      </c>
      <c r="I405">
        <v>367.28870000000001</v>
      </c>
      <c r="J405">
        <v>-364.48250000000002</v>
      </c>
      <c r="K405">
        <v>1.107245</v>
      </c>
      <c r="L405">
        <v>367.39260000000002</v>
      </c>
      <c r="M405">
        <v>0.99991819999999998</v>
      </c>
      <c r="N405">
        <v>0</v>
      </c>
      <c r="O405">
        <v>-1.090325E-2</v>
      </c>
      <c r="P405">
        <v>0.99313039999999997</v>
      </c>
      <c r="Q405">
        <v>0.1053651</v>
      </c>
      <c r="R405">
        <v>-5.0896919999999998E-2</v>
      </c>
      <c r="S405">
        <v>3.0265200000000001</v>
      </c>
      <c r="T405">
        <v>-0.18302550000000001</v>
      </c>
      <c r="U405">
        <v>-0.26757809999999999</v>
      </c>
      <c r="V405">
        <v>3.9989360000000002E-2</v>
      </c>
      <c r="W405">
        <v>0.1120501</v>
      </c>
      <c r="X405">
        <v>0.99289760000000005</v>
      </c>
      <c r="Y405">
        <v>7.7081350000000007E-2</v>
      </c>
      <c r="Z405">
        <v>-1.66665E-3</v>
      </c>
      <c r="AA405">
        <v>0.9970234</v>
      </c>
      <c r="AB405">
        <v>56</v>
      </c>
      <c r="AC405">
        <v>0.87040000000001705</v>
      </c>
      <c r="AD405">
        <v>-7.3422000000000098E-2</v>
      </c>
      <c r="AE405">
        <v>-0.10390000000001</v>
      </c>
      <c r="AF405">
        <v>9.3745732389546602E-2</v>
      </c>
      <c r="AG405">
        <v>-7.3422000000000098E-2</v>
      </c>
      <c r="AH405">
        <v>0.86540969234524801</v>
      </c>
      <c r="AI405">
        <v>94.821332400429995</v>
      </c>
      <c r="AJ405">
        <v>83.817526875637</v>
      </c>
      <c r="AK405">
        <v>0.87356338523907295</v>
      </c>
      <c r="AL405">
        <v>83.566491675021794</v>
      </c>
      <c r="AM405">
        <v>87.693635388428504</v>
      </c>
      <c r="AN405">
        <v>1.00000000895448</v>
      </c>
    </row>
    <row r="406" spans="1:40" x14ac:dyDescent="0.25">
      <c r="A406" t="str">
        <f>"20190312164445062"</f>
        <v>20190312164445062</v>
      </c>
      <c r="B406" t="str">
        <f>"1552380285051755"</f>
        <v>1552380285051755</v>
      </c>
      <c r="C406" t="s">
        <v>40</v>
      </c>
      <c r="D406">
        <v>4.8963369999999999</v>
      </c>
      <c r="E406">
        <v>0.516879599999999</v>
      </c>
      <c r="F406" t="s">
        <v>41</v>
      </c>
      <c r="G406">
        <v>-363.59949999999998</v>
      </c>
      <c r="H406">
        <v>1.0543180000000001</v>
      </c>
      <c r="I406">
        <v>367.3143</v>
      </c>
      <c r="J406">
        <v>-363.99290000000002</v>
      </c>
      <c r="K406">
        <v>1.1072409999999999</v>
      </c>
      <c r="L406">
        <v>367.38720000000001</v>
      </c>
      <c r="M406">
        <v>0.99992000000000003</v>
      </c>
      <c r="N406">
        <v>0</v>
      </c>
      <c r="O406">
        <v>-1.073548E-2</v>
      </c>
      <c r="P406">
        <v>0.99314089999999999</v>
      </c>
      <c r="Q406">
        <v>0.10527549999999999</v>
      </c>
      <c r="R406">
        <v>-5.0881089999999997E-2</v>
      </c>
      <c r="S406">
        <v>3.0263059999999999</v>
      </c>
      <c r="T406">
        <v>-0.18157799999999999</v>
      </c>
      <c r="U406">
        <v>-0.2677002</v>
      </c>
      <c r="V406">
        <v>4.0140509999999997E-2</v>
      </c>
      <c r="W406">
        <v>0.1119795</v>
      </c>
      <c r="X406">
        <v>0.99289950000000005</v>
      </c>
      <c r="Y406">
        <v>7.7295879999999997E-2</v>
      </c>
      <c r="Z406">
        <v>-1.6700599999999999E-3</v>
      </c>
      <c r="AA406">
        <v>0.99700679999999997</v>
      </c>
      <c r="AB406">
        <v>56</v>
      </c>
      <c r="AC406">
        <v>0.39340000000004199</v>
      </c>
      <c r="AD406">
        <v>-5.2922999999999797E-2</v>
      </c>
      <c r="AE406">
        <v>-7.29000000000041E-2</v>
      </c>
      <c r="AF406">
        <v>6.7491484975037902E-2</v>
      </c>
      <c r="AG406">
        <v>-5.2922999999999797E-2</v>
      </c>
      <c r="AH406">
        <v>0.38738203661288301</v>
      </c>
      <c r="AI406">
        <v>97.665356657079897</v>
      </c>
      <c r="AJ406">
        <v>80.116866497066596</v>
      </c>
      <c r="AK406">
        <v>0.39676288481091598</v>
      </c>
      <c r="AL406">
        <v>83.570562595840599</v>
      </c>
      <c r="AM406">
        <v>87.684931786860005</v>
      </c>
      <c r="AN406">
        <v>1.0000000430317699</v>
      </c>
    </row>
    <row r="407" spans="1:40" x14ac:dyDescent="0.25">
      <c r="A407" t="str">
        <f>"20190312164445083"</f>
        <v>20190312164445083</v>
      </c>
      <c r="B407" t="str">
        <f>"1552380285072252"</f>
        <v>1552380285072252</v>
      </c>
      <c r="C407" t="s">
        <v>40</v>
      </c>
      <c r="D407">
        <v>4.9103000000000003</v>
      </c>
      <c r="E407">
        <v>0.51709150000000004</v>
      </c>
      <c r="F407" t="s">
        <v>41</v>
      </c>
      <c r="G407">
        <v>-363.09899999999999</v>
      </c>
      <c r="H407">
        <v>1.0545960000000001</v>
      </c>
      <c r="I407">
        <v>367.30770000000001</v>
      </c>
      <c r="J407">
        <v>-363.46859999999998</v>
      </c>
      <c r="K407">
        <v>1.107235</v>
      </c>
      <c r="L407">
        <v>367.38170000000002</v>
      </c>
      <c r="M407">
        <v>0.99992159999999997</v>
      </c>
      <c r="N407">
        <v>0</v>
      </c>
      <c r="O407">
        <v>-1.05614E-2</v>
      </c>
      <c r="P407">
        <v>0.99315200000000003</v>
      </c>
      <c r="Q407">
        <v>0.1051151</v>
      </c>
      <c r="R407">
        <v>-5.0992200000000001E-2</v>
      </c>
      <c r="S407">
        <v>3.0258790000000002</v>
      </c>
      <c r="T407">
        <v>-0.1784462</v>
      </c>
      <c r="U407">
        <v>-0.26840209999999998</v>
      </c>
      <c r="V407">
        <v>4.0425700000000002E-2</v>
      </c>
      <c r="W407">
        <v>0.1118393</v>
      </c>
      <c r="X407">
        <v>0.99290369999999994</v>
      </c>
      <c r="Y407">
        <v>7.7714290000000005E-2</v>
      </c>
      <c r="Z407">
        <v>-1.664055E-3</v>
      </c>
      <c r="AA407">
        <v>0.99697429999999998</v>
      </c>
      <c r="AB407">
        <v>56</v>
      </c>
      <c r="AC407">
        <v>0.36959999999999099</v>
      </c>
      <c r="AD407">
        <v>-5.2639000000000102E-2</v>
      </c>
      <c r="AE407">
        <v>-7.4000000000012195E-2</v>
      </c>
      <c r="AF407">
        <v>6.8751491016332794E-2</v>
      </c>
      <c r="AG407">
        <v>-5.2639000000000102E-2</v>
      </c>
      <c r="AH407">
        <v>0.36327628884246799</v>
      </c>
      <c r="AI407">
        <v>98.1029418855194</v>
      </c>
      <c r="AJ407">
        <v>79.283291914699305</v>
      </c>
      <c r="AK407">
        <v>0.37345320171759799</v>
      </c>
      <c r="AL407">
        <v>83.578646040892096</v>
      </c>
      <c r="AM407">
        <v>87.668511645927197</v>
      </c>
      <c r="AN407">
        <v>1.00000001185933</v>
      </c>
    </row>
    <row r="408" spans="1:40" x14ac:dyDescent="0.25">
      <c r="A408" t="str">
        <f>"20190312164445095"</f>
        <v>20190312164445095</v>
      </c>
      <c r="B408" t="str">
        <f>"1552380285091772"</f>
        <v>1552380285091772</v>
      </c>
      <c r="C408" t="s">
        <v>40</v>
      </c>
      <c r="D408">
        <v>4.9216819999999997</v>
      </c>
      <c r="E408">
        <v>0.51710179999999994</v>
      </c>
      <c r="F408" t="s">
        <v>41</v>
      </c>
      <c r="G408">
        <v>-362.59609999999998</v>
      </c>
      <c r="H408">
        <v>1.0566990000000001</v>
      </c>
      <c r="I408">
        <v>367.30360000000002</v>
      </c>
      <c r="J408">
        <v>-363.17739999999998</v>
      </c>
      <c r="K408">
        <v>1.107229</v>
      </c>
      <c r="L408">
        <v>367.37860000000001</v>
      </c>
      <c r="M408">
        <v>0.99992250000000005</v>
      </c>
      <c r="N408">
        <v>0</v>
      </c>
      <c r="O408">
        <v>-1.046824E-2</v>
      </c>
      <c r="P408">
        <v>0.99314999999999998</v>
      </c>
      <c r="Q408">
        <v>0.1051753</v>
      </c>
      <c r="R408">
        <v>-5.090633E-2</v>
      </c>
      <c r="S408">
        <v>3.0252690000000002</v>
      </c>
      <c r="T408">
        <v>-0.1751491</v>
      </c>
      <c r="U408">
        <v>-0.27102659999999901</v>
      </c>
      <c r="V408">
        <v>4.0433190000000001E-2</v>
      </c>
      <c r="W408">
        <v>0.1119103</v>
      </c>
      <c r="X408">
        <v>0.99289539999999998</v>
      </c>
      <c r="Y408">
        <v>7.8685359999999996E-2</v>
      </c>
      <c r="Z408">
        <v>-1.667034E-3</v>
      </c>
      <c r="AA408">
        <v>0.99689810000000001</v>
      </c>
      <c r="AB408">
        <v>56</v>
      </c>
      <c r="AC408">
        <v>0.58129999999999804</v>
      </c>
      <c r="AD408">
        <v>-5.0529999999999901E-2</v>
      </c>
      <c r="AE408">
        <v>-7.4999999999988604E-2</v>
      </c>
      <c r="AF408">
        <v>6.8402173166749694E-2</v>
      </c>
      <c r="AG408">
        <v>-5.0529999999999901E-2</v>
      </c>
      <c r="AH408">
        <v>0.57775915639559905</v>
      </c>
      <c r="AI408">
        <v>94.963797889054504</v>
      </c>
      <c r="AJ408">
        <v>83.248056674942404</v>
      </c>
      <c r="AK408">
        <v>0.58398440132668705</v>
      </c>
      <c r="AL408">
        <v>83.574552372985295</v>
      </c>
      <c r="AM408">
        <v>87.668060676937998</v>
      </c>
      <c r="AN408">
        <v>1.0000000167204099</v>
      </c>
    </row>
    <row r="409" spans="1:40" x14ac:dyDescent="0.25">
      <c r="A409" t="str">
        <f>"20190312164445106"</f>
        <v>20190312164445106</v>
      </c>
      <c r="B409" t="str">
        <f>"1552380285102508"</f>
        <v>1552380285102508</v>
      </c>
      <c r="C409" t="s">
        <v>40</v>
      </c>
      <c r="D409">
        <v>4.9263560000000002</v>
      </c>
      <c r="E409">
        <v>0.51709499999999997</v>
      </c>
      <c r="F409" t="s">
        <v>41</v>
      </c>
      <c r="G409">
        <v>-362.1035</v>
      </c>
      <c r="H409">
        <v>1.044702</v>
      </c>
      <c r="I409">
        <v>367.28210000000001</v>
      </c>
      <c r="J409">
        <v>-362.88130000000001</v>
      </c>
      <c r="K409">
        <v>1.107227</v>
      </c>
      <c r="L409">
        <v>367.37549999999999</v>
      </c>
      <c r="M409">
        <v>0.99992329999999996</v>
      </c>
      <c r="N409">
        <v>0</v>
      </c>
      <c r="O409">
        <v>-1.037543E-2</v>
      </c>
      <c r="P409">
        <v>0.9931468</v>
      </c>
      <c r="Q409">
        <v>0.1051383</v>
      </c>
      <c r="R409">
        <v>-5.1045849999999997E-2</v>
      </c>
      <c r="S409">
        <v>3.0254819999999998</v>
      </c>
      <c r="T409">
        <v>-0.17636969999999999</v>
      </c>
      <c r="U409">
        <v>-0.27075199999999999</v>
      </c>
      <c r="V409">
        <v>4.066554E-2</v>
      </c>
      <c r="W409">
        <v>0.11188430000000001</v>
      </c>
      <c r="X409">
        <v>0.99288880000000002</v>
      </c>
      <c r="Y409">
        <v>7.8680139999999996E-2</v>
      </c>
      <c r="Z409">
        <v>-1.6837620000000001E-3</v>
      </c>
      <c r="AA409">
        <v>0.99689850000000002</v>
      </c>
      <c r="AB409">
        <v>56</v>
      </c>
      <c r="AC409">
        <v>0.77780000000001304</v>
      </c>
      <c r="AD409">
        <v>-6.25249999999999E-2</v>
      </c>
      <c r="AE409">
        <v>-9.3399999999974101E-2</v>
      </c>
      <c r="AF409">
        <v>8.4784682037505305E-2</v>
      </c>
      <c r="AG409">
        <v>-6.25249999999999E-2</v>
      </c>
      <c r="AH409">
        <v>0.77379796299617398</v>
      </c>
      <c r="AI409">
        <v>94.592254515881194</v>
      </c>
      <c r="AJ409">
        <v>83.747071682011395</v>
      </c>
      <c r="AK409">
        <v>0.78093604441735798</v>
      </c>
      <c r="AL409">
        <v>83.576051214916703</v>
      </c>
      <c r="AM409">
        <v>87.654659497430103</v>
      </c>
      <c r="AN409">
        <v>0.99999997594770995</v>
      </c>
    </row>
    <row r="410" spans="1:40" x14ac:dyDescent="0.25">
      <c r="A410" t="str">
        <f>"20190312164445119"</f>
        <v>20190312164445119</v>
      </c>
      <c r="B410" t="str">
        <f>"1552380285112267"</f>
        <v>1552380285112267</v>
      </c>
      <c r="C410" t="s">
        <v>40</v>
      </c>
      <c r="D410">
        <v>4.9171300000000002</v>
      </c>
      <c r="E410">
        <v>0.51706890000000005</v>
      </c>
      <c r="F410" t="s">
        <v>42</v>
      </c>
      <c r="G410">
        <v>-344.1497</v>
      </c>
      <c r="H410" s="1">
        <v>-3.4409259999999998E-6</v>
      </c>
      <c r="I410">
        <v>365.69850000000002</v>
      </c>
      <c r="J410">
        <v>-362.58409999999998</v>
      </c>
      <c r="K410">
        <v>1.107221</v>
      </c>
      <c r="L410">
        <v>367.37240000000003</v>
      </c>
      <c r="M410">
        <v>0.99992409999999998</v>
      </c>
      <c r="N410">
        <v>0</v>
      </c>
      <c r="O410">
        <v>-1.02868E-2</v>
      </c>
      <c r="P410">
        <v>0.99318879999999998</v>
      </c>
      <c r="Q410">
        <v>0.1048007</v>
      </c>
      <c r="R410">
        <v>-5.0920840000000002E-2</v>
      </c>
      <c r="S410">
        <v>3.0257260000000001</v>
      </c>
      <c r="T410">
        <v>-0.17885119999999999</v>
      </c>
      <c r="U410">
        <v>-0.270874</v>
      </c>
      <c r="V410">
        <v>4.0629529999999997E-2</v>
      </c>
      <c r="W410">
        <v>0.1115583</v>
      </c>
      <c r="X410">
        <v>0.992927</v>
      </c>
      <c r="Y410">
        <v>7.8797640000000002E-2</v>
      </c>
      <c r="Z410">
        <v>-1.7159579999999901E-3</v>
      </c>
      <c r="AA410">
        <v>0.99688920000000003</v>
      </c>
      <c r="AB410">
        <v>56</v>
      </c>
      <c r="AC410">
        <v>18.434399999999901</v>
      </c>
      <c r="AD410">
        <v>-1.1072244409259999</v>
      </c>
      <c r="AE410">
        <v>-1.6738999999999999</v>
      </c>
      <c r="AF410">
        <v>1.4788845517146501</v>
      </c>
      <c r="AG410">
        <v>-1.1072244409259999</v>
      </c>
      <c r="AH410">
        <v>18.384861983082601</v>
      </c>
      <c r="AI410">
        <v>93.435393488585106</v>
      </c>
      <c r="AJ410">
        <v>85.401010429264304</v>
      </c>
      <c r="AK410">
        <v>18.477451004315501</v>
      </c>
      <c r="AL410">
        <v>83.594847595475699</v>
      </c>
      <c r="AM410">
        <v>87.656824068575602</v>
      </c>
      <c r="AN410">
        <v>1.00000002016795</v>
      </c>
    </row>
    <row r="411" spans="1:40" x14ac:dyDescent="0.25">
      <c r="A411" t="str">
        <f>"20190312164445130"</f>
        <v>20190312164445130</v>
      </c>
      <c r="B411" t="str">
        <f>"1552380285122029"</f>
        <v>1552380285122029</v>
      </c>
      <c r="C411" t="s">
        <v>40</v>
      </c>
      <c r="D411">
        <v>4.9433669999999896</v>
      </c>
      <c r="E411">
        <v>0.51708609999999999</v>
      </c>
      <c r="F411" t="s">
        <v>41</v>
      </c>
      <c r="G411">
        <v>-361.59879999999998</v>
      </c>
      <c r="H411">
        <v>1.0479689999999999</v>
      </c>
      <c r="I411">
        <v>367.28410000000002</v>
      </c>
      <c r="J411">
        <v>-362.28429999999997</v>
      </c>
      <c r="K411">
        <v>1.1072139999999999</v>
      </c>
      <c r="L411">
        <v>367.36930000000001</v>
      </c>
      <c r="M411">
        <v>0.99992510000000001</v>
      </c>
      <c r="N411">
        <v>0</v>
      </c>
      <c r="O411">
        <v>-1.019961E-2</v>
      </c>
      <c r="P411">
        <v>0.99321749999999998</v>
      </c>
      <c r="Q411">
        <v>0.10460369999999999</v>
      </c>
      <c r="R411">
        <v>-5.0766180000000001E-2</v>
      </c>
      <c r="S411">
        <v>3.02597</v>
      </c>
      <c r="T411">
        <v>-0.1820948</v>
      </c>
      <c r="U411">
        <v>-0.2702637</v>
      </c>
      <c r="V411">
        <v>4.0562649999999999E-2</v>
      </c>
      <c r="W411">
        <v>0.111372</v>
      </c>
      <c r="X411">
        <v>0.99295060000000002</v>
      </c>
      <c r="Y411">
        <v>7.8673720000000003E-2</v>
      </c>
      <c r="Z411">
        <v>-1.7484110000000001E-3</v>
      </c>
      <c r="AA411">
        <v>0.99689890000000003</v>
      </c>
      <c r="AB411">
        <v>56</v>
      </c>
      <c r="AC411">
        <v>0.68549999999999001</v>
      </c>
      <c r="AD411">
        <v>-5.9244999999999701E-2</v>
      </c>
      <c r="AE411">
        <v>-8.5199999999986106E-2</v>
      </c>
      <c r="AF411">
        <v>7.7632524622523402E-2</v>
      </c>
      <c r="AG411">
        <v>-5.9244999999999701E-2</v>
      </c>
      <c r="AH411">
        <v>0.68132168937789594</v>
      </c>
      <c r="AI411">
        <v>94.937918123109498</v>
      </c>
      <c r="AJ411">
        <v>83.499524851007607</v>
      </c>
      <c r="AK411">
        <v>0.68828484170510096</v>
      </c>
      <c r="AL411">
        <v>83.605588428002207</v>
      </c>
      <c r="AM411">
        <v>87.660732404546806</v>
      </c>
      <c r="AN411">
        <v>0.99999997249968997</v>
      </c>
    </row>
    <row r="412" spans="1:40" x14ac:dyDescent="0.25">
      <c r="A412" t="str">
        <f>"20190312164445142"</f>
        <v>20190312164445142</v>
      </c>
      <c r="B412" t="str">
        <f>"1552380285131788"</f>
        <v>1552380285131788</v>
      </c>
      <c r="C412" t="s">
        <v>40</v>
      </c>
      <c r="D412">
        <v>4.930021</v>
      </c>
      <c r="E412">
        <v>0.51709559999999999</v>
      </c>
      <c r="F412" t="s">
        <v>41</v>
      </c>
      <c r="G412">
        <v>-361.10160000000002</v>
      </c>
      <c r="H412">
        <v>1.035123</v>
      </c>
      <c r="I412">
        <v>367.2636</v>
      </c>
      <c r="J412">
        <v>-361.98140000000001</v>
      </c>
      <c r="K412">
        <v>1.1072059999999999</v>
      </c>
      <c r="L412">
        <v>367.36619999999999</v>
      </c>
      <c r="M412">
        <v>0.99992570000000003</v>
      </c>
      <c r="N412">
        <v>0</v>
      </c>
      <c r="O412">
        <v>-1.0117320000000001E-2</v>
      </c>
      <c r="P412">
        <v>0.99324100000000004</v>
      </c>
      <c r="Q412">
        <v>0.10455540000000001</v>
      </c>
      <c r="R412">
        <v>-5.040683E-2</v>
      </c>
      <c r="S412">
        <v>3.026154</v>
      </c>
      <c r="T412">
        <v>-0.1846131</v>
      </c>
      <c r="U412">
        <v>-0.26965329999999998</v>
      </c>
      <c r="V412">
        <v>4.0286130000000003E-2</v>
      </c>
      <c r="W412">
        <v>0.11133460000000001</v>
      </c>
      <c r="X412">
        <v>0.99296609999999996</v>
      </c>
      <c r="Y412">
        <v>7.8547599999999995E-2</v>
      </c>
      <c r="Z412">
        <v>-1.77362299999999E-3</v>
      </c>
      <c r="AA412">
        <v>0.99690880000000004</v>
      </c>
      <c r="AB412">
        <v>56</v>
      </c>
      <c r="AC412">
        <v>0.87979999999998804</v>
      </c>
      <c r="AD412">
        <v>-7.2082999999999897E-2</v>
      </c>
      <c r="AE412">
        <v>-0.102599999999995</v>
      </c>
      <c r="AF412">
        <v>9.3076909479666098E-2</v>
      </c>
      <c r="AG412">
        <v>-7.2082999999999897E-2</v>
      </c>
      <c r="AH412">
        <v>0.87499822857405396</v>
      </c>
      <c r="AI412">
        <v>94.683131474502702</v>
      </c>
      <c r="AJ412">
        <v>83.928062126621697</v>
      </c>
      <c r="AK412">
        <v>0.88288230811077995</v>
      </c>
      <c r="AL412">
        <v>83.607745009003494</v>
      </c>
      <c r="AM412">
        <v>87.676698138245698</v>
      </c>
      <c r="AN412">
        <v>1.0000000205883699</v>
      </c>
    </row>
    <row r="413" spans="1:40" x14ac:dyDescent="0.25">
      <c r="A413" t="str">
        <f>"20190312164445153"</f>
        <v>20190312164445153</v>
      </c>
      <c r="B413" t="str">
        <f>"1552380285142525"</f>
        <v>1552380285142525</v>
      </c>
      <c r="C413" t="s">
        <v>40</v>
      </c>
      <c r="D413">
        <v>4.9420900000000003</v>
      </c>
      <c r="E413">
        <v>0.51704879999999998</v>
      </c>
      <c r="F413" t="s">
        <v>41</v>
      </c>
      <c r="G413">
        <v>-361.09140000000002</v>
      </c>
      <c r="H413">
        <v>1.052316</v>
      </c>
      <c r="I413">
        <v>367.2869</v>
      </c>
      <c r="J413">
        <v>-361.70499999999998</v>
      </c>
      <c r="K413">
        <v>1.1072</v>
      </c>
      <c r="L413">
        <v>367.36340000000001</v>
      </c>
      <c r="M413">
        <v>0.99992639999999999</v>
      </c>
      <c r="N413">
        <v>0</v>
      </c>
      <c r="O413">
        <v>-1.004563E-2</v>
      </c>
      <c r="P413">
        <v>0.99327949999999998</v>
      </c>
      <c r="Q413">
        <v>0.104219699999999</v>
      </c>
      <c r="R413">
        <v>-5.0340839999999998E-2</v>
      </c>
      <c r="S413">
        <v>3.026459</v>
      </c>
      <c r="T413">
        <v>-0.18682190000000001</v>
      </c>
      <c r="U413">
        <v>-0.26870729999999998</v>
      </c>
      <c r="V413">
        <v>4.0293219999999998E-2</v>
      </c>
      <c r="W413">
        <v>0.111009</v>
      </c>
      <c r="X413">
        <v>0.99300219999999995</v>
      </c>
      <c r="Y413">
        <v>7.8298320000000005E-2</v>
      </c>
      <c r="Z413">
        <v>-1.791389E-3</v>
      </c>
      <c r="AA413">
        <v>0.99692840000000005</v>
      </c>
      <c r="AB413">
        <v>56</v>
      </c>
      <c r="AC413">
        <v>0.61359999999996195</v>
      </c>
      <c r="AD413">
        <v>-5.4883999999999898E-2</v>
      </c>
      <c r="AE413">
        <v>-7.6500000000009893E-2</v>
      </c>
      <c r="AF413">
        <v>6.9782246082531293E-2</v>
      </c>
      <c r="AG413">
        <v>-5.4883999999999898E-2</v>
      </c>
      <c r="AH413">
        <v>0.60953555541877802</v>
      </c>
      <c r="AI413">
        <v>95.111957615737893</v>
      </c>
      <c r="AJ413">
        <v>83.468967565174296</v>
      </c>
      <c r="AK413">
        <v>0.61596705158961296</v>
      </c>
      <c r="AL413">
        <v>83.626516460519596</v>
      </c>
      <c r="AM413">
        <v>87.676374090482398</v>
      </c>
      <c r="AN413">
        <v>0.99999995543190301</v>
      </c>
    </row>
    <row r="414" spans="1:40" x14ac:dyDescent="0.25">
      <c r="A414" t="str">
        <f>"20190312164445165"</f>
        <v>20190312164445165</v>
      </c>
      <c r="B414" t="str">
        <f>"1552380285162550"</f>
        <v>1552380285162550</v>
      </c>
      <c r="C414" t="s">
        <v>40</v>
      </c>
      <c r="D414">
        <v>4.9521499999999996</v>
      </c>
      <c r="E414">
        <v>0.50406930000000005</v>
      </c>
      <c r="F414" t="s">
        <v>41</v>
      </c>
      <c r="G414">
        <v>-360.59570000000002</v>
      </c>
      <c r="H414">
        <v>1.0375049999999999</v>
      </c>
      <c r="I414">
        <v>367.26510000000002</v>
      </c>
      <c r="J414">
        <v>-361.39620000000002</v>
      </c>
      <c r="K414">
        <v>1.107191</v>
      </c>
      <c r="L414">
        <v>367.3603</v>
      </c>
      <c r="M414">
        <v>0.99992700000000001</v>
      </c>
      <c r="N414">
        <v>0</v>
      </c>
      <c r="O414">
        <v>-9.9697780000000003E-3</v>
      </c>
      <c r="P414">
        <v>0.99328700000000003</v>
      </c>
      <c r="Q414">
        <v>0.1042561</v>
      </c>
      <c r="R414">
        <v>-5.0116639999999997E-2</v>
      </c>
      <c r="S414">
        <v>3.026672</v>
      </c>
      <c r="T414">
        <v>-0.19019929999999999</v>
      </c>
      <c r="U414">
        <v>-0.2680054</v>
      </c>
      <c r="V414">
        <v>4.014591E-2</v>
      </c>
      <c r="W414">
        <v>0.1110559</v>
      </c>
      <c r="X414">
        <v>0.99300299999999997</v>
      </c>
      <c r="Y414">
        <v>7.8133839999999996E-2</v>
      </c>
      <c r="Z414">
        <v>-1.823199E-3</v>
      </c>
      <c r="AA414">
        <v>0.99694119999999997</v>
      </c>
      <c r="AB414">
        <v>56</v>
      </c>
      <c r="AC414">
        <v>0.80049999999999899</v>
      </c>
      <c r="AD414">
        <v>-6.9686000000000095E-2</v>
      </c>
      <c r="AE414">
        <v>-9.5199999999976997E-2</v>
      </c>
      <c r="AF414">
        <v>8.6567395601222494E-2</v>
      </c>
      <c r="AG414">
        <v>-6.9686000000000095E-2</v>
      </c>
      <c r="AH414">
        <v>0.79546520193807702</v>
      </c>
      <c r="AI414">
        <v>94.977324914099498</v>
      </c>
      <c r="AJ414">
        <v>83.789163942680702</v>
      </c>
      <c r="AK414">
        <v>0.80319047558568901</v>
      </c>
      <c r="AL414">
        <v>83.623813063105004</v>
      </c>
      <c r="AM414">
        <v>87.6848617533322</v>
      </c>
      <c r="AN414">
        <v>1.00000003251176</v>
      </c>
    </row>
    <row r="415" spans="1:40" x14ac:dyDescent="0.25">
      <c r="A415" t="str">
        <f>"20190312164445184"</f>
        <v>20190312164445184</v>
      </c>
      <c r="B415" t="str">
        <f>"1552380285172311"</f>
        <v>1552380285172311</v>
      </c>
      <c r="C415" t="s">
        <v>40</v>
      </c>
      <c r="D415">
        <v>5.6686579999999998</v>
      </c>
      <c r="E415">
        <v>0.50191529999999995</v>
      </c>
      <c r="F415" t="s">
        <v>41</v>
      </c>
      <c r="G415">
        <v>-360.5926</v>
      </c>
      <c r="H415">
        <v>1.0427310000000001</v>
      </c>
      <c r="I415">
        <v>367.31740000000002</v>
      </c>
      <c r="J415">
        <v>-360.9384</v>
      </c>
      <c r="K415">
        <v>1.107175</v>
      </c>
      <c r="L415">
        <v>367.35570000000001</v>
      </c>
      <c r="M415">
        <v>0.99992800000000004</v>
      </c>
      <c r="N415">
        <v>0</v>
      </c>
      <c r="O415">
        <v>-9.8682370000000002E-3</v>
      </c>
      <c r="P415">
        <v>0.99336579999999997</v>
      </c>
      <c r="Q415">
        <v>0.10382420000000001</v>
      </c>
      <c r="R415">
        <v>-4.944689E-2</v>
      </c>
      <c r="S415">
        <v>3.0377200000000002</v>
      </c>
      <c r="T415">
        <v>-0.2437134</v>
      </c>
      <c r="U415">
        <v>-0.1619263</v>
      </c>
      <c r="V415">
        <v>3.9579820000000002E-2</v>
      </c>
      <c r="W415">
        <v>0.1106403</v>
      </c>
      <c r="X415">
        <v>0.99307210000000001</v>
      </c>
      <c r="Y415">
        <v>4.3265570000000003E-2</v>
      </c>
      <c r="Z415">
        <v>-9.4172220000000005E-4</v>
      </c>
      <c r="AA415">
        <v>0.99906309999999998</v>
      </c>
      <c r="AB415">
        <v>56</v>
      </c>
      <c r="AC415">
        <v>0.345799999999997</v>
      </c>
      <c r="AD415">
        <v>-6.4444000000000098E-2</v>
      </c>
      <c r="AE415">
        <v>-3.8299999999992403E-2</v>
      </c>
      <c r="AF415">
        <v>3.37284001242538E-2</v>
      </c>
      <c r="AG415">
        <v>-6.4444000000000098E-2</v>
      </c>
      <c r="AH415">
        <v>0.33467833410522702</v>
      </c>
      <c r="AI415">
        <v>100.84556914181999</v>
      </c>
      <c r="AJ415">
        <v>84.245243815113298</v>
      </c>
      <c r="AK415">
        <v>0.34249119905538</v>
      </c>
      <c r="AL415">
        <v>83.647772744812201</v>
      </c>
      <c r="AM415">
        <v>87.717630966485999</v>
      </c>
      <c r="AN415">
        <v>1.0000000169668599</v>
      </c>
    </row>
    <row r="416" spans="1:40" x14ac:dyDescent="0.25">
      <c r="A416" t="str">
        <f>"20190312164445196"</f>
        <v>20190312164445196</v>
      </c>
      <c r="B416" t="str">
        <f>"1552380285191831"</f>
        <v>1552380285191831</v>
      </c>
      <c r="C416" t="s">
        <v>40</v>
      </c>
      <c r="D416">
        <v>4.9322339999999896</v>
      </c>
      <c r="E416">
        <v>0.49867810000000001</v>
      </c>
      <c r="F416" t="s">
        <v>41</v>
      </c>
      <c r="G416">
        <v>-360.08440000000002</v>
      </c>
      <c r="H416">
        <v>1.046414</v>
      </c>
      <c r="I416">
        <v>367.31479999999999</v>
      </c>
      <c r="J416">
        <v>-360.6266</v>
      </c>
      <c r="K416">
        <v>1.107164</v>
      </c>
      <c r="L416">
        <v>367.3526</v>
      </c>
      <c r="M416">
        <v>0.9999287</v>
      </c>
      <c r="N416">
        <v>0</v>
      </c>
      <c r="O416">
        <v>-9.8070699999999993E-3</v>
      </c>
      <c r="P416">
        <v>0.99339599999999995</v>
      </c>
      <c r="Q416">
        <v>0.1036115</v>
      </c>
      <c r="R416">
        <v>-4.9290840000000002E-2</v>
      </c>
      <c r="S416">
        <v>3.0354610000000002</v>
      </c>
      <c r="T416">
        <v>-0.21626870000000001</v>
      </c>
      <c r="U416">
        <v>-0.14392089999999999</v>
      </c>
      <c r="V416">
        <v>3.9486609999999998E-2</v>
      </c>
      <c r="W416">
        <v>0.11043890000000001</v>
      </c>
      <c r="X416">
        <v>0.99309820000000004</v>
      </c>
      <c r="Y416">
        <v>3.7491400000000001E-2</v>
      </c>
      <c r="Z416">
        <v>-6.3572489999999895E-4</v>
      </c>
      <c r="AA416">
        <v>0.99929670000000004</v>
      </c>
      <c r="AB416">
        <v>56</v>
      </c>
      <c r="AC416">
        <v>0.54219999999997903</v>
      </c>
      <c r="AD416">
        <v>-6.0749999999999998E-2</v>
      </c>
      <c r="AE416">
        <v>-3.7800000000004198E-2</v>
      </c>
      <c r="AF416">
        <v>3.2079890244697901E-2</v>
      </c>
      <c r="AG416">
        <v>-6.0749999999999998E-2</v>
      </c>
      <c r="AH416">
        <v>0.53585024587385</v>
      </c>
      <c r="AI416">
        <v>96.456613404673107</v>
      </c>
      <c r="AJ416">
        <v>86.573947404815598</v>
      </c>
      <c r="AK416">
        <v>0.54023621487380602</v>
      </c>
      <c r="AL416">
        <v>83.659383088608607</v>
      </c>
      <c r="AM416">
        <v>87.723060033639499</v>
      </c>
      <c r="AN416">
        <v>0.99999998892287101</v>
      </c>
    </row>
    <row r="417" spans="1:40" x14ac:dyDescent="0.25">
      <c r="A417" t="str">
        <f>"20190312164445208"</f>
        <v>20190312164445208</v>
      </c>
      <c r="B417" t="str">
        <f>"1552380285202567"</f>
        <v>1552380285202567</v>
      </c>
      <c r="C417" t="s">
        <v>40</v>
      </c>
      <c r="D417">
        <v>5.0061369999999998</v>
      </c>
      <c r="E417">
        <v>0.49828749999999999</v>
      </c>
      <c r="F417" t="s">
        <v>41</v>
      </c>
      <c r="G417">
        <v>-359.5865</v>
      </c>
      <c r="H417">
        <v>1.0300129999999901</v>
      </c>
      <c r="I417">
        <v>367.31259999999997</v>
      </c>
      <c r="J417">
        <v>-360.30610000000001</v>
      </c>
      <c r="K417">
        <v>1.1071519999999999</v>
      </c>
      <c r="L417">
        <v>367.34949999999998</v>
      </c>
      <c r="M417">
        <v>0.99992899999999996</v>
      </c>
      <c r="N417">
        <v>0</v>
      </c>
      <c r="O417">
        <v>-9.7481749999999995E-3</v>
      </c>
      <c r="P417">
        <v>0.99342350000000001</v>
      </c>
      <c r="Q417">
        <v>0.103454</v>
      </c>
      <c r="R417">
        <v>-4.9063910000000002E-2</v>
      </c>
      <c r="S417">
        <v>3.0376280000000002</v>
      </c>
      <c r="T417">
        <v>-0.22529969999999999</v>
      </c>
      <c r="U417">
        <v>-0.117004399999999</v>
      </c>
      <c r="V417">
        <v>3.9320710000000002E-2</v>
      </c>
      <c r="W417">
        <v>0.110292</v>
      </c>
      <c r="X417">
        <v>0.99312109999999998</v>
      </c>
      <c r="Y417">
        <v>2.8694830000000001E-2</v>
      </c>
      <c r="Z417">
        <v>-3.4055540000000001E-4</v>
      </c>
      <c r="AA417">
        <v>0.99958809999999998</v>
      </c>
      <c r="AB417">
        <v>57</v>
      </c>
      <c r="AC417">
        <v>0.71960000000001401</v>
      </c>
      <c r="AD417">
        <v>-7.7139000000000194E-2</v>
      </c>
      <c r="AE417">
        <v>-3.6900000000002799E-2</v>
      </c>
      <c r="AF417">
        <v>2.9544681446608601E-2</v>
      </c>
      <c r="AG417">
        <v>-7.7139000000000194E-2</v>
      </c>
      <c r="AH417">
        <v>0.71176790008591795</v>
      </c>
      <c r="AI417">
        <v>96.180101000185502</v>
      </c>
      <c r="AJ417">
        <v>87.623081425657105</v>
      </c>
      <c r="AK417">
        <v>0.71654508379828996</v>
      </c>
      <c r="AL417">
        <v>83.667851524113203</v>
      </c>
      <c r="AM417">
        <v>87.732668647039304</v>
      </c>
      <c r="AN417">
        <v>0.99999998138205604</v>
      </c>
    </row>
    <row r="418" spans="1:40" x14ac:dyDescent="0.25">
      <c r="A418" t="str">
        <f>"20190312164445220"</f>
        <v>20190312164445220</v>
      </c>
      <c r="B418" t="str">
        <f>"1552380285212326"</f>
        <v>1552380285212326</v>
      </c>
      <c r="C418" t="s">
        <v>40</v>
      </c>
      <c r="D418">
        <v>4.9709440000000003</v>
      </c>
      <c r="E418">
        <v>0.49779400000000001</v>
      </c>
      <c r="F418" t="s">
        <v>41</v>
      </c>
      <c r="G418">
        <v>-359.0856</v>
      </c>
      <c r="H418">
        <v>1.016702</v>
      </c>
      <c r="I418">
        <v>367.30360000000002</v>
      </c>
      <c r="J418">
        <v>-360.01530000000002</v>
      </c>
      <c r="K418">
        <v>1.107138</v>
      </c>
      <c r="L418">
        <v>367.34660000000002</v>
      </c>
      <c r="M418">
        <v>0.99992939999999997</v>
      </c>
      <c r="N418">
        <v>0</v>
      </c>
      <c r="O418">
        <v>-9.7046589999999992E-3</v>
      </c>
      <c r="P418">
        <v>0.99343619999999999</v>
      </c>
      <c r="Q418">
        <v>0.1033987</v>
      </c>
      <c r="R418">
        <v>-4.8922889999999997E-2</v>
      </c>
      <c r="S418">
        <v>3.0377809999999998</v>
      </c>
      <c r="T418">
        <v>-0.22540250000000001</v>
      </c>
      <c r="U418">
        <v>-0.11322019999999999</v>
      </c>
      <c r="V418">
        <v>3.9225700000000002E-2</v>
      </c>
      <c r="W418">
        <v>0.1102465</v>
      </c>
      <c r="X418">
        <v>0.99312990000000001</v>
      </c>
      <c r="Y418">
        <v>2.7496099999999999E-2</v>
      </c>
      <c r="Z418">
        <v>-2.9952720000000002E-4</v>
      </c>
      <c r="AA418">
        <v>0.99962189999999995</v>
      </c>
      <c r="AB418">
        <v>57</v>
      </c>
      <c r="AC418">
        <v>0.92970000000002495</v>
      </c>
      <c r="AD418">
        <v>-9.0435999999999905E-2</v>
      </c>
      <c r="AE418">
        <v>-4.3000000000006297E-2</v>
      </c>
      <c r="AF418">
        <v>3.3657543236830102E-2</v>
      </c>
      <c r="AG418">
        <v>-9.0435999999999905E-2</v>
      </c>
      <c r="AH418">
        <v>0.921373815924308</v>
      </c>
      <c r="AI418">
        <v>95.602108192524</v>
      </c>
      <c r="AJ418">
        <v>87.907930476037706</v>
      </c>
      <c r="AK418">
        <v>0.92641308765779995</v>
      </c>
      <c r="AL418">
        <v>83.670474419757198</v>
      </c>
      <c r="AM418">
        <v>87.738161487592805</v>
      </c>
      <c r="AN418">
        <v>0.99999997228837401</v>
      </c>
    </row>
    <row r="419" spans="1:40" x14ac:dyDescent="0.25">
      <c r="A419" t="str">
        <f>"20190312164445231"</f>
        <v>20190312164445231</v>
      </c>
      <c r="B419" t="str">
        <f>"1552380285222087"</f>
        <v>1552380285222087</v>
      </c>
      <c r="C419" t="s">
        <v>40</v>
      </c>
      <c r="D419">
        <v>4.9369889999999996</v>
      </c>
      <c r="E419">
        <v>0.4973205</v>
      </c>
      <c r="F419" t="s">
        <v>41</v>
      </c>
      <c r="G419">
        <v>-359.07560000000001</v>
      </c>
      <c r="H419">
        <v>1.03698</v>
      </c>
      <c r="I419">
        <v>367.31259999999997</v>
      </c>
      <c r="J419">
        <v>-359.7192</v>
      </c>
      <c r="K419">
        <v>1.1071249999999999</v>
      </c>
      <c r="L419">
        <v>367.34370000000001</v>
      </c>
      <c r="M419">
        <v>0.99992970000000003</v>
      </c>
      <c r="N419">
        <v>0</v>
      </c>
      <c r="O419">
        <v>-9.6626969999999996E-3</v>
      </c>
      <c r="P419">
        <v>0.99344520000000003</v>
      </c>
      <c r="Q419">
        <v>0.1032994</v>
      </c>
      <c r="R419">
        <v>-4.8953690000000001E-2</v>
      </c>
      <c r="S419">
        <v>3.038116</v>
      </c>
      <c r="T419">
        <v>-0.2271591</v>
      </c>
      <c r="U419">
        <v>-0.1088562</v>
      </c>
      <c r="V419">
        <v>3.9300910000000001E-2</v>
      </c>
      <c r="W419">
        <v>0.110157</v>
      </c>
      <c r="X419">
        <v>0.99313689999999999</v>
      </c>
      <c r="Y419">
        <v>2.6102960000000001E-2</v>
      </c>
      <c r="Z419">
        <v>-2.5296679999999998E-4</v>
      </c>
      <c r="AA419">
        <v>0.99965919999999997</v>
      </c>
      <c r="AB419">
        <v>57</v>
      </c>
      <c r="AC419">
        <v>0.64359999999999196</v>
      </c>
      <c r="AD419">
        <v>-7.0144999999999902E-2</v>
      </c>
      <c r="AE419">
        <v>-3.1100000000037601E-2</v>
      </c>
      <c r="AF419">
        <v>2.4588100189611099E-2</v>
      </c>
      <c r="AG419">
        <v>-7.0144999999999902E-2</v>
      </c>
      <c r="AH419">
        <v>0.63632944228230603</v>
      </c>
      <c r="AI419">
        <v>96.285879296797404</v>
      </c>
      <c r="AJ419">
        <v>87.787162201107705</v>
      </c>
      <c r="AK419">
        <v>0.64065595666570196</v>
      </c>
      <c r="AL419">
        <v>83.675634082710602</v>
      </c>
      <c r="AM419">
        <v>87.733845190000196</v>
      </c>
      <c r="AN419">
        <v>1.00000001415871</v>
      </c>
    </row>
    <row r="420" spans="1:40" x14ac:dyDescent="0.25">
      <c r="A420" t="str">
        <f>"20190312164445245"</f>
        <v>20190312164445245</v>
      </c>
      <c r="B420" t="str">
        <f>"1552380285242582"</f>
        <v>1552380285242582</v>
      </c>
      <c r="C420" t="s">
        <v>40</v>
      </c>
      <c r="D420">
        <v>5.605429</v>
      </c>
      <c r="E420">
        <v>0.49686229999999998</v>
      </c>
      <c r="F420" t="s">
        <v>41</v>
      </c>
      <c r="G420">
        <v>-358.57549999999998</v>
      </c>
      <c r="H420">
        <v>1.0204530000000001</v>
      </c>
      <c r="I420">
        <v>367.30410000000001</v>
      </c>
      <c r="J420">
        <v>-359.37040000000002</v>
      </c>
      <c r="K420">
        <v>1.107111</v>
      </c>
      <c r="L420">
        <v>367.34030000000001</v>
      </c>
      <c r="M420">
        <v>0.99992999999999999</v>
      </c>
      <c r="N420">
        <v>0</v>
      </c>
      <c r="O420">
        <v>-9.6218350000000005E-3</v>
      </c>
      <c r="P420">
        <v>0.9934615</v>
      </c>
      <c r="Q420">
        <v>0.10322720000000001</v>
      </c>
      <c r="R420">
        <v>-4.8768449999999998E-2</v>
      </c>
      <c r="S420">
        <v>3.0385740000000001</v>
      </c>
      <c r="T420">
        <v>-0.23034080000000001</v>
      </c>
      <c r="U420">
        <v>-0.1048279</v>
      </c>
      <c r="V420">
        <v>3.9159630000000001E-2</v>
      </c>
      <c r="W420">
        <v>0.11009770000000001</v>
      </c>
      <c r="X420">
        <v>0.99314899999999995</v>
      </c>
      <c r="Y420">
        <v>2.481705E-2</v>
      </c>
      <c r="Z420">
        <v>-2.109026E-4</v>
      </c>
      <c r="AA420">
        <v>0.99969200000000003</v>
      </c>
      <c r="AB420">
        <v>57</v>
      </c>
      <c r="AC420">
        <v>0.79490000000004002</v>
      </c>
      <c r="AD420">
        <v>-8.6657999999999902E-2</v>
      </c>
      <c r="AE420">
        <v>-3.6200000000007997E-2</v>
      </c>
      <c r="AF420">
        <v>2.8215108950844801E-2</v>
      </c>
      <c r="AG420">
        <v>-8.6657999999999902E-2</v>
      </c>
      <c r="AH420">
        <v>0.78589068759541902</v>
      </c>
      <c r="AI420">
        <v>96.288407971133296</v>
      </c>
      <c r="AJ420">
        <v>87.943845570959496</v>
      </c>
      <c r="AK420">
        <v>0.791157300532776</v>
      </c>
      <c r="AL420">
        <v>83.679052159798303</v>
      </c>
      <c r="AM420">
        <v>87.742010660517707</v>
      </c>
      <c r="AN420">
        <v>0.99999995818401199</v>
      </c>
    </row>
    <row r="421" spans="1:40" x14ac:dyDescent="0.25">
      <c r="A421" t="str">
        <f>"20190312164445263"</f>
        <v>20190312164445263</v>
      </c>
      <c r="B421" t="str">
        <f>"1552380285251874"</f>
        <v>1552380285251874</v>
      </c>
      <c r="C421" t="s">
        <v>40</v>
      </c>
      <c r="D421">
        <v>5.8010510000000002</v>
      </c>
      <c r="E421">
        <v>0.49688909999999997</v>
      </c>
      <c r="F421" t="s">
        <v>41</v>
      </c>
      <c r="G421">
        <v>-358.56020000000001</v>
      </c>
      <c r="H421">
        <v>1.046519</v>
      </c>
      <c r="I421">
        <v>367.31330000000003</v>
      </c>
      <c r="J421">
        <v>-358.9289</v>
      </c>
      <c r="K421">
        <v>1.1070930000000001</v>
      </c>
      <c r="L421">
        <v>367.33609999999999</v>
      </c>
      <c r="M421">
        <v>0.99993030000000005</v>
      </c>
      <c r="N421">
        <v>0</v>
      </c>
      <c r="O421">
        <v>-9.5796000000000006E-3</v>
      </c>
      <c r="P421">
        <v>0.99346659999999998</v>
      </c>
      <c r="Q421">
        <v>0.1030846</v>
      </c>
      <c r="R421">
        <v>-4.8969970000000002E-2</v>
      </c>
      <c r="S421">
        <v>3.0384519999999999</v>
      </c>
      <c r="T421">
        <v>-0.22731879999999999</v>
      </c>
      <c r="U421">
        <v>-0.10083010000000001</v>
      </c>
      <c r="V421">
        <v>3.9407570000000003E-2</v>
      </c>
      <c r="W421">
        <v>0.1099773</v>
      </c>
      <c r="X421">
        <v>0.99315260000000005</v>
      </c>
      <c r="Y421">
        <v>2.3551349999999999E-2</v>
      </c>
      <c r="Z421">
        <v>-1.6404249999999999E-4</v>
      </c>
      <c r="AA421">
        <v>0.99972260000000002</v>
      </c>
      <c r="AB421">
        <v>57</v>
      </c>
      <c r="AC421">
        <v>0.36869999999998898</v>
      </c>
      <c r="AD421">
        <v>-6.05740000000001E-2</v>
      </c>
      <c r="AE421">
        <v>-2.2799999999961001E-2</v>
      </c>
      <c r="AF421">
        <v>1.87623765758833E-2</v>
      </c>
      <c r="AG421">
        <v>-6.05740000000001E-2</v>
      </c>
      <c r="AH421">
        <v>0.35924197758992399</v>
      </c>
      <c r="AI421">
        <v>99.558179822350894</v>
      </c>
      <c r="AJ421">
        <v>87.010290518480303</v>
      </c>
      <c r="AK421">
        <v>0.36479588088888099</v>
      </c>
      <c r="AL421">
        <v>83.6859931424503</v>
      </c>
      <c r="AM421">
        <v>87.727737321307799</v>
      </c>
      <c r="AN421">
        <v>1.0000000249876699</v>
      </c>
    </row>
    <row r="422" spans="1:40" x14ac:dyDescent="0.25">
      <c r="A422" t="str">
        <f>"20190312164445285"</f>
        <v>20190312164445285</v>
      </c>
      <c r="B422" t="str">
        <f>"1552380285272370"</f>
        <v>1552380285272370</v>
      </c>
      <c r="C422" t="s">
        <v>40</v>
      </c>
      <c r="D422">
        <v>4.9441759999999997</v>
      </c>
      <c r="E422">
        <v>0.49679630000000002</v>
      </c>
      <c r="F422" t="s">
        <v>41</v>
      </c>
      <c r="G422">
        <v>-358.0548</v>
      </c>
      <c r="H422">
        <v>1.0425450000000001</v>
      </c>
      <c r="I422">
        <v>367.3066</v>
      </c>
      <c r="J422">
        <v>-358.3843</v>
      </c>
      <c r="K422">
        <v>1.1070789999999999</v>
      </c>
      <c r="L422">
        <v>367.33080000000001</v>
      </c>
      <c r="M422">
        <v>0.9999304</v>
      </c>
      <c r="N422">
        <v>0</v>
      </c>
      <c r="O422">
        <v>-9.5386450000000001E-3</v>
      </c>
      <c r="P422">
        <v>0.9934771</v>
      </c>
      <c r="Q422">
        <v>0.1028883</v>
      </c>
      <c r="R422">
        <v>-4.9168980000000001E-2</v>
      </c>
      <c r="S422">
        <v>3.0380250000000002</v>
      </c>
      <c r="T422">
        <v>-0.22449520000000001</v>
      </c>
      <c r="U422">
        <v>-0.10150149999999999</v>
      </c>
      <c r="V422">
        <v>3.9652350000000003E-2</v>
      </c>
      <c r="W422">
        <v>0.1098205</v>
      </c>
      <c r="X422">
        <v>0.99316020000000005</v>
      </c>
      <c r="Y422">
        <v>2.381776E-2</v>
      </c>
      <c r="Z422">
        <v>-1.748807E-4</v>
      </c>
      <c r="AA422">
        <v>0.9997163</v>
      </c>
      <c r="AB422">
        <v>57</v>
      </c>
      <c r="AC422">
        <v>0.32949999999999502</v>
      </c>
      <c r="AD422">
        <v>-6.4533999999999994E-2</v>
      </c>
      <c r="AE422">
        <v>-2.42000000000075E-2</v>
      </c>
      <c r="AF422">
        <v>2.0282017567375001E-2</v>
      </c>
      <c r="AG422">
        <v>-6.4533999999999994E-2</v>
      </c>
      <c r="AH422">
        <v>0.31759847872323399</v>
      </c>
      <c r="AI422">
        <v>101.463039439216</v>
      </c>
      <c r="AJ422">
        <v>86.346021073175905</v>
      </c>
      <c r="AK422">
        <v>0.32472263715348798</v>
      </c>
      <c r="AL422">
        <v>83.695031819363706</v>
      </c>
      <c r="AM422">
        <v>87.713655578512203</v>
      </c>
      <c r="AN422">
        <v>1.0000000169723999</v>
      </c>
    </row>
    <row r="423" spans="1:40" x14ac:dyDescent="0.25">
      <c r="A423" t="str">
        <f>"20190312164445296"</f>
        <v>20190312164445296</v>
      </c>
      <c r="B423" t="str">
        <f>"1552380285291891"</f>
        <v>1552380285291891</v>
      </c>
      <c r="C423" t="s">
        <v>40</v>
      </c>
      <c r="D423">
        <v>4.9646400000000002</v>
      </c>
      <c r="E423">
        <v>0.49661230000000001</v>
      </c>
      <c r="F423" t="s">
        <v>41</v>
      </c>
      <c r="G423">
        <v>-357.54219999999998</v>
      </c>
      <c r="H423">
        <v>1.0455080000000001</v>
      </c>
      <c r="I423">
        <v>367.30270000000002</v>
      </c>
      <c r="J423">
        <v>-358.08390000000003</v>
      </c>
      <c r="K423">
        <v>1.1070739999999999</v>
      </c>
      <c r="L423">
        <v>367.3279</v>
      </c>
      <c r="M423">
        <v>0.99993030000000005</v>
      </c>
      <c r="N423">
        <v>0</v>
      </c>
      <c r="O423">
        <v>-9.5210710000000007E-3</v>
      </c>
      <c r="P423">
        <v>0.99351560000000005</v>
      </c>
      <c r="Q423">
        <v>0.1024934</v>
      </c>
      <c r="R423">
        <v>-4.921557E-2</v>
      </c>
      <c r="S423">
        <v>3.03775</v>
      </c>
      <c r="T423">
        <v>-0.22212460000000001</v>
      </c>
      <c r="U423">
        <v>-0.10137939999999999</v>
      </c>
      <c r="V423">
        <v>3.9718780000000002E-2</v>
      </c>
      <c r="W423">
        <v>0.1094579</v>
      </c>
      <c r="X423">
        <v>0.99319760000000001</v>
      </c>
      <c r="Y423">
        <v>2.3799020000000001E-2</v>
      </c>
      <c r="Z423">
        <v>-1.7365349999999999E-4</v>
      </c>
      <c r="AA423">
        <v>0.99971679999999996</v>
      </c>
      <c r="AB423">
        <v>57</v>
      </c>
      <c r="AC423">
        <v>0.54170000000004803</v>
      </c>
      <c r="AD423">
        <v>-6.1566000000000003E-2</v>
      </c>
      <c r="AE423">
        <v>-2.5199999999983898E-2</v>
      </c>
      <c r="AF423">
        <v>1.9786140686994899E-2</v>
      </c>
      <c r="AG423">
        <v>-6.1566000000000003E-2</v>
      </c>
      <c r="AH423">
        <v>0.53501941973154699</v>
      </c>
      <c r="AI423">
        <v>96.559848533219693</v>
      </c>
      <c r="AJ423">
        <v>87.882047064679199</v>
      </c>
      <c r="AK423">
        <v>0.53891339119488102</v>
      </c>
      <c r="AL423">
        <v>83.715933438445205</v>
      </c>
      <c r="AM423">
        <v>87.70991546386</v>
      </c>
      <c r="AN423">
        <v>1.00000004300142</v>
      </c>
    </row>
    <row r="424" spans="1:40" x14ac:dyDescent="0.25">
      <c r="A424" t="str">
        <f>"20190312164445308"</f>
        <v>20190312164445308</v>
      </c>
      <c r="B424" t="str">
        <f>"1552380285301650"</f>
        <v>1552380285301650</v>
      </c>
      <c r="C424" t="s">
        <v>40</v>
      </c>
      <c r="D424">
        <v>5.1093199999999896</v>
      </c>
      <c r="E424">
        <v>0.49657440000000003</v>
      </c>
      <c r="F424" t="s">
        <v>41</v>
      </c>
      <c r="G424">
        <v>-357.04140000000001</v>
      </c>
      <c r="H424">
        <v>1.0293969999999999</v>
      </c>
      <c r="I424">
        <v>367.29320000000001</v>
      </c>
      <c r="J424">
        <v>-357.77210000000002</v>
      </c>
      <c r="K424">
        <v>1.107067</v>
      </c>
      <c r="L424">
        <v>367.32499999999999</v>
      </c>
      <c r="M424">
        <v>0.99993010000000004</v>
      </c>
      <c r="N424">
        <v>0</v>
      </c>
      <c r="O424">
        <v>-9.5047090000000001E-3</v>
      </c>
      <c r="P424">
        <v>0.9935195</v>
      </c>
      <c r="Q424">
        <v>0.10234600000000001</v>
      </c>
      <c r="R424">
        <v>-4.9437879999999997E-2</v>
      </c>
      <c r="S424">
        <v>3.0379939999999999</v>
      </c>
      <c r="T424">
        <v>-0.2266754</v>
      </c>
      <c r="U424">
        <v>-0.10006710000000001</v>
      </c>
      <c r="V424">
        <v>3.9960030000000001E-2</v>
      </c>
      <c r="W424">
        <v>0.1093479</v>
      </c>
      <c r="X424">
        <v>0.99319999999999997</v>
      </c>
      <c r="Y424">
        <v>2.3380890000000001E-2</v>
      </c>
      <c r="Z424">
        <v>-1.6283319999999999E-4</v>
      </c>
      <c r="AA424">
        <v>0.99972660000000002</v>
      </c>
      <c r="AB424">
        <v>57</v>
      </c>
      <c r="AC424">
        <v>0.73070000000001301</v>
      </c>
      <c r="AD424">
        <v>-7.76700000000001E-2</v>
      </c>
      <c r="AE424">
        <v>-3.1799999999975598E-2</v>
      </c>
      <c r="AF424">
        <v>2.4576147349331699E-2</v>
      </c>
      <c r="AG424">
        <v>-7.76700000000001E-2</v>
      </c>
      <c r="AH424">
        <v>0.72281778823198495</v>
      </c>
      <c r="AI424">
        <v>96.129639250084495</v>
      </c>
      <c r="AJ424">
        <v>88.052666505839099</v>
      </c>
      <c r="AK424">
        <v>0.72739409600512595</v>
      </c>
      <c r="AL424">
        <v>83.722273785175105</v>
      </c>
      <c r="AM424">
        <v>87.696026104481007</v>
      </c>
      <c r="AN424">
        <v>1.0000000036159999</v>
      </c>
    </row>
    <row r="425" spans="1:40" x14ac:dyDescent="0.25">
      <c r="A425" t="str">
        <f>"20190312164445321"</f>
        <v>20190312164445321</v>
      </c>
      <c r="B425" t="str">
        <f>"1552380285312386"</f>
        <v>1552380285312386</v>
      </c>
      <c r="C425" t="s">
        <v>40</v>
      </c>
      <c r="D425">
        <v>4.9830769999999998</v>
      </c>
      <c r="E425">
        <v>0.49657679999999998</v>
      </c>
      <c r="F425" t="s">
        <v>42</v>
      </c>
      <c r="G425">
        <v>-342.81779999999998</v>
      </c>
      <c r="H425" s="1">
        <v>-3.8697280000000003E-6</v>
      </c>
      <c r="I425">
        <v>366.83049999999997</v>
      </c>
      <c r="J425">
        <v>-357.45339999999999</v>
      </c>
      <c r="K425">
        <v>1.107067</v>
      </c>
      <c r="L425">
        <v>367.32190000000003</v>
      </c>
      <c r="M425">
        <v>0.99992999999999999</v>
      </c>
      <c r="N425">
        <v>0</v>
      </c>
      <c r="O425">
        <v>-9.4922050000000001E-3</v>
      </c>
      <c r="P425">
        <v>0.99353919999999996</v>
      </c>
      <c r="Q425">
        <v>0.1021584</v>
      </c>
      <c r="R425">
        <v>-4.9433049999999999E-2</v>
      </c>
      <c r="S425">
        <v>3.0377200000000002</v>
      </c>
      <c r="T425">
        <v>-0.22488340000000001</v>
      </c>
      <c r="U425">
        <v>-0.1004333</v>
      </c>
      <c r="V425">
        <v>3.9969989999999997E-2</v>
      </c>
      <c r="W425">
        <v>0.1092109</v>
      </c>
      <c r="X425">
        <v>0.99321470000000001</v>
      </c>
      <c r="Y425">
        <v>2.3516949999999998E-2</v>
      </c>
      <c r="Z425">
        <v>-1.675158E-4</v>
      </c>
      <c r="AA425">
        <v>0.99972340000000004</v>
      </c>
      <c r="AB425">
        <v>57</v>
      </c>
      <c r="AC425">
        <v>14.6356</v>
      </c>
      <c r="AD425">
        <v>-1.1070708697280001</v>
      </c>
      <c r="AE425">
        <v>-0.49140000000005502</v>
      </c>
      <c r="AF425">
        <v>0.350447360611989</v>
      </c>
      <c r="AG425">
        <v>-1.1070708697280001</v>
      </c>
      <c r="AH425">
        <v>14.556410660989</v>
      </c>
      <c r="AI425">
        <v>94.3479361647003</v>
      </c>
      <c r="AJ425">
        <v>88.620863539023802</v>
      </c>
      <c r="AK425">
        <v>14.6026542311497</v>
      </c>
      <c r="AL425">
        <v>83.730170769869801</v>
      </c>
      <c r="AM425">
        <v>87.695486531744393</v>
      </c>
      <c r="AN425">
        <v>1.0000000305377399</v>
      </c>
    </row>
    <row r="426" spans="1:40" x14ac:dyDescent="0.25">
      <c r="A426" t="str">
        <f>"20190312164445332"</f>
        <v>20190312164445332</v>
      </c>
      <c r="B426" t="str">
        <f>"1552380285322145"</f>
        <v>1552380285322145</v>
      </c>
      <c r="C426" t="s">
        <v>40</v>
      </c>
      <c r="D426">
        <v>5.0307599999999999</v>
      </c>
      <c r="E426">
        <v>0.49655129999999997</v>
      </c>
      <c r="F426" t="s">
        <v>41</v>
      </c>
      <c r="G426">
        <v>-356.52530000000002</v>
      </c>
      <c r="H426">
        <v>1.0388630000000001</v>
      </c>
      <c r="I426">
        <v>367.2912</v>
      </c>
      <c r="J426">
        <v>-357.14499999999998</v>
      </c>
      <c r="K426">
        <v>1.10707</v>
      </c>
      <c r="L426">
        <v>367.31900000000002</v>
      </c>
      <c r="M426">
        <v>0.99992950000000003</v>
      </c>
      <c r="N426">
        <v>0</v>
      </c>
      <c r="O426">
        <v>-9.4811429999999992E-3</v>
      </c>
      <c r="P426">
        <v>0.99355879999999996</v>
      </c>
      <c r="Q426">
        <v>0.10188220000000001</v>
      </c>
      <c r="R426">
        <v>-4.9607400000000003E-2</v>
      </c>
      <c r="S426">
        <v>3.0374759999999998</v>
      </c>
      <c r="T426">
        <v>-0.22324040000000001</v>
      </c>
      <c r="U426">
        <v>-0.1002502</v>
      </c>
      <c r="V426">
        <v>4.0157310000000002E-2</v>
      </c>
      <c r="W426">
        <v>0.1089905</v>
      </c>
      <c r="X426">
        <v>0.99323130000000004</v>
      </c>
      <c r="Y426">
        <v>2.347111E-2</v>
      </c>
      <c r="Z426">
        <v>-1.654378E-4</v>
      </c>
      <c r="AA426">
        <v>0.99972450000000002</v>
      </c>
      <c r="AB426">
        <v>57</v>
      </c>
      <c r="AC426">
        <v>0.61969999999996594</v>
      </c>
      <c r="AD426">
        <v>-6.8207000000000101E-2</v>
      </c>
      <c r="AE426">
        <v>-2.78000000000133E-2</v>
      </c>
      <c r="AF426">
        <v>2.1661254120531499E-2</v>
      </c>
      <c r="AG426">
        <v>-6.8207000000000101E-2</v>
      </c>
      <c r="AH426">
        <v>0.612530312953802</v>
      </c>
      <c r="AI426">
        <v>96.349936591620704</v>
      </c>
      <c r="AJ426">
        <v>87.974661111874397</v>
      </c>
      <c r="AK426">
        <v>0.61669667508942805</v>
      </c>
      <c r="AL426">
        <v>83.742874255677194</v>
      </c>
      <c r="AM426">
        <v>87.684736772298294</v>
      </c>
      <c r="AN426">
        <v>0.99999997696818699</v>
      </c>
    </row>
    <row r="427" spans="1:40" x14ac:dyDescent="0.25">
      <c r="A427" t="str">
        <f>"20190312164445344"</f>
        <v>20190312164445344</v>
      </c>
      <c r="B427" t="str">
        <f>"1552380285331906"</f>
        <v>1552380285331906</v>
      </c>
      <c r="C427" t="s">
        <v>40</v>
      </c>
      <c r="D427">
        <v>5.1599170000000001</v>
      </c>
      <c r="E427">
        <v>0.496589</v>
      </c>
      <c r="F427" t="s">
        <v>41</v>
      </c>
      <c r="G427">
        <v>-356.02010000000001</v>
      </c>
      <c r="H427">
        <v>1.025061</v>
      </c>
      <c r="I427">
        <v>367.28129999999999</v>
      </c>
      <c r="J427">
        <v>-356.83629999999999</v>
      </c>
      <c r="K427">
        <v>1.107078</v>
      </c>
      <c r="L427">
        <v>367.31599999999997</v>
      </c>
      <c r="M427">
        <v>0.99992919999999996</v>
      </c>
      <c r="N427">
        <v>0</v>
      </c>
      <c r="O427">
        <v>-9.4717870000000006E-3</v>
      </c>
      <c r="P427">
        <v>0.99354200000000004</v>
      </c>
      <c r="Q427">
        <v>0.10195700000000001</v>
      </c>
      <c r="R427">
        <v>-4.9793499999999997E-2</v>
      </c>
      <c r="S427">
        <v>3.03714</v>
      </c>
      <c r="T427">
        <v>-0.22158410000000001</v>
      </c>
      <c r="U427">
        <v>-0.10058590000000001</v>
      </c>
      <c r="V427">
        <v>4.0355120000000001E-2</v>
      </c>
      <c r="W427">
        <v>0.1091313</v>
      </c>
      <c r="X427">
        <v>0.99320790000000003</v>
      </c>
      <c r="Y427">
        <v>2.3594670000000002E-2</v>
      </c>
      <c r="Z427">
        <v>-1.6941309999999999E-4</v>
      </c>
      <c r="AA427">
        <v>0.99972159999999999</v>
      </c>
      <c r="AB427">
        <v>57</v>
      </c>
      <c r="AC427">
        <v>0.81619999999998005</v>
      </c>
      <c r="AD427">
        <v>-8.2016999999999896E-2</v>
      </c>
      <c r="AE427">
        <v>-3.4699999999986603E-2</v>
      </c>
      <c r="AF427">
        <v>2.66982703902304E-2</v>
      </c>
      <c r="AG427">
        <v>-8.2016999999999896E-2</v>
      </c>
      <c r="AH427">
        <v>0.80834451824624398</v>
      </c>
      <c r="AI427">
        <v>95.790434673632902</v>
      </c>
      <c r="AJ427">
        <v>88.108303689046195</v>
      </c>
      <c r="AK427">
        <v>0.81293323594842704</v>
      </c>
      <c r="AL427">
        <v>83.734759088023694</v>
      </c>
      <c r="AM427">
        <v>87.673289815581001</v>
      </c>
      <c r="AN427">
        <v>1.00000005448615</v>
      </c>
    </row>
    <row r="428" spans="1:40" x14ac:dyDescent="0.25">
      <c r="A428" t="str">
        <f>"20190312164445362"</f>
        <v>20190312164445362</v>
      </c>
      <c r="B428" t="str">
        <f>"1552380285352402"</f>
        <v>1552380285352402</v>
      </c>
      <c r="C428" t="s">
        <v>40</v>
      </c>
      <c r="D428">
        <v>5.1085739999999999</v>
      </c>
      <c r="E428">
        <v>0.4964905</v>
      </c>
      <c r="F428" t="s">
        <v>41</v>
      </c>
      <c r="G428">
        <v>-356.00639999999999</v>
      </c>
      <c r="H428">
        <v>1.0472490000000001</v>
      </c>
      <c r="I428">
        <v>367.28800000000001</v>
      </c>
      <c r="J428">
        <v>-356.3852</v>
      </c>
      <c r="K428">
        <v>1.1070949999999999</v>
      </c>
      <c r="L428">
        <v>367.31169999999997</v>
      </c>
      <c r="M428">
        <v>0.99992840000000005</v>
      </c>
      <c r="N428">
        <v>0</v>
      </c>
      <c r="O428">
        <v>-9.4608520000000005E-3</v>
      </c>
      <c r="P428">
        <v>0.99348740000000002</v>
      </c>
      <c r="Q428">
        <v>0.10221470000000001</v>
      </c>
      <c r="R428">
        <v>-5.0349159999999997E-2</v>
      </c>
      <c r="S428">
        <v>3.0369259999999998</v>
      </c>
      <c r="T428">
        <v>-0.2192076</v>
      </c>
      <c r="U428">
        <v>-0.10125729999999999</v>
      </c>
      <c r="V428">
        <v>4.0925040000000003E-2</v>
      </c>
      <c r="W428">
        <v>0.1095048</v>
      </c>
      <c r="X428">
        <v>0.99314340000000001</v>
      </c>
      <c r="Y428">
        <v>2.3828849999999999E-2</v>
      </c>
      <c r="Z428">
        <v>-1.7683790000000001E-4</v>
      </c>
      <c r="AA428">
        <v>0.99971600000000005</v>
      </c>
      <c r="AB428">
        <v>57</v>
      </c>
      <c r="AC428">
        <v>0.37880000000001202</v>
      </c>
      <c r="AD428">
        <v>-5.9846000000000198E-2</v>
      </c>
      <c r="AE428">
        <v>-2.3699999999962501E-2</v>
      </c>
      <c r="AF428">
        <v>1.96270840550812E-2</v>
      </c>
      <c r="AG428">
        <v>-5.9846000000000198E-2</v>
      </c>
      <c r="AH428">
        <v>0.36981262173678198</v>
      </c>
      <c r="AI428">
        <v>99.179665564005006</v>
      </c>
      <c r="AJ428">
        <v>86.961988482971194</v>
      </c>
      <c r="AK428">
        <v>0.37513749658003698</v>
      </c>
      <c r="AL428">
        <v>83.713229659450107</v>
      </c>
      <c r="AM428">
        <v>87.640314386360004</v>
      </c>
      <c r="AN428">
        <v>0.99999998654279998</v>
      </c>
    </row>
    <row r="429" spans="1:40" x14ac:dyDescent="0.25">
      <c r="A429" t="str">
        <f>"20190312164445385"</f>
        <v>20190312164445385</v>
      </c>
      <c r="B429" t="str">
        <f>"1552380285381682"</f>
        <v>1552380285381682</v>
      </c>
      <c r="C429" t="s">
        <v>40</v>
      </c>
      <c r="D429">
        <v>5.2079490000000002</v>
      </c>
      <c r="E429">
        <v>0.49676300000000001</v>
      </c>
      <c r="F429" t="s">
        <v>41</v>
      </c>
      <c r="G429">
        <v>-355.49689999999998</v>
      </c>
      <c r="H429">
        <v>1.0438179999999999</v>
      </c>
      <c r="I429">
        <v>367.28149999999999</v>
      </c>
      <c r="J429">
        <v>-355.81610000000001</v>
      </c>
      <c r="K429">
        <v>1.1071230000000001</v>
      </c>
      <c r="L429">
        <v>367.30630000000002</v>
      </c>
      <c r="M429">
        <v>0.99992720000000002</v>
      </c>
      <c r="N429">
        <v>0</v>
      </c>
      <c r="O429">
        <v>-9.4500920000000002E-3</v>
      </c>
      <c r="P429">
        <v>0.99339469999999996</v>
      </c>
      <c r="Q429">
        <v>0.102724</v>
      </c>
      <c r="R429">
        <v>-5.1135920000000001E-2</v>
      </c>
      <c r="S429">
        <v>3.036743</v>
      </c>
      <c r="T429">
        <v>-0.21648999999999999</v>
      </c>
      <c r="U429">
        <v>-0.1026306</v>
      </c>
      <c r="V429">
        <v>4.1726449999999998E-2</v>
      </c>
      <c r="W429">
        <v>0.11020430000000001</v>
      </c>
      <c r="X429">
        <v>0.99303269999999999</v>
      </c>
      <c r="Y429">
        <v>2.4292899999999999E-2</v>
      </c>
      <c r="Z429">
        <v>-1.9194089999999999E-4</v>
      </c>
      <c r="AA429">
        <v>0.99970479999999995</v>
      </c>
      <c r="AB429">
        <v>57</v>
      </c>
      <c r="AC429">
        <v>0.31920000000002302</v>
      </c>
      <c r="AD429">
        <v>-6.3304999999999695E-2</v>
      </c>
      <c r="AE429">
        <v>-2.4800000000027401E-2</v>
      </c>
      <c r="AF429">
        <v>2.09627698156576E-2</v>
      </c>
      <c r="AG429">
        <v>-6.3304999999999695E-2</v>
      </c>
      <c r="AH429">
        <v>0.30740181598958699</v>
      </c>
      <c r="AI429">
        <v>101.610334690855</v>
      </c>
      <c r="AJ429">
        <v>86.098846700974605</v>
      </c>
      <c r="AK429">
        <v>0.31455180370972302</v>
      </c>
      <c r="AL429">
        <v>83.672907388968298</v>
      </c>
      <c r="AM429">
        <v>87.593892002938404</v>
      </c>
      <c r="AN429">
        <v>1.00000001381869</v>
      </c>
    </row>
    <row r="430" spans="1:40" x14ac:dyDescent="0.25">
      <c r="A430" t="str">
        <f>"20190312164445398"</f>
        <v>20190312164445398</v>
      </c>
      <c r="B430" t="str">
        <f>"1552380285392418"</f>
        <v>1552380285392418</v>
      </c>
      <c r="C430" t="s">
        <v>40</v>
      </c>
      <c r="D430">
        <v>5.1719889999999999</v>
      </c>
      <c r="E430">
        <v>0.49689620000000001</v>
      </c>
      <c r="F430" t="s">
        <v>41</v>
      </c>
      <c r="G430">
        <v>-354.9803</v>
      </c>
      <c r="H430">
        <v>1.0477909999999999</v>
      </c>
      <c r="I430">
        <v>367.27659999999997</v>
      </c>
      <c r="J430">
        <v>-355.47379999999998</v>
      </c>
      <c r="K430">
        <v>1.1071470000000001</v>
      </c>
      <c r="L430">
        <v>367.30309999999997</v>
      </c>
      <c r="M430">
        <v>0.99992590000000003</v>
      </c>
      <c r="N430">
        <v>0</v>
      </c>
      <c r="O430">
        <v>-9.4441579999999994E-3</v>
      </c>
      <c r="P430">
        <v>0.99336469999999999</v>
      </c>
      <c r="Q430">
        <v>0.1028317</v>
      </c>
      <c r="R430">
        <v>-5.150159E-2</v>
      </c>
      <c r="S430">
        <v>3.0367130000000002</v>
      </c>
      <c r="T430">
        <v>-0.21584590000000001</v>
      </c>
      <c r="U430">
        <v>-0.10708620000000001</v>
      </c>
      <c r="V430">
        <v>4.2100169999999999E-2</v>
      </c>
      <c r="W430">
        <v>0.1104617</v>
      </c>
      <c r="X430">
        <v>0.99298830000000005</v>
      </c>
      <c r="Y430">
        <v>2.5760689999999999E-2</v>
      </c>
      <c r="Z430">
        <v>-2.438726E-4</v>
      </c>
      <c r="AA430">
        <v>0.99966809999999995</v>
      </c>
      <c r="AB430">
        <v>57</v>
      </c>
      <c r="AC430">
        <v>0.49349999999998301</v>
      </c>
      <c r="AD430">
        <v>-5.9355999999999902E-2</v>
      </c>
      <c r="AE430">
        <v>-2.6499999999998601E-2</v>
      </c>
      <c r="AF430">
        <v>2.1527463102342801E-2</v>
      </c>
      <c r="AG430">
        <v>-5.9355999999999902E-2</v>
      </c>
      <c r="AH430">
        <v>0.48670769283702903</v>
      </c>
      <c r="AI430">
        <v>96.946395184978996</v>
      </c>
      <c r="AJ430">
        <v>87.467413412121104</v>
      </c>
      <c r="AK430">
        <v>0.490786047754382</v>
      </c>
      <c r="AL430">
        <v>83.658068695217096</v>
      </c>
      <c r="AM430">
        <v>87.572259116813598</v>
      </c>
      <c r="AN430">
        <v>0.99999998770890397</v>
      </c>
    </row>
    <row r="431" spans="1:40" x14ac:dyDescent="0.25">
      <c r="A431" t="str">
        <f>"20190312164445411"</f>
        <v>20190312164445411</v>
      </c>
      <c r="B431" t="str">
        <f>"1552380285402179"</f>
        <v>1552380285402179</v>
      </c>
      <c r="C431" t="s">
        <v>40</v>
      </c>
      <c r="D431">
        <v>5.017525</v>
      </c>
      <c r="E431">
        <v>0.49675720000000001</v>
      </c>
      <c r="F431" t="s">
        <v>41</v>
      </c>
      <c r="G431">
        <v>-354.47570000000002</v>
      </c>
      <c r="H431">
        <v>1.035547</v>
      </c>
      <c r="I431">
        <v>367.267</v>
      </c>
      <c r="J431">
        <v>-355.13199999999898</v>
      </c>
      <c r="K431">
        <v>1.1071709999999999</v>
      </c>
      <c r="L431">
        <v>367.29989999999998</v>
      </c>
      <c r="M431">
        <v>0.9999247</v>
      </c>
      <c r="N431">
        <v>0</v>
      </c>
      <c r="O431">
        <v>-9.4386699999999997E-3</v>
      </c>
      <c r="P431">
        <v>0.99333380000000004</v>
      </c>
      <c r="Q431">
        <v>0.1029277</v>
      </c>
      <c r="R431">
        <v>-5.1901790000000003E-2</v>
      </c>
      <c r="S431">
        <v>3.0369259999999998</v>
      </c>
      <c r="T431">
        <v>-0.21794250000000001</v>
      </c>
      <c r="U431">
        <v>-0.109375</v>
      </c>
      <c r="V431">
        <v>4.2508049999999999E-2</v>
      </c>
      <c r="W431">
        <v>0.11072659999999999</v>
      </c>
      <c r="X431">
        <v>0.99294139999999997</v>
      </c>
      <c r="Y431">
        <v>2.6513399999999999E-2</v>
      </c>
      <c r="Z431">
        <v>-2.7357290000000001E-4</v>
      </c>
      <c r="AA431">
        <v>0.99964839999999999</v>
      </c>
      <c r="AB431">
        <v>57</v>
      </c>
      <c r="AC431">
        <v>0.65629999999993005</v>
      </c>
      <c r="AD431">
        <v>-7.1623999999999896E-2</v>
      </c>
      <c r="AE431">
        <v>-3.2899999999983699E-2</v>
      </c>
      <c r="AF431">
        <v>2.6390224615960901E-2</v>
      </c>
      <c r="AG431">
        <v>-7.1623999999999896E-2</v>
      </c>
      <c r="AH431">
        <v>0.64887259391146401</v>
      </c>
      <c r="AI431">
        <v>96.293774215605097</v>
      </c>
      <c r="AJ431">
        <v>87.671013342617798</v>
      </c>
      <c r="AK431">
        <v>0.65334683320627895</v>
      </c>
      <c r="AL431">
        <v>83.642797244203194</v>
      </c>
      <c r="AM431">
        <v>87.548651294977404</v>
      </c>
      <c r="AN431">
        <v>0.99999996904816002</v>
      </c>
    </row>
    <row r="432" spans="1:40" x14ac:dyDescent="0.25">
      <c r="A432" t="str">
        <f>"20190312164445431"</f>
        <v>20190312164445431</v>
      </c>
      <c r="B432" t="str">
        <f>"1552380285421698"</f>
        <v>1552380285421698</v>
      </c>
      <c r="C432" t="s">
        <v>40</v>
      </c>
      <c r="D432">
        <v>5.0039470000000001</v>
      </c>
      <c r="E432">
        <v>0.49656440000000002</v>
      </c>
      <c r="F432" t="s">
        <v>41</v>
      </c>
      <c r="G432">
        <v>-353.96809999999999</v>
      </c>
      <c r="H432">
        <v>1.023331</v>
      </c>
      <c r="I432">
        <v>367.25790000000001</v>
      </c>
      <c r="J432">
        <v>-354.62099999999998</v>
      </c>
      <c r="K432">
        <v>1.1072249999999999</v>
      </c>
      <c r="L432">
        <v>367.29500000000002</v>
      </c>
      <c r="M432">
        <v>0.99992219999999998</v>
      </c>
      <c r="N432">
        <v>0</v>
      </c>
      <c r="O432">
        <v>-9.4317900000000007E-3</v>
      </c>
      <c r="P432">
        <v>0.993255</v>
      </c>
      <c r="Q432">
        <v>0.1032058</v>
      </c>
      <c r="R432">
        <v>-5.2852349999999999E-2</v>
      </c>
      <c r="S432">
        <v>3.0371090000000001</v>
      </c>
      <c r="T432">
        <v>-0.21886420000000001</v>
      </c>
      <c r="U432">
        <v>-0.1093445</v>
      </c>
      <c r="V432">
        <v>4.3468510000000002E-2</v>
      </c>
      <c r="W432">
        <v>0.1113223</v>
      </c>
      <c r="X432">
        <v>0.99283330000000003</v>
      </c>
      <c r="Y432">
        <v>2.650769E-2</v>
      </c>
      <c r="Z432">
        <v>-2.749982E-4</v>
      </c>
      <c r="AA432">
        <v>0.9996486</v>
      </c>
      <c r="AB432">
        <v>57</v>
      </c>
      <c r="AC432">
        <v>0.65289999999998805</v>
      </c>
      <c r="AD432">
        <v>-8.3893999999999899E-2</v>
      </c>
      <c r="AE432">
        <v>-3.7100000000009403E-2</v>
      </c>
      <c r="AF432">
        <v>3.0439170874020101E-2</v>
      </c>
      <c r="AG432">
        <v>-8.3893999999999899E-2</v>
      </c>
      <c r="AH432">
        <v>0.64264445554924898</v>
      </c>
      <c r="AI432">
        <v>97.429379444639295</v>
      </c>
      <c r="AJ432">
        <v>87.288183974251695</v>
      </c>
      <c r="AK432">
        <v>0.64881171583726005</v>
      </c>
      <c r="AL432">
        <v>83.608454432154801</v>
      </c>
      <c r="AM432">
        <v>87.493060903667697</v>
      </c>
      <c r="AN432">
        <v>1.0000000637138899</v>
      </c>
    </row>
    <row r="433" spans="1:40" x14ac:dyDescent="0.25">
      <c r="A433" t="str">
        <f>"20190312164445446"</f>
        <v>20190312164445446</v>
      </c>
      <c r="B433" t="str">
        <f>"1552380285442306"</f>
        <v>1552380285442306</v>
      </c>
      <c r="C433" t="s">
        <v>40</v>
      </c>
      <c r="D433">
        <v>5.0340790000000002</v>
      </c>
      <c r="E433">
        <v>0.49645030000000001</v>
      </c>
      <c r="F433" t="s">
        <v>41</v>
      </c>
      <c r="G433">
        <v>-353.45499999999998</v>
      </c>
      <c r="H433">
        <v>1.0222719999999901</v>
      </c>
      <c r="I433">
        <v>367.25229999999999</v>
      </c>
      <c r="J433">
        <v>-354.26310000000001</v>
      </c>
      <c r="K433">
        <v>1.1072690000000001</v>
      </c>
      <c r="L433">
        <v>367.29169999999999</v>
      </c>
      <c r="M433">
        <v>0.99992000000000003</v>
      </c>
      <c r="N433">
        <v>0</v>
      </c>
      <c r="O433">
        <v>-9.4274279999999998E-3</v>
      </c>
      <c r="P433">
        <v>0.99325160000000001</v>
      </c>
      <c r="Q433">
        <v>0.10308199999999999</v>
      </c>
      <c r="R433">
        <v>-5.3153489999999998E-2</v>
      </c>
      <c r="S433">
        <v>3.0374759999999998</v>
      </c>
      <c r="T433">
        <v>-0.22143450000000001</v>
      </c>
      <c r="U433">
        <v>-0.1108093</v>
      </c>
      <c r="V433">
        <v>4.3775590000000003E-2</v>
      </c>
      <c r="W433">
        <v>0.1114583</v>
      </c>
      <c r="X433">
        <v>0.99280449999999998</v>
      </c>
      <c r="Y433">
        <v>2.6986840000000002E-2</v>
      </c>
      <c r="Z433">
        <v>-2.9593589999999997E-4</v>
      </c>
      <c r="AA433">
        <v>0.99963579999999996</v>
      </c>
      <c r="AB433">
        <v>57</v>
      </c>
      <c r="AC433">
        <v>0.80810000000002402</v>
      </c>
      <c r="AD433">
        <v>-8.4997000000000197E-2</v>
      </c>
      <c r="AE433">
        <v>-3.9400000000000497E-2</v>
      </c>
      <c r="AF433">
        <v>3.1432754364028197E-2</v>
      </c>
      <c r="AG433">
        <v>-8.4997000000000197E-2</v>
      </c>
      <c r="AH433">
        <v>0.79961034694396105</v>
      </c>
      <c r="AI433">
        <v>96.062995503862098</v>
      </c>
      <c r="AJ433">
        <v>87.748856848782196</v>
      </c>
      <c r="AK433">
        <v>0.80472928056319104</v>
      </c>
      <c r="AL433">
        <v>83.600613097290704</v>
      </c>
      <c r="AM433">
        <v>87.475300514906095</v>
      </c>
      <c r="AN433">
        <v>1.0000000150694901</v>
      </c>
    </row>
    <row r="434" spans="1:40" x14ac:dyDescent="0.25">
      <c r="A434" t="str">
        <f>"20190312164445466"</f>
        <v>20190312164445466</v>
      </c>
      <c r="B434" t="str">
        <f>"1552380285462325"</f>
        <v>1552380285462325</v>
      </c>
      <c r="C434" t="s">
        <v>40</v>
      </c>
      <c r="D434">
        <v>5.2010120000000004</v>
      </c>
      <c r="E434">
        <v>0.50911430000000002</v>
      </c>
      <c r="F434" t="s">
        <v>41</v>
      </c>
      <c r="G434">
        <v>-353.44060000000002</v>
      </c>
      <c r="H434">
        <v>1.046473</v>
      </c>
      <c r="I434">
        <v>367.26159999999999</v>
      </c>
      <c r="J434">
        <v>-353.75529999999998</v>
      </c>
      <c r="K434">
        <v>1.10734</v>
      </c>
      <c r="L434">
        <v>367.2869</v>
      </c>
      <c r="M434">
        <v>0.99991649999999999</v>
      </c>
      <c r="N434">
        <v>0</v>
      </c>
      <c r="O434">
        <v>-9.421502E-3</v>
      </c>
      <c r="P434">
        <v>0.99318209999999996</v>
      </c>
      <c r="Q434">
        <v>0.1034923</v>
      </c>
      <c r="R434">
        <v>-5.3654149999999998E-2</v>
      </c>
      <c r="S434">
        <v>3.0378720000000001</v>
      </c>
      <c r="T434">
        <v>-0.22467819999999999</v>
      </c>
      <c r="U434">
        <v>-0.110321</v>
      </c>
      <c r="V434">
        <v>4.4284940000000002E-2</v>
      </c>
      <c r="W434">
        <v>0.1122761</v>
      </c>
      <c r="X434">
        <v>0.99268970000000001</v>
      </c>
      <c r="Y434">
        <v>2.6826570000000001E-2</v>
      </c>
      <c r="Z434">
        <v>-2.9473919999999999E-4</v>
      </c>
      <c r="AA434">
        <v>0.99963999999999997</v>
      </c>
      <c r="AB434">
        <v>57</v>
      </c>
      <c r="AC434">
        <v>0.31469999999995901</v>
      </c>
      <c r="AD434">
        <v>-6.0866999999999997E-2</v>
      </c>
      <c r="AE434">
        <v>-2.5300000000015602E-2</v>
      </c>
      <c r="AF434">
        <v>2.15334530473337E-2</v>
      </c>
      <c r="AG434">
        <v>-6.0866999999999997E-2</v>
      </c>
      <c r="AH434">
        <v>0.30363867882085899</v>
      </c>
      <c r="AI434">
        <v>101.30753345749901</v>
      </c>
      <c r="AJ434">
        <v>85.943488385662704</v>
      </c>
      <c r="AK434">
        <v>0.31042701004458101</v>
      </c>
      <c r="AL434">
        <v>83.553460280315207</v>
      </c>
      <c r="AM434">
        <v>87.445668129042602</v>
      </c>
      <c r="AN434">
        <v>0.99999995951405096</v>
      </c>
    </row>
    <row r="435" spans="1:40" x14ac:dyDescent="0.25">
      <c r="A435" t="str">
        <f>"20190312164445479"</f>
        <v>20190312164445479</v>
      </c>
      <c r="B435" t="str">
        <f>"1552380285472087"</f>
        <v>1552380285472087</v>
      </c>
      <c r="C435" t="s">
        <v>40</v>
      </c>
      <c r="D435">
        <v>5.0246680000000001</v>
      </c>
      <c r="E435">
        <v>0.5101173</v>
      </c>
      <c r="F435" t="s">
        <v>41</v>
      </c>
      <c r="G435">
        <v>-352.93470000000002</v>
      </c>
      <c r="H435">
        <v>1.0367690000000001</v>
      </c>
      <c r="I435">
        <v>367.22919999999999</v>
      </c>
      <c r="J435">
        <v>-353.39490000000001</v>
      </c>
      <c r="K435">
        <v>1.1073919999999999</v>
      </c>
      <c r="L435">
        <v>367.2835</v>
      </c>
      <c r="M435">
        <v>0.99991370000000002</v>
      </c>
      <c r="N435">
        <v>0</v>
      </c>
      <c r="O435">
        <v>-9.4186389999999995E-3</v>
      </c>
      <c r="P435">
        <v>0.99318300000000004</v>
      </c>
      <c r="Q435">
        <v>0.1033997</v>
      </c>
      <c r="R435">
        <v>-5.3815420000000003E-2</v>
      </c>
      <c r="S435">
        <v>3.0364070000000001</v>
      </c>
      <c r="T435">
        <v>-0.26137589999999999</v>
      </c>
      <c r="U435">
        <v>-0.21163940000000001</v>
      </c>
      <c r="V435">
        <v>4.4450190000000001E-2</v>
      </c>
      <c r="W435">
        <v>0.1125192</v>
      </c>
      <c r="X435">
        <v>0.99265479999999995</v>
      </c>
      <c r="Y435">
        <v>5.9946649999999997E-2</v>
      </c>
      <c r="Z435">
        <v>-1.7640080000000001E-3</v>
      </c>
      <c r="AA435">
        <v>0.99819999999999998</v>
      </c>
      <c r="AB435">
        <v>57</v>
      </c>
      <c r="AC435">
        <v>0.46019999999998601</v>
      </c>
      <c r="AD435">
        <v>-7.0622999999999797E-2</v>
      </c>
      <c r="AE435">
        <v>-5.4300000000011998E-2</v>
      </c>
      <c r="AF435">
        <v>4.8828801641608202E-2</v>
      </c>
      <c r="AG435">
        <v>-7.0622999999999797E-2</v>
      </c>
      <c r="AH435">
        <v>0.45023343423728501</v>
      </c>
      <c r="AI435">
        <v>98.863555614577905</v>
      </c>
      <c r="AJ435">
        <v>83.810338969345906</v>
      </c>
      <c r="AK435">
        <v>0.45834703588422498</v>
      </c>
      <c r="AL435">
        <v>83.539442925192205</v>
      </c>
      <c r="AM435">
        <v>87.436059271374802</v>
      </c>
      <c r="AN435">
        <v>0.99999997086135695</v>
      </c>
    </row>
    <row r="436" spans="1:40" x14ac:dyDescent="0.25">
      <c r="A436" t="str">
        <f>"20190312164445497"</f>
        <v>20190312164445497</v>
      </c>
      <c r="B436" t="str">
        <f>"1552380285492581"</f>
        <v>1552380285492581</v>
      </c>
      <c r="C436" t="s">
        <v>40</v>
      </c>
      <c r="D436">
        <v>5.0276870000000002</v>
      </c>
      <c r="E436">
        <v>0.51136899999999996</v>
      </c>
      <c r="F436" t="s">
        <v>41</v>
      </c>
      <c r="G436">
        <v>-352.4289</v>
      </c>
      <c r="H436">
        <v>1.021919</v>
      </c>
      <c r="I436">
        <v>367.2133</v>
      </c>
      <c r="J436">
        <v>-352.93310000000002</v>
      </c>
      <c r="K436">
        <v>1.1074759999999999</v>
      </c>
      <c r="L436">
        <v>367.2792</v>
      </c>
      <c r="M436">
        <v>0.99990919999999905</v>
      </c>
      <c r="N436">
        <v>0</v>
      </c>
      <c r="O436">
        <v>-9.4156640000000007E-3</v>
      </c>
      <c r="P436">
        <v>0.99311859999999996</v>
      </c>
      <c r="Q436">
        <v>0.10384790000000001</v>
      </c>
      <c r="R436">
        <v>-5.414095E-2</v>
      </c>
      <c r="S436">
        <v>3.0366209999999998</v>
      </c>
      <c r="T436">
        <v>-0.26878259999999998</v>
      </c>
      <c r="U436">
        <v>-0.21975710000000001</v>
      </c>
      <c r="V436">
        <v>4.4780630000000002E-2</v>
      </c>
      <c r="W436">
        <v>0.11343880000000001</v>
      </c>
      <c r="X436">
        <v>0.99253530000000001</v>
      </c>
      <c r="Y436">
        <v>6.2578709999999996E-2</v>
      </c>
      <c r="Z436">
        <v>-1.9298760000000001E-3</v>
      </c>
      <c r="AA436">
        <v>0.99803819999999999</v>
      </c>
      <c r="AB436">
        <v>57</v>
      </c>
      <c r="AC436">
        <v>0.50420000000002496</v>
      </c>
      <c r="AD436">
        <v>-8.5557000000000105E-2</v>
      </c>
      <c r="AE436">
        <v>-6.5899999999999098E-2</v>
      </c>
      <c r="AF436">
        <v>5.9465963265185301E-2</v>
      </c>
      <c r="AG436">
        <v>-8.5557000000000105E-2</v>
      </c>
      <c r="AH436">
        <v>0.490900483756816</v>
      </c>
      <c r="AI436">
        <v>99.816189495475498</v>
      </c>
      <c r="AJ436">
        <v>83.093043325216897</v>
      </c>
      <c r="AK436">
        <v>0.50183611467164502</v>
      </c>
      <c r="AL436">
        <v>83.486414350942098</v>
      </c>
      <c r="AM436">
        <v>87.4167142456633</v>
      </c>
      <c r="AN436">
        <v>0.99999999395736305</v>
      </c>
    </row>
    <row r="437" spans="1:40" x14ac:dyDescent="0.25">
      <c r="A437" t="str">
        <f>"20190312164445511"</f>
        <v>20190312164445511</v>
      </c>
      <c r="B437" t="str">
        <f>"1552380285502341"</f>
        <v>1552380285502341</v>
      </c>
      <c r="C437" t="s">
        <v>40</v>
      </c>
      <c r="D437">
        <v>5.0153990000000004</v>
      </c>
      <c r="E437">
        <v>0.51140019999999997</v>
      </c>
      <c r="F437" t="s">
        <v>41</v>
      </c>
      <c r="G437">
        <v>-351.91719999999998</v>
      </c>
      <c r="H437">
        <v>1.0197929999999999</v>
      </c>
      <c r="I437">
        <v>367.20159999999998</v>
      </c>
      <c r="J437">
        <v>-352.5849</v>
      </c>
      <c r="K437">
        <v>1.107542</v>
      </c>
      <c r="L437">
        <v>367.27589999999998</v>
      </c>
      <c r="M437">
        <v>0.9999055</v>
      </c>
      <c r="N437">
        <v>0</v>
      </c>
      <c r="O437">
        <v>-9.4136270000000008E-3</v>
      </c>
      <c r="P437">
        <v>0.99310980000000004</v>
      </c>
      <c r="Q437">
        <v>0.10372960000000001</v>
      </c>
      <c r="R437">
        <v>-5.4531660000000003E-2</v>
      </c>
      <c r="S437">
        <v>3.0355530000000002</v>
      </c>
      <c r="T437">
        <v>-0.26214399999999999</v>
      </c>
      <c r="U437">
        <v>-0.23132320000000001</v>
      </c>
      <c r="V437">
        <v>4.517446E-2</v>
      </c>
      <c r="W437">
        <v>0.11369799999999999</v>
      </c>
      <c r="X437">
        <v>0.99248780000000003</v>
      </c>
      <c r="Y437">
        <v>6.6383310000000001E-2</v>
      </c>
      <c r="Z437">
        <v>-2.0466970000000001E-3</v>
      </c>
      <c r="AA437">
        <v>0.99779209999999996</v>
      </c>
      <c r="AB437">
        <v>57</v>
      </c>
      <c r="AC437">
        <v>0.66770000000002405</v>
      </c>
      <c r="AD437">
        <v>-8.7748999999999994E-2</v>
      </c>
      <c r="AE437">
        <v>-7.4299999999993802E-2</v>
      </c>
      <c r="AF437">
        <v>6.6870114730906302E-2</v>
      </c>
      <c r="AG437">
        <v>-8.7748999999999994E-2</v>
      </c>
      <c r="AH437">
        <v>0.65715880533272197</v>
      </c>
      <c r="AI437">
        <v>97.566974721169501</v>
      </c>
      <c r="AJ437">
        <v>84.189786318425305</v>
      </c>
      <c r="AK437">
        <v>0.66635515655801403</v>
      </c>
      <c r="AL437">
        <v>83.471466615580894</v>
      </c>
      <c r="AM437">
        <v>87.393901784288701</v>
      </c>
      <c r="AN437">
        <v>1.0000000000945599</v>
      </c>
    </row>
    <row r="438" spans="1:40" x14ac:dyDescent="0.25">
      <c r="A438" t="str">
        <f>"20190312164445521"</f>
        <v>20190312164445521</v>
      </c>
      <c r="B438" t="str">
        <f>"1552380285512101"</f>
        <v>1552380285512101</v>
      </c>
      <c r="C438" t="s">
        <v>40</v>
      </c>
      <c r="D438">
        <v>5.0606960000000001</v>
      </c>
      <c r="E438">
        <v>0.51151840000000004</v>
      </c>
      <c r="F438" t="s">
        <v>41</v>
      </c>
      <c r="G438">
        <v>-351.41180000000003</v>
      </c>
      <c r="H438">
        <v>1.0056499999999999</v>
      </c>
      <c r="I438">
        <v>367.18619999999999</v>
      </c>
      <c r="J438">
        <v>-352.2758</v>
      </c>
      <c r="K438">
        <v>1.1075950000000001</v>
      </c>
      <c r="L438">
        <v>367.27300000000002</v>
      </c>
      <c r="M438">
        <v>0.99990190000000001</v>
      </c>
      <c r="N438">
        <v>0</v>
      </c>
      <c r="O438">
        <v>-9.4115780000000003E-3</v>
      </c>
      <c r="P438">
        <v>0.99310580000000004</v>
      </c>
      <c r="Q438">
        <v>0.1036767</v>
      </c>
      <c r="R438">
        <v>-5.4701609999999998E-2</v>
      </c>
      <c r="S438">
        <v>3.0355219999999998</v>
      </c>
      <c r="T438">
        <v>-0.26365769999999999</v>
      </c>
      <c r="U438">
        <v>-0.2322388</v>
      </c>
      <c r="V438">
        <v>4.5347539999999999E-2</v>
      </c>
      <c r="W438">
        <v>0.11398460000000001</v>
      </c>
      <c r="X438">
        <v>0.99244699999999997</v>
      </c>
      <c r="Y438">
        <v>6.6681710000000005E-2</v>
      </c>
      <c r="Z438">
        <v>-2.0715590000000002E-3</v>
      </c>
      <c r="AA438">
        <v>0.9977722</v>
      </c>
      <c r="AB438">
        <v>57</v>
      </c>
      <c r="AC438">
        <v>0.86399999999997501</v>
      </c>
      <c r="AD438">
        <v>-0.10194499999999999</v>
      </c>
      <c r="AE438">
        <v>-8.6800000000039207E-2</v>
      </c>
      <c r="AF438">
        <v>7.7594629115932998E-2</v>
      </c>
      <c r="AG438">
        <v>-0.10194499999999999</v>
      </c>
      <c r="AH438">
        <v>0.85302152057942304</v>
      </c>
      <c r="AI438">
        <v>96.787361555085596</v>
      </c>
      <c r="AJ438">
        <v>84.802425553643403</v>
      </c>
      <c r="AK438">
        <v>0.86258879198855198</v>
      </c>
      <c r="AL438">
        <v>83.454937982746699</v>
      </c>
      <c r="AM438">
        <v>87.383823308491799</v>
      </c>
      <c r="AN438">
        <v>0.99999996811510505</v>
      </c>
    </row>
    <row r="439" spans="1:40" x14ac:dyDescent="0.25">
      <c r="A439" t="str">
        <f>"20190312164445533"</f>
        <v>20190312164445533</v>
      </c>
      <c r="B439" t="str">
        <f>"1552380285521861"</f>
        <v>1552380285521861</v>
      </c>
      <c r="C439" t="s">
        <v>40</v>
      </c>
      <c r="D439">
        <v>5.0178649999999996</v>
      </c>
      <c r="E439">
        <v>0.51154169999999999</v>
      </c>
      <c r="F439" t="s">
        <v>41</v>
      </c>
      <c r="G439">
        <v>-351.399</v>
      </c>
      <c r="H439">
        <v>1.031237</v>
      </c>
      <c r="I439">
        <v>367.2056</v>
      </c>
      <c r="J439">
        <v>-352.00319999999999</v>
      </c>
      <c r="K439">
        <v>1.1076379999999999</v>
      </c>
      <c r="L439">
        <v>367.2704</v>
      </c>
      <c r="M439">
        <v>0.99989890000000003</v>
      </c>
      <c r="N439">
        <v>0</v>
      </c>
      <c r="O439">
        <v>-9.4099279999999997E-3</v>
      </c>
      <c r="P439">
        <v>0.99310790000000004</v>
      </c>
      <c r="Q439">
        <v>0.1035807</v>
      </c>
      <c r="R439">
        <v>-5.4847090000000001E-2</v>
      </c>
      <c r="S439">
        <v>3.0355530000000002</v>
      </c>
      <c r="T439">
        <v>-0.26435360000000002</v>
      </c>
      <c r="U439">
        <v>-0.23339840000000001</v>
      </c>
      <c r="V439">
        <v>4.5495239999999999E-2</v>
      </c>
      <c r="W439">
        <v>0.1141807</v>
      </c>
      <c r="X439">
        <v>0.99241780000000002</v>
      </c>
      <c r="Y439">
        <v>6.7058969999999996E-2</v>
      </c>
      <c r="Z439">
        <v>-2.0934690000000001E-3</v>
      </c>
      <c r="AA439">
        <v>0.99774680000000004</v>
      </c>
      <c r="AB439">
        <v>57</v>
      </c>
      <c r="AC439">
        <v>0.60419999999999097</v>
      </c>
      <c r="AD439">
        <v>-7.6400999999999705E-2</v>
      </c>
      <c r="AE439">
        <v>-6.4799999999991004E-2</v>
      </c>
      <c r="AF439">
        <v>5.8191453864743503E-2</v>
      </c>
      <c r="AG439">
        <v>-7.6400999999999705E-2</v>
      </c>
      <c r="AH439">
        <v>0.59537156672387304</v>
      </c>
      <c r="AI439">
        <v>97.278203797825697</v>
      </c>
      <c r="AJ439">
        <v>84.417657284589794</v>
      </c>
      <c r="AK439">
        <v>0.60306770811172805</v>
      </c>
      <c r="AL439">
        <v>83.443629110195502</v>
      </c>
      <c r="AM439">
        <v>87.375237022647894</v>
      </c>
      <c r="AN439">
        <v>1.0000000694359901</v>
      </c>
    </row>
    <row r="440" spans="1:40" x14ac:dyDescent="0.25">
      <c r="A440" t="str">
        <f>"20190312164445545"</f>
        <v>20190312164445545</v>
      </c>
      <c r="B440" t="str">
        <f>"1552380285542357"</f>
        <v>1552380285542357</v>
      </c>
      <c r="C440" t="s">
        <v>40</v>
      </c>
      <c r="D440">
        <v>5.2345739999999896</v>
      </c>
      <c r="E440">
        <v>0.51149849999999997</v>
      </c>
      <c r="F440" t="s">
        <v>41</v>
      </c>
      <c r="G440">
        <v>-350.89690000000002</v>
      </c>
      <c r="H440">
        <v>1.0116889999999901</v>
      </c>
      <c r="I440">
        <v>367.18470000000002</v>
      </c>
      <c r="J440">
        <v>-351.70429999999999</v>
      </c>
      <c r="K440">
        <v>1.10768</v>
      </c>
      <c r="L440">
        <v>367.26760000000002</v>
      </c>
      <c r="M440">
        <v>0.99989550000000005</v>
      </c>
      <c r="N440">
        <v>0</v>
      </c>
      <c r="O440">
        <v>-9.4077069999999995E-3</v>
      </c>
      <c r="P440">
        <v>0.99315279999999995</v>
      </c>
      <c r="Q440">
        <v>0.1030123</v>
      </c>
      <c r="R440">
        <v>-5.510172E-2</v>
      </c>
      <c r="S440">
        <v>3.0354000000000001</v>
      </c>
      <c r="T440">
        <v>-0.26347100000000001</v>
      </c>
      <c r="U440">
        <v>-0.23403930000000001</v>
      </c>
      <c r="V440">
        <v>4.5752639999999997E-2</v>
      </c>
      <c r="W440">
        <v>0.1139225</v>
      </c>
      <c r="X440">
        <v>0.99243559999999997</v>
      </c>
      <c r="Y440">
        <v>6.7275020000000005E-2</v>
      </c>
      <c r="Z440">
        <v>-2.0961270000000001E-3</v>
      </c>
      <c r="AA440">
        <v>0.99773230000000002</v>
      </c>
      <c r="AB440">
        <v>57</v>
      </c>
      <c r="AC440">
        <v>0.80739999999997203</v>
      </c>
      <c r="AD440">
        <v>-9.5991000000000104E-2</v>
      </c>
      <c r="AE440">
        <v>-8.2899999999995005E-2</v>
      </c>
      <c r="AF440">
        <v>7.4261385898049204E-2</v>
      </c>
      <c r="AG440">
        <v>-9.5991000000000104E-2</v>
      </c>
      <c r="AH440">
        <v>0.79699650548066703</v>
      </c>
      <c r="AI440">
        <v>96.838338554218197</v>
      </c>
      <c r="AJ440">
        <v>84.676746612080095</v>
      </c>
      <c r="AK440">
        <v>0.80618388427510301</v>
      </c>
      <c r="AL440">
        <v>83.458519787019796</v>
      </c>
      <c r="AM440">
        <v>87.360455030116299</v>
      </c>
      <c r="AN440">
        <v>1.00000003011028</v>
      </c>
    </row>
    <row r="441" spans="1:40" x14ac:dyDescent="0.25">
      <c r="A441" t="str">
        <f>"20190312164445556"</f>
        <v>20190312164445556</v>
      </c>
      <c r="B441" t="str">
        <f>"1552380285552118"</f>
        <v>1552380285552118</v>
      </c>
      <c r="C441" t="s">
        <v>40</v>
      </c>
      <c r="D441">
        <v>5.0504569999999998</v>
      </c>
      <c r="E441">
        <v>0.51524289999999995</v>
      </c>
      <c r="F441" t="s">
        <v>41</v>
      </c>
      <c r="G441">
        <v>-350.88490000000002</v>
      </c>
      <c r="H441">
        <v>1.035566</v>
      </c>
      <c r="I441">
        <v>367.2038</v>
      </c>
      <c r="J441">
        <v>-351.40370000000001</v>
      </c>
      <c r="K441">
        <v>1.107712</v>
      </c>
      <c r="L441">
        <v>367.26479999999998</v>
      </c>
      <c r="M441">
        <v>0.99989220000000001</v>
      </c>
      <c r="N441">
        <v>0</v>
      </c>
      <c r="O441">
        <v>-9.40532E-3</v>
      </c>
      <c r="P441">
        <v>0.99316340000000003</v>
      </c>
      <c r="Q441">
        <v>0.1028661</v>
      </c>
      <c r="R441">
        <v>-5.5184009999999999E-2</v>
      </c>
      <c r="S441">
        <v>3.0354000000000001</v>
      </c>
      <c r="T441">
        <v>-0.26745089999999999</v>
      </c>
      <c r="U441">
        <v>-0.2346191</v>
      </c>
      <c r="V441">
        <v>4.5837700000000002E-2</v>
      </c>
      <c r="W441">
        <v>0.1140694</v>
      </c>
      <c r="X441">
        <v>0.99241480000000004</v>
      </c>
      <c r="Y441">
        <v>6.7459549999999993E-2</v>
      </c>
      <c r="Z441">
        <v>-2.1359629999999998E-3</v>
      </c>
      <c r="AA441">
        <v>0.99771969999999999</v>
      </c>
      <c r="AB441">
        <v>57</v>
      </c>
      <c r="AC441">
        <v>0.51879999999999804</v>
      </c>
      <c r="AD441">
        <v>-7.2146000000000002E-2</v>
      </c>
      <c r="AE441">
        <v>-6.0999999999978599E-2</v>
      </c>
      <c r="AF441">
        <v>5.5067113164491602E-2</v>
      </c>
      <c r="AG441">
        <v>-7.2146000000000002E-2</v>
      </c>
      <c r="AH441">
        <v>0.50962968937687703</v>
      </c>
      <c r="AI441">
        <v>98.011542773288099</v>
      </c>
      <c r="AJ441">
        <v>83.832935203306405</v>
      </c>
      <c r="AK441">
        <v>0.51764838699897697</v>
      </c>
      <c r="AL441">
        <v>83.4500478030088</v>
      </c>
      <c r="AM441">
        <v>87.355499392369197</v>
      </c>
      <c r="AN441">
        <v>1.00000002900834</v>
      </c>
    </row>
    <row r="442" spans="1:40" x14ac:dyDescent="0.25">
      <c r="A442" t="str">
        <f>"20190312164445574"</f>
        <v>20190312164445574</v>
      </c>
      <c r="B442" t="str">
        <f>"1552380285561877"</f>
        <v>1552380285561877</v>
      </c>
      <c r="C442" t="s">
        <v>40</v>
      </c>
      <c r="D442">
        <v>5.0403769999999897</v>
      </c>
      <c r="E442">
        <v>0.51527479999999903</v>
      </c>
      <c r="F442" t="s">
        <v>41</v>
      </c>
      <c r="G442">
        <v>-350.36669999999998</v>
      </c>
      <c r="H442">
        <v>1.0469409999999999</v>
      </c>
      <c r="I442">
        <v>367.17259999999999</v>
      </c>
      <c r="J442">
        <v>-350.95299999999997</v>
      </c>
      <c r="K442">
        <v>1.1077509999999999</v>
      </c>
      <c r="L442">
        <v>367.26049999999998</v>
      </c>
      <c r="M442">
        <v>0.99988730000000003</v>
      </c>
      <c r="N442">
        <v>0</v>
      </c>
      <c r="O442">
        <v>-9.4017860000000005E-3</v>
      </c>
      <c r="P442">
        <v>0.99313600000000002</v>
      </c>
      <c r="Q442">
        <v>0.1025908</v>
      </c>
      <c r="R442">
        <v>-5.6175429999999998E-2</v>
      </c>
      <c r="S442">
        <v>3.0241090000000002</v>
      </c>
      <c r="T442">
        <v>-0.17736660000000001</v>
      </c>
      <c r="U442">
        <v>-0.26831050000000001</v>
      </c>
      <c r="V442">
        <v>4.6834180000000003E-2</v>
      </c>
      <c r="W442">
        <v>0.11420859999999999</v>
      </c>
      <c r="X442">
        <v>0.99235220000000002</v>
      </c>
      <c r="Y442">
        <v>7.8888680000000003E-2</v>
      </c>
      <c r="Z442">
        <v>-1.7570929999999999E-3</v>
      </c>
      <c r="AA442">
        <v>0.99688189999999999</v>
      </c>
      <c r="AB442">
        <v>57</v>
      </c>
      <c r="AC442">
        <v>0.586300000000051</v>
      </c>
      <c r="AD442">
        <v>-6.0810000000000003E-2</v>
      </c>
      <c r="AE442">
        <v>-8.78999999999905E-2</v>
      </c>
      <c r="AF442">
        <v>8.1525738123689503E-2</v>
      </c>
      <c r="AG442">
        <v>-6.0810000000000003E-2</v>
      </c>
      <c r="AH442">
        <v>0.58098798709269905</v>
      </c>
      <c r="AI442">
        <v>95.917635601604104</v>
      </c>
      <c r="AJ442">
        <v>82.012262762601907</v>
      </c>
      <c r="AK442">
        <v>0.58982314571627203</v>
      </c>
      <c r="AL442">
        <v>83.442019355984002</v>
      </c>
      <c r="AM442">
        <v>87.297923869975307</v>
      </c>
      <c r="AN442">
        <v>0.999999966787535</v>
      </c>
    </row>
    <row r="443" spans="1:40" x14ac:dyDescent="0.25">
      <c r="A443" t="str">
        <f>"20190312164445585"</f>
        <v>20190312164445585</v>
      </c>
      <c r="B443" t="str">
        <f>"1552380285582373"</f>
        <v>1552380285582373</v>
      </c>
      <c r="C443" t="s">
        <v>40</v>
      </c>
      <c r="D443">
        <v>5.0426070000000003</v>
      </c>
      <c r="E443">
        <v>0.51558850000000001</v>
      </c>
      <c r="F443" t="s">
        <v>41</v>
      </c>
      <c r="G443">
        <v>-349.85919999999999</v>
      </c>
      <c r="H443">
        <v>1.0419290000000001</v>
      </c>
      <c r="I443">
        <v>367.16230000000002</v>
      </c>
      <c r="J443">
        <v>-350.6671</v>
      </c>
      <c r="K443">
        <v>1.1077729999999999</v>
      </c>
      <c r="L443">
        <v>367.25790000000001</v>
      </c>
      <c r="M443">
        <v>0.99988440000000001</v>
      </c>
      <c r="N443">
        <v>0</v>
      </c>
      <c r="O443">
        <v>-9.3996879999999998E-3</v>
      </c>
      <c r="P443">
        <v>0.99312180000000005</v>
      </c>
      <c r="Q443">
        <v>0.1023974</v>
      </c>
      <c r="R443">
        <v>-5.6781709999999999E-2</v>
      </c>
      <c r="S443">
        <v>3.0242</v>
      </c>
      <c r="T443">
        <v>-0.18208830000000001</v>
      </c>
      <c r="U443">
        <v>-0.27127079999999998</v>
      </c>
      <c r="V443">
        <v>4.7442890000000001E-2</v>
      </c>
      <c r="W443">
        <v>0.1142608</v>
      </c>
      <c r="X443">
        <v>0.99231729999999996</v>
      </c>
      <c r="Y443">
        <v>7.9848039999999995E-2</v>
      </c>
      <c r="Z443">
        <v>-1.8325749999999999E-3</v>
      </c>
      <c r="AA443">
        <v>0.99680539999999995</v>
      </c>
      <c r="AB443">
        <v>57</v>
      </c>
      <c r="AC443">
        <v>0.80790000000001705</v>
      </c>
      <c r="AD443">
        <v>-6.5843999999999694E-2</v>
      </c>
      <c r="AE443">
        <v>-9.5599999999990304E-2</v>
      </c>
      <c r="AF443">
        <v>8.7428520129547604E-2</v>
      </c>
      <c r="AG443">
        <v>-6.5843999999999694E-2</v>
      </c>
      <c r="AH443">
        <v>0.80349960771815199</v>
      </c>
      <c r="AI443">
        <v>94.657355004207403</v>
      </c>
      <c r="AJ443">
        <v>83.790096214132106</v>
      </c>
      <c r="AK443">
        <v>0.81091972356779396</v>
      </c>
      <c r="AL443">
        <v>83.439008968427004</v>
      </c>
      <c r="AM443">
        <v>87.262761577576796</v>
      </c>
      <c r="AN443">
        <v>0.99999999105374004</v>
      </c>
    </row>
    <row r="444" spans="1:40" x14ac:dyDescent="0.25">
      <c r="A444" t="str">
        <f>"20190312164445597"</f>
        <v>20190312164445597</v>
      </c>
      <c r="B444" t="str">
        <f>"1552380285592133"</f>
        <v>1552380285592133</v>
      </c>
      <c r="C444" t="s">
        <v>40</v>
      </c>
      <c r="D444">
        <v>5.0150100000000002</v>
      </c>
      <c r="E444">
        <v>0.51558850000000001</v>
      </c>
      <c r="F444" t="s">
        <v>42</v>
      </c>
      <c r="G444">
        <v>-332.18889999999999</v>
      </c>
      <c r="H444" s="1">
        <v>-4.0501569999999997E-6</v>
      </c>
      <c r="I444">
        <v>365.57490000000001</v>
      </c>
      <c r="J444">
        <v>-350.3723</v>
      </c>
      <c r="K444">
        <v>1.107793</v>
      </c>
      <c r="L444">
        <v>367.25510000000003</v>
      </c>
      <c r="M444">
        <v>0.99988160000000004</v>
      </c>
      <c r="N444">
        <v>0</v>
      </c>
      <c r="O444">
        <v>-9.3979130000000008E-3</v>
      </c>
      <c r="P444">
        <v>0.99309139999999996</v>
      </c>
      <c r="Q444">
        <v>0.102353</v>
      </c>
      <c r="R444">
        <v>-5.738762E-2</v>
      </c>
      <c r="S444">
        <v>3.0237120000000002</v>
      </c>
      <c r="T444">
        <v>-0.1812723</v>
      </c>
      <c r="U444">
        <v>-0.27539059999999999</v>
      </c>
      <c r="V444">
        <v>4.805135E-2</v>
      </c>
      <c r="W444">
        <v>0.1144512</v>
      </c>
      <c r="X444">
        <v>0.99226610000000004</v>
      </c>
      <c r="Y444">
        <v>8.1209879999999998E-2</v>
      </c>
      <c r="Z444">
        <v>-1.865366E-3</v>
      </c>
      <c r="AA444">
        <v>0.99669529999999995</v>
      </c>
      <c r="AB444">
        <v>57</v>
      </c>
      <c r="AC444">
        <v>18.183399999999999</v>
      </c>
      <c r="AD444">
        <v>-1.107797050157</v>
      </c>
      <c r="AE444">
        <v>-1.6802000000000099</v>
      </c>
      <c r="AF444">
        <v>1.5036931180776201</v>
      </c>
      <c r="AG444">
        <v>-1.107797050157</v>
      </c>
      <c r="AH444">
        <v>18.131659306242199</v>
      </c>
      <c r="AI444">
        <v>93.484344483252002</v>
      </c>
      <c r="AJ444">
        <v>85.259200371653606</v>
      </c>
      <c r="AK444">
        <v>18.227599306966699</v>
      </c>
      <c r="AL444">
        <v>83.428027947437002</v>
      </c>
      <c r="AM444">
        <v>87.227567805765204</v>
      </c>
      <c r="AN444">
        <v>1.00000001131373</v>
      </c>
    </row>
    <row r="445" spans="1:40" x14ac:dyDescent="0.25">
      <c r="A445" t="str">
        <f>"20190312164445608"</f>
        <v>20190312164445608</v>
      </c>
      <c r="B445" t="str">
        <f>"1552380285601893"</f>
        <v>1552380285601893</v>
      </c>
      <c r="C445" t="s">
        <v>40</v>
      </c>
      <c r="D445">
        <v>5.0250000000000004</v>
      </c>
      <c r="E445">
        <v>0.51370459999999996</v>
      </c>
      <c r="F445" t="s">
        <v>41</v>
      </c>
      <c r="G445">
        <v>-349.3451</v>
      </c>
      <c r="H445">
        <v>1.04616</v>
      </c>
      <c r="I445">
        <v>367.16090000000003</v>
      </c>
      <c r="J445">
        <v>-350.06540000000001</v>
      </c>
      <c r="K445">
        <v>1.107812</v>
      </c>
      <c r="L445">
        <v>367.25220000000002</v>
      </c>
      <c r="M445">
        <v>0.99987870000000001</v>
      </c>
      <c r="N445">
        <v>0</v>
      </c>
      <c r="O445">
        <v>-9.3964159999999994E-3</v>
      </c>
      <c r="P445">
        <v>0.9930677</v>
      </c>
      <c r="Q445">
        <v>0.1022366</v>
      </c>
      <c r="R445">
        <v>-5.8002140000000001E-2</v>
      </c>
      <c r="S445">
        <v>3.02359</v>
      </c>
      <c r="T445">
        <v>-0.1815021</v>
      </c>
      <c r="U445">
        <v>-0.27688600000000002</v>
      </c>
      <c r="V445">
        <v>4.8668070000000001E-2</v>
      </c>
      <c r="W445">
        <v>0.11457150000000001</v>
      </c>
      <c r="X445">
        <v>0.9922221</v>
      </c>
      <c r="Y445">
        <v>8.17026E-2</v>
      </c>
      <c r="Z445">
        <v>-1.8825929999999999E-3</v>
      </c>
      <c r="AA445">
        <v>0.99665499999999996</v>
      </c>
      <c r="AB445">
        <v>57</v>
      </c>
      <c r="AC445">
        <v>0.72030000000000804</v>
      </c>
      <c r="AD445">
        <v>-6.1651999999999998E-2</v>
      </c>
      <c r="AE445">
        <v>-9.1299999999989695E-2</v>
      </c>
      <c r="AF445">
        <v>8.3922115394729893E-2</v>
      </c>
      <c r="AG445">
        <v>-6.1651999999999998E-2</v>
      </c>
      <c r="AH445">
        <v>0.71596393337994002</v>
      </c>
      <c r="AI445">
        <v>94.888323413895804</v>
      </c>
      <c r="AJ445">
        <v>83.314549798926294</v>
      </c>
      <c r="AK445">
        <v>0.72349723182414505</v>
      </c>
      <c r="AL445">
        <v>83.421089237141004</v>
      </c>
      <c r="AM445">
        <v>87.191917008122402</v>
      </c>
      <c r="AN445">
        <v>0.99999995268909103</v>
      </c>
    </row>
    <row r="446" spans="1:40" x14ac:dyDescent="0.25">
      <c r="A446" t="str">
        <f>"20190312164445620"</f>
        <v>20190312164445620</v>
      </c>
      <c r="B446" t="str">
        <f>"1552380285612629"</f>
        <v>1552380285612629</v>
      </c>
      <c r="C446" t="s">
        <v>40</v>
      </c>
      <c r="D446">
        <v>5.0259429999999998</v>
      </c>
      <c r="E446">
        <v>0.51401949999999996</v>
      </c>
      <c r="F446" t="s">
        <v>41</v>
      </c>
      <c r="G446">
        <v>-348.8603</v>
      </c>
      <c r="H446">
        <v>0.99666250000000001</v>
      </c>
      <c r="I446">
        <v>367.14859999999999</v>
      </c>
      <c r="J446">
        <v>-349.7636</v>
      </c>
      <c r="K446">
        <v>1.1078300000000001</v>
      </c>
      <c r="L446">
        <v>367.24939999999998</v>
      </c>
      <c r="M446">
        <v>0.99987610000000005</v>
      </c>
      <c r="N446">
        <v>0</v>
      </c>
      <c r="O446">
        <v>-9.3953679999999994E-3</v>
      </c>
      <c r="P446">
        <v>0.99304870000000001</v>
      </c>
      <c r="Q446">
        <v>0.1021003</v>
      </c>
      <c r="R446">
        <v>-5.8565699999999901E-2</v>
      </c>
      <c r="S446">
        <v>3.0346069999999998</v>
      </c>
      <c r="T446">
        <v>-0.28009339999999999</v>
      </c>
      <c r="U446">
        <v>-0.25997920000000002</v>
      </c>
      <c r="V446">
        <v>4.9233270000000003E-2</v>
      </c>
      <c r="W446">
        <v>0.11464630000000001</v>
      </c>
      <c r="X446">
        <v>0.9921856</v>
      </c>
      <c r="Y446">
        <v>7.5713429999999998E-2</v>
      </c>
      <c r="Z446">
        <v>-2.6166689999999999E-3</v>
      </c>
      <c r="AA446">
        <v>0.99712619999999996</v>
      </c>
      <c r="AB446">
        <v>57</v>
      </c>
      <c r="AC446">
        <v>0.90330000000000099</v>
      </c>
      <c r="AD446">
        <v>-0.111167499999999</v>
      </c>
      <c r="AE446">
        <v>-0.10079999999999199</v>
      </c>
      <c r="AF446">
        <v>9.0947508375712E-2</v>
      </c>
      <c r="AG446">
        <v>-0.111167499999999</v>
      </c>
      <c r="AH446">
        <v>0.890880134119304</v>
      </c>
      <c r="AI446">
        <v>97.0764218238008</v>
      </c>
      <c r="AJ446">
        <v>84.171024601369993</v>
      </c>
      <c r="AK446">
        <v>0.90238410652251</v>
      </c>
      <c r="AL446">
        <v>83.416775245522302</v>
      </c>
      <c r="AM446">
        <v>87.159254497710904</v>
      </c>
      <c r="AN446">
        <v>0.99999997691297104</v>
      </c>
    </row>
    <row r="447" spans="1:40" x14ac:dyDescent="0.25">
      <c r="A447" t="str">
        <f>"20190312164445633"</f>
        <v>20190312164445633</v>
      </c>
      <c r="B447" t="str">
        <f>"1552380285622389"</f>
        <v>1552380285622389</v>
      </c>
      <c r="C447" t="s">
        <v>40</v>
      </c>
      <c r="D447">
        <v>5.0787149999999999</v>
      </c>
      <c r="E447">
        <v>0.5144282</v>
      </c>
      <c r="F447" t="s">
        <v>41</v>
      </c>
      <c r="G447">
        <v>-348.84679999999997</v>
      </c>
      <c r="H447">
        <v>1.0237909999999999</v>
      </c>
      <c r="I447">
        <v>367.16910000000001</v>
      </c>
      <c r="J447">
        <v>-349.4631</v>
      </c>
      <c r="K447">
        <v>1.1078460000000001</v>
      </c>
      <c r="L447">
        <v>367.2466</v>
      </c>
      <c r="M447">
        <v>0.99987349999999997</v>
      </c>
      <c r="N447">
        <v>0</v>
      </c>
      <c r="O447">
        <v>-9.394052E-3</v>
      </c>
      <c r="P447">
        <v>0.99302820000000003</v>
      </c>
      <c r="Q447">
        <v>0.10206030000000001</v>
      </c>
      <c r="R447">
        <v>-5.8979759999999999E-2</v>
      </c>
      <c r="S447">
        <v>3.0340880000000001</v>
      </c>
      <c r="T447">
        <v>-0.2784008</v>
      </c>
      <c r="U447">
        <v>-0.26440429999999998</v>
      </c>
      <c r="V447">
        <v>4.964884E-2</v>
      </c>
      <c r="W447">
        <v>0.1148088</v>
      </c>
      <c r="X447">
        <v>0.99214610000000003</v>
      </c>
      <c r="Y447">
        <v>7.7169829999999995E-2</v>
      </c>
      <c r="Z447">
        <v>-2.6678729999999999E-3</v>
      </c>
      <c r="AA447">
        <v>0.99701439999999997</v>
      </c>
      <c r="AB447">
        <v>57</v>
      </c>
      <c r="AC447">
        <v>0.61630000000002305</v>
      </c>
      <c r="AD447">
        <v>-8.4054999999999894E-2</v>
      </c>
      <c r="AE447">
        <v>-7.7499999999986302E-2</v>
      </c>
      <c r="AF447">
        <v>7.0417091132409404E-2</v>
      </c>
      <c r="AG447">
        <v>-8.4054999999999894E-2</v>
      </c>
      <c r="AH447">
        <v>0.60590572955323396</v>
      </c>
      <c r="AI447">
        <v>97.845873985167103</v>
      </c>
      <c r="AJ447">
        <v>83.370943456488206</v>
      </c>
      <c r="AK447">
        <v>0.61574797023943695</v>
      </c>
      <c r="AL447">
        <v>83.407402787464903</v>
      </c>
      <c r="AM447">
        <v>87.135202141764594</v>
      </c>
      <c r="AN447">
        <v>0.99999997580799704</v>
      </c>
    </row>
    <row r="448" spans="1:40" x14ac:dyDescent="0.25">
      <c r="A448" t="str">
        <f>"20190312164445644"</f>
        <v>20190312164445644</v>
      </c>
      <c r="B448" t="str">
        <f>"1552380285641909"</f>
        <v>1552380285641909</v>
      </c>
      <c r="C448" t="s">
        <v>40</v>
      </c>
      <c r="D448">
        <v>5.0270460000000003</v>
      </c>
      <c r="E448">
        <v>0.51418580000000003</v>
      </c>
      <c r="F448" t="s">
        <v>41</v>
      </c>
      <c r="G448">
        <v>-348.34539999999998</v>
      </c>
      <c r="H448">
        <v>1.0065189999999999</v>
      </c>
      <c r="I448">
        <v>367.14729999999997</v>
      </c>
      <c r="J448">
        <v>-349.14260000000002</v>
      </c>
      <c r="K448">
        <v>1.1078619999999999</v>
      </c>
      <c r="L448">
        <v>367.24349999999998</v>
      </c>
      <c r="M448">
        <v>0.99987079999999995</v>
      </c>
      <c r="N448">
        <v>0</v>
      </c>
      <c r="O448">
        <v>-9.3927430000000003E-3</v>
      </c>
      <c r="P448">
        <v>0.99300160000000004</v>
      </c>
      <c r="Q448">
        <v>0.1020843</v>
      </c>
      <c r="R448">
        <v>-5.9388249999999997E-2</v>
      </c>
      <c r="S448">
        <v>3.0333559999999999</v>
      </c>
      <c r="T448">
        <v>-0.27512979999999998</v>
      </c>
      <c r="U448">
        <v>-0.26919559999999998</v>
      </c>
      <c r="V448">
        <v>5.0059069999999997E-2</v>
      </c>
      <c r="W448">
        <v>0.11503380000000001</v>
      </c>
      <c r="X448">
        <v>0.99209950000000002</v>
      </c>
      <c r="Y448">
        <v>7.8754610000000003E-2</v>
      </c>
      <c r="Z448">
        <v>-2.708809E-3</v>
      </c>
      <c r="AA448">
        <v>0.99689039999999995</v>
      </c>
      <c r="AB448">
        <v>57</v>
      </c>
      <c r="AC448">
        <v>0.79720000000003199</v>
      </c>
      <c r="AD448">
        <v>-0.101343</v>
      </c>
      <c r="AE448">
        <v>-9.6200000000010194E-2</v>
      </c>
      <c r="AF448">
        <v>8.7316405863190394E-2</v>
      </c>
      <c r="AG448">
        <v>-0.101343</v>
      </c>
      <c r="AH448">
        <v>0.78555577419497602</v>
      </c>
      <c r="AI448">
        <v>97.306507536283902</v>
      </c>
      <c r="AJ448">
        <v>83.657471707142804</v>
      </c>
      <c r="AK448">
        <v>0.79686412439821497</v>
      </c>
      <c r="AL448">
        <v>83.394425759362306</v>
      </c>
      <c r="AM448">
        <v>87.111435854715396</v>
      </c>
      <c r="AN448">
        <v>1.00000005176597</v>
      </c>
    </row>
    <row r="449" spans="1:40" x14ac:dyDescent="0.25">
      <c r="A449" t="str">
        <f>"20190312164445658"</f>
        <v>20190312164445658</v>
      </c>
      <c r="B449" t="str">
        <f>"1552380285652645"</f>
        <v>1552380285652645</v>
      </c>
      <c r="C449" t="s">
        <v>40</v>
      </c>
      <c r="D449">
        <v>4.996238</v>
      </c>
      <c r="E449">
        <v>0.51416149999999905</v>
      </c>
      <c r="F449" t="s">
        <v>41</v>
      </c>
      <c r="G449">
        <v>-348.33159999999998</v>
      </c>
      <c r="H449">
        <v>1.0340990000000001</v>
      </c>
      <c r="I449">
        <v>367.17169999999999</v>
      </c>
      <c r="J449">
        <v>-348.80549999999999</v>
      </c>
      <c r="K449">
        <v>1.1078760000000001</v>
      </c>
      <c r="L449">
        <v>367.24029999999999</v>
      </c>
      <c r="M449">
        <v>0.99986830000000004</v>
      </c>
      <c r="N449">
        <v>0</v>
      </c>
      <c r="O449">
        <v>-9.3911719999999997E-3</v>
      </c>
      <c r="P449">
        <v>0.99294450000000001</v>
      </c>
      <c r="Q449">
        <v>0.1022623</v>
      </c>
      <c r="R449">
        <v>-6.0031859999999999E-2</v>
      </c>
      <c r="S449">
        <v>3.0334780000000001</v>
      </c>
      <c r="T449">
        <v>-0.2760589</v>
      </c>
      <c r="U449">
        <v>-0.26846310000000001</v>
      </c>
      <c r="V449">
        <v>5.0705E-2</v>
      </c>
      <c r="W449">
        <v>0.1154061</v>
      </c>
      <c r="X449">
        <v>0.9920234</v>
      </c>
      <c r="Y449">
        <v>7.8512899999999997E-2</v>
      </c>
      <c r="Z449">
        <v>-2.7070250000000001E-3</v>
      </c>
      <c r="AA449">
        <v>0.99690939999999995</v>
      </c>
      <c r="AB449">
        <v>57</v>
      </c>
      <c r="AC449">
        <v>0.47390000000001398</v>
      </c>
      <c r="AD449">
        <v>-7.3777000000000204E-2</v>
      </c>
      <c r="AE449">
        <v>-6.8600000000003505E-2</v>
      </c>
      <c r="AF449">
        <v>6.2658654894164598E-2</v>
      </c>
      <c r="AG449">
        <v>-7.3777000000000204E-2</v>
      </c>
      <c r="AH449">
        <v>0.46351989517988501</v>
      </c>
      <c r="AI449">
        <v>98.963540188538403</v>
      </c>
      <c r="AJ449">
        <v>82.301419521161705</v>
      </c>
      <c r="AK449">
        <v>0.47351858040600397</v>
      </c>
      <c r="AL449">
        <v>83.372951149057698</v>
      </c>
      <c r="AM449">
        <v>87.074003979789296</v>
      </c>
      <c r="AN449">
        <v>0.99999999554488495</v>
      </c>
    </row>
    <row r="450" spans="1:40" x14ac:dyDescent="0.25">
      <c r="A450" t="str">
        <f>"20190312164445677"</f>
        <v>20190312164445677</v>
      </c>
      <c r="B450" t="str">
        <f>"1552380285672164"</f>
        <v>1552380285672164</v>
      </c>
      <c r="C450" t="s">
        <v>40</v>
      </c>
      <c r="D450">
        <v>4.9992400000000004</v>
      </c>
      <c r="E450">
        <v>0.51445450000000004</v>
      </c>
      <c r="F450" t="s">
        <v>41</v>
      </c>
      <c r="G450">
        <v>-347.82920000000001</v>
      </c>
      <c r="H450">
        <v>1.0196639999999999</v>
      </c>
      <c r="I450">
        <v>367.15269999999998</v>
      </c>
      <c r="J450">
        <v>-348.35289999999998</v>
      </c>
      <c r="K450">
        <v>1.1078969999999999</v>
      </c>
      <c r="L450">
        <v>367.23610000000002</v>
      </c>
      <c r="M450">
        <v>0.99986509999999995</v>
      </c>
      <c r="N450">
        <v>0</v>
      </c>
      <c r="O450">
        <v>-9.3881450000000005E-3</v>
      </c>
      <c r="P450">
        <v>0.99279090000000003</v>
      </c>
      <c r="Q450">
        <v>0.10310370000000001</v>
      </c>
      <c r="R450">
        <v>-6.112339E-2</v>
      </c>
      <c r="S450">
        <v>3.033264</v>
      </c>
      <c r="T450">
        <v>-0.27436480000000002</v>
      </c>
      <c r="U450">
        <v>-0.27053829999999901</v>
      </c>
      <c r="V450">
        <v>5.1800850000000002E-2</v>
      </c>
      <c r="W450">
        <v>0.1164874</v>
      </c>
      <c r="X450">
        <v>0.99184039999999996</v>
      </c>
      <c r="Y450">
        <v>7.9199370000000005E-2</v>
      </c>
      <c r="Z450">
        <v>-2.72178E-3</v>
      </c>
      <c r="AA450">
        <v>0.99685509999999999</v>
      </c>
      <c r="AB450">
        <v>57</v>
      </c>
      <c r="AC450">
        <v>0.52369999999996197</v>
      </c>
      <c r="AD450">
        <v>-8.8233000000000006E-2</v>
      </c>
      <c r="AE450">
        <v>-8.3400000000040095E-2</v>
      </c>
      <c r="AF450">
        <v>7.6365252523395294E-2</v>
      </c>
      <c r="AG450">
        <v>-8.8233000000000006E-2</v>
      </c>
      <c r="AH450">
        <v>0.51033220540081004</v>
      </c>
      <c r="AI450">
        <v>99.7031377089248</v>
      </c>
      <c r="AJ450">
        <v>81.4895023471191</v>
      </c>
      <c r="AK450">
        <v>0.52350327023927601</v>
      </c>
      <c r="AL450">
        <v>83.310576631427594</v>
      </c>
      <c r="AM450">
        <v>87.010329534288303</v>
      </c>
      <c r="AN450">
        <v>1.00000001074582</v>
      </c>
    </row>
    <row r="451" spans="1:40" x14ac:dyDescent="0.25">
      <c r="A451" t="str">
        <f>"20190312164445690"</f>
        <v>20190312164445690</v>
      </c>
      <c r="B451" t="str">
        <f>"1552380285681926"</f>
        <v>1552380285681926</v>
      </c>
      <c r="C451" t="s">
        <v>40</v>
      </c>
      <c r="D451">
        <v>5.0240559999999999</v>
      </c>
      <c r="E451">
        <v>0.51451780000000003</v>
      </c>
      <c r="F451" t="s">
        <v>41</v>
      </c>
      <c r="G451">
        <v>-347.32199999999898</v>
      </c>
      <c r="H451">
        <v>1.0155209999999999</v>
      </c>
      <c r="I451">
        <v>367.1422</v>
      </c>
      <c r="J451">
        <v>-348.00020000000001</v>
      </c>
      <c r="K451">
        <v>1.1079110000000001</v>
      </c>
      <c r="L451">
        <v>367.2328</v>
      </c>
      <c r="M451">
        <v>0.99986269999999999</v>
      </c>
      <c r="N451">
        <v>0</v>
      </c>
      <c r="O451">
        <v>-9.3851539999999997E-3</v>
      </c>
      <c r="P451">
        <v>0.99274560000000001</v>
      </c>
      <c r="Q451">
        <v>0.1032363</v>
      </c>
      <c r="R451">
        <v>-6.1631819999999997E-2</v>
      </c>
      <c r="S451">
        <v>3.03302</v>
      </c>
      <c r="T451">
        <v>-0.271816</v>
      </c>
      <c r="U451">
        <v>-0.27603149999999999</v>
      </c>
      <c r="V451">
        <v>5.231272E-2</v>
      </c>
      <c r="W451">
        <v>0.1167938</v>
      </c>
      <c r="X451">
        <v>0.99177749999999998</v>
      </c>
      <c r="Y451">
        <v>8.0998230000000004E-2</v>
      </c>
      <c r="Z451">
        <v>-2.7771390000000001E-3</v>
      </c>
      <c r="AA451">
        <v>0.9967104</v>
      </c>
      <c r="AB451">
        <v>57</v>
      </c>
      <c r="AC451">
        <v>0.67820000000005998</v>
      </c>
      <c r="AD451">
        <v>-9.2390000000000194E-2</v>
      </c>
      <c r="AE451">
        <v>-9.0599999999994907E-2</v>
      </c>
      <c r="AF451">
        <v>8.2722151332669594E-2</v>
      </c>
      <c r="AG451">
        <v>-9.2390000000000194E-2</v>
      </c>
      <c r="AH451">
        <v>0.66686177256880197</v>
      </c>
      <c r="AI451">
        <v>97.8285515064603</v>
      </c>
      <c r="AJ451">
        <v>82.928757088452898</v>
      </c>
      <c r="AK451">
        <v>0.67829454526386201</v>
      </c>
      <c r="AL451">
        <v>83.2929005524974</v>
      </c>
      <c r="AM451">
        <v>86.980650375773195</v>
      </c>
      <c r="AN451">
        <v>1.00000001094924</v>
      </c>
    </row>
    <row r="452" spans="1:40" x14ac:dyDescent="0.25">
      <c r="A452" t="str">
        <f>"20190312164445701"</f>
        <v>20190312164445701</v>
      </c>
      <c r="B452" t="str">
        <f>"1552380285691685"</f>
        <v>1552380285691685</v>
      </c>
      <c r="C452" t="s">
        <v>40</v>
      </c>
      <c r="D452">
        <v>5.0109820000000003</v>
      </c>
      <c r="E452">
        <v>0.51437529999999998</v>
      </c>
      <c r="F452" t="s">
        <v>41</v>
      </c>
      <c r="G452">
        <v>-346.81970000000001</v>
      </c>
      <c r="H452">
        <v>1.0023759999999999</v>
      </c>
      <c r="I452">
        <v>367.12430000000001</v>
      </c>
      <c r="J452">
        <v>-347.70049999999998</v>
      </c>
      <c r="K452">
        <v>1.107923</v>
      </c>
      <c r="L452">
        <v>367.22989999999999</v>
      </c>
      <c r="M452">
        <v>0.99986090000000005</v>
      </c>
      <c r="N452">
        <v>0</v>
      </c>
      <c r="O452">
        <v>-9.3820099999999997E-3</v>
      </c>
      <c r="P452">
        <v>0.9927011</v>
      </c>
      <c r="Q452">
        <v>0.10350810000000001</v>
      </c>
      <c r="R452">
        <v>-6.189447E-2</v>
      </c>
      <c r="S452">
        <v>3.0328369999999998</v>
      </c>
      <c r="T452">
        <v>-0.27130159999999998</v>
      </c>
      <c r="U452">
        <v>-0.27810669999999998</v>
      </c>
      <c r="V452">
        <v>5.2578699999999902E-2</v>
      </c>
      <c r="W452">
        <v>0.1171978</v>
      </c>
      <c r="X452">
        <v>0.99171580000000004</v>
      </c>
      <c r="Y452">
        <v>8.1681470000000006E-2</v>
      </c>
      <c r="Z452">
        <v>-2.8026990000000001E-3</v>
      </c>
      <c r="AA452">
        <v>0.99665459999999995</v>
      </c>
      <c r="AB452">
        <v>57</v>
      </c>
      <c r="AC452">
        <v>0.88079999999996506</v>
      </c>
      <c r="AD452">
        <v>-0.105547</v>
      </c>
      <c r="AE452">
        <v>-0.105599999999981</v>
      </c>
      <c r="AF452">
        <v>9.5972311636019006E-2</v>
      </c>
      <c r="AG452">
        <v>-0.105547</v>
      </c>
      <c r="AH452">
        <v>0.86944424889864202</v>
      </c>
      <c r="AI452">
        <v>96.880221307637498</v>
      </c>
      <c r="AJ452">
        <v>83.700991372217004</v>
      </c>
      <c r="AK452">
        <v>0.881069892660443</v>
      </c>
      <c r="AL452">
        <v>83.269593160217397</v>
      </c>
      <c r="AM452">
        <v>86.965138896591299</v>
      </c>
      <c r="AN452">
        <v>1.0000000359940799</v>
      </c>
    </row>
    <row r="453" spans="1:40" x14ac:dyDescent="0.25">
      <c r="A453" t="str">
        <f>"20190312164445714"</f>
        <v>20190312164445714</v>
      </c>
      <c r="B453" t="str">
        <f>"1552380285702421"</f>
        <v>1552380285702421</v>
      </c>
      <c r="C453" t="s">
        <v>40</v>
      </c>
      <c r="D453">
        <v>5.0346719999999996</v>
      </c>
      <c r="E453">
        <v>0.5142949</v>
      </c>
      <c r="F453" t="s">
        <v>41</v>
      </c>
      <c r="G453">
        <v>-346.80680000000001</v>
      </c>
      <c r="H453">
        <v>1.028278</v>
      </c>
      <c r="I453">
        <v>367.14780000000002</v>
      </c>
      <c r="J453">
        <v>-347.39620000000002</v>
      </c>
      <c r="K453">
        <v>1.1079429999999999</v>
      </c>
      <c r="L453">
        <v>367.22710000000001</v>
      </c>
      <c r="M453">
        <v>0.99985919999999895</v>
      </c>
      <c r="N453">
        <v>0</v>
      </c>
      <c r="O453">
        <v>-9.3784839999999994E-3</v>
      </c>
      <c r="P453">
        <v>0.99266860000000001</v>
      </c>
      <c r="Q453">
        <v>0.1036392</v>
      </c>
      <c r="R453">
        <v>-6.2193329999999998E-2</v>
      </c>
      <c r="S453">
        <v>3.0329280000000001</v>
      </c>
      <c r="T453">
        <v>-0.27048670000000002</v>
      </c>
      <c r="U453">
        <v>-0.27783200000000002</v>
      </c>
      <c r="V453">
        <v>5.2881400000000002E-2</v>
      </c>
      <c r="W453">
        <v>0.117457199999999</v>
      </c>
      <c r="X453">
        <v>0.99166900000000002</v>
      </c>
      <c r="Y453">
        <v>8.1594799999999995E-2</v>
      </c>
      <c r="Z453">
        <v>-2.7907050000000001E-3</v>
      </c>
      <c r="AA453">
        <v>0.99666169999999998</v>
      </c>
      <c r="AB453">
        <v>57</v>
      </c>
      <c r="AC453">
        <v>0.58940000000001103</v>
      </c>
      <c r="AD453">
        <v>-7.9665000000000097E-2</v>
      </c>
      <c r="AE453">
        <v>-7.9299999999989199E-2</v>
      </c>
      <c r="AF453">
        <v>7.2467920810195902E-2</v>
      </c>
      <c r="AG453">
        <v>-7.9665000000000097E-2</v>
      </c>
      <c r="AH453">
        <v>0.57971534409661596</v>
      </c>
      <c r="AI453">
        <v>97.764939538869399</v>
      </c>
      <c r="AJ453">
        <v>82.874642780738398</v>
      </c>
      <c r="AK453">
        <v>0.58963377782536397</v>
      </c>
      <c r="AL453">
        <v>83.254627168171695</v>
      </c>
      <c r="AM453">
        <v>86.9475561142103</v>
      </c>
      <c r="AN453">
        <v>1.00000002092939</v>
      </c>
    </row>
    <row r="454" spans="1:40" x14ac:dyDescent="0.25">
      <c r="A454" t="str">
        <f>"20190312164445731"</f>
        <v>20190312164445731</v>
      </c>
      <c r="B454" t="str">
        <f>"1552380285721940"</f>
        <v>1552380285721940</v>
      </c>
      <c r="C454" t="s">
        <v>40</v>
      </c>
      <c r="D454">
        <v>4.988308</v>
      </c>
      <c r="E454">
        <v>0.51408989999999999</v>
      </c>
      <c r="F454" t="s">
        <v>41</v>
      </c>
      <c r="G454">
        <v>-346.30720000000002</v>
      </c>
      <c r="H454">
        <v>1.010645</v>
      </c>
      <c r="I454">
        <v>367.12720000000002</v>
      </c>
      <c r="J454">
        <v>-346.94260000000003</v>
      </c>
      <c r="K454">
        <v>1.1079639999999999</v>
      </c>
      <c r="L454">
        <v>367.22289999999998</v>
      </c>
      <c r="M454">
        <v>0.99985670000000004</v>
      </c>
      <c r="N454">
        <v>0</v>
      </c>
      <c r="O454">
        <v>-9.3725470000000002E-3</v>
      </c>
      <c r="P454">
        <v>0.99260470000000001</v>
      </c>
      <c r="Q454">
        <v>0.10422579999999999</v>
      </c>
      <c r="R454">
        <v>-6.2234850000000001E-2</v>
      </c>
      <c r="S454">
        <v>3.0330509999999999</v>
      </c>
      <c r="T454">
        <v>-0.27113490000000001</v>
      </c>
      <c r="U454">
        <v>-0.27798460000000003</v>
      </c>
      <c r="V454">
        <v>5.2929160000000003E-2</v>
      </c>
      <c r="W454">
        <v>0.11821719999999999</v>
      </c>
      <c r="X454">
        <v>0.99157609999999996</v>
      </c>
      <c r="Y454">
        <v>8.1645200000000001E-2</v>
      </c>
      <c r="Z454">
        <v>-2.8000159999999998E-3</v>
      </c>
      <c r="AA454">
        <v>0.99665760000000003</v>
      </c>
      <c r="AB454">
        <v>57</v>
      </c>
      <c r="AC454">
        <v>0.63540000000000396</v>
      </c>
      <c r="AD454">
        <v>-9.7318999999999906E-2</v>
      </c>
      <c r="AE454">
        <v>-9.5699999999965202E-2</v>
      </c>
      <c r="AF454">
        <v>8.7727575556630605E-2</v>
      </c>
      <c r="AG454">
        <v>-9.7318999999999906E-2</v>
      </c>
      <c r="AH454">
        <v>0.62200153707939199</v>
      </c>
      <c r="AI454">
        <v>98.806685797732698</v>
      </c>
      <c r="AJ454">
        <v>81.971912584166802</v>
      </c>
      <c r="AK454">
        <v>0.63565165570709403</v>
      </c>
      <c r="AL454">
        <v>83.210776603289901</v>
      </c>
      <c r="AM454">
        <v>86.944518813971499</v>
      </c>
      <c r="AN454">
        <v>0.99999998222267705</v>
      </c>
    </row>
    <row r="455" spans="1:40" x14ac:dyDescent="0.25">
      <c r="A455" t="str">
        <f>"20190312164445743"</f>
        <v>20190312164445743</v>
      </c>
      <c r="B455" t="str">
        <f>"1552380285731702"</f>
        <v>1552380285731702</v>
      </c>
      <c r="C455" t="s">
        <v>40</v>
      </c>
      <c r="D455">
        <v>4.9961970000000004</v>
      </c>
      <c r="E455">
        <v>0.51410739999999999</v>
      </c>
      <c r="F455" t="s">
        <v>41</v>
      </c>
      <c r="G455">
        <v>-345.80119999999999</v>
      </c>
      <c r="H455">
        <v>1.0064229999999901</v>
      </c>
      <c r="I455">
        <v>367.11840000000001</v>
      </c>
      <c r="J455">
        <v>-346.64800000000002</v>
      </c>
      <c r="K455">
        <v>1.107977</v>
      </c>
      <c r="L455">
        <v>367.2201</v>
      </c>
      <c r="M455">
        <v>0.9998553</v>
      </c>
      <c r="N455">
        <v>0</v>
      </c>
      <c r="O455">
        <v>-9.3681370000000003E-3</v>
      </c>
      <c r="P455">
        <v>0.99252189999999996</v>
      </c>
      <c r="Q455">
        <v>0.1049953</v>
      </c>
      <c r="R455">
        <v>-6.2258559999999998E-2</v>
      </c>
      <c r="S455">
        <v>3.0333559999999999</v>
      </c>
      <c r="T455">
        <v>-0.27004159999999999</v>
      </c>
      <c r="U455">
        <v>-0.2767944</v>
      </c>
      <c r="V455">
        <v>5.2958140000000001E-2</v>
      </c>
      <c r="W455">
        <v>0.1190875</v>
      </c>
      <c r="X455">
        <v>0.99147050000000003</v>
      </c>
      <c r="Y455">
        <v>8.1256490000000001E-2</v>
      </c>
      <c r="Z455">
        <v>-2.7716989999999999E-3</v>
      </c>
      <c r="AA455">
        <v>0.99668939999999995</v>
      </c>
      <c r="AB455">
        <v>57</v>
      </c>
      <c r="AC455">
        <v>0.84680000000002997</v>
      </c>
      <c r="AD455">
        <v>-0.10155400000000001</v>
      </c>
      <c r="AE455">
        <v>-0.101699999999993</v>
      </c>
      <c r="AF455">
        <v>9.24510334685541E-2</v>
      </c>
      <c r="AG455">
        <v>-0.10155400000000001</v>
      </c>
      <c r="AH455">
        <v>0.83586483291811198</v>
      </c>
      <c r="AI455">
        <v>96.885657229890001</v>
      </c>
      <c r="AJ455">
        <v>83.688440450022597</v>
      </c>
      <c r="AK455">
        <v>0.84707167784941795</v>
      </c>
      <c r="AL455">
        <v>83.160557964032904</v>
      </c>
      <c r="AM455">
        <v>86.942524041748896</v>
      </c>
      <c r="AN455">
        <v>1.00000007480937</v>
      </c>
    </row>
    <row r="456" spans="1:40" x14ac:dyDescent="0.25">
      <c r="A456" t="str">
        <f>"20190312164445753"</f>
        <v>20190312164445753</v>
      </c>
      <c r="B456" t="str">
        <f>"1552380285742437"</f>
        <v>1552380285742437</v>
      </c>
      <c r="C456" t="s">
        <v>40</v>
      </c>
      <c r="D456">
        <v>5.0094190000000003</v>
      </c>
      <c r="E456">
        <v>0.51409039999999995</v>
      </c>
      <c r="F456" t="s">
        <v>41</v>
      </c>
      <c r="G456">
        <v>-345.78820000000002</v>
      </c>
      <c r="H456">
        <v>1.032341</v>
      </c>
      <c r="I456">
        <v>367.14120000000003</v>
      </c>
      <c r="J456">
        <v>-346.39330000000001</v>
      </c>
      <c r="K456">
        <v>1.1079859999999999</v>
      </c>
      <c r="L456">
        <v>367.21769999999998</v>
      </c>
      <c r="M456">
        <v>0.99985420000000003</v>
      </c>
      <c r="N456">
        <v>0</v>
      </c>
      <c r="O456">
        <v>-9.3643149999999998E-3</v>
      </c>
      <c r="P456">
        <v>0.99248329999999996</v>
      </c>
      <c r="Q456">
        <v>0.1055653</v>
      </c>
      <c r="R456">
        <v>-6.1911639999999997E-2</v>
      </c>
      <c r="S456">
        <v>3.0334780000000001</v>
      </c>
      <c r="T456">
        <v>-0.26711089999999998</v>
      </c>
      <c r="U456">
        <v>-0.27716059999999998</v>
      </c>
      <c r="V456">
        <v>5.2615040000000002E-2</v>
      </c>
      <c r="W456">
        <v>0.11974029999999999</v>
      </c>
      <c r="X456">
        <v>0.99141009999999996</v>
      </c>
      <c r="Y456">
        <v>8.1381599999999998E-2</v>
      </c>
      <c r="Z456">
        <v>-2.7474309999999998E-3</v>
      </c>
      <c r="AA456">
        <v>0.99667919999999999</v>
      </c>
      <c r="AB456">
        <v>57</v>
      </c>
      <c r="AC456">
        <v>0.60509999999999298</v>
      </c>
      <c r="AD456">
        <v>-7.5645000000000101E-2</v>
      </c>
      <c r="AE456">
        <v>-7.6499999999953106E-2</v>
      </c>
      <c r="AF456">
        <v>6.9756706036838603E-2</v>
      </c>
      <c r="AG456">
        <v>-7.5645000000000101E-2</v>
      </c>
      <c r="AH456">
        <v>0.59661266795713996</v>
      </c>
      <c r="AI456">
        <v>97.177641338035897</v>
      </c>
      <c r="AJ456">
        <v>83.331184022718801</v>
      </c>
      <c r="AK456">
        <v>0.60542120844007996</v>
      </c>
      <c r="AL456">
        <v>83.1228854387155</v>
      </c>
      <c r="AM456">
        <v>86.962110576955197</v>
      </c>
      <c r="AN456">
        <v>1.00000003413015</v>
      </c>
    </row>
    <row r="457" spans="1:40" x14ac:dyDescent="0.25">
      <c r="A457" t="str">
        <f>"20190312164445763"</f>
        <v>20190312164445763</v>
      </c>
      <c r="B457" t="str">
        <f>"1552380285752197"</f>
        <v>1552380285752197</v>
      </c>
      <c r="C457" t="s">
        <v>40</v>
      </c>
      <c r="D457">
        <v>5.0138490000000004</v>
      </c>
      <c r="E457">
        <v>0.51408429999999905</v>
      </c>
      <c r="F457" t="s">
        <v>41</v>
      </c>
      <c r="G457">
        <v>-345.29090000000002</v>
      </c>
      <c r="H457">
        <v>1.0117080000000001</v>
      </c>
      <c r="I457">
        <v>367.11720000000003</v>
      </c>
      <c r="J457">
        <v>-346.113</v>
      </c>
      <c r="K457">
        <v>1.107993</v>
      </c>
      <c r="L457">
        <v>367.21510000000001</v>
      </c>
      <c r="M457">
        <v>0.99985299999999999</v>
      </c>
      <c r="N457">
        <v>0</v>
      </c>
      <c r="O457">
        <v>-9.3596770000000003E-3</v>
      </c>
      <c r="P457">
        <v>0.99239169999999999</v>
      </c>
      <c r="Q457">
        <v>0.10654089999999999</v>
      </c>
      <c r="R457">
        <v>-6.1711370000000002E-2</v>
      </c>
      <c r="S457">
        <v>3.0336910000000001</v>
      </c>
      <c r="T457">
        <v>-0.26508690000000001</v>
      </c>
      <c r="U457">
        <v>-0.2758179</v>
      </c>
      <c r="V457">
        <v>5.2420080000000001E-2</v>
      </c>
      <c r="W457">
        <v>0.1207998</v>
      </c>
      <c r="X457">
        <v>0.9912919</v>
      </c>
      <c r="Y457">
        <v>8.0948140000000002E-2</v>
      </c>
      <c r="Z457">
        <v>-2.7080939999999999E-3</v>
      </c>
      <c r="AA457">
        <v>0.99671469999999995</v>
      </c>
      <c r="AB457">
        <v>57</v>
      </c>
      <c r="AC457">
        <v>0.82210000000003403</v>
      </c>
      <c r="AD457">
        <v>-9.6284999999999898E-2</v>
      </c>
      <c r="AE457">
        <v>-9.7899999999981405E-2</v>
      </c>
      <c r="AF457">
        <v>8.8996605318527794E-2</v>
      </c>
      <c r="AG457">
        <v>-9.6284999999999898E-2</v>
      </c>
      <c r="AH457">
        <v>0.81199773802202702</v>
      </c>
      <c r="AI457">
        <v>96.7225517999956</v>
      </c>
      <c r="AJ457">
        <v>83.745231539472499</v>
      </c>
      <c r="AK457">
        <v>0.82251536370824696</v>
      </c>
      <c r="AL457">
        <v>83.061736760650604</v>
      </c>
      <c r="AM457">
        <v>86.972985995624001</v>
      </c>
      <c r="AN457">
        <v>1.00000004373642</v>
      </c>
    </row>
    <row r="458" spans="1:40" x14ac:dyDescent="0.25">
      <c r="A458" t="str">
        <f>"20190312164445775"</f>
        <v>20190312164445775</v>
      </c>
      <c r="B458" t="str">
        <f>"1552380285771717"</f>
        <v>1552380285771717</v>
      </c>
      <c r="C458" t="s">
        <v>40</v>
      </c>
      <c r="D458">
        <v>5.0065369999999998</v>
      </c>
      <c r="E458">
        <v>0.51408929999999997</v>
      </c>
      <c r="F458" t="s">
        <v>41</v>
      </c>
      <c r="G458">
        <v>-345.27890000000002</v>
      </c>
      <c r="H458">
        <v>1.0357130000000001</v>
      </c>
      <c r="I458">
        <v>367.13929999999999</v>
      </c>
      <c r="J458">
        <v>-345.82909999999998</v>
      </c>
      <c r="K458">
        <v>1.107998</v>
      </c>
      <c r="L458">
        <v>367.2124</v>
      </c>
      <c r="M458">
        <v>0.99985179999999996</v>
      </c>
      <c r="N458">
        <v>0</v>
      </c>
      <c r="O458">
        <v>-9.3548859999999998E-3</v>
      </c>
      <c r="P458">
        <v>0.99233789999999999</v>
      </c>
      <c r="Q458">
        <v>0.10713259999999999</v>
      </c>
      <c r="R458">
        <v>-6.1550130000000002E-2</v>
      </c>
      <c r="S458">
        <v>3.0341800000000001</v>
      </c>
      <c r="T458">
        <v>-0.26312950000000002</v>
      </c>
      <c r="U458">
        <v>-0.27462769999999997</v>
      </c>
      <c r="V458">
        <v>5.2264049999999999E-2</v>
      </c>
      <c r="W458">
        <v>0.12147139999999999</v>
      </c>
      <c r="X458">
        <v>0.99121800000000004</v>
      </c>
      <c r="Y458">
        <v>8.0556150000000007E-2</v>
      </c>
      <c r="Z458">
        <v>-2.6712720000000001E-3</v>
      </c>
      <c r="AA458">
        <v>0.99674649999999998</v>
      </c>
      <c r="AB458">
        <v>57</v>
      </c>
      <c r="AC458">
        <v>0.55019999999996105</v>
      </c>
      <c r="AD458">
        <v>-7.2285000000000099E-2</v>
      </c>
      <c r="AE458">
        <v>-7.3100000000010795E-2</v>
      </c>
      <c r="AF458">
        <v>6.6815928154473597E-2</v>
      </c>
      <c r="AG458">
        <v>-7.2285000000000099E-2</v>
      </c>
      <c r="AH458">
        <v>0.54167243249074404</v>
      </c>
      <c r="AI458">
        <v>97.544573250101493</v>
      </c>
      <c r="AJ458">
        <v>82.968020065255004</v>
      </c>
      <c r="AK458">
        <v>0.550543834404295</v>
      </c>
      <c r="AL458">
        <v>83.022970984286204</v>
      </c>
      <c r="AM458">
        <v>86.981754723716307</v>
      </c>
      <c r="AN458">
        <v>0.99999997773218097</v>
      </c>
    </row>
    <row r="459" spans="1:40" x14ac:dyDescent="0.25">
      <c r="A459" t="str">
        <f>"20190312164445787"</f>
        <v>20190312164445787</v>
      </c>
      <c r="B459" t="str">
        <f>"1552380285782453"</f>
        <v>1552380285782453</v>
      </c>
      <c r="C459" t="s">
        <v>40</v>
      </c>
      <c r="D459">
        <v>5.0176220000000002</v>
      </c>
      <c r="E459">
        <v>0.51406470000000004</v>
      </c>
      <c r="F459" t="s">
        <v>41</v>
      </c>
      <c r="G459">
        <v>-344.78059999999999</v>
      </c>
      <c r="H459">
        <v>1.017668</v>
      </c>
      <c r="I459">
        <v>367.11750000000001</v>
      </c>
      <c r="J459">
        <v>-345.53530000000001</v>
      </c>
      <c r="K459">
        <v>1.108006</v>
      </c>
      <c r="L459">
        <v>367.2097</v>
      </c>
      <c r="M459">
        <v>0.99985080000000004</v>
      </c>
      <c r="N459">
        <v>0</v>
      </c>
      <c r="O459">
        <v>-9.3498499999999998E-3</v>
      </c>
      <c r="P459">
        <v>0.99227710000000002</v>
      </c>
      <c r="Q459">
        <v>0.10777249999999999</v>
      </c>
      <c r="R459">
        <v>-6.141257E-2</v>
      </c>
      <c r="S459">
        <v>3.0343930000000001</v>
      </c>
      <c r="T459">
        <v>-0.26160250000000002</v>
      </c>
      <c r="U459">
        <v>-0.27413939999999998</v>
      </c>
      <c r="V459">
        <v>5.213214E-2</v>
      </c>
      <c r="W459">
        <v>0.1221889</v>
      </c>
      <c r="X459">
        <v>0.99113680000000004</v>
      </c>
      <c r="Y459">
        <v>8.0399410000000004E-2</v>
      </c>
      <c r="Z459">
        <v>-2.6493620000000002E-3</v>
      </c>
      <c r="AA459">
        <v>0.99675919999999896</v>
      </c>
      <c r="AB459">
        <v>57</v>
      </c>
      <c r="AC459">
        <v>0.75470000000001303</v>
      </c>
      <c r="AD459">
        <v>-9.0338000000000002E-2</v>
      </c>
      <c r="AE459">
        <v>-9.2199999999991095E-2</v>
      </c>
      <c r="AF459">
        <v>8.3953675391327698E-2</v>
      </c>
      <c r="AG459">
        <v>-9.0338000000000002E-2</v>
      </c>
      <c r="AH459">
        <v>0.74501144016020904</v>
      </c>
      <c r="AI459">
        <v>96.870705716122998</v>
      </c>
      <c r="AJ459">
        <v>83.570589706727105</v>
      </c>
      <c r="AK459">
        <v>0.75514979959296902</v>
      </c>
      <c r="AL459">
        <v>82.981553045463301</v>
      </c>
      <c r="AM459">
        <v>86.989112288750803</v>
      </c>
      <c r="AN459">
        <v>1.00000002180921</v>
      </c>
    </row>
    <row r="460" spans="1:40" x14ac:dyDescent="0.25">
      <c r="A460" t="str">
        <f>"20190312164445799"</f>
        <v>20190312164445799</v>
      </c>
      <c r="B460" t="str">
        <f>"1552380285792213"</f>
        <v>1552380285792213</v>
      </c>
      <c r="C460" t="s">
        <v>40</v>
      </c>
      <c r="D460">
        <v>5.0459069999999997</v>
      </c>
      <c r="E460">
        <v>0.51400080000000004</v>
      </c>
      <c r="F460" t="s">
        <v>41</v>
      </c>
      <c r="G460">
        <v>-344.7681</v>
      </c>
      <c r="H460">
        <v>1.042616</v>
      </c>
      <c r="I460">
        <v>367.14030000000002</v>
      </c>
      <c r="J460">
        <v>-345.23649999999998</v>
      </c>
      <c r="K460">
        <v>1.1080139999999901</v>
      </c>
      <c r="L460">
        <v>367.20690000000002</v>
      </c>
      <c r="M460">
        <v>0.99984969999999995</v>
      </c>
      <c r="N460">
        <v>0</v>
      </c>
      <c r="O460">
        <v>-9.3446450000000004E-3</v>
      </c>
      <c r="P460">
        <v>0.9922358</v>
      </c>
      <c r="Q460">
        <v>0.1083382</v>
      </c>
      <c r="R460">
        <v>-6.1084369999999999E-2</v>
      </c>
      <c r="S460">
        <v>3.0345460000000002</v>
      </c>
      <c r="T460">
        <v>-0.25886920000000002</v>
      </c>
      <c r="U460">
        <v>-0.2735901</v>
      </c>
      <c r="V460">
        <v>5.1809529999999999E-2</v>
      </c>
      <c r="W460">
        <v>0.1228249</v>
      </c>
      <c r="X460">
        <v>0.99107509999999999</v>
      </c>
      <c r="Y460">
        <v>8.0227149999999997E-2</v>
      </c>
      <c r="Z460">
        <v>-2.6147919999999999E-3</v>
      </c>
      <c r="AA460">
        <v>0.99677320000000003</v>
      </c>
      <c r="AB460">
        <v>57</v>
      </c>
      <c r="AC460">
        <v>0.468399999999974</v>
      </c>
      <c r="AD460">
        <v>-6.5397999999999804E-2</v>
      </c>
      <c r="AE460">
        <v>-6.6599999999993997E-2</v>
      </c>
      <c r="AF460">
        <v>6.1053025574919297E-2</v>
      </c>
      <c r="AG460">
        <v>-6.5397999999999804E-2</v>
      </c>
      <c r="AH460">
        <v>0.46020855383510001</v>
      </c>
      <c r="AI460">
        <v>98.018544356971901</v>
      </c>
      <c r="AJ460">
        <v>82.443050070546803</v>
      </c>
      <c r="AK460">
        <v>0.46882436301758701</v>
      </c>
      <c r="AL460">
        <v>82.944836344999999</v>
      </c>
      <c r="AM460">
        <v>87.007524689887902</v>
      </c>
      <c r="AN460">
        <v>1.00000001864942</v>
      </c>
    </row>
    <row r="461" spans="1:40" x14ac:dyDescent="0.25">
      <c r="A461" t="str">
        <f>"20190312164445810"</f>
        <v>20190312164445810</v>
      </c>
      <c r="B461" t="str">
        <f>"1552380285801973"</f>
        <v>1552380285801973</v>
      </c>
      <c r="C461" t="s">
        <v>40</v>
      </c>
      <c r="D461">
        <v>5.0461580000000001</v>
      </c>
      <c r="E461">
        <v>0.51389799999999997</v>
      </c>
      <c r="F461" t="s">
        <v>41</v>
      </c>
      <c r="G461">
        <v>-344.26940000000002</v>
      </c>
      <c r="H461">
        <v>1.0262180000000001</v>
      </c>
      <c r="I461">
        <v>367.12</v>
      </c>
      <c r="J461">
        <v>-344.93880000000001</v>
      </c>
      <c r="K461">
        <v>1.1080209999999999</v>
      </c>
      <c r="L461">
        <v>367.20409999999998</v>
      </c>
      <c r="M461">
        <v>0.99984890000000004</v>
      </c>
      <c r="N461">
        <v>0</v>
      </c>
      <c r="O461">
        <v>-9.3391819999999997E-3</v>
      </c>
      <c r="P461">
        <v>0.99218030000000002</v>
      </c>
      <c r="Q461">
        <v>0.1089388</v>
      </c>
      <c r="R461">
        <v>-6.0917529999999998E-2</v>
      </c>
      <c r="S461">
        <v>3.034729</v>
      </c>
      <c r="T461">
        <v>-0.25670579999999998</v>
      </c>
      <c r="U461">
        <v>-0.27218629999999999</v>
      </c>
      <c r="V461">
        <v>5.164842E-2</v>
      </c>
      <c r="W461">
        <v>0.1234936</v>
      </c>
      <c r="X461">
        <v>0.9910004</v>
      </c>
      <c r="Y461">
        <v>7.9775670000000007E-2</v>
      </c>
      <c r="Z461">
        <v>-2.5743519999999998E-3</v>
      </c>
      <c r="AA461">
        <v>0.99680950000000001</v>
      </c>
      <c r="AB461">
        <v>57</v>
      </c>
      <c r="AC461">
        <v>0.669399999999996</v>
      </c>
      <c r="AD461">
        <v>-8.1802999999999806E-2</v>
      </c>
      <c r="AE461">
        <v>-8.4099999999977998E-2</v>
      </c>
      <c r="AF461">
        <v>7.6716158137234897E-2</v>
      </c>
      <c r="AG461">
        <v>-8.1802999999999806E-2</v>
      </c>
      <c r="AH461">
        <v>0.66044666456013501</v>
      </c>
      <c r="AI461">
        <v>97.014015610409203</v>
      </c>
      <c r="AJ461">
        <v>83.374330199661998</v>
      </c>
      <c r="AK461">
        <v>0.66990066163345796</v>
      </c>
      <c r="AL461">
        <v>82.906228677449306</v>
      </c>
      <c r="AM461">
        <v>87.016588973028306</v>
      </c>
      <c r="AN461">
        <v>1.0000000106647999</v>
      </c>
    </row>
    <row r="462" spans="1:40" x14ac:dyDescent="0.25">
      <c r="A462" t="str">
        <f>"20190312164445821"</f>
        <v>20190312164445821</v>
      </c>
      <c r="B462" t="str">
        <f>"1552380285812710"</f>
        <v>1552380285812710</v>
      </c>
      <c r="C462" t="s">
        <v>40</v>
      </c>
      <c r="D462">
        <v>5.044384</v>
      </c>
      <c r="E462">
        <v>0.51386120000000002</v>
      </c>
      <c r="F462" t="s">
        <v>41</v>
      </c>
      <c r="G462">
        <v>-343.77100000000002</v>
      </c>
      <c r="H462">
        <v>1.0099819999999999</v>
      </c>
      <c r="I462">
        <v>367.09949999999998</v>
      </c>
      <c r="J462">
        <v>-344.65269999999998</v>
      </c>
      <c r="K462">
        <v>1.108033</v>
      </c>
      <c r="L462">
        <v>367.20139999999998</v>
      </c>
      <c r="M462">
        <v>0.99984790000000001</v>
      </c>
      <c r="N462">
        <v>0</v>
      </c>
      <c r="O462">
        <v>-9.3336500000000006E-3</v>
      </c>
      <c r="P462">
        <v>0.992147</v>
      </c>
      <c r="Q462">
        <v>0.10929949999999999</v>
      </c>
      <c r="R462">
        <v>-6.0810950000000003E-2</v>
      </c>
      <c r="S462">
        <v>3.0350039999999998</v>
      </c>
      <c r="T462">
        <v>-0.25491439999999999</v>
      </c>
      <c r="U462">
        <v>-0.27108759999999998</v>
      </c>
      <c r="V462">
        <v>5.154744E-2</v>
      </c>
      <c r="W462">
        <v>0.1239128</v>
      </c>
      <c r="X462">
        <v>0.99095330000000004</v>
      </c>
      <c r="Y462">
        <v>7.9419890000000007E-2</v>
      </c>
      <c r="Z462">
        <v>-2.5418369999999999E-3</v>
      </c>
      <c r="AA462">
        <v>0.996838</v>
      </c>
      <c r="AB462">
        <v>57</v>
      </c>
      <c r="AC462">
        <v>0.88170000000002302</v>
      </c>
      <c r="AD462">
        <v>-9.8051000000000096E-2</v>
      </c>
      <c r="AE462">
        <v>-0.1019</v>
      </c>
      <c r="AF462">
        <v>9.2535885780358304E-2</v>
      </c>
      <c r="AG462">
        <v>-9.8051000000000096E-2</v>
      </c>
      <c r="AH462">
        <v>0.87197130523069299</v>
      </c>
      <c r="AI462">
        <v>96.380287772792798</v>
      </c>
      <c r="AJ462">
        <v>83.942294106213794</v>
      </c>
      <c r="AK462">
        <v>0.88233261636634097</v>
      </c>
      <c r="AL462">
        <v>82.882024172491597</v>
      </c>
      <c r="AM462">
        <v>87.022270188576002</v>
      </c>
      <c r="AN462">
        <v>0.99999998167764104</v>
      </c>
    </row>
    <row r="463" spans="1:40" x14ac:dyDescent="0.25">
      <c r="A463" t="str">
        <f>"20190312164445833"</f>
        <v>20190312164445833</v>
      </c>
      <c r="B463" t="str">
        <f>"1552380285822469"</f>
        <v>1552380285822469</v>
      </c>
      <c r="C463" t="s">
        <v>40</v>
      </c>
      <c r="D463">
        <v>5.1920840000000004</v>
      </c>
      <c r="E463">
        <v>0.51386120000000002</v>
      </c>
      <c r="F463" t="s">
        <v>41</v>
      </c>
      <c r="G463">
        <v>-343.75940000000003</v>
      </c>
      <c r="H463">
        <v>1.0331570000000001</v>
      </c>
      <c r="I463">
        <v>367.1216</v>
      </c>
      <c r="J463">
        <v>-344.37909999999999</v>
      </c>
      <c r="K463">
        <v>1.1080429999999999</v>
      </c>
      <c r="L463">
        <v>367.19889999999998</v>
      </c>
      <c r="M463">
        <v>0.99984720000000005</v>
      </c>
      <c r="N463">
        <v>0</v>
      </c>
      <c r="O463">
        <v>-9.328678E-3</v>
      </c>
      <c r="P463">
        <v>0.99210659999999895</v>
      </c>
      <c r="Q463">
        <v>0.10989599999999999</v>
      </c>
      <c r="R463">
        <v>-6.039315E-2</v>
      </c>
      <c r="S463">
        <v>3.0352169999999998</v>
      </c>
      <c r="T463">
        <v>-0.25455319999999998</v>
      </c>
      <c r="U463">
        <v>-0.27059939999999999</v>
      </c>
      <c r="V463">
        <v>5.1135149999999997E-2</v>
      </c>
      <c r="W463">
        <v>0.1245624</v>
      </c>
      <c r="X463">
        <v>0.99089320000000003</v>
      </c>
      <c r="Y463">
        <v>7.9260769999999994E-2</v>
      </c>
      <c r="Z463">
        <v>-2.5318559999999999E-3</v>
      </c>
      <c r="AA463">
        <v>0.99685069999999998</v>
      </c>
      <c r="AB463">
        <v>57</v>
      </c>
      <c r="AC463">
        <v>0.61969999999996594</v>
      </c>
      <c r="AD463">
        <v>-7.4886000000000202E-2</v>
      </c>
      <c r="AE463">
        <v>-7.7299999999979704E-2</v>
      </c>
      <c r="AF463">
        <v>7.0501274462428098E-2</v>
      </c>
      <c r="AG463">
        <v>-7.4886000000000202E-2</v>
      </c>
      <c r="AH463">
        <v>0.61159993393035506</v>
      </c>
      <c r="AI463">
        <v>96.935233890539493</v>
      </c>
      <c r="AJ463">
        <v>83.424337343858795</v>
      </c>
      <c r="AK463">
        <v>0.62018773115923698</v>
      </c>
      <c r="AL463">
        <v>82.844514100272093</v>
      </c>
      <c r="AM463">
        <v>87.045865657779103</v>
      </c>
      <c r="AN463">
        <v>0.99999996443275996</v>
      </c>
    </row>
    <row r="464" spans="1:40" x14ac:dyDescent="0.25">
      <c r="A464" t="str">
        <f>"20190312164445843"</f>
        <v>20190312164445843</v>
      </c>
      <c r="B464" t="str">
        <f>"1552380285832230"</f>
        <v>1552380285832230</v>
      </c>
      <c r="C464" t="s">
        <v>40</v>
      </c>
      <c r="D464">
        <v>5.1696839999999904</v>
      </c>
      <c r="E464">
        <v>0.51521679999999903</v>
      </c>
      <c r="F464" t="s">
        <v>41</v>
      </c>
      <c r="G464">
        <v>-343.26220000000001</v>
      </c>
      <c r="H464">
        <v>1.015126</v>
      </c>
      <c r="I464">
        <v>367.09949999999998</v>
      </c>
      <c r="J464">
        <v>-344.09739999999999</v>
      </c>
      <c r="K464">
        <v>1.108058</v>
      </c>
      <c r="L464">
        <v>367.19619999999998</v>
      </c>
      <c r="M464">
        <v>0.99984649999999997</v>
      </c>
      <c r="N464">
        <v>0</v>
      </c>
      <c r="O464">
        <v>-9.3234479999999998E-3</v>
      </c>
      <c r="P464">
        <v>0.9920369</v>
      </c>
      <c r="Q464">
        <v>0.1105488</v>
      </c>
      <c r="R464">
        <v>-6.0348619999999999E-2</v>
      </c>
      <c r="S464">
        <v>3.0354000000000001</v>
      </c>
      <c r="T464">
        <v>-0.25265130000000002</v>
      </c>
      <c r="U464">
        <v>-0.26956180000000002</v>
      </c>
      <c r="V464">
        <v>5.10964E-2</v>
      </c>
      <c r="W464">
        <v>0.1252655</v>
      </c>
      <c r="X464">
        <v>0.99080659999999998</v>
      </c>
      <c r="Y464">
        <v>7.8927349999999993E-2</v>
      </c>
      <c r="Z464">
        <v>-2.4994990000000001E-3</v>
      </c>
      <c r="AA464">
        <v>0.99687729999999997</v>
      </c>
      <c r="AB464">
        <v>57</v>
      </c>
      <c r="AC464">
        <v>0.83519999999998595</v>
      </c>
      <c r="AD464">
        <v>-9.2932000000000001E-2</v>
      </c>
      <c r="AE464">
        <v>-9.6699999999998398E-2</v>
      </c>
      <c r="AF464">
        <v>8.7834911572508501E-2</v>
      </c>
      <c r="AG464">
        <v>-9.2932000000000001E-2</v>
      </c>
      <c r="AH464">
        <v>0.82597439369349002</v>
      </c>
      <c r="AI464">
        <v>96.3837695599033</v>
      </c>
      <c r="AJ464">
        <v>83.929924046739202</v>
      </c>
      <c r="AK464">
        <v>0.83581399088091302</v>
      </c>
      <c r="AL464">
        <v>82.803911697740105</v>
      </c>
      <c r="AM464">
        <v>87.0478427773768</v>
      </c>
      <c r="AN464">
        <v>1.00000000309338</v>
      </c>
    </row>
    <row r="465" spans="1:40" x14ac:dyDescent="0.25">
      <c r="A465" t="str">
        <f>"20190312164445856"</f>
        <v>20190312164445856</v>
      </c>
      <c r="B465" t="str">
        <f>"1552380285852726"</f>
        <v>1552380285852726</v>
      </c>
      <c r="C465" t="s">
        <v>40</v>
      </c>
      <c r="D465">
        <v>5.0592689999999996</v>
      </c>
      <c r="E465">
        <v>0.51306909999999994</v>
      </c>
      <c r="F465" t="s">
        <v>42</v>
      </c>
      <c r="G465">
        <v>-326.14999999999998</v>
      </c>
      <c r="H465" s="1">
        <v>-2.3860289999999999E-6</v>
      </c>
      <c r="I465">
        <v>365.5206</v>
      </c>
      <c r="J465">
        <v>-343.78910000000002</v>
      </c>
      <c r="K465">
        <v>1.1080700000000001</v>
      </c>
      <c r="L465">
        <v>367.1934</v>
      </c>
      <c r="M465">
        <v>0.99984569999999995</v>
      </c>
      <c r="N465">
        <v>0</v>
      </c>
      <c r="O465">
        <v>-9.3178629999999991E-3</v>
      </c>
      <c r="P465">
        <v>0.99198350000000002</v>
      </c>
      <c r="Q465">
        <v>0.111095</v>
      </c>
      <c r="R465">
        <v>-6.0224020000000003E-2</v>
      </c>
      <c r="S465">
        <v>3.027679</v>
      </c>
      <c r="T465">
        <v>-0.18692610000000001</v>
      </c>
      <c r="U465">
        <v>-0.28265380000000001</v>
      </c>
      <c r="V465">
        <v>5.0977479999999999E-2</v>
      </c>
      <c r="W465">
        <v>0.125862</v>
      </c>
      <c r="X465">
        <v>0.99073710000000004</v>
      </c>
      <c r="Y465">
        <v>8.3529790000000007E-2</v>
      </c>
      <c r="Z465">
        <v>-1.9970190000000001E-3</v>
      </c>
      <c r="AA465">
        <v>0.99650329999999998</v>
      </c>
      <c r="AB465">
        <v>57</v>
      </c>
      <c r="AC465">
        <v>17.639099999999999</v>
      </c>
      <c r="AD465">
        <v>-1.108072386029</v>
      </c>
      <c r="AE465">
        <v>-1.6727999999999901</v>
      </c>
      <c r="AF465">
        <v>1.5024741465707101</v>
      </c>
      <c r="AG465">
        <v>-1.108072386029</v>
      </c>
      <c r="AH465">
        <v>17.585146084286698</v>
      </c>
      <c r="AI465">
        <v>93.5924912602094</v>
      </c>
      <c r="AJ465">
        <v>85.1165110826541</v>
      </c>
      <c r="AK465">
        <v>17.6839649337895</v>
      </c>
      <c r="AL465">
        <v>82.769461903327397</v>
      </c>
      <c r="AM465">
        <v>87.054495166479299</v>
      </c>
      <c r="AN465">
        <v>0.99999997391377904</v>
      </c>
    </row>
    <row r="466" spans="1:40" x14ac:dyDescent="0.25">
      <c r="A466" t="str">
        <f>"20190312164445871"</f>
        <v>20190312164445871</v>
      </c>
      <c r="B466" t="str">
        <f>"1552380285862485"</f>
        <v>1552380285862485</v>
      </c>
      <c r="C466" t="s">
        <v>40</v>
      </c>
      <c r="D466">
        <v>5.0511019999999904</v>
      </c>
      <c r="E466">
        <v>0.51318379999999997</v>
      </c>
      <c r="F466" t="s">
        <v>41</v>
      </c>
      <c r="G466">
        <v>-342.7525</v>
      </c>
      <c r="H466">
        <v>1.0230440000000001</v>
      </c>
      <c r="I466">
        <v>367.10329999999999</v>
      </c>
      <c r="J466">
        <v>-343.45139999999998</v>
      </c>
      <c r="K466">
        <v>1.1080829999999999</v>
      </c>
      <c r="L466">
        <v>367.1902</v>
      </c>
      <c r="M466">
        <v>0.99984490000000004</v>
      </c>
      <c r="N466">
        <v>0</v>
      </c>
      <c r="O466">
        <v>-9.3116919999999999E-3</v>
      </c>
      <c r="P466">
        <v>0.99193299999999995</v>
      </c>
      <c r="Q466">
        <v>0.11161550000000001</v>
      </c>
      <c r="R466">
        <v>-6.0090360000000002E-2</v>
      </c>
      <c r="S466">
        <v>3.0361630000000002</v>
      </c>
      <c r="T466">
        <v>-0.2492907</v>
      </c>
      <c r="U466">
        <v>-0.26272579999999901</v>
      </c>
      <c r="V466">
        <v>5.0850230000000003E-2</v>
      </c>
      <c r="W466">
        <v>0.12643480000000001</v>
      </c>
      <c r="X466">
        <v>0.99067070000000002</v>
      </c>
      <c r="Y466">
        <v>7.6703170000000001E-2</v>
      </c>
      <c r="Z466">
        <v>-2.3759599999999999E-3</v>
      </c>
      <c r="AA466">
        <v>0.99705109999999997</v>
      </c>
      <c r="AB466">
        <v>57</v>
      </c>
      <c r="AC466">
        <v>0.69889999999997998</v>
      </c>
      <c r="AD466">
        <v>-8.5038999999999795E-2</v>
      </c>
      <c r="AE466">
        <v>-8.6900000000014105E-2</v>
      </c>
      <c r="AF466">
        <v>7.92323921348001E-2</v>
      </c>
      <c r="AG466">
        <v>-8.5038999999999795E-2</v>
      </c>
      <c r="AH466">
        <v>0.689624570105839</v>
      </c>
      <c r="AI466">
        <v>96.984282965827404</v>
      </c>
      <c r="AJ466">
        <v>83.445907076886797</v>
      </c>
      <c r="AK466">
        <v>0.69935073545258097</v>
      </c>
      <c r="AL466">
        <v>82.736378562312197</v>
      </c>
      <c r="AM466">
        <v>87.061638250819797</v>
      </c>
      <c r="AN466">
        <v>0.99999997019029097</v>
      </c>
    </row>
    <row r="467" spans="1:40" x14ac:dyDescent="0.25">
      <c r="A467" t="str">
        <f>"20190312164445883"</f>
        <v>20190312164445883</v>
      </c>
      <c r="B467" t="str">
        <f>"1552380285872245"</f>
        <v>1552380285872245</v>
      </c>
      <c r="C467" t="s">
        <v>40</v>
      </c>
      <c r="D467">
        <v>5.2331849999999998</v>
      </c>
      <c r="E467">
        <v>0.51318379999999997</v>
      </c>
      <c r="F467" t="s">
        <v>41</v>
      </c>
      <c r="G467">
        <v>-342.25409999999999</v>
      </c>
      <c r="H467">
        <v>1.0091570000000001</v>
      </c>
      <c r="I467">
        <v>367.0865</v>
      </c>
      <c r="J467">
        <v>-343.0813</v>
      </c>
      <c r="K467">
        <v>1.108096</v>
      </c>
      <c r="L467">
        <v>367.18680000000001</v>
      </c>
      <c r="M467">
        <v>0.99984430000000002</v>
      </c>
      <c r="N467">
        <v>0</v>
      </c>
      <c r="O467">
        <v>-9.3049159999999999E-3</v>
      </c>
      <c r="P467">
        <v>0.9918593</v>
      </c>
      <c r="Q467">
        <v>0.11220189999999999</v>
      </c>
      <c r="R467">
        <v>-6.0218510000000003E-2</v>
      </c>
      <c r="S467">
        <v>3.036743</v>
      </c>
      <c r="T467">
        <v>-0.25096639999999998</v>
      </c>
      <c r="U467">
        <v>-0.26303100000000001</v>
      </c>
      <c r="V467">
        <v>5.0985610000000001E-2</v>
      </c>
      <c r="W467">
        <v>0.12707099999999999</v>
      </c>
      <c r="X467">
        <v>0.99058230000000003</v>
      </c>
      <c r="Y467">
        <v>7.6789769999999993E-2</v>
      </c>
      <c r="Z467">
        <v>-2.3955370000000001E-3</v>
      </c>
      <c r="AA467">
        <v>0.99704440000000005</v>
      </c>
      <c r="AB467">
        <v>57</v>
      </c>
      <c r="AC467">
        <v>0.82720000000000404</v>
      </c>
      <c r="AD467">
        <v>-9.8938999999999805E-2</v>
      </c>
      <c r="AE467">
        <v>-0.100300000000004</v>
      </c>
      <c r="AF467">
        <v>9.1310417770227706E-2</v>
      </c>
      <c r="AG467">
        <v>-9.8938999999999805E-2</v>
      </c>
      <c r="AH467">
        <v>0.81658488104345595</v>
      </c>
      <c r="AI467">
        <v>96.866013378786903</v>
      </c>
      <c r="AJ467">
        <v>83.619697543057399</v>
      </c>
      <c r="AK467">
        <v>0.82760944053528596</v>
      </c>
      <c r="AL467">
        <v>82.699630310025</v>
      </c>
      <c r="AM467">
        <v>87.053566677117203</v>
      </c>
      <c r="AN467">
        <v>0.99999993227067796</v>
      </c>
    </row>
    <row r="468" spans="1:40" x14ac:dyDescent="0.25">
      <c r="A468" t="str">
        <f>"20190312164445900"</f>
        <v>20190312164445900</v>
      </c>
      <c r="B468" t="str">
        <f>"1552380285891765"</f>
        <v>1552380285891765</v>
      </c>
      <c r="C468" t="s">
        <v>40</v>
      </c>
      <c r="D468">
        <v>5.1137309999999996</v>
      </c>
      <c r="E468">
        <v>0.51479339999999996</v>
      </c>
      <c r="F468" t="s">
        <v>41</v>
      </c>
      <c r="G468">
        <v>-342.23910000000001</v>
      </c>
      <c r="H468">
        <v>1.0390330000000001</v>
      </c>
      <c r="I468">
        <v>367.11360000000002</v>
      </c>
      <c r="J468">
        <v>-342.67380000000003</v>
      </c>
      <c r="K468">
        <v>1.108115</v>
      </c>
      <c r="L468">
        <v>367.18299999999999</v>
      </c>
      <c r="M468">
        <v>0.9998435</v>
      </c>
      <c r="N468">
        <v>0</v>
      </c>
      <c r="O468">
        <v>-9.2967060000000001E-3</v>
      </c>
      <c r="P468">
        <v>0.99170349999999996</v>
      </c>
      <c r="Q468">
        <v>0.1135625</v>
      </c>
      <c r="R468">
        <v>-6.0232639999999997E-2</v>
      </c>
      <c r="S468">
        <v>3.0368040000000001</v>
      </c>
      <c r="T468">
        <v>-0.2491486</v>
      </c>
      <c r="U468">
        <v>-0.26376339999999998</v>
      </c>
      <c r="V468">
        <v>5.100917E-2</v>
      </c>
      <c r="W468">
        <v>0.12847990000000001</v>
      </c>
      <c r="X468">
        <v>0.99039940000000004</v>
      </c>
      <c r="Y468">
        <v>7.7037359999999999E-2</v>
      </c>
      <c r="Z468">
        <v>-2.388963E-3</v>
      </c>
      <c r="AA468">
        <v>0.99702539999999995</v>
      </c>
      <c r="AB468">
        <v>57</v>
      </c>
      <c r="AC468">
        <v>0.43470000000002001</v>
      </c>
      <c r="AD468">
        <v>-6.9081999999999796E-2</v>
      </c>
      <c r="AE468">
        <v>-6.9400000000030104E-2</v>
      </c>
      <c r="AF468">
        <v>6.3784415292687496E-2</v>
      </c>
      <c r="AG468">
        <v>-6.9081999999999796E-2</v>
      </c>
      <c r="AH468">
        <v>0.42486316849828099</v>
      </c>
      <c r="AI468">
        <v>99.134754434096394</v>
      </c>
      <c r="AJ468">
        <v>81.461988515876399</v>
      </c>
      <c r="AK468">
        <v>0.43514306418076898</v>
      </c>
      <c r="AL468">
        <v>82.618239591745095</v>
      </c>
      <c r="AM468">
        <v>87.051664139882703</v>
      </c>
      <c r="AN468">
        <v>0.99999999582422905</v>
      </c>
    </row>
    <row r="469" spans="1:40" x14ac:dyDescent="0.25">
      <c r="A469" t="str">
        <f>"20190312164445921"</f>
        <v>20190312164445921</v>
      </c>
      <c r="B469" t="str">
        <f>"1552380285912264"</f>
        <v>1552380285912264</v>
      </c>
      <c r="C469" t="s">
        <v>40</v>
      </c>
      <c r="D469">
        <v>5.1663100000000002</v>
      </c>
      <c r="E469">
        <v>0.51926660000000002</v>
      </c>
      <c r="F469" t="s">
        <v>41</v>
      </c>
      <c r="G469">
        <v>-341.738</v>
      </c>
      <c r="H469">
        <v>1.0312170000000001</v>
      </c>
      <c r="I469">
        <v>367.09739999999999</v>
      </c>
      <c r="J469">
        <v>-342.15300000000002</v>
      </c>
      <c r="K469">
        <v>1.1081379999999901</v>
      </c>
      <c r="L469">
        <v>367.1782</v>
      </c>
      <c r="M469">
        <v>0.99984280000000003</v>
      </c>
      <c r="N469">
        <v>0</v>
      </c>
      <c r="O469">
        <v>-9.2851989999999992E-3</v>
      </c>
      <c r="P469">
        <v>0.99156659999999996</v>
      </c>
      <c r="Q469">
        <v>0.1146363</v>
      </c>
      <c r="R469">
        <v>-6.0452029999999997E-2</v>
      </c>
      <c r="S469">
        <v>3.036896</v>
      </c>
      <c r="T469">
        <v>-0.24983379999999999</v>
      </c>
      <c r="U469">
        <v>-0.27642820000000001</v>
      </c>
      <c r="V469">
        <v>5.1240920000000002E-2</v>
      </c>
      <c r="W469">
        <v>0.12960949999999999</v>
      </c>
      <c r="X469">
        <v>0.99024020000000001</v>
      </c>
      <c r="Y469">
        <v>8.1155870000000005E-2</v>
      </c>
      <c r="Z469">
        <v>-2.5647199999999999E-3</v>
      </c>
      <c r="AA469">
        <v>0.99669810000000003</v>
      </c>
      <c r="AB469">
        <v>57</v>
      </c>
      <c r="AC469">
        <v>0.41499999999996301</v>
      </c>
      <c r="AD469">
        <v>-7.6920999999999795E-2</v>
      </c>
      <c r="AE469">
        <v>-8.0800000000010599E-2</v>
      </c>
      <c r="AF469">
        <v>7.44774748958167E-2</v>
      </c>
      <c r="AG469">
        <v>-7.6920999999999795E-2</v>
      </c>
      <c r="AH469">
        <v>0.40241237276088798</v>
      </c>
      <c r="AI469">
        <v>100.644985304624</v>
      </c>
      <c r="AJ469">
        <v>79.5144885777366</v>
      </c>
      <c r="AK469">
        <v>0.41641259858330998</v>
      </c>
      <c r="AL469">
        <v>82.552972250144194</v>
      </c>
      <c r="AM469">
        <v>87.037817455272503</v>
      </c>
      <c r="AN469">
        <v>0.99999995403436703</v>
      </c>
    </row>
    <row r="470" spans="1:40" x14ac:dyDescent="0.25">
      <c r="A470" t="str">
        <f>"20190312164445933"</f>
        <v>20190312164445933</v>
      </c>
      <c r="B470" t="str">
        <f>"1552380285922021"</f>
        <v>1552380285922021</v>
      </c>
      <c r="C470" t="s">
        <v>40</v>
      </c>
      <c r="D470">
        <v>4.9993829999999999</v>
      </c>
      <c r="E470">
        <v>0.52088129999999999</v>
      </c>
      <c r="F470" t="s">
        <v>41</v>
      </c>
      <c r="G470">
        <v>-341.23140000000001</v>
      </c>
      <c r="H470">
        <v>1.0352790000000001</v>
      </c>
      <c r="I470">
        <v>367.08269999999999</v>
      </c>
      <c r="J470">
        <v>-341.8449</v>
      </c>
      <c r="K470">
        <v>1.1081510000000001</v>
      </c>
      <c r="L470">
        <v>367.17529999999999</v>
      </c>
      <c r="M470">
        <v>0.99984249999999997</v>
      </c>
      <c r="N470">
        <v>0</v>
      </c>
      <c r="O470">
        <v>-9.2777889999999998E-3</v>
      </c>
      <c r="P470">
        <v>0.99150099999999997</v>
      </c>
      <c r="Q470">
        <v>0.115116</v>
      </c>
      <c r="R470">
        <v>-6.0615849999999999E-2</v>
      </c>
      <c r="S470">
        <v>3.0342099999999999</v>
      </c>
      <c r="T470">
        <v>-0.24008389999999999</v>
      </c>
      <c r="U470">
        <v>-0.31326290000000001</v>
      </c>
      <c r="V470">
        <v>5.1412680000000002E-2</v>
      </c>
      <c r="W470">
        <v>0.130118699999999</v>
      </c>
      <c r="X470">
        <v>0.99016459999999995</v>
      </c>
      <c r="Y470">
        <v>9.3204090000000003E-2</v>
      </c>
      <c r="Z470">
        <v>-2.9409309999999999E-3</v>
      </c>
      <c r="AA470">
        <v>0.99564269999999999</v>
      </c>
      <c r="AB470">
        <v>56</v>
      </c>
      <c r="AC470">
        <v>0.61349999999998694</v>
      </c>
      <c r="AD470">
        <v>-7.2872000000000006E-2</v>
      </c>
      <c r="AE470">
        <v>-9.2600000000004401E-2</v>
      </c>
      <c r="AF470">
        <v>8.5720952182622503E-2</v>
      </c>
      <c r="AG470">
        <v>-7.2872000000000006E-2</v>
      </c>
      <c r="AH470">
        <v>0.60597364604815696</v>
      </c>
      <c r="AI470">
        <v>96.790272957622904</v>
      </c>
      <c r="AJ470">
        <v>81.948369721822999</v>
      </c>
      <c r="AK470">
        <v>0.61632983842419298</v>
      </c>
      <c r="AL470">
        <v>82.523548694749493</v>
      </c>
      <c r="AM470">
        <v>87.027679451353904</v>
      </c>
      <c r="AN470">
        <v>1.0000000374238101</v>
      </c>
    </row>
    <row r="471" spans="1:40" x14ac:dyDescent="0.25">
      <c r="A471" t="str">
        <f>"20190312164445943"</f>
        <v>20190312164445943</v>
      </c>
      <c r="B471" t="str">
        <f>"1552380285932757"</f>
        <v>1552380285932757</v>
      </c>
      <c r="C471" t="s">
        <v>40</v>
      </c>
      <c r="D471">
        <v>5.0304339999999996</v>
      </c>
      <c r="E471">
        <v>0.52227369999999995</v>
      </c>
      <c r="F471" t="s">
        <v>41</v>
      </c>
      <c r="G471">
        <v>-340.73239999999998</v>
      </c>
      <c r="H471">
        <v>1.024365</v>
      </c>
      <c r="I471">
        <v>367.05500000000001</v>
      </c>
      <c r="J471">
        <v>-341.56779999999998</v>
      </c>
      <c r="K471">
        <v>1.1081620000000001</v>
      </c>
      <c r="L471">
        <v>367.1728</v>
      </c>
      <c r="M471">
        <v>0.99984209999999996</v>
      </c>
      <c r="N471">
        <v>0</v>
      </c>
      <c r="O471">
        <v>-9.2703379999999995E-3</v>
      </c>
      <c r="P471">
        <v>0.99141539999999995</v>
      </c>
      <c r="Q471">
        <v>0.11573840000000001</v>
      </c>
      <c r="R471">
        <v>-6.082866E-2</v>
      </c>
      <c r="S471">
        <v>3.032257</v>
      </c>
      <c r="T471">
        <v>-0.2285808</v>
      </c>
      <c r="U471">
        <v>-0.32696530000000001</v>
      </c>
      <c r="V471">
        <v>5.1633270000000002E-2</v>
      </c>
      <c r="W471">
        <v>0.13076499999999999</v>
      </c>
      <c r="X471">
        <v>0.99006799999999995</v>
      </c>
      <c r="Y471">
        <v>9.773693E-2</v>
      </c>
      <c r="Z471">
        <v>-2.9722360000000001E-3</v>
      </c>
      <c r="AA471">
        <v>0.99520779999999998</v>
      </c>
      <c r="AB471">
        <v>56</v>
      </c>
      <c r="AC471">
        <v>0.83539999999999204</v>
      </c>
      <c r="AD471">
        <v>-8.3797000000000094E-2</v>
      </c>
      <c r="AE471">
        <v>-0.117799999999988</v>
      </c>
      <c r="AF471">
        <v>0.10897452281310099</v>
      </c>
      <c r="AG471">
        <v>-8.3797000000000094E-2</v>
      </c>
      <c r="AH471">
        <v>0.82828485586641898</v>
      </c>
      <c r="AI471">
        <v>95.727889128030696</v>
      </c>
      <c r="AJ471">
        <v>82.504844539813305</v>
      </c>
      <c r="AK471">
        <v>0.83961490356531798</v>
      </c>
      <c r="AL471">
        <v>82.4861995059794</v>
      </c>
      <c r="AM471">
        <v>87.014658778310903</v>
      </c>
      <c r="AN471">
        <v>1.0000000622099401</v>
      </c>
    </row>
    <row r="472" spans="1:40" x14ac:dyDescent="0.25">
      <c r="A472" t="str">
        <f>"20190312164445955"</f>
        <v>20190312164445955</v>
      </c>
      <c r="B472" t="str">
        <f>"1552380285952277"</f>
        <v>1552380285952277</v>
      </c>
      <c r="C472" t="s">
        <v>40</v>
      </c>
      <c r="D472">
        <v>5.161708</v>
      </c>
      <c r="E472">
        <v>0.52415500000000004</v>
      </c>
      <c r="F472" t="s">
        <v>41</v>
      </c>
      <c r="G472">
        <v>-340.71879999999999</v>
      </c>
      <c r="H472">
        <v>1.047026</v>
      </c>
      <c r="I472">
        <v>367.07740000000001</v>
      </c>
      <c r="J472">
        <v>-341.30070000000001</v>
      </c>
      <c r="K472">
        <v>1.108174</v>
      </c>
      <c r="L472">
        <v>367.1703</v>
      </c>
      <c r="M472">
        <v>0.99984189999999995</v>
      </c>
      <c r="N472">
        <v>0</v>
      </c>
      <c r="O472">
        <v>-9.2631050000000006E-3</v>
      </c>
      <c r="P472">
        <v>0.99131970000000003</v>
      </c>
      <c r="Q472">
        <v>0.1163835</v>
      </c>
      <c r="R472">
        <v>-6.1160609999999997E-2</v>
      </c>
      <c r="S472">
        <v>3.03064</v>
      </c>
      <c r="T472">
        <v>-0.2185435</v>
      </c>
      <c r="U472">
        <v>-0.33920289999999997</v>
      </c>
      <c r="V472">
        <v>5.197297E-2</v>
      </c>
      <c r="W472">
        <v>0.13143060000000001</v>
      </c>
      <c r="X472">
        <v>0.98996200000000001</v>
      </c>
      <c r="Y472">
        <v>0.10178130000000001</v>
      </c>
      <c r="Z472">
        <v>-2.9886499999999998E-3</v>
      </c>
      <c r="AA472">
        <v>0.99480230000000003</v>
      </c>
      <c r="AB472">
        <v>56</v>
      </c>
      <c r="AC472">
        <v>0.58190000000001796</v>
      </c>
      <c r="AD472">
        <v>-6.1147999999999897E-2</v>
      </c>
      <c r="AE472">
        <v>-9.2899999999985994E-2</v>
      </c>
      <c r="AF472">
        <v>8.6572969126887694E-2</v>
      </c>
      <c r="AG472">
        <v>-6.1147999999999897E-2</v>
      </c>
      <c r="AH472">
        <v>0.57652758983175001</v>
      </c>
      <c r="AI472">
        <v>95.987668043672699</v>
      </c>
      <c r="AJ472">
        <v>81.460114836404102</v>
      </c>
      <c r="AK472">
        <v>0.58618940516240303</v>
      </c>
      <c r="AL472">
        <v>82.447730787281998</v>
      </c>
      <c r="AM472">
        <v>86.994732660428198</v>
      </c>
      <c r="AN472">
        <v>0.99999997683549002</v>
      </c>
    </row>
    <row r="473" spans="1:40" x14ac:dyDescent="0.25">
      <c r="A473" t="str">
        <f>"20190312164445965"</f>
        <v>20190312164445965</v>
      </c>
      <c r="B473" t="str">
        <f>"1552380285962037"</f>
        <v>1552380285962037</v>
      </c>
      <c r="C473" t="s">
        <v>40</v>
      </c>
      <c r="D473">
        <v>5.1992979999999998</v>
      </c>
      <c r="E473">
        <v>0.52434259999999999</v>
      </c>
      <c r="F473" t="s">
        <v>41</v>
      </c>
      <c r="G473">
        <v>-340.22280000000001</v>
      </c>
      <c r="H473">
        <v>1.0358130000000001</v>
      </c>
      <c r="I473">
        <v>367.04360000000003</v>
      </c>
      <c r="J473">
        <v>-341.01920000000001</v>
      </c>
      <c r="K473">
        <v>1.1081810000000001</v>
      </c>
      <c r="L473">
        <v>367.16770000000002</v>
      </c>
      <c r="M473">
        <v>0.99984170000000006</v>
      </c>
      <c r="N473">
        <v>0</v>
      </c>
      <c r="O473">
        <v>-9.2552710000000007E-3</v>
      </c>
      <c r="P473">
        <v>0.99121760000000003</v>
      </c>
      <c r="Q473">
        <v>0.11716889999999899</v>
      </c>
      <c r="R473">
        <v>-6.1313880000000001E-2</v>
      </c>
      <c r="S473">
        <v>3.0281980000000002</v>
      </c>
      <c r="T473">
        <v>-0.2033652</v>
      </c>
      <c r="U473">
        <v>-0.3557129</v>
      </c>
      <c r="V473">
        <v>5.213487E-2</v>
      </c>
      <c r="W473">
        <v>0.13223699999999999</v>
      </c>
      <c r="X473">
        <v>0.98984609999999995</v>
      </c>
      <c r="Y473">
        <v>0.10724889999999999</v>
      </c>
      <c r="Z473">
        <v>-2.9662130000000001E-3</v>
      </c>
      <c r="AA473">
        <v>0.99422779999999999</v>
      </c>
      <c r="AB473">
        <v>56</v>
      </c>
      <c r="AC473">
        <v>0.79640000000000499</v>
      </c>
      <c r="AD473">
        <v>-7.2367999999999905E-2</v>
      </c>
      <c r="AE473">
        <v>-0.124099999999998</v>
      </c>
      <c r="AF473">
        <v>0.115789507402067</v>
      </c>
      <c r="AG473">
        <v>-7.2367999999999905E-2</v>
      </c>
      <c r="AH473">
        <v>0.79113691184878199</v>
      </c>
      <c r="AI473">
        <v>95.171702098655103</v>
      </c>
      <c r="AJ473">
        <v>81.673401409649401</v>
      </c>
      <c r="AK473">
        <v>0.80283370054952297</v>
      </c>
      <c r="AL473">
        <v>82.401120711629602</v>
      </c>
      <c r="AM473">
        <v>86.985035924601803</v>
      </c>
      <c r="AN473">
        <v>0.99999998526206302</v>
      </c>
    </row>
    <row r="474" spans="1:40" x14ac:dyDescent="0.25">
      <c r="A474" t="str">
        <f>"20190312164445977"</f>
        <v>20190312164445977</v>
      </c>
      <c r="B474" t="str">
        <f>"1552380285971798"</f>
        <v>1552380285971798</v>
      </c>
      <c r="C474" t="s">
        <v>40</v>
      </c>
      <c r="D474">
        <v>5.3275480000000002</v>
      </c>
      <c r="E474">
        <v>0.52427120000000005</v>
      </c>
      <c r="F474" t="s">
        <v>42</v>
      </c>
      <c r="G474">
        <v>-324.56979999999999</v>
      </c>
      <c r="H474" s="1">
        <v>-3.0909849999999999E-6</v>
      </c>
      <c r="I474">
        <v>365.22410000000002</v>
      </c>
      <c r="J474">
        <v>-340.74869999999999</v>
      </c>
      <c r="K474">
        <v>1.108193</v>
      </c>
      <c r="L474">
        <v>367.16520000000003</v>
      </c>
      <c r="M474">
        <v>0.99984139999999999</v>
      </c>
      <c r="N474">
        <v>0</v>
      </c>
      <c r="O474">
        <v>-9.2474159999999996E-3</v>
      </c>
      <c r="P474">
        <v>0.99111910000000003</v>
      </c>
      <c r="Q474">
        <v>0.11782579999999999</v>
      </c>
      <c r="R474">
        <v>-6.1643290000000003E-2</v>
      </c>
      <c r="S474">
        <v>3.0285639999999998</v>
      </c>
      <c r="T474">
        <v>-0.2040312</v>
      </c>
      <c r="U474">
        <v>-0.35781859999999999</v>
      </c>
      <c r="V474">
        <v>5.2472739999999997E-2</v>
      </c>
      <c r="W474">
        <v>0.1329118</v>
      </c>
      <c r="X474">
        <v>0.98973789999999995</v>
      </c>
      <c r="Y474">
        <v>0.107921699999999</v>
      </c>
      <c r="Z474">
        <v>-2.998513E-3</v>
      </c>
      <c r="AA474">
        <v>0.99415489999999995</v>
      </c>
      <c r="AB474">
        <v>56</v>
      </c>
      <c r="AC474">
        <v>16.178899999999999</v>
      </c>
      <c r="AD474">
        <v>-1.1081960909849999</v>
      </c>
      <c r="AE474">
        <v>-1.9411</v>
      </c>
      <c r="AF474">
        <v>1.78313929669046</v>
      </c>
      <c r="AG474">
        <v>-1.1081960909849999</v>
      </c>
      <c r="AH474">
        <v>16.1215950685013</v>
      </c>
      <c r="AI474">
        <v>93.908557035189503</v>
      </c>
      <c r="AJ474">
        <v>83.688418166307599</v>
      </c>
      <c r="AK474">
        <v>16.257721607906898</v>
      </c>
      <c r="AL474">
        <v>82.362113490044194</v>
      </c>
      <c r="AM474">
        <v>86.965202158746806</v>
      </c>
      <c r="AN474">
        <v>1.00000002285937</v>
      </c>
    </row>
    <row r="475" spans="1:40" x14ac:dyDescent="0.25">
      <c r="A475" t="str">
        <f>"20190312164445991"</f>
        <v>20190312164445991</v>
      </c>
      <c r="B475" t="str">
        <f>"1552380285982534"</f>
        <v>1552380285982534</v>
      </c>
      <c r="C475" t="s">
        <v>40</v>
      </c>
      <c r="D475">
        <v>5.1922319999999997</v>
      </c>
      <c r="E475">
        <v>0.52456930000000002</v>
      </c>
      <c r="F475" t="s">
        <v>41</v>
      </c>
      <c r="G475">
        <v>-339.7158</v>
      </c>
      <c r="H475">
        <v>1.0402009999999999</v>
      </c>
      <c r="I475">
        <v>367.0428</v>
      </c>
      <c r="J475">
        <v>-340.392</v>
      </c>
      <c r="K475">
        <v>1.1082019999999999</v>
      </c>
      <c r="L475">
        <v>367.16180000000003</v>
      </c>
      <c r="M475">
        <v>0.99984110000000004</v>
      </c>
      <c r="N475">
        <v>0</v>
      </c>
      <c r="O475">
        <v>-9.2370869999999997E-3</v>
      </c>
      <c r="P475">
        <v>0.99099510000000002</v>
      </c>
      <c r="Q475">
        <v>0.118709</v>
      </c>
      <c r="R475">
        <v>-6.1942700000000003E-2</v>
      </c>
      <c r="S475">
        <v>3.0283199999999999</v>
      </c>
      <c r="T475">
        <v>-0.19960240000000001</v>
      </c>
      <c r="U475">
        <v>-0.35797119999999999</v>
      </c>
      <c r="V475">
        <v>5.2783049999999998E-2</v>
      </c>
      <c r="W475">
        <v>0.13381689999999999</v>
      </c>
      <c r="X475">
        <v>0.98959940000000002</v>
      </c>
      <c r="Y475">
        <v>0.108</v>
      </c>
      <c r="Z475">
        <v>-2.937037E-3</v>
      </c>
      <c r="AA475">
        <v>0.99414659999999999</v>
      </c>
      <c r="AB475">
        <v>56</v>
      </c>
      <c r="AC475">
        <v>0.67619999999999403</v>
      </c>
      <c r="AD475">
        <v>-6.80010000000002E-2</v>
      </c>
      <c r="AE475">
        <v>-0.119000000000028</v>
      </c>
      <c r="AF475">
        <v>0.111652851031769</v>
      </c>
      <c r="AG475">
        <v>-6.80010000000002E-2</v>
      </c>
      <c r="AH475">
        <v>0.67069152975011503</v>
      </c>
      <c r="AI475">
        <v>95.711330047237098</v>
      </c>
      <c r="AJ475">
        <v>80.548406352161606</v>
      </c>
      <c r="AK475">
        <v>0.68331370776757605</v>
      </c>
      <c r="AL475">
        <v>82.309787423983096</v>
      </c>
      <c r="AM475">
        <v>86.946862571594195</v>
      </c>
      <c r="AN475">
        <v>0.99999999278663598</v>
      </c>
    </row>
    <row r="476" spans="1:40" x14ac:dyDescent="0.25">
      <c r="A476" t="str">
        <f>"20190312164446010"</f>
        <v>20190312164446010</v>
      </c>
      <c r="B476" t="str">
        <f>"1552380286002053"</f>
        <v>1552380286002053</v>
      </c>
      <c r="C476" t="s">
        <v>40</v>
      </c>
      <c r="D476">
        <v>5.4390739999999997</v>
      </c>
      <c r="E476">
        <v>0.52493659999999998</v>
      </c>
      <c r="F476" t="s">
        <v>41</v>
      </c>
      <c r="G476">
        <v>-339.2183</v>
      </c>
      <c r="H476">
        <v>1.031147</v>
      </c>
      <c r="I476">
        <v>367.02179999999998</v>
      </c>
      <c r="J476">
        <v>-339.88560000000001</v>
      </c>
      <c r="K476">
        <v>1.1082190000000001</v>
      </c>
      <c r="L476">
        <v>367.15710000000001</v>
      </c>
      <c r="M476">
        <v>0.99984090000000003</v>
      </c>
      <c r="N476">
        <v>0</v>
      </c>
      <c r="O476">
        <v>-9.2215579999999995E-3</v>
      </c>
      <c r="P476">
        <v>0.99074390000000001</v>
      </c>
      <c r="Q476">
        <v>0.1204144</v>
      </c>
      <c r="R476">
        <v>-6.2667459999999994E-2</v>
      </c>
      <c r="S476">
        <v>3.0285030000000002</v>
      </c>
      <c r="T476">
        <v>-0.19893040000000001</v>
      </c>
      <c r="U476">
        <v>-0.36093140000000001</v>
      </c>
      <c r="V476">
        <v>5.3525129999999997E-2</v>
      </c>
      <c r="W476">
        <v>0.1355481</v>
      </c>
      <c r="X476">
        <v>0.98932390000000003</v>
      </c>
      <c r="Y476">
        <v>0.1089659</v>
      </c>
      <c r="Z476">
        <v>-2.9594230000000001E-3</v>
      </c>
      <c r="AA476">
        <v>0.99404110000000001</v>
      </c>
      <c r="AB476">
        <v>56</v>
      </c>
      <c r="AC476">
        <v>0.667300000000011</v>
      </c>
      <c r="AD476">
        <v>-7.7072000000000002E-2</v>
      </c>
      <c r="AE476">
        <v>-0.13530000000002901</v>
      </c>
      <c r="AF476">
        <v>0.12750623278711101</v>
      </c>
      <c r="AG476">
        <v>-7.7072000000000002E-2</v>
      </c>
      <c r="AH476">
        <v>0.66006200306254403</v>
      </c>
      <c r="AI476">
        <v>96.540140034932193</v>
      </c>
      <c r="AJ476">
        <v>79.066663967299405</v>
      </c>
      <c r="AK476">
        <v>0.67666814648725704</v>
      </c>
      <c r="AL476">
        <v>82.209684983192204</v>
      </c>
      <c r="AM476">
        <v>86.903160791707904</v>
      </c>
      <c r="AN476">
        <v>1.0000000030331599</v>
      </c>
    </row>
    <row r="477" spans="1:40" x14ac:dyDescent="0.25">
      <c r="A477" t="str">
        <f>"20190312164446022"</f>
        <v>20190312164446022</v>
      </c>
      <c r="B477" t="str">
        <f>"1552380286011814"</f>
        <v>1552380286011814</v>
      </c>
      <c r="C477" t="s">
        <v>40</v>
      </c>
      <c r="D477">
        <v>5.2908739999999996</v>
      </c>
      <c r="E477">
        <v>0.52542609999999901</v>
      </c>
      <c r="F477" t="s">
        <v>41</v>
      </c>
      <c r="G477">
        <v>-338.71449999999999</v>
      </c>
      <c r="H477">
        <v>1.0323639999999901</v>
      </c>
      <c r="I477">
        <v>367.01530000000002</v>
      </c>
      <c r="J477">
        <v>-339.59820000000002</v>
      </c>
      <c r="K477">
        <v>1.1082289999999999</v>
      </c>
      <c r="L477">
        <v>367.15449999999998</v>
      </c>
      <c r="M477">
        <v>0.99984059999999997</v>
      </c>
      <c r="N477">
        <v>0</v>
      </c>
      <c r="O477">
        <v>-9.2123629999999995E-3</v>
      </c>
      <c r="P477">
        <v>0.99059730000000001</v>
      </c>
      <c r="Q477">
        <v>0.12138889999999999</v>
      </c>
      <c r="R477">
        <v>-6.3100749999999997E-2</v>
      </c>
      <c r="S477">
        <v>3.028778</v>
      </c>
      <c r="T477">
        <v>-0.19646159999999999</v>
      </c>
      <c r="U477">
        <v>-0.36578369999999999</v>
      </c>
      <c r="V477">
        <v>5.3968780000000001E-2</v>
      </c>
      <c r="W477">
        <v>0.13653489999999999</v>
      </c>
      <c r="X477">
        <v>0.98916409999999999</v>
      </c>
      <c r="Y477">
        <v>0.1105363</v>
      </c>
      <c r="Z477">
        <v>-2.9735199999999999E-3</v>
      </c>
      <c r="AA477">
        <v>0.99386759999999996</v>
      </c>
      <c r="AB477">
        <v>56</v>
      </c>
      <c r="AC477">
        <v>0.88370000000003202</v>
      </c>
      <c r="AD477">
        <v>-7.5865000000000293E-2</v>
      </c>
      <c r="AE477">
        <v>-0.139199999999959</v>
      </c>
      <c r="AF477">
        <v>0.13011642182997599</v>
      </c>
      <c r="AG477">
        <v>-7.5865000000000293E-2</v>
      </c>
      <c r="AH477">
        <v>0.87862622593990503</v>
      </c>
      <c r="AI477">
        <v>94.881984201615197</v>
      </c>
      <c r="AJ477">
        <v>81.576248724804003</v>
      </c>
      <c r="AK477">
        <v>0.891442553597391</v>
      </c>
      <c r="AL477">
        <v>82.152615007583407</v>
      </c>
      <c r="AM477">
        <v>86.877039385410896</v>
      </c>
      <c r="AN477">
        <v>1.00000001243075</v>
      </c>
    </row>
    <row r="478" spans="1:40" x14ac:dyDescent="0.25">
      <c r="A478" t="str">
        <f>"20190312164446033"</f>
        <v>20190312164446033</v>
      </c>
      <c r="B478" t="str">
        <f>"1552380286022550"</f>
        <v>1552380286022550</v>
      </c>
      <c r="C478" t="s">
        <v>40</v>
      </c>
      <c r="D478">
        <v>5.2159579999999997</v>
      </c>
      <c r="E478">
        <v>0.52592299999999903</v>
      </c>
      <c r="F478" t="s">
        <v>42</v>
      </c>
      <c r="G478">
        <v>-322.38630000000001</v>
      </c>
      <c r="H478" s="1">
        <v>-4.0593750000000004E-6</v>
      </c>
      <c r="I478">
        <v>365.04539999999997</v>
      </c>
      <c r="J478">
        <v>-339.32909999999998</v>
      </c>
      <c r="K478">
        <v>1.1082379999999901</v>
      </c>
      <c r="L478">
        <v>367.15199999999999</v>
      </c>
      <c r="M478">
        <v>0.99984039999999996</v>
      </c>
      <c r="N478">
        <v>0</v>
      </c>
      <c r="O478">
        <v>-9.2036310000000003E-3</v>
      </c>
      <c r="P478">
        <v>0.99044759999999998</v>
      </c>
      <c r="Q478">
        <v>0.1225127</v>
      </c>
      <c r="R478">
        <v>-6.3277710000000001E-2</v>
      </c>
      <c r="S478">
        <v>3.028778</v>
      </c>
      <c r="T478">
        <v>-0.19501540000000001</v>
      </c>
      <c r="U478">
        <v>-0.37112430000000002</v>
      </c>
      <c r="V478">
        <v>5.4155710000000003E-2</v>
      </c>
      <c r="W478">
        <v>0.1376695</v>
      </c>
      <c r="X478">
        <v>0.9889966</v>
      </c>
      <c r="Y478">
        <v>0.1122713</v>
      </c>
      <c r="Z478">
        <v>-3.0075190000000002E-3</v>
      </c>
      <c r="AA478">
        <v>0.99367300000000003</v>
      </c>
      <c r="AB478">
        <v>56</v>
      </c>
      <c r="AC478">
        <v>16.942799999999899</v>
      </c>
      <c r="AD478">
        <v>-1.10824205937499</v>
      </c>
      <c r="AE478">
        <v>-2.10660000000001</v>
      </c>
      <c r="AF478">
        <v>1.9423731290037101</v>
      </c>
      <c r="AG478">
        <v>-1.10824205937499</v>
      </c>
      <c r="AH478">
        <v>16.890306663053899</v>
      </c>
      <c r="AI478">
        <v>93.729519089421402</v>
      </c>
      <c r="AJ478">
        <v>83.439844234351895</v>
      </c>
      <c r="AK478">
        <v>17.037707387041401</v>
      </c>
      <c r="AL478">
        <v>82.086987415201307</v>
      </c>
      <c r="AM478">
        <v>86.865714319286496</v>
      </c>
      <c r="AN478">
        <v>1.0000000034837</v>
      </c>
    </row>
    <row r="479" spans="1:40" x14ac:dyDescent="0.25">
      <c r="A479" t="str">
        <f>"20190312164446045"</f>
        <v>20190312164446045</v>
      </c>
      <c r="B479" t="str">
        <f>"1552380286042069"</f>
        <v>1552380286042069</v>
      </c>
      <c r="C479" t="s">
        <v>40</v>
      </c>
      <c r="D479">
        <v>5.1566809999999998</v>
      </c>
      <c r="E479">
        <v>0.52682109999999904</v>
      </c>
      <c r="F479" t="s">
        <v>41</v>
      </c>
      <c r="G479">
        <v>-338.20670000000001</v>
      </c>
      <c r="H479">
        <v>1.0386200000000001</v>
      </c>
      <c r="I479">
        <v>367.01240000000001</v>
      </c>
      <c r="J479">
        <v>-339.00229999999999</v>
      </c>
      <c r="K479">
        <v>1.108255</v>
      </c>
      <c r="L479">
        <v>367.149</v>
      </c>
      <c r="M479">
        <v>0.99984039999999996</v>
      </c>
      <c r="N479">
        <v>0</v>
      </c>
      <c r="O479">
        <v>-9.1931210000000003E-3</v>
      </c>
      <c r="P479">
        <v>0.99030640000000003</v>
      </c>
      <c r="Q479">
        <v>0.12337969999999999</v>
      </c>
      <c r="R479">
        <v>-6.3802730000000002E-2</v>
      </c>
      <c r="S479">
        <v>3.0282290000000001</v>
      </c>
      <c r="T479">
        <v>-0.18813060000000001</v>
      </c>
      <c r="U479">
        <v>-0.37567139999999999</v>
      </c>
      <c r="V479">
        <v>5.4692270000000001E-2</v>
      </c>
      <c r="W479">
        <v>0.1385479</v>
      </c>
      <c r="X479">
        <v>0.98884439999999996</v>
      </c>
      <c r="Y479">
        <v>0.11378480000000001</v>
      </c>
      <c r="Z479">
        <v>-2.949241E-3</v>
      </c>
      <c r="AA479">
        <v>0.99350110000000003</v>
      </c>
      <c r="AB479">
        <v>56</v>
      </c>
      <c r="AC479">
        <v>0.79559999999997899</v>
      </c>
      <c r="AD479">
        <v>-6.9634999999999794E-2</v>
      </c>
      <c r="AE479">
        <v>-0.13659999999998701</v>
      </c>
      <c r="AF479">
        <v>0.12832442182419801</v>
      </c>
      <c r="AG479">
        <v>-6.9634999999999794E-2</v>
      </c>
      <c r="AH479">
        <v>0.79093671135144705</v>
      </c>
      <c r="AI479">
        <v>94.966800128433405</v>
      </c>
      <c r="AJ479">
        <v>80.784426860738094</v>
      </c>
      <c r="AK479">
        <v>0.80429911837882595</v>
      </c>
      <c r="AL479">
        <v>82.036171860959001</v>
      </c>
      <c r="AM479">
        <v>86.834237308332106</v>
      </c>
      <c r="AN479">
        <v>1.00000000620176</v>
      </c>
    </row>
    <row r="480" spans="1:40" x14ac:dyDescent="0.25">
      <c r="A480" t="str">
        <f>"20190312164446058"</f>
        <v>20190312164446058</v>
      </c>
      <c r="B480" t="str">
        <f>"1552380286051829"</f>
        <v>1552380286051829</v>
      </c>
      <c r="C480" t="s">
        <v>40</v>
      </c>
      <c r="D480">
        <v>5.2639379999999996</v>
      </c>
      <c r="E480">
        <v>0.52681449999999996</v>
      </c>
      <c r="F480" t="s">
        <v>42</v>
      </c>
      <c r="G480">
        <v>-320.36180000000002</v>
      </c>
      <c r="H480" s="1">
        <v>-4.9749410000000001E-6</v>
      </c>
      <c r="I480">
        <v>364.7801</v>
      </c>
      <c r="J480">
        <v>-338.71129999999999</v>
      </c>
      <c r="K480">
        <v>1.1082609999999999</v>
      </c>
      <c r="L480">
        <v>367.1463</v>
      </c>
      <c r="M480">
        <v>0.99984030000000002</v>
      </c>
      <c r="N480">
        <v>0</v>
      </c>
      <c r="O480">
        <v>-9.1843830000000008E-3</v>
      </c>
      <c r="P480">
        <v>0.9901373</v>
      </c>
      <c r="Q480">
        <v>0.12451280000000001</v>
      </c>
      <c r="R480">
        <v>-6.4221819999999999E-2</v>
      </c>
      <c r="S480">
        <v>3.0270079999999999</v>
      </c>
      <c r="T480">
        <v>-0.1799684</v>
      </c>
      <c r="U480">
        <v>-0.38467410000000002</v>
      </c>
      <c r="V480">
        <v>5.5121440000000001E-2</v>
      </c>
      <c r="W480">
        <v>0.1396897</v>
      </c>
      <c r="X480">
        <v>0.98865990000000004</v>
      </c>
      <c r="Y480">
        <v>0.1167624</v>
      </c>
      <c r="Z480">
        <v>-2.910724E-3</v>
      </c>
      <c r="AA480">
        <v>0.99315560000000003</v>
      </c>
      <c r="AB480">
        <v>56</v>
      </c>
      <c r="AC480">
        <v>18.3494999999999</v>
      </c>
      <c r="AD480">
        <v>-1.108265974941</v>
      </c>
      <c r="AE480">
        <v>-2.3661999999999899</v>
      </c>
      <c r="AF480">
        <v>2.1896944609519902</v>
      </c>
      <c r="AG480">
        <v>-1.108265974941</v>
      </c>
      <c r="AH480">
        <v>18.3047792288464</v>
      </c>
      <c r="AI480">
        <v>93.440285080428495</v>
      </c>
      <c r="AJ480">
        <v>83.178453969112098</v>
      </c>
      <c r="AK480">
        <v>18.4685667532795</v>
      </c>
      <c r="AL480">
        <v>81.970109004901602</v>
      </c>
      <c r="AM480">
        <v>86.808852527274496</v>
      </c>
      <c r="AN480">
        <v>0.99999999165088604</v>
      </c>
    </row>
    <row r="481" spans="1:40" x14ac:dyDescent="0.25">
      <c r="A481" t="str">
        <f>"20190312164446071"</f>
        <v>20190312164446071</v>
      </c>
      <c r="B481" t="str">
        <f>"1552380286062565"</f>
        <v>1552380286062565</v>
      </c>
      <c r="C481" t="s">
        <v>40</v>
      </c>
      <c r="D481">
        <v>5.216361</v>
      </c>
      <c r="E481">
        <v>0.52714539999999999</v>
      </c>
      <c r="F481" t="s">
        <v>43</v>
      </c>
      <c r="G481">
        <v>-318.97730000000001</v>
      </c>
      <c r="H481">
        <v>-0.05</v>
      </c>
      <c r="I481">
        <v>364.6293</v>
      </c>
      <c r="J481">
        <v>-338.36619999999999</v>
      </c>
      <c r="K481">
        <v>1.1082730000000001</v>
      </c>
      <c r="L481">
        <v>367.14319999999998</v>
      </c>
      <c r="M481">
        <v>0.99984010000000001</v>
      </c>
      <c r="N481">
        <v>0</v>
      </c>
      <c r="O481">
        <v>-9.1741080000000003E-3</v>
      </c>
      <c r="P481">
        <v>0.98998039999999998</v>
      </c>
      <c r="Q481">
        <v>0.12555619999999901</v>
      </c>
      <c r="R481">
        <v>-6.4610290000000001E-2</v>
      </c>
      <c r="S481">
        <v>3.0272220000000001</v>
      </c>
      <c r="T481">
        <v>-0.17767920000000001</v>
      </c>
      <c r="U481">
        <v>-0.38610840000000002</v>
      </c>
      <c r="V481">
        <v>5.552137E-2</v>
      </c>
      <c r="W481">
        <v>0.14074249999999999</v>
      </c>
      <c r="X481">
        <v>0.98848820000000004</v>
      </c>
      <c r="Y481">
        <v>0.1172308</v>
      </c>
      <c r="Z481">
        <v>-2.8877569999999999E-3</v>
      </c>
      <c r="AA481">
        <v>0.99310050000000005</v>
      </c>
      <c r="AB481">
        <v>56</v>
      </c>
      <c r="AC481">
        <v>19.3888999999999</v>
      </c>
      <c r="AD481">
        <v>-1.1582729999999899</v>
      </c>
      <c r="AE481">
        <v>-2.5138999999999698</v>
      </c>
      <c r="AF481">
        <v>2.3277276351382099</v>
      </c>
      <c r="AG481">
        <v>-1.1582729999999899</v>
      </c>
      <c r="AH481">
        <v>19.343259496576799</v>
      </c>
      <c r="AI481">
        <v>93.402287613576405</v>
      </c>
      <c r="AJ481">
        <v>83.138140745248194</v>
      </c>
      <c r="AK481">
        <v>19.517212921875501</v>
      </c>
      <c r="AL481">
        <v>81.909186192315104</v>
      </c>
      <c r="AM481">
        <v>86.785190594808597</v>
      </c>
      <c r="AN481">
        <v>0.99999999768608305</v>
      </c>
    </row>
    <row r="482" spans="1:40" x14ac:dyDescent="0.25">
      <c r="A482" t="str">
        <f>"20190312164446090"</f>
        <v>20190312164446090</v>
      </c>
      <c r="B482" t="str">
        <f>"1552380286082084"</f>
        <v>1552380286082084</v>
      </c>
      <c r="C482" t="s">
        <v>40</v>
      </c>
      <c r="D482">
        <v>5.3111249999999997</v>
      </c>
      <c r="E482">
        <v>0.52758169999999904</v>
      </c>
      <c r="F482" t="s">
        <v>43</v>
      </c>
      <c r="G482">
        <v>-318.08609999999999</v>
      </c>
      <c r="H482">
        <v>-0.05</v>
      </c>
      <c r="I482">
        <v>364.53210000000001</v>
      </c>
      <c r="J482">
        <v>-337.89100000000002</v>
      </c>
      <c r="K482">
        <v>1.1082879999999999</v>
      </c>
      <c r="L482">
        <v>367.1388</v>
      </c>
      <c r="M482">
        <v>0.99984010000000001</v>
      </c>
      <c r="N482">
        <v>0</v>
      </c>
      <c r="O482">
        <v>-9.1613619999999993E-3</v>
      </c>
      <c r="P482">
        <v>0.98966969999999999</v>
      </c>
      <c r="Q482">
        <v>0.1275657</v>
      </c>
      <c r="R482">
        <v>-6.5430050000000003E-2</v>
      </c>
      <c r="S482">
        <v>3.0268549999999999</v>
      </c>
      <c r="T482">
        <v>-0.17287469999999999</v>
      </c>
      <c r="U482">
        <v>-0.38970949999999999</v>
      </c>
      <c r="V482">
        <v>5.635681E-2</v>
      </c>
      <c r="W482">
        <v>0.14276179999999999</v>
      </c>
      <c r="X482">
        <v>0.98815129999999995</v>
      </c>
      <c r="Y482">
        <v>0.1184287</v>
      </c>
      <c r="Z482">
        <v>-2.8446869999999998E-3</v>
      </c>
      <c r="AA482">
        <v>0.99295849999999997</v>
      </c>
      <c r="AB482">
        <v>56</v>
      </c>
      <c r="AC482">
        <v>19.8048999999999</v>
      </c>
      <c r="AD482">
        <v>-1.158288</v>
      </c>
      <c r="AE482">
        <v>-2.60669999999998</v>
      </c>
      <c r="AF482">
        <v>2.4170027797990801</v>
      </c>
      <c r="AG482">
        <v>-1.158288</v>
      </c>
      <c r="AH482">
        <v>19.7615094697979</v>
      </c>
      <c r="AI482">
        <v>93.329702597881905</v>
      </c>
      <c r="AJ482">
        <v>83.026866433773904</v>
      </c>
      <c r="AK482">
        <v>19.9424369136125</v>
      </c>
      <c r="AL482">
        <v>81.792308668282004</v>
      </c>
      <c r="AM482">
        <v>86.735810433167998</v>
      </c>
      <c r="AN482">
        <v>1.0000000066321499</v>
      </c>
    </row>
    <row r="483" spans="1:40" x14ac:dyDescent="0.25">
      <c r="A483" t="str">
        <f>"20190312164446113"</f>
        <v>20190312164446113</v>
      </c>
      <c r="B483" t="str">
        <f>"1552380286102581"</f>
        <v>1552380286102581</v>
      </c>
      <c r="C483" t="s">
        <v>40</v>
      </c>
      <c r="D483">
        <v>5.2238720000000001</v>
      </c>
      <c r="E483">
        <v>0.52771709999999905</v>
      </c>
      <c r="F483" t="s">
        <v>43</v>
      </c>
      <c r="G483">
        <v>-316.85629999999998</v>
      </c>
      <c r="H483">
        <v>-0.05</v>
      </c>
      <c r="I483">
        <v>364.38959999999997</v>
      </c>
      <c r="J483">
        <v>-337.33100000000002</v>
      </c>
      <c r="K483">
        <v>1.1083019999999999</v>
      </c>
      <c r="L483">
        <v>367.13369999999998</v>
      </c>
      <c r="M483">
        <v>0.99984010000000001</v>
      </c>
      <c r="N483">
        <v>0</v>
      </c>
      <c r="O483">
        <v>-9.1486329999999998E-3</v>
      </c>
      <c r="P483">
        <v>0.98932419999999999</v>
      </c>
      <c r="Q483">
        <v>0.12979789999999999</v>
      </c>
      <c r="R483">
        <v>-6.6261899999999901E-2</v>
      </c>
      <c r="S483">
        <v>3.0266109999999999</v>
      </c>
      <c r="T483">
        <v>-0.16666199999999901</v>
      </c>
      <c r="U483">
        <v>-0.3955688</v>
      </c>
      <c r="V483">
        <v>5.7204909999999998E-2</v>
      </c>
      <c r="W483">
        <v>0.14500370000000001</v>
      </c>
      <c r="X483">
        <v>0.98777599999999999</v>
      </c>
      <c r="Y483">
        <v>0.12035120000000001</v>
      </c>
      <c r="Z483">
        <v>-2.7958589999999999E-3</v>
      </c>
      <c r="AA483">
        <v>0.99272749999999998</v>
      </c>
      <c r="AB483">
        <v>56</v>
      </c>
      <c r="AC483">
        <v>20.474699999999899</v>
      </c>
      <c r="AD483">
        <v>-1.1583019999999999</v>
      </c>
      <c r="AE483">
        <v>-2.7441</v>
      </c>
      <c r="AF483">
        <v>2.54863470173794</v>
      </c>
      <c r="AG483">
        <v>-1.1583019999999999</v>
      </c>
      <c r="AH483">
        <v>20.434704807612</v>
      </c>
      <c r="AI483">
        <v>93.219340454726193</v>
      </c>
      <c r="AJ483">
        <v>82.890729626207502</v>
      </c>
      <c r="AK483">
        <v>20.625575457192699</v>
      </c>
      <c r="AL483">
        <v>81.662506136302</v>
      </c>
      <c r="AM483">
        <v>86.685541030824893</v>
      </c>
      <c r="AN483">
        <v>0.999999950458897</v>
      </c>
    </row>
    <row r="484" spans="1:40" x14ac:dyDescent="0.25">
      <c r="A484" t="str">
        <f>"20190312164446125"</f>
        <v>20190312164446125</v>
      </c>
      <c r="B484" t="str">
        <f>"1552380286122101"</f>
        <v>1552380286122101</v>
      </c>
      <c r="C484" t="s">
        <v>40</v>
      </c>
      <c r="D484">
        <v>5.2040470000000001</v>
      </c>
      <c r="E484">
        <v>0.52661429999999998</v>
      </c>
      <c r="F484" t="s">
        <v>43</v>
      </c>
      <c r="G484">
        <v>-315.35270000000003</v>
      </c>
      <c r="H484">
        <v>-0.05</v>
      </c>
      <c r="I484">
        <v>364.23860000000002</v>
      </c>
      <c r="J484">
        <v>-337.0197</v>
      </c>
      <c r="K484">
        <v>1.108309</v>
      </c>
      <c r="L484">
        <v>367.1309</v>
      </c>
      <c r="M484">
        <v>0.9998399</v>
      </c>
      <c r="N484">
        <v>0</v>
      </c>
      <c r="O484">
        <v>-9.1419159999999999E-3</v>
      </c>
      <c r="P484">
        <v>0.98917960000000005</v>
      </c>
      <c r="Q484">
        <v>0.13062850000000001</v>
      </c>
      <c r="R484">
        <v>-6.6784060000000006E-2</v>
      </c>
      <c r="S484">
        <v>3.0266109999999999</v>
      </c>
      <c r="T484">
        <v>-0.15950880000000001</v>
      </c>
      <c r="U484">
        <v>-0.39868160000000002</v>
      </c>
      <c r="V484">
        <v>5.7735259999999997E-2</v>
      </c>
      <c r="W484">
        <v>0.1458392</v>
      </c>
      <c r="X484">
        <v>0.98762220000000001</v>
      </c>
      <c r="Y484">
        <v>0.1213741</v>
      </c>
      <c r="Z484">
        <v>-2.7030219999999998E-3</v>
      </c>
      <c r="AA484">
        <v>0.99260320000000002</v>
      </c>
      <c r="AB484">
        <v>56</v>
      </c>
      <c r="AC484">
        <v>21.666999999999899</v>
      </c>
      <c r="AD484">
        <v>-1.158309</v>
      </c>
      <c r="AE484">
        <v>-2.8922999999999699</v>
      </c>
      <c r="AF484">
        <v>2.6865342744280798</v>
      </c>
      <c r="AG484">
        <v>-1.158309</v>
      </c>
      <c r="AH484">
        <v>21.631798864643901</v>
      </c>
      <c r="AI484">
        <v>93.041742356390401</v>
      </c>
      <c r="AJ484">
        <v>82.920472048270895</v>
      </c>
      <c r="AK484">
        <v>21.828739502489999</v>
      </c>
      <c r="AL484">
        <v>81.614121764349406</v>
      </c>
      <c r="AM484">
        <v>86.654362208711404</v>
      </c>
      <c r="AN484">
        <v>1.0000000212183699</v>
      </c>
    </row>
    <row r="485" spans="1:40" x14ac:dyDescent="0.25">
      <c r="A485" t="str">
        <f>"20190312164446137"</f>
        <v>20190312164446137</v>
      </c>
      <c r="B485" t="str">
        <f>"1552380286131861"</f>
        <v>1552380286131861</v>
      </c>
      <c r="C485" t="s">
        <v>40</v>
      </c>
      <c r="D485">
        <v>5.1651040000000004</v>
      </c>
      <c r="E485">
        <v>0.52599689999999999</v>
      </c>
      <c r="F485" t="s">
        <v>43</v>
      </c>
      <c r="G485">
        <v>-315.0172</v>
      </c>
      <c r="H485">
        <v>-0.05</v>
      </c>
      <c r="I485">
        <v>364.28640000000001</v>
      </c>
      <c r="J485">
        <v>-336.71899999999999</v>
      </c>
      <c r="K485">
        <v>1.108314</v>
      </c>
      <c r="L485">
        <v>367.12810000000002</v>
      </c>
      <c r="M485">
        <v>0.9998399</v>
      </c>
      <c r="N485">
        <v>0</v>
      </c>
      <c r="O485">
        <v>-9.1363769999999993E-3</v>
      </c>
      <c r="P485">
        <v>0.98901919999999999</v>
      </c>
      <c r="Q485">
        <v>0.13171659999999999</v>
      </c>
      <c r="R485">
        <v>-6.7021330000000004E-2</v>
      </c>
      <c r="S485">
        <v>3.0274350000000001</v>
      </c>
      <c r="T485">
        <v>-0.15937760000000001</v>
      </c>
      <c r="U485">
        <v>-0.39138790000000001</v>
      </c>
      <c r="V485">
        <v>5.7979870000000003E-2</v>
      </c>
      <c r="W485">
        <v>0.1469307</v>
      </c>
      <c r="X485">
        <v>0.98744609999999999</v>
      </c>
      <c r="Y485">
        <v>0.1189964</v>
      </c>
      <c r="Z485">
        <v>-2.6384960000000002E-3</v>
      </c>
      <c r="AA485">
        <v>0.99289119999999997</v>
      </c>
      <c r="AB485">
        <v>56</v>
      </c>
      <c r="AC485">
        <v>21.701799999999899</v>
      </c>
      <c r="AD485">
        <v>-1.1583139999999901</v>
      </c>
      <c r="AE485">
        <v>-2.8416999999999999</v>
      </c>
      <c r="AF485">
        <v>2.6358995159676399</v>
      </c>
      <c r="AG485">
        <v>-1.1583139999999901</v>
      </c>
      <c r="AH485">
        <v>21.666177895270302</v>
      </c>
      <c r="AI485">
        <v>93.037868315292798</v>
      </c>
      <c r="AJ485">
        <v>83.063504272531901</v>
      </c>
      <c r="AK485">
        <v>21.856644805879402</v>
      </c>
      <c r="AL485">
        <v>81.550902630518607</v>
      </c>
      <c r="AM485">
        <v>86.639622166478503</v>
      </c>
      <c r="AN485">
        <v>1.0000000481664499</v>
      </c>
    </row>
    <row r="486" spans="1:40" x14ac:dyDescent="0.25">
      <c r="A486" t="str">
        <f>"20190312164446148"</f>
        <v>20190312164446148</v>
      </c>
      <c r="B486" t="str">
        <f>"1552380286142597"</f>
        <v>1552380286142597</v>
      </c>
      <c r="C486" t="s">
        <v>40</v>
      </c>
      <c r="D486">
        <v>5.1747680000000003</v>
      </c>
      <c r="E486">
        <v>0.52547290000000002</v>
      </c>
      <c r="F486" t="s">
        <v>43</v>
      </c>
      <c r="G486">
        <v>-314.4633</v>
      </c>
      <c r="H486">
        <v>-0.05</v>
      </c>
      <c r="I486">
        <v>364.286</v>
      </c>
      <c r="J486">
        <v>-336.4248</v>
      </c>
      <c r="K486">
        <v>1.108314</v>
      </c>
      <c r="L486">
        <v>367.12540000000001</v>
      </c>
      <c r="M486">
        <v>0.9998399</v>
      </c>
      <c r="N486">
        <v>0</v>
      </c>
      <c r="O486">
        <v>-9.1315460000000008E-3</v>
      </c>
      <c r="P486">
        <v>0.98889879999999997</v>
      </c>
      <c r="Q486">
        <v>0.13235160000000001</v>
      </c>
      <c r="R486">
        <v>-6.7545640000000004E-2</v>
      </c>
      <c r="S486">
        <v>3.0280459999999998</v>
      </c>
      <c r="T486">
        <v>-0.15759679999999901</v>
      </c>
      <c r="U486">
        <v>-0.38668819999999998</v>
      </c>
      <c r="V486">
        <v>5.8510409999999999E-2</v>
      </c>
      <c r="W486">
        <v>0.14756929999999999</v>
      </c>
      <c r="X486">
        <v>0.98731950000000002</v>
      </c>
      <c r="Y486">
        <v>0.117465</v>
      </c>
      <c r="Z486">
        <v>-2.5693769999999999E-3</v>
      </c>
      <c r="AA486">
        <v>0.99307369999999995</v>
      </c>
      <c r="AB486">
        <v>56</v>
      </c>
      <c r="AC486">
        <v>21.961500000000001</v>
      </c>
      <c r="AD486">
        <v>-1.1583139999999901</v>
      </c>
      <c r="AE486">
        <v>-2.8394000000000101</v>
      </c>
      <c r="AF486">
        <v>2.6315153526918098</v>
      </c>
      <c r="AG486">
        <v>-1.1583139999999901</v>
      </c>
      <c r="AH486">
        <v>21.926522565235299</v>
      </c>
      <c r="AI486">
        <v>93.0024514471923</v>
      </c>
      <c r="AJ486">
        <v>83.156369700132501</v>
      </c>
      <c r="AK486">
        <v>22.114225199581899</v>
      </c>
      <c r="AL486">
        <v>81.513909728340806</v>
      </c>
      <c r="AM486">
        <v>86.608510932724002</v>
      </c>
      <c r="AN486">
        <v>0.99999998073055396</v>
      </c>
    </row>
    <row r="487" spans="1:40" x14ac:dyDescent="0.25">
      <c r="A487" t="str">
        <f>"20190312164446160"</f>
        <v>20190312164446160</v>
      </c>
      <c r="B487" t="str">
        <f>"1552380286152357"</f>
        <v>1552380286152357</v>
      </c>
      <c r="C487" t="s">
        <v>40</v>
      </c>
      <c r="D487">
        <v>5.5059690000000003</v>
      </c>
      <c r="E487">
        <v>0.52498049999999996</v>
      </c>
      <c r="F487" t="s">
        <v>43</v>
      </c>
      <c r="G487">
        <v>-314.084</v>
      </c>
      <c r="H487">
        <v>-0.05</v>
      </c>
      <c r="I487">
        <v>364.29320000000001</v>
      </c>
      <c r="J487">
        <v>-336.13900000000001</v>
      </c>
      <c r="K487">
        <v>1.1083179999999999</v>
      </c>
      <c r="L487">
        <v>367.12279999999998</v>
      </c>
      <c r="M487">
        <v>0.99983979999999995</v>
      </c>
      <c r="N487">
        <v>0</v>
      </c>
      <c r="O487">
        <v>-9.1275439999999996E-3</v>
      </c>
      <c r="P487">
        <v>0.98875539999999995</v>
      </c>
      <c r="Q487">
        <v>0.1331059</v>
      </c>
      <c r="R487">
        <v>-6.8161509999999995E-2</v>
      </c>
      <c r="S487">
        <v>3.0285030000000002</v>
      </c>
      <c r="T487">
        <v>-0.1570203</v>
      </c>
      <c r="U487">
        <v>-0.3839417</v>
      </c>
      <c r="V487">
        <v>5.9131639999999999E-2</v>
      </c>
      <c r="W487">
        <v>0.1483257</v>
      </c>
      <c r="X487">
        <v>0.98716910000000002</v>
      </c>
      <c r="Y487">
        <v>0.116566</v>
      </c>
      <c r="Z487">
        <v>-2.5367620000000001E-3</v>
      </c>
      <c r="AA487">
        <v>0.9931797</v>
      </c>
      <c r="AB487">
        <v>56</v>
      </c>
      <c r="AC487">
        <v>22.055</v>
      </c>
      <c r="AD487">
        <v>-1.158318</v>
      </c>
      <c r="AE487">
        <v>-2.8295999999999699</v>
      </c>
      <c r="AF487">
        <v>2.6210377171163999</v>
      </c>
      <c r="AG487">
        <v>-1.158318</v>
      </c>
      <c r="AH487">
        <v>22.020156778035801</v>
      </c>
      <c r="AI487">
        <v>92.990064740545506</v>
      </c>
      <c r="AJ487">
        <v>83.212076091844295</v>
      </c>
      <c r="AK487">
        <v>22.2058290507908</v>
      </c>
      <c r="AL487">
        <v>81.470088679916998</v>
      </c>
      <c r="AM487">
        <v>86.572066499566802</v>
      </c>
      <c r="AN487">
        <v>0.99999994806219294</v>
      </c>
    </row>
    <row r="488" spans="1:40" x14ac:dyDescent="0.25">
      <c r="A488" t="str">
        <f>"20190312164446171"</f>
        <v>20190312164446171</v>
      </c>
      <c r="B488" t="str">
        <f>"1552380286162117"</f>
        <v>1552380286162117</v>
      </c>
      <c r="C488" t="s">
        <v>40</v>
      </c>
      <c r="D488">
        <v>5.224062</v>
      </c>
      <c r="E488">
        <v>0.5245628</v>
      </c>
      <c r="F488" t="s">
        <v>43</v>
      </c>
      <c r="G488">
        <v>-313.202</v>
      </c>
      <c r="H488">
        <v>-0.05</v>
      </c>
      <c r="I488">
        <v>364.2294</v>
      </c>
      <c r="J488">
        <v>-335.85210000000001</v>
      </c>
      <c r="K488">
        <v>1.108317</v>
      </c>
      <c r="L488">
        <v>367.12020000000001</v>
      </c>
      <c r="M488">
        <v>0.99983979999999995</v>
      </c>
      <c r="N488">
        <v>0</v>
      </c>
      <c r="O488">
        <v>-9.1236609999999999E-3</v>
      </c>
      <c r="P488">
        <v>0.98865360000000002</v>
      </c>
      <c r="Q488">
        <v>0.13367019999999999</v>
      </c>
      <c r="R488">
        <v>-6.8532570000000001E-2</v>
      </c>
      <c r="S488">
        <v>3.0284119999999999</v>
      </c>
      <c r="T488">
        <v>-0.1529346</v>
      </c>
      <c r="U488">
        <v>-0.382019</v>
      </c>
      <c r="V488">
        <v>5.9507610000000002E-2</v>
      </c>
      <c r="W488">
        <v>0.148893</v>
      </c>
      <c r="X488">
        <v>0.98706110000000002</v>
      </c>
      <c r="Y488">
        <v>0.11596099999999999</v>
      </c>
      <c r="Z488">
        <v>-2.455998E-3</v>
      </c>
      <c r="AA488">
        <v>0.99325070000000004</v>
      </c>
      <c r="AB488">
        <v>56</v>
      </c>
      <c r="AC488">
        <v>22.650099999999998</v>
      </c>
      <c r="AD488">
        <v>-1.158317</v>
      </c>
      <c r="AE488">
        <v>-2.8908000000000098</v>
      </c>
      <c r="AF488">
        <v>2.6771141836656902</v>
      </c>
      <c r="AG488">
        <v>-1.158317</v>
      </c>
      <c r="AH488">
        <v>22.617332739944899</v>
      </c>
      <c r="AI488">
        <v>92.911477494848199</v>
      </c>
      <c r="AJ488">
        <v>83.249559188346595</v>
      </c>
      <c r="AK488">
        <v>22.804656956294199</v>
      </c>
      <c r="AL488">
        <v>81.437219805843398</v>
      </c>
      <c r="AM488">
        <v>86.549946990537904</v>
      </c>
      <c r="AN488">
        <v>0.99999994811505899</v>
      </c>
    </row>
    <row r="489" spans="1:40" x14ac:dyDescent="0.25">
      <c r="A489" t="str">
        <f>"20190312164446182"</f>
        <v>20190312164446182</v>
      </c>
      <c r="B489" t="str">
        <f>"1552380286171878"</f>
        <v>1552380286171878</v>
      </c>
      <c r="C489" t="s">
        <v>40</v>
      </c>
      <c r="D489">
        <v>5.1974739999999997</v>
      </c>
      <c r="E489">
        <v>0.52409539999999999</v>
      </c>
      <c r="F489" t="s">
        <v>43</v>
      </c>
      <c r="G489">
        <v>-312.80020000000002</v>
      </c>
      <c r="H489">
        <v>-0.05</v>
      </c>
      <c r="I489">
        <v>364.23160000000001</v>
      </c>
      <c r="J489">
        <v>-335.56830000000002</v>
      </c>
      <c r="K489">
        <v>1.1083190000000001</v>
      </c>
      <c r="L489">
        <v>367.11759999999998</v>
      </c>
      <c r="M489">
        <v>0.9998397</v>
      </c>
      <c r="N489">
        <v>0</v>
      </c>
      <c r="O489">
        <v>-9.1208450000000007E-3</v>
      </c>
      <c r="P489">
        <v>0.98851849999999997</v>
      </c>
      <c r="Q489">
        <v>0.13439809999999999</v>
      </c>
      <c r="R489">
        <v>-6.9053939999999994E-2</v>
      </c>
      <c r="S489">
        <v>3.0286870000000001</v>
      </c>
      <c r="T489">
        <v>-0.1521863</v>
      </c>
      <c r="U489">
        <v>-0.37951659999999998</v>
      </c>
      <c r="V489">
        <v>6.0033429999999999E-2</v>
      </c>
      <c r="W489">
        <v>0.14962239999999999</v>
      </c>
      <c r="X489">
        <v>0.98691899999999999</v>
      </c>
      <c r="Y489">
        <v>0.115147</v>
      </c>
      <c r="Z489">
        <v>-2.4236840000000002E-3</v>
      </c>
      <c r="AA489">
        <v>0.99334549999999999</v>
      </c>
      <c r="AB489">
        <v>56</v>
      </c>
      <c r="AC489">
        <v>22.7681</v>
      </c>
      <c r="AD489">
        <v>-1.1583190000000001</v>
      </c>
      <c r="AE489">
        <v>-2.8859999999999602</v>
      </c>
      <c r="AF489">
        <v>2.6713861363831501</v>
      </c>
      <c r="AG489">
        <v>-1.1583190000000001</v>
      </c>
      <c r="AH489">
        <v>22.735564263094499</v>
      </c>
      <c r="AI489">
        <v>92.896659568408197</v>
      </c>
      <c r="AJ489">
        <v>83.298580209744799</v>
      </c>
      <c r="AK489">
        <v>22.921254092146</v>
      </c>
      <c r="AL489">
        <v>81.394955219908496</v>
      </c>
      <c r="AM489">
        <v>86.519036413440702</v>
      </c>
      <c r="AN489">
        <v>0.99999999393016203</v>
      </c>
    </row>
    <row r="490" spans="1:40" x14ac:dyDescent="0.25">
      <c r="A490" t="str">
        <f>"20190312164446200"</f>
        <v>20190312164446200</v>
      </c>
      <c r="B490" t="str">
        <f>"1552380286192376"</f>
        <v>1552380286192376</v>
      </c>
      <c r="C490" t="s">
        <v>40</v>
      </c>
      <c r="D490">
        <v>5.4315509999999998</v>
      </c>
      <c r="E490">
        <v>0.52361859999999905</v>
      </c>
      <c r="F490" t="s">
        <v>43</v>
      </c>
      <c r="G490">
        <v>-312.32319999999999</v>
      </c>
      <c r="H490">
        <v>-0.05</v>
      </c>
      <c r="I490">
        <v>364.22250000000003</v>
      </c>
      <c r="J490">
        <v>-335.13819999999998</v>
      </c>
      <c r="K490">
        <v>1.1083229999999999</v>
      </c>
      <c r="L490">
        <v>367.11369999999999</v>
      </c>
      <c r="M490">
        <v>0.9998397</v>
      </c>
      <c r="N490">
        <v>0</v>
      </c>
      <c r="O490">
        <v>-9.117099E-3</v>
      </c>
      <c r="P490">
        <v>0.98825229999999997</v>
      </c>
      <c r="Q490">
        <v>0.13601669999999999</v>
      </c>
      <c r="R490">
        <v>-6.9691400000000001E-2</v>
      </c>
      <c r="S490">
        <v>3.0290219999999999</v>
      </c>
      <c r="T490">
        <v>-0.15093819999999999</v>
      </c>
      <c r="U490">
        <v>-0.37725829999999999</v>
      </c>
      <c r="V490">
        <v>6.0677700000000001E-2</v>
      </c>
      <c r="W490">
        <v>0.15124170000000001</v>
      </c>
      <c r="X490">
        <v>0.98663279999999998</v>
      </c>
      <c r="Y490">
        <v>0.114410999999999</v>
      </c>
      <c r="Z490">
        <v>-2.3856060000000002E-3</v>
      </c>
      <c r="AA490">
        <v>0.99343060000000005</v>
      </c>
      <c r="AB490">
        <v>56</v>
      </c>
      <c r="AC490">
        <v>22.815000000000001</v>
      </c>
      <c r="AD490">
        <v>-1.158323</v>
      </c>
      <c r="AE490">
        <v>-2.89119999999996</v>
      </c>
      <c r="AF490">
        <v>2.67625915231541</v>
      </c>
      <c r="AG490">
        <v>-1.158323</v>
      </c>
      <c r="AH490">
        <v>22.782617318774001</v>
      </c>
      <c r="AI490">
        <v>92.890706829041207</v>
      </c>
      <c r="AJ490">
        <v>83.300206598576693</v>
      </c>
      <c r="AK490">
        <v>22.968494228320299</v>
      </c>
      <c r="AL490">
        <v>81.301108773018399</v>
      </c>
      <c r="AM490">
        <v>86.480754563974003</v>
      </c>
      <c r="AN490">
        <v>1.000000058566</v>
      </c>
    </row>
    <row r="491" spans="1:40" x14ac:dyDescent="0.25">
      <c r="A491" t="str">
        <f>"20190312164446211"</f>
        <v>20190312164446211</v>
      </c>
      <c r="B491" t="str">
        <f>"1552380286202133"</f>
        <v>1552380286202133</v>
      </c>
      <c r="C491" t="s">
        <v>40</v>
      </c>
      <c r="D491">
        <v>5.498875</v>
      </c>
      <c r="E491">
        <v>0.5235476</v>
      </c>
      <c r="F491" t="s">
        <v>43</v>
      </c>
      <c r="G491">
        <v>-311.28339999999997</v>
      </c>
      <c r="H491">
        <v>-0.05</v>
      </c>
      <c r="I491">
        <v>364.15550000000002</v>
      </c>
      <c r="J491">
        <v>-334.85480000000001</v>
      </c>
      <c r="K491">
        <v>1.108325</v>
      </c>
      <c r="L491">
        <v>367.11110000000002</v>
      </c>
      <c r="M491">
        <v>0.9998397</v>
      </c>
      <c r="N491">
        <v>0</v>
      </c>
      <c r="O491">
        <v>-9.1148749999999997E-3</v>
      </c>
      <c r="P491">
        <v>0.98813490000000004</v>
      </c>
      <c r="Q491">
        <v>0.13671620000000001</v>
      </c>
      <c r="R491">
        <v>-6.9986670000000001E-2</v>
      </c>
      <c r="S491">
        <v>3.0294189999999999</v>
      </c>
      <c r="T491">
        <v>-0.14710010000000001</v>
      </c>
      <c r="U491">
        <v>-0.37567139999999999</v>
      </c>
      <c r="V491">
        <v>6.097665E-2</v>
      </c>
      <c r="W491">
        <v>0.15194160000000001</v>
      </c>
      <c r="X491">
        <v>0.98650680000000002</v>
      </c>
      <c r="Y491">
        <v>0.1138918</v>
      </c>
      <c r="Z491">
        <v>-2.3123470000000002E-3</v>
      </c>
      <c r="AA491">
        <v>0.99349050000000005</v>
      </c>
      <c r="AB491">
        <v>56</v>
      </c>
      <c r="AC491">
        <v>23.571400000000001</v>
      </c>
      <c r="AD491">
        <v>-1.158325</v>
      </c>
      <c r="AE491">
        <v>-2.9556</v>
      </c>
      <c r="AF491">
        <v>2.7341010660862199</v>
      </c>
      <c r="AG491">
        <v>-1.158325</v>
      </c>
      <c r="AH491">
        <v>23.5413947441095</v>
      </c>
      <c r="AI491">
        <v>92.798117821763199</v>
      </c>
      <c r="AJ491">
        <v>83.375338964592004</v>
      </c>
      <c r="AK491">
        <v>23.727922200293602</v>
      </c>
      <c r="AL491">
        <v>81.260538381358899</v>
      </c>
      <c r="AM491">
        <v>86.463009111246294</v>
      </c>
      <c r="AN491">
        <v>1.00000003405101</v>
      </c>
    </row>
    <row r="492" spans="1:40" x14ac:dyDescent="0.25">
      <c r="A492" t="str">
        <f>"20190312164446223"</f>
        <v>20190312164446223</v>
      </c>
      <c r="B492" t="str">
        <f>"1552380286211893"</f>
        <v>1552380286211893</v>
      </c>
      <c r="C492" t="s">
        <v>40</v>
      </c>
      <c r="D492">
        <v>5.2817879999999997</v>
      </c>
      <c r="E492">
        <v>0.52321189999999995</v>
      </c>
      <c r="F492" t="s">
        <v>43</v>
      </c>
      <c r="G492">
        <v>-310.67720000000003</v>
      </c>
      <c r="H492">
        <v>-0.05</v>
      </c>
      <c r="I492">
        <v>364.11369999999999</v>
      </c>
      <c r="J492">
        <v>-334.55169999999998</v>
      </c>
      <c r="K492">
        <v>1.1083259999999999</v>
      </c>
      <c r="L492">
        <v>367.10829999999999</v>
      </c>
      <c r="M492">
        <v>0.99983960000000005</v>
      </c>
      <c r="N492">
        <v>0</v>
      </c>
      <c r="O492">
        <v>-9.1132450000000007E-3</v>
      </c>
      <c r="P492">
        <v>0.98803779999999997</v>
      </c>
      <c r="Q492">
        <v>0.13733000000000001</v>
      </c>
      <c r="R492">
        <v>-7.0157010000000006E-2</v>
      </c>
      <c r="S492">
        <v>3.0295100000000001</v>
      </c>
      <c r="T492">
        <v>-0.14514060000000001</v>
      </c>
      <c r="U492">
        <v>-0.37557980000000002</v>
      </c>
      <c r="V492">
        <v>6.1149559999999999E-2</v>
      </c>
      <c r="W492">
        <v>0.15255669999999999</v>
      </c>
      <c r="X492">
        <v>0.98640110000000003</v>
      </c>
      <c r="Y492">
        <v>0.1138634</v>
      </c>
      <c r="Z492">
        <v>-2.2809169999999999E-3</v>
      </c>
      <c r="AA492">
        <v>0.99349379999999998</v>
      </c>
      <c r="AB492">
        <v>56</v>
      </c>
      <c r="AC492">
        <v>23.874499999999902</v>
      </c>
      <c r="AD492">
        <v>-1.158326</v>
      </c>
      <c r="AE492">
        <v>-2.9945999999999899</v>
      </c>
      <c r="AF492">
        <v>2.7704551439440599</v>
      </c>
      <c r="AG492">
        <v>-1.158326</v>
      </c>
      <c r="AH492">
        <v>23.845540859643201</v>
      </c>
      <c r="AI492">
        <v>92.762472629847395</v>
      </c>
      <c r="AJ492">
        <v>83.372895850557299</v>
      </c>
      <c r="AK492">
        <v>24.033871093017801</v>
      </c>
      <c r="AL492">
        <v>81.224879506098205</v>
      </c>
      <c r="AM492">
        <v>86.452625806762299</v>
      </c>
      <c r="AN492">
        <v>0.99999997274214603</v>
      </c>
    </row>
    <row r="493" spans="1:40" x14ac:dyDescent="0.25">
      <c r="A493" t="str">
        <f>"20190312164446236"</f>
        <v>20190312164446236</v>
      </c>
      <c r="B493" t="str">
        <f>"1552380286232389"</f>
        <v>1552380286232389</v>
      </c>
      <c r="C493" t="s">
        <v>40</v>
      </c>
      <c r="D493">
        <v>5.1730900000000002</v>
      </c>
      <c r="E493">
        <v>0.52255890000000005</v>
      </c>
      <c r="F493" t="s">
        <v>43</v>
      </c>
      <c r="G493">
        <v>-309.85700000000003</v>
      </c>
      <c r="H493">
        <v>-0.05</v>
      </c>
      <c r="I493">
        <v>364.05799999999999</v>
      </c>
      <c r="J493">
        <v>-334.25850000000003</v>
      </c>
      <c r="K493">
        <v>1.1083320000000001</v>
      </c>
      <c r="L493">
        <v>367.10570000000001</v>
      </c>
      <c r="M493">
        <v>0.99983960000000005</v>
      </c>
      <c r="N493">
        <v>0</v>
      </c>
      <c r="O493">
        <v>-9.1117279999999995E-3</v>
      </c>
      <c r="P493">
        <v>0.98793280000000006</v>
      </c>
      <c r="Q493">
        <v>0.13796710000000001</v>
      </c>
      <c r="R493">
        <v>-7.0384279999999994E-2</v>
      </c>
      <c r="S493">
        <v>3.029541</v>
      </c>
      <c r="T493">
        <v>-0.14210320000000001</v>
      </c>
      <c r="U493">
        <v>-0.3742065</v>
      </c>
      <c r="V493">
        <v>6.137973E-2</v>
      </c>
      <c r="W493">
        <v>0.1531942</v>
      </c>
      <c r="X493">
        <v>0.98628800000000005</v>
      </c>
      <c r="Y493">
        <v>0.1134255</v>
      </c>
      <c r="Z493">
        <v>-2.2231199999999999E-3</v>
      </c>
      <c r="AA493">
        <v>0.99354399999999998</v>
      </c>
      <c r="AB493">
        <v>56</v>
      </c>
      <c r="AC493">
        <v>24.401499999999999</v>
      </c>
      <c r="AD493">
        <v>-1.1583319999999999</v>
      </c>
      <c r="AE493">
        <v>-3.0476999999999599</v>
      </c>
      <c r="AF493">
        <v>2.8189526027767702</v>
      </c>
      <c r="AG493">
        <v>-1.1583319999999999</v>
      </c>
      <c r="AH493">
        <v>24.374179418531099</v>
      </c>
      <c r="AI493">
        <v>92.702826274848405</v>
      </c>
      <c r="AJ493">
        <v>83.402867480026998</v>
      </c>
      <c r="AK493">
        <v>24.5639746198711</v>
      </c>
      <c r="AL493">
        <v>81.187919025129702</v>
      </c>
      <c r="AM493">
        <v>86.438900339003396</v>
      </c>
      <c r="AN493">
        <v>0.99999997655625605</v>
      </c>
    </row>
    <row r="494" spans="1:40" x14ac:dyDescent="0.25">
      <c r="A494" t="str">
        <f>"20190312164446247"</f>
        <v>20190312164446247</v>
      </c>
      <c r="B494" t="str">
        <f>"1552380286242149"</f>
        <v>1552380286242149</v>
      </c>
      <c r="C494" t="s">
        <v>40</v>
      </c>
      <c r="D494">
        <v>5.1928549999999998</v>
      </c>
      <c r="E494">
        <v>0.52223109999999995</v>
      </c>
      <c r="F494" t="s">
        <v>43</v>
      </c>
      <c r="G494">
        <v>-308.93770000000001</v>
      </c>
      <c r="H494">
        <v>-0.05</v>
      </c>
      <c r="I494">
        <v>364.01389999999998</v>
      </c>
      <c r="J494">
        <v>-333.96969999999999</v>
      </c>
      <c r="K494">
        <v>1.1083350000000001</v>
      </c>
      <c r="L494">
        <v>367.10300000000001</v>
      </c>
      <c r="M494">
        <v>0.99983949999999999</v>
      </c>
      <c r="N494">
        <v>0</v>
      </c>
      <c r="O494">
        <v>-9.1105660000000005E-3</v>
      </c>
      <c r="P494">
        <v>0.98785460000000003</v>
      </c>
      <c r="Q494">
        <v>0.1385371</v>
      </c>
      <c r="R494">
        <v>-7.0363800000000004E-2</v>
      </c>
      <c r="S494">
        <v>3.0296630000000002</v>
      </c>
      <c r="T494">
        <v>-0.1385953</v>
      </c>
      <c r="U494">
        <v>-0.36993409999999999</v>
      </c>
      <c r="V494">
        <v>6.1361289999999999E-2</v>
      </c>
      <c r="W494">
        <v>0.15376479999999901</v>
      </c>
      <c r="X494">
        <v>0.98620039999999998</v>
      </c>
      <c r="Y494">
        <v>0.1120483</v>
      </c>
      <c r="Z494">
        <v>-2.1370809999999999E-3</v>
      </c>
      <c r="AA494">
        <v>0.99370040000000004</v>
      </c>
      <c r="AB494">
        <v>56</v>
      </c>
      <c r="AC494">
        <v>25.031999999999901</v>
      </c>
      <c r="AD494">
        <v>-1.1583349999999999</v>
      </c>
      <c r="AE494">
        <v>-3.0891000000000299</v>
      </c>
      <c r="AF494">
        <v>2.8548675134816799</v>
      </c>
      <c r="AG494">
        <v>-1.1583349999999999</v>
      </c>
      <c r="AH494">
        <v>25.006364798551701</v>
      </c>
      <c r="AI494">
        <v>92.635044413823607</v>
      </c>
      <c r="AJ494">
        <v>83.486989679764804</v>
      </c>
      <c r="AK494">
        <v>25.195441828433999</v>
      </c>
      <c r="AL494">
        <v>81.154834490350893</v>
      </c>
      <c r="AM494">
        <v>86.439652020998295</v>
      </c>
      <c r="AN494">
        <v>1.00000002529483</v>
      </c>
    </row>
    <row r="495" spans="1:40" x14ac:dyDescent="0.25">
      <c r="A495" t="str">
        <f>"20190312164446257"</f>
        <v>20190312164446257</v>
      </c>
      <c r="B495" t="str">
        <f>"1552380286251909"</f>
        <v>1552380286251909</v>
      </c>
      <c r="C495" t="s">
        <v>40</v>
      </c>
      <c r="D495">
        <v>5.2523010000000001</v>
      </c>
      <c r="E495">
        <v>0.52190599999999998</v>
      </c>
      <c r="F495" t="s">
        <v>43</v>
      </c>
      <c r="G495">
        <v>-308.15679999999998</v>
      </c>
      <c r="H495">
        <v>-0.05</v>
      </c>
      <c r="I495">
        <v>363.97489999999999</v>
      </c>
      <c r="J495">
        <v>-333.70800000000003</v>
      </c>
      <c r="K495">
        <v>1.108339</v>
      </c>
      <c r="L495">
        <v>367.10059999999999</v>
      </c>
      <c r="M495">
        <v>0.99983949999999999</v>
      </c>
      <c r="N495">
        <v>0</v>
      </c>
      <c r="O495">
        <v>-9.1097550000000006E-3</v>
      </c>
      <c r="P495">
        <v>0.98775360000000001</v>
      </c>
      <c r="Q495">
        <v>0.13931399999999999</v>
      </c>
      <c r="R495">
        <v>-7.0247039999999997E-2</v>
      </c>
      <c r="S495">
        <v>3.0297550000000002</v>
      </c>
      <c r="T495">
        <v>-0.135958</v>
      </c>
      <c r="U495">
        <v>-0.36715700000000001</v>
      </c>
      <c r="V495">
        <v>6.124657E-2</v>
      </c>
      <c r="W495">
        <v>0.15454079999999901</v>
      </c>
      <c r="X495">
        <v>0.98608620000000002</v>
      </c>
      <c r="Y495">
        <v>0.1111528</v>
      </c>
      <c r="Z495">
        <v>-2.0765340000000001E-3</v>
      </c>
      <c r="AA495">
        <v>0.99380119999999905</v>
      </c>
      <c r="AB495">
        <v>56</v>
      </c>
      <c r="AC495">
        <v>25.551200000000001</v>
      </c>
      <c r="AD495">
        <v>-1.158339</v>
      </c>
      <c r="AE495">
        <v>-3.1256999999999899</v>
      </c>
      <c r="AF495">
        <v>2.8869317251251601</v>
      </c>
      <c r="AG495">
        <v>-1.158339</v>
      </c>
      <c r="AH495">
        <v>25.5269284742945</v>
      </c>
      <c r="AI495">
        <v>92.581701064832501</v>
      </c>
      <c r="AJ495">
        <v>83.547630919495603</v>
      </c>
      <c r="AK495">
        <v>25.715757841374199</v>
      </c>
      <c r="AL495">
        <v>81.109834839475099</v>
      </c>
      <c r="AM495">
        <v>86.445880806618106</v>
      </c>
      <c r="AN495">
        <v>0.99999999751592195</v>
      </c>
    </row>
    <row r="496" spans="1:40" x14ac:dyDescent="0.25">
      <c r="A496" t="str">
        <f>"20190312164446272"</f>
        <v>20190312164446272</v>
      </c>
      <c r="B496" t="str">
        <f>"1552380286262646"</f>
        <v>1552380286262646</v>
      </c>
      <c r="C496" t="s">
        <v>40</v>
      </c>
      <c r="D496">
        <v>5.2129709999999996</v>
      </c>
      <c r="E496">
        <v>0.52160890000000004</v>
      </c>
      <c r="F496" t="s">
        <v>43</v>
      </c>
      <c r="G496">
        <v>-307.62099999999998</v>
      </c>
      <c r="H496">
        <v>-0.05</v>
      </c>
      <c r="I496">
        <v>363.96260000000001</v>
      </c>
      <c r="J496">
        <v>-333.35750000000002</v>
      </c>
      <c r="K496">
        <v>1.1083480000000001</v>
      </c>
      <c r="L496">
        <v>367.09739999999999</v>
      </c>
      <c r="M496">
        <v>0.99983949999999999</v>
      </c>
      <c r="N496">
        <v>0</v>
      </c>
      <c r="O496">
        <v>-9.1085929999999999E-3</v>
      </c>
      <c r="P496">
        <v>0.98763630000000002</v>
      </c>
      <c r="Q496">
        <v>0.140086299999999</v>
      </c>
      <c r="R496">
        <v>-7.0358270000000001E-2</v>
      </c>
      <c r="S496">
        <v>3.0302120000000001</v>
      </c>
      <c r="T496">
        <v>-0.13455020000000001</v>
      </c>
      <c r="U496">
        <v>-0.36450199999999999</v>
      </c>
      <c r="V496">
        <v>6.1360640000000001E-2</v>
      </c>
      <c r="W496">
        <v>0.1553129</v>
      </c>
      <c r="X496">
        <v>0.9859578</v>
      </c>
      <c r="Y496">
        <v>0.11028060000000001</v>
      </c>
      <c r="Z496">
        <v>-2.0356200000000001E-3</v>
      </c>
      <c r="AA496">
        <v>0.99389839999999996</v>
      </c>
      <c r="AB496">
        <v>56</v>
      </c>
      <c r="AC496">
        <v>25.736499999999999</v>
      </c>
      <c r="AD496">
        <v>-1.1583479999999999</v>
      </c>
      <c r="AE496">
        <v>-3.1347999999999798</v>
      </c>
      <c r="AF496">
        <v>2.89444111255724</v>
      </c>
      <c r="AG496">
        <v>-1.1583479999999999</v>
      </c>
      <c r="AH496">
        <v>25.712663949210501</v>
      </c>
      <c r="AI496">
        <v>92.5632466806765</v>
      </c>
      <c r="AJ496">
        <v>83.577326366390295</v>
      </c>
      <c r="AK496">
        <v>25.900977719155598</v>
      </c>
      <c r="AL496">
        <v>81.065056166200407</v>
      </c>
      <c r="AM496">
        <v>86.438815860181194</v>
      </c>
      <c r="AN496">
        <v>1.0000000042142201</v>
      </c>
    </row>
    <row r="497" spans="1:40" x14ac:dyDescent="0.25">
      <c r="A497" t="str">
        <f>"20190312164446285"</f>
        <v>20190312164446285</v>
      </c>
      <c r="B497" t="str">
        <f>"1552380286272406"</f>
        <v>1552380286272406</v>
      </c>
      <c r="C497" t="s">
        <v>40</v>
      </c>
      <c r="D497">
        <v>5.2023780000000004</v>
      </c>
      <c r="E497">
        <v>0.52132489999999998</v>
      </c>
      <c r="F497" t="s">
        <v>43</v>
      </c>
      <c r="G497">
        <v>-307.10480000000001</v>
      </c>
      <c r="H497">
        <v>-0.05</v>
      </c>
      <c r="I497">
        <v>363.95960000000002</v>
      </c>
      <c r="J497">
        <v>-333.02760000000001</v>
      </c>
      <c r="K497">
        <v>1.1083540000000001</v>
      </c>
      <c r="L497">
        <v>367.09440000000001</v>
      </c>
      <c r="M497">
        <v>0.9998397</v>
      </c>
      <c r="N497">
        <v>0</v>
      </c>
      <c r="O497">
        <v>-9.1079009999999998E-3</v>
      </c>
      <c r="P497">
        <v>0.98755159999999997</v>
      </c>
      <c r="Q497">
        <v>0.140704</v>
      </c>
      <c r="R497">
        <v>-7.0317859999999996E-2</v>
      </c>
      <c r="S497">
        <v>3.0307309999999998</v>
      </c>
      <c r="T497">
        <v>-0.13372479999999901</v>
      </c>
      <c r="U497">
        <v>-0.3622437</v>
      </c>
      <c r="V497">
        <v>6.1321960000000002E-2</v>
      </c>
      <c r="W497">
        <v>0.15592990000000001</v>
      </c>
      <c r="X497">
        <v>0.98586280000000004</v>
      </c>
      <c r="Y497">
        <v>0.10953300000000001</v>
      </c>
      <c r="Z497">
        <v>-2.0064929999999998E-3</v>
      </c>
      <c r="AA497">
        <v>0.99398109999999995</v>
      </c>
      <c r="AB497">
        <v>56</v>
      </c>
      <c r="AC497">
        <v>25.922799999999899</v>
      </c>
      <c r="AD497">
        <v>-1.1583540000000001</v>
      </c>
      <c r="AE497">
        <v>-3.1347999999999798</v>
      </c>
      <c r="AF497">
        <v>2.8928466179524901</v>
      </c>
      <c r="AG497">
        <v>-1.1583540000000001</v>
      </c>
      <c r="AH497">
        <v>25.899310846008301</v>
      </c>
      <c r="AI497">
        <v>92.5450574880104</v>
      </c>
      <c r="AJ497">
        <v>83.626713528456193</v>
      </c>
      <c r="AK497">
        <v>26.0861006638109</v>
      </c>
      <c r="AL497">
        <v>81.029268520035899</v>
      </c>
      <c r="AM497">
        <v>86.440712891093696</v>
      </c>
      <c r="AN497">
        <v>0.99999998845804505</v>
      </c>
    </row>
    <row r="498" spans="1:40" x14ac:dyDescent="0.25">
      <c r="A498" t="str">
        <f>"20190312164446303"</f>
        <v>20190312164446303</v>
      </c>
      <c r="B498" t="str">
        <f>"1552380286291925"</f>
        <v>1552380286291925</v>
      </c>
      <c r="C498" t="s">
        <v>40</v>
      </c>
      <c r="D498">
        <v>5.5234629999999996</v>
      </c>
      <c r="E498">
        <v>0.52087419999999995</v>
      </c>
      <c r="F498" t="s">
        <v>43</v>
      </c>
      <c r="G498">
        <v>-306.6746</v>
      </c>
      <c r="H498">
        <v>-0.05</v>
      </c>
      <c r="I498">
        <v>363.97030000000001</v>
      </c>
      <c r="J498">
        <v>-332.58769999999998</v>
      </c>
      <c r="K498">
        <v>1.108365</v>
      </c>
      <c r="L498">
        <v>367.09039999999999</v>
      </c>
      <c r="M498">
        <v>0.99983960000000005</v>
      </c>
      <c r="N498">
        <v>0</v>
      </c>
      <c r="O498">
        <v>-9.1069740000000003E-3</v>
      </c>
      <c r="P498">
        <v>0.98732949999999997</v>
      </c>
      <c r="Q498">
        <v>0.14229600000000001</v>
      </c>
      <c r="R498">
        <v>-7.0230840000000003E-2</v>
      </c>
      <c r="S498">
        <v>3.0312190000000001</v>
      </c>
      <c r="T498">
        <v>-0.133238</v>
      </c>
      <c r="U498">
        <v>-0.35934450000000001</v>
      </c>
      <c r="V498">
        <v>6.1238239999999999E-2</v>
      </c>
      <c r="W498">
        <v>0.1575194</v>
      </c>
      <c r="X498">
        <v>0.98561529999999997</v>
      </c>
      <c r="Y498">
        <v>0.1085792</v>
      </c>
      <c r="Z498">
        <v>-1.9781489999999998E-3</v>
      </c>
      <c r="AA498">
        <v>0.99408580000000002</v>
      </c>
      <c r="AB498">
        <v>56</v>
      </c>
      <c r="AC498">
        <v>25.913099999999901</v>
      </c>
      <c r="AD498">
        <v>-1.1583649999999901</v>
      </c>
      <c r="AE498">
        <v>-3.1200999999999701</v>
      </c>
      <c r="AF498">
        <v>2.8782832169996002</v>
      </c>
      <c r="AG498">
        <v>-1.1583649999999901</v>
      </c>
      <c r="AH498">
        <v>25.889448633141502</v>
      </c>
      <c r="AI498">
        <v>92.546195391875401</v>
      </c>
      <c r="AJ498">
        <v>83.656140404271596</v>
      </c>
      <c r="AK498">
        <v>26.074697970993999</v>
      </c>
      <c r="AL498">
        <v>80.9370574714669</v>
      </c>
      <c r="AM498">
        <v>86.444669478550594</v>
      </c>
      <c r="AN498">
        <v>1.00000000150437</v>
      </c>
    </row>
    <row r="499" spans="1:40" x14ac:dyDescent="0.25">
      <c r="A499" t="str">
        <f>"20190312164446318"</f>
        <v>20190312164446318</v>
      </c>
      <c r="B499" t="str">
        <f>"1552380286312422"</f>
        <v>1552380286312422</v>
      </c>
      <c r="C499" t="s">
        <v>40</v>
      </c>
      <c r="D499">
        <v>5.278886</v>
      </c>
      <c r="E499">
        <v>0.52042730000000004</v>
      </c>
      <c r="F499" t="s">
        <v>43</v>
      </c>
      <c r="G499">
        <v>-305.42610000000002</v>
      </c>
      <c r="H499">
        <v>-0.05</v>
      </c>
      <c r="I499">
        <v>363.90730000000002</v>
      </c>
      <c r="J499">
        <v>-332.21210000000002</v>
      </c>
      <c r="K499">
        <v>1.1083689999999999</v>
      </c>
      <c r="L499">
        <v>367.08699999999999</v>
      </c>
      <c r="M499">
        <v>0.99983960000000005</v>
      </c>
      <c r="N499">
        <v>0</v>
      </c>
      <c r="O499">
        <v>-9.1061590000000008E-3</v>
      </c>
      <c r="P499">
        <v>0.98720509999999995</v>
      </c>
      <c r="Q499">
        <v>0.14304819999999999</v>
      </c>
      <c r="R499">
        <v>-7.0453680000000005E-2</v>
      </c>
      <c r="S499">
        <v>3.0318909999999999</v>
      </c>
      <c r="T499">
        <v>-0.12930139999999901</v>
      </c>
      <c r="U499">
        <v>-0.35531620000000003</v>
      </c>
      <c r="V499">
        <v>6.1463200000000003E-2</v>
      </c>
      <c r="W499">
        <v>0.15827040000000001</v>
      </c>
      <c r="X499">
        <v>0.98548100000000005</v>
      </c>
      <c r="Y499">
        <v>0.107258199999999</v>
      </c>
      <c r="Z499">
        <v>-1.8914590000000001E-3</v>
      </c>
      <c r="AA499">
        <v>0.99422940000000004</v>
      </c>
      <c r="AB499">
        <v>56</v>
      </c>
      <c r="AC499">
        <v>26.785999999999898</v>
      </c>
      <c r="AD499">
        <v>-1.158369</v>
      </c>
      <c r="AE499">
        <v>-3.17969999999996</v>
      </c>
      <c r="AF499">
        <v>2.9302177237513698</v>
      </c>
      <c r="AG499">
        <v>-1.158369</v>
      </c>
      <c r="AH499">
        <v>26.7644891622353</v>
      </c>
      <c r="AI499">
        <v>92.463516986603295</v>
      </c>
      <c r="AJ499">
        <v>83.752053098643998</v>
      </c>
      <c r="AK499">
        <v>26.949320487985599</v>
      </c>
      <c r="AL499">
        <v>80.893481919107998</v>
      </c>
      <c r="AM499">
        <v>86.431157545594303</v>
      </c>
      <c r="AN499">
        <v>1.00000002291569</v>
      </c>
    </row>
    <row r="500" spans="1:40" x14ac:dyDescent="0.25">
      <c r="A500" t="str">
        <f>"20190312164446333"</f>
        <v>20190312164446333</v>
      </c>
      <c r="B500" t="str">
        <f>"1552380286322181"</f>
        <v>1552380286322181</v>
      </c>
      <c r="C500" t="s">
        <v>40</v>
      </c>
      <c r="D500">
        <v>5.3239729999999996</v>
      </c>
      <c r="E500">
        <v>0.52023260000000004</v>
      </c>
      <c r="F500" t="s">
        <v>43</v>
      </c>
      <c r="G500">
        <v>-304.24040000000002</v>
      </c>
      <c r="H500">
        <v>-0.05</v>
      </c>
      <c r="I500">
        <v>363.8356</v>
      </c>
      <c r="J500">
        <v>-331.81720000000001</v>
      </c>
      <c r="K500">
        <v>1.108365</v>
      </c>
      <c r="L500">
        <v>367.08339999999998</v>
      </c>
      <c r="M500">
        <v>0.9998397</v>
      </c>
      <c r="N500">
        <v>0</v>
      </c>
      <c r="O500">
        <v>-9.1056990000000001E-3</v>
      </c>
      <c r="P500">
        <v>0.98705120000000002</v>
      </c>
      <c r="Q500">
        <v>0.14409549999999999</v>
      </c>
      <c r="R500">
        <v>-7.0475499999999996E-2</v>
      </c>
      <c r="S500">
        <v>3.0318909999999999</v>
      </c>
      <c r="T500">
        <v>-0.12555730000000001</v>
      </c>
      <c r="U500">
        <v>-0.35241699999999998</v>
      </c>
      <c r="V500">
        <v>6.1487279999999998E-2</v>
      </c>
      <c r="W500">
        <v>0.15931509999999999</v>
      </c>
      <c r="X500">
        <v>0.98531120000000005</v>
      </c>
      <c r="Y500">
        <v>0.1063265</v>
      </c>
      <c r="Z500">
        <v>-1.8176360000000001E-3</v>
      </c>
      <c r="AA500">
        <v>0.99432960000000004</v>
      </c>
      <c r="AB500">
        <v>56</v>
      </c>
      <c r="AC500">
        <v>27.576799999999899</v>
      </c>
      <c r="AD500">
        <v>-1.1583649999999901</v>
      </c>
      <c r="AE500">
        <v>-3.2477999999999798</v>
      </c>
      <c r="AF500">
        <v>2.9913236781016601</v>
      </c>
      <c r="AG500">
        <v>-1.1583649999999901</v>
      </c>
      <c r="AH500">
        <v>27.557275916960698</v>
      </c>
      <c r="AI500">
        <v>92.392960204946206</v>
      </c>
      <c r="AJ500">
        <v>83.804838304870898</v>
      </c>
      <c r="AK500">
        <v>27.743346639940501</v>
      </c>
      <c r="AL500">
        <v>80.832856258719701</v>
      </c>
      <c r="AM500">
        <v>86.429149291428601</v>
      </c>
      <c r="AN500">
        <v>1.00000007376762</v>
      </c>
    </row>
    <row r="501" spans="1:40" x14ac:dyDescent="0.25">
      <c r="A501" t="str">
        <f>"20190312164446344"</f>
        <v>20190312164446344</v>
      </c>
      <c r="B501" t="str">
        <f>"1552380286331942"</f>
        <v>1552380286331942</v>
      </c>
      <c r="C501" t="s">
        <v>40</v>
      </c>
      <c r="D501">
        <v>5.5749769999999996</v>
      </c>
      <c r="E501">
        <v>0.52002139999999997</v>
      </c>
      <c r="F501" t="s">
        <v>43</v>
      </c>
      <c r="G501">
        <v>-303.07499999999999</v>
      </c>
      <c r="H501">
        <v>-0.05</v>
      </c>
      <c r="I501">
        <v>363.76130000000001</v>
      </c>
      <c r="J501">
        <v>-331.5335</v>
      </c>
      <c r="K501">
        <v>1.108366</v>
      </c>
      <c r="L501">
        <v>367.08080000000001</v>
      </c>
      <c r="M501">
        <v>0.99983960000000005</v>
      </c>
      <c r="N501">
        <v>0</v>
      </c>
      <c r="O501">
        <v>-9.1051120000000003E-3</v>
      </c>
      <c r="P501">
        <v>0.9869966</v>
      </c>
      <c r="Q501">
        <v>0.14437169999999999</v>
      </c>
      <c r="R501">
        <v>-7.0672380000000007E-2</v>
      </c>
      <c r="S501">
        <v>3.0321660000000001</v>
      </c>
      <c r="T501">
        <v>-0.1222018</v>
      </c>
      <c r="U501">
        <v>-0.35046389999999999</v>
      </c>
      <c r="V501">
        <v>6.1685440000000001E-2</v>
      </c>
      <c r="W501">
        <v>0.15959000000000001</v>
      </c>
      <c r="X501">
        <v>0.98525419999999997</v>
      </c>
      <c r="Y501">
        <v>0.10568959999999999</v>
      </c>
      <c r="Z501">
        <v>-1.75624299999999E-3</v>
      </c>
      <c r="AA501">
        <v>0.99439759999999999</v>
      </c>
      <c r="AB501">
        <v>56</v>
      </c>
      <c r="AC501">
        <v>28.458500000000001</v>
      </c>
      <c r="AD501">
        <v>-1.158366</v>
      </c>
      <c r="AE501">
        <v>-3.3195000000000001</v>
      </c>
      <c r="AF501">
        <v>3.0552197990126202</v>
      </c>
      <c r="AG501">
        <v>-1.158366</v>
      </c>
      <c r="AH501">
        <v>28.441059691394901</v>
      </c>
      <c r="AI501">
        <v>92.318963802189998</v>
      </c>
      <c r="AJ501">
        <v>83.868636346753306</v>
      </c>
      <c r="AK501">
        <v>28.628133997515899</v>
      </c>
      <c r="AL501">
        <v>80.8169003732839</v>
      </c>
      <c r="AM501">
        <v>86.417464434776093</v>
      </c>
      <c r="AN501">
        <v>0.99999995011281495</v>
      </c>
    </row>
    <row r="502" spans="1:40" x14ac:dyDescent="0.25">
      <c r="A502" t="str">
        <f>"20190312164446357"</f>
        <v>20190312164446357</v>
      </c>
      <c r="B502" t="str">
        <f>"1552380286352437"</f>
        <v>1552380286352437</v>
      </c>
      <c r="C502" t="s">
        <v>40</v>
      </c>
      <c r="D502">
        <v>5.3339030000000003</v>
      </c>
      <c r="E502">
        <v>0.51974310000000001</v>
      </c>
      <c r="F502" t="s">
        <v>43</v>
      </c>
      <c r="G502">
        <v>-302.53680000000003</v>
      </c>
      <c r="H502">
        <v>-0.05</v>
      </c>
      <c r="I502">
        <v>363.74250000000001</v>
      </c>
      <c r="J502">
        <v>-331.2398</v>
      </c>
      <c r="K502">
        <v>1.1083620000000001</v>
      </c>
      <c r="L502">
        <v>367.07819999999998</v>
      </c>
      <c r="M502">
        <v>0.9998397</v>
      </c>
      <c r="N502">
        <v>0</v>
      </c>
      <c r="O502">
        <v>-9.1047630000000001E-3</v>
      </c>
      <c r="P502">
        <v>0.98693679999999995</v>
      </c>
      <c r="Q502">
        <v>0.14479979999999901</v>
      </c>
      <c r="R502">
        <v>-7.0632719999999996E-2</v>
      </c>
      <c r="S502">
        <v>3.0322269999999998</v>
      </c>
      <c r="T502">
        <v>-0.1211318</v>
      </c>
      <c r="U502">
        <v>-0.34909059999999997</v>
      </c>
      <c r="V502">
        <v>6.1646989999999999E-2</v>
      </c>
      <c r="W502">
        <v>0.16001689999999999</v>
      </c>
      <c r="X502">
        <v>0.98518740000000005</v>
      </c>
      <c r="Y502">
        <v>0.1052449</v>
      </c>
      <c r="Z502">
        <v>-1.7320510000000001E-3</v>
      </c>
      <c r="AA502">
        <v>0.99444480000000002</v>
      </c>
      <c r="AB502">
        <v>56</v>
      </c>
      <c r="AC502">
        <v>28.7029999999999</v>
      </c>
      <c r="AD502">
        <v>-1.1583619999999999</v>
      </c>
      <c r="AE502">
        <v>-3.3356999999999699</v>
      </c>
      <c r="AF502">
        <v>3.06926441429929</v>
      </c>
      <c r="AG502">
        <v>-1.1583619999999999</v>
      </c>
      <c r="AH502">
        <v>28.686086684599999</v>
      </c>
      <c r="AI502">
        <v>92.299273587322105</v>
      </c>
      <c r="AJ502">
        <v>83.892878782767298</v>
      </c>
      <c r="AK502">
        <v>28.873062806780801</v>
      </c>
      <c r="AL502">
        <v>80.792122714826604</v>
      </c>
      <c r="AM502">
        <v>86.419449574928095</v>
      </c>
      <c r="AN502">
        <v>0.99999998639021404</v>
      </c>
    </row>
    <row r="503" spans="1:40" x14ac:dyDescent="0.25">
      <c r="A503" t="str">
        <f>"20190312164446368"</f>
        <v>20190312164446368</v>
      </c>
      <c r="B503" t="str">
        <f>"1552380286362197"</f>
        <v>1552380286362197</v>
      </c>
      <c r="C503" t="s">
        <v>40</v>
      </c>
      <c r="D503">
        <v>5.2504150000000003</v>
      </c>
      <c r="E503">
        <v>0.51957180000000003</v>
      </c>
      <c r="F503" t="s">
        <v>43</v>
      </c>
      <c r="G503">
        <v>-302.53250000000003</v>
      </c>
      <c r="H503">
        <v>-0.05</v>
      </c>
      <c r="I503">
        <v>363.79640000000001</v>
      </c>
      <c r="J503">
        <v>-330.95659999999998</v>
      </c>
      <c r="K503">
        <v>1.1083609999999999</v>
      </c>
      <c r="L503">
        <v>367.07560000000001</v>
      </c>
      <c r="M503">
        <v>0.99983960000000005</v>
      </c>
      <c r="N503">
        <v>0</v>
      </c>
      <c r="O503">
        <v>-9.1042929999999994E-3</v>
      </c>
      <c r="P503">
        <v>0.98688439999999999</v>
      </c>
      <c r="Q503">
        <v>0.14511940000000001</v>
      </c>
      <c r="R503">
        <v>-7.0706920000000006E-2</v>
      </c>
      <c r="S503">
        <v>3.032867</v>
      </c>
      <c r="T503">
        <v>-0.1223785</v>
      </c>
      <c r="U503">
        <v>-0.34671020000000002</v>
      </c>
      <c r="V503">
        <v>6.172213E-2</v>
      </c>
      <c r="W503">
        <v>0.16033559999999999</v>
      </c>
      <c r="X503">
        <v>0.98513090000000003</v>
      </c>
      <c r="Y503">
        <v>0.10445020000000001</v>
      </c>
      <c r="Z503">
        <v>-1.7336179999999999E-3</v>
      </c>
      <c r="AA503">
        <v>0.99452859999999998</v>
      </c>
      <c r="AB503">
        <v>56</v>
      </c>
      <c r="AC503">
        <v>28.4240999999999</v>
      </c>
      <c r="AD503">
        <v>-1.158361</v>
      </c>
      <c r="AE503">
        <v>-3.2791999999999999</v>
      </c>
      <c r="AF503">
        <v>3.0153099239311798</v>
      </c>
      <c r="AG503">
        <v>-1.158361</v>
      </c>
      <c r="AH503">
        <v>28.406222949245301</v>
      </c>
      <c r="AI503">
        <v>92.322106403786293</v>
      </c>
      <c r="AJ503">
        <v>83.940764458657199</v>
      </c>
      <c r="AK503">
        <v>28.589288140594</v>
      </c>
      <c r="AL503">
        <v>80.773623899768396</v>
      </c>
      <c r="AM503">
        <v>86.414891636397996</v>
      </c>
      <c r="AN503">
        <v>1.00000000804695</v>
      </c>
    </row>
    <row r="504" spans="1:40" x14ac:dyDescent="0.25">
      <c r="A504" t="str">
        <f>"20190312164446380"</f>
        <v>20190312164446380</v>
      </c>
      <c r="B504" t="str">
        <f>"1552380286371957"</f>
        <v>1552380286371957</v>
      </c>
      <c r="C504" t="s">
        <v>40</v>
      </c>
      <c r="D504">
        <v>5.4059699999999999</v>
      </c>
      <c r="E504">
        <v>0.51950200000000002</v>
      </c>
      <c r="F504" t="s">
        <v>43</v>
      </c>
      <c r="G504">
        <v>-302.26510000000002</v>
      </c>
      <c r="H504">
        <v>-0.05</v>
      </c>
      <c r="I504">
        <v>363.80860000000001</v>
      </c>
      <c r="J504">
        <v>-330.66520000000003</v>
      </c>
      <c r="K504">
        <v>1.10836</v>
      </c>
      <c r="L504">
        <v>367.0729</v>
      </c>
      <c r="M504">
        <v>0.99983949999999999</v>
      </c>
      <c r="N504">
        <v>0</v>
      </c>
      <c r="O504">
        <v>-9.1038219999999993E-3</v>
      </c>
      <c r="P504">
        <v>0.98688290000000001</v>
      </c>
      <c r="Q504">
        <v>0.14512829999999999</v>
      </c>
      <c r="R504">
        <v>-7.0711120000000002E-2</v>
      </c>
      <c r="S504">
        <v>3.0331419999999998</v>
      </c>
      <c r="T504">
        <v>-0.122457</v>
      </c>
      <c r="U504">
        <v>-0.34536739999999999</v>
      </c>
      <c r="V504">
        <v>6.1726980000000001E-2</v>
      </c>
      <c r="W504">
        <v>0.16034399999999999</v>
      </c>
      <c r="X504">
        <v>0.98512920000000004</v>
      </c>
      <c r="Y504">
        <v>0.1040061</v>
      </c>
      <c r="Z504">
        <v>-1.725704E-3</v>
      </c>
      <c r="AA504">
        <v>0.99457510000000005</v>
      </c>
      <c r="AB504">
        <v>56</v>
      </c>
      <c r="AC504">
        <v>28.400099999999998</v>
      </c>
      <c r="AD504">
        <v>-1.1583600000000001</v>
      </c>
      <c r="AE504">
        <v>-3.2642999999999902</v>
      </c>
      <c r="AF504">
        <v>3.0006576649532701</v>
      </c>
      <c r="AG504">
        <v>-1.1583600000000001</v>
      </c>
      <c r="AH504">
        <v>28.382043393027299</v>
      </c>
      <c r="AI504">
        <v>92.324184070867403</v>
      </c>
      <c r="AJ504">
        <v>83.964891313617102</v>
      </c>
      <c r="AK504">
        <v>28.563720546797299</v>
      </c>
      <c r="AL504">
        <v>80.773136041397507</v>
      </c>
      <c r="AM504">
        <v>86.414604489633305</v>
      </c>
      <c r="AN504">
        <v>0.99999997954427999</v>
      </c>
    </row>
    <row r="505" spans="1:40" x14ac:dyDescent="0.25">
      <c r="A505" t="str">
        <f>"20190312164446393"</f>
        <v>20190312164446393</v>
      </c>
      <c r="B505" t="str">
        <f>"1552380286382694"</f>
        <v>1552380286382694</v>
      </c>
      <c r="C505" t="s">
        <v>40</v>
      </c>
      <c r="D505">
        <v>5.4576229999999999</v>
      </c>
      <c r="E505">
        <v>0.51946959999999998</v>
      </c>
      <c r="F505" t="s">
        <v>43</v>
      </c>
      <c r="G505">
        <v>-302.12880000000001</v>
      </c>
      <c r="H505">
        <v>-0.05</v>
      </c>
      <c r="I505">
        <v>363.83010000000002</v>
      </c>
      <c r="J505">
        <v>-330.3494</v>
      </c>
      <c r="K505">
        <v>1.1083609999999999</v>
      </c>
      <c r="L505">
        <v>367.07</v>
      </c>
      <c r="M505">
        <v>0.99983960000000005</v>
      </c>
      <c r="N505">
        <v>0</v>
      </c>
      <c r="O505">
        <v>-9.1033490000000002E-3</v>
      </c>
      <c r="P505">
        <v>0.98684289999999997</v>
      </c>
      <c r="Q505">
        <v>0.14520920000000001</v>
      </c>
      <c r="R505">
        <v>-7.1101689999999995E-2</v>
      </c>
      <c r="S505">
        <v>3.0332949999999999</v>
      </c>
      <c r="T505">
        <v>-0.1231288</v>
      </c>
      <c r="U505">
        <v>-0.344696</v>
      </c>
      <c r="V505">
        <v>6.2118499999999903E-2</v>
      </c>
      <c r="W505">
        <v>0.16042409999999999</v>
      </c>
      <c r="X505">
        <v>0.98509159999999996</v>
      </c>
      <c r="Y505">
        <v>0.103783</v>
      </c>
      <c r="Z505">
        <v>-1.730604E-3</v>
      </c>
      <c r="AA505">
        <v>0.99459839999999999</v>
      </c>
      <c r="AB505">
        <v>56</v>
      </c>
      <c r="AC505">
        <v>28.220599999999902</v>
      </c>
      <c r="AD505">
        <v>-1.158361</v>
      </c>
      <c r="AE505">
        <v>-3.2398999999999698</v>
      </c>
      <c r="AF505">
        <v>2.9778812369122099</v>
      </c>
      <c r="AG505">
        <v>-1.158361</v>
      </c>
      <c r="AH505">
        <v>28.202030394305801</v>
      </c>
      <c r="AI505">
        <v>92.339037300978504</v>
      </c>
      <c r="AJ505">
        <v>83.972415262926205</v>
      </c>
      <c r="AK505">
        <v>28.382461049542901</v>
      </c>
      <c r="AL505">
        <v>80.768486930288006</v>
      </c>
      <c r="AM505">
        <v>86.391785685167306</v>
      </c>
      <c r="AN505">
        <v>1.0000000301467999</v>
      </c>
    </row>
    <row r="506" spans="1:40" x14ac:dyDescent="0.25">
      <c r="A506" t="str">
        <f>"20190312164446412"</f>
        <v>20190312164446412</v>
      </c>
      <c r="B506" t="str">
        <f>"1552380286402214"</f>
        <v>1552380286402214</v>
      </c>
      <c r="C506" t="s">
        <v>40</v>
      </c>
      <c r="D506">
        <v>5.308141</v>
      </c>
      <c r="E506">
        <v>0.519171099999999</v>
      </c>
      <c r="F506" t="s">
        <v>43</v>
      </c>
      <c r="G506">
        <v>-302.07459999999998</v>
      </c>
      <c r="H506">
        <v>-0.05</v>
      </c>
      <c r="I506">
        <v>363.84710000000001</v>
      </c>
      <c r="J506">
        <v>-329.84989999999999</v>
      </c>
      <c r="K506">
        <v>1.1083620000000001</v>
      </c>
      <c r="L506">
        <v>367.06549999999999</v>
      </c>
      <c r="M506">
        <v>0.99983960000000005</v>
      </c>
      <c r="N506">
        <v>0</v>
      </c>
      <c r="O506">
        <v>-9.1026370000000002E-3</v>
      </c>
      <c r="P506">
        <v>0.98674680000000003</v>
      </c>
      <c r="Q506">
        <v>0.14550479999999999</v>
      </c>
      <c r="R506">
        <v>-7.1827489999999994E-2</v>
      </c>
      <c r="S506">
        <v>3.0333860000000001</v>
      </c>
      <c r="T506">
        <v>-0.1242714</v>
      </c>
      <c r="U506">
        <v>-0.34576420000000002</v>
      </c>
      <c r="V506">
        <v>6.284621E-2</v>
      </c>
      <c r="W506">
        <v>0.1607172</v>
      </c>
      <c r="X506">
        <v>0.98499760000000003</v>
      </c>
      <c r="Y506">
        <v>0.1041243</v>
      </c>
      <c r="Z506">
        <v>-1.7535610000000001E-3</v>
      </c>
      <c r="AA506">
        <v>0.99456270000000002</v>
      </c>
      <c r="AB506">
        <v>56</v>
      </c>
      <c r="AC506">
        <v>27.775300000000001</v>
      </c>
      <c r="AD506">
        <v>-1.1583619999999999</v>
      </c>
      <c r="AE506">
        <v>-3.2183999999999702</v>
      </c>
      <c r="AF506">
        <v>2.9603274336854302</v>
      </c>
      <c r="AG506">
        <v>-1.1583619999999999</v>
      </c>
      <c r="AH506">
        <v>27.755812686579901</v>
      </c>
      <c r="AI506">
        <v>92.3763349011721</v>
      </c>
      <c r="AJ506">
        <v>83.912069031812095</v>
      </c>
      <c r="AK506">
        <v>27.9372596889921</v>
      </c>
      <c r="AL506">
        <v>80.751472190428998</v>
      </c>
      <c r="AM506">
        <v>86.349282146123102</v>
      </c>
      <c r="AN506">
        <v>0.99999996824648096</v>
      </c>
    </row>
    <row r="507" spans="1:40" x14ac:dyDescent="0.25">
      <c r="A507" t="str">
        <f>"20190312164446425"</f>
        <v>20190312164446425</v>
      </c>
      <c r="B507" t="str">
        <f>"1552380286422710"</f>
        <v>1552380286422710</v>
      </c>
      <c r="C507" t="s">
        <v>40</v>
      </c>
      <c r="D507">
        <v>5.3395250000000001</v>
      </c>
      <c r="E507">
        <v>0.51894679999999904</v>
      </c>
      <c r="F507" t="s">
        <v>43</v>
      </c>
      <c r="G507">
        <v>-301.8218</v>
      </c>
      <c r="H507">
        <v>-0.05</v>
      </c>
      <c r="I507">
        <v>363.87290000000002</v>
      </c>
      <c r="J507">
        <v>-329.52949999999998</v>
      </c>
      <c r="K507">
        <v>1.10836</v>
      </c>
      <c r="L507">
        <v>367.06259999999997</v>
      </c>
      <c r="M507">
        <v>0.99983960000000005</v>
      </c>
      <c r="N507">
        <v>0</v>
      </c>
      <c r="O507">
        <v>-9.1021590000000003E-3</v>
      </c>
      <c r="P507">
        <v>0.98667400000000005</v>
      </c>
      <c r="Q507">
        <v>0.14580839999999901</v>
      </c>
      <c r="R507">
        <v>-7.2211510000000007E-2</v>
      </c>
      <c r="S507">
        <v>3.0336609999999999</v>
      </c>
      <c r="T507">
        <v>-0.1253773</v>
      </c>
      <c r="U507">
        <v>-0.34555049999999998</v>
      </c>
      <c r="V507">
        <v>6.3231449999999995E-2</v>
      </c>
      <c r="W507">
        <v>0.16101849999999901</v>
      </c>
      <c r="X507">
        <v>0.98492380000000002</v>
      </c>
      <c r="Y507">
        <v>0.1040442</v>
      </c>
      <c r="Z507">
        <v>-1.7673700000000001E-3</v>
      </c>
      <c r="AA507">
        <v>0.99457110000000004</v>
      </c>
      <c r="AB507">
        <v>55</v>
      </c>
      <c r="AC507">
        <v>27.7076999999999</v>
      </c>
      <c r="AD507">
        <v>-1.1583600000000001</v>
      </c>
      <c r="AE507">
        <v>-3.1896999999999598</v>
      </c>
      <c r="AF507">
        <v>2.932279992457</v>
      </c>
      <c r="AG507">
        <v>-1.1583600000000001</v>
      </c>
      <c r="AH507">
        <v>27.687829297107701</v>
      </c>
      <c r="AI507">
        <v>92.3823466506052</v>
      </c>
      <c r="AJ507">
        <v>83.954623764425307</v>
      </c>
      <c r="AK507">
        <v>27.866753578943101</v>
      </c>
      <c r="AL507">
        <v>80.733981770121801</v>
      </c>
      <c r="AM507">
        <v>86.326690277713894</v>
      </c>
      <c r="AN507">
        <v>1.00000003270889</v>
      </c>
    </row>
    <row r="508" spans="1:40" x14ac:dyDescent="0.25">
      <c r="A508" t="str">
        <f>"20190312164446439"</f>
        <v>20190312164446439</v>
      </c>
      <c r="B508" t="str">
        <f>"1552380286432470"</f>
        <v>1552380286432470</v>
      </c>
      <c r="C508" t="s">
        <v>40</v>
      </c>
      <c r="D508">
        <v>5.3944859999999997</v>
      </c>
      <c r="E508">
        <v>0.49115039999999999</v>
      </c>
      <c r="F508" t="s">
        <v>43</v>
      </c>
      <c r="G508">
        <v>-301.40269999999998</v>
      </c>
      <c r="H508">
        <v>-0.05</v>
      </c>
      <c r="I508">
        <v>363.86790000000002</v>
      </c>
      <c r="J508">
        <v>-329.21199999999999</v>
      </c>
      <c r="K508">
        <v>1.108363</v>
      </c>
      <c r="L508">
        <v>367.05970000000002</v>
      </c>
      <c r="M508">
        <v>0.99983960000000005</v>
      </c>
      <c r="N508">
        <v>0</v>
      </c>
      <c r="O508">
        <v>-9.1017979999999995E-3</v>
      </c>
      <c r="P508">
        <v>0.98663610000000002</v>
      </c>
      <c r="Q508">
        <v>0.145877799999999</v>
      </c>
      <c r="R508">
        <v>-7.258829E-2</v>
      </c>
      <c r="S508">
        <v>3.033722</v>
      </c>
      <c r="T508">
        <v>-0.12493899999999999</v>
      </c>
      <c r="U508">
        <v>-0.34457399999999999</v>
      </c>
      <c r="V508">
        <v>6.3609029999999997E-2</v>
      </c>
      <c r="W508">
        <v>0.16108620000000001</v>
      </c>
      <c r="X508">
        <v>0.9848884</v>
      </c>
      <c r="Y508">
        <v>0.1037271</v>
      </c>
      <c r="Z508">
        <v>-1.7547000000000001E-3</v>
      </c>
      <c r="AA508">
        <v>0.99460420000000005</v>
      </c>
      <c r="AB508">
        <v>55</v>
      </c>
      <c r="AC508">
        <v>27.8093</v>
      </c>
      <c r="AD508">
        <v>-1.15836299999999</v>
      </c>
      <c r="AE508">
        <v>-3.1918000000000002</v>
      </c>
      <c r="AF508">
        <v>2.93349944902968</v>
      </c>
      <c r="AG508">
        <v>-1.15836299999999</v>
      </c>
      <c r="AH508">
        <v>27.789613217338101</v>
      </c>
      <c r="AI508">
        <v>92.373722349173804</v>
      </c>
      <c r="AJ508">
        <v>83.974116305657603</v>
      </c>
      <c r="AK508">
        <v>27.9680143490109</v>
      </c>
      <c r="AL508">
        <v>80.730051388564604</v>
      </c>
      <c r="AM508">
        <v>86.304683636761396</v>
      </c>
      <c r="AN508">
        <v>1.0000000164912699</v>
      </c>
    </row>
    <row r="509" spans="1:40" x14ac:dyDescent="0.25">
      <c r="A509" t="str">
        <f>"20190312164446451"</f>
        <v>20190312164446451</v>
      </c>
      <c r="B509" t="str">
        <f>"1552380286442229"</f>
        <v>1552380286442229</v>
      </c>
      <c r="C509" t="s">
        <v>40</v>
      </c>
      <c r="D509">
        <v>5.3731770000000001</v>
      </c>
      <c r="E509">
        <v>0.490373</v>
      </c>
      <c r="F509" t="s">
        <v>43</v>
      </c>
      <c r="G509">
        <v>-303.79259999999999</v>
      </c>
      <c r="H509">
        <v>-0.05</v>
      </c>
      <c r="I509">
        <v>366.02569999999997</v>
      </c>
      <c r="J509">
        <v>-328.88549999999998</v>
      </c>
      <c r="K509">
        <v>1.1083609999999999</v>
      </c>
      <c r="L509">
        <v>367.05669999999998</v>
      </c>
      <c r="M509">
        <v>0.99983960000000005</v>
      </c>
      <c r="N509">
        <v>0</v>
      </c>
      <c r="O509">
        <v>-9.1014359999999992E-3</v>
      </c>
      <c r="P509">
        <v>0.98657859999999997</v>
      </c>
      <c r="Q509">
        <v>0.14613219999999999</v>
      </c>
      <c r="R509">
        <v>-7.2855669999999997E-2</v>
      </c>
      <c r="S509">
        <v>3.052063</v>
      </c>
      <c r="T509">
        <v>-0.13908280000000001</v>
      </c>
      <c r="U509">
        <v>-0.12414550000000001</v>
      </c>
      <c r="V509">
        <v>6.3877349999999999E-2</v>
      </c>
      <c r="W509">
        <v>0.16133900000000001</v>
      </c>
      <c r="X509">
        <v>0.98482970000000003</v>
      </c>
      <c r="Y509">
        <v>3.1522420000000002E-2</v>
      </c>
      <c r="Z509">
        <v>-3.0317810000000001E-4</v>
      </c>
      <c r="AA509">
        <v>0.99950300000000003</v>
      </c>
      <c r="AB509">
        <v>55</v>
      </c>
      <c r="AC509">
        <v>25.092899999999901</v>
      </c>
      <c r="AD509">
        <v>-1.158361</v>
      </c>
      <c r="AE509">
        <v>-1.0309999999999999</v>
      </c>
      <c r="AF509">
        <v>0.800844953357712</v>
      </c>
      <c r="AG509">
        <v>-1.158361</v>
      </c>
      <c r="AH509">
        <v>25.0479575585682</v>
      </c>
      <c r="AI509">
        <v>92.646448068877206</v>
      </c>
      <c r="AJ509">
        <v>88.168736504899499</v>
      </c>
      <c r="AK509">
        <v>25.087513441978899</v>
      </c>
      <c r="AL509">
        <v>80.715375483974995</v>
      </c>
      <c r="AM509">
        <v>86.288918696959499</v>
      </c>
      <c r="AN509">
        <v>1.0000000633830499</v>
      </c>
    </row>
    <row r="510" spans="1:40" x14ac:dyDescent="0.25">
      <c r="A510" t="str">
        <f>"20190312164446469"</f>
        <v>20190312164446469</v>
      </c>
      <c r="B510" t="str">
        <f>"1552380286462480"</f>
        <v>1552380286462480</v>
      </c>
      <c r="C510" t="s">
        <v>40</v>
      </c>
      <c r="D510">
        <v>5.3902199999999896</v>
      </c>
      <c r="E510">
        <v>0.49198969999999997</v>
      </c>
      <c r="F510" t="s">
        <v>43</v>
      </c>
      <c r="G510">
        <v>-302.08760000000001</v>
      </c>
      <c r="H510">
        <v>-0.05</v>
      </c>
      <c r="I510">
        <v>366.0147</v>
      </c>
      <c r="J510">
        <v>-328.46039999999999</v>
      </c>
      <c r="K510">
        <v>1.1083559999999999</v>
      </c>
      <c r="L510">
        <v>367.05279999999999</v>
      </c>
      <c r="M510">
        <v>0.99983979999999995</v>
      </c>
      <c r="N510">
        <v>0</v>
      </c>
      <c r="O510">
        <v>-9.1013090000000001E-3</v>
      </c>
      <c r="P510">
        <v>0.98650199999999999</v>
      </c>
      <c r="Q510">
        <v>0.14634829999999999</v>
      </c>
      <c r="R510">
        <v>-7.3459469999999999E-2</v>
      </c>
      <c r="S510">
        <v>3.0516049999999999</v>
      </c>
      <c r="T510">
        <v>-0.1319081</v>
      </c>
      <c r="U510">
        <v>-0.1186523</v>
      </c>
      <c r="V510">
        <v>6.4482159999999997E-2</v>
      </c>
      <c r="W510">
        <v>0.1615521</v>
      </c>
      <c r="X510">
        <v>0.9847553</v>
      </c>
      <c r="Y510">
        <v>2.9736220000000001E-2</v>
      </c>
      <c r="Z510">
        <v>-2.49039E-4</v>
      </c>
      <c r="AA510">
        <v>0.99955769999999999</v>
      </c>
      <c r="AB510">
        <v>55</v>
      </c>
      <c r="AC510">
        <v>26.372799999999899</v>
      </c>
      <c r="AD510">
        <v>-1.1583559999999999</v>
      </c>
      <c r="AE510">
        <v>-1.03809999999998</v>
      </c>
      <c r="AF510">
        <v>0.79646733102122003</v>
      </c>
      <c r="AG510">
        <v>-1.1583559999999999</v>
      </c>
      <c r="AH510">
        <v>26.330439186449698</v>
      </c>
      <c r="AI510">
        <v>92.517840981099098</v>
      </c>
      <c r="AJ510">
        <v>88.2673929018639</v>
      </c>
      <c r="AK510">
        <v>26.367938421185801</v>
      </c>
      <c r="AL510">
        <v>80.703003003326501</v>
      </c>
      <c r="AM510">
        <v>86.253598426261107</v>
      </c>
      <c r="AN510">
        <v>1.0000000154253801</v>
      </c>
    </row>
    <row r="511" spans="1:40" x14ac:dyDescent="0.25">
      <c r="A511" t="str">
        <f>"20190312164446482"</f>
        <v>20190312164446482</v>
      </c>
      <c r="B511" t="str">
        <f>"1552380286472239"</f>
        <v>1552380286472239</v>
      </c>
      <c r="C511" t="s">
        <v>40</v>
      </c>
      <c r="D511">
        <v>5.6664329999999996</v>
      </c>
      <c r="E511">
        <v>0.49164580000000002</v>
      </c>
      <c r="F511" t="s">
        <v>43</v>
      </c>
      <c r="G511">
        <v>-303.9529</v>
      </c>
      <c r="H511">
        <v>-0.05</v>
      </c>
      <c r="I511">
        <v>365.98610000000002</v>
      </c>
      <c r="J511">
        <v>-328.1361</v>
      </c>
      <c r="K511">
        <v>1.1083529999999999</v>
      </c>
      <c r="L511">
        <v>367.04989999999998</v>
      </c>
      <c r="M511">
        <v>0.99983979999999995</v>
      </c>
      <c r="N511">
        <v>0</v>
      </c>
      <c r="O511">
        <v>-9.1009449999999992E-3</v>
      </c>
      <c r="P511">
        <v>0.9864733</v>
      </c>
      <c r="Q511">
        <v>0.14654229999999999</v>
      </c>
      <c r="R511">
        <v>-7.3457960000000003E-2</v>
      </c>
      <c r="S511">
        <v>3.0525820000000001</v>
      </c>
      <c r="T511">
        <v>-0.14428150000000001</v>
      </c>
      <c r="U511">
        <v>-0.13287349999999901</v>
      </c>
      <c r="V511">
        <v>6.4481330000000003E-2</v>
      </c>
      <c r="W511">
        <v>0.1617441</v>
      </c>
      <c r="X511">
        <v>0.98472380000000004</v>
      </c>
      <c r="Y511">
        <v>3.4363709999999999E-2</v>
      </c>
      <c r="Z511">
        <v>-3.8152889999999999E-4</v>
      </c>
      <c r="AA511">
        <v>0.99940929999999994</v>
      </c>
      <c r="AB511">
        <v>55</v>
      </c>
      <c r="AC511">
        <v>24.183199999999999</v>
      </c>
      <c r="AD511">
        <v>-1.158353</v>
      </c>
      <c r="AE511">
        <v>-1.0637999999999499</v>
      </c>
      <c r="AF511">
        <v>0.84171238482893995</v>
      </c>
      <c r="AG511">
        <v>-1.158353</v>
      </c>
      <c r="AH511">
        <v>24.1366107631817</v>
      </c>
      <c r="AI511">
        <v>92.745937661033196</v>
      </c>
      <c r="AJ511">
        <v>88.002742296904401</v>
      </c>
      <c r="AK511">
        <v>24.179045484566199</v>
      </c>
      <c r="AL511">
        <v>80.691855266809796</v>
      </c>
      <c r="AM511">
        <v>86.253527012229199</v>
      </c>
      <c r="AN511">
        <v>0.999999979044909</v>
      </c>
    </row>
    <row r="512" spans="1:40" x14ac:dyDescent="0.25">
      <c r="A512" t="str">
        <f>"20190312164446494"</f>
        <v>20190312164446494</v>
      </c>
      <c r="B512" t="str">
        <f>"1552380286482000"</f>
        <v>1552380286482000</v>
      </c>
      <c r="C512" t="s">
        <v>40</v>
      </c>
      <c r="D512">
        <v>5.4651699999999996</v>
      </c>
      <c r="E512">
        <v>0.49226029999999998</v>
      </c>
      <c r="F512" t="s">
        <v>43</v>
      </c>
      <c r="G512">
        <v>-303.185</v>
      </c>
      <c r="H512">
        <v>-0.05</v>
      </c>
      <c r="I512">
        <v>365.9862</v>
      </c>
      <c r="J512">
        <v>-327.84519999999998</v>
      </c>
      <c r="K512">
        <v>1.1083540000000001</v>
      </c>
      <c r="L512">
        <v>367.04719999999998</v>
      </c>
      <c r="M512">
        <v>0.99983979999999995</v>
      </c>
      <c r="N512">
        <v>0</v>
      </c>
      <c r="O512">
        <v>-9.1005809999999999E-3</v>
      </c>
      <c r="P512">
        <v>0.98648959999999997</v>
      </c>
      <c r="Q512">
        <v>0.14640339999999999</v>
      </c>
      <c r="R512">
        <v>-7.3515849999999994E-2</v>
      </c>
      <c r="S512">
        <v>3.0524900000000001</v>
      </c>
      <c r="T512">
        <v>-0.14171159999999999</v>
      </c>
      <c r="U512">
        <v>-0.13012699999999999</v>
      </c>
      <c r="V512">
        <v>6.4539310000000003E-2</v>
      </c>
      <c r="W512">
        <v>0.16160439999999901</v>
      </c>
      <c r="X512">
        <v>0.98474289999999998</v>
      </c>
      <c r="Y512">
        <v>3.3469730000000003E-2</v>
      </c>
      <c r="Z512">
        <v>-3.5404430000000002E-4</v>
      </c>
      <c r="AA512">
        <v>0.99943970000000004</v>
      </c>
      <c r="AB512">
        <v>55</v>
      </c>
      <c r="AC512">
        <v>24.6601999999999</v>
      </c>
      <c r="AD512">
        <v>-1.1583540000000001</v>
      </c>
      <c r="AE512">
        <v>-1.06099999999997</v>
      </c>
      <c r="AF512">
        <v>0.83466901104036595</v>
      </c>
      <c r="AG512">
        <v>-1.1583540000000001</v>
      </c>
      <c r="AH512">
        <v>24.6146254079549</v>
      </c>
      <c r="AI512">
        <v>92.692782264614095</v>
      </c>
      <c r="AJ512">
        <v>88.057874387126702</v>
      </c>
      <c r="AK512">
        <v>24.655998059726699</v>
      </c>
      <c r="AL512">
        <v>80.699965844450702</v>
      </c>
      <c r="AM512">
        <v>86.250240408333596</v>
      </c>
      <c r="AN512">
        <v>0.99999994186752095</v>
      </c>
    </row>
    <row r="513" spans="1:40" x14ac:dyDescent="0.25">
      <c r="A513" t="str">
        <f>"20190312164446508"</f>
        <v>20190312164446508</v>
      </c>
      <c r="B513" t="str">
        <f>"1552380286502496"</f>
        <v>1552380286502496</v>
      </c>
      <c r="C513" t="s">
        <v>40</v>
      </c>
      <c r="D513">
        <v>5.3916709999999997</v>
      </c>
      <c r="E513">
        <v>0.49301279999999997</v>
      </c>
      <c r="F513" t="s">
        <v>43</v>
      </c>
      <c r="G513">
        <v>-304.83839999999998</v>
      </c>
      <c r="H513">
        <v>-0.05</v>
      </c>
      <c r="I513">
        <v>366.03059999999999</v>
      </c>
      <c r="J513">
        <v>-327.5009</v>
      </c>
      <c r="K513">
        <v>1.1083529999999999</v>
      </c>
      <c r="L513">
        <v>367.04410000000001</v>
      </c>
      <c r="M513">
        <v>0.99983979999999995</v>
      </c>
      <c r="N513">
        <v>0</v>
      </c>
      <c r="O513">
        <v>-9.100215E-3</v>
      </c>
      <c r="P513">
        <v>0.98650090000000001</v>
      </c>
      <c r="Q513">
        <v>0.14650850000000001</v>
      </c>
      <c r="R513">
        <v>-7.3153540000000003E-2</v>
      </c>
      <c r="S513">
        <v>3.0538639999999999</v>
      </c>
      <c r="T513">
        <v>-0.153757</v>
      </c>
      <c r="U513">
        <v>-0.1349487</v>
      </c>
      <c r="V513">
        <v>6.4177289999999998E-2</v>
      </c>
      <c r="W513">
        <v>0.161708399999999</v>
      </c>
      <c r="X513">
        <v>0.9847496</v>
      </c>
      <c r="Y513">
        <v>3.5019420000000002E-2</v>
      </c>
      <c r="Z513">
        <v>-4.2290349999999998E-4</v>
      </c>
      <c r="AA513">
        <v>0.99938649999999996</v>
      </c>
      <c r="AB513">
        <v>55</v>
      </c>
      <c r="AC513">
        <v>22.662500000000001</v>
      </c>
      <c r="AD513">
        <v>-1.158353</v>
      </c>
      <c r="AE513">
        <v>-1.0135000000000201</v>
      </c>
      <c r="AF513">
        <v>0.80510072460330295</v>
      </c>
      <c r="AG513">
        <v>-1.158353</v>
      </c>
      <c r="AH513">
        <v>22.611828698108901</v>
      </c>
      <c r="AI513">
        <v>92.930716233005796</v>
      </c>
      <c r="AJ513">
        <v>87.960828558205193</v>
      </c>
      <c r="AK513">
        <v>22.6557887949633</v>
      </c>
      <c r="AL513">
        <v>80.693928706307702</v>
      </c>
      <c r="AM513">
        <v>86.271239706714894</v>
      </c>
      <c r="AN513">
        <v>1.0000000529412301</v>
      </c>
    </row>
    <row r="514" spans="1:40" x14ac:dyDescent="0.25">
      <c r="A514" t="str">
        <f>"20190312164446524"</f>
        <v>20190312164446524</v>
      </c>
      <c r="B514" t="str">
        <f>"1552380286512256"</f>
        <v>1552380286512256</v>
      </c>
      <c r="C514" t="s">
        <v>40</v>
      </c>
      <c r="D514">
        <v>5.3403549999999997</v>
      </c>
      <c r="E514">
        <v>0.49223270000000002</v>
      </c>
      <c r="F514" t="s">
        <v>43</v>
      </c>
      <c r="G514">
        <v>-305.12810000000002</v>
      </c>
      <c r="H514">
        <v>-0.05</v>
      </c>
      <c r="I514">
        <v>366.01839999999999</v>
      </c>
      <c r="J514">
        <v>-327.10109999999997</v>
      </c>
      <c r="K514">
        <v>1.1083510000000001</v>
      </c>
      <c r="L514">
        <v>367.04039999999998</v>
      </c>
      <c r="M514">
        <v>0.99983979999999995</v>
      </c>
      <c r="N514">
        <v>0</v>
      </c>
      <c r="O514">
        <v>-9.099846E-3</v>
      </c>
      <c r="P514">
        <v>0.98653930000000001</v>
      </c>
      <c r="Q514">
        <v>0.1464877</v>
      </c>
      <c r="R514">
        <v>-7.2673479999999999E-2</v>
      </c>
      <c r="S514">
        <v>3.054138</v>
      </c>
      <c r="T514">
        <v>-0.15812860000000001</v>
      </c>
      <c r="U514">
        <v>-0.14001459999999999</v>
      </c>
      <c r="V514">
        <v>6.3697519999999994E-2</v>
      </c>
      <c r="W514">
        <v>0.1616862</v>
      </c>
      <c r="X514">
        <v>0.9847844</v>
      </c>
      <c r="Y514">
        <v>3.6666030000000002E-2</v>
      </c>
      <c r="Z514">
        <v>-4.774526E-4</v>
      </c>
      <c r="AA514">
        <v>0.99932750000000004</v>
      </c>
      <c r="AB514">
        <v>55</v>
      </c>
      <c r="AC514">
        <v>21.9729999999999</v>
      </c>
      <c r="AD514">
        <v>-1.1583509999999999</v>
      </c>
      <c r="AE514">
        <v>-1.02199999999999</v>
      </c>
      <c r="AF514">
        <v>0.81970987838627196</v>
      </c>
      <c r="AG514">
        <v>-1.1583509999999999</v>
      </c>
      <c r="AH514">
        <v>21.920603460912801</v>
      </c>
      <c r="AI514">
        <v>93.022760103043098</v>
      </c>
      <c r="AJ514">
        <v>87.858451145236103</v>
      </c>
      <c r="AK514">
        <v>21.9664871432486</v>
      </c>
      <c r="AL514">
        <v>80.695217680902999</v>
      </c>
      <c r="AM514">
        <v>86.299167447539205</v>
      </c>
      <c r="AN514">
        <v>1.0000000579039701</v>
      </c>
    </row>
    <row r="515" spans="1:40" x14ac:dyDescent="0.25">
      <c r="A515" t="str">
        <f>"20190312164446535"</f>
        <v>20190312164446535</v>
      </c>
      <c r="B515" t="str">
        <f>"1552380286531776"</f>
        <v>1552380286531776</v>
      </c>
      <c r="C515" t="s">
        <v>40</v>
      </c>
      <c r="D515">
        <v>5.4056329999999999</v>
      </c>
      <c r="E515">
        <v>0.49188140000000002</v>
      </c>
      <c r="F515" t="s">
        <v>43</v>
      </c>
      <c r="G515">
        <v>-304.71010000000001</v>
      </c>
      <c r="H515">
        <v>-0.05</v>
      </c>
      <c r="I515">
        <v>366.0718</v>
      </c>
      <c r="J515">
        <v>-326.8177</v>
      </c>
      <c r="K515">
        <v>1.108355</v>
      </c>
      <c r="L515">
        <v>367.03789999999998</v>
      </c>
      <c r="M515">
        <v>0.99983979999999995</v>
      </c>
      <c r="N515">
        <v>0</v>
      </c>
      <c r="O515">
        <v>-9.0997179999999997E-3</v>
      </c>
      <c r="P515">
        <v>0.9865351</v>
      </c>
      <c r="Q515">
        <v>0.14664820000000001</v>
      </c>
      <c r="R515">
        <v>-7.2410730000000006E-2</v>
      </c>
      <c r="S515">
        <v>3.0546880000000001</v>
      </c>
      <c r="T515">
        <v>-0.158027799999999</v>
      </c>
      <c r="U515">
        <v>-0.13214110000000001</v>
      </c>
      <c r="V515">
        <v>6.3434760000000007E-2</v>
      </c>
      <c r="W515">
        <v>0.16184479999999901</v>
      </c>
      <c r="X515">
        <v>0.98477519999999996</v>
      </c>
      <c r="Y515">
        <v>3.4090620000000002E-2</v>
      </c>
      <c r="Z515">
        <v>-4.1055429999999998E-4</v>
      </c>
      <c r="AA515">
        <v>0.99941869999999999</v>
      </c>
      <c r="AB515">
        <v>55</v>
      </c>
      <c r="AC515">
        <v>22.107599999999898</v>
      </c>
      <c r="AD515">
        <v>-1.158355</v>
      </c>
      <c r="AE515">
        <v>-0.96609999999998297</v>
      </c>
      <c r="AF515">
        <v>0.76277306521607202</v>
      </c>
      <c r="AG515">
        <v>-1.158355</v>
      </c>
      <c r="AH515">
        <v>22.055042993963401</v>
      </c>
      <c r="AI515">
        <v>93.004681520515405</v>
      </c>
      <c r="AJ515">
        <v>88.019216515825704</v>
      </c>
      <c r="AK515">
        <v>22.098609244036599</v>
      </c>
      <c r="AL515">
        <v>80.686008287407603</v>
      </c>
      <c r="AM515">
        <v>86.314357328920593</v>
      </c>
      <c r="AN515">
        <v>0.99999995129916697</v>
      </c>
    </row>
    <row r="516" spans="1:40" x14ac:dyDescent="0.25">
      <c r="A516" t="str">
        <f>"20190312164446546"</f>
        <v>20190312164446546</v>
      </c>
      <c r="B516" t="str">
        <f>"1552380286542512"</f>
        <v>1552380286542512</v>
      </c>
      <c r="C516" t="s">
        <v>40</v>
      </c>
      <c r="D516">
        <v>5.4177460000000002</v>
      </c>
      <c r="E516">
        <v>0.49179709999999899</v>
      </c>
      <c r="F516" t="s">
        <v>43</v>
      </c>
      <c r="G516">
        <v>-303.65730000000002</v>
      </c>
      <c r="H516">
        <v>-0.05</v>
      </c>
      <c r="I516">
        <v>366.06569999999999</v>
      </c>
      <c r="J516">
        <v>-326.53739999999999</v>
      </c>
      <c r="K516">
        <v>1.108358</v>
      </c>
      <c r="L516">
        <v>367.03530000000001</v>
      </c>
      <c r="M516">
        <v>0.99983999999999995</v>
      </c>
      <c r="N516">
        <v>0</v>
      </c>
      <c r="O516">
        <v>-9.0994700000000001E-3</v>
      </c>
      <c r="P516">
        <v>0.98655499999999996</v>
      </c>
      <c r="Q516">
        <v>0.14667269999999999</v>
      </c>
      <c r="R516">
        <v>-7.2090370000000001E-2</v>
      </c>
      <c r="S516">
        <v>3.05423</v>
      </c>
      <c r="T516">
        <v>-0.15275529999999901</v>
      </c>
      <c r="U516">
        <v>-0.12820429999999999</v>
      </c>
      <c r="V516">
        <v>6.3114400000000001E-2</v>
      </c>
      <c r="W516">
        <v>0.16186879999999901</v>
      </c>
      <c r="X516">
        <v>0.98479190000000005</v>
      </c>
      <c r="Y516">
        <v>3.2815200000000003E-2</v>
      </c>
      <c r="Z516">
        <v>-3.6509500000000001E-4</v>
      </c>
      <c r="AA516">
        <v>0.99946140000000006</v>
      </c>
      <c r="AB516">
        <v>55</v>
      </c>
      <c r="AC516">
        <v>22.880099999999899</v>
      </c>
      <c r="AD516">
        <v>-1.158358</v>
      </c>
      <c r="AE516">
        <v>-0.96960000000001401</v>
      </c>
      <c r="AF516">
        <v>0.759395434533224</v>
      </c>
      <c r="AG516">
        <v>-1.158358</v>
      </c>
      <c r="AH516">
        <v>22.829566274139498</v>
      </c>
      <c r="AI516">
        <v>92.903058388904199</v>
      </c>
      <c r="AJ516">
        <v>88.094833869965896</v>
      </c>
      <c r="AK516">
        <v>22.8715450056939</v>
      </c>
      <c r="AL516">
        <v>80.684615376714703</v>
      </c>
      <c r="AM516">
        <v>86.332981763270993</v>
      </c>
      <c r="AN516">
        <v>1.0000000111031999</v>
      </c>
    </row>
    <row r="517" spans="1:40" x14ac:dyDescent="0.25">
      <c r="A517" t="str">
        <f>"20190312164446558"</f>
        <v>20190312164446558</v>
      </c>
      <c r="B517" t="str">
        <f>"1552380286552272"</f>
        <v>1552380286552272</v>
      </c>
      <c r="C517" t="s">
        <v>40</v>
      </c>
      <c r="D517">
        <v>5.4588140000000003</v>
      </c>
      <c r="E517">
        <v>0.49168830000000002</v>
      </c>
      <c r="F517" t="s">
        <v>43</v>
      </c>
      <c r="G517">
        <v>-303.19959999999998</v>
      </c>
      <c r="H517">
        <v>-0.05</v>
      </c>
      <c r="I517">
        <v>366.06670000000003</v>
      </c>
      <c r="J517">
        <v>-326.27710000000002</v>
      </c>
      <c r="K517">
        <v>1.10836</v>
      </c>
      <c r="L517">
        <v>367.03300000000002</v>
      </c>
      <c r="M517">
        <v>0.9998399</v>
      </c>
      <c r="N517">
        <v>0</v>
      </c>
      <c r="O517">
        <v>-9.099223E-3</v>
      </c>
      <c r="P517">
        <v>0.98655619999999999</v>
      </c>
      <c r="Q517">
        <v>0.14683959999999999</v>
      </c>
      <c r="R517">
        <v>-7.1731050000000005E-2</v>
      </c>
      <c r="S517">
        <v>3.0541689999999999</v>
      </c>
      <c r="T517">
        <v>-0.15159149999999999</v>
      </c>
      <c r="U517">
        <v>-0.12676999999999999</v>
      </c>
      <c r="V517">
        <v>6.275567E-2</v>
      </c>
      <c r="W517">
        <v>0.1620335</v>
      </c>
      <c r="X517">
        <v>0.98478779999999999</v>
      </c>
      <c r="Y517">
        <v>3.2348740000000001E-2</v>
      </c>
      <c r="Z517">
        <v>-3.507758E-4</v>
      </c>
      <c r="AA517">
        <v>0.99947660000000005</v>
      </c>
      <c r="AB517">
        <v>55</v>
      </c>
      <c r="AC517">
        <v>23.077500000000001</v>
      </c>
      <c r="AD517">
        <v>-1.1583600000000001</v>
      </c>
      <c r="AE517">
        <v>-0.96629999999998895</v>
      </c>
      <c r="AF517">
        <v>0.75435050156782602</v>
      </c>
      <c r="AG517">
        <v>-1.1583600000000001</v>
      </c>
      <c r="AH517">
        <v>23.027422603391301</v>
      </c>
      <c r="AI517">
        <v>92.878209637916797</v>
      </c>
      <c r="AJ517">
        <v>88.123730563978199</v>
      </c>
      <c r="AK517">
        <v>23.0688758790712</v>
      </c>
      <c r="AL517">
        <v>80.675053075893601</v>
      </c>
      <c r="AM517">
        <v>86.353752855679403</v>
      </c>
      <c r="AN517">
        <v>1.0000000701341101</v>
      </c>
    </row>
    <row r="518" spans="1:40" x14ac:dyDescent="0.25">
      <c r="A518" t="str">
        <f>"20190312164446569"</f>
        <v>20190312164446569</v>
      </c>
      <c r="B518" t="str">
        <f>"1552380286562032"</f>
        <v>1552380286562032</v>
      </c>
      <c r="C518" t="s">
        <v>40</v>
      </c>
      <c r="D518">
        <v>5.4443219999999997</v>
      </c>
      <c r="E518">
        <v>0.49149700000000002</v>
      </c>
      <c r="F518" t="s">
        <v>43</v>
      </c>
      <c r="G518">
        <v>-302.6814</v>
      </c>
      <c r="H518">
        <v>-0.05</v>
      </c>
      <c r="I518">
        <v>366.0677</v>
      </c>
      <c r="J518">
        <v>-325.9819</v>
      </c>
      <c r="K518">
        <v>1.108363</v>
      </c>
      <c r="L518">
        <v>367.03030000000001</v>
      </c>
      <c r="M518">
        <v>0.99983999999999995</v>
      </c>
      <c r="N518">
        <v>0</v>
      </c>
      <c r="O518">
        <v>-9.0989739999999993E-3</v>
      </c>
      <c r="P518">
        <v>0.98650130000000003</v>
      </c>
      <c r="Q518">
        <v>0.14738989999999999</v>
      </c>
      <c r="R518">
        <v>-7.135648E-2</v>
      </c>
      <c r="S518">
        <v>3.0541079999999998</v>
      </c>
      <c r="T518">
        <v>-0.14993199999999901</v>
      </c>
      <c r="U518">
        <v>-0.12493899999999999</v>
      </c>
      <c r="V518">
        <v>6.238175E-2</v>
      </c>
      <c r="W518">
        <v>0.16258159999999999</v>
      </c>
      <c r="X518">
        <v>0.98472110000000002</v>
      </c>
      <c r="Y518">
        <v>3.175294E-2</v>
      </c>
      <c r="Z518">
        <v>-3.3235369999999999E-4</v>
      </c>
      <c r="AA518">
        <v>0.99949569999999999</v>
      </c>
      <c r="AB518">
        <v>55</v>
      </c>
      <c r="AC518">
        <v>23.3005</v>
      </c>
      <c r="AD518">
        <v>-1.15836299999999</v>
      </c>
      <c r="AE518">
        <v>-0.962600000000009</v>
      </c>
      <c r="AF518">
        <v>0.74867715589567896</v>
      </c>
      <c r="AG518">
        <v>-1.15836299999999</v>
      </c>
      <c r="AH518">
        <v>23.250928392124099</v>
      </c>
      <c r="AI518">
        <v>92.850646908093793</v>
      </c>
      <c r="AJ518">
        <v>88.155719874572398</v>
      </c>
      <c r="AK518">
        <v>23.2918009913191</v>
      </c>
      <c r="AL518">
        <v>80.6432261431261</v>
      </c>
      <c r="AM518">
        <v>86.375175512575694</v>
      </c>
      <c r="AN518">
        <v>0.99999995208841497</v>
      </c>
    </row>
    <row r="519" spans="1:40" x14ac:dyDescent="0.25">
      <c r="A519" t="str">
        <f>"20190312164446579"</f>
        <v>20190312164446579</v>
      </c>
      <c r="B519" t="str">
        <f>"1552380286571792"</f>
        <v>1552380286571792</v>
      </c>
      <c r="C519" t="s">
        <v>40</v>
      </c>
      <c r="D519">
        <v>5.3677339999999996</v>
      </c>
      <c r="E519">
        <v>0.4914367</v>
      </c>
      <c r="F519" t="s">
        <v>43</v>
      </c>
      <c r="G519">
        <v>-301.81420000000003</v>
      </c>
      <c r="H519">
        <v>-0.05</v>
      </c>
      <c r="I519">
        <v>366.06279999999998</v>
      </c>
      <c r="J519">
        <v>-325.71269999999998</v>
      </c>
      <c r="K519">
        <v>1.1083670000000001</v>
      </c>
      <c r="L519">
        <v>367.02780000000001</v>
      </c>
      <c r="M519">
        <v>0.9998399</v>
      </c>
      <c r="N519">
        <v>0</v>
      </c>
      <c r="O519">
        <v>-9.0986069999999999E-3</v>
      </c>
      <c r="P519">
        <v>0.98650150000000003</v>
      </c>
      <c r="Q519">
        <v>0.1474386</v>
      </c>
      <c r="R519">
        <v>-7.1251449999999994E-2</v>
      </c>
      <c r="S519">
        <v>3.0541079999999998</v>
      </c>
      <c r="T519">
        <v>-0.14638380000000001</v>
      </c>
      <c r="U519">
        <v>-0.122253399999999</v>
      </c>
      <c r="V519">
        <v>6.227709E-2</v>
      </c>
      <c r="W519">
        <v>0.1626291</v>
      </c>
      <c r="X519">
        <v>0.98471989999999998</v>
      </c>
      <c r="Y519">
        <v>3.0878119999999998E-2</v>
      </c>
      <c r="Z519">
        <v>-3.0357559999999998E-4</v>
      </c>
      <c r="AA519">
        <v>0.9995231</v>
      </c>
      <c r="AB519">
        <v>55</v>
      </c>
      <c r="AC519">
        <v>23.898499999999899</v>
      </c>
      <c r="AD519">
        <v>-1.1583669999999999</v>
      </c>
      <c r="AE519">
        <v>-0.96500000000003106</v>
      </c>
      <c r="AF519">
        <v>0.74574200224055098</v>
      </c>
      <c r="AG519">
        <v>-1.1583669999999999</v>
      </c>
      <c r="AH519">
        <v>23.850349689507102</v>
      </c>
      <c r="AI519">
        <v>92.779208098509102</v>
      </c>
      <c r="AJ519">
        <v>88.209084830454202</v>
      </c>
      <c r="AK519">
        <v>23.8901051808561</v>
      </c>
      <c r="AL519">
        <v>80.640468060841997</v>
      </c>
      <c r="AM519">
        <v>86.381236432963703</v>
      </c>
      <c r="AN519">
        <v>0.99999997078084302</v>
      </c>
    </row>
    <row r="520" spans="1:40" x14ac:dyDescent="0.25">
      <c r="A520" t="str">
        <f>"20190312164446591"</f>
        <v>20190312164446591</v>
      </c>
      <c r="B520" t="str">
        <f>"1552380286582528"</f>
        <v>1552380286582528</v>
      </c>
      <c r="C520" t="s">
        <v>40</v>
      </c>
      <c r="D520">
        <v>5.3432919999999999</v>
      </c>
      <c r="E520">
        <v>0.4913614</v>
      </c>
      <c r="F520" t="s">
        <v>43</v>
      </c>
      <c r="G520">
        <v>-301.37790000000001</v>
      </c>
      <c r="H520">
        <v>-0.05</v>
      </c>
      <c r="I520">
        <v>366.05829999999997</v>
      </c>
      <c r="J520">
        <v>-325.44380000000001</v>
      </c>
      <c r="K520">
        <v>1.1083670000000001</v>
      </c>
      <c r="L520">
        <v>367.02539999999999</v>
      </c>
      <c r="M520">
        <v>0.99983999999999995</v>
      </c>
      <c r="N520">
        <v>0</v>
      </c>
      <c r="O520">
        <v>-9.0985979999999994E-3</v>
      </c>
      <c r="P520">
        <v>0.98646979999999995</v>
      </c>
      <c r="Q520">
        <v>0.14782190000000001</v>
      </c>
      <c r="R520">
        <v>-7.0897619999999995E-2</v>
      </c>
      <c r="S520">
        <v>3.0539860000000001</v>
      </c>
      <c r="T520">
        <v>-0.14537359999999999</v>
      </c>
      <c r="U520">
        <v>-0.12167360000000001</v>
      </c>
      <c r="V520">
        <v>6.192363E-2</v>
      </c>
      <c r="W520">
        <v>0.16301019999999999</v>
      </c>
      <c r="X520">
        <v>0.98467919999999998</v>
      </c>
      <c r="Y520">
        <v>3.0690809999999999E-2</v>
      </c>
      <c r="Z520">
        <v>-2.9704280000000002E-4</v>
      </c>
      <c r="AA520">
        <v>0.99952890000000005</v>
      </c>
      <c r="AB520">
        <v>55</v>
      </c>
      <c r="AC520">
        <v>24.065899999999999</v>
      </c>
      <c r="AD520">
        <v>-1.1583669999999999</v>
      </c>
      <c r="AE520">
        <v>-0.96710000000001595</v>
      </c>
      <c r="AF520">
        <v>0.74634170172752301</v>
      </c>
      <c r="AG520">
        <v>-1.1583669999999999</v>
      </c>
      <c r="AH520">
        <v>24.0181484202521</v>
      </c>
      <c r="AI520">
        <v>92.759838357693795</v>
      </c>
      <c r="AJ520">
        <v>88.220159477070595</v>
      </c>
      <c r="AK520">
        <v>24.0576452210037</v>
      </c>
      <c r="AL520">
        <v>80.618337543124497</v>
      </c>
      <c r="AM520">
        <v>86.401572643550594</v>
      </c>
      <c r="AN520">
        <v>0.999999994084528</v>
      </c>
    </row>
    <row r="521" spans="1:40" x14ac:dyDescent="0.25">
      <c r="A521" t="str">
        <f>"20190312164446602"</f>
        <v>20190312164446602</v>
      </c>
      <c r="B521" t="str">
        <f>"1552380286592288"</f>
        <v>1552380286592288</v>
      </c>
      <c r="C521" t="s">
        <v>40</v>
      </c>
      <c r="D521">
        <v>5.3239970000000003</v>
      </c>
      <c r="E521">
        <v>0.49145420000000001</v>
      </c>
      <c r="F521" t="s">
        <v>43</v>
      </c>
      <c r="G521">
        <v>-300.73540000000003</v>
      </c>
      <c r="H521">
        <v>-0.05</v>
      </c>
      <c r="I521">
        <v>366.05650000000003</v>
      </c>
      <c r="J521">
        <v>-325.18099999999998</v>
      </c>
      <c r="K521">
        <v>1.1083700000000001</v>
      </c>
      <c r="L521">
        <v>367.02300000000002</v>
      </c>
      <c r="M521">
        <v>0.99983999999999995</v>
      </c>
      <c r="N521">
        <v>0</v>
      </c>
      <c r="O521">
        <v>-9.0984689999999997E-3</v>
      </c>
      <c r="P521">
        <v>0.98643460000000005</v>
      </c>
      <c r="Q521">
        <v>0.14807719999999999</v>
      </c>
      <c r="R521">
        <v>-7.0853940000000004E-2</v>
      </c>
      <c r="S521">
        <v>3.0539860000000001</v>
      </c>
      <c r="T521">
        <v>-0.1431752</v>
      </c>
      <c r="U521">
        <v>-0.119751</v>
      </c>
      <c r="V521">
        <v>6.1880589999999999E-2</v>
      </c>
      <c r="W521">
        <v>0.1632634</v>
      </c>
      <c r="X521">
        <v>0.98463990000000001</v>
      </c>
      <c r="Y521">
        <v>3.0064090000000002E-2</v>
      </c>
      <c r="Z521">
        <v>-2.7788809999999999E-4</v>
      </c>
      <c r="AA521">
        <v>0.99954799999999999</v>
      </c>
      <c r="AB521">
        <v>55</v>
      </c>
      <c r="AC521">
        <v>24.445599999999899</v>
      </c>
      <c r="AD521">
        <v>-1.1583699999999999</v>
      </c>
      <c r="AE521">
        <v>-0.96649999999999603</v>
      </c>
      <c r="AF521">
        <v>0.74235179565764797</v>
      </c>
      <c r="AG521">
        <v>-1.1583699999999999</v>
      </c>
      <c r="AH521">
        <v>24.398683387919402</v>
      </c>
      <c r="AI521">
        <v>92.716920484739006</v>
      </c>
      <c r="AJ521">
        <v>88.257262227737797</v>
      </c>
      <c r="AK521">
        <v>24.437443776085701</v>
      </c>
      <c r="AL521">
        <v>80.603632742251705</v>
      </c>
      <c r="AM521">
        <v>86.403924016449395</v>
      </c>
      <c r="AN521">
        <v>0.99999993893515704</v>
      </c>
    </row>
    <row r="522" spans="1:40" x14ac:dyDescent="0.25">
      <c r="A522" t="str">
        <f>"20190312164446612"</f>
        <v>20190312164446612</v>
      </c>
      <c r="B522" t="str">
        <f>"1552380286602048"</f>
        <v>1552380286602048</v>
      </c>
      <c r="C522" t="s">
        <v>40</v>
      </c>
      <c r="D522">
        <v>5.2723300000000002</v>
      </c>
      <c r="E522">
        <v>0.49143940000000003</v>
      </c>
      <c r="F522" t="s">
        <v>43</v>
      </c>
      <c r="G522">
        <v>-300.71539999999999</v>
      </c>
      <c r="H522">
        <v>-0.05</v>
      </c>
      <c r="I522">
        <v>366.06029999999998</v>
      </c>
      <c r="J522">
        <v>-324.92039999999997</v>
      </c>
      <c r="K522">
        <v>1.108371</v>
      </c>
      <c r="L522">
        <v>367.0206</v>
      </c>
      <c r="M522">
        <v>0.99984010000000001</v>
      </c>
      <c r="N522">
        <v>0</v>
      </c>
      <c r="O522">
        <v>-9.0982219999999996E-3</v>
      </c>
      <c r="P522">
        <v>0.98642300000000005</v>
      </c>
      <c r="Q522">
        <v>0.14828549999999999</v>
      </c>
      <c r="R522">
        <v>-7.057708E-2</v>
      </c>
      <c r="S522">
        <v>3.0543209999999998</v>
      </c>
      <c r="T522">
        <v>-0.14461260000000001</v>
      </c>
      <c r="U522">
        <v>-0.1201782</v>
      </c>
      <c r="V522">
        <v>6.1604079999999999E-2</v>
      </c>
      <c r="W522">
        <v>0.16347030000000001</v>
      </c>
      <c r="X522">
        <v>0.98462300000000003</v>
      </c>
      <c r="Y522">
        <v>3.019904E-2</v>
      </c>
      <c r="Z522">
        <v>-2.8384660000000002E-4</v>
      </c>
      <c r="AA522">
        <v>0.99954379999999998</v>
      </c>
      <c r="AB522">
        <v>55</v>
      </c>
      <c r="AC522">
        <v>24.204999999999899</v>
      </c>
      <c r="AD522">
        <v>-1.15837099999999</v>
      </c>
      <c r="AE522">
        <v>-0.96030000000001803</v>
      </c>
      <c r="AF522">
        <v>0.73832338325167202</v>
      </c>
      <c r="AG522">
        <v>-1.15837099999999</v>
      </c>
      <c r="AH522">
        <v>24.1574959346542</v>
      </c>
      <c r="AI522">
        <v>92.7439957823063</v>
      </c>
      <c r="AJ522">
        <v>88.249419157451101</v>
      </c>
      <c r="AK522">
        <v>24.196519473360802</v>
      </c>
      <c r="AL522">
        <v>80.591617650483698</v>
      </c>
      <c r="AM522">
        <v>86.419889710689603</v>
      </c>
      <c r="AN522">
        <v>1.0000000268918601</v>
      </c>
    </row>
    <row r="523" spans="1:40" x14ac:dyDescent="0.25">
      <c r="A523" t="str">
        <f>"20190312164446623"</f>
        <v>20190312164446623</v>
      </c>
      <c r="B523" t="str">
        <f>"1552380286611807"</f>
        <v>1552380286611807</v>
      </c>
      <c r="C523" t="s">
        <v>40</v>
      </c>
      <c r="D523">
        <v>5.3871789999999997</v>
      </c>
      <c r="E523">
        <v>0.49144979999999999</v>
      </c>
      <c r="F523" t="s">
        <v>43</v>
      </c>
      <c r="G523">
        <v>-300.29849999999999</v>
      </c>
      <c r="H523">
        <v>-0.05</v>
      </c>
      <c r="I523">
        <v>366.0609</v>
      </c>
      <c r="J523">
        <v>-324.64789999999999</v>
      </c>
      <c r="K523">
        <v>1.1083719999999999</v>
      </c>
      <c r="L523">
        <v>367.0181</v>
      </c>
      <c r="M523">
        <v>0.99983999999999995</v>
      </c>
      <c r="N523">
        <v>0</v>
      </c>
      <c r="O523">
        <v>-9.0980920000000003E-3</v>
      </c>
      <c r="P523">
        <v>0.98640830000000002</v>
      </c>
      <c r="Q523">
        <v>0.14830409999999999</v>
      </c>
      <c r="R523">
        <v>-7.0742299999999994E-2</v>
      </c>
      <c r="S523">
        <v>3.0543520000000002</v>
      </c>
      <c r="T523">
        <v>-0.14369599999999999</v>
      </c>
      <c r="U523">
        <v>-0.1190491</v>
      </c>
      <c r="V523">
        <v>6.1769600000000001E-2</v>
      </c>
      <c r="W523">
        <v>0.163487299999999</v>
      </c>
      <c r="X523">
        <v>0.98460979999999998</v>
      </c>
      <c r="Y523">
        <v>2.9830519999999999E-2</v>
      </c>
      <c r="Z523">
        <v>-2.7339399999999999E-4</v>
      </c>
      <c r="AA523">
        <v>0.99955490000000002</v>
      </c>
      <c r="AB523">
        <v>55</v>
      </c>
      <c r="AC523">
        <v>24.349399999999999</v>
      </c>
      <c r="AD523">
        <v>-1.158372</v>
      </c>
      <c r="AE523">
        <v>-0.95720000000000005</v>
      </c>
      <c r="AF523">
        <v>0.73394253085062999</v>
      </c>
      <c r="AG523">
        <v>-1.158372</v>
      </c>
      <c r="AH523">
        <v>24.302186284025002</v>
      </c>
      <c r="AI523">
        <v>92.727715625543397</v>
      </c>
      <c r="AJ523">
        <v>88.270154337648407</v>
      </c>
      <c r="AK523">
        <v>24.340845414907601</v>
      </c>
      <c r="AL523">
        <v>80.590630269639902</v>
      </c>
      <c r="AM523">
        <v>86.410247664770694</v>
      </c>
      <c r="AN523">
        <v>1.0000000195007399</v>
      </c>
    </row>
    <row r="524" spans="1:40" x14ac:dyDescent="0.25">
      <c r="A524" t="str">
        <f>"20190312164446635"</f>
        <v>20190312164446635</v>
      </c>
      <c r="B524" t="str">
        <f>"1552380286622544"</f>
        <v>1552380286622544</v>
      </c>
      <c r="C524" t="s">
        <v>40</v>
      </c>
      <c r="D524">
        <v>5.4378799999999998</v>
      </c>
      <c r="E524">
        <v>0.49137769999999997</v>
      </c>
      <c r="F524" t="s">
        <v>43</v>
      </c>
      <c r="G524">
        <v>-299.96390000000002</v>
      </c>
      <c r="H524">
        <v>-0.05</v>
      </c>
      <c r="I524">
        <v>366.05160000000001</v>
      </c>
      <c r="J524">
        <v>-324.3784</v>
      </c>
      <c r="K524">
        <v>1.108365</v>
      </c>
      <c r="L524">
        <v>367.01569999999998</v>
      </c>
      <c r="M524">
        <v>0.99984010000000001</v>
      </c>
      <c r="N524">
        <v>0</v>
      </c>
      <c r="O524">
        <v>-9.0979619999999994E-3</v>
      </c>
      <c r="P524">
        <v>0.98638179999999998</v>
      </c>
      <c r="Q524">
        <v>0.14844250000000001</v>
      </c>
      <c r="R524">
        <v>-7.0822609999999994E-2</v>
      </c>
      <c r="S524">
        <v>3.0542910000000001</v>
      </c>
      <c r="T524">
        <v>-0.14333209999999999</v>
      </c>
      <c r="U524">
        <v>-0.11959839999999999</v>
      </c>
      <c r="V524">
        <v>6.1850330000000002E-2</v>
      </c>
      <c r="W524">
        <v>0.16362370000000001</v>
      </c>
      <c r="X524">
        <v>0.98458210000000002</v>
      </c>
      <c r="Y524">
        <v>3.0010849999999999E-2</v>
      </c>
      <c r="Z524">
        <v>-2.7694040000000002E-4</v>
      </c>
      <c r="AA524">
        <v>0.99954949999999998</v>
      </c>
      <c r="AB524">
        <v>55</v>
      </c>
      <c r="AC524">
        <v>24.414499999999901</v>
      </c>
      <c r="AD524">
        <v>-1.1583649999999901</v>
      </c>
      <c r="AE524">
        <v>-0.96409999999997298</v>
      </c>
      <c r="AF524">
        <v>0.74024779057477597</v>
      </c>
      <c r="AG524">
        <v>-1.1583649999999901</v>
      </c>
      <c r="AH524">
        <v>24.367493384141401</v>
      </c>
      <c r="AI524">
        <v>92.720385065003299</v>
      </c>
      <c r="AJ524">
        <v>88.259975544711097</v>
      </c>
      <c r="AK524">
        <v>24.406239163190399</v>
      </c>
      <c r="AL524">
        <v>80.582708694419196</v>
      </c>
      <c r="AM524">
        <v>86.405467457387601</v>
      </c>
      <c r="AN524">
        <v>1.0000000450816</v>
      </c>
    </row>
    <row r="525" spans="1:40" x14ac:dyDescent="0.25">
      <c r="A525" t="str">
        <f>"20190312164446645"</f>
        <v>20190312164446645</v>
      </c>
      <c r="B525" t="str">
        <f>"1552380286642063"</f>
        <v>1552380286642063</v>
      </c>
      <c r="C525" t="s">
        <v>40</v>
      </c>
      <c r="D525">
        <v>5.4026449999999997</v>
      </c>
      <c r="E525">
        <v>0.49140129999999999</v>
      </c>
      <c r="F525" t="s">
        <v>43</v>
      </c>
      <c r="G525">
        <v>-299.56490000000002</v>
      </c>
      <c r="H525">
        <v>-0.05</v>
      </c>
      <c r="I525">
        <v>366.04849999999999</v>
      </c>
      <c r="J525">
        <v>-324.09219999999999</v>
      </c>
      <c r="K525">
        <v>1.108366</v>
      </c>
      <c r="L525">
        <v>367.01299999999998</v>
      </c>
      <c r="M525">
        <v>0.99984010000000001</v>
      </c>
      <c r="N525">
        <v>0</v>
      </c>
      <c r="O525">
        <v>-9.0977130000000003E-3</v>
      </c>
      <c r="P525">
        <v>0.98638250000000005</v>
      </c>
      <c r="Q525">
        <v>0.1483621</v>
      </c>
      <c r="R525">
        <v>-7.0982450000000002E-2</v>
      </c>
      <c r="S525">
        <v>3.0543520000000002</v>
      </c>
      <c r="T525">
        <v>-0.14258579999999901</v>
      </c>
      <c r="U525">
        <v>-0.1190491</v>
      </c>
      <c r="V525">
        <v>6.20104E-2</v>
      </c>
      <c r="W525">
        <v>0.16354189999999999</v>
      </c>
      <c r="X525">
        <v>0.98458559999999995</v>
      </c>
      <c r="Y525">
        <v>2.9831259999999998E-2</v>
      </c>
      <c r="Z525">
        <v>-2.7131900000000001E-4</v>
      </c>
      <c r="AA525">
        <v>0.99955490000000002</v>
      </c>
      <c r="AB525">
        <v>55</v>
      </c>
      <c r="AC525">
        <v>24.527299999999901</v>
      </c>
      <c r="AD525">
        <v>-1.158366</v>
      </c>
      <c r="AE525">
        <v>-0.96450000000004299</v>
      </c>
      <c r="AF525">
        <v>0.73964410020810201</v>
      </c>
      <c r="AG525">
        <v>-1.158366</v>
      </c>
      <c r="AH525">
        <v>24.480542205638599</v>
      </c>
      <c r="AI525">
        <v>92.707857159193196</v>
      </c>
      <c r="AJ525">
        <v>88.269417531797501</v>
      </c>
      <c r="AK525">
        <v>24.519091171309299</v>
      </c>
      <c r="AL525">
        <v>80.587459276563294</v>
      </c>
      <c r="AM525">
        <v>86.396201990738504</v>
      </c>
      <c r="AN525">
        <v>1.0000000232455599</v>
      </c>
    </row>
    <row r="526" spans="1:40" x14ac:dyDescent="0.25">
      <c r="A526" t="str">
        <f>"20190312164446658"</f>
        <v>20190312164446658</v>
      </c>
      <c r="B526" t="str">
        <f>"1552380286651823"</f>
        <v>1552380286651823</v>
      </c>
      <c r="C526" t="s">
        <v>40</v>
      </c>
      <c r="D526">
        <v>5.4976529999999997</v>
      </c>
      <c r="E526">
        <v>0.49140539999999999</v>
      </c>
      <c r="F526" t="s">
        <v>43</v>
      </c>
      <c r="G526">
        <v>-299.35309999999998</v>
      </c>
      <c r="H526">
        <v>-0.05</v>
      </c>
      <c r="I526">
        <v>366.04500000000002</v>
      </c>
      <c r="J526">
        <v>-323.8014</v>
      </c>
      <c r="K526">
        <v>1.1083670000000001</v>
      </c>
      <c r="L526">
        <v>367.0104</v>
      </c>
      <c r="M526">
        <v>0.99984010000000001</v>
      </c>
      <c r="N526">
        <v>0</v>
      </c>
      <c r="O526">
        <v>-9.0975819999999999E-3</v>
      </c>
      <c r="P526">
        <v>0.98636100000000004</v>
      </c>
      <c r="Q526">
        <v>0.14847469999999999</v>
      </c>
      <c r="R526">
        <v>-7.1046520000000002E-2</v>
      </c>
      <c r="S526">
        <v>3.0543209999999998</v>
      </c>
      <c r="T526">
        <v>-0.14301320000000001</v>
      </c>
      <c r="U526">
        <v>-0.1195068</v>
      </c>
      <c r="V526">
        <v>6.2074659999999997E-2</v>
      </c>
      <c r="W526">
        <v>0.16365289999999999</v>
      </c>
      <c r="X526">
        <v>0.98456310000000002</v>
      </c>
      <c r="Y526">
        <v>2.9981049999999999E-2</v>
      </c>
      <c r="Z526">
        <v>-2.756433E-4</v>
      </c>
      <c r="AA526">
        <v>0.99955039999999995</v>
      </c>
      <c r="AB526">
        <v>55</v>
      </c>
      <c r="AC526">
        <v>24.4483</v>
      </c>
      <c r="AD526">
        <v>-1.1583669999999999</v>
      </c>
      <c r="AE526">
        <v>-0.96539999999998805</v>
      </c>
      <c r="AF526">
        <v>0.74125182406873602</v>
      </c>
      <c r="AG526">
        <v>-1.1583669999999999</v>
      </c>
      <c r="AH526">
        <v>24.401378716923499</v>
      </c>
      <c r="AI526">
        <v>92.716617794358598</v>
      </c>
      <c r="AJ526">
        <v>88.260035017575404</v>
      </c>
      <c r="AK526">
        <v>24.440101302165299</v>
      </c>
      <c r="AL526">
        <v>80.581012525947699</v>
      </c>
      <c r="AM526">
        <v>86.392395087849394</v>
      </c>
      <c r="AN526">
        <v>1.0000000164870599</v>
      </c>
    </row>
    <row r="527" spans="1:40" x14ac:dyDescent="0.25">
      <c r="A527" t="str">
        <f>"20190312164446669"</f>
        <v>20190312164446669</v>
      </c>
      <c r="B527" t="str">
        <f>"1552380286662560"</f>
        <v>1552380286662560</v>
      </c>
      <c r="C527" t="s">
        <v>40</v>
      </c>
      <c r="D527">
        <v>5.4569460000000003</v>
      </c>
      <c r="E527">
        <v>0.49139650000000001</v>
      </c>
      <c r="F527" t="s">
        <v>43</v>
      </c>
      <c r="G527">
        <v>-299.05959999999999</v>
      </c>
      <c r="H527">
        <v>-0.05</v>
      </c>
      <c r="I527">
        <v>366.04059999999998</v>
      </c>
      <c r="J527">
        <v>-323.52249999999998</v>
      </c>
      <c r="K527">
        <v>1.108363</v>
      </c>
      <c r="L527">
        <v>367.00790000000001</v>
      </c>
      <c r="M527">
        <v>0.99984019999999996</v>
      </c>
      <c r="N527">
        <v>0</v>
      </c>
      <c r="O527">
        <v>-9.0975710000000005E-3</v>
      </c>
      <c r="P527">
        <v>0.98635110000000004</v>
      </c>
      <c r="Q527">
        <v>0.148427799999999</v>
      </c>
      <c r="R527">
        <v>-7.1278850000000005E-2</v>
      </c>
      <c r="S527">
        <v>3.0544129999999998</v>
      </c>
      <c r="T527">
        <v>-0.1430022</v>
      </c>
      <c r="U527">
        <v>-0.11972049999999999</v>
      </c>
      <c r="V527">
        <v>6.2307319999999999E-2</v>
      </c>
      <c r="W527">
        <v>0.1636039</v>
      </c>
      <c r="X527">
        <v>0.9845566</v>
      </c>
      <c r="Y527">
        <v>3.0049630000000001E-2</v>
      </c>
      <c r="Z527">
        <v>-2.7721780000000001E-4</v>
      </c>
      <c r="AA527">
        <v>0.9995484</v>
      </c>
      <c r="AB527">
        <v>55</v>
      </c>
      <c r="AC527">
        <v>24.462899999999902</v>
      </c>
      <c r="AD527">
        <v>-1.15836299999999</v>
      </c>
      <c r="AE527">
        <v>-0.96730000000002203</v>
      </c>
      <c r="AF527">
        <v>0.74301724532521995</v>
      </c>
      <c r="AG527">
        <v>-1.15836299999999</v>
      </c>
      <c r="AH527">
        <v>24.416028469956299</v>
      </c>
      <c r="AI527">
        <v>92.714976433642207</v>
      </c>
      <c r="AJ527">
        <v>88.256939370005497</v>
      </c>
      <c r="AK527">
        <v>24.454781244418001</v>
      </c>
      <c r="AL527">
        <v>80.583858868708404</v>
      </c>
      <c r="AM527">
        <v>86.378885609205796</v>
      </c>
      <c r="AN527">
        <v>1.0000000684121699</v>
      </c>
    </row>
    <row r="528" spans="1:40" x14ac:dyDescent="0.25">
      <c r="A528" t="str">
        <f>"20190312164446681"</f>
        <v>20190312164446681</v>
      </c>
      <c r="B528" t="str">
        <f>"1552380286672320"</f>
        <v>1552380286672320</v>
      </c>
      <c r="C528" t="s">
        <v>40</v>
      </c>
      <c r="D528">
        <v>5.4497739999999997</v>
      </c>
      <c r="E528">
        <v>0.49144769999999999</v>
      </c>
      <c r="F528" t="s">
        <v>43</v>
      </c>
      <c r="G528">
        <v>-298.76769999999999</v>
      </c>
      <c r="H528">
        <v>-0.05</v>
      </c>
      <c r="I528">
        <v>366.03210000000001</v>
      </c>
      <c r="J528">
        <v>-323.23899999999998</v>
      </c>
      <c r="K528">
        <v>1.1083620000000001</v>
      </c>
      <c r="L528">
        <v>367.00529999999998</v>
      </c>
      <c r="M528">
        <v>0.99984019999999996</v>
      </c>
      <c r="N528">
        <v>0</v>
      </c>
      <c r="O528">
        <v>-9.0973200000000008E-3</v>
      </c>
      <c r="P528">
        <v>0.98631290000000005</v>
      </c>
      <c r="Q528">
        <v>0.14843919999999999</v>
      </c>
      <c r="R528">
        <v>-7.1783940000000004E-2</v>
      </c>
      <c r="S528">
        <v>3.0543209999999998</v>
      </c>
      <c r="T528">
        <v>-0.14292260000000001</v>
      </c>
      <c r="U528">
        <v>-0.12039179999999999</v>
      </c>
      <c r="V528">
        <v>6.2812859999999998E-2</v>
      </c>
      <c r="W528">
        <v>0.16361329999999999</v>
      </c>
      <c r="X528">
        <v>0.98452280000000003</v>
      </c>
      <c r="Y528">
        <v>3.0270209999999999E-2</v>
      </c>
      <c r="Z528">
        <v>-2.822387E-4</v>
      </c>
      <c r="AA528">
        <v>0.99954169999999998</v>
      </c>
      <c r="AB528">
        <v>55</v>
      </c>
      <c r="AC528">
        <v>24.471299999999999</v>
      </c>
      <c r="AD528">
        <v>-1.1583619999999999</v>
      </c>
      <c r="AE528">
        <v>-0.97319999999996298</v>
      </c>
      <c r="AF528">
        <v>0.74883487705643403</v>
      </c>
      <c r="AG528">
        <v>-1.1583619999999999</v>
      </c>
      <c r="AH528">
        <v>24.424501258404799</v>
      </c>
      <c r="AI528">
        <v>92.714014860095702</v>
      </c>
      <c r="AJ528">
        <v>88.243909189368594</v>
      </c>
      <c r="AK528">
        <v>24.4634179524849</v>
      </c>
      <c r="AL528">
        <v>80.583311859347404</v>
      </c>
      <c r="AM528">
        <v>86.349459281642197</v>
      </c>
      <c r="AN528">
        <v>0.99999995551905296</v>
      </c>
    </row>
    <row r="529" spans="1:40" x14ac:dyDescent="0.25">
      <c r="A529" t="str">
        <f>"20190312164446693"</f>
        <v>20190312164446693</v>
      </c>
      <c r="B529" t="str">
        <f>"1552380286682080"</f>
        <v>1552380286682080</v>
      </c>
      <c r="C529" t="s">
        <v>40</v>
      </c>
      <c r="D529">
        <v>5.2429610000000002</v>
      </c>
      <c r="E529">
        <v>0.49145</v>
      </c>
      <c r="F529" t="s">
        <v>43</v>
      </c>
      <c r="G529">
        <v>-298.49009999999998</v>
      </c>
      <c r="H529">
        <v>-0.05</v>
      </c>
      <c r="I529">
        <v>366.0127</v>
      </c>
      <c r="J529">
        <v>-322.9375</v>
      </c>
      <c r="K529">
        <v>1.1083620000000001</v>
      </c>
      <c r="L529">
        <v>367.00259999999997</v>
      </c>
      <c r="M529">
        <v>0.99984019999999996</v>
      </c>
      <c r="N529">
        <v>0</v>
      </c>
      <c r="O529">
        <v>-9.0971880000000008E-3</v>
      </c>
      <c r="P529">
        <v>0.98630680000000004</v>
      </c>
      <c r="Q529">
        <v>0.14840329999999999</v>
      </c>
      <c r="R529">
        <v>-7.1940470000000006E-2</v>
      </c>
      <c r="S529">
        <v>3.05423</v>
      </c>
      <c r="T529">
        <v>-0.14295160000000001</v>
      </c>
      <c r="U529">
        <v>-0.1224976</v>
      </c>
      <c r="V529">
        <v>6.2969620000000004E-2</v>
      </c>
      <c r="W529">
        <v>0.16357569999999999</v>
      </c>
      <c r="X529">
        <v>0.98451909999999998</v>
      </c>
      <c r="Y529">
        <v>3.0958780000000002E-2</v>
      </c>
      <c r="Z529">
        <v>-2.984059E-4</v>
      </c>
      <c r="AA529">
        <v>0.99952059999999998</v>
      </c>
      <c r="AB529">
        <v>55</v>
      </c>
      <c r="AC529">
        <v>24.447399999999998</v>
      </c>
      <c r="AD529">
        <v>-1.1583619999999999</v>
      </c>
      <c r="AE529">
        <v>-0.98989999999997702</v>
      </c>
      <c r="AF529">
        <v>0.765713854064485</v>
      </c>
      <c r="AG529">
        <v>-1.1583619999999999</v>
      </c>
      <c r="AH529">
        <v>24.400703709542999</v>
      </c>
      <c r="AI529">
        <v>92.716597161322298</v>
      </c>
      <c r="AJ529">
        <v>88.202601856886105</v>
      </c>
      <c r="AK529">
        <v>24.440181295363899</v>
      </c>
      <c r="AL529">
        <v>80.585496217882195</v>
      </c>
      <c r="AM529">
        <v>86.340359758368507</v>
      </c>
      <c r="AN529">
        <v>1.00000002046912</v>
      </c>
    </row>
    <row r="530" spans="1:40" x14ac:dyDescent="0.25">
      <c r="A530" t="str">
        <f>"20190312164446706"</f>
        <v>20190312164446706</v>
      </c>
      <c r="B530" t="str">
        <f>"1552380286702576"</f>
        <v>1552380286702576</v>
      </c>
      <c r="C530" t="s">
        <v>40</v>
      </c>
      <c r="D530">
        <v>5.2843169999999997</v>
      </c>
      <c r="E530">
        <v>0.4911104</v>
      </c>
      <c r="F530" t="s">
        <v>43</v>
      </c>
      <c r="G530">
        <v>-298.46019999999999</v>
      </c>
      <c r="H530">
        <v>-0.05</v>
      </c>
      <c r="I530">
        <v>366.01620000000003</v>
      </c>
      <c r="J530">
        <v>-322.61559999999997</v>
      </c>
      <c r="K530">
        <v>1.108365</v>
      </c>
      <c r="L530">
        <v>366.99959999999999</v>
      </c>
      <c r="M530">
        <v>0.99984010000000001</v>
      </c>
      <c r="N530">
        <v>0</v>
      </c>
      <c r="O530">
        <v>-9.0968160000000006E-3</v>
      </c>
      <c r="P530">
        <v>0.98630510000000005</v>
      </c>
      <c r="Q530">
        <v>0.14834639999999999</v>
      </c>
      <c r="R530">
        <v>-7.2081409999999999E-2</v>
      </c>
      <c r="S530">
        <v>3.0544129999999998</v>
      </c>
      <c r="T530">
        <v>-0.14454700000000001</v>
      </c>
      <c r="U530">
        <v>-0.1230774</v>
      </c>
      <c r="V530">
        <v>6.3110840000000001E-2</v>
      </c>
      <c r="W530">
        <v>0.16351740000000001</v>
      </c>
      <c r="X530">
        <v>0.9845197</v>
      </c>
      <c r="Y530">
        <v>3.1145450000000002E-2</v>
      </c>
      <c r="Z530">
        <v>-3.0614349999999999E-4</v>
      </c>
      <c r="AA530">
        <v>0.99951480000000004</v>
      </c>
      <c r="AB530">
        <v>55</v>
      </c>
      <c r="AC530">
        <v>24.155399999999901</v>
      </c>
      <c r="AD530">
        <v>-1.1583649999999901</v>
      </c>
      <c r="AE530">
        <v>-0.98339999999995997</v>
      </c>
      <c r="AF530">
        <v>0.76184694021719301</v>
      </c>
      <c r="AG530">
        <v>-1.1583649999999901</v>
      </c>
      <c r="AH530">
        <v>24.107998850519099</v>
      </c>
      <c r="AI530">
        <v>92.749518199449696</v>
      </c>
      <c r="AJ530">
        <v>88.189974509116695</v>
      </c>
      <c r="AK530">
        <v>24.147832797378999</v>
      </c>
      <c r="AL530">
        <v>80.588881757041705</v>
      </c>
      <c r="AM530">
        <v>86.332177005883906</v>
      </c>
      <c r="AN530">
        <v>0.99999997895817705</v>
      </c>
    </row>
    <row r="531" spans="1:40" x14ac:dyDescent="0.25">
      <c r="A531" t="str">
        <f>"20190312164446719"</f>
        <v>20190312164446719</v>
      </c>
      <c r="B531" t="str">
        <f>"1552380286712336"</f>
        <v>1552380286712336</v>
      </c>
      <c r="C531" t="s">
        <v>40</v>
      </c>
      <c r="D531">
        <v>5.2298830000000001</v>
      </c>
      <c r="E531">
        <v>0.4911104</v>
      </c>
      <c r="F531" t="s">
        <v>43</v>
      </c>
      <c r="G531">
        <v>-298.25209999999998</v>
      </c>
      <c r="H531">
        <v>-0.05</v>
      </c>
      <c r="I531">
        <v>366.03699999999998</v>
      </c>
      <c r="J531">
        <v>-322.3152</v>
      </c>
      <c r="K531">
        <v>1.1083639999999999</v>
      </c>
      <c r="L531">
        <v>366.99689999999998</v>
      </c>
      <c r="M531">
        <v>0.99984030000000002</v>
      </c>
      <c r="N531">
        <v>0</v>
      </c>
      <c r="O531">
        <v>-9.0968019999999993E-3</v>
      </c>
      <c r="P531">
        <v>0.98630519999999999</v>
      </c>
      <c r="Q531">
        <v>0.1482002</v>
      </c>
      <c r="R531">
        <v>-7.2380860000000005E-2</v>
      </c>
      <c r="S531">
        <v>3.0546880000000001</v>
      </c>
      <c r="T531">
        <v>-0.14523520000000001</v>
      </c>
      <c r="U531">
        <v>-0.120697</v>
      </c>
      <c r="V531">
        <v>6.3410439999999998E-2</v>
      </c>
      <c r="W531">
        <v>0.16336919999999999</v>
      </c>
      <c r="X531">
        <v>0.98452510000000004</v>
      </c>
      <c r="Y531">
        <v>3.036486E-2</v>
      </c>
      <c r="Z531">
        <v>-2.8903810000000001E-4</v>
      </c>
      <c r="AA531">
        <v>0.99953879999999995</v>
      </c>
      <c r="AB531">
        <v>55</v>
      </c>
      <c r="AC531">
        <v>24.063099999999999</v>
      </c>
      <c r="AD531">
        <v>-1.1583639999999999</v>
      </c>
      <c r="AE531">
        <v>-0.95990000000000397</v>
      </c>
      <c r="AF531">
        <v>0.73922680702710697</v>
      </c>
      <c r="AG531">
        <v>-1.1583639999999999</v>
      </c>
      <c r="AH531">
        <v>24.0152743847908</v>
      </c>
      <c r="AI531">
        <v>92.760185905212396</v>
      </c>
      <c r="AJ531">
        <v>88.236905144354395</v>
      </c>
      <c r="AK531">
        <v>24.0545560592066</v>
      </c>
      <c r="AL531">
        <v>80.597489178119801</v>
      </c>
      <c r="AM531">
        <v>86.314833129024294</v>
      </c>
      <c r="AN531">
        <v>1.0000000259698201</v>
      </c>
    </row>
    <row r="532" spans="1:40" x14ac:dyDescent="0.25">
      <c r="A532" t="str">
        <f>"20190312164446731"</f>
        <v>20190312164446731</v>
      </c>
      <c r="B532" t="str">
        <f>"1552380286722095"</f>
        <v>1552380286722095</v>
      </c>
      <c r="C532" t="s">
        <v>40</v>
      </c>
      <c r="D532">
        <v>5.1741390000000003</v>
      </c>
      <c r="E532">
        <v>0.47550579999999998</v>
      </c>
      <c r="F532" t="s">
        <v>43</v>
      </c>
      <c r="G532">
        <v>-298.02600000000001</v>
      </c>
      <c r="H532">
        <v>-0.05</v>
      </c>
      <c r="I532">
        <v>366.02940000000001</v>
      </c>
      <c r="J532">
        <v>-321.99810000000002</v>
      </c>
      <c r="K532">
        <v>1.1083639999999999</v>
      </c>
      <c r="L532">
        <v>366.99400000000003</v>
      </c>
      <c r="M532">
        <v>0.99984030000000002</v>
      </c>
      <c r="N532">
        <v>0</v>
      </c>
      <c r="O532">
        <v>-9.0966689999999999E-3</v>
      </c>
      <c r="P532">
        <v>0.98631849999999999</v>
      </c>
      <c r="Q532">
        <v>0.1481857</v>
      </c>
      <c r="R532">
        <v>-7.2229500000000002E-2</v>
      </c>
      <c r="S532">
        <v>3.0546259999999998</v>
      </c>
      <c r="T532">
        <v>-0.14567659999999999</v>
      </c>
      <c r="U532">
        <v>-0.12167360000000001</v>
      </c>
      <c r="V532">
        <v>6.3259099999999999E-2</v>
      </c>
      <c r="W532">
        <v>0.16335269999999999</v>
      </c>
      <c r="X532">
        <v>0.98453749999999995</v>
      </c>
      <c r="Y532">
        <v>3.0684320000000001E-2</v>
      </c>
      <c r="Z532">
        <v>-2.9753629999999999E-4</v>
      </c>
      <c r="AA532">
        <v>0.99952909999999995</v>
      </c>
      <c r="AB532">
        <v>55</v>
      </c>
      <c r="AC532">
        <v>23.972100000000001</v>
      </c>
      <c r="AD532">
        <v>-1.1583639999999999</v>
      </c>
      <c r="AE532">
        <v>-0.964600000000018</v>
      </c>
      <c r="AF532">
        <v>0.74473191397413896</v>
      </c>
      <c r="AG532">
        <v>-1.1583639999999999</v>
      </c>
      <c r="AH532">
        <v>23.924112241046</v>
      </c>
      <c r="AI532">
        <v>92.770657436092904</v>
      </c>
      <c r="AJ532">
        <v>88.217019692672906</v>
      </c>
      <c r="AK532">
        <v>23.963713804466</v>
      </c>
      <c r="AL532">
        <v>80.5984467448868</v>
      </c>
      <c r="AM532">
        <v>86.323650444435302</v>
      </c>
      <c r="AN532">
        <v>0.99999995361817295</v>
      </c>
    </row>
    <row r="533" spans="1:40" x14ac:dyDescent="0.25">
      <c r="A533" t="str">
        <f>"20190312164446747"</f>
        <v>20190312164446747</v>
      </c>
      <c r="B533" t="str">
        <f>"1552380286742592"</f>
        <v>1552380286742592</v>
      </c>
      <c r="C533" t="s">
        <v>40</v>
      </c>
      <c r="D533">
        <v>5.2331300000000001</v>
      </c>
      <c r="E533">
        <v>0.47081400000000001</v>
      </c>
      <c r="F533" t="s">
        <v>43</v>
      </c>
      <c r="G533">
        <v>-298.40530000000001</v>
      </c>
      <c r="H533">
        <v>-0.05</v>
      </c>
      <c r="I533">
        <v>367.01839999999999</v>
      </c>
      <c r="J533">
        <v>-321.61270000000002</v>
      </c>
      <c r="K533">
        <v>1.108363</v>
      </c>
      <c r="L533">
        <v>366.9905</v>
      </c>
      <c r="M533">
        <v>0.99984039999999996</v>
      </c>
      <c r="N533">
        <v>0</v>
      </c>
      <c r="O533">
        <v>-9.0964119999999999E-3</v>
      </c>
      <c r="P533">
        <v>0.98639279999999996</v>
      </c>
      <c r="Q533">
        <v>0.14765519999999999</v>
      </c>
      <c r="R533">
        <v>-7.2302930000000001E-2</v>
      </c>
      <c r="S533">
        <v>3.0644230000000001</v>
      </c>
      <c r="T533">
        <v>-0.15045790000000001</v>
      </c>
      <c r="U533">
        <v>3.1738280000000001E-3</v>
      </c>
      <c r="V533">
        <v>6.3331890000000002E-2</v>
      </c>
      <c r="W533">
        <v>0.1628211</v>
      </c>
      <c r="X533">
        <v>0.98462090000000002</v>
      </c>
      <c r="Y533">
        <v>-1.0109999999999999E-2</v>
      </c>
      <c r="Z533">
        <v>6.9444029999999896E-4</v>
      </c>
      <c r="AA533">
        <v>0.99994870000000002</v>
      </c>
      <c r="AB533">
        <v>55</v>
      </c>
      <c r="AC533">
        <v>23.2074</v>
      </c>
      <c r="AD533">
        <v>-1.15836299999999</v>
      </c>
      <c r="AE533">
        <v>2.7899999999988202E-2</v>
      </c>
      <c r="AF533">
        <v>-0.238433853779285</v>
      </c>
      <c r="AG533">
        <v>-1.15836299999999</v>
      </c>
      <c r="AH533">
        <v>23.148514602829898</v>
      </c>
      <c r="AI533">
        <v>92.864567609777794</v>
      </c>
      <c r="AJ533">
        <v>90.590135939840394</v>
      </c>
      <c r="AK533">
        <v>23.178705396545102</v>
      </c>
      <c r="AL533">
        <v>80.629318731934305</v>
      </c>
      <c r="AM533">
        <v>86.319742717827793</v>
      </c>
      <c r="AN533">
        <v>0.99999997780649497</v>
      </c>
    </row>
    <row r="534" spans="1:40" x14ac:dyDescent="0.25">
      <c r="A534" t="str">
        <f>"20190312164446759"</f>
        <v>20190312164446759</v>
      </c>
      <c r="B534" t="str">
        <f>"1552380286752351"</f>
        <v>1552380286752351</v>
      </c>
      <c r="C534" t="s">
        <v>40</v>
      </c>
      <c r="D534">
        <v>5.2156929999999999</v>
      </c>
      <c r="E534">
        <v>0.47206009999999998</v>
      </c>
      <c r="F534" t="s">
        <v>43</v>
      </c>
      <c r="G534">
        <v>-304.59629999999999</v>
      </c>
      <c r="H534">
        <v>-0.05</v>
      </c>
      <c r="I534">
        <v>367.2269</v>
      </c>
      <c r="J534">
        <v>-321.32740000000001</v>
      </c>
      <c r="K534">
        <v>1.10836</v>
      </c>
      <c r="L534">
        <v>366.98790000000002</v>
      </c>
      <c r="M534">
        <v>0.99984030000000002</v>
      </c>
      <c r="N534">
        <v>0</v>
      </c>
      <c r="O534">
        <v>-9.0960409999999992E-3</v>
      </c>
      <c r="P534">
        <v>0.98645349999999998</v>
      </c>
      <c r="Q534">
        <v>0.1472821</v>
      </c>
      <c r="R534">
        <v>-7.2232969999999994E-2</v>
      </c>
      <c r="S534">
        <v>3.0758359999999998</v>
      </c>
      <c r="T534">
        <v>-0.20938119999999999</v>
      </c>
      <c r="U534">
        <v>4.2724610000000003E-2</v>
      </c>
      <c r="V534">
        <v>6.3261860000000003E-2</v>
      </c>
      <c r="W534">
        <v>0.16244710000000001</v>
      </c>
      <c r="X534">
        <v>0.98468719999999998</v>
      </c>
      <c r="Y534">
        <v>-2.2910670000000001E-2</v>
      </c>
      <c r="Z534">
        <v>1.3973849999999999E-3</v>
      </c>
      <c r="AA534">
        <v>0.99973650000000003</v>
      </c>
      <c r="AB534">
        <v>55</v>
      </c>
      <c r="AC534">
        <v>16.731100000000001</v>
      </c>
      <c r="AD534">
        <v>-1.1583600000000001</v>
      </c>
      <c r="AE534">
        <v>0.23899999999997501</v>
      </c>
      <c r="AF534">
        <v>-0.38932908607931699</v>
      </c>
      <c r="AG534">
        <v>-1.1583600000000001</v>
      </c>
      <c r="AH534">
        <v>16.648448092828701</v>
      </c>
      <c r="AI534">
        <v>93.979007358342201</v>
      </c>
      <c r="AJ534">
        <v>91.339635282316294</v>
      </c>
      <c r="AK534">
        <v>16.693238119863899</v>
      </c>
      <c r="AL534">
        <v>80.651036727904497</v>
      </c>
      <c r="AM534">
        <v>86.324047884564905</v>
      </c>
      <c r="AN534">
        <v>1.0000000025364499</v>
      </c>
    </row>
    <row r="535" spans="1:40" x14ac:dyDescent="0.25">
      <c r="A535" t="str">
        <f>"20190312164446770"</f>
        <v>20190312164446770</v>
      </c>
      <c r="B535" t="str">
        <f>"1552380286762618"</f>
        <v>1552380286762618</v>
      </c>
      <c r="C535" t="s">
        <v>40</v>
      </c>
      <c r="D535">
        <v>5.1732079999999998</v>
      </c>
      <c r="E535">
        <v>0.47280349999999999</v>
      </c>
      <c r="F535" t="s">
        <v>43</v>
      </c>
      <c r="G535">
        <v>-303.40390000000002</v>
      </c>
      <c r="H535">
        <v>-0.05</v>
      </c>
      <c r="I535">
        <v>367.17689999999999</v>
      </c>
      <c r="J535">
        <v>-321.05689999999998</v>
      </c>
      <c r="K535">
        <v>1.1083459999999901</v>
      </c>
      <c r="L535">
        <v>366.98540000000003</v>
      </c>
      <c r="M535">
        <v>0.99984119999999999</v>
      </c>
      <c r="N535">
        <v>0</v>
      </c>
      <c r="O535">
        <v>-9.0959809999999995E-3</v>
      </c>
      <c r="P535">
        <v>0.98650539999999998</v>
      </c>
      <c r="Q535">
        <v>0.14703369999999999</v>
      </c>
      <c r="R535">
        <v>-7.2030650000000002E-2</v>
      </c>
      <c r="S535">
        <v>3.0732119999999998</v>
      </c>
      <c r="T535">
        <v>-0.19861509999999999</v>
      </c>
      <c r="U535">
        <v>3.2409670000000002E-2</v>
      </c>
      <c r="V535">
        <v>6.3059229999999994E-2</v>
      </c>
      <c r="W535">
        <v>0.1621455</v>
      </c>
      <c r="X535">
        <v>0.98474989999999996</v>
      </c>
      <c r="Y535">
        <v>-1.9581560000000001E-2</v>
      </c>
      <c r="Z535">
        <v>1.219375E-3</v>
      </c>
      <c r="AA535">
        <v>0.99980749999999996</v>
      </c>
      <c r="AB535">
        <v>55</v>
      </c>
      <c r="AC535">
        <v>17.652999999999899</v>
      </c>
      <c r="AD535">
        <v>-1.1583460000000001</v>
      </c>
      <c r="AE535">
        <v>0.19149999999996201</v>
      </c>
      <c r="AF535">
        <v>-0.350573015937794</v>
      </c>
      <c r="AG535">
        <v>-1.1583460000000001</v>
      </c>
      <c r="AH535">
        <v>17.574864991465599</v>
      </c>
      <c r="AI535">
        <v>93.770119534596006</v>
      </c>
      <c r="AJ535">
        <v>91.142750783907005</v>
      </c>
      <c r="AK535">
        <v>17.616485074028301</v>
      </c>
      <c r="AL535">
        <v>80.668549269275502</v>
      </c>
      <c r="AM535">
        <v>86.336022630162802</v>
      </c>
      <c r="AN535">
        <v>0.99999999760422598</v>
      </c>
    </row>
    <row r="536" spans="1:40" x14ac:dyDescent="0.25">
      <c r="A536" t="str">
        <f>"20190312164446780"</f>
        <v>20190312164446780</v>
      </c>
      <c r="B536" t="str">
        <f>"1552380286772378"</f>
        <v>1552380286772378</v>
      </c>
      <c r="C536" t="s">
        <v>40</v>
      </c>
      <c r="D536">
        <v>5.1576559999999896</v>
      </c>
      <c r="E536">
        <v>0.47337780000000002</v>
      </c>
      <c r="F536" t="s">
        <v>43</v>
      </c>
      <c r="G536">
        <v>-302.70949999999999</v>
      </c>
      <c r="H536">
        <v>-0.05</v>
      </c>
      <c r="I536">
        <v>367.1456</v>
      </c>
      <c r="J536">
        <v>-320.786</v>
      </c>
      <c r="K536">
        <v>1.1082209999999999</v>
      </c>
      <c r="L536">
        <v>366.98289999999997</v>
      </c>
      <c r="M536">
        <v>0.99984810000000002</v>
      </c>
      <c r="N536">
        <v>0</v>
      </c>
      <c r="O536">
        <v>-9.0961329999999993E-3</v>
      </c>
      <c r="P536">
        <v>0.98651739999999999</v>
      </c>
      <c r="Q536">
        <v>0.147007</v>
      </c>
      <c r="R536">
        <v>-7.1922929999999996E-2</v>
      </c>
      <c r="S536">
        <v>3.07193</v>
      </c>
      <c r="T536">
        <v>-0.19394449999999999</v>
      </c>
      <c r="U536">
        <v>2.682495E-2</v>
      </c>
      <c r="V536">
        <v>6.2951099999999996E-2</v>
      </c>
      <c r="W536">
        <v>0.16166929999999999</v>
      </c>
      <c r="X536">
        <v>0.98483509999999996</v>
      </c>
      <c r="Y536">
        <v>-1.777488E-2</v>
      </c>
      <c r="Z536">
        <v>1.1342940000000001E-3</v>
      </c>
      <c r="AA536">
        <v>0.99984139999999999</v>
      </c>
      <c r="AB536">
        <v>55</v>
      </c>
      <c r="AC536">
        <v>18.076499999999999</v>
      </c>
      <c r="AD536">
        <v>-1.1582209999999999</v>
      </c>
      <c r="AE536">
        <v>0.16270000000002899</v>
      </c>
      <c r="AF536">
        <v>-0.32580026280596602</v>
      </c>
      <c r="AG536">
        <v>-1.1582209999999999</v>
      </c>
      <c r="AH536">
        <v>18.000379343083502</v>
      </c>
      <c r="AI536">
        <v>93.6809778147055</v>
      </c>
      <c r="AJ536">
        <v>91.036919370089095</v>
      </c>
      <c r="AK536">
        <v>18.040545396162301</v>
      </c>
      <c r="AL536">
        <v>80.696198240717095</v>
      </c>
      <c r="AM536">
        <v>86.342603894199996</v>
      </c>
      <c r="AN536">
        <v>0.99999998887285402</v>
      </c>
    </row>
    <row r="537" spans="1:40" x14ac:dyDescent="0.25">
      <c r="A537" t="str">
        <f>"20190312164446791"</f>
        <v>20190312164446791</v>
      </c>
      <c r="B537" t="str">
        <f>"1552380286782139"</f>
        <v>1552380286782139</v>
      </c>
      <c r="C537" t="s">
        <v>40</v>
      </c>
      <c r="D537">
        <v>5.2748749999999998</v>
      </c>
      <c r="E537">
        <v>0.47384880000000001</v>
      </c>
      <c r="F537" t="s">
        <v>43</v>
      </c>
      <c r="G537">
        <v>-302.11340000000001</v>
      </c>
      <c r="H537">
        <v>-0.05</v>
      </c>
      <c r="I537">
        <v>367.11989999999997</v>
      </c>
      <c r="J537">
        <v>-320.52089999999998</v>
      </c>
      <c r="K537">
        <v>1.1080859999999999</v>
      </c>
      <c r="L537">
        <v>366.98059999999998</v>
      </c>
      <c r="M537">
        <v>0.99985440000000003</v>
      </c>
      <c r="N537">
        <v>0</v>
      </c>
      <c r="O537">
        <v>-9.0964819999999995E-3</v>
      </c>
      <c r="P537">
        <v>0.98648970000000002</v>
      </c>
      <c r="Q537">
        <v>0.14735500000000001</v>
      </c>
      <c r="R537">
        <v>-7.1588669999999993E-2</v>
      </c>
      <c r="S537">
        <v>3.0710139999999999</v>
      </c>
      <c r="T537">
        <v>-0.19048809999999999</v>
      </c>
      <c r="U537">
        <v>2.2521969999999999E-2</v>
      </c>
      <c r="V537">
        <v>6.2616920000000006E-2</v>
      </c>
      <c r="W537">
        <v>0.1615964</v>
      </c>
      <c r="X537">
        <v>0.98486839999999998</v>
      </c>
      <c r="Y537">
        <v>-1.6381440000000001E-2</v>
      </c>
      <c r="Z537">
        <v>1.0713000000000001E-3</v>
      </c>
      <c r="AA537">
        <v>0.99986520000000001</v>
      </c>
      <c r="AB537">
        <v>55</v>
      </c>
      <c r="AC537">
        <v>18.407499999999899</v>
      </c>
      <c r="AD537">
        <v>-1.1580859999999999</v>
      </c>
      <c r="AE537">
        <v>0.13929999999999099</v>
      </c>
      <c r="AF537">
        <v>-0.30554585453445499</v>
      </c>
      <c r="AG537">
        <v>-1.1580859999999999</v>
      </c>
      <c r="AH537">
        <v>18.332910765451398</v>
      </c>
      <c r="AI537">
        <v>93.614058630228001</v>
      </c>
      <c r="AJ537">
        <v>90.954832948444306</v>
      </c>
      <c r="AK537">
        <v>18.371993320993301</v>
      </c>
      <c r="AL537">
        <v>80.7004310509014</v>
      </c>
      <c r="AM537">
        <v>86.362089814766094</v>
      </c>
      <c r="AN537">
        <v>1.0000000202409001</v>
      </c>
    </row>
    <row r="538" spans="1:40" x14ac:dyDescent="0.25">
      <c r="A538" t="str">
        <f>"20190312164446801"</f>
        <v>20190312164446801</v>
      </c>
      <c r="B538" t="str">
        <f>"1552380286791899"</f>
        <v>1552380286791899</v>
      </c>
      <c r="C538" t="s">
        <v>40</v>
      </c>
      <c r="D538">
        <v>5.1556110000000004</v>
      </c>
      <c r="E538">
        <v>0.47408319999999998</v>
      </c>
      <c r="F538" t="s">
        <v>43</v>
      </c>
      <c r="G538">
        <v>-301.53129999999999</v>
      </c>
      <c r="H538">
        <v>-0.05</v>
      </c>
      <c r="I538">
        <v>367.10059999999999</v>
      </c>
      <c r="J538">
        <v>-320.26119999999997</v>
      </c>
      <c r="K538">
        <v>1.1079399999999999</v>
      </c>
      <c r="L538">
        <v>366.97820000000002</v>
      </c>
      <c r="M538">
        <v>0.99985959999999996</v>
      </c>
      <c r="N538">
        <v>0</v>
      </c>
      <c r="O538">
        <v>-9.0967310000000003E-3</v>
      </c>
      <c r="P538">
        <v>0.9865157</v>
      </c>
      <c r="Q538">
        <v>0.14733869999999999</v>
      </c>
      <c r="R538">
        <v>-7.1262370000000005E-2</v>
      </c>
      <c r="S538">
        <v>3.070465</v>
      </c>
      <c r="T538">
        <v>-0.18725320000000001</v>
      </c>
      <c r="U538">
        <v>1.9409180000000002E-2</v>
      </c>
      <c r="V538">
        <v>6.22903E-2</v>
      </c>
      <c r="W538">
        <v>0.16121659999999999</v>
      </c>
      <c r="X538">
        <v>0.98495129999999997</v>
      </c>
      <c r="Y538">
        <v>-1.537285E-2</v>
      </c>
      <c r="Z538">
        <v>1.022619E-3</v>
      </c>
      <c r="AA538">
        <v>0.99988129999999997</v>
      </c>
      <c r="AB538">
        <v>55</v>
      </c>
      <c r="AC538">
        <v>18.729899999999901</v>
      </c>
      <c r="AD538">
        <v>-1.15794</v>
      </c>
      <c r="AE538">
        <v>0.12239999999997001</v>
      </c>
      <c r="AF538">
        <v>-0.29167789696465002</v>
      </c>
      <c r="AG538">
        <v>-1.15794</v>
      </c>
      <c r="AH538">
        <v>18.656706711873099</v>
      </c>
      <c r="AI538">
        <v>93.551109350379093</v>
      </c>
      <c r="AJ538">
        <v>90.895686004758801</v>
      </c>
      <c r="AK538">
        <v>18.6948818228955</v>
      </c>
      <c r="AL538">
        <v>80.722480623359303</v>
      </c>
      <c r="AM538">
        <v>86.381318969774298</v>
      </c>
      <c r="AN538">
        <v>0.99999996848066897</v>
      </c>
    </row>
    <row r="539" spans="1:40" x14ac:dyDescent="0.25">
      <c r="A539" t="str">
        <f>"20190312164446814"</f>
        <v>20190312164446814</v>
      </c>
      <c r="B539" t="str">
        <f>"1552380286802636"</f>
        <v>1552380286802636</v>
      </c>
      <c r="C539" t="s">
        <v>40</v>
      </c>
      <c r="D539">
        <v>5.1005070000000003</v>
      </c>
      <c r="E539">
        <v>0.4741842</v>
      </c>
      <c r="F539" t="s">
        <v>43</v>
      </c>
      <c r="G539">
        <v>-301.06290000000001</v>
      </c>
      <c r="H539">
        <v>-0.05</v>
      </c>
      <c r="I539">
        <v>367.09210000000002</v>
      </c>
      <c r="J539">
        <v>-319.98270000000002</v>
      </c>
      <c r="K539">
        <v>1.1077840000000001</v>
      </c>
      <c r="L539">
        <v>366.97559999999999</v>
      </c>
      <c r="M539">
        <v>0.99986299999999995</v>
      </c>
      <c r="N539">
        <v>0</v>
      </c>
      <c r="O539">
        <v>-9.0972229999999998E-3</v>
      </c>
      <c r="P539">
        <v>0.98652989999999996</v>
      </c>
      <c r="Q539">
        <v>0.14738879999999999</v>
      </c>
      <c r="R539">
        <v>-7.0962999999999998E-2</v>
      </c>
      <c r="S539">
        <v>3.0699770000000002</v>
      </c>
      <c r="T539">
        <v>-0.1851643</v>
      </c>
      <c r="U539">
        <v>1.8218990000000001E-2</v>
      </c>
      <c r="V539">
        <v>6.199023E-2</v>
      </c>
      <c r="W539">
        <v>0.1610326</v>
      </c>
      <c r="X539">
        <v>0.9850004</v>
      </c>
      <c r="Y539">
        <v>-1.4988380000000001E-2</v>
      </c>
      <c r="Z539">
        <v>9.9983720000000002E-4</v>
      </c>
      <c r="AA539">
        <v>0.99988719999999998</v>
      </c>
      <c r="AB539">
        <v>55</v>
      </c>
      <c r="AC539">
        <v>18.919799999999999</v>
      </c>
      <c r="AD539">
        <v>-1.1577839999999999</v>
      </c>
      <c r="AE539">
        <v>0.11650000000003</v>
      </c>
      <c r="AF539">
        <v>-0.28755250725443499</v>
      </c>
      <c r="AG539">
        <v>-1.1577839999999999</v>
      </c>
      <c r="AH539">
        <v>18.847381089590801</v>
      </c>
      <c r="AI539">
        <v>93.514822199978397</v>
      </c>
      <c r="AJ539">
        <v>90.874087853435995</v>
      </c>
      <c r="AK539">
        <v>18.885097939151599</v>
      </c>
      <c r="AL539">
        <v>80.733163261965103</v>
      </c>
      <c r="AM539">
        <v>86.398884236992899</v>
      </c>
      <c r="AN539">
        <v>1.00000003743918</v>
      </c>
    </row>
    <row r="540" spans="1:40" x14ac:dyDescent="0.25">
      <c r="A540" t="str">
        <f>"20190312164446825"</f>
        <v>20190312164446825</v>
      </c>
      <c r="B540" t="str">
        <f>"1552380286812394"</f>
        <v>1552380286812394</v>
      </c>
      <c r="C540" t="s">
        <v>40</v>
      </c>
      <c r="D540">
        <v>5.1362909999999999</v>
      </c>
      <c r="E540">
        <v>0.47391640000000002</v>
      </c>
      <c r="F540" t="s">
        <v>43</v>
      </c>
      <c r="G540">
        <v>-301.45</v>
      </c>
      <c r="H540">
        <v>-0.05</v>
      </c>
      <c r="I540">
        <v>367.08929999999998</v>
      </c>
      <c r="J540">
        <v>-319.71800000000002</v>
      </c>
      <c r="K540">
        <v>1.1076349999999999</v>
      </c>
      <c r="L540">
        <v>366.97320000000002</v>
      </c>
      <c r="M540">
        <v>0.99986330000000001</v>
      </c>
      <c r="N540">
        <v>0</v>
      </c>
      <c r="O540">
        <v>-9.0977269999999999E-3</v>
      </c>
      <c r="P540">
        <v>0.98658959999999996</v>
      </c>
      <c r="Q540">
        <v>0.14723</v>
      </c>
      <c r="R540">
        <v>-7.0460490000000001E-2</v>
      </c>
      <c r="S540">
        <v>3.0710139999999999</v>
      </c>
      <c r="T540">
        <v>-0.191854</v>
      </c>
      <c r="U540">
        <v>1.8829350000000002E-2</v>
      </c>
      <c r="V540">
        <v>6.1486510000000001E-2</v>
      </c>
      <c r="W540">
        <v>0.16084479999999901</v>
      </c>
      <c r="X540">
        <v>0.98506260000000001</v>
      </c>
      <c r="Y540">
        <v>-1.5182029999999999E-2</v>
      </c>
      <c r="Z540">
        <v>1.0416150000000001E-3</v>
      </c>
      <c r="AA540">
        <v>0.9998842</v>
      </c>
      <c r="AB540">
        <v>55</v>
      </c>
      <c r="AC540">
        <v>18.268000000000001</v>
      </c>
      <c r="AD540">
        <v>-1.157635</v>
      </c>
      <c r="AE540">
        <v>0.11609999999996</v>
      </c>
      <c r="AF540">
        <v>-0.28117922712125898</v>
      </c>
      <c r="AG540">
        <v>-1.157635</v>
      </c>
      <c r="AH540">
        <v>18.1931322689782</v>
      </c>
      <c r="AI540">
        <v>93.640407332127594</v>
      </c>
      <c r="AJ540">
        <v>90.885449531936999</v>
      </c>
      <c r="AK540">
        <v>18.232093744480501</v>
      </c>
      <c r="AL540">
        <v>80.7440650205791</v>
      </c>
      <c r="AM540">
        <v>86.428295062275197</v>
      </c>
      <c r="AN540">
        <v>0.99999998325888895</v>
      </c>
    </row>
    <row r="541" spans="1:40" x14ac:dyDescent="0.25">
      <c r="A541" t="str">
        <f>"20190312164446836"</f>
        <v>20190312164446836</v>
      </c>
      <c r="B541" t="str">
        <f>"1552380286831914"</f>
        <v>1552380286831914</v>
      </c>
      <c r="C541" t="s">
        <v>40</v>
      </c>
      <c r="D541">
        <v>5.0652949999999999</v>
      </c>
      <c r="E541">
        <v>0.47376829999999998</v>
      </c>
      <c r="F541" t="s">
        <v>43</v>
      </c>
      <c r="G541">
        <v>-301.62950000000001</v>
      </c>
      <c r="H541">
        <v>-0.05</v>
      </c>
      <c r="I541">
        <v>367.10410000000002</v>
      </c>
      <c r="J541">
        <v>-319.43270000000001</v>
      </c>
      <c r="K541">
        <v>1.1074459999999999</v>
      </c>
      <c r="L541">
        <v>366.97059999999999</v>
      </c>
      <c r="M541">
        <v>0.99986109999999995</v>
      </c>
      <c r="N541">
        <v>0</v>
      </c>
      <c r="O541">
        <v>-9.0979849999999994E-3</v>
      </c>
      <c r="P541">
        <v>0.98667760000000004</v>
      </c>
      <c r="Q541">
        <v>0.14687</v>
      </c>
      <c r="R541">
        <v>-6.9974949999999994E-2</v>
      </c>
      <c r="S541">
        <v>3.0716860000000001</v>
      </c>
      <c r="T541">
        <v>-0.1965826</v>
      </c>
      <c r="U541">
        <v>2.2216799999999998E-2</v>
      </c>
      <c r="V541">
        <v>6.1000260000000001E-2</v>
      </c>
      <c r="W541">
        <v>0.16064100000000001</v>
      </c>
      <c r="X541">
        <v>0.9851261</v>
      </c>
      <c r="Y541">
        <v>-1.6278999999999998E-2</v>
      </c>
      <c r="Z541">
        <v>1.102083E-3</v>
      </c>
      <c r="AA541">
        <v>0.9998669</v>
      </c>
      <c r="AB541">
        <v>55</v>
      </c>
      <c r="AC541">
        <v>17.8032</v>
      </c>
      <c r="AD541">
        <v>-1.157446</v>
      </c>
      <c r="AE541">
        <v>0.13350000000002599</v>
      </c>
      <c r="AF541">
        <v>-0.29423991043612802</v>
      </c>
      <c r="AG541">
        <v>-1.157446</v>
      </c>
      <c r="AH541">
        <v>17.726327993915799</v>
      </c>
      <c r="AI541">
        <v>93.735329117359797</v>
      </c>
      <c r="AJ541">
        <v>90.950967224914294</v>
      </c>
      <c r="AK541">
        <v>17.766512390328401</v>
      </c>
      <c r="AL541">
        <v>80.755895878840505</v>
      </c>
      <c r="AM541">
        <v>86.456696530339102</v>
      </c>
      <c r="AN541">
        <v>0.99999999775113801</v>
      </c>
    </row>
    <row r="542" spans="1:40" x14ac:dyDescent="0.25">
      <c r="A542" t="str">
        <f>"20190312164446847"</f>
        <v>20190312164446847</v>
      </c>
      <c r="B542" t="str">
        <f>"1552380286842650"</f>
        <v>1552380286842650</v>
      </c>
      <c r="C542" t="s">
        <v>40</v>
      </c>
      <c r="D542">
        <v>5.1181020000000004</v>
      </c>
      <c r="E542">
        <v>0.47354049999999998</v>
      </c>
      <c r="F542" t="s">
        <v>43</v>
      </c>
      <c r="G542">
        <v>-302.19720000000001</v>
      </c>
      <c r="H542">
        <v>-0.05</v>
      </c>
      <c r="I542">
        <v>367.11200000000002</v>
      </c>
      <c r="J542">
        <v>-319.14170000000001</v>
      </c>
      <c r="K542">
        <v>1.1072310000000001</v>
      </c>
      <c r="L542">
        <v>366.96800000000002</v>
      </c>
      <c r="M542">
        <v>0.9998572</v>
      </c>
      <c r="N542">
        <v>0</v>
      </c>
      <c r="O542">
        <v>-9.0982730000000005E-3</v>
      </c>
      <c r="P542">
        <v>0.98684490000000002</v>
      </c>
      <c r="Q542">
        <v>0.14602379999999901</v>
      </c>
      <c r="R542">
        <v>-6.9386429999999999E-2</v>
      </c>
      <c r="S542">
        <v>3.0730590000000002</v>
      </c>
      <c r="T542">
        <v>-0.20637059999999999</v>
      </c>
      <c r="U542">
        <v>2.5207520000000001E-2</v>
      </c>
      <c r="V542">
        <v>6.041001E-2</v>
      </c>
      <c r="W542">
        <v>0.16007199999999999</v>
      </c>
      <c r="X542">
        <v>0.98525510000000005</v>
      </c>
      <c r="Y542">
        <v>-1.724169E-2</v>
      </c>
      <c r="Z542">
        <v>1.1886259999999999E-3</v>
      </c>
      <c r="AA542">
        <v>0.99985060000000003</v>
      </c>
      <c r="AB542">
        <v>55</v>
      </c>
      <c r="AC542">
        <v>16.944500000000001</v>
      </c>
      <c r="AD542">
        <v>-1.1572309999999999</v>
      </c>
      <c r="AE542">
        <v>0.143999999999948</v>
      </c>
      <c r="AF542">
        <v>-0.29679114967645498</v>
      </c>
      <c r="AG542">
        <v>-1.1572309999999999</v>
      </c>
      <c r="AH542">
        <v>16.863836627093999</v>
      </c>
      <c r="AI542">
        <v>93.924993659732294</v>
      </c>
      <c r="AJ542">
        <v>91.008259585960403</v>
      </c>
      <c r="AK542">
        <v>16.906101098692201</v>
      </c>
      <c r="AL542">
        <v>80.7889247414994</v>
      </c>
      <c r="AM542">
        <v>86.491354413263394</v>
      </c>
      <c r="AN542">
        <v>1.0000000132841</v>
      </c>
    </row>
    <row r="543" spans="1:40" x14ac:dyDescent="0.25">
      <c r="A543" t="str">
        <f>"20190312164446859"</f>
        <v>20190312164446859</v>
      </c>
      <c r="B543" t="str">
        <f>"1552380286852410"</f>
        <v>1552380286852410</v>
      </c>
      <c r="C543" t="s">
        <v>40</v>
      </c>
      <c r="D543">
        <v>5.0928599999999999</v>
      </c>
      <c r="E543">
        <v>0.47373320000000002</v>
      </c>
      <c r="F543" t="s">
        <v>43</v>
      </c>
      <c r="G543">
        <v>-302.47550000000001</v>
      </c>
      <c r="H543">
        <v>-0.05</v>
      </c>
      <c r="I543">
        <v>367.12439999999998</v>
      </c>
      <c r="J543">
        <v>-318.85599999999999</v>
      </c>
      <c r="K543">
        <v>1.1069100000000001</v>
      </c>
      <c r="L543">
        <v>366.96539999999999</v>
      </c>
      <c r="M543">
        <v>0.99985089999999999</v>
      </c>
      <c r="N543">
        <v>0</v>
      </c>
      <c r="O543">
        <v>-9.0984729999999993E-3</v>
      </c>
      <c r="P543">
        <v>0.98699049999999999</v>
      </c>
      <c r="Q543">
        <v>0.14539099999999999</v>
      </c>
      <c r="R543">
        <v>-6.8641099999999997E-2</v>
      </c>
      <c r="S543">
        <v>3.0736080000000001</v>
      </c>
      <c r="T543">
        <v>-0.21341789999999999</v>
      </c>
      <c r="U543">
        <v>2.8839110000000001E-2</v>
      </c>
      <c r="V543">
        <v>5.9662949999999999E-2</v>
      </c>
      <c r="W543">
        <v>0.15987660000000001</v>
      </c>
      <c r="X543">
        <v>0.98533230000000005</v>
      </c>
      <c r="Y543">
        <v>-1.841483E-2</v>
      </c>
      <c r="Z543">
        <v>1.2695919999999999E-3</v>
      </c>
      <c r="AA543">
        <v>0.99982959999999999</v>
      </c>
      <c r="AB543">
        <v>55</v>
      </c>
      <c r="AC543">
        <v>16.380499999999898</v>
      </c>
      <c r="AD543">
        <v>-1.1569100000000001</v>
      </c>
      <c r="AE543">
        <v>0.15899999999999101</v>
      </c>
      <c r="AF543">
        <v>-0.306518174465855</v>
      </c>
      <c r="AG543">
        <v>-1.1569100000000001</v>
      </c>
      <c r="AH543">
        <v>16.297089353262201</v>
      </c>
      <c r="AI543">
        <v>94.059828387870397</v>
      </c>
      <c r="AJ543">
        <v>91.077500831183698</v>
      </c>
      <c r="AK543">
        <v>16.340976578148201</v>
      </c>
      <c r="AL543">
        <v>80.800265984873107</v>
      </c>
      <c r="AM543">
        <v>86.534908506250005</v>
      </c>
      <c r="AN543">
        <v>0.99999996812677505</v>
      </c>
    </row>
    <row r="544" spans="1:40" x14ac:dyDescent="0.25">
      <c r="A544" t="str">
        <f>"20190312164446869"</f>
        <v>20190312164446869</v>
      </c>
      <c r="B544" t="str">
        <f>"1552380286862677"</f>
        <v>1552380286862677</v>
      </c>
      <c r="C544" t="s">
        <v>40</v>
      </c>
      <c r="D544">
        <v>5.08073</v>
      </c>
      <c r="E544">
        <v>0.4735935</v>
      </c>
      <c r="F544" t="s">
        <v>43</v>
      </c>
      <c r="G544">
        <v>-302.1635</v>
      </c>
      <c r="H544">
        <v>-0.05</v>
      </c>
      <c r="I544">
        <v>367.12389999999999</v>
      </c>
      <c r="J544">
        <v>-318.60180000000003</v>
      </c>
      <c r="K544">
        <v>1.1066020000000001</v>
      </c>
      <c r="L544">
        <v>366.9631</v>
      </c>
      <c r="M544">
        <v>0.99984470000000003</v>
      </c>
      <c r="N544">
        <v>0</v>
      </c>
      <c r="O544">
        <v>-9.0985040000000003E-3</v>
      </c>
      <c r="P544">
        <v>0.9871373</v>
      </c>
      <c r="Q544">
        <v>0.1446191</v>
      </c>
      <c r="R544">
        <v>-6.8156720000000004E-2</v>
      </c>
      <c r="S544">
        <v>3.072937</v>
      </c>
      <c r="T544">
        <v>-0.21297630000000001</v>
      </c>
      <c r="U544">
        <v>2.9174800000000001E-2</v>
      </c>
      <c r="V544">
        <v>5.9177559999999997E-2</v>
      </c>
      <c r="W544">
        <v>0.1595076</v>
      </c>
      <c r="X544">
        <v>0.9854214</v>
      </c>
      <c r="Y544">
        <v>-1.8526150000000002E-2</v>
      </c>
      <c r="Z544">
        <v>1.2711070000000001E-3</v>
      </c>
      <c r="AA544">
        <v>0.99982760000000004</v>
      </c>
      <c r="AB544">
        <v>55</v>
      </c>
      <c r="AC544">
        <v>16.438300000000002</v>
      </c>
      <c r="AD544">
        <v>-1.1566019999999999</v>
      </c>
      <c r="AE544">
        <v>0.160799999999994</v>
      </c>
      <c r="AF544">
        <v>-0.30884550761150598</v>
      </c>
      <c r="AG544">
        <v>-1.1566019999999999</v>
      </c>
      <c r="AH544">
        <v>16.355196632855101</v>
      </c>
      <c r="AI544">
        <v>94.044373307875603</v>
      </c>
      <c r="AJ544">
        <v>91.081823813822496</v>
      </c>
      <c r="AK544">
        <v>16.398950290592701</v>
      </c>
      <c r="AL544">
        <v>80.821683240963907</v>
      </c>
      <c r="AM544">
        <v>86.563341044217495</v>
      </c>
      <c r="AN544">
        <v>0.99999999682163598</v>
      </c>
    </row>
    <row r="545" spans="1:40" x14ac:dyDescent="0.25">
      <c r="A545" t="str">
        <f>"20190312164446881"</f>
        <v>20190312164446881</v>
      </c>
      <c r="B545" t="str">
        <f>"1552380286872437"</f>
        <v>1552380286872437</v>
      </c>
      <c r="C545" t="s">
        <v>40</v>
      </c>
      <c r="D545">
        <v>5.0947620000000002</v>
      </c>
      <c r="E545">
        <v>0.47371449999999998</v>
      </c>
      <c r="F545" t="s">
        <v>41</v>
      </c>
      <c r="G545">
        <v>-317.411</v>
      </c>
      <c r="H545">
        <v>1.02183</v>
      </c>
      <c r="I545">
        <v>366.9753</v>
      </c>
      <c r="J545">
        <v>-318.30450000000002</v>
      </c>
      <c r="K545">
        <v>1.10608</v>
      </c>
      <c r="L545">
        <v>366.96039999999999</v>
      </c>
      <c r="M545">
        <v>0.99983739999999999</v>
      </c>
      <c r="N545">
        <v>0</v>
      </c>
      <c r="O545">
        <v>-9.0977309999999995E-3</v>
      </c>
      <c r="P545">
        <v>0.98727849999999995</v>
      </c>
      <c r="Q545">
        <v>0.14403949999999999</v>
      </c>
      <c r="R545">
        <v>-6.7332359999999994E-2</v>
      </c>
      <c r="S545">
        <v>3.0733950000000001</v>
      </c>
      <c r="T545">
        <v>-0.21890689999999999</v>
      </c>
      <c r="U545">
        <v>3.1951899999999998E-2</v>
      </c>
      <c r="V545">
        <v>5.8352660000000001E-2</v>
      </c>
      <c r="W545">
        <v>0.15940029999999999</v>
      </c>
      <c r="X545">
        <v>0.98548789999999997</v>
      </c>
      <c r="Y545">
        <v>-1.942139E-2</v>
      </c>
      <c r="Z545">
        <v>1.3380060000000001E-3</v>
      </c>
      <c r="AA545">
        <v>0.99981050000000005</v>
      </c>
      <c r="AB545">
        <v>55</v>
      </c>
      <c r="AC545">
        <v>0.89350000000001695</v>
      </c>
      <c r="AD545">
        <v>-8.4249999999999894E-2</v>
      </c>
      <c r="AE545">
        <v>1.4900000000011401E-2</v>
      </c>
      <c r="AF545">
        <v>-2.28262990244886E-2</v>
      </c>
      <c r="AG545">
        <v>-8.4249999999999894E-2</v>
      </c>
      <c r="AH545">
        <v>0.88545702922451297</v>
      </c>
      <c r="AI545">
        <v>95.433456264319105</v>
      </c>
      <c r="AJ545">
        <v>91.476707453929293</v>
      </c>
      <c r="AK545">
        <v>0.88974898315775297</v>
      </c>
      <c r="AL545">
        <v>80.827910275712995</v>
      </c>
      <c r="AM545">
        <v>86.611361738253507</v>
      </c>
      <c r="AN545">
        <v>0.99999994480778598</v>
      </c>
    </row>
    <row r="546" spans="1:40" x14ac:dyDescent="0.25">
      <c r="A546" t="str">
        <f>"20190312164446893"</f>
        <v>20190312164446893</v>
      </c>
      <c r="B546" t="str">
        <f>"1552380286882196"</f>
        <v>1552380286882196</v>
      </c>
      <c r="C546" t="s">
        <v>40</v>
      </c>
      <c r="D546">
        <v>4.9975180000000003</v>
      </c>
      <c r="E546">
        <v>0.4738869</v>
      </c>
      <c r="F546" t="s">
        <v>43</v>
      </c>
      <c r="G546">
        <v>-302.02379999999999</v>
      </c>
      <c r="H546">
        <v>-0.05</v>
      </c>
      <c r="I546">
        <v>367.13810000000001</v>
      </c>
      <c r="J546">
        <v>-318.01409999999998</v>
      </c>
      <c r="K546">
        <v>1.105497</v>
      </c>
      <c r="L546">
        <v>366.95769999999999</v>
      </c>
      <c r="M546">
        <v>0.99982919999999997</v>
      </c>
      <c r="N546">
        <v>0</v>
      </c>
      <c r="O546">
        <v>-9.0968709999999994E-3</v>
      </c>
      <c r="P546">
        <v>0.98744219999999905</v>
      </c>
      <c r="Q546">
        <v>0.14317279999999999</v>
      </c>
      <c r="R546">
        <v>-6.6779870000000005E-2</v>
      </c>
      <c r="S546">
        <v>3.0727540000000002</v>
      </c>
      <c r="T546">
        <v>-0.21819279999999999</v>
      </c>
      <c r="U546">
        <v>3.3538819999999997E-2</v>
      </c>
      <c r="V546">
        <v>5.7799570000000002E-2</v>
      </c>
      <c r="W546">
        <v>0.1590406</v>
      </c>
      <c r="X546">
        <v>0.98557870000000003</v>
      </c>
      <c r="Y546">
        <v>-1.99382E-2</v>
      </c>
      <c r="Z546">
        <v>1.352196E-3</v>
      </c>
      <c r="AA546">
        <v>0.99980029999999998</v>
      </c>
      <c r="AB546">
        <v>55</v>
      </c>
      <c r="AC546">
        <v>15.9902999999999</v>
      </c>
      <c r="AD546">
        <v>-1.155497</v>
      </c>
      <c r="AE546">
        <v>0.18040000000001999</v>
      </c>
      <c r="AF546">
        <v>-0.32418045126247502</v>
      </c>
      <c r="AG546">
        <v>-1.155497</v>
      </c>
      <c r="AH546">
        <v>15.9049541831364</v>
      </c>
      <c r="AI546">
        <v>94.154385772621694</v>
      </c>
      <c r="AJ546">
        <v>91.167661341925495</v>
      </c>
      <c r="AK546">
        <v>15.950167204442099</v>
      </c>
      <c r="AL546">
        <v>80.848786740891299</v>
      </c>
      <c r="AM546">
        <v>86.643715358570901</v>
      </c>
      <c r="AN546">
        <v>1.0000000383171099</v>
      </c>
    </row>
    <row r="547" spans="1:40" x14ac:dyDescent="0.25">
      <c r="A547" t="str">
        <f>"20190312164446906"</f>
        <v>20190312164446906</v>
      </c>
      <c r="B547" t="str">
        <f>"1552380286902693"</f>
        <v>1552380286902693</v>
      </c>
      <c r="C547" t="s">
        <v>40</v>
      </c>
      <c r="D547">
        <v>5.0067849999999998</v>
      </c>
      <c r="E547">
        <v>0.4742847</v>
      </c>
      <c r="F547" t="s">
        <v>43</v>
      </c>
      <c r="G547">
        <v>-301.76100000000002</v>
      </c>
      <c r="H547">
        <v>-0.05</v>
      </c>
      <c r="I547">
        <v>367.13600000000002</v>
      </c>
      <c r="J547">
        <v>-317.69729999999998</v>
      </c>
      <c r="K547">
        <v>1.104746</v>
      </c>
      <c r="L547">
        <v>366.95490000000001</v>
      </c>
      <c r="M547">
        <v>0.99981920000000002</v>
      </c>
      <c r="N547">
        <v>0</v>
      </c>
      <c r="O547">
        <v>-9.0961529999999992E-3</v>
      </c>
      <c r="P547">
        <v>0.9876026</v>
      </c>
      <c r="Q547">
        <v>0.1422889</v>
      </c>
      <c r="R547">
        <v>-6.6297350000000005E-2</v>
      </c>
      <c r="S547">
        <v>3.0721129999999999</v>
      </c>
      <c r="T547">
        <v>-0.21840799999999999</v>
      </c>
      <c r="U547">
        <v>3.3691409999999998E-2</v>
      </c>
      <c r="V547">
        <v>5.7316300000000001E-2</v>
      </c>
      <c r="W547">
        <v>0.1587789</v>
      </c>
      <c r="X547">
        <v>0.98564909999999994</v>
      </c>
      <c r="Y547">
        <v>-1.998921E-2</v>
      </c>
      <c r="Z547">
        <v>1.3555730000000001E-3</v>
      </c>
      <c r="AA547">
        <v>0.99979929999999995</v>
      </c>
      <c r="AB547">
        <v>55</v>
      </c>
      <c r="AC547">
        <v>15.936299999999999</v>
      </c>
      <c r="AD547">
        <v>-1.1547459999999901</v>
      </c>
      <c r="AE547">
        <v>0.18109999999995799</v>
      </c>
      <c r="AF547">
        <v>-0.32436887401178699</v>
      </c>
      <c r="AG547">
        <v>-1.1547459999999901</v>
      </c>
      <c r="AH547">
        <v>15.8507797238306</v>
      </c>
      <c r="AI547">
        <v>94.165827923509994</v>
      </c>
      <c r="AJ547">
        <v>91.172331845940107</v>
      </c>
      <c r="AK547">
        <v>15.896096103897399</v>
      </c>
      <c r="AL547">
        <v>80.863973886304393</v>
      </c>
      <c r="AM547">
        <v>86.671951544220605</v>
      </c>
      <c r="AN547">
        <v>1.0000000228308501</v>
      </c>
    </row>
    <row r="548" spans="1:40" x14ac:dyDescent="0.25">
      <c r="A548" t="str">
        <f>"20190312164446920"</f>
        <v>20190312164446920</v>
      </c>
      <c r="B548" t="str">
        <f>"1552380286912453"</f>
        <v>1552380286912453</v>
      </c>
      <c r="C548" t="s">
        <v>40</v>
      </c>
      <c r="D548">
        <v>5.0144270000000004</v>
      </c>
      <c r="E548">
        <v>0.47444500000000001</v>
      </c>
      <c r="F548" t="s">
        <v>43</v>
      </c>
      <c r="G548">
        <v>-301.49130000000002</v>
      </c>
      <c r="H548">
        <v>-0.05</v>
      </c>
      <c r="I548">
        <v>367.12360000000001</v>
      </c>
      <c r="J548">
        <v>-317.38299999999998</v>
      </c>
      <c r="K548">
        <v>1.103836</v>
      </c>
      <c r="L548">
        <v>366.952</v>
      </c>
      <c r="M548">
        <v>0.99980709999999995</v>
      </c>
      <c r="N548">
        <v>0</v>
      </c>
      <c r="O548">
        <v>-9.0951959999999998E-3</v>
      </c>
      <c r="P548">
        <v>0.98776269999999999</v>
      </c>
      <c r="Q548">
        <v>0.1413306</v>
      </c>
      <c r="R548">
        <v>-6.5959820000000002E-2</v>
      </c>
      <c r="S548">
        <v>3.0713810000000001</v>
      </c>
      <c r="T548">
        <v>-0.21884970000000001</v>
      </c>
      <c r="U548">
        <v>3.1982419999999998E-2</v>
      </c>
      <c r="V548">
        <v>5.6978029999999999E-2</v>
      </c>
      <c r="W548">
        <v>0.15851570000000001</v>
      </c>
      <c r="X548">
        <v>0.985711</v>
      </c>
      <c r="Y548">
        <v>-1.94358E-2</v>
      </c>
      <c r="Z548">
        <v>1.3388829999999999E-3</v>
      </c>
      <c r="AA548">
        <v>0.99981019999999998</v>
      </c>
      <c r="AB548">
        <v>55</v>
      </c>
      <c r="AC548">
        <v>15.891699999999901</v>
      </c>
      <c r="AD548">
        <v>-1.1538360000000001</v>
      </c>
      <c r="AE548">
        <v>0.17160000000001199</v>
      </c>
      <c r="AF548">
        <v>-0.31449521300454603</v>
      </c>
      <c r="AG548">
        <v>-1.1538360000000001</v>
      </c>
      <c r="AH548">
        <v>15.8061664806891</v>
      </c>
      <c r="AI548">
        <v>94.174311579226398</v>
      </c>
      <c r="AJ548">
        <v>91.139863425227205</v>
      </c>
      <c r="AK548">
        <v>15.8513451659207</v>
      </c>
      <c r="AL548">
        <v>80.879246894985101</v>
      </c>
      <c r="AM548">
        <v>86.691756598934603</v>
      </c>
      <c r="AN548">
        <v>0.99999994928508396</v>
      </c>
    </row>
    <row r="549" spans="1:40" x14ac:dyDescent="0.25">
      <c r="A549" t="str">
        <f>"20190312164446932"</f>
        <v>20190312164446932</v>
      </c>
      <c r="B549" t="str">
        <f>"1552380286922212"</f>
        <v>1552380286922212</v>
      </c>
      <c r="C549" t="s">
        <v>40</v>
      </c>
      <c r="D549">
        <v>5.0407129999999896</v>
      </c>
      <c r="E549">
        <v>0.47454679999999999</v>
      </c>
      <c r="F549" t="s">
        <v>43</v>
      </c>
      <c r="G549">
        <v>-301.27289999999999</v>
      </c>
      <c r="H549">
        <v>-0.05</v>
      </c>
      <c r="I549">
        <v>367.11770000000001</v>
      </c>
      <c r="J549">
        <v>-317.06169999999997</v>
      </c>
      <c r="K549">
        <v>1.1028119999999999</v>
      </c>
      <c r="L549">
        <v>366.94909999999999</v>
      </c>
      <c r="M549">
        <v>0.99979410000000002</v>
      </c>
      <c r="N549">
        <v>0</v>
      </c>
      <c r="O549">
        <v>-9.0942869999999995E-3</v>
      </c>
      <c r="P549">
        <v>0.98793299999999995</v>
      </c>
      <c r="Q549">
        <v>0.14043919999999999</v>
      </c>
      <c r="R549">
        <v>-6.5310149999999997E-2</v>
      </c>
      <c r="S549">
        <v>3.0707399999999998</v>
      </c>
      <c r="T549">
        <v>-0.21993260000000001</v>
      </c>
      <c r="U549">
        <v>3.158569E-2</v>
      </c>
      <c r="V549">
        <v>5.6327729999999999E-2</v>
      </c>
      <c r="W549">
        <v>0.1583514</v>
      </c>
      <c r="X549">
        <v>0.98577479999999995</v>
      </c>
      <c r="Y549">
        <v>-1.9307600000000001E-2</v>
      </c>
      <c r="Z549">
        <v>1.341131E-3</v>
      </c>
      <c r="AA549">
        <v>0.9998127</v>
      </c>
      <c r="AB549">
        <v>55</v>
      </c>
      <c r="AC549">
        <v>15.788799999999901</v>
      </c>
      <c r="AD549">
        <v>-1.1528119999999999</v>
      </c>
      <c r="AE549">
        <v>0.16860000000002601</v>
      </c>
      <c r="AF549">
        <v>-0.31054914672407002</v>
      </c>
      <c r="AG549">
        <v>-1.1528119999999999</v>
      </c>
      <c r="AH549">
        <v>15.7029087094819</v>
      </c>
      <c r="AI549">
        <v>94.197957116621595</v>
      </c>
      <c r="AJ549">
        <v>91.132964383228796</v>
      </c>
      <c r="AK549">
        <v>15.748230320204099</v>
      </c>
      <c r="AL549">
        <v>80.888781180407605</v>
      </c>
      <c r="AM549">
        <v>86.729642923588401</v>
      </c>
      <c r="AN549">
        <v>0.99999996768197497</v>
      </c>
    </row>
    <row r="550" spans="1:40" x14ac:dyDescent="0.25">
      <c r="A550" t="str">
        <f>"20190312164446948"</f>
        <v>20190312164446948</v>
      </c>
      <c r="B550" t="str">
        <f>"1552380286941733"</f>
        <v>1552380286941733</v>
      </c>
      <c r="C550" t="s">
        <v>40</v>
      </c>
      <c r="D550">
        <v>4.9243249999999996</v>
      </c>
      <c r="E550">
        <v>0.47483150000000002</v>
      </c>
      <c r="F550" t="s">
        <v>43</v>
      </c>
      <c r="G550">
        <v>-301.10950000000003</v>
      </c>
      <c r="H550">
        <v>-0.05</v>
      </c>
      <c r="I550">
        <v>367.12180000000001</v>
      </c>
      <c r="J550">
        <v>-316.65859999999998</v>
      </c>
      <c r="K550">
        <v>1.1013360000000001</v>
      </c>
      <c r="L550">
        <v>366.94540000000001</v>
      </c>
      <c r="M550">
        <v>0.99977700000000003</v>
      </c>
      <c r="N550">
        <v>0</v>
      </c>
      <c r="O550">
        <v>-9.0936779999999991E-3</v>
      </c>
      <c r="P550">
        <v>0.9881588</v>
      </c>
      <c r="Q550">
        <v>0.1390267</v>
      </c>
      <c r="R550">
        <v>-6.4913680000000001E-2</v>
      </c>
      <c r="S550">
        <v>3.0703740000000002</v>
      </c>
      <c r="T550">
        <v>-0.22188530000000001</v>
      </c>
      <c r="U550">
        <v>3.3233640000000002E-2</v>
      </c>
      <c r="V550">
        <v>5.5929619999999999E-2</v>
      </c>
      <c r="W550">
        <v>0.15784519999999999</v>
      </c>
      <c r="X550">
        <v>0.9858787</v>
      </c>
      <c r="Y550">
        <v>-1.9842229999999999E-2</v>
      </c>
      <c r="Z550">
        <v>1.372425E-3</v>
      </c>
      <c r="AA550">
        <v>0.99980219999999997</v>
      </c>
      <c r="AB550">
        <v>55</v>
      </c>
      <c r="AC550">
        <v>15.5490999999999</v>
      </c>
      <c r="AD550">
        <v>-1.1513359999999999</v>
      </c>
      <c r="AE550">
        <v>0.176400000000001</v>
      </c>
      <c r="AF550">
        <v>-0.316084132806639</v>
      </c>
      <c r="AG550">
        <v>-1.1513359999999999</v>
      </c>
      <c r="AH550">
        <v>15.462089493226401</v>
      </c>
      <c r="AI550">
        <v>94.257605371296904</v>
      </c>
      <c r="AJ550">
        <v>91.171107221805499</v>
      </c>
      <c r="AK550">
        <v>15.5081170765651</v>
      </c>
      <c r="AL550">
        <v>80.918154194764895</v>
      </c>
      <c r="AM550">
        <v>86.753048824669904</v>
      </c>
      <c r="AN550">
        <v>1.0000000203350301</v>
      </c>
    </row>
    <row r="551" spans="1:40" x14ac:dyDescent="0.25">
      <c r="A551" t="str">
        <f>"20190312164446959"</f>
        <v>20190312164446959</v>
      </c>
      <c r="B551" t="str">
        <f>"1552380286952469"</f>
        <v>1552380286952469</v>
      </c>
      <c r="C551" t="s">
        <v>40</v>
      </c>
      <c r="D551">
        <v>5.1422309999999998</v>
      </c>
      <c r="E551">
        <v>0.4749659</v>
      </c>
      <c r="F551" t="s">
        <v>41</v>
      </c>
      <c r="G551">
        <v>-315.44490000000002</v>
      </c>
      <c r="H551">
        <v>1.0123799999999901</v>
      </c>
      <c r="I551">
        <v>366.95819999999998</v>
      </c>
      <c r="J551">
        <v>-316.3818</v>
      </c>
      <c r="K551">
        <v>1.1001449999999999</v>
      </c>
      <c r="L551">
        <v>366.94290000000001</v>
      </c>
      <c r="M551">
        <v>0.99976679999999996</v>
      </c>
      <c r="N551">
        <v>0</v>
      </c>
      <c r="O551">
        <v>-9.0934929999999994E-3</v>
      </c>
      <c r="P551">
        <v>0.98822189999999999</v>
      </c>
      <c r="Q551">
        <v>0.13861299999999999</v>
      </c>
      <c r="R551">
        <v>-6.4839439999999998E-2</v>
      </c>
      <c r="S551">
        <v>3.0697939999999999</v>
      </c>
      <c r="T551">
        <v>-0.22518869999999999</v>
      </c>
      <c r="U551">
        <v>3.2867430000000003E-2</v>
      </c>
      <c r="V551">
        <v>5.5854840000000003E-2</v>
      </c>
      <c r="W551">
        <v>0.1579526</v>
      </c>
      <c r="X551">
        <v>0.98586569999999996</v>
      </c>
      <c r="Y551">
        <v>-1.9722960000000001E-2</v>
      </c>
      <c r="Z551">
        <v>1.3886910000000001E-3</v>
      </c>
      <c r="AA551">
        <v>0.99980449999999998</v>
      </c>
      <c r="AB551">
        <v>55</v>
      </c>
      <c r="AC551">
        <v>0.93689999999997997</v>
      </c>
      <c r="AD551">
        <v>-8.7765000000000301E-2</v>
      </c>
      <c r="AE551">
        <v>1.5299999999967799E-2</v>
      </c>
      <c r="AF551">
        <v>-2.3613537628361998E-2</v>
      </c>
      <c r="AG551">
        <v>-8.7765000000000301E-2</v>
      </c>
      <c r="AH551">
        <v>0.92857583884255002</v>
      </c>
      <c r="AI551">
        <v>95.397576718820403</v>
      </c>
      <c r="AJ551">
        <v>91.456708714779097</v>
      </c>
      <c r="AK551">
        <v>0.93301306682514995</v>
      </c>
      <c r="AL551">
        <v>80.911922107965793</v>
      </c>
      <c r="AM551">
        <v>86.757338182891402</v>
      </c>
      <c r="AN551">
        <v>0.99999998271733703</v>
      </c>
    </row>
    <row r="552" spans="1:40" x14ac:dyDescent="0.25">
      <c r="A552" t="str">
        <f>"20190312164446970"</f>
        <v>20190312164446970</v>
      </c>
      <c r="B552" t="str">
        <f>"1552380286961759"</f>
        <v>1552380286961759</v>
      </c>
      <c r="C552" t="s">
        <v>40</v>
      </c>
      <c r="D552">
        <v>4.9631540000000003</v>
      </c>
      <c r="E552">
        <v>0.47507579999999999</v>
      </c>
      <c r="F552" t="s">
        <v>43</v>
      </c>
      <c r="G552">
        <v>-300.78480000000002</v>
      </c>
      <c r="H552">
        <v>-0.05</v>
      </c>
      <c r="I552">
        <v>367.10599999999999</v>
      </c>
      <c r="J552">
        <v>-316.1284</v>
      </c>
      <c r="K552">
        <v>1.099035</v>
      </c>
      <c r="L552">
        <v>366.94060000000002</v>
      </c>
      <c r="M552">
        <v>0.99975760000000002</v>
      </c>
      <c r="N552">
        <v>0</v>
      </c>
      <c r="O552">
        <v>-9.0931480000000005E-3</v>
      </c>
      <c r="P552">
        <v>0.98832629999999999</v>
      </c>
      <c r="Q552">
        <v>0.1379145</v>
      </c>
      <c r="R552">
        <v>-6.4735870000000001E-2</v>
      </c>
      <c r="S552">
        <v>3.0696110000000001</v>
      </c>
      <c r="T552">
        <v>-0.2263569</v>
      </c>
      <c r="U552">
        <v>3.2104489999999999E-2</v>
      </c>
      <c r="V552">
        <v>5.5750859999999999E-2</v>
      </c>
      <c r="W552">
        <v>0.1577115</v>
      </c>
      <c r="X552">
        <v>0.98591019999999896</v>
      </c>
      <c r="Y552">
        <v>-1.9474720000000001E-2</v>
      </c>
      <c r="Z552">
        <v>1.3868000000000001E-3</v>
      </c>
      <c r="AA552">
        <v>0.99980939999999996</v>
      </c>
      <c r="AB552">
        <v>55</v>
      </c>
      <c r="AC552">
        <v>15.343599999999901</v>
      </c>
      <c r="AD552">
        <v>-1.149035</v>
      </c>
      <c r="AE552">
        <v>0.16539999999997601</v>
      </c>
      <c r="AF552">
        <v>-0.30324243932032202</v>
      </c>
      <c r="AG552">
        <v>-1.149035</v>
      </c>
      <c r="AH552">
        <v>15.2559150633383</v>
      </c>
      <c r="AI552">
        <v>94.306386222489905</v>
      </c>
      <c r="AJ552">
        <v>91.138720568917904</v>
      </c>
      <c r="AK552">
        <v>15.3021299768372</v>
      </c>
      <c r="AL552">
        <v>80.925911613073893</v>
      </c>
      <c r="AM552">
        <v>86.763507690858802</v>
      </c>
      <c r="AN552">
        <v>0.999999999043514</v>
      </c>
    </row>
    <row r="553" spans="1:40" x14ac:dyDescent="0.25">
      <c r="A553" t="str">
        <f>"20190312164446981"</f>
        <v>20190312164446981</v>
      </c>
      <c r="B553" t="str">
        <f>"1552380286972495"</f>
        <v>1552380286972495</v>
      </c>
      <c r="C553" t="s">
        <v>40</v>
      </c>
      <c r="D553">
        <v>5.0975429999999999</v>
      </c>
      <c r="E553">
        <v>0.47520200000000001</v>
      </c>
      <c r="F553" t="s">
        <v>41</v>
      </c>
      <c r="G553">
        <v>-314.9529</v>
      </c>
      <c r="H553">
        <v>1.011857</v>
      </c>
      <c r="I553">
        <v>366.95240000000001</v>
      </c>
      <c r="J553">
        <v>-315.85910000000001</v>
      </c>
      <c r="K553">
        <v>1.097726</v>
      </c>
      <c r="L553">
        <v>366.93810000000002</v>
      </c>
      <c r="M553">
        <v>0.99975020000000003</v>
      </c>
      <c r="N553">
        <v>0</v>
      </c>
      <c r="O553">
        <v>-9.0931529999999997E-3</v>
      </c>
      <c r="P553">
        <v>0.98839460000000001</v>
      </c>
      <c r="Q553">
        <v>0.137271</v>
      </c>
      <c r="R553">
        <v>-6.5061040000000001E-2</v>
      </c>
      <c r="S553">
        <v>3.0692439999999999</v>
      </c>
      <c r="T553">
        <v>-0.2278143</v>
      </c>
      <c r="U553">
        <v>3.1372070000000002E-2</v>
      </c>
      <c r="V553">
        <v>5.6075090000000001E-2</v>
      </c>
      <c r="W553">
        <v>0.15743270000000001</v>
      </c>
      <c r="X553">
        <v>0.98593629999999999</v>
      </c>
      <c r="Y553">
        <v>-1.923712E-2</v>
      </c>
      <c r="Z553">
        <v>1.387072E-3</v>
      </c>
      <c r="AA553">
        <v>0.99981399999999998</v>
      </c>
      <c r="AB553">
        <v>55</v>
      </c>
      <c r="AC553">
        <v>0.906200000000012</v>
      </c>
      <c r="AD553">
        <v>-8.5868999999999904E-2</v>
      </c>
      <c r="AE553">
        <v>1.42999999999915E-2</v>
      </c>
      <c r="AF553">
        <v>-2.2340795253718699E-2</v>
      </c>
      <c r="AG553">
        <v>-8.5868999999999904E-2</v>
      </c>
      <c r="AH553">
        <v>0.89797164036528299</v>
      </c>
      <c r="AI553">
        <v>95.460649660122101</v>
      </c>
      <c r="AJ553">
        <v>91.425177831141994</v>
      </c>
      <c r="AK553">
        <v>0.90234453685600902</v>
      </c>
      <c r="AL553">
        <v>80.942087119259895</v>
      </c>
      <c r="AM553">
        <v>86.744811590677998</v>
      </c>
      <c r="AN553">
        <v>0.99999992920274094</v>
      </c>
    </row>
    <row r="554" spans="1:40" x14ac:dyDescent="0.25">
      <c r="A554" t="str">
        <f>"20190312164446995"</f>
        <v>20190312164446995</v>
      </c>
      <c r="B554" t="str">
        <f>"1552380286992015"</f>
        <v>1552380286992015</v>
      </c>
      <c r="C554" t="s">
        <v>40</v>
      </c>
      <c r="D554">
        <v>4.9127780000000003</v>
      </c>
      <c r="E554">
        <v>0.47545979999999999</v>
      </c>
      <c r="F554" t="s">
        <v>43</v>
      </c>
      <c r="G554">
        <v>-300.52809999999999</v>
      </c>
      <c r="H554">
        <v>-0.05</v>
      </c>
      <c r="I554">
        <v>367.08589999999998</v>
      </c>
      <c r="J554">
        <v>-315.52569999999997</v>
      </c>
      <c r="K554">
        <v>1.0960430000000001</v>
      </c>
      <c r="L554">
        <v>366.93509999999998</v>
      </c>
      <c r="M554">
        <v>0.99974260000000004</v>
      </c>
      <c r="N554">
        <v>0</v>
      </c>
      <c r="O554">
        <v>-9.0934069999999995E-3</v>
      </c>
      <c r="P554">
        <v>0.9884752</v>
      </c>
      <c r="Q554">
        <v>0.13668529999999901</v>
      </c>
      <c r="R554">
        <v>-6.5069970000000005E-2</v>
      </c>
      <c r="S554">
        <v>3.0690919999999999</v>
      </c>
      <c r="T554">
        <v>-0.2297614</v>
      </c>
      <c r="U554">
        <v>2.9571529999999999E-2</v>
      </c>
      <c r="V554">
        <v>5.6083000000000001E-2</v>
      </c>
      <c r="W554">
        <v>0.157218</v>
      </c>
      <c r="X554">
        <v>0.98597020000000002</v>
      </c>
      <c r="Y554">
        <v>-1.865174E-2</v>
      </c>
      <c r="Z554">
        <v>1.3771110000000001E-3</v>
      </c>
      <c r="AA554">
        <v>0.99982510000000002</v>
      </c>
      <c r="AB554">
        <v>55</v>
      </c>
      <c r="AC554">
        <v>14.997599999999901</v>
      </c>
      <c r="AD554">
        <v>-1.1460429999999999</v>
      </c>
      <c r="AE554">
        <v>0.15080000000000299</v>
      </c>
      <c r="AF554">
        <v>-0.28553536509730398</v>
      </c>
      <c r="AG554">
        <v>-1.1460429999999999</v>
      </c>
      <c r="AH554">
        <v>14.9085617967134</v>
      </c>
      <c r="AI554">
        <v>94.394962806372902</v>
      </c>
      <c r="AJ554">
        <v>91.097219947731702</v>
      </c>
      <c r="AK554">
        <v>14.9552719750926</v>
      </c>
      <c r="AL554">
        <v>80.954544465057594</v>
      </c>
      <c r="AM554">
        <v>86.744465094789206</v>
      </c>
      <c r="AN554">
        <v>1.00000001885051</v>
      </c>
    </row>
    <row r="555" spans="1:40" x14ac:dyDescent="0.25">
      <c r="A555" t="str">
        <f>"20190312164447006"</f>
        <v>20190312164447006</v>
      </c>
      <c r="B555" t="str">
        <f>"1552380287002752"</f>
        <v>1552380287002752</v>
      </c>
      <c r="C555" t="s">
        <v>40</v>
      </c>
      <c r="D555">
        <v>4.9143089999999896</v>
      </c>
      <c r="E555">
        <v>0.47560740000000001</v>
      </c>
      <c r="F555" t="s">
        <v>43</v>
      </c>
      <c r="G555">
        <v>-300.3449</v>
      </c>
      <c r="H555">
        <v>-0.05</v>
      </c>
      <c r="I555">
        <v>367.07100000000003</v>
      </c>
      <c r="J555">
        <v>-315.24</v>
      </c>
      <c r="K555">
        <v>1.09453</v>
      </c>
      <c r="L555">
        <v>366.9325</v>
      </c>
      <c r="M555">
        <v>0.9997376</v>
      </c>
      <c r="N555">
        <v>0</v>
      </c>
      <c r="O555">
        <v>-9.0934840000000006E-3</v>
      </c>
      <c r="P555">
        <v>0.98852600000000002</v>
      </c>
      <c r="Q555">
        <v>0.13621050000000001</v>
      </c>
      <c r="R555">
        <v>-6.5291580000000002E-2</v>
      </c>
      <c r="S555">
        <v>3.068848</v>
      </c>
      <c r="T555">
        <v>-0.23167679999999999</v>
      </c>
      <c r="U555">
        <v>2.7465819999999998E-2</v>
      </c>
      <c r="V555">
        <v>5.6304109999999997E-2</v>
      </c>
      <c r="W555">
        <v>0.156977799999999</v>
      </c>
      <c r="X555">
        <v>0.98599579999999998</v>
      </c>
      <c r="Y555">
        <v>-1.7967279999999999E-2</v>
      </c>
      <c r="Z555">
        <v>1.3628829999999901E-3</v>
      </c>
      <c r="AA555">
        <v>0.99983759999999999</v>
      </c>
      <c r="AB555">
        <v>55</v>
      </c>
      <c r="AC555">
        <v>14.895099999999999</v>
      </c>
      <c r="AD555">
        <v>-1.1445299999999901</v>
      </c>
      <c r="AE555">
        <v>0.13849999999996401</v>
      </c>
      <c r="AF555">
        <v>-0.27236459130283902</v>
      </c>
      <c r="AG555">
        <v>-1.1445299999999901</v>
      </c>
      <c r="AH555">
        <v>14.805813911944499</v>
      </c>
      <c r="AI555">
        <v>94.419585144630204</v>
      </c>
      <c r="AJ555">
        <v>91.0538820568906</v>
      </c>
      <c r="AK555">
        <v>14.8524831926054</v>
      </c>
      <c r="AL555">
        <v>80.968479320962501</v>
      </c>
      <c r="AM555">
        <v>86.731742432027403</v>
      </c>
      <c r="AN555">
        <v>0.99999995005668396</v>
      </c>
    </row>
    <row r="556" spans="1:40" x14ac:dyDescent="0.25">
      <c r="A556" t="str">
        <f>"20190312164447017"</f>
        <v>20190312164447017</v>
      </c>
      <c r="B556" t="str">
        <f>"1552380287012511"</f>
        <v>1552380287012511</v>
      </c>
      <c r="C556" t="s">
        <v>40</v>
      </c>
      <c r="D556">
        <v>4.8919420000000002</v>
      </c>
      <c r="E556">
        <v>0.47572229999999999</v>
      </c>
      <c r="F556" t="s">
        <v>43</v>
      </c>
      <c r="G556">
        <v>-300.1859</v>
      </c>
      <c r="H556">
        <v>-0.05</v>
      </c>
      <c r="I556">
        <v>367.05720000000002</v>
      </c>
      <c r="J556">
        <v>-314.98649999999998</v>
      </c>
      <c r="K556">
        <v>1.0931310000000001</v>
      </c>
      <c r="L556">
        <v>366.93020000000001</v>
      </c>
      <c r="M556">
        <v>0.99973449999999997</v>
      </c>
      <c r="N556">
        <v>0</v>
      </c>
      <c r="O556">
        <v>-9.0928620000000002E-3</v>
      </c>
      <c r="P556">
        <v>0.98856480000000002</v>
      </c>
      <c r="Q556">
        <v>0.13583139999999999</v>
      </c>
      <c r="R556">
        <v>-6.5494780000000002E-2</v>
      </c>
      <c r="S556">
        <v>3.0686040000000001</v>
      </c>
      <c r="T556">
        <v>-0.23329849999999999</v>
      </c>
      <c r="U556">
        <v>2.5421139999999998E-2</v>
      </c>
      <c r="V556">
        <v>5.650761E-2</v>
      </c>
      <c r="W556">
        <v>0.1567424</v>
      </c>
      <c r="X556">
        <v>0.98602160000000005</v>
      </c>
      <c r="Y556">
        <v>-1.7302060000000001E-2</v>
      </c>
      <c r="Z556">
        <v>1.3472130000000001E-3</v>
      </c>
      <c r="AA556">
        <v>0.9998494</v>
      </c>
      <c r="AB556">
        <v>55</v>
      </c>
      <c r="AC556">
        <v>14.8005999999999</v>
      </c>
      <c r="AD556">
        <v>-1.1431309999999999</v>
      </c>
      <c r="AE556">
        <v>0.12700000000000899</v>
      </c>
      <c r="AF556">
        <v>-0.26005354643058098</v>
      </c>
      <c r="AG556">
        <v>-1.1431309999999999</v>
      </c>
      <c r="AH556">
        <v>14.711083023507999</v>
      </c>
      <c r="AI556">
        <v>94.442573109027407</v>
      </c>
      <c r="AJ556">
        <v>91.012734337361707</v>
      </c>
      <c r="AK556">
        <v>14.7577213706831</v>
      </c>
      <c r="AL556">
        <v>80.982135738145104</v>
      </c>
      <c r="AM556">
        <v>86.720041348297201</v>
      </c>
      <c r="AN556">
        <v>0.99999994280611404</v>
      </c>
    </row>
    <row r="557" spans="1:40" x14ac:dyDescent="0.25">
      <c r="A557" t="str">
        <f>"20190312164447027"</f>
        <v>20190312164447027</v>
      </c>
      <c r="B557" t="str">
        <f>"1552380287022271"</f>
        <v>1552380287022271</v>
      </c>
      <c r="C557" t="s">
        <v>40</v>
      </c>
      <c r="D557">
        <v>4.8654149999999996</v>
      </c>
      <c r="E557">
        <v>0.47576869999999999</v>
      </c>
      <c r="F557" t="s">
        <v>43</v>
      </c>
      <c r="G557">
        <v>-300.02429999999998</v>
      </c>
      <c r="H557">
        <v>-0.05</v>
      </c>
      <c r="I557">
        <v>367.04700000000003</v>
      </c>
      <c r="J557">
        <v>-314.74450000000002</v>
      </c>
      <c r="K557">
        <v>1.0917840000000001</v>
      </c>
      <c r="L557">
        <v>366.92790000000002</v>
      </c>
      <c r="M557">
        <v>0.99973190000000001</v>
      </c>
      <c r="N557">
        <v>0</v>
      </c>
      <c r="O557">
        <v>-9.0918920000000007E-3</v>
      </c>
      <c r="P557">
        <v>0.98860420000000004</v>
      </c>
      <c r="Q557">
        <v>0.13540429999999901</v>
      </c>
      <c r="R557">
        <v>-6.5785159999999995E-2</v>
      </c>
      <c r="S557">
        <v>3.0685419999999999</v>
      </c>
      <c r="T557">
        <v>-0.23443929999999999</v>
      </c>
      <c r="U557">
        <v>2.39563E-2</v>
      </c>
      <c r="V557">
        <v>5.6798399999999999E-2</v>
      </c>
      <c r="W557">
        <v>0.15643670000000001</v>
      </c>
      <c r="X557">
        <v>0.98605350000000003</v>
      </c>
      <c r="Y557">
        <v>-1.6824639999999998E-2</v>
      </c>
      <c r="Z557">
        <v>1.335527E-3</v>
      </c>
      <c r="AA557">
        <v>0.99985749999999995</v>
      </c>
      <c r="AB557">
        <v>55</v>
      </c>
      <c r="AC557">
        <v>14.7202</v>
      </c>
      <c r="AD557">
        <v>-1.1417839999999999</v>
      </c>
      <c r="AE557">
        <v>0.119099999999946</v>
      </c>
      <c r="AF557">
        <v>-0.25144717777442599</v>
      </c>
      <c r="AG557">
        <v>-1.1417839999999999</v>
      </c>
      <c r="AH557">
        <v>14.6304903305961</v>
      </c>
      <c r="AI557">
        <v>94.461742126556203</v>
      </c>
      <c r="AJ557">
        <v>90.984617979336903</v>
      </c>
      <c r="AK557">
        <v>14.677129954440399</v>
      </c>
      <c r="AL557">
        <v>80.999870369118696</v>
      </c>
      <c r="AM557">
        <v>86.703306130291494</v>
      </c>
      <c r="AN557">
        <v>1.0000000021058499</v>
      </c>
    </row>
    <row r="558" spans="1:40" x14ac:dyDescent="0.25">
      <c r="A558" t="str">
        <f>"20190312164447038"</f>
        <v>20190312164447038</v>
      </c>
      <c r="B558" t="str">
        <f>"1552380287032031"</f>
        <v>1552380287032031</v>
      </c>
      <c r="C558" t="s">
        <v>40</v>
      </c>
      <c r="D558">
        <v>4.8639809999999999</v>
      </c>
      <c r="E558">
        <v>0.47580289999999997</v>
      </c>
      <c r="F558" t="s">
        <v>43</v>
      </c>
      <c r="G558">
        <v>-299.97809999999998</v>
      </c>
      <c r="H558">
        <v>-0.05</v>
      </c>
      <c r="I558">
        <v>367.0369</v>
      </c>
      <c r="J558">
        <v>-314.47399999999999</v>
      </c>
      <c r="K558">
        <v>1.090244</v>
      </c>
      <c r="L558">
        <v>366.9255</v>
      </c>
      <c r="M558">
        <v>0.99972910000000004</v>
      </c>
      <c r="N558">
        <v>0</v>
      </c>
      <c r="O558">
        <v>-9.0899069999999995E-3</v>
      </c>
      <c r="P558">
        <v>0.98865179999999997</v>
      </c>
      <c r="Q558">
        <v>0.13494589999999901</v>
      </c>
      <c r="R558">
        <v>-6.6007799999999894E-2</v>
      </c>
      <c r="S558">
        <v>3.0686650000000002</v>
      </c>
      <c r="T558">
        <v>-0.2372793</v>
      </c>
      <c r="U558">
        <v>2.2644040000000001E-2</v>
      </c>
      <c r="V558">
        <v>5.7022799999999998E-2</v>
      </c>
      <c r="W558">
        <v>0.15610560000000001</v>
      </c>
      <c r="X558">
        <v>0.986093</v>
      </c>
      <c r="Y558">
        <v>-1.6394289999999999E-2</v>
      </c>
      <c r="Z558">
        <v>1.334841E-3</v>
      </c>
      <c r="AA558">
        <v>0.99986470000000005</v>
      </c>
      <c r="AB558">
        <v>55</v>
      </c>
      <c r="AC558">
        <v>14.495900000000001</v>
      </c>
      <c r="AD558">
        <v>-1.140244</v>
      </c>
      <c r="AE558">
        <v>0.111400000000003</v>
      </c>
      <c r="AF558">
        <v>-0.241696660412623</v>
      </c>
      <c r="AG558">
        <v>-1.140244</v>
      </c>
      <c r="AH558">
        <v>14.4051633576959</v>
      </c>
      <c r="AI558">
        <v>94.525189744186306</v>
      </c>
      <c r="AJ558">
        <v>90.961245557420895</v>
      </c>
      <c r="AK558">
        <v>14.452242214171999</v>
      </c>
      <c r="AL558">
        <v>81.019076782502907</v>
      </c>
      <c r="AM558">
        <v>86.690442680336204</v>
      </c>
      <c r="AN558">
        <v>0.99999998136009904</v>
      </c>
    </row>
    <row r="559" spans="1:40" x14ac:dyDescent="0.25">
      <c r="A559" t="str">
        <f>"20190312164447049"</f>
        <v>20190312164447049</v>
      </c>
      <c r="B559" t="str">
        <f>"1552380287041791"</f>
        <v>1552380287041791</v>
      </c>
      <c r="C559" t="s">
        <v>40</v>
      </c>
      <c r="D559">
        <v>4.9780160000000002</v>
      </c>
      <c r="E559">
        <v>0.47587930000000001</v>
      </c>
      <c r="F559" t="s">
        <v>43</v>
      </c>
      <c r="G559">
        <v>-299.89760000000001</v>
      </c>
      <c r="H559">
        <v>-0.05</v>
      </c>
      <c r="I559">
        <v>367.03</v>
      </c>
      <c r="J559">
        <v>-314.19450000000001</v>
      </c>
      <c r="K559">
        <v>1.0886549999999999</v>
      </c>
      <c r="L559">
        <v>366.92290000000003</v>
      </c>
      <c r="M559">
        <v>0.99972640000000002</v>
      </c>
      <c r="N559">
        <v>0</v>
      </c>
      <c r="O559">
        <v>-9.0875859999999999E-3</v>
      </c>
      <c r="P559">
        <v>0.98870849999999999</v>
      </c>
      <c r="Q559">
        <v>0.1344263</v>
      </c>
      <c r="R559">
        <v>-6.6220370000000001E-2</v>
      </c>
      <c r="S559">
        <v>3.0686650000000002</v>
      </c>
      <c r="T559">
        <v>-0.24004719999999999</v>
      </c>
      <c r="U559">
        <v>2.2003169999999999E-2</v>
      </c>
      <c r="V559">
        <v>5.7236849999999999E-2</v>
      </c>
      <c r="W559">
        <v>0.1557152</v>
      </c>
      <c r="X559">
        <v>0.98614230000000003</v>
      </c>
      <c r="Y559">
        <v>-1.6182060000000002E-2</v>
      </c>
      <c r="Z559">
        <v>1.3418989999999999E-3</v>
      </c>
      <c r="AA559">
        <v>0.99986819999999998</v>
      </c>
      <c r="AB559">
        <v>55</v>
      </c>
      <c r="AC559">
        <v>14.2968999999999</v>
      </c>
      <c r="AD559">
        <v>-1.138655</v>
      </c>
      <c r="AE559">
        <v>0.107099999999945</v>
      </c>
      <c r="AF559">
        <v>-0.235556003851282</v>
      </c>
      <c r="AG559">
        <v>-1.138655</v>
      </c>
      <c r="AH559">
        <v>14.205235889952201</v>
      </c>
      <c r="AI559">
        <v>94.582255779635005</v>
      </c>
      <c r="AJ559">
        <v>90.9500108353662</v>
      </c>
      <c r="AK559">
        <v>14.2527452979825</v>
      </c>
      <c r="AL559">
        <v>81.041721769574806</v>
      </c>
      <c r="AM559">
        <v>86.678212863342793</v>
      </c>
      <c r="AN559">
        <v>0.99999995817912501</v>
      </c>
    </row>
    <row r="560" spans="1:40" x14ac:dyDescent="0.25">
      <c r="A560" t="str">
        <f>"20190312164447059"</f>
        <v>20190312164447059</v>
      </c>
      <c r="B560" t="str">
        <f>"1552380287052527"</f>
        <v>1552380287052527</v>
      </c>
      <c r="C560" t="s">
        <v>40</v>
      </c>
      <c r="D560">
        <v>4.818028</v>
      </c>
      <c r="E560">
        <v>0.4758772</v>
      </c>
      <c r="F560" t="s">
        <v>41</v>
      </c>
      <c r="G560">
        <v>-313.00420000000003</v>
      </c>
      <c r="H560">
        <v>0.99499230000000005</v>
      </c>
      <c r="I560">
        <v>366.93079999999998</v>
      </c>
      <c r="J560">
        <v>-313.93009999999998</v>
      </c>
      <c r="K560">
        <v>1.087153</v>
      </c>
      <c r="L560">
        <v>366.92059999999998</v>
      </c>
      <c r="M560">
        <v>0.9997241</v>
      </c>
      <c r="N560">
        <v>0</v>
      </c>
      <c r="O560">
        <v>-9.0831520000000006E-3</v>
      </c>
      <c r="P560">
        <v>0.98875049999999998</v>
      </c>
      <c r="Q560">
        <v>0.1340131</v>
      </c>
      <c r="R560">
        <v>-6.6432089999999999E-2</v>
      </c>
      <c r="S560">
        <v>3.0685730000000002</v>
      </c>
      <c r="T560">
        <v>-0.24166389999999999</v>
      </c>
      <c r="U560">
        <v>2.114868E-2</v>
      </c>
      <c r="V560">
        <v>5.7451990000000001E-2</v>
      </c>
      <c r="W560">
        <v>0.1554151</v>
      </c>
      <c r="X560">
        <v>0.98617710000000003</v>
      </c>
      <c r="Y560">
        <v>-1.589929E-2</v>
      </c>
      <c r="Z560">
        <v>1.339486E-3</v>
      </c>
      <c r="AA560">
        <v>0.99987269999999995</v>
      </c>
      <c r="AB560">
        <v>55</v>
      </c>
      <c r="AC560">
        <v>0.92589999999995498</v>
      </c>
      <c r="AD560">
        <v>-9.2160699999999901E-2</v>
      </c>
      <c r="AE560">
        <v>1.0199999999997499E-2</v>
      </c>
      <c r="AF560">
        <v>-1.84290796010654E-2</v>
      </c>
      <c r="AG560">
        <v>-9.2160699999999901E-2</v>
      </c>
      <c r="AH560">
        <v>0.91668814562793</v>
      </c>
      <c r="AI560">
        <v>95.739879365112202</v>
      </c>
      <c r="AJ560">
        <v>91.151718024792004</v>
      </c>
      <c r="AK560">
        <v>0.92149356044098596</v>
      </c>
      <c r="AL560">
        <v>81.059127877987606</v>
      </c>
      <c r="AM560">
        <v>86.665872548244494</v>
      </c>
      <c r="AN560">
        <v>0.99999992851368702</v>
      </c>
    </row>
    <row r="561" spans="1:40" x14ac:dyDescent="0.25">
      <c r="A561" t="str">
        <f>"20190312164447070"</f>
        <v>20190312164447070</v>
      </c>
      <c r="B561" t="str">
        <f>"1552380287062795"</f>
        <v>1552380287062795</v>
      </c>
      <c r="C561" t="s">
        <v>40</v>
      </c>
      <c r="D561">
        <v>4.8030929999999996</v>
      </c>
      <c r="E561">
        <v>0.47572740000000002</v>
      </c>
      <c r="F561" t="s">
        <v>43</v>
      </c>
      <c r="G561">
        <v>-299.57440000000003</v>
      </c>
      <c r="H561">
        <v>-0.05</v>
      </c>
      <c r="I561">
        <v>367.01650000000001</v>
      </c>
      <c r="J561">
        <v>-313.67970000000003</v>
      </c>
      <c r="K561">
        <v>1.0857429999999999</v>
      </c>
      <c r="L561">
        <v>366.91829999999999</v>
      </c>
      <c r="M561">
        <v>0.99972190000000005</v>
      </c>
      <c r="N561">
        <v>0</v>
      </c>
      <c r="O561">
        <v>-9.0783530000000008E-3</v>
      </c>
      <c r="P561">
        <v>0.98885849999999997</v>
      </c>
      <c r="Q561">
        <v>0.13308010000000001</v>
      </c>
      <c r="R561">
        <v>-6.6700129999999996E-2</v>
      </c>
      <c r="S561">
        <v>3.068451</v>
      </c>
      <c r="T561">
        <v>-0.24306050000000001</v>
      </c>
      <c r="U561">
        <v>2.0507810000000001E-2</v>
      </c>
      <c r="V561">
        <v>5.7722910000000002E-2</v>
      </c>
      <c r="W561">
        <v>0.15458459999999999</v>
      </c>
      <c r="X561">
        <v>0.9862919</v>
      </c>
      <c r="Y561">
        <v>-1.568574E-2</v>
      </c>
      <c r="Z561">
        <v>1.3384340000000001E-3</v>
      </c>
      <c r="AA561">
        <v>0.99987610000000005</v>
      </c>
      <c r="AB561">
        <v>55</v>
      </c>
      <c r="AC561">
        <v>14.1053</v>
      </c>
      <c r="AD561">
        <v>-1.1357429999999999</v>
      </c>
      <c r="AE561">
        <v>9.8200000000019799E-2</v>
      </c>
      <c r="AF561">
        <v>-0.22482167085906199</v>
      </c>
      <c r="AG561">
        <v>-1.1357429999999999</v>
      </c>
      <c r="AH561">
        <v>14.012980929163801</v>
      </c>
      <c r="AI561">
        <v>94.633063606182503</v>
      </c>
      <c r="AJ561">
        <v>90.919164015391701</v>
      </c>
      <c r="AK561">
        <v>14.0607286961539</v>
      </c>
      <c r="AL561">
        <v>81.107294983681996</v>
      </c>
      <c r="AM561">
        <v>86.650574907475999</v>
      </c>
      <c r="AN561">
        <v>1.0000000224508101</v>
      </c>
    </row>
    <row r="562" spans="1:40" x14ac:dyDescent="0.25">
      <c r="A562" t="str">
        <f>"20190312164447081"</f>
        <v>20190312164447081</v>
      </c>
      <c r="B562" t="str">
        <f>"1552380287072556"</f>
        <v>1552380287072556</v>
      </c>
      <c r="C562" t="s">
        <v>40</v>
      </c>
      <c r="D562">
        <v>4.7639690000000003</v>
      </c>
      <c r="E562">
        <v>0.47567120000000002</v>
      </c>
      <c r="F562" t="s">
        <v>41</v>
      </c>
      <c r="G562">
        <v>-312.51830000000001</v>
      </c>
      <c r="H562">
        <v>0.99268730000000005</v>
      </c>
      <c r="I562">
        <v>366.92610000000002</v>
      </c>
      <c r="J562">
        <v>-313.41849999999999</v>
      </c>
      <c r="K562">
        <v>1.0842879999999999</v>
      </c>
      <c r="L562">
        <v>366.91590000000002</v>
      </c>
      <c r="M562">
        <v>0.99972019999999995</v>
      </c>
      <c r="N562">
        <v>0</v>
      </c>
      <c r="O562">
        <v>-9.0712280000000006E-3</v>
      </c>
      <c r="P562">
        <v>0.98897710000000005</v>
      </c>
      <c r="Q562">
        <v>0.1320866</v>
      </c>
      <c r="R562">
        <v>-6.6913769999999997E-2</v>
      </c>
      <c r="S562">
        <v>3.0683590000000001</v>
      </c>
      <c r="T562">
        <v>-0.24603990000000001</v>
      </c>
      <c r="U562">
        <v>2.1484380000000001E-2</v>
      </c>
      <c r="V562">
        <v>5.7941510000000002E-2</v>
      </c>
      <c r="W562">
        <v>0.1536701</v>
      </c>
      <c r="X562">
        <v>0.98642189999999996</v>
      </c>
      <c r="Y562">
        <v>-1.599416E-2</v>
      </c>
      <c r="Z562">
        <v>1.366604E-3</v>
      </c>
      <c r="AA562">
        <v>0.99987110000000001</v>
      </c>
      <c r="AB562">
        <v>54</v>
      </c>
      <c r="AC562">
        <v>0.90019999999998301</v>
      </c>
      <c r="AD562">
        <v>-9.1600699999999896E-2</v>
      </c>
      <c r="AE562">
        <v>1.0199999999997499E-2</v>
      </c>
      <c r="AF562">
        <v>-1.8179240165956002E-2</v>
      </c>
      <c r="AG562">
        <v>-9.1600699999999896E-2</v>
      </c>
      <c r="AH562">
        <v>0.89084750227157805</v>
      </c>
      <c r="AI562">
        <v>95.869548235771603</v>
      </c>
      <c r="AJ562">
        <v>91.169054395049699</v>
      </c>
      <c r="AK562">
        <v>0.89572900216360696</v>
      </c>
      <c r="AL562">
        <v>81.160324917398796</v>
      </c>
      <c r="AM562">
        <v>86.638361554007105</v>
      </c>
      <c r="AN562">
        <v>0.99999994150734794</v>
      </c>
    </row>
    <row r="563" spans="1:40" x14ac:dyDescent="0.25">
      <c r="A563" t="str">
        <f>"20190312164447094"</f>
        <v>20190312164447094</v>
      </c>
      <c r="B563" t="str">
        <f>"1552380287082316"</f>
        <v>1552380287082316</v>
      </c>
      <c r="C563" t="s">
        <v>40</v>
      </c>
      <c r="D563">
        <v>4.8729930000000001</v>
      </c>
      <c r="E563">
        <v>0.47568519999999997</v>
      </c>
      <c r="F563" t="s">
        <v>43</v>
      </c>
      <c r="G563">
        <v>-299.49549999999999</v>
      </c>
      <c r="H563">
        <v>-0.05</v>
      </c>
      <c r="I563">
        <v>367.01170000000002</v>
      </c>
      <c r="J563">
        <v>-313.13189999999997</v>
      </c>
      <c r="K563">
        <v>1.08271299999999</v>
      </c>
      <c r="L563">
        <v>366.91329999999999</v>
      </c>
      <c r="M563">
        <v>0.99971909999999997</v>
      </c>
      <c r="N563">
        <v>0</v>
      </c>
      <c r="O563">
        <v>-9.0618939999999992E-3</v>
      </c>
      <c r="P563">
        <v>0.98904590000000003</v>
      </c>
      <c r="Q563">
        <v>0.13144029999999901</v>
      </c>
      <c r="R563">
        <v>-6.7170510000000003E-2</v>
      </c>
      <c r="S563">
        <v>3.0682680000000002</v>
      </c>
      <c r="T563">
        <v>-0.2499673</v>
      </c>
      <c r="U563">
        <v>2.111816E-2</v>
      </c>
      <c r="V563">
        <v>5.8205130000000001E-2</v>
      </c>
      <c r="W563">
        <v>0.1530868</v>
      </c>
      <c r="X563">
        <v>0.98649719999999996</v>
      </c>
      <c r="Y563">
        <v>-1.586359E-2</v>
      </c>
      <c r="Z563">
        <v>1.38232E-3</v>
      </c>
      <c r="AA563">
        <v>0.99987320000000002</v>
      </c>
      <c r="AB563">
        <v>54</v>
      </c>
      <c r="AC563">
        <v>13.636399999999901</v>
      </c>
      <c r="AD563">
        <v>-1.1327130000000001</v>
      </c>
      <c r="AE563">
        <v>9.8400000000026397E-2</v>
      </c>
      <c r="AF563">
        <v>-0.22047603776988001</v>
      </c>
      <c r="AG563">
        <v>-1.1327130000000001</v>
      </c>
      <c r="AH563">
        <v>13.5415181985258</v>
      </c>
      <c r="AI563">
        <v>94.780882009176395</v>
      </c>
      <c r="AJ563">
        <v>90.932778010383203</v>
      </c>
      <c r="AK563">
        <v>13.590598351235499</v>
      </c>
      <c r="AL563">
        <v>81.194146833151194</v>
      </c>
      <c r="AM563">
        <v>86.623359383023995</v>
      </c>
      <c r="AN563">
        <v>1.0000000655501899</v>
      </c>
    </row>
    <row r="564" spans="1:40" x14ac:dyDescent="0.25">
      <c r="A564" t="str">
        <f>"20190312164447106"</f>
        <v>20190312164447106</v>
      </c>
      <c r="B564" t="str">
        <f>"1552380287101836"</f>
        <v>1552380287101836</v>
      </c>
      <c r="C564" t="s">
        <v>40</v>
      </c>
      <c r="D564">
        <v>4.8917199999999896</v>
      </c>
      <c r="E564">
        <v>0.47558549999999999</v>
      </c>
      <c r="F564" t="s">
        <v>41</v>
      </c>
      <c r="G564">
        <v>-312.03199999999998</v>
      </c>
      <c r="H564">
        <v>0.99259160000000002</v>
      </c>
      <c r="I564">
        <v>366.92020000000002</v>
      </c>
      <c r="J564">
        <v>-312.81330000000003</v>
      </c>
      <c r="K564">
        <v>1.081002</v>
      </c>
      <c r="L564">
        <v>366.91039999999998</v>
      </c>
      <c r="M564">
        <v>0.99971849999999995</v>
      </c>
      <c r="N564">
        <v>0</v>
      </c>
      <c r="O564">
        <v>-9.048324E-3</v>
      </c>
      <c r="P564">
        <v>0.98913960000000001</v>
      </c>
      <c r="Q564">
        <v>0.1306339</v>
      </c>
      <c r="R564">
        <v>-6.7363049999999994E-2</v>
      </c>
      <c r="S564">
        <v>3.068085</v>
      </c>
      <c r="T564">
        <v>-0.25170369999999997</v>
      </c>
      <c r="U564">
        <v>2.0324709999999999E-2</v>
      </c>
      <c r="V564">
        <v>5.8407920000000002E-2</v>
      </c>
      <c r="W564">
        <v>0.15231020000000001</v>
      </c>
      <c r="X564">
        <v>0.98660530000000002</v>
      </c>
      <c r="Y564">
        <v>-1.559166E-2</v>
      </c>
      <c r="Z564">
        <v>1.379728E-3</v>
      </c>
      <c r="AA564">
        <v>0.99987749999999997</v>
      </c>
      <c r="AB564">
        <v>54</v>
      </c>
      <c r="AC564">
        <v>0.78130000000004396</v>
      </c>
      <c r="AD564">
        <v>-8.8410400000000097E-2</v>
      </c>
      <c r="AE564">
        <v>9.8000000000411092E-3</v>
      </c>
      <c r="AF564">
        <v>-1.66574936867077E-2</v>
      </c>
      <c r="AG564">
        <v>-8.8410400000000097E-2</v>
      </c>
      <c r="AH564">
        <v>0.77130449895785402</v>
      </c>
      <c r="AI564">
        <v>96.537451107612597</v>
      </c>
      <c r="AJ564">
        <v>91.237197173362503</v>
      </c>
      <c r="AK564">
        <v>0.77653364449758999</v>
      </c>
      <c r="AL564">
        <v>81.239169717455695</v>
      </c>
      <c r="AM564">
        <v>86.6119927286055</v>
      </c>
      <c r="AN564">
        <v>0.99999995006542697</v>
      </c>
    </row>
    <row r="565" spans="1:40" x14ac:dyDescent="0.25">
      <c r="A565" t="str">
        <f>"20190312164447118"</f>
        <v>20190312164447118</v>
      </c>
      <c r="B565" t="str">
        <f>"1552380287112571"</f>
        <v>1552380287112571</v>
      </c>
      <c r="C565" t="s">
        <v>40</v>
      </c>
      <c r="D565">
        <v>4.8582269999999896</v>
      </c>
      <c r="E565">
        <v>0.47554299999999999</v>
      </c>
      <c r="F565" t="s">
        <v>43</v>
      </c>
      <c r="G565">
        <v>-299.14109999999999</v>
      </c>
      <c r="H565">
        <v>-0.05</v>
      </c>
      <c r="I565">
        <v>367.00189999999998</v>
      </c>
      <c r="J565">
        <v>-312.53039999999999</v>
      </c>
      <c r="K565">
        <v>1.0795410000000001</v>
      </c>
      <c r="L565">
        <v>366.90789999999998</v>
      </c>
      <c r="M565">
        <v>0.99971929999999998</v>
      </c>
      <c r="N565">
        <v>0</v>
      </c>
      <c r="O565">
        <v>-9.0322619999999992E-3</v>
      </c>
      <c r="P565">
        <v>0.98923190000000005</v>
      </c>
      <c r="Q565">
        <v>0.12966559999999999</v>
      </c>
      <c r="R565">
        <v>-6.787667E-2</v>
      </c>
      <c r="S565">
        <v>3.067841</v>
      </c>
      <c r="T565">
        <v>-0.25377870000000002</v>
      </c>
      <c r="U565">
        <v>2.053833E-2</v>
      </c>
      <c r="V565">
        <v>5.893458E-2</v>
      </c>
      <c r="W565">
        <v>0.15131900000000001</v>
      </c>
      <c r="X565">
        <v>0.98672649999999995</v>
      </c>
      <c r="Y565">
        <v>-1.564424E-2</v>
      </c>
      <c r="Z565">
        <v>1.392017E-3</v>
      </c>
      <c r="AA565">
        <v>0.99987669999999995</v>
      </c>
      <c r="AB565">
        <v>54</v>
      </c>
      <c r="AC565">
        <v>13.389299999999899</v>
      </c>
      <c r="AD565">
        <v>-1.1295409999999999</v>
      </c>
      <c r="AE565">
        <v>9.3999999999994005E-2</v>
      </c>
      <c r="AF565">
        <v>-0.213441888002496</v>
      </c>
      <c r="AG565">
        <v>-1.1295409999999999</v>
      </c>
      <c r="AH565">
        <v>13.2933024559504</v>
      </c>
      <c r="AI565">
        <v>94.856172328989501</v>
      </c>
      <c r="AJ565">
        <v>90.919881919862902</v>
      </c>
      <c r="AK565">
        <v>13.342912369329699</v>
      </c>
      <c r="AL565">
        <v>81.296627335516007</v>
      </c>
      <c r="AM565">
        <v>86.581934334893305</v>
      </c>
      <c r="AN565">
        <v>0.99999995514151196</v>
      </c>
    </row>
    <row r="566" spans="1:40" x14ac:dyDescent="0.25">
      <c r="A566" t="str">
        <f>"20190312164447131"</f>
        <v>20190312164447131</v>
      </c>
      <c r="B566" t="str">
        <f>"1552380287122332"</f>
        <v>1552380287122332</v>
      </c>
      <c r="C566" t="s">
        <v>40</v>
      </c>
      <c r="D566">
        <v>4.8829339999999997</v>
      </c>
      <c r="E566">
        <v>0.475665</v>
      </c>
      <c r="F566" t="s">
        <v>41</v>
      </c>
      <c r="G566">
        <v>-311.54050000000001</v>
      </c>
      <c r="H566">
        <v>0.99721519999999997</v>
      </c>
      <c r="I566">
        <v>366.91399999999999</v>
      </c>
      <c r="J566">
        <v>-312.22309999999999</v>
      </c>
      <c r="K566">
        <v>1.0779860000000001</v>
      </c>
      <c r="L566">
        <v>366.9051</v>
      </c>
      <c r="M566">
        <v>0.99972059999999996</v>
      </c>
      <c r="N566">
        <v>0</v>
      </c>
      <c r="O566">
        <v>-9.0127929999999998E-3</v>
      </c>
      <c r="P566">
        <v>0.98932750000000003</v>
      </c>
      <c r="Q566">
        <v>0.12880349999999999</v>
      </c>
      <c r="R566">
        <v>-6.8124740000000003E-2</v>
      </c>
      <c r="S566">
        <v>3.0674739999999998</v>
      </c>
      <c r="T566">
        <v>-0.25539830000000002</v>
      </c>
      <c r="U566">
        <v>1.986694E-2</v>
      </c>
      <c r="V566">
        <v>5.9198630000000002E-2</v>
      </c>
      <c r="W566">
        <v>0.1504074</v>
      </c>
      <c r="X566">
        <v>0.98685009999999995</v>
      </c>
      <c r="Y566">
        <v>-1.54065E-2</v>
      </c>
      <c r="Z566">
        <v>1.389539E-3</v>
      </c>
      <c r="AA566">
        <v>0.9998804</v>
      </c>
      <c r="AB566">
        <v>54</v>
      </c>
      <c r="AC566">
        <v>0.682599999999979</v>
      </c>
      <c r="AD566">
        <v>-8.0770800000000101E-2</v>
      </c>
      <c r="AE566">
        <v>8.8999999999828001E-3</v>
      </c>
      <c r="AF566">
        <v>-1.4845416614063399E-2</v>
      </c>
      <c r="AG566">
        <v>-8.0770800000000101E-2</v>
      </c>
      <c r="AH566">
        <v>0.67306961136608501</v>
      </c>
      <c r="AI566">
        <v>96.841330621871094</v>
      </c>
      <c r="AJ566">
        <v>91.263527297968906</v>
      </c>
      <c r="AK566">
        <v>0.67806121425102805</v>
      </c>
      <c r="AL566">
        <v>81.349463213703402</v>
      </c>
      <c r="AM566">
        <v>86.567085601930003</v>
      </c>
      <c r="AN566">
        <v>0.99999999181932298</v>
      </c>
    </row>
    <row r="567" spans="1:40" x14ac:dyDescent="0.25">
      <c r="A567" t="str">
        <f>"20190312164447142"</f>
        <v>20190312164447142</v>
      </c>
      <c r="B567" t="str">
        <f>"1552380287132091"</f>
        <v>1552380287132091</v>
      </c>
      <c r="C567" t="s">
        <v>40</v>
      </c>
      <c r="D567">
        <v>4.8316939999999997</v>
      </c>
      <c r="E567">
        <v>0.47575440000000002</v>
      </c>
      <c r="F567" t="s">
        <v>41</v>
      </c>
      <c r="G567">
        <v>-311.07049999999998</v>
      </c>
      <c r="H567">
        <v>0.9808346</v>
      </c>
      <c r="I567">
        <v>366.91160000000002</v>
      </c>
      <c r="J567">
        <v>-311.91609999999997</v>
      </c>
      <c r="K567">
        <v>1.0765180000000001</v>
      </c>
      <c r="L567">
        <v>366.9024</v>
      </c>
      <c r="M567">
        <v>0.99972309999999998</v>
      </c>
      <c r="N567">
        <v>0</v>
      </c>
      <c r="O567">
        <v>-8.9889229999999994E-3</v>
      </c>
      <c r="P567">
        <v>0.98941710000000005</v>
      </c>
      <c r="Q567">
        <v>0.12799479999999999</v>
      </c>
      <c r="R567">
        <v>-6.8346539999999997E-2</v>
      </c>
      <c r="S567">
        <v>3.0673520000000001</v>
      </c>
      <c r="T567">
        <v>-0.25885049999999998</v>
      </c>
      <c r="U567">
        <v>1.818848E-2</v>
      </c>
      <c r="V567">
        <v>5.9440809999999997E-2</v>
      </c>
      <c r="W567">
        <v>0.14949509999999999</v>
      </c>
      <c r="X567">
        <v>0.98697420000000002</v>
      </c>
      <c r="Y567">
        <v>-1.4835559999999999E-2</v>
      </c>
      <c r="Z567">
        <v>1.382252E-3</v>
      </c>
      <c r="AA567">
        <v>0.99988900000000003</v>
      </c>
      <c r="AB567">
        <v>54</v>
      </c>
      <c r="AC567">
        <v>0.84559999999999003</v>
      </c>
      <c r="AD567">
        <v>-9.5683400000000002E-2</v>
      </c>
      <c r="AE567">
        <v>9.2000000000211895E-3</v>
      </c>
      <c r="AF567">
        <v>-1.6590066521087299E-2</v>
      </c>
      <c r="AG567">
        <v>-9.5683400000000002E-2</v>
      </c>
      <c r="AH567">
        <v>0.83479570329448105</v>
      </c>
      <c r="AI567">
        <v>96.537367763690398</v>
      </c>
      <c r="AJ567">
        <v>91.138500932031505</v>
      </c>
      <c r="AK567">
        <v>0.84042513621479797</v>
      </c>
      <c r="AL567">
        <v>81.402332279513999</v>
      </c>
      <c r="AM567">
        <v>86.553507798164105</v>
      </c>
      <c r="AN567">
        <v>1.0000000331415499</v>
      </c>
    </row>
    <row r="568" spans="1:40" x14ac:dyDescent="0.25">
      <c r="A568" t="str">
        <f>"20190312164447154"</f>
        <v>20190312164447154</v>
      </c>
      <c r="B568" t="str">
        <f>"1552380287141851"</f>
        <v>1552380287141851</v>
      </c>
      <c r="C568" t="s">
        <v>40</v>
      </c>
      <c r="D568">
        <v>4.8174479999999997</v>
      </c>
      <c r="E568">
        <v>0.47570499999999999</v>
      </c>
      <c r="F568" t="s">
        <v>43</v>
      </c>
      <c r="G568">
        <v>-298.73250000000002</v>
      </c>
      <c r="H568">
        <v>-0.05</v>
      </c>
      <c r="I568">
        <v>366.97480000000002</v>
      </c>
      <c r="J568">
        <v>-311.66230000000002</v>
      </c>
      <c r="K568">
        <v>1.075348</v>
      </c>
      <c r="L568">
        <v>366.90010000000001</v>
      </c>
      <c r="M568">
        <v>0.99972589999999995</v>
      </c>
      <c r="N568">
        <v>0</v>
      </c>
      <c r="O568">
        <v>-8.9674530000000002E-3</v>
      </c>
      <c r="P568">
        <v>0.98949940000000003</v>
      </c>
      <c r="Q568">
        <v>0.12721099999999999</v>
      </c>
      <c r="R568">
        <v>-6.8618150000000003E-2</v>
      </c>
      <c r="S568">
        <v>3.0671689999999998</v>
      </c>
      <c r="T568">
        <v>-0.26208579999999998</v>
      </c>
      <c r="U568">
        <v>1.6845699999999901E-2</v>
      </c>
      <c r="V568">
        <v>5.9731100000000002E-2</v>
      </c>
      <c r="W568">
        <v>0.14860489999999901</v>
      </c>
      <c r="X568">
        <v>0.9870911</v>
      </c>
      <c r="Y568">
        <v>-1.43763E-2</v>
      </c>
      <c r="Z568">
        <v>1.3781310000000001E-3</v>
      </c>
      <c r="AA568">
        <v>0.99989570000000005</v>
      </c>
      <c r="AB568">
        <v>54</v>
      </c>
      <c r="AC568">
        <v>12.9298</v>
      </c>
      <c r="AD568">
        <v>-1.125348</v>
      </c>
      <c r="AE568">
        <v>7.4700000000007094E-2</v>
      </c>
      <c r="AF568">
        <v>-0.189238038356694</v>
      </c>
      <c r="AG568">
        <v>-1.125348</v>
      </c>
      <c r="AH568">
        <v>12.831413467617701</v>
      </c>
      <c r="AI568">
        <v>95.011620670982097</v>
      </c>
      <c r="AJ568">
        <v>90.844938474728195</v>
      </c>
      <c r="AK568">
        <v>12.882056929435899</v>
      </c>
      <c r="AL568">
        <v>81.453913132764399</v>
      </c>
      <c r="AM568">
        <v>86.5371262503064</v>
      </c>
      <c r="AN568">
        <v>1.0000000301552101</v>
      </c>
    </row>
    <row r="569" spans="1:40" x14ac:dyDescent="0.25">
      <c r="A569" t="str">
        <f>"20190312164447164"</f>
        <v>20190312164447164</v>
      </c>
      <c r="B569" t="str">
        <f>"1552380287161880"</f>
        <v>1552380287161880</v>
      </c>
      <c r="C569" t="s">
        <v>40</v>
      </c>
      <c r="D569">
        <v>4.8372449999999896</v>
      </c>
      <c r="E569">
        <v>0.47560780000000002</v>
      </c>
      <c r="F569" t="s">
        <v>41</v>
      </c>
      <c r="G569">
        <v>-310.58600000000001</v>
      </c>
      <c r="H569">
        <v>0.98281470000000004</v>
      </c>
      <c r="I569">
        <v>366.9058</v>
      </c>
      <c r="J569">
        <v>-311.39859999999999</v>
      </c>
      <c r="K569">
        <v>1.074179</v>
      </c>
      <c r="L569">
        <v>366.89769999999999</v>
      </c>
      <c r="M569">
        <v>0.99972910000000004</v>
      </c>
      <c r="N569">
        <v>0</v>
      </c>
      <c r="O569">
        <v>-8.9429599999999998E-3</v>
      </c>
      <c r="P569">
        <v>0.9895678</v>
      </c>
      <c r="Q569">
        <v>0.12670970000000001</v>
      </c>
      <c r="R569">
        <v>-6.8560049999999997E-2</v>
      </c>
      <c r="S569">
        <v>3.0668950000000001</v>
      </c>
      <c r="T569">
        <v>-0.26385690000000001</v>
      </c>
      <c r="U569">
        <v>1.6540530000000001E-2</v>
      </c>
      <c r="V569">
        <v>5.9694839999999999E-2</v>
      </c>
      <c r="W569">
        <v>0.1479692</v>
      </c>
      <c r="X569">
        <v>0.98718879999999998</v>
      </c>
      <c r="Y569">
        <v>-1.425216E-2</v>
      </c>
      <c r="Z569">
        <v>1.380098E-3</v>
      </c>
      <c r="AA569">
        <v>0.99989749999999999</v>
      </c>
      <c r="AB569">
        <v>54</v>
      </c>
      <c r="AC569">
        <v>0.81259999999997401</v>
      </c>
      <c r="AD569">
        <v>-9.1364299999999996E-2</v>
      </c>
      <c r="AE569">
        <v>8.1000000000130898E-3</v>
      </c>
      <c r="AF569">
        <v>-1.51765677156671E-2</v>
      </c>
      <c r="AG569">
        <v>-9.1364299999999996E-2</v>
      </c>
      <c r="AH569">
        <v>0.802353077366322</v>
      </c>
      <c r="AI569">
        <v>96.495162212887195</v>
      </c>
      <c r="AJ569">
        <v>91.083624680275094</v>
      </c>
      <c r="AK569">
        <v>0.80768076879502704</v>
      </c>
      <c r="AL569">
        <v>81.490743345150094</v>
      </c>
      <c r="AM569">
        <v>86.539564964142698</v>
      </c>
      <c r="AN569">
        <v>1.0000000424583499</v>
      </c>
    </row>
    <row r="570" spans="1:40" x14ac:dyDescent="0.25">
      <c r="A570" t="str">
        <f>"20190312164447176"</f>
        <v>20190312164447176</v>
      </c>
      <c r="B570" t="str">
        <f>"1552380287172616"</f>
        <v>1552380287172616</v>
      </c>
      <c r="C570" t="s">
        <v>40</v>
      </c>
      <c r="D570">
        <v>4.76187</v>
      </c>
      <c r="E570">
        <v>0.47555579999999997</v>
      </c>
      <c r="F570" t="s">
        <v>43</v>
      </c>
      <c r="G570">
        <v>-298.3338</v>
      </c>
      <c r="H570">
        <v>-0.05</v>
      </c>
      <c r="I570">
        <v>366.97210000000001</v>
      </c>
      <c r="J570">
        <v>-311.12990000000002</v>
      </c>
      <c r="K570">
        <v>1.0730550000000001</v>
      </c>
      <c r="L570">
        <v>366.8954</v>
      </c>
      <c r="M570">
        <v>0.99973259999999997</v>
      </c>
      <c r="N570">
        <v>0</v>
      </c>
      <c r="O570">
        <v>-8.9152490000000001E-3</v>
      </c>
      <c r="P570">
        <v>0.98965409999999998</v>
      </c>
      <c r="Q570">
        <v>0.12591550000000001</v>
      </c>
      <c r="R570">
        <v>-6.8773870000000001E-2</v>
      </c>
      <c r="S570">
        <v>3.0666199999999999</v>
      </c>
      <c r="T570">
        <v>-0.26387159999999998</v>
      </c>
      <c r="U570">
        <v>1.7456050000000001E-2</v>
      </c>
      <c r="V570">
        <v>5.9933809999999997E-2</v>
      </c>
      <c r="W570">
        <v>0.14701610000000001</v>
      </c>
      <c r="X570">
        <v>0.98731670000000005</v>
      </c>
      <c r="Y570">
        <v>-1.4522490000000001E-2</v>
      </c>
      <c r="Z570">
        <v>1.389522E-3</v>
      </c>
      <c r="AA570">
        <v>0.99989360000000005</v>
      </c>
      <c r="AB570">
        <v>54</v>
      </c>
      <c r="AC570">
        <v>12.796099999999999</v>
      </c>
      <c r="AD570">
        <v>-1.1230549999999999</v>
      </c>
      <c r="AE570">
        <v>7.6700000000016602E-2</v>
      </c>
      <c r="AF570">
        <v>-0.189344916890552</v>
      </c>
      <c r="AG570">
        <v>-1.1230549999999999</v>
      </c>
      <c r="AH570">
        <v>12.6971079163058</v>
      </c>
      <c r="AI570">
        <v>95.054079738111</v>
      </c>
      <c r="AJ570">
        <v>90.854356803920098</v>
      </c>
      <c r="AK570">
        <v>12.7480843058435</v>
      </c>
      <c r="AL570">
        <v>81.545955702364594</v>
      </c>
      <c r="AM570">
        <v>86.526195000269297</v>
      </c>
      <c r="AN570">
        <v>1.0000000306696</v>
      </c>
    </row>
    <row r="571" spans="1:40" x14ac:dyDescent="0.25">
      <c r="A571" t="str">
        <f>"20190312164447186"</f>
        <v>20190312164447186</v>
      </c>
      <c r="B571" t="str">
        <f>"1552380287182376"</f>
        <v>1552380287182376</v>
      </c>
      <c r="C571" t="s">
        <v>40</v>
      </c>
      <c r="D571">
        <v>4.6569260000000003</v>
      </c>
      <c r="E571">
        <v>0.47553040000000002</v>
      </c>
      <c r="F571" t="s">
        <v>41</v>
      </c>
      <c r="G571">
        <v>-310.10169999999999</v>
      </c>
      <c r="H571">
        <v>0.98418300000000003</v>
      </c>
      <c r="I571">
        <v>366.90069999999997</v>
      </c>
      <c r="J571">
        <v>-310.88240000000002</v>
      </c>
      <c r="K571">
        <v>1.0720529999999999</v>
      </c>
      <c r="L571">
        <v>366.89319999999998</v>
      </c>
      <c r="M571">
        <v>0.99973639999999997</v>
      </c>
      <c r="N571">
        <v>0</v>
      </c>
      <c r="O571">
        <v>-8.8888999999999999E-3</v>
      </c>
      <c r="P571">
        <v>0.9897125</v>
      </c>
      <c r="Q571">
        <v>0.1254372</v>
      </c>
      <c r="R571">
        <v>-6.8810270000000007E-2</v>
      </c>
      <c r="S571">
        <v>3.0663149999999999</v>
      </c>
      <c r="T571">
        <v>-0.26538060000000002</v>
      </c>
      <c r="U571">
        <v>1.7120360000000001E-2</v>
      </c>
      <c r="V571">
        <v>5.9994520000000003E-2</v>
      </c>
      <c r="W571">
        <v>0.14638029999999999</v>
      </c>
      <c r="X571">
        <v>0.98740740000000005</v>
      </c>
      <c r="Y571">
        <v>-1.43868E-2</v>
      </c>
      <c r="Z571">
        <v>1.3894389999999999E-3</v>
      </c>
      <c r="AA571">
        <v>0.99989550000000005</v>
      </c>
      <c r="AB571">
        <v>54</v>
      </c>
      <c r="AC571">
        <v>0.78070000000002404</v>
      </c>
      <c r="AD571">
        <v>-8.7870000000000101E-2</v>
      </c>
      <c r="AE571">
        <v>7.4999999999931797E-3</v>
      </c>
      <c r="AF571">
        <v>-1.42601897625002E-2</v>
      </c>
      <c r="AG571">
        <v>-8.7870000000000101E-2</v>
      </c>
      <c r="AH571">
        <v>0.77083827438780705</v>
      </c>
      <c r="AI571">
        <v>96.502130855062703</v>
      </c>
      <c r="AJ571">
        <v>91.059827368787097</v>
      </c>
      <c r="AK571">
        <v>0.77596142634362697</v>
      </c>
      <c r="AL571">
        <v>81.582782130681295</v>
      </c>
      <c r="AM571">
        <v>86.523003467764795</v>
      </c>
      <c r="AN571">
        <v>0.99999995411643905</v>
      </c>
    </row>
    <row r="572" spans="1:40" x14ac:dyDescent="0.25">
      <c r="A572" t="str">
        <f>"20190312164447197"</f>
        <v>20190312164447197</v>
      </c>
      <c r="B572" t="str">
        <f>"1552380287192136"</f>
        <v>1552380287192136</v>
      </c>
      <c r="C572" t="s">
        <v>40</v>
      </c>
      <c r="D572">
        <v>4.7747409999999997</v>
      </c>
      <c r="E572">
        <v>0.47550399999999998</v>
      </c>
      <c r="F572" t="s">
        <v>43</v>
      </c>
      <c r="G572">
        <v>-297.96210000000002</v>
      </c>
      <c r="H572">
        <v>-0.05</v>
      </c>
      <c r="I572">
        <v>366.96480000000003</v>
      </c>
      <c r="J572">
        <v>-310.6275</v>
      </c>
      <c r="K572">
        <v>1.0710980000000001</v>
      </c>
      <c r="L572">
        <v>366.89089999999999</v>
      </c>
      <c r="M572">
        <v>0.99974050000000003</v>
      </c>
      <c r="N572">
        <v>0</v>
      </c>
      <c r="O572">
        <v>-8.8597280000000007E-3</v>
      </c>
      <c r="P572">
        <v>0.98976960000000003</v>
      </c>
      <c r="Q572">
        <v>0.1250385</v>
      </c>
      <c r="R572">
        <v>-6.8716830000000007E-2</v>
      </c>
      <c r="S572">
        <v>3.0661010000000002</v>
      </c>
      <c r="T572">
        <v>-0.26627240000000002</v>
      </c>
      <c r="U572">
        <v>1.6998289999999999E-2</v>
      </c>
      <c r="V572">
        <v>5.992807E-2</v>
      </c>
      <c r="W572">
        <v>0.14580290000000001</v>
      </c>
      <c r="X572">
        <v>0.98749690000000001</v>
      </c>
      <c r="Y572">
        <v>-1.4317939999999999E-2</v>
      </c>
      <c r="Z572">
        <v>1.3886700000000001E-3</v>
      </c>
      <c r="AA572">
        <v>0.99989649999999997</v>
      </c>
      <c r="AB572">
        <v>54</v>
      </c>
      <c r="AC572">
        <v>12.665399999999901</v>
      </c>
      <c r="AD572">
        <v>-1.1210979999999999</v>
      </c>
      <c r="AE572">
        <v>7.3900000000037297E-2</v>
      </c>
      <c r="AF572">
        <v>-0.18468681033848799</v>
      </c>
      <c r="AG572">
        <v>-1.1210979999999999</v>
      </c>
      <c r="AH572">
        <v>12.565795808038599</v>
      </c>
      <c r="AI572">
        <v>95.097781293768193</v>
      </c>
      <c r="AJ572">
        <v>90.842048770331502</v>
      </c>
      <c r="AK572">
        <v>12.6170596508393</v>
      </c>
      <c r="AL572">
        <v>81.616223837521005</v>
      </c>
      <c r="AM572">
        <v>86.527159173479504</v>
      </c>
      <c r="AN572">
        <v>0.99999999336597201</v>
      </c>
    </row>
    <row r="573" spans="1:40" x14ac:dyDescent="0.25">
      <c r="A573" t="str">
        <f>"20190312164447206"</f>
        <v>20190312164447206</v>
      </c>
      <c r="B573" t="str">
        <f>"1552380287201896"</f>
        <v>1552380287201896</v>
      </c>
      <c r="C573" t="s">
        <v>40</v>
      </c>
      <c r="D573">
        <v>4.8179869999999996</v>
      </c>
      <c r="E573">
        <v>0.47545749999999998</v>
      </c>
      <c r="F573" t="s">
        <v>41</v>
      </c>
      <c r="G573">
        <v>-309.6198</v>
      </c>
      <c r="H573">
        <v>0.98341920000000005</v>
      </c>
      <c r="I573">
        <v>366.89640000000003</v>
      </c>
      <c r="J573">
        <v>-310.38709999999998</v>
      </c>
      <c r="K573">
        <v>1.0702119999999999</v>
      </c>
      <c r="L573">
        <v>366.8888</v>
      </c>
      <c r="M573">
        <v>0.99974439999999998</v>
      </c>
      <c r="N573">
        <v>0</v>
      </c>
      <c r="O573">
        <v>-8.8315930000000004E-3</v>
      </c>
      <c r="P573">
        <v>0.98979729999999999</v>
      </c>
      <c r="Q573">
        <v>0.12470440000000001</v>
      </c>
      <c r="R573">
        <v>-6.8922559999999994E-2</v>
      </c>
      <c r="S573">
        <v>3.0659179999999999</v>
      </c>
      <c r="T573">
        <v>-0.26693070000000002</v>
      </c>
      <c r="U573">
        <v>1.7608639999999998E-2</v>
      </c>
      <c r="V573">
        <v>6.01603E-2</v>
      </c>
      <c r="W573">
        <v>0.145294799999999</v>
      </c>
      <c r="X573">
        <v>0.98755760000000004</v>
      </c>
      <c r="Y573">
        <v>-1.448817E-2</v>
      </c>
      <c r="Z573">
        <v>1.3971210000000001E-3</v>
      </c>
      <c r="AA573">
        <v>0.99989410000000001</v>
      </c>
      <c r="AB573">
        <v>54</v>
      </c>
      <c r="AC573">
        <v>0.767299999999977</v>
      </c>
      <c r="AD573">
        <v>-8.6792800000000198E-2</v>
      </c>
      <c r="AE573">
        <v>7.6000000000249202E-3</v>
      </c>
      <c r="AF573">
        <v>-1.41960337784148E-2</v>
      </c>
      <c r="AG573">
        <v>-8.6792800000000198E-2</v>
      </c>
      <c r="AH573">
        <v>0.75751159158796899</v>
      </c>
      <c r="AI573">
        <v>96.535092727997807</v>
      </c>
      <c r="AJ573">
        <v>91.073617395905799</v>
      </c>
      <c r="AK573">
        <v>0.76259971734653498</v>
      </c>
      <c r="AL573">
        <v>81.645648613327694</v>
      </c>
      <c r="AM573">
        <v>86.513948291851904</v>
      </c>
      <c r="AN573">
        <v>0.99999992696044204</v>
      </c>
    </row>
    <row r="574" spans="1:40" x14ac:dyDescent="0.25">
      <c r="A574" t="str">
        <f>"20190312164447216"</f>
        <v>20190312164447216</v>
      </c>
      <c r="B574" t="str">
        <f>"1552380287212632"</f>
        <v>1552380287212632</v>
      </c>
      <c r="C574" t="s">
        <v>40</v>
      </c>
      <c r="D574">
        <v>4.7325650000000001</v>
      </c>
      <c r="E574">
        <v>0.47541339999999999</v>
      </c>
      <c r="F574" t="s">
        <v>43</v>
      </c>
      <c r="G574">
        <v>-297.51780000000002</v>
      </c>
      <c r="H574">
        <v>-0.05</v>
      </c>
      <c r="I574">
        <v>366.96190000000001</v>
      </c>
      <c r="J574">
        <v>-310.15879999999999</v>
      </c>
      <c r="K574">
        <v>1.0694490000000001</v>
      </c>
      <c r="L574">
        <v>366.88679999999999</v>
      </c>
      <c r="M574">
        <v>0.99974830000000003</v>
      </c>
      <c r="N574">
        <v>0</v>
      </c>
      <c r="O574">
        <v>-8.8050300000000001E-3</v>
      </c>
      <c r="P574">
        <v>0.98989139999999998</v>
      </c>
      <c r="Q574">
        <v>0.1240696</v>
      </c>
      <c r="R574">
        <v>-6.8717639999999997E-2</v>
      </c>
      <c r="S574">
        <v>3.0657350000000001</v>
      </c>
      <c r="T574">
        <v>-0.26685740000000002</v>
      </c>
      <c r="U574">
        <v>1.742554E-2</v>
      </c>
      <c r="V574">
        <v>5.998001E-2</v>
      </c>
      <c r="W574">
        <v>0.14448710000000001</v>
      </c>
      <c r="X574">
        <v>0.98768719999999999</v>
      </c>
      <c r="Y574">
        <v>-1.4402659999999999E-2</v>
      </c>
      <c r="Z574">
        <v>1.3907959999999999E-3</v>
      </c>
      <c r="AA574">
        <v>0.99989530000000004</v>
      </c>
      <c r="AB574">
        <v>54</v>
      </c>
      <c r="AC574">
        <v>12.640999999999901</v>
      </c>
      <c r="AD574">
        <v>-1.1194489999999999</v>
      </c>
      <c r="AE574">
        <v>7.5100000000020303E-2</v>
      </c>
      <c r="AF574">
        <v>-0.18497459368420699</v>
      </c>
      <c r="AG574">
        <v>-1.1194489999999999</v>
      </c>
      <c r="AH574">
        <v>12.541497128985901</v>
      </c>
      <c r="AI574">
        <v>95.100128999068005</v>
      </c>
      <c r="AJ574">
        <v>90.844994424144105</v>
      </c>
      <c r="AK574">
        <v>12.5927174152473</v>
      </c>
      <c r="AL574">
        <v>81.692421117379297</v>
      </c>
      <c r="AM574">
        <v>86.524824676191699</v>
      </c>
      <c r="AN574">
        <v>1.0000000643549201</v>
      </c>
    </row>
    <row r="575" spans="1:40" x14ac:dyDescent="0.25">
      <c r="A575" t="str">
        <f>"20190312164447227"</f>
        <v>20190312164447227</v>
      </c>
      <c r="B575" t="str">
        <f>"1552380287222392"</f>
        <v>1552380287222392</v>
      </c>
      <c r="C575" t="s">
        <v>40</v>
      </c>
      <c r="D575">
        <v>4.7359830000000001</v>
      </c>
      <c r="E575">
        <v>0.47538209999999997</v>
      </c>
      <c r="F575" t="s">
        <v>41</v>
      </c>
      <c r="G575">
        <v>-309.14019999999999</v>
      </c>
      <c r="H575">
        <v>0.98044109999999995</v>
      </c>
      <c r="I575">
        <v>366.89240000000001</v>
      </c>
      <c r="J575">
        <v>-309.89789999999999</v>
      </c>
      <c r="K575">
        <v>1.068597</v>
      </c>
      <c r="L575">
        <v>366.88459999999998</v>
      </c>
      <c r="M575">
        <v>0.99975290000000006</v>
      </c>
      <c r="N575">
        <v>0</v>
      </c>
      <c r="O575">
        <v>-8.7740209999999999E-3</v>
      </c>
      <c r="P575">
        <v>0.98996810000000002</v>
      </c>
      <c r="Q575">
        <v>0.123455</v>
      </c>
      <c r="R575">
        <v>-6.8718020000000005E-2</v>
      </c>
      <c r="S575">
        <v>3.0655519999999998</v>
      </c>
      <c r="T575">
        <v>-0.26824989999999999</v>
      </c>
      <c r="U575">
        <v>1.8371579999999998E-2</v>
      </c>
      <c r="V575">
        <v>6.0009449999999999E-2</v>
      </c>
      <c r="W575">
        <v>0.1436731</v>
      </c>
      <c r="X575">
        <v>0.98780409999999996</v>
      </c>
      <c r="Y575">
        <v>-1.467865E-2</v>
      </c>
      <c r="Z575">
        <v>1.4074479999999999E-3</v>
      </c>
      <c r="AA575">
        <v>0.99989130000000004</v>
      </c>
      <c r="AB575">
        <v>54</v>
      </c>
      <c r="AC575">
        <v>0.75769999999999904</v>
      </c>
      <c r="AD575">
        <v>-8.8155899999999995E-2</v>
      </c>
      <c r="AE575">
        <v>7.8000000000315499E-3</v>
      </c>
      <c r="AF575">
        <v>-1.4256202974675201E-2</v>
      </c>
      <c r="AG575">
        <v>-8.8155899999999995E-2</v>
      </c>
      <c r="AH575">
        <v>0.74748506891468203</v>
      </c>
      <c r="AI575">
        <v>96.724991439119904</v>
      </c>
      <c r="AJ575">
        <v>91.092625496505505</v>
      </c>
      <c r="AK575">
        <v>0.75280052489251903</v>
      </c>
      <c r="AL575">
        <v>81.739551243722701</v>
      </c>
      <c r="AM575">
        <v>86.523533594448807</v>
      </c>
      <c r="AN575">
        <v>1.00000001686486</v>
      </c>
    </row>
    <row r="576" spans="1:40" x14ac:dyDescent="0.25">
      <c r="A576" t="str">
        <f>"20190312164447238"</f>
        <v>20190312164447238</v>
      </c>
      <c r="B576" t="str">
        <f>"1552380287232153"</f>
        <v>1552380287232153</v>
      </c>
      <c r="C576" t="s">
        <v>40</v>
      </c>
      <c r="D576">
        <v>4.7254300000000002</v>
      </c>
      <c r="E576">
        <v>0.47536899999999999</v>
      </c>
      <c r="F576" t="s">
        <v>43</v>
      </c>
      <c r="G576">
        <v>-297.16950000000003</v>
      </c>
      <c r="H576">
        <v>-0.05</v>
      </c>
      <c r="I576">
        <v>366.96199999999999</v>
      </c>
      <c r="J576">
        <v>-309.61079999999998</v>
      </c>
      <c r="K576">
        <v>1.0677490000000001</v>
      </c>
      <c r="L576">
        <v>366.88200000000001</v>
      </c>
      <c r="M576">
        <v>0.99975780000000003</v>
      </c>
      <c r="N576">
        <v>0</v>
      </c>
      <c r="O576">
        <v>-8.7407539999999999E-3</v>
      </c>
      <c r="P576">
        <v>0.99005770000000004</v>
      </c>
      <c r="Q576">
        <v>0.1228819</v>
      </c>
      <c r="R576">
        <v>-6.8455989999999994E-2</v>
      </c>
      <c r="S576">
        <v>3.065277</v>
      </c>
      <c r="T576">
        <v>-0.26938129999999999</v>
      </c>
      <c r="U576">
        <v>1.8646240000000001E-2</v>
      </c>
      <c r="V576">
        <v>5.9778100000000001E-2</v>
      </c>
      <c r="W576">
        <v>0.14287559999999999</v>
      </c>
      <c r="X576">
        <v>0.98793379999999997</v>
      </c>
      <c r="Y576">
        <v>-1.47346E-2</v>
      </c>
      <c r="Z576">
        <v>1.413019E-3</v>
      </c>
      <c r="AA576">
        <v>0.99989039999999996</v>
      </c>
      <c r="AB576">
        <v>54</v>
      </c>
      <c r="AC576">
        <v>12.441299999999901</v>
      </c>
      <c r="AD576">
        <v>-1.1177489999999899</v>
      </c>
      <c r="AE576">
        <v>8.00000000000409E-2</v>
      </c>
      <c r="AF576">
        <v>-0.18725410444284499</v>
      </c>
      <c r="AG576">
        <v>-1.1177489999999899</v>
      </c>
      <c r="AH576">
        <v>12.340522082686499</v>
      </c>
      <c r="AI576">
        <v>95.174879364526504</v>
      </c>
      <c r="AJ576">
        <v>90.869334902508896</v>
      </c>
      <c r="AK576">
        <v>12.3924538409431</v>
      </c>
      <c r="AL576">
        <v>81.785721034392495</v>
      </c>
      <c r="AM576">
        <v>86.537357020504004</v>
      </c>
      <c r="AN576">
        <v>1.0000000257487001</v>
      </c>
    </row>
    <row r="577" spans="1:40" x14ac:dyDescent="0.25">
      <c r="A577" t="str">
        <f>"20190312164447249"</f>
        <v>20190312164447249</v>
      </c>
      <c r="B577" t="str">
        <f>"1552380287241912"</f>
        <v>1552380287241912</v>
      </c>
      <c r="C577" t="s">
        <v>40</v>
      </c>
      <c r="D577">
        <v>4.575844</v>
      </c>
      <c r="E577">
        <v>0.47530060000000002</v>
      </c>
      <c r="F577" t="s">
        <v>41</v>
      </c>
      <c r="G577">
        <v>-308.65620000000001</v>
      </c>
      <c r="H577">
        <v>0.98356849999999996</v>
      </c>
      <c r="I577">
        <v>366.88810000000001</v>
      </c>
      <c r="J577">
        <v>-309.36090000000002</v>
      </c>
      <c r="K577">
        <v>1.0670299999999999</v>
      </c>
      <c r="L577">
        <v>366.87990000000002</v>
      </c>
      <c r="M577">
        <v>0.99976220000000005</v>
      </c>
      <c r="N577">
        <v>0</v>
      </c>
      <c r="O577">
        <v>-8.7117519999999997E-3</v>
      </c>
      <c r="P577">
        <v>0.99010469999999895</v>
      </c>
      <c r="Q577">
        <v>0.12257609999999999</v>
      </c>
      <c r="R577">
        <v>-6.8323620000000002E-2</v>
      </c>
      <c r="S577">
        <v>3.0650940000000002</v>
      </c>
      <c r="T577">
        <v>-0.270412599999999</v>
      </c>
      <c r="U577">
        <v>1.9653319999999998E-2</v>
      </c>
      <c r="V577">
        <v>5.9673039999999997E-2</v>
      </c>
      <c r="W577">
        <v>0.1423729</v>
      </c>
      <c r="X577">
        <v>0.98801269999999997</v>
      </c>
      <c r="Y577">
        <v>-1.503269E-2</v>
      </c>
      <c r="Z577">
        <v>1.4290570000000001E-3</v>
      </c>
      <c r="AA577">
        <v>0.99988600000000005</v>
      </c>
      <c r="AB577">
        <v>54</v>
      </c>
      <c r="AC577">
        <v>0.70470000000000199</v>
      </c>
      <c r="AD577">
        <v>-8.3461499999999897E-2</v>
      </c>
      <c r="AE577">
        <v>8.1999999999879895E-3</v>
      </c>
      <c r="AF577">
        <v>-1.41417484522784E-2</v>
      </c>
      <c r="AG577">
        <v>-8.3461499999999897E-2</v>
      </c>
      <c r="AH577">
        <v>0.69485638740449696</v>
      </c>
      <c r="AI577">
        <v>96.847768720694006</v>
      </c>
      <c r="AJ577">
        <v>91.165925322037097</v>
      </c>
      <c r="AK577">
        <v>0.69999372150639005</v>
      </c>
      <c r="AL577">
        <v>81.8148209430355</v>
      </c>
      <c r="AM577">
        <v>86.543703210138602</v>
      </c>
      <c r="AN577">
        <v>1.0000000048592701</v>
      </c>
    </row>
    <row r="578" spans="1:40" x14ac:dyDescent="0.25">
      <c r="A578" t="str">
        <f>"20190312164447259"</f>
        <v>20190312164447259</v>
      </c>
      <c r="B578" t="str">
        <f>"1552380287252649"</f>
        <v>1552380287252649</v>
      </c>
      <c r="C578" t="s">
        <v>40</v>
      </c>
      <c r="D578">
        <v>4.6132</v>
      </c>
      <c r="E578">
        <v>0.4752478</v>
      </c>
      <c r="F578" t="s">
        <v>41</v>
      </c>
      <c r="G578">
        <v>-308.18770000000001</v>
      </c>
      <c r="H578">
        <v>0.96330059999999995</v>
      </c>
      <c r="I578">
        <v>366.88729999999998</v>
      </c>
      <c r="J578">
        <v>-309.10039999999998</v>
      </c>
      <c r="K578">
        <v>1.0663640000000001</v>
      </c>
      <c r="L578">
        <v>366.87759999999997</v>
      </c>
      <c r="M578">
        <v>0.9997665</v>
      </c>
      <c r="N578">
        <v>0</v>
      </c>
      <c r="O578">
        <v>-8.6804619999999999E-3</v>
      </c>
      <c r="P578">
        <v>0.99019590000000002</v>
      </c>
      <c r="Q578">
        <v>0.1220823</v>
      </c>
      <c r="R578">
        <v>-6.788574E-2</v>
      </c>
      <c r="S578">
        <v>3.064972</v>
      </c>
      <c r="T578">
        <v>-0.27134599999999998</v>
      </c>
      <c r="U578">
        <v>2.053833E-2</v>
      </c>
      <c r="V578">
        <v>5.9264619999999997E-2</v>
      </c>
      <c r="W578">
        <v>0.14167579999999999</v>
      </c>
      <c r="X578">
        <v>0.9881375</v>
      </c>
      <c r="Y578">
        <v>-1.52888E-2</v>
      </c>
      <c r="Z578">
        <v>1.4425729999999999E-3</v>
      </c>
      <c r="AA578">
        <v>0.9998821</v>
      </c>
      <c r="AB578">
        <v>54</v>
      </c>
      <c r="AC578">
        <v>0.91269999999997198</v>
      </c>
      <c r="AD578">
        <v>-0.103063399999999</v>
      </c>
      <c r="AE578">
        <v>9.7000000000093695E-3</v>
      </c>
      <c r="AF578">
        <v>-1.7401971891343099E-2</v>
      </c>
      <c r="AG578">
        <v>-0.103063399999999</v>
      </c>
      <c r="AH578">
        <v>0.90109262128193501</v>
      </c>
      <c r="AI578">
        <v>96.523703974003197</v>
      </c>
      <c r="AJ578">
        <v>91.1063630924493</v>
      </c>
      <c r="AK578">
        <v>0.90713439201367296</v>
      </c>
      <c r="AL578">
        <v>81.855171002389397</v>
      </c>
      <c r="AM578">
        <v>86.5677348773511</v>
      </c>
      <c r="AN578">
        <v>1.0000000231978099</v>
      </c>
    </row>
    <row r="579" spans="1:40" x14ac:dyDescent="0.25">
      <c r="A579" t="str">
        <f>"20190312164447271"</f>
        <v>20190312164447271</v>
      </c>
      <c r="B579" t="str">
        <f>"1552380287262408"</f>
        <v>1552380287262408</v>
      </c>
      <c r="C579" t="s">
        <v>40</v>
      </c>
      <c r="D579">
        <v>4.7056370000000003</v>
      </c>
      <c r="E579">
        <v>0.47523159999999998</v>
      </c>
      <c r="F579" t="s">
        <v>41</v>
      </c>
      <c r="G579">
        <v>-308.17469999999997</v>
      </c>
      <c r="H579">
        <v>0.984213</v>
      </c>
      <c r="I579">
        <v>366.88389999999998</v>
      </c>
      <c r="J579">
        <v>-308.8383</v>
      </c>
      <c r="K579">
        <v>1.065715</v>
      </c>
      <c r="L579">
        <v>366.87540000000001</v>
      </c>
      <c r="M579">
        <v>0.99977099999999997</v>
      </c>
      <c r="N579">
        <v>0</v>
      </c>
      <c r="O579">
        <v>-8.648602E-3</v>
      </c>
      <c r="P579">
        <v>0.99025940000000001</v>
      </c>
      <c r="Q579">
        <v>0.12168619999999999</v>
      </c>
      <c r="R579">
        <v>-6.7671209999999996E-2</v>
      </c>
      <c r="S579">
        <v>3.0647890000000002</v>
      </c>
      <c r="T579">
        <v>-0.27236199999999999</v>
      </c>
      <c r="U579">
        <v>2.2033690000000002E-2</v>
      </c>
      <c r="V579">
        <v>5.9080519999999997E-2</v>
      </c>
      <c r="W579">
        <v>0.14107629999999999</v>
      </c>
      <c r="X579">
        <v>0.98823430000000001</v>
      </c>
      <c r="Y579">
        <v>-1.5742760000000001E-2</v>
      </c>
      <c r="Z579">
        <v>1.465339E-3</v>
      </c>
      <c r="AA579">
        <v>0.99987499999999996</v>
      </c>
      <c r="AB579">
        <v>54</v>
      </c>
      <c r="AC579">
        <v>0.66360000000003005</v>
      </c>
      <c r="AD579">
        <v>-8.1502000000000005E-2</v>
      </c>
      <c r="AE579">
        <v>8.4999999999695302E-3</v>
      </c>
      <c r="AF579">
        <v>-1.4028420552548E-2</v>
      </c>
      <c r="AG579">
        <v>-8.1502000000000005E-2</v>
      </c>
      <c r="AH579">
        <v>0.65364353832770905</v>
      </c>
      <c r="AI579">
        <v>97.105837494930995</v>
      </c>
      <c r="AJ579">
        <v>91.229486515464302</v>
      </c>
      <c r="AK579">
        <v>0.658854496671887</v>
      </c>
      <c r="AL579">
        <v>81.889868386603396</v>
      </c>
      <c r="AM579">
        <v>86.578705878141406</v>
      </c>
      <c r="AN579">
        <v>1.0000000309808199</v>
      </c>
    </row>
    <row r="580" spans="1:40" x14ac:dyDescent="0.25">
      <c r="A580" t="str">
        <f>"20190312164447281"</f>
        <v>20190312164447281</v>
      </c>
      <c r="B580" t="str">
        <f>"1552380287272168"</f>
        <v>1552380287272168</v>
      </c>
      <c r="C580" t="s">
        <v>40</v>
      </c>
      <c r="D580">
        <v>4.6588450000000003</v>
      </c>
      <c r="E580">
        <v>0.47520810000000002</v>
      </c>
      <c r="F580" t="s">
        <v>41</v>
      </c>
      <c r="G580">
        <v>-307.70670000000001</v>
      </c>
      <c r="H580">
        <v>0.96494400000000002</v>
      </c>
      <c r="I580">
        <v>366.88369999999998</v>
      </c>
      <c r="J580">
        <v>-308.56650000000002</v>
      </c>
      <c r="K580">
        <v>1.0651040000000001</v>
      </c>
      <c r="L580">
        <v>366.87299999999999</v>
      </c>
      <c r="M580">
        <v>0.99977519999999998</v>
      </c>
      <c r="N580">
        <v>0</v>
      </c>
      <c r="O580">
        <v>-8.6142500000000004E-3</v>
      </c>
      <c r="P580">
        <v>0.99030450000000003</v>
      </c>
      <c r="Q580">
        <v>0.1214374</v>
      </c>
      <c r="R580">
        <v>-6.7456279999999993E-2</v>
      </c>
      <c r="S580">
        <v>3.0646360000000001</v>
      </c>
      <c r="T580">
        <v>-0.27300750000000001</v>
      </c>
      <c r="U580">
        <v>2.2827150000000001E-2</v>
      </c>
      <c r="V580">
        <v>5.8899E-2</v>
      </c>
      <c r="W580">
        <v>0.1406202</v>
      </c>
      <c r="X580">
        <v>0.98831009999999997</v>
      </c>
      <c r="Y580">
        <v>-1.5966370000000001E-2</v>
      </c>
      <c r="Z580">
        <v>1.47575299999999E-3</v>
      </c>
      <c r="AA580">
        <v>0.99987139999999997</v>
      </c>
      <c r="AB580">
        <v>54</v>
      </c>
      <c r="AC580">
        <v>0.859800000000007</v>
      </c>
      <c r="AD580">
        <v>-0.10016</v>
      </c>
      <c r="AE580">
        <v>1.0699999999928799E-2</v>
      </c>
      <c r="AF580">
        <v>-1.7865125414200898E-2</v>
      </c>
      <c r="AG580">
        <v>-0.10016</v>
      </c>
      <c r="AH580">
        <v>0.84816767528917303</v>
      </c>
      <c r="AI580">
        <v>96.733379889724205</v>
      </c>
      <c r="AJ580">
        <v>91.206654039183704</v>
      </c>
      <c r="AK580">
        <v>0.85424796968532801</v>
      </c>
      <c r="AL580">
        <v>81.916263818387705</v>
      </c>
      <c r="AM580">
        <v>86.589453645826893</v>
      </c>
      <c r="AN580">
        <v>0.99999999330552403</v>
      </c>
    </row>
    <row r="581" spans="1:40" x14ac:dyDescent="0.25">
      <c r="A581" t="str">
        <f>"20190312164447294"</f>
        <v>20190312164447294</v>
      </c>
      <c r="B581" t="str">
        <f>"1552380287281928"</f>
        <v>1552380287281928</v>
      </c>
      <c r="C581" t="s">
        <v>40</v>
      </c>
      <c r="D581">
        <v>4.5206619999999997</v>
      </c>
      <c r="E581">
        <v>0.47518060000000001</v>
      </c>
      <c r="F581" t="s">
        <v>41</v>
      </c>
      <c r="G581">
        <v>-307.68599999999998</v>
      </c>
      <c r="H581">
        <v>0.98660309999999996</v>
      </c>
      <c r="I581">
        <v>366.87959999999998</v>
      </c>
      <c r="J581">
        <v>-308.29669999999999</v>
      </c>
      <c r="K581">
        <v>1.0645370000000001</v>
      </c>
      <c r="L581">
        <v>366.87079999999997</v>
      </c>
      <c r="M581">
        <v>0.99977950000000004</v>
      </c>
      <c r="N581">
        <v>0</v>
      </c>
      <c r="O581">
        <v>-8.5795000000000003E-3</v>
      </c>
      <c r="P581">
        <v>0.99035340000000005</v>
      </c>
      <c r="Q581">
        <v>0.12114659999999999</v>
      </c>
      <c r="R581">
        <v>-6.7258250000000006E-2</v>
      </c>
      <c r="S581">
        <v>3.0645449999999999</v>
      </c>
      <c r="T581">
        <v>-0.27333020000000002</v>
      </c>
      <c r="U581">
        <v>2.3223879999999999E-2</v>
      </c>
      <c r="V581">
        <v>5.873482E-2</v>
      </c>
      <c r="W581">
        <v>0.140127799999999</v>
      </c>
      <c r="X581">
        <v>0.98838979999999999</v>
      </c>
      <c r="Y581">
        <v>-1.6060769999999999E-2</v>
      </c>
      <c r="Z581">
        <v>1.4786389999999999E-3</v>
      </c>
      <c r="AA581">
        <v>0.99986989999999998</v>
      </c>
      <c r="AB581">
        <v>54</v>
      </c>
      <c r="AC581">
        <v>0.61070000000000801</v>
      </c>
      <c r="AD581">
        <v>-7.7933900000000098E-2</v>
      </c>
      <c r="AE581">
        <v>8.8000000000079091E-3</v>
      </c>
      <c r="AF581">
        <v>-1.3815200652925999E-2</v>
      </c>
      <c r="AG581">
        <v>-7.7933900000000098E-2</v>
      </c>
      <c r="AH581">
        <v>0.60081948005701302</v>
      </c>
      <c r="AI581">
        <v>97.388790978403904</v>
      </c>
      <c r="AJ581">
        <v>91.317222988923206</v>
      </c>
      <c r="AK581">
        <v>0.60601039607771601</v>
      </c>
      <c r="AL581">
        <v>81.944758355976106</v>
      </c>
      <c r="AM581">
        <v>86.599211745673003</v>
      </c>
      <c r="AN581">
        <v>0.99999998807865598</v>
      </c>
    </row>
    <row r="582" spans="1:40" x14ac:dyDescent="0.25">
      <c r="A582" t="str">
        <f>"20190312164447306"</f>
        <v>20190312164447306</v>
      </c>
      <c r="B582" t="str">
        <f>"1552380287302424"</f>
        <v>1552380287302424</v>
      </c>
      <c r="C582" t="s">
        <v>40</v>
      </c>
      <c r="D582">
        <v>4.5076359999999998</v>
      </c>
      <c r="E582">
        <v>0.4751339</v>
      </c>
      <c r="F582" t="s">
        <v>41</v>
      </c>
      <c r="G582">
        <v>-307.22489999999999</v>
      </c>
      <c r="H582">
        <v>0.96900799999999998</v>
      </c>
      <c r="I582">
        <v>366.87889999999999</v>
      </c>
      <c r="J582">
        <v>-307.99560000000002</v>
      </c>
      <c r="K582">
        <v>1.06395</v>
      </c>
      <c r="L582">
        <v>366.8682</v>
      </c>
      <c r="M582">
        <v>0.99978420000000001</v>
      </c>
      <c r="N582">
        <v>0</v>
      </c>
      <c r="O582">
        <v>-8.5400749999999994E-3</v>
      </c>
      <c r="P582">
        <v>0.99036349999999995</v>
      </c>
      <c r="Q582">
        <v>0.12125619999999999</v>
      </c>
      <c r="R582">
        <v>-6.6911590000000007E-2</v>
      </c>
      <c r="S582">
        <v>3.06427</v>
      </c>
      <c r="T582">
        <v>-0.27336959999999999</v>
      </c>
      <c r="U582">
        <v>2.3925780000000001E-2</v>
      </c>
      <c r="V582">
        <v>5.842692E-2</v>
      </c>
      <c r="W582">
        <v>0.14001640000000001</v>
      </c>
      <c r="X582">
        <v>0.98842379999999996</v>
      </c>
      <c r="Y582">
        <v>-1.6250359999999998E-2</v>
      </c>
      <c r="Z582">
        <v>1.483907E-3</v>
      </c>
      <c r="AA582">
        <v>0.99986679999999994</v>
      </c>
      <c r="AB582">
        <v>54</v>
      </c>
      <c r="AC582">
        <v>0.77070000000003303</v>
      </c>
      <c r="AD582">
        <v>-9.4941999999999901E-2</v>
      </c>
      <c r="AE582">
        <v>1.06999999999857E-2</v>
      </c>
      <c r="AF582">
        <v>-1.7024321372657199E-2</v>
      </c>
      <c r="AG582">
        <v>-9.4941999999999901E-2</v>
      </c>
      <c r="AH582">
        <v>0.759063461644371</v>
      </c>
      <c r="AI582">
        <v>97.127632247766201</v>
      </c>
      <c r="AJ582">
        <v>91.284817819344397</v>
      </c>
      <c r="AK582">
        <v>0.76516739977977</v>
      </c>
      <c r="AL582">
        <v>81.951204372405002</v>
      </c>
      <c r="AM582">
        <v>86.617113961426298</v>
      </c>
      <c r="AN582">
        <v>0.99999995282804199</v>
      </c>
    </row>
    <row r="583" spans="1:40" x14ac:dyDescent="0.25">
      <c r="A583" t="str">
        <f>"20190312164447319"</f>
        <v>20190312164447319</v>
      </c>
      <c r="B583" t="str">
        <f>"1552380287312184"</f>
        <v>1552380287312184</v>
      </c>
      <c r="C583" t="s">
        <v>40</v>
      </c>
      <c r="D583">
        <v>4.4615220000000004</v>
      </c>
      <c r="E583">
        <v>0.47508800000000001</v>
      </c>
      <c r="F583" t="s">
        <v>43</v>
      </c>
      <c r="G583">
        <v>-295.4153</v>
      </c>
      <c r="H583">
        <v>-0.05</v>
      </c>
      <c r="I583">
        <v>366.97149999999999</v>
      </c>
      <c r="J583">
        <v>-307.70780000000002</v>
      </c>
      <c r="K583">
        <v>1.06345</v>
      </c>
      <c r="L583">
        <v>366.86579999999998</v>
      </c>
      <c r="M583">
        <v>0.99978820000000002</v>
      </c>
      <c r="N583">
        <v>0</v>
      </c>
      <c r="O583">
        <v>-8.5014489999999995E-3</v>
      </c>
      <c r="P583">
        <v>0.99038630000000005</v>
      </c>
      <c r="Q583">
        <v>0.1211445</v>
      </c>
      <c r="R583">
        <v>-6.6777409999999995E-2</v>
      </c>
      <c r="S583">
        <v>3.0641479999999999</v>
      </c>
      <c r="T583">
        <v>-0.2713219</v>
      </c>
      <c r="U583">
        <v>2.5177000000000001E-2</v>
      </c>
      <c r="V583">
        <v>5.8330380000000001E-2</v>
      </c>
      <c r="W583">
        <v>0.1397033</v>
      </c>
      <c r="X583">
        <v>0.98847379999999996</v>
      </c>
      <c r="Y583">
        <v>-1.6620429999999999E-2</v>
      </c>
      <c r="Z583">
        <v>1.4858269999999999E-3</v>
      </c>
      <c r="AA583">
        <v>0.99986079999999999</v>
      </c>
      <c r="AB583">
        <v>54</v>
      </c>
      <c r="AC583">
        <v>12.2925</v>
      </c>
      <c r="AD583">
        <v>-1.1134500000000001</v>
      </c>
      <c r="AE583">
        <v>0.10570000000001301</v>
      </c>
      <c r="AF583">
        <v>-0.208507988350735</v>
      </c>
      <c r="AG583">
        <v>-1.1134500000000001</v>
      </c>
      <c r="AH583">
        <v>12.1911399972907</v>
      </c>
      <c r="AI583">
        <v>95.217742425851895</v>
      </c>
      <c r="AJ583">
        <v>90.979847910471904</v>
      </c>
      <c r="AK583">
        <v>12.2436571708476</v>
      </c>
      <c r="AL583">
        <v>81.969321723299302</v>
      </c>
      <c r="AM583">
        <v>86.622861063444901</v>
      </c>
      <c r="AN583">
        <v>0.99999994927413505</v>
      </c>
    </row>
    <row r="584" spans="1:40" x14ac:dyDescent="0.25">
      <c r="A584" t="str">
        <f>"20190312164447332"</f>
        <v>20190312164447332</v>
      </c>
      <c r="B584" t="str">
        <f>"1552380287321944"</f>
        <v>1552380287321944</v>
      </c>
      <c r="C584" t="s">
        <v>40</v>
      </c>
      <c r="D584">
        <v>4.6590020000000001</v>
      </c>
      <c r="E584">
        <v>0.4750586</v>
      </c>
      <c r="F584" t="s">
        <v>41</v>
      </c>
      <c r="G584">
        <v>-306.73939999999999</v>
      </c>
      <c r="H584">
        <v>0.9780394</v>
      </c>
      <c r="I584">
        <v>366.87360000000001</v>
      </c>
      <c r="J584">
        <v>-307.37630000000001</v>
      </c>
      <c r="K584">
        <v>1.06291</v>
      </c>
      <c r="L584">
        <v>366.863</v>
      </c>
      <c r="M584">
        <v>0.99979289999999998</v>
      </c>
      <c r="N584">
        <v>0</v>
      </c>
      <c r="O584">
        <v>-8.4568909999999994E-3</v>
      </c>
      <c r="P584">
        <v>0.9904193</v>
      </c>
      <c r="Q584">
        <v>0.12102980000000001</v>
      </c>
      <c r="R584">
        <v>-6.6494730000000002E-2</v>
      </c>
      <c r="S584">
        <v>3.0639340000000002</v>
      </c>
      <c r="T584">
        <v>-0.27050550000000001</v>
      </c>
      <c r="U584">
        <v>2.5787350000000001E-2</v>
      </c>
      <c r="V584">
        <v>5.8091469999999999E-2</v>
      </c>
      <c r="W584">
        <v>0.1393625</v>
      </c>
      <c r="X584">
        <v>0.98853610000000003</v>
      </c>
      <c r="Y584">
        <v>-1.6775709999999999E-2</v>
      </c>
      <c r="Z584">
        <v>1.484387E-3</v>
      </c>
      <c r="AA584">
        <v>0.99985820000000003</v>
      </c>
      <c r="AB584">
        <v>54</v>
      </c>
      <c r="AC584">
        <v>0.636900000000025</v>
      </c>
      <c r="AD584">
        <v>-8.4870600000000004E-2</v>
      </c>
      <c r="AE584">
        <v>1.05999999999539E-2</v>
      </c>
      <c r="AF584">
        <v>-1.5707888375642701E-2</v>
      </c>
      <c r="AG584">
        <v>-8.4870600000000004E-2</v>
      </c>
      <c r="AH584">
        <v>0.62568036577546904</v>
      </c>
      <c r="AI584">
        <v>97.722351923307698</v>
      </c>
      <c r="AJ584">
        <v>91.438125195980902</v>
      </c>
      <c r="AK584">
        <v>0.63160563377673096</v>
      </c>
      <c r="AL584">
        <v>81.989042030337899</v>
      </c>
      <c r="AM584">
        <v>86.636872834657197</v>
      </c>
      <c r="AN584">
        <v>1.0000000731481</v>
      </c>
    </row>
    <row r="585" spans="1:40" x14ac:dyDescent="0.25">
      <c r="A585" t="str">
        <f>"20190312164447351"</f>
        <v>20190312164447351</v>
      </c>
      <c r="B585" t="str">
        <f>"1552380287342440"</f>
        <v>1552380287342440</v>
      </c>
      <c r="C585" t="s">
        <v>40</v>
      </c>
      <c r="D585">
        <v>4.5681459999999996</v>
      </c>
      <c r="E585">
        <v>0.47505510000000001</v>
      </c>
      <c r="F585" t="s">
        <v>41</v>
      </c>
      <c r="G585">
        <v>-306.26830000000001</v>
      </c>
      <c r="H585">
        <v>0.96541509999999997</v>
      </c>
      <c r="I585">
        <v>366.8725</v>
      </c>
      <c r="J585">
        <v>-306.93540000000002</v>
      </c>
      <c r="K585">
        <v>1.062279</v>
      </c>
      <c r="L585">
        <v>366.85930000000002</v>
      </c>
      <c r="M585">
        <v>0.99979879999999999</v>
      </c>
      <c r="N585">
        <v>0</v>
      </c>
      <c r="O585">
        <v>-8.3971529999999992E-3</v>
      </c>
      <c r="P585">
        <v>0.99052739999999995</v>
      </c>
      <c r="Q585">
        <v>0.12058339999999899</v>
      </c>
      <c r="R585">
        <v>-6.5691830000000007E-2</v>
      </c>
      <c r="S585">
        <v>3.0637819999999998</v>
      </c>
      <c r="T585">
        <v>-0.26973029999999998</v>
      </c>
      <c r="U585">
        <v>2.682495E-2</v>
      </c>
      <c r="V585">
        <v>5.7346460000000002E-2</v>
      </c>
      <c r="W585">
        <v>0.1386329</v>
      </c>
      <c r="X585">
        <v>0.98868210000000001</v>
      </c>
      <c r="Y585">
        <v>-1.7054639999999999E-2</v>
      </c>
      <c r="Z585">
        <v>1.4872209999999999E-3</v>
      </c>
      <c r="AA585">
        <v>0.9998534</v>
      </c>
      <c r="AB585">
        <v>54</v>
      </c>
      <c r="AC585">
        <v>0.66710000000000402</v>
      </c>
      <c r="AD585">
        <v>-9.6863900000000197E-2</v>
      </c>
      <c r="AE585">
        <v>1.31999999999834E-2</v>
      </c>
      <c r="AF585">
        <v>-1.8414123307940899E-2</v>
      </c>
      <c r="AG585">
        <v>-9.6863900000000197E-2</v>
      </c>
      <c r="AH585">
        <v>0.65319929601313398</v>
      </c>
      <c r="AI585">
        <v>98.431704073233007</v>
      </c>
      <c r="AJ585">
        <v>91.614778522648706</v>
      </c>
      <c r="AK585">
        <v>0.66059898226720304</v>
      </c>
      <c r="AL585">
        <v>82.031254183240193</v>
      </c>
      <c r="AM585">
        <v>86.680396257287299</v>
      </c>
      <c r="AN585">
        <v>0.99999999614867496</v>
      </c>
    </row>
    <row r="586" spans="1:40" x14ac:dyDescent="0.25">
      <c r="A586" t="str">
        <f>"20190312164447361"</f>
        <v>20190312164447361</v>
      </c>
      <c r="B586" t="str">
        <f>"1552380287352200"</f>
        <v>1552380287352200</v>
      </c>
      <c r="C586" t="s">
        <v>40</v>
      </c>
      <c r="D586">
        <v>4.7845129999999996</v>
      </c>
      <c r="E586">
        <v>0.47502339999999998</v>
      </c>
      <c r="F586" t="s">
        <v>41</v>
      </c>
      <c r="G586">
        <v>-305.79149999999998</v>
      </c>
      <c r="H586">
        <v>0.96158149999999998</v>
      </c>
      <c r="I586">
        <v>366.87009999999998</v>
      </c>
      <c r="J586">
        <v>-306.66239999999999</v>
      </c>
      <c r="K586">
        <v>1.0619369999999999</v>
      </c>
      <c r="L586">
        <v>366.85700000000003</v>
      </c>
      <c r="M586">
        <v>0.99980210000000003</v>
      </c>
      <c r="N586">
        <v>0</v>
      </c>
      <c r="O586">
        <v>-8.3608269999999995E-3</v>
      </c>
      <c r="P586">
        <v>0.99061589999999999</v>
      </c>
      <c r="Q586">
        <v>0.1200595</v>
      </c>
      <c r="R586">
        <v>-6.531642E-2</v>
      </c>
      <c r="S586">
        <v>3.063507</v>
      </c>
      <c r="T586">
        <v>-0.2697254</v>
      </c>
      <c r="U586">
        <v>2.9266360000000002E-2</v>
      </c>
      <c r="V586">
        <v>5.7006130000000002E-2</v>
      </c>
      <c r="W586">
        <v>0.13794529999999999</v>
      </c>
      <c r="X586">
        <v>0.98879799999999995</v>
      </c>
      <c r="Y586">
        <v>-1.7813010000000001E-2</v>
      </c>
      <c r="Z586">
        <v>1.5174469999999999E-3</v>
      </c>
      <c r="AA586">
        <v>0.99984019999999996</v>
      </c>
      <c r="AB586">
        <v>54</v>
      </c>
      <c r="AC586">
        <v>0.870900000000006</v>
      </c>
      <c r="AD586">
        <v>-0.1003555</v>
      </c>
      <c r="AE586">
        <v>1.3100000000008501E-2</v>
      </c>
      <c r="AF586">
        <v>-2.01151364294277E-2</v>
      </c>
      <c r="AG586">
        <v>-0.1003555</v>
      </c>
      <c r="AH586">
        <v>0.85935176931573998</v>
      </c>
      <c r="AI586">
        <v>96.659050001699896</v>
      </c>
      <c r="AJ586">
        <v>91.340896759103003</v>
      </c>
      <c r="AK586">
        <v>0.86542550720435596</v>
      </c>
      <c r="AL586">
        <v>82.071033348162402</v>
      </c>
      <c r="AM586">
        <v>86.700439150482296</v>
      </c>
      <c r="AN586">
        <v>1.00000004472683</v>
      </c>
    </row>
    <row r="587" spans="1:40" x14ac:dyDescent="0.25">
      <c r="A587" t="str">
        <f>"20190312164447371"</f>
        <v>20190312164447371</v>
      </c>
      <c r="B587" t="str">
        <f>"1552380287361960"</f>
        <v>1552380287361960</v>
      </c>
      <c r="C587" t="s">
        <v>40</v>
      </c>
      <c r="D587">
        <v>4.4477989999999998</v>
      </c>
      <c r="E587">
        <v>0.47500959999999998</v>
      </c>
      <c r="F587" t="s">
        <v>41</v>
      </c>
      <c r="G587">
        <v>-305.77159999999998</v>
      </c>
      <c r="H587">
        <v>0.98338780000000003</v>
      </c>
      <c r="I587">
        <v>366.8657</v>
      </c>
      <c r="J587">
        <v>-306.42430000000002</v>
      </c>
      <c r="K587">
        <v>1.0616479999999999</v>
      </c>
      <c r="L587">
        <v>366.85500000000002</v>
      </c>
      <c r="M587">
        <v>0.9998049</v>
      </c>
      <c r="N587">
        <v>0</v>
      </c>
      <c r="O587">
        <v>-8.3291500000000004E-3</v>
      </c>
      <c r="P587">
        <v>0.99070320000000001</v>
      </c>
      <c r="Q587">
        <v>0.1196517</v>
      </c>
      <c r="R587">
        <v>-6.4735749999999995E-2</v>
      </c>
      <c r="S587">
        <v>3.0631409999999999</v>
      </c>
      <c r="T587">
        <v>-0.27017059999999998</v>
      </c>
      <c r="U587">
        <v>3.0120850000000001E-2</v>
      </c>
      <c r="V587">
        <v>5.6455970000000001E-2</v>
      </c>
      <c r="W587">
        <v>0.13739789999999999</v>
      </c>
      <c r="X587">
        <v>0.9889057</v>
      </c>
      <c r="Y587">
        <v>-1.8060150000000001E-2</v>
      </c>
      <c r="Z587">
        <v>1.5282080000000001E-3</v>
      </c>
      <c r="AA587">
        <v>0.99983569999999999</v>
      </c>
      <c r="AB587">
        <v>54</v>
      </c>
      <c r="AC587">
        <v>0.65270000000003803</v>
      </c>
      <c r="AD587">
        <v>-7.8260199999999794E-2</v>
      </c>
      <c r="AE587">
        <v>1.06999999999857E-2</v>
      </c>
      <c r="AF587">
        <v>-1.5908292191801902E-2</v>
      </c>
      <c r="AG587">
        <v>-7.8260199999999794E-2</v>
      </c>
      <c r="AH587">
        <v>0.64334166696329897</v>
      </c>
      <c r="AI587">
        <v>96.933649258558901</v>
      </c>
      <c r="AJ587">
        <v>91.416498170667495</v>
      </c>
      <c r="AK587">
        <v>0.64827944060845899</v>
      </c>
      <c r="AL587">
        <v>82.102697993236902</v>
      </c>
      <c r="AM587">
        <v>86.732568628416502</v>
      </c>
      <c r="AN587">
        <v>0.99999997148276998</v>
      </c>
    </row>
    <row r="588" spans="1:40" x14ac:dyDescent="0.25">
      <c r="A588" t="str">
        <f>"20190312164447382"</f>
        <v>20190312164447382</v>
      </c>
      <c r="B588" t="str">
        <f>"1552380287372696"</f>
        <v>1552380287372696</v>
      </c>
      <c r="C588" t="s">
        <v>40</v>
      </c>
      <c r="D588">
        <v>4.5910349999999998</v>
      </c>
      <c r="E588">
        <v>0.47500799999999999</v>
      </c>
      <c r="F588" t="s">
        <v>41</v>
      </c>
      <c r="G588">
        <v>-305.31229999999999</v>
      </c>
      <c r="H588">
        <v>0.96353469999999997</v>
      </c>
      <c r="I588">
        <v>366.86630000000002</v>
      </c>
      <c r="J588">
        <v>-306.17</v>
      </c>
      <c r="K588">
        <v>1.061375</v>
      </c>
      <c r="L588">
        <v>366.85289999999998</v>
      </c>
      <c r="M588">
        <v>0.99980780000000002</v>
      </c>
      <c r="N588">
        <v>0</v>
      </c>
      <c r="O588">
        <v>-8.2955570000000003E-3</v>
      </c>
      <c r="P588">
        <v>0.99078909999999998</v>
      </c>
      <c r="Q588">
        <v>0.1191055</v>
      </c>
      <c r="R588">
        <v>-6.443016E-2</v>
      </c>
      <c r="S588">
        <v>3.0629270000000002</v>
      </c>
      <c r="T588">
        <v>-0.27045200000000003</v>
      </c>
      <c r="U588">
        <v>3.1982419999999998E-2</v>
      </c>
      <c r="V588">
        <v>5.6182459999999997E-2</v>
      </c>
      <c r="W588">
        <v>0.1367111</v>
      </c>
      <c r="X588">
        <v>0.98901649999999997</v>
      </c>
      <c r="Y588">
        <v>-1.86325E-2</v>
      </c>
      <c r="Z588">
        <v>1.5521529999999999E-3</v>
      </c>
      <c r="AA588">
        <v>0.99982519999999997</v>
      </c>
      <c r="AB588">
        <v>54</v>
      </c>
      <c r="AC588">
        <v>0.857700000000022</v>
      </c>
      <c r="AD588">
        <v>-9.7840300000000005E-2</v>
      </c>
      <c r="AE588">
        <v>1.34000000000469E-2</v>
      </c>
      <c r="AF588">
        <v>-2.0252289822903599E-2</v>
      </c>
      <c r="AG588">
        <v>-9.7840300000000005E-2</v>
      </c>
      <c r="AH588">
        <v>0.84654620477106801</v>
      </c>
      <c r="AI588">
        <v>96.590888370012607</v>
      </c>
      <c r="AJ588">
        <v>91.370450224573105</v>
      </c>
      <c r="AK588">
        <v>0.85242205295232698</v>
      </c>
      <c r="AL588">
        <v>82.142423954851495</v>
      </c>
      <c r="AM588">
        <v>86.748727675060593</v>
      </c>
      <c r="AN588">
        <v>1.00000001547355</v>
      </c>
    </row>
    <row r="589" spans="1:40" x14ac:dyDescent="0.25">
      <c r="A589" t="str">
        <f>"20190312164447395"</f>
        <v>20190312164447395</v>
      </c>
      <c r="B589" t="str">
        <f>"1552380287382456"</f>
        <v>1552380287382456</v>
      </c>
      <c r="C589" t="s">
        <v>40</v>
      </c>
      <c r="D589">
        <v>4.5315969999999997</v>
      </c>
      <c r="E589">
        <v>0.47501860000000001</v>
      </c>
      <c r="F589" t="s">
        <v>43</v>
      </c>
      <c r="G589">
        <v>-293.6139</v>
      </c>
      <c r="H589">
        <v>-0.05</v>
      </c>
      <c r="I589">
        <v>366.98750000000001</v>
      </c>
      <c r="J589">
        <v>-305.8954</v>
      </c>
      <c r="K589">
        <v>1.061099</v>
      </c>
      <c r="L589">
        <v>366.85059999999999</v>
      </c>
      <c r="M589">
        <v>0.9998108</v>
      </c>
      <c r="N589">
        <v>0</v>
      </c>
      <c r="O589">
        <v>-8.2595410000000005E-3</v>
      </c>
      <c r="P589">
        <v>0.99086019999999997</v>
      </c>
      <c r="Q589">
        <v>0.1187782</v>
      </c>
      <c r="R589">
        <v>-6.3939099999999999E-2</v>
      </c>
      <c r="S589">
        <v>3.0626530000000001</v>
      </c>
      <c r="T589">
        <v>-0.27108409999999999</v>
      </c>
      <c r="U589">
        <v>3.2836909999999997E-2</v>
      </c>
      <c r="V589">
        <v>5.5726360000000003E-2</v>
      </c>
      <c r="W589">
        <v>0.13623679999999999</v>
      </c>
      <c r="X589">
        <v>0.98910770000000003</v>
      </c>
      <c r="Y589">
        <v>-1.8875010000000001E-2</v>
      </c>
      <c r="Z589">
        <v>1.56343E-3</v>
      </c>
      <c r="AA589">
        <v>0.99982059999999995</v>
      </c>
      <c r="AB589">
        <v>54</v>
      </c>
      <c r="AC589">
        <v>12.2814999999999</v>
      </c>
      <c r="AD589">
        <v>-1.1110990000000001</v>
      </c>
      <c r="AE589">
        <v>0.136900000000025</v>
      </c>
      <c r="AF589">
        <v>-0.23641586352957</v>
      </c>
      <c r="AG589">
        <v>-1.1110990000000001</v>
      </c>
      <c r="AH589">
        <v>12.180270576784901</v>
      </c>
      <c r="AI589">
        <v>95.211188709665194</v>
      </c>
      <c r="AJ589">
        <v>91.111956457629901</v>
      </c>
      <c r="AK589">
        <v>12.2331281678899</v>
      </c>
      <c r="AL589">
        <v>82.169855628813593</v>
      </c>
      <c r="AM589">
        <v>86.775362915052895</v>
      </c>
      <c r="AN589">
        <v>0.99999996753618903</v>
      </c>
    </row>
    <row r="590" spans="1:40" x14ac:dyDescent="0.25">
      <c r="A590" t="str">
        <f>"20190312164447406"</f>
        <v>20190312164447406</v>
      </c>
      <c r="B590" t="str">
        <f>"1552380287401976"</f>
        <v>1552380287401976</v>
      </c>
      <c r="C590" t="s">
        <v>40</v>
      </c>
      <c r="D590">
        <v>4.5455649999999999</v>
      </c>
      <c r="E590">
        <v>0.47500290000000001</v>
      </c>
      <c r="F590" t="s">
        <v>41</v>
      </c>
      <c r="G590">
        <v>-304.83269999999999</v>
      </c>
      <c r="H590">
        <v>0.96690229999999999</v>
      </c>
      <c r="I590">
        <v>366.86219999999997</v>
      </c>
      <c r="J590">
        <v>-305.60289999999998</v>
      </c>
      <c r="K590">
        <v>1.0608329999999999</v>
      </c>
      <c r="L590">
        <v>366.84820000000002</v>
      </c>
      <c r="M590">
        <v>0.99981379999999997</v>
      </c>
      <c r="N590">
        <v>0</v>
      </c>
      <c r="O590">
        <v>-8.2212459999999998E-3</v>
      </c>
      <c r="P590">
        <v>0.99096879999999998</v>
      </c>
      <c r="Q590">
        <v>0.1181045</v>
      </c>
      <c r="R590">
        <v>-6.3499089999999994E-2</v>
      </c>
      <c r="S590">
        <v>3.062408</v>
      </c>
      <c r="T590">
        <v>-0.2716788</v>
      </c>
      <c r="U590">
        <v>3.3966059999999999E-2</v>
      </c>
      <c r="V590">
        <v>5.5323190000000001E-2</v>
      </c>
      <c r="W590">
        <v>0.1354148</v>
      </c>
      <c r="X590">
        <v>0.98924319999999999</v>
      </c>
      <c r="Y590">
        <v>-1.9204519999999999E-2</v>
      </c>
      <c r="Z590">
        <v>1.5781619999999999E-3</v>
      </c>
      <c r="AA590">
        <v>0.99981430000000004</v>
      </c>
      <c r="AB590">
        <v>53</v>
      </c>
      <c r="AC590">
        <v>0.77019999999998801</v>
      </c>
      <c r="AD590">
        <v>-9.3930699999999798E-2</v>
      </c>
      <c r="AE590">
        <v>1.39999999999531E-2</v>
      </c>
      <c r="AF590">
        <v>-2.0034612641048302E-2</v>
      </c>
      <c r="AG590">
        <v>-9.3930699999999798E-2</v>
      </c>
      <c r="AH590">
        <v>0.75877703770901705</v>
      </c>
      <c r="AI590">
        <v>97.054436799693406</v>
      </c>
      <c r="AJ590">
        <v>91.512476058155201</v>
      </c>
      <c r="AK590">
        <v>0.76483132458120295</v>
      </c>
      <c r="AL590">
        <v>82.217393295406495</v>
      </c>
      <c r="AM590">
        <v>86.799081460448804</v>
      </c>
      <c r="AN590">
        <v>0.99999996607852704</v>
      </c>
    </row>
    <row r="591" spans="1:40" x14ac:dyDescent="0.25">
      <c r="A591" t="str">
        <f>"20190312164447418"</f>
        <v>20190312164447418</v>
      </c>
      <c r="B591" t="str">
        <f>"1552380287412712"</f>
        <v>1552380287412712</v>
      </c>
      <c r="C591" t="s">
        <v>40</v>
      </c>
      <c r="D591">
        <v>4.4294859999999998</v>
      </c>
      <c r="E591">
        <v>0.47499150000000001</v>
      </c>
      <c r="F591" t="s">
        <v>43</v>
      </c>
      <c r="G591">
        <v>-293.09530000000001</v>
      </c>
      <c r="H591">
        <v>-0.05</v>
      </c>
      <c r="I591">
        <v>366.99349999999998</v>
      </c>
      <c r="J591">
        <v>-305.34640000000002</v>
      </c>
      <c r="K591">
        <v>1.0606230000000001</v>
      </c>
      <c r="L591">
        <v>366.84620000000001</v>
      </c>
      <c r="M591">
        <v>0.99981620000000004</v>
      </c>
      <c r="N591">
        <v>0</v>
      </c>
      <c r="O591">
        <v>-8.1877349999999998E-3</v>
      </c>
      <c r="P591">
        <v>0.99104139999999996</v>
      </c>
      <c r="Q591">
        <v>0.1177623</v>
      </c>
      <c r="R591">
        <v>-6.3001920000000003E-2</v>
      </c>
      <c r="S591">
        <v>3.0620419999999999</v>
      </c>
      <c r="T591">
        <v>-0.2719491</v>
      </c>
      <c r="U591">
        <v>3.5552979999999998E-2</v>
      </c>
      <c r="V591">
        <v>5.4858179999999999E-2</v>
      </c>
      <c r="W591">
        <v>0.1349504</v>
      </c>
      <c r="X591">
        <v>0.98933260000000001</v>
      </c>
      <c r="Y591">
        <v>-1.9688400000000002E-2</v>
      </c>
      <c r="Z591">
        <v>1.598382E-3</v>
      </c>
      <c r="AA591">
        <v>0.9998049</v>
      </c>
      <c r="AB591">
        <v>53</v>
      </c>
      <c r="AC591">
        <v>12.251099999999999</v>
      </c>
      <c r="AD591">
        <v>-1.1106229999999999</v>
      </c>
      <c r="AE591">
        <v>0.14729999999997201</v>
      </c>
      <c r="AF591">
        <v>-0.245600763000352</v>
      </c>
      <c r="AG591">
        <v>-1.1106229999999999</v>
      </c>
      <c r="AH591">
        <v>12.1496476989581</v>
      </c>
      <c r="AI591">
        <v>95.221942291221197</v>
      </c>
      <c r="AJ591">
        <v>91.158055874855194</v>
      </c>
      <c r="AK591">
        <v>12.202776011699701</v>
      </c>
      <c r="AL591">
        <v>82.244248321125596</v>
      </c>
      <c r="AM591">
        <v>86.826217246643296</v>
      </c>
      <c r="AN591">
        <v>1.00000001189791</v>
      </c>
    </row>
    <row r="592" spans="1:40" x14ac:dyDescent="0.25">
      <c r="A592" t="str">
        <f>"20190312164447430"</f>
        <v>20190312164447430</v>
      </c>
      <c r="B592" t="str">
        <f>"1552380287422474"</f>
        <v>1552380287422474</v>
      </c>
      <c r="C592" t="s">
        <v>40</v>
      </c>
      <c r="D592">
        <v>4.418984</v>
      </c>
      <c r="E592">
        <v>0.474997</v>
      </c>
      <c r="F592" t="s">
        <v>41</v>
      </c>
      <c r="G592">
        <v>-304.35160000000002</v>
      </c>
      <c r="H592">
        <v>0.9722925</v>
      </c>
      <c r="I592">
        <v>366.85789999999997</v>
      </c>
      <c r="J592">
        <v>-305.04140000000001</v>
      </c>
      <c r="K592">
        <v>1.060389</v>
      </c>
      <c r="L592">
        <v>366.84370000000001</v>
      </c>
      <c r="M592">
        <v>0.99981900000000001</v>
      </c>
      <c r="N592">
        <v>0</v>
      </c>
      <c r="O592">
        <v>-8.1477430000000007E-3</v>
      </c>
      <c r="P592">
        <v>0.99107970000000001</v>
      </c>
      <c r="Q592">
        <v>0.1176508</v>
      </c>
      <c r="R592">
        <v>-6.2607720000000006E-2</v>
      </c>
      <c r="S592">
        <v>3.0618289999999999</v>
      </c>
      <c r="T592">
        <v>-0.27212039999999998</v>
      </c>
      <c r="U592">
        <v>3.6956790000000003E-2</v>
      </c>
      <c r="V592">
        <v>5.4502870000000002E-2</v>
      </c>
      <c r="W592">
        <v>0.13469619999999999</v>
      </c>
      <c r="X592">
        <v>0.98938689999999996</v>
      </c>
      <c r="Y592">
        <v>-2.0105890000000001E-2</v>
      </c>
      <c r="Z592">
        <v>1.6144569999999999E-3</v>
      </c>
      <c r="AA592">
        <v>0.99979660000000004</v>
      </c>
      <c r="AB592">
        <v>53</v>
      </c>
      <c r="AC592">
        <v>0.68979999999999098</v>
      </c>
      <c r="AD592">
        <v>-8.8096500000000105E-2</v>
      </c>
      <c r="AE592">
        <v>1.41999999999598E-2</v>
      </c>
      <c r="AF592">
        <v>-1.95027056378635E-2</v>
      </c>
      <c r="AG592">
        <v>-8.8096500000000105E-2</v>
      </c>
      <c r="AH592">
        <v>0.678597708749203</v>
      </c>
      <c r="AI592">
        <v>97.393829442164105</v>
      </c>
      <c r="AJ592">
        <v>91.646211307641806</v>
      </c>
      <c r="AK592">
        <v>0.68457008345319603</v>
      </c>
      <c r="AL592">
        <v>82.258947281494201</v>
      </c>
      <c r="AM592">
        <v>86.846904558051193</v>
      </c>
      <c r="AN592">
        <v>1.00000003351214</v>
      </c>
    </row>
    <row r="593" spans="1:40" x14ac:dyDescent="0.25">
      <c r="A593" t="str">
        <f>"20190312164447441"</f>
        <v>20190312164447441</v>
      </c>
      <c r="B593" t="str">
        <f>"1552380287432233"</f>
        <v>1552380287432233</v>
      </c>
      <c r="C593" t="s">
        <v>40</v>
      </c>
      <c r="D593">
        <v>4.3850819999999997</v>
      </c>
      <c r="E593">
        <v>0.4750067</v>
      </c>
      <c r="F593" t="s">
        <v>41</v>
      </c>
      <c r="G593">
        <v>-303.88240000000002</v>
      </c>
      <c r="H593">
        <v>0.95772190000000001</v>
      </c>
      <c r="I593">
        <v>366.85789999999997</v>
      </c>
      <c r="J593">
        <v>-304.76139999999998</v>
      </c>
      <c r="K593">
        <v>1.060203</v>
      </c>
      <c r="L593">
        <v>366.84140000000002</v>
      </c>
      <c r="M593">
        <v>0.99982139999999997</v>
      </c>
      <c r="N593">
        <v>0</v>
      </c>
      <c r="O593">
        <v>-8.110216E-3</v>
      </c>
      <c r="P593">
        <v>0.99114550000000001</v>
      </c>
      <c r="Q593">
        <v>0.11733739999999999</v>
      </c>
      <c r="R593">
        <v>-6.2150440000000001E-2</v>
      </c>
      <c r="S593">
        <v>3.0616150000000002</v>
      </c>
      <c r="T593">
        <v>-0.27136909999999997</v>
      </c>
      <c r="U593">
        <v>3.8146970000000002E-2</v>
      </c>
      <c r="V593">
        <v>5.4082100000000001E-2</v>
      </c>
      <c r="W593">
        <v>0.13426389999999999</v>
      </c>
      <c r="X593">
        <v>0.98946869999999998</v>
      </c>
      <c r="Y593">
        <v>-2.0457159999999999E-2</v>
      </c>
      <c r="Z593">
        <v>1.622341E-3</v>
      </c>
      <c r="AA593">
        <v>0.99978940000000005</v>
      </c>
      <c r="AB593">
        <v>53</v>
      </c>
      <c r="AC593">
        <v>0.87899999999996203</v>
      </c>
      <c r="AD593">
        <v>-0.10248109999999901</v>
      </c>
      <c r="AE593">
        <v>1.6499999999950801E-2</v>
      </c>
      <c r="AF593">
        <v>-2.3312603348481301E-2</v>
      </c>
      <c r="AG593">
        <v>-0.10248109999999901</v>
      </c>
      <c r="AH593">
        <v>0.86705565802865003</v>
      </c>
      <c r="AI593">
        <v>96.7383527501446</v>
      </c>
      <c r="AJ593">
        <v>91.540145709287799</v>
      </c>
      <c r="AK593">
        <v>0.873402179669589</v>
      </c>
      <c r="AL593">
        <v>82.283942951926903</v>
      </c>
      <c r="AM593">
        <v>86.871456503150895</v>
      </c>
      <c r="AN593">
        <v>0.99999998833165404</v>
      </c>
    </row>
    <row r="594" spans="1:40" x14ac:dyDescent="0.25">
      <c r="A594" t="str">
        <f>"20190312164447453"</f>
        <v>20190312164447453</v>
      </c>
      <c r="B594" t="str">
        <f>"1552380287441993"</f>
        <v>1552380287441993</v>
      </c>
      <c r="C594" t="s">
        <v>40</v>
      </c>
      <c r="D594">
        <v>4.5341699999999996</v>
      </c>
      <c r="E594">
        <v>0.4750296</v>
      </c>
      <c r="F594" t="s">
        <v>41</v>
      </c>
      <c r="G594">
        <v>-303.86529999999999</v>
      </c>
      <c r="H594">
        <v>0.9808403</v>
      </c>
      <c r="I594">
        <v>366.85270000000003</v>
      </c>
      <c r="J594">
        <v>-304.4873</v>
      </c>
      <c r="K594">
        <v>1.0600320000000001</v>
      </c>
      <c r="L594">
        <v>366.83920000000001</v>
      </c>
      <c r="M594">
        <v>0.99982369999999998</v>
      </c>
      <c r="N594">
        <v>0</v>
      </c>
      <c r="O594">
        <v>-8.0731099999999997E-3</v>
      </c>
      <c r="P594">
        <v>0.99117379999999999</v>
      </c>
      <c r="Q594">
        <v>0.1173048</v>
      </c>
      <c r="R594">
        <v>-6.176048E-2</v>
      </c>
      <c r="S594">
        <v>3.061401</v>
      </c>
      <c r="T594">
        <v>-0.27136310000000002</v>
      </c>
      <c r="U594">
        <v>3.90625E-2</v>
      </c>
      <c r="V594">
        <v>5.3728289999999998E-2</v>
      </c>
      <c r="W594">
        <v>0.13411789999999901</v>
      </c>
      <c r="X594">
        <v>0.98950780000000005</v>
      </c>
      <c r="Y594">
        <v>-2.0718960000000002E-2</v>
      </c>
      <c r="Z594">
        <v>1.630711E-3</v>
      </c>
      <c r="AA594">
        <v>0.99978400000000001</v>
      </c>
      <c r="AB594">
        <v>53</v>
      </c>
      <c r="AC594">
        <v>0.62200000000001399</v>
      </c>
      <c r="AD594">
        <v>-7.9191699999999796E-2</v>
      </c>
      <c r="AE594">
        <v>1.35000000000218E-2</v>
      </c>
      <c r="AF594">
        <v>-1.8226447506493E-2</v>
      </c>
      <c r="AG594">
        <v>-7.9191699999999796E-2</v>
      </c>
      <c r="AH594">
        <v>0.61195569234241898</v>
      </c>
      <c r="AI594">
        <v>97.370297716099998</v>
      </c>
      <c r="AJ594">
        <v>91.705989341892604</v>
      </c>
      <c r="AK594">
        <v>0.61732754525283096</v>
      </c>
      <c r="AL594">
        <v>82.292384678551699</v>
      </c>
      <c r="AM594">
        <v>86.892006032469197</v>
      </c>
      <c r="AN594">
        <v>1.0000000132537801</v>
      </c>
    </row>
    <row r="595" spans="1:40" x14ac:dyDescent="0.25">
      <c r="A595" t="str">
        <f>"20190312164447465"</f>
        <v>20190312164447465</v>
      </c>
      <c r="B595" t="str">
        <f>"1552380287462488"</f>
        <v>1552380287462488</v>
      </c>
      <c r="C595" t="s">
        <v>40</v>
      </c>
      <c r="D595">
        <v>4.5370739999999996</v>
      </c>
      <c r="E595">
        <v>0.47507129999999997</v>
      </c>
      <c r="F595" t="s">
        <v>41</v>
      </c>
      <c r="G595">
        <v>-303.4024</v>
      </c>
      <c r="H595">
        <v>0.96420099999999997</v>
      </c>
      <c r="I595">
        <v>366.85320000000002</v>
      </c>
      <c r="J595">
        <v>-304.18990000000002</v>
      </c>
      <c r="K595">
        <v>1.0598669999999999</v>
      </c>
      <c r="L595">
        <v>366.83679999999998</v>
      </c>
      <c r="M595">
        <v>0.99982590000000005</v>
      </c>
      <c r="N595">
        <v>0</v>
      </c>
      <c r="O595">
        <v>-8.0318119999999993E-3</v>
      </c>
      <c r="P595">
        <v>0.99121619999999999</v>
      </c>
      <c r="Q595">
        <v>0.1170675</v>
      </c>
      <c r="R595">
        <v>-6.1529229999999997E-2</v>
      </c>
      <c r="S595">
        <v>3.0612180000000002</v>
      </c>
      <c r="T595">
        <v>-0.27059820000000001</v>
      </c>
      <c r="U595">
        <v>4.0008540000000002E-2</v>
      </c>
      <c r="V595">
        <v>5.3537229999999998E-2</v>
      </c>
      <c r="W595">
        <v>0.13376540000000001</v>
      </c>
      <c r="X595">
        <v>0.98956580000000005</v>
      </c>
      <c r="Y595">
        <v>-2.098707E-2</v>
      </c>
      <c r="Z595">
        <v>1.634408E-3</v>
      </c>
      <c r="AA595">
        <v>0.99977839999999996</v>
      </c>
      <c r="AB595">
        <v>53</v>
      </c>
      <c r="AC595">
        <v>0.78750000000002196</v>
      </c>
      <c r="AD595">
        <v>-9.5666000000000098E-2</v>
      </c>
      <c r="AE595">
        <v>1.6400000000032802E-2</v>
      </c>
      <c r="AF595">
        <v>-2.2395067150854198E-2</v>
      </c>
      <c r="AG595">
        <v>-9.5666000000000098E-2</v>
      </c>
      <c r="AH595">
        <v>0.77589747337821402</v>
      </c>
      <c r="AI595">
        <v>97.0260382280903</v>
      </c>
      <c r="AJ595">
        <v>91.653294054682306</v>
      </c>
      <c r="AK595">
        <v>0.78209360806964001</v>
      </c>
      <c r="AL595">
        <v>82.312764555246403</v>
      </c>
      <c r="AM595">
        <v>86.903217798231296</v>
      </c>
      <c r="AN595">
        <v>0.99999994488143495</v>
      </c>
    </row>
    <row r="596" spans="1:40" x14ac:dyDescent="0.25">
      <c r="A596" t="str">
        <f>"20190312164447478"</f>
        <v>20190312164447478</v>
      </c>
      <c r="B596" t="str">
        <f>"1552380287472248"</f>
        <v>1552380287472248</v>
      </c>
      <c r="C596" t="s">
        <v>40</v>
      </c>
      <c r="D596">
        <v>4.4473589999999996</v>
      </c>
      <c r="E596">
        <v>0.47507129999999997</v>
      </c>
      <c r="F596" t="s">
        <v>43</v>
      </c>
      <c r="G596">
        <v>-291.5779</v>
      </c>
      <c r="H596">
        <v>-0.05</v>
      </c>
      <c r="I596">
        <v>367.00479999999999</v>
      </c>
      <c r="J596">
        <v>-303.91649999999998</v>
      </c>
      <c r="K596">
        <v>1.0597369999999999</v>
      </c>
      <c r="L596">
        <v>366.8347</v>
      </c>
      <c r="M596">
        <v>0.99982789999999999</v>
      </c>
      <c r="N596">
        <v>0</v>
      </c>
      <c r="O596">
        <v>-7.9919710000000005E-3</v>
      </c>
      <c r="P596">
        <v>0.99128090000000002</v>
      </c>
      <c r="Q596">
        <v>0.1167357</v>
      </c>
      <c r="R596">
        <v>-6.1115059999999999E-2</v>
      </c>
      <c r="S596">
        <v>3.0609440000000001</v>
      </c>
      <c r="T596">
        <v>-0.26936589999999999</v>
      </c>
      <c r="U596">
        <v>4.0771479999999999E-2</v>
      </c>
      <c r="V596">
        <v>5.3161479999999997E-2</v>
      </c>
      <c r="W596">
        <v>0.13333529999999999</v>
      </c>
      <c r="X596">
        <v>0.98964419999999997</v>
      </c>
      <c r="Y596">
        <v>-2.119789E-2</v>
      </c>
      <c r="Z596">
        <v>1.6328929999999901E-3</v>
      </c>
      <c r="AA596">
        <v>0.99977400000000005</v>
      </c>
      <c r="AB596">
        <v>53</v>
      </c>
      <c r="AC596">
        <v>12.3385999999999</v>
      </c>
      <c r="AD596">
        <v>-1.109737</v>
      </c>
      <c r="AE596">
        <v>0.17009999999999001</v>
      </c>
      <c r="AF596">
        <v>-0.26656224308174098</v>
      </c>
      <c r="AG596">
        <v>-1.109737</v>
      </c>
      <c r="AH596">
        <v>12.2378698140125</v>
      </c>
      <c r="AI596">
        <v>95.180220599798602</v>
      </c>
      <c r="AJ596">
        <v>91.247805136406399</v>
      </c>
      <c r="AK596">
        <v>12.2909734855838</v>
      </c>
      <c r="AL596">
        <v>82.337630980651497</v>
      </c>
      <c r="AM596">
        <v>86.925153784712606</v>
      </c>
      <c r="AN596">
        <v>1.0000000438877501</v>
      </c>
    </row>
    <row r="597" spans="1:40" x14ac:dyDescent="0.25">
      <c r="A597" t="str">
        <f>"20190312164447488"</f>
        <v>20190312164447488</v>
      </c>
      <c r="B597" t="str">
        <f>"1552380287482008"</f>
        <v>1552380287482008</v>
      </c>
      <c r="C597" t="s">
        <v>40</v>
      </c>
      <c r="D597">
        <v>4.5250180000000002</v>
      </c>
      <c r="E597">
        <v>0.48669059999999997</v>
      </c>
      <c r="F597" t="s">
        <v>41</v>
      </c>
      <c r="G597">
        <v>-302.92110000000002</v>
      </c>
      <c r="H597">
        <v>0.9717867</v>
      </c>
      <c r="I597">
        <v>366.84820000000002</v>
      </c>
      <c r="J597">
        <v>-303.63</v>
      </c>
      <c r="K597">
        <v>1.0596049999999999</v>
      </c>
      <c r="L597">
        <v>366.83240000000001</v>
      </c>
      <c r="M597">
        <v>0.99983</v>
      </c>
      <c r="N597">
        <v>0</v>
      </c>
      <c r="O597">
        <v>-7.949256E-3</v>
      </c>
      <c r="P597">
        <v>0.99133340000000003</v>
      </c>
      <c r="Q597">
        <v>0.1165125</v>
      </c>
      <c r="R597">
        <v>-6.0689220000000002E-2</v>
      </c>
      <c r="S597">
        <v>3.0607600000000001</v>
      </c>
      <c r="T597">
        <v>-0.27041330000000002</v>
      </c>
      <c r="U597">
        <v>4.1656489999999997E-2</v>
      </c>
      <c r="V597">
        <v>5.2777049999999999E-2</v>
      </c>
      <c r="W597">
        <v>0.13301209999999999</v>
      </c>
      <c r="X597">
        <v>0.98970820000000004</v>
      </c>
      <c r="Y597">
        <v>-2.144331E-2</v>
      </c>
      <c r="Z597">
        <v>1.646364E-3</v>
      </c>
      <c r="AA597">
        <v>0.99976869999999995</v>
      </c>
      <c r="AB597">
        <v>53</v>
      </c>
      <c r="AC597">
        <v>0.708899999999971</v>
      </c>
      <c r="AD597">
        <v>-8.7818299999999905E-2</v>
      </c>
      <c r="AE597">
        <v>1.5800000000012901E-2</v>
      </c>
      <c r="AF597">
        <v>-2.11116855245208E-2</v>
      </c>
      <c r="AG597">
        <v>-8.7818299999999905E-2</v>
      </c>
      <c r="AH597">
        <v>0.69804497942497401</v>
      </c>
      <c r="AI597">
        <v>97.167242980189499</v>
      </c>
      <c r="AJ597">
        <v>91.732326578337705</v>
      </c>
      <c r="AK597">
        <v>0.70386401412558997</v>
      </c>
      <c r="AL597">
        <v>82.356314900193098</v>
      </c>
      <c r="AM597">
        <v>86.947543936818306</v>
      </c>
      <c r="AN597">
        <v>0.99999997845017596</v>
      </c>
    </row>
    <row r="598" spans="1:40" x14ac:dyDescent="0.25">
      <c r="A598" t="str">
        <f>"20190312164447500"</f>
        <v>20190312164447500</v>
      </c>
      <c r="B598" t="str">
        <f>"1552380287492746"</f>
        <v>1552380287492746</v>
      </c>
      <c r="C598" t="s">
        <v>40</v>
      </c>
      <c r="D598">
        <v>4.7509980000000001</v>
      </c>
      <c r="E598">
        <v>0.48871209999999998</v>
      </c>
      <c r="F598" t="s">
        <v>41</v>
      </c>
      <c r="G598">
        <v>-302.44040000000001</v>
      </c>
      <c r="H598">
        <v>0.98442209999999997</v>
      </c>
      <c r="I598">
        <v>366.81130000000002</v>
      </c>
      <c r="J598">
        <v>-303.34910000000002</v>
      </c>
      <c r="K598">
        <v>1.0594950000000001</v>
      </c>
      <c r="L598">
        <v>366.83019999999999</v>
      </c>
      <c r="M598">
        <v>0.9998319</v>
      </c>
      <c r="N598">
        <v>0</v>
      </c>
      <c r="O598">
        <v>-7.9035149999999998E-3</v>
      </c>
      <c r="P598">
        <v>0.99137319999999995</v>
      </c>
      <c r="Q598">
        <v>0.116253</v>
      </c>
      <c r="R598">
        <v>-6.0537380000000002E-2</v>
      </c>
      <c r="S598">
        <v>3.0456240000000001</v>
      </c>
      <c r="T598">
        <v>-0.19269120000000001</v>
      </c>
      <c r="U598">
        <v>-5.3283690000000002E-2</v>
      </c>
      <c r="V598">
        <v>5.2669340000000002E-2</v>
      </c>
      <c r="W598">
        <v>0.13266329999999901</v>
      </c>
      <c r="X598">
        <v>0.9897608</v>
      </c>
      <c r="Y598">
        <v>9.5851949999999995E-3</v>
      </c>
      <c r="Z598">
        <v>1.9666660000000001E-4</v>
      </c>
      <c r="AA598">
        <v>0.99995400000000001</v>
      </c>
      <c r="AB598">
        <v>53</v>
      </c>
      <c r="AC598">
        <v>0.90870000000001006</v>
      </c>
      <c r="AD598">
        <v>-7.5072900000000095E-2</v>
      </c>
      <c r="AE598">
        <v>-1.8899999999973702E-2</v>
      </c>
      <c r="AF598">
        <v>1.16371093063598E-2</v>
      </c>
      <c r="AG598">
        <v>-7.5072900000000095E-2</v>
      </c>
      <c r="AH598">
        <v>0.902662677101295</v>
      </c>
      <c r="AI598">
        <v>94.7538565536058</v>
      </c>
      <c r="AJ598">
        <v>89.261384866649195</v>
      </c>
      <c r="AK598">
        <v>0.90585389067944999</v>
      </c>
      <c r="AL598">
        <v>82.376478724918201</v>
      </c>
      <c r="AM598">
        <v>86.953923379309302</v>
      </c>
      <c r="AN598">
        <v>1.0000000258797801</v>
      </c>
    </row>
    <row r="599" spans="1:40" x14ac:dyDescent="0.25">
      <c r="A599" t="str">
        <f>"20190312164447513"</f>
        <v>20190312164447513</v>
      </c>
      <c r="B599" t="str">
        <f>"1552380287502504"</f>
        <v>1552380287502504</v>
      </c>
      <c r="C599" t="s">
        <v>40</v>
      </c>
      <c r="D599">
        <v>4.4131999999999998</v>
      </c>
      <c r="E599">
        <v>0.48991309999999899</v>
      </c>
      <c r="F599" t="s">
        <v>43</v>
      </c>
      <c r="G599">
        <v>-286.17039999999997</v>
      </c>
      <c r="H599">
        <v>-0.05</v>
      </c>
      <c r="I599">
        <v>366.44159999999999</v>
      </c>
      <c r="J599">
        <v>-303.06880000000001</v>
      </c>
      <c r="K599">
        <v>1.0593950000000001</v>
      </c>
      <c r="L599">
        <v>366.82799999999997</v>
      </c>
      <c r="M599">
        <v>0.99983370000000005</v>
      </c>
      <c r="N599">
        <v>0</v>
      </c>
      <c r="O599">
        <v>-7.8560090000000006E-3</v>
      </c>
      <c r="P599">
        <v>0.99141900000000005</v>
      </c>
      <c r="Q599">
        <v>0.1159319</v>
      </c>
      <c r="R599">
        <v>-6.0402339999999999E-2</v>
      </c>
      <c r="S599">
        <v>3.0449519999999999</v>
      </c>
      <c r="T599">
        <v>-0.19666049999999999</v>
      </c>
      <c r="U599">
        <v>-6.8878170000000002E-2</v>
      </c>
      <c r="V599">
        <v>5.2580179999999997E-2</v>
      </c>
      <c r="W599">
        <v>0.13225629999999999</v>
      </c>
      <c r="X599">
        <v>0.98982000000000003</v>
      </c>
      <c r="Y599">
        <v>1.474456E-2</v>
      </c>
      <c r="Z599" s="1">
        <v>3.1259109999999899E-5</v>
      </c>
      <c r="AA599">
        <v>0.99989130000000004</v>
      </c>
      <c r="AB599">
        <v>53</v>
      </c>
      <c r="AC599">
        <v>16.898399999999999</v>
      </c>
      <c r="AD599">
        <v>-1.1093949999999999</v>
      </c>
      <c r="AE599">
        <v>-0.38640000000003699</v>
      </c>
      <c r="AF599">
        <v>0.25252827017484503</v>
      </c>
      <c r="AG599">
        <v>-1.1093949999999999</v>
      </c>
      <c r="AH599">
        <v>16.828421111731998</v>
      </c>
      <c r="AI599">
        <v>93.771279792395404</v>
      </c>
      <c r="AJ599">
        <v>89.140280713065906</v>
      </c>
      <c r="AK599">
        <v>16.8668398020213</v>
      </c>
      <c r="AL599">
        <v>82.400005357154399</v>
      </c>
      <c r="AM599">
        <v>86.959251702430706</v>
      </c>
      <c r="AN599">
        <v>1.0000000183092601</v>
      </c>
    </row>
    <row r="600" spans="1:40" x14ac:dyDescent="0.25">
      <c r="A600" t="str">
        <f>"20190312164447530"</f>
        <v>20190312164447530</v>
      </c>
      <c r="B600" t="str">
        <f>"1552380287522024"</f>
        <v>1552380287522024</v>
      </c>
      <c r="C600" t="s">
        <v>40</v>
      </c>
      <c r="D600">
        <v>4.4197610000000003</v>
      </c>
      <c r="E600">
        <v>0.49105969999999999</v>
      </c>
      <c r="F600" t="s">
        <v>41</v>
      </c>
      <c r="G600">
        <v>-301.96350000000001</v>
      </c>
      <c r="H600">
        <v>0.98696300000000003</v>
      </c>
      <c r="I600">
        <v>366.79969999999997</v>
      </c>
      <c r="J600">
        <v>-302.65460000000002</v>
      </c>
      <c r="K600">
        <v>1.059264</v>
      </c>
      <c r="L600">
        <v>366.82479999999998</v>
      </c>
      <c r="M600">
        <v>0.99983610000000001</v>
      </c>
      <c r="N600">
        <v>0</v>
      </c>
      <c r="O600">
        <v>-7.7792169999999997E-3</v>
      </c>
      <c r="P600">
        <v>0.99151610000000001</v>
      </c>
      <c r="Q600">
        <v>0.11536490000000001</v>
      </c>
      <c r="R600">
        <v>-5.9888629999999998E-2</v>
      </c>
      <c r="S600">
        <v>3.0445859999999998</v>
      </c>
      <c r="T600">
        <v>-0.19969619999999999</v>
      </c>
      <c r="U600">
        <v>-7.7667239999999999E-2</v>
      </c>
      <c r="V600">
        <v>5.2139709999999999E-2</v>
      </c>
      <c r="W600">
        <v>0.13157289999999999</v>
      </c>
      <c r="X600">
        <v>0.98993439999999999</v>
      </c>
      <c r="Y600">
        <v>1.7701850000000002E-2</v>
      </c>
      <c r="Z600" s="1">
        <v>-7.0155419999999997E-5</v>
      </c>
      <c r="AA600">
        <v>0.99984329999999999</v>
      </c>
      <c r="AB600">
        <v>53</v>
      </c>
      <c r="AC600">
        <v>0.69110000000000504</v>
      </c>
      <c r="AD600">
        <v>-7.2301000000000004E-2</v>
      </c>
      <c r="AE600">
        <v>-2.5100000000009001E-2</v>
      </c>
      <c r="AF600">
        <v>1.9509063850451699E-2</v>
      </c>
      <c r="AG600">
        <v>-7.2301000000000004E-2</v>
      </c>
      <c r="AH600">
        <v>0.68380018715142898</v>
      </c>
      <c r="AI600">
        <v>96.0332552953424</v>
      </c>
      <c r="AJ600">
        <v>88.365774236388205</v>
      </c>
      <c r="AK600">
        <v>0.68788860589607803</v>
      </c>
      <c r="AL600">
        <v>82.439506706964195</v>
      </c>
      <c r="AM600">
        <v>86.985025000390394</v>
      </c>
      <c r="AN600">
        <v>1.0000000468383199</v>
      </c>
    </row>
    <row r="601" spans="1:40" x14ac:dyDescent="0.25">
      <c r="A601" t="str">
        <f>"20190312164447542"</f>
        <v>20190312164447542</v>
      </c>
      <c r="B601" t="str">
        <f>"1552380287532760"</f>
        <v>1552380287532760</v>
      </c>
      <c r="C601" t="s">
        <v>40</v>
      </c>
      <c r="D601">
        <v>4.4119599999999997</v>
      </c>
      <c r="E601">
        <v>0.49140539999999999</v>
      </c>
      <c r="F601" t="s">
        <v>41</v>
      </c>
      <c r="G601">
        <v>-301.49119999999999</v>
      </c>
      <c r="H601">
        <v>0.9819698</v>
      </c>
      <c r="I601">
        <v>366.79219999999998</v>
      </c>
      <c r="J601">
        <v>-302.35739999999998</v>
      </c>
      <c r="K601">
        <v>1.05918</v>
      </c>
      <c r="L601">
        <v>366.82249999999999</v>
      </c>
      <c r="M601">
        <v>0.99983789999999995</v>
      </c>
      <c r="N601">
        <v>0</v>
      </c>
      <c r="O601">
        <v>-7.7169439999999999E-3</v>
      </c>
      <c r="P601">
        <v>0.99156330000000004</v>
      </c>
      <c r="Q601">
        <v>0.1150403</v>
      </c>
      <c r="R601">
        <v>-5.9732189999999998E-2</v>
      </c>
      <c r="S601">
        <v>3.0440670000000001</v>
      </c>
      <c r="T601">
        <v>-0.20236409999999999</v>
      </c>
      <c r="U601">
        <v>-8.5052489999999994E-2</v>
      </c>
      <c r="V601">
        <v>5.2042720000000001E-2</v>
      </c>
      <c r="W601">
        <v>0.1311725</v>
      </c>
      <c r="X601">
        <v>0.9899926</v>
      </c>
      <c r="Y601">
        <v>2.0186229999999999E-2</v>
      </c>
      <c r="Z601">
        <v>-1.577084E-4</v>
      </c>
      <c r="AA601">
        <v>0.99979620000000002</v>
      </c>
      <c r="AB601">
        <v>53</v>
      </c>
      <c r="AC601">
        <v>0.86619999999999198</v>
      </c>
      <c r="AD601">
        <v>-7.7210199999999896E-2</v>
      </c>
      <c r="AE601">
        <v>-3.0300000000010999E-2</v>
      </c>
      <c r="AF601">
        <v>2.3427880848331199E-2</v>
      </c>
      <c r="AG601">
        <v>-7.7210199999999896E-2</v>
      </c>
      <c r="AH601">
        <v>0.859586685816906</v>
      </c>
      <c r="AI601">
        <v>95.130779346120306</v>
      </c>
      <c r="AJ601">
        <v>88.438800302120697</v>
      </c>
      <c r="AK601">
        <v>0.86336524774789003</v>
      </c>
      <c r="AL601">
        <v>82.462648216293402</v>
      </c>
      <c r="AM601">
        <v>86.990799712600193</v>
      </c>
      <c r="AN601">
        <v>1.0000000087580001</v>
      </c>
    </row>
    <row r="602" spans="1:40" x14ac:dyDescent="0.25">
      <c r="A602" t="str">
        <f>"20190312164447554"</f>
        <v>20190312164447554</v>
      </c>
      <c r="B602" t="str">
        <f>"1552380287542520"</f>
        <v>1552380287542520</v>
      </c>
      <c r="C602" t="s">
        <v>40</v>
      </c>
      <c r="D602">
        <v>4.4633839999999996</v>
      </c>
      <c r="E602">
        <v>0.49163970000000001</v>
      </c>
      <c r="F602" t="s">
        <v>43</v>
      </c>
      <c r="G602">
        <v>-285.83789999999999</v>
      </c>
      <c r="H602">
        <v>-0.05</v>
      </c>
      <c r="I602">
        <v>366.34800000000001</v>
      </c>
      <c r="J602">
        <v>-302.0872</v>
      </c>
      <c r="K602">
        <v>1.0591170000000001</v>
      </c>
      <c r="L602">
        <v>366.82040000000001</v>
      </c>
      <c r="M602">
        <v>0.99983949999999999</v>
      </c>
      <c r="N602">
        <v>0</v>
      </c>
      <c r="O602">
        <v>-7.6558279999999999E-3</v>
      </c>
      <c r="P602">
        <v>0.99158809999999997</v>
      </c>
      <c r="Q602">
        <v>0.11491759999999999</v>
      </c>
      <c r="R602">
        <v>-5.955473E-2</v>
      </c>
      <c r="S602">
        <v>3.0439759999999998</v>
      </c>
      <c r="T602">
        <v>-0.2043828</v>
      </c>
      <c r="U602">
        <v>-8.7432860000000001E-2</v>
      </c>
      <c r="V602">
        <v>5.1923419999999998E-2</v>
      </c>
      <c r="W602">
        <v>0.130983399999999</v>
      </c>
      <c r="X602">
        <v>0.99002389999999996</v>
      </c>
      <c r="Y602">
        <v>2.102681E-2</v>
      </c>
      <c r="Z602">
        <v>-1.9156279999999999E-4</v>
      </c>
      <c r="AA602">
        <v>0.99977890000000003</v>
      </c>
      <c r="AB602">
        <v>53</v>
      </c>
      <c r="AC602">
        <v>16.249300000000002</v>
      </c>
      <c r="AD602">
        <v>-1.1091169999999999</v>
      </c>
      <c r="AE602">
        <v>-0.47239999999999299</v>
      </c>
      <c r="AF602">
        <v>0.34635570233461599</v>
      </c>
      <c r="AG602">
        <v>-1.1091169999999999</v>
      </c>
      <c r="AH602">
        <v>16.177136390523501</v>
      </c>
      <c r="AI602">
        <v>93.921209485879402</v>
      </c>
      <c r="AJ602">
        <v>88.773473372663005</v>
      </c>
      <c r="AK602">
        <v>16.2188114419593</v>
      </c>
      <c r="AL602">
        <v>82.473577133384495</v>
      </c>
      <c r="AM602">
        <v>86.997779956402795</v>
      </c>
      <c r="AN602">
        <v>1.0000000075956299</v>
      </c>
    </row>
    <row r="603" spans="1:40" x14ac:dyDescent="0.25">
      <c r="A603" t="str">
        <f>"20190312164447563"</f>
        <v>20190312164447563</v>
      </c>
      <c r="B603" t="str">
        <f>"1552380287552281"</f>
        <v>1552380287552281</v>
      </c>
      <c r="C603" t="s">
        <v>40</v>
      </c>
      <c r="D603">
        <v>4.4357759999999997</v>
      </c>
      <c r="E603">
        <v>0.49181209999999997</v>
      </c>
      <c r="F603" t="s">
        <v>41</v>
      </c>
      <c r="G603">
        <v>-301.01319999999998</v>
      </c>
      <c r="H603">
        <v>0.98742629999999998</v>
      </c>
      <c r="I603">
        <v>366.78910000000002</v>
      </c>
      <c r="J603">
        <v>-301.85050000000001</v>
      </c>
      <c r="K603">
        <v>1.05907</v>
      </c>
      <c r="L603">
        <v>366.81869999999998</v>
      </c>
      <c r="M603">
        <v>0.99984090000000003</v>
      </c>
      <c r="N603">
        <v>0</v>
      </c>
      <c r="O603">
        <v>-7.5980279999999997E-3</v>
      </c>
      <c r="P603">
        <v>0.99156639999999996</v>
      </c>
      <c r="Q603">
        <v>0.1150808</v>
      </c>
      <c r="R603">
        <v>-5.9605320000000003E-2</v>
      </c>
      <c r="S603">
        <v>3.0436709999999998</v>
      </c>
      <c r="T603">
        <v>-0.20317969999999999</v>
      </c>
      <c r="U603">
        <v>-8.8745119999999997E-2</v>
      </c>
      <c r="V603">
        <v>5.2028810000000002E-2</v>
      </c>
      <c r="W603">
        <v>0.13109170000000001</v>
      </c>
      <c r="X603">
        <v>0.990004</v>
      </c>
      <c r="Y603">
        <v>2.15173E-2</v>
      </c>
      <c r="Z603">
        <v>-2.106593E-4</v>
      </c>
      <c r="AA603">
        <v>0.9997684</v>
      </c>
      <c r="AB603">
        <v>53</v>
      </c>
      <c r="AC603">
        <v>0.83730000000002702</v>
      </c>
      <c r="AD603">
        <v>-7.1643700000000005E-2</v>
      </c>
      <c r="AE603">
        <v>-2.9599999999959398E-2</v>
      </c>
      <c r="AF603">
        <v>2.3067810159179199E-2</v>
      </c>
      <c r="AG603">
        <v>-7.1643700000000005E-2</v>
      </c>
      <c r="AH603">
        <v>0.83142119065827402</v>
      </c>
      <c r="AI603">
        <v>94.923135620395698</v>
      </c>
      <c r="AJ603">
        <v>88.410734298470402</v>
      </c>
      <c r="AK603">
        <v>0.83482102266944103</v>
      </c>
      <c r="AL603">
        <v>82.467317787238599</v>
      </c>
      <c r="AM603">
        <v>86.991637113645396</v>
      </c>
      <c r="AN603">
        <v>0.99999997544745201</v>
      </c>
    </row>
    <row r="604" spans="1:40" x14ac:dyDescent="0.25">
      <c r="A604" t="str">
        <f>"20190312164447584"</f>
        <v>20190312164447584</v>
      </c>
      <c r="B604" t="str">
        <f>"1552380287571800"</f>
        <v>1552380287571800</v>
      </c>
      <c r="C604" t="s">
        <v>40</v>
      </c>
      <c r="D604">
        <v>4.4856780000000001</v>
      </c>
      <c r="E604">
        <v>0.49217290000000002</v>
      </c>
      <c r="F604" t="s">
        <v>43</v>
      </c>
      <c r="G604">
        <v>-285.26620000000003</v>
      </c>
      <c r="H604">
        <v>-0.05</v>
      </c>
      <c r="I604">
        <v>366.32569999999998</v>
      </c>
      <c r="J604">
        <v>-301.38310000000001</v>
      </c>
      <c r="K604">
        <v>1.05898799999999</v>
      </c>
      <c r="L604">
        <v>366.8152</v>
      </c>
      <c r="M604">
        <v>0.9998435</v>
      </c>
      <c r="N604">
        <v>0</v>
      </c>
      <c r="O604">
        <v>-7.4670619999999896E-3</v>
      </c>
      <c r="P604">
        <v>0.99152989999999996</v>
      </c>
      <c r="Q604">
        <v>0.1154792</v>
      </c>
      <c r="R604">
        <v>-5.94405E-2</v>
      </c>
      <c r="S604">
        <v>3.0436709999999998</v>
      </c>
      <c r="T604">
        <v>-0.20354439999999999</v>
      </c>
      <c r="U604">
        <v>-9.0484620000000002E-2</v>
      </c>
      <c r="V604">
        <v>5.1988319999999998E-2</v>
      </c>
      <c r="W604">
        <v>0.13139089999999901</v>
      </c>
      <c r="X604">
        <v>0.98996649999999997</v>
      </c>
      <c r="Y604">
        <v>2.2217190000000001E-2</v>
      </c>
      <c r="Z604">
        <v>-2.4315409999999999E-4</v>
      </c>
      <c r="AA604">
        <v>0.99975309999999995</v>
      </c>
      <c r="AB604">
        <v>53</v>
      </c>
      <c r="AC604">
        <v>16.116899999999902</v>
      </c>
      <c r="AD604">
        <v>-1.1089880000000001</v>
      </c>
      <c r="AE604">
        <v>-0.48950000000001997</v>
      </c>
      <c r="AF604">
        <v>0.36738712011875102</v>
      </c>
      <c r="AG604">
        <v>-1.1089880000000001</v>
      </c>
      <c r="AH604">
        <v>16.044211952277699</v>
      </c>
      <c r="AI604">
        <v>93.953005411766497</v>
      </c>
      <c r="AJ604">
        <v>88.688246353634398</v>
      </c>
      <c r="AK604">
        <v>16.0866890580313</v>
      </c>
      <c r="AL604">
        <v>82.450025599399595</v>
      </c>
      <c r="AM604">
        <v>86.993860334764506</v>
      </c>
      <c r="AN604">
        <v>1.00000001257074</v>
      </c>
    </row>
    <row r="605" spans="1:40" x14ac:dyDescent="0.25">
      <c r="A605" t="str">
        <f>"20190312164447595"</f>
        <v>20190312164447595</v>
      </c>
      <c r="B605" t="str">
        <f>"1552380287582535"</f>
        <v>1552380287582535</v>
      </c>
      <c r="C605" t="s">
        <v>40</v>
      </c>
      <c r="D605">
        <v>4.4312199999999997</v>
      </c>
      <c r="E605">
        <v>0.4923437</v>
      </c>
      <c r="F605" t="s">
        <v>43</v>
      </c>
      <c r="G605">
        <v>-284.5779</v>
      </c>
      <c r="H605">
        <v>-0.05</v>
      </c>
      <c r="I605">
        <v>366.30099999999999</v>
      </c>
      <c r="J605">
        <v>-301.11770000000001</v>
      </c>
      <c r="K605">
        <v>1.058954</v>
      </c>
      <c r="L605">
        <v>366.81319999999999</v>
      </c>
      <c r="M605">
        <v>0.99984510000000004</v>
      </c>
      <c r="N605">
        <v>0</v>
      </c>
      <c r="O605">
        <v>-7.3816569999999998E-3</v>
      </c>
      <c r="P605">
        <v>0.99153659999999999</v>
      </c>
      <c r="Q605">
        <v>0.11547689999999999</v>
      </c>
      <c r="R605">
        <v>-5.9334190000000002E-2</v>
      </c>
      <c r="S605">
        <v>3.0434570000000001</v>
      </c>
      <c r="T605">
        <v>-0.2008404</v>
      </c>
      <c r="U605">
        <v>-9.3109129999999998E-2</v>
      </c>
      <c r="V605">
        <v>5.196274E-2</v>
      </c>
      <c r="W605">
        <v>0.1313375</v>
      </c>
      <c r="X605">
        <v>0.98997489999999999</v>
      </c>
      <c r="Y605">
        <v>2.316464E-2</v>
      </c>
      <c r="Z605">
        <v>-2.7679449999999997E-4</v>
      </c>
      <c r="AA605">
        <v>0.99973160000000005</v>
      </c>
      <c r="AB605">
        <v>53</v>
      </c>
      <c r="AC605">
        <v>16.5398</v>
      </c>
      <c r="AD605">
        <v>-1.108954</v>
      </c>
      <c r="AE605">
        <v>-0.51220000000000698</v>
      </c>
      <c r="AF605">
        <v>0.38833528135745599</v>
      </c>
      <c r="AG605">
        <v>-1.108954</v>
      </c>
      <c r="AH605">
        <v>16.469166374317599</v>
      </c>
      <c r="AI605">
        <v>93.851138434957704</v>
      </c>
      <c r="AJ605">
        <v>88.649242474891494</v>
      </c>
      <c r="AK605">
        <v>16.511027355371201</v>
      </c>
      <c r="AL605">
        <v>82.453111722356795</v>
      </c>
      <c r="AM605">
        <v>86.995362193532699</v>
      </c>
      <c r="AN605">
        <v>0.99999998394228296</v>
      </c>
    </row>
    <row r="606" spans="1:40" x14ac:dyDescent="0.25">
      <c r="A606" t="str">
        <f>"20190312164447606"</f>
        <v>20190312164447606</v>
      </c>
      <c r="B606" t="str">
        <f>"1552380287602056"</f>
        <v>1552380287602056</v>
      </c>
      <c r="C606" t="s">
        <v>40</v>
      </c>
      <c r="D606">
        <v>4.7258199999999997</v>
      </c>
      <c r="E606">
        <v>0.49251430000000002</v>
      </c>
      <c r="F606" t="s">
        <v>41</v>
      </c>
      <c r="G606">
        <v>-300.06240000000003</v>
      </c>
      <c r="H606">
        <v>0.98965020000000004</v>
      </c>
      <c r="I606">
        <v>366.78039999999999</v>
      </c>
      <c r="J606">
        <v>-300.83499999999998</v>
      </c>
      <c r="K606">
        <v>1.058918</v>
      </c>
      <c r="L606">
        <v>366.81119999999999</v>
      </c>
      <c r="M606">
        <v>0.99984660000000003</v>
      </c>
      <c r="N606">
        <v>0</v>
      </c>
      <c r="O606">
        <v>-7.2833389999999998E-3</v>
      </c>
      <c r="P606">
        <v>0.99153579999999997</v>
      </c>
      <c r="Q606">
        <v>0.11543</v>
      </c>
      <c r="R606">
        <v>-5.9436290000000003E-2</v>
      </c>
      <c r="S606">
        <v>3.0432429999999999</v>
      </c>
      <c r="T606">
        <v>-0.19998650000000001</v>
      </c>
      <c r="U606">
        <v>-9.4238279999999994E-2</v>
      </c>
      <c r="V606">
        <v>5.2157769999999999E-2</v>
      </c>
      <c r="W606">
        <v>0.1312391</v>
      </c>
      <c r="X606">
        <v>0.98997769999999996</v>
      </c>
      <c r="Y606">
        <v>2.3634740000000001E-2</v>
      </c>
      <c r="Z606">
        <v>-2.9751750000000003E-4</v>
      </c>
      <c r="AA606">
        <v>0.99972059999999996</v>
      </c>
      <c r="AB606">
        <v>53</v>
      </c>
      <c r="AC606">
        <v>0.77259999999995399</v>
      </c>
      <c r="AD606">
        <v>-6.9267799999999893E-2</v>
      </c>
      <c r="AE606">
        <v>-3.07999999999992E-2</v>
      </c>
      <c r="AF606">
        <v>2.4970960548390202E-2</v>
      </c>
      <c r="AG606">
        <v>-6.9267799999999893E-2</v>
      </c>
      <c r="AH606">
        <v>0.76665121703671002</v>
      </c>
      <c r="AI606">
        <v>95.159998655546701</v>
      </c>
      <c r="AJ606">
        <v>88.134451514139997</v>
      </c>
      <c r="AK606">
        <v>0.77017898281595398</v>
      </c>
      <c r="AL606">
        <v>82.458798902780401</v>
      </c>
      <c r="AM606">
        <v>86.984114282040295</v>
      </c>
      <c r="AN606">
        <v>0.999999990418736</v>
      </c>
    </row>
    <row r="607" spans="1:40" x14ac:dyDescent="0.25">
      <c r="A607" t="str">
        <f>"20190312164447618"</f>
        <v>20190312164447618</v>
      </c>
      <c r="B607" t="str">
        <f>"1552380287611816"</f>
        <v>1552380287611816</v>
      </c>
      <c r="C607" t="s">
        <v>40</v>
      </c>
      <c r="D607">
        <v>4.4990740000000002</v>
      </c>
      <c r="E607">
        <v>0.49251430000000002</v>
      </c>
      <c r="F607" t="s">
        <v>43</v>
      </c>
      <c r="G607">
        <v>-283.89010000000002</v>
      </c>
      <c r="H607">
        <v>-0.05</v>
      </c>
      <c r="I607">
        <v>366.27730000000003</v>
      </c>
      <c r="J607">
        <v>-300.5598</v>
      </c>
      <c r="K607">
        <v>1.0588949999999999</v>
      </c>
      <c r="L607">
        <v>366.80919999999998</v>
      </c>
      <c r="M607">
        <v>0.99984810000000002</v>
      </c>
      <c r="N607">
        <v>0</v>
      </c>
      <c r="O607">
        <v>-7.1733559999999997E-3</v>
      </c>
      <c r="P607">
        <v>0.99155210000000005</v>
      </c>
      <c r="Q607">
        <v>0.1153793</v>
      </c>
      <c r="R607">
        <v>-5.9264039999999997E-2</v>
      </c>
      <c r="S607">
        <v>3.0430600000000001</v>
      </c>
      <c r="T607">
        <v>-0.19914509999999999</v>
      </c>
      <c r="U607">
        <v>-9.5886230000000003E-2</v>
      </c>
      <c r="V607">
        <v>5.2089240000000002E-2</v>
      </c>
      <c r="W607">
        <v>0.13114319999999999</v>
      </c>
      <c r="X607">
        <v>0.98999400000000004</v>
      </c>
      <c r="Y607">
        <v>2.4286100000000001E-2</v>
      </c>
      <c r="Z607">
        <v>-3.2475780000000001E-4</v>
      </c>
      <c r="AA607">
        <v>0.99970499999999995</v>
      </c>
      <c r="AB607">
        <v>53</v>
      </c>
      <c r="AC607">
        <v>16.669699999999899</v>
      </c>
      <c r="AD607">
        <v>-1.108895</v>
      </c>
      <c r="AE607">
        <v>-0.53189999999994997</v>
      </c>
      <c r="AF607">
        <v>0.41047895795387901</v>
      </c>
      <c r="AG607">
        <v>-1.108895</v>
      </c>
      <c r="AH607">
        <v>16.599705970881999</v>
      </c>
      <c r="AI607">
        <v>93.820634959734207</v>
      </c>
      <c r="AJ607">
        <v>88.583473710795303</v>
      </c>
      <c r="AK607">
        <v>16.6417661146792</v>
      </c>
      <c r="AL607">
        <v>82.464341347060099</v>
      </c>
      <c r="AM607">
        <v>86.988119047342593</v>
      </c>
      <c r="AN607">
        <v>0.99999997393300799</v>
      </c>
    </row>
    <row r="608" spans="1:40" x14ac:dyDescent="0.25">
      <c r="A608" t="str">
        <f>"20190312164447630"</f>
        <v>20190312164447630</v>
      </c>
      <c r="B608" t="str">
        <f>"1552380287622552"</f>
        <v>1552380287622552</v>
      </c>
      <c r="C608" t="s">
        <v>40</v>
      </c>
      <c r="D608">
        <v>4.5402490000000002</v>
      </c>
      <c r="E608">
        <v>0.49330069999999998</v>
      </c>
      <c r="F608" t="s">
        <v>41</v>
      </c>
      <c r="G608">
        <v>-299.58339999999998</v>
      </c>
      <c r="H608">
        <v>0.99507369999999995</v>
      </c>
      <c r="I608">
        <v>366.7783</v>
      </c>
      <c r="J608">
        <v>-300.27510000000001</v>
      </c>
      <c r="K608">
        <v>1.0588740000000001</v>
      </c>
      <c r="L608">
        <v>366.8073</v>
      </c>
      <c r="M608">
        <v>0.99984969999999995</v>
      </c>
      <c r="N608">
        <v>0</v>
      </c>
      <c r="O608">
        <v>-7.0542919999999898E-3</v>
      </c>
      <c r="P608">
        <v>0.99156540000000004</v>
      </c>
      <c r="Q608">
        <v>0.11513</v>
      </c>
      <c r="R608">
        <v>-5.9523520000000003E-2</v>
      </c>
      <c r="S608">
        <v>3.043091</v>
      </c>
      <c r="T608">
        <v>-0.19927139999999999</v>
      </c>
      <c r="U608">
        <v>-9.5275879999999993E-2</v>
      </c>
      <c r="V608">
        <v>5.2461479999999998E-2</v>
      </c>
      <c r="W608">
        <v>0.1308491</v>
      </c>
      <c r="X608">
        <v>0.99001329999999998</v>
      </c>
      <c r="Y608">
        <v>2.4204389999999999E-2</v>
      </c>
      <c r="Z608">
        <v>-3.3007659999999999E-4</v>
      </c>
      <c r="AA608">
        <v>0.99970700000000001</v>
      </c>
      <c r="AB608">
        <v>53</v>
      </c>
      <c r="AC608">
        <v>0.69170000000002496</v>
      </c>
      <c r="AD608">
        <v>-6.3800299999999893E-2</v>
      </c>
      <c r="AE608">
        <v>-2.89999999999963E-2</v>
      </c>
      <c r="AF608">
        <v>2.39160995271657E-2</v>
      </c>
      <c r="AG608">
        <v>-6.3800299999999893E-2</v>
      </c>
      <c r="AH608">
        <v>0.68606085735375399</v>
      </c>
      <c r="AI608">
        <v>95.3097396349999</v>
      </c>
      <c r="AJ608">
        <v>88.003476097228003</v>
      </c>
      <c r="AK608">
        <v>0.68943597098617604</v>
      </c>
      <c r="AL608">
        <v>82.481338806020901</v>
      </c>
      <c r="AM608">
        <v>86.966694628815404</v>
      </c>
      <c r="AN608">
        <v>1.0000000140157399</v>
      </c>
    </row>
    <row r="609" spans="1:40" x14ac:dyDescent="0.25">
      <c r="A609" t="str">
        <f>"20190312164447642"</f>
        <v>20190312164447642</v>
      </c>
      <c r="B609" t="str">
        <f>"1552380287632312"</f>
        <v>1552380287632312</v>
      </c>
      <c r="C609" t="s">
        <v>40</v>
      </c>
      <c r="D609">
        <v>4.4709110000000001</v>
      </c>
      <c r="E609">
        <v>0.49295939999999999</v>
      </c>
      <c r="F609" t="s">
        <v>41</v>
      </c>
      <c r="G609">
        <v>-299.1318</v>
      </c>
      <c r="H609">
        <v>0.95706500000000005</v>
      </c>
      <c r="I609">
        <v>366.77</v>
      </c>
      <c r="J609">
        <v>-300.0034</v>
      </c>
      <c r="K609">
        <v>1.058867</v>
      </c>
      <c r="L609">
        <v>366.80549999999999</v>
      </c>
      <c r="M609">
        <v>0.9998515</v>
      </c>
      <c r="N609">
        <v>0</v>
      </c>
      <c r="O609">
        <v>-6.9253680000000003E-3</v>
      </c>
      <c r="P609">
        <v>0.99158440000000003</v>
      </c>
      <c r="Q609">
        <v>0.1149857</v>
      </c>
      <c r="R609">
        <v>-5.949082E-2</v>
      </c>
      <c r="S609">
        <v>3.0510860000000002</v>
      </c>
      <c r="T609">
        <v>-0.27177509999999999</v>
      </c>
      <c r="U609">
        <v>-9.9517820000000007E-2</v>
      </c>
      <c r="V609">
        <v>5.2550439999999997E-2</v>
      </c>
      <c r="W609">
        <v>0.13066620000000001</v>
      </c>
      <c r="X609">
        <v>0.99003269999999999</v>
      </c>
      <c r="Y609">
        <v>2.5602639999999999E-2</v>
      </c>
      <c r="Z609">
        <v>-5.2217180000000004E-4</v>
      </c>
      <c r="AA609">
        <v>0.99967209999999995</v>
      </c>
      <c r="AB609">
        <v>53</v>
      </c>
      <c r="AC609">
        <v>0.87160000000000004</v>
      </c>
      <c r="AD609">
        <v>-0.101802</v>
      </c>
      <c r="AE609">
        <v>-3.5500000000013097E-2</v>
      </c>
      <c r="AF609">
        <v>2.90663790758303E-2</v>
      </c>
      <c r="AG609">
        <v>-0.101802</v>
      </c>
      <c r="AH609">
        <v>0.86011077249480605</v>
      </c>
      <c r="AI609">
        <v>96.746262065628102</v>
      </c>
      <c r="AJ609">
        <v>88.064496610346296</v>
      </c>
      <c r="AK609">
        <v>0.86660200932042097</v>
      </c>
      <c r="AL609">
        <v>82.491908666992302</v>
      </c>
      <c r="AM609">
        <v>86.961620048684196</v>
      </c>
      <c r="AN609">
        <v>0.99999997581796096</v>
      </c>
    </row>
    <row r="610" spans="1:40" x14ac:dyDescent="0.25">
      <c r="A610" t="str">
        <f>"20190312164447652"</f>
        <v>20190312164447652</v>
      </c>
      <c r="B610" t="str">
        <f>"1552380287642073"</f>
        <v>1552380287642073</v>
      </c>
      <c r="C610" t="s">
        <v>40</v>
      </c>
      <c r="D610">
        <v>4.8163479999999996</v>
      </c>
      <c r="E610">
        <v>0.49329010000000001</v>
      </c>
      <c r="F610" t="s">
        <v>41</v>
      </c>
      <c r="G610">
        <v>-299.12079999999997</v>
      </c>
      <c r="H610">
        <v>0.97900089999999995</v>
      </c>
      <c r="I610">
        <v>366.77760000000001</v>
      </c>
      <c r="J610">
        <v>-299.76069999999999</v>
      </c>
      <c r="K610">
        <v>1.058856</v>
      </c>
      <c r="L610">
        <v>366.80380000000002</v>
      </c>
      <c r="M610">
        <v>0.99985270000000004</v>
      </c>
      <c r="N610">
        <v>0</v>
      </c>
      <c r="O610">
        <v>-6.8048659999999997E-3</v>
      </c>
      <c r="P610">
        <v>0.99155110000000002</v>
      </c>
      <c r="Q610">
        <v>0.11524959999999999</v>
      </c>
      <c r="R610">
        <v>-5.9532519999999998E-2</v>
      </c>
      <c r="S610">
        <v>3.0517270000000001</v>
      </c>
      <c r="T610">
        <v>-0.2762328</v>
      </c>
      <c r="U610">
        <v>-9.6160889999999999E-2</v>
      </c>
      <c r="V610">
        <v>5.2706599999999999E-2</v>
      </c>
      <c r="W610">
        <v>0.1308964</v>
      </c>
      <c r="X610">
        <v>0.98999400000000004</v>
      </c>
      <c r="Y610">
        <v>2.4618879999999999E-2</v>
      </c>
      <c r="Z610">
        <v>-4.9706130000000002E-4</v>
      </c>
      <c r="AA610">
        <v>0.99969680000000005</v>
      </c>
      <c r="AB610">
        <v>53</v>
      </c>
      <c r="AC610">
        <v>0.63990000000001102</v>
      </c>
      <c r="AD610">
        <v>-7.9855099999999998E-2</v>
      </c>
      <c r="AE610">
        <v>-2.6200000000017099E-2</v>
      </c>
      <c r="AF610">
        <v>2.1509997472388999E-2</v>
      </c>
      <c r="AG610">
        <v>-7.9855099999999998E-2</v>
      </c>
      <c r="AH610">
        <v>0.63026460710325605</v>
      </c>
      <c r="AI610">
        <v>97.216794558150696</v>
      </c>
      <c r="AJ610">
        <v>88.045338579054302</v>
      </c>
      <c r="AK610">
        <v>0.63566735951619702</v>
      </c>
      <c r="AL610">
        <v>82.478604997259694</v>
      </c>
      <c r="AM610">
        <v>86.952489225923202</v>
      </c>
      <c r="AN610">
        <v>0.99999998662626</v>
      </c>
    </row>
    <row r="611" spans="1:40" x14ac:dyDescent="0.25">
      <c r="A611" t="str">
        <f>"20190312164447662"</f>
        <v>20190312164447662</v>
      </c>
      <c r="B611" t="str">
        <f>"1552380287651832"</f>
        <v>1552380287651832</v>
      </c>
      <c r="C611" t="s">
        <v>40</v>
      </c>
      <c r="D611">
        <v>4.5118099999999997</v>
      </c>
      <c r="E611">
        <v>0.49347099999999999</v>
      </c>
      <c r="F611" t="s">
        <v>41</v>
      </c>
      <c r="G611">
        <v>-298.65440000000001</v>
      </c>
      <c r="H611">
        <v>0.96537919999999999</v>
      </c>
      <c r="I611">
        <v>366.7672</v>
      </c>
      <c r="J611">
        <v>-299.50639999999999</v>
      </c>
      <c r="K611">
        <v>1.0588500000000001</v>
      </c>
      <c r="L611">
        <v>366.80220000000003</v>
      </c>
      <c r="M611">
        <v>0.99985409999999997</v>
      </c>
      <c r="N611">
        <v>0</v>
      </c>
      <c r="O611">
        <v>-6.6681359999999999E-3</v>
      </c>
      <c r="P611">
        <v>0.99155950000000004</v>
      </c>
      <c r="Q611">
        <v>0.1151153</v>
      </c>
      <c r="R611">
        <v>-5.9653039999999997E-2</v>
      </c>
      <c r="S611">
        <v>3.0495610000000002</v>
      </c>
      <c r="T611">
        <v>-0.25790950000000001</v>
      </c>
      <c r="U611">
        <v>-0.1001282</v>
      </c>
      <c r="V611">
        <v>5.2956879999999998E-2</v>
      </c>
      <c r="W611">
        <v>0.13073000000000001</v>
      </c>
      <c r="X611">
        <v>0.99000259999999995</v>
      </c>
      <c r="Y611">
        <v>2.6080639999999999E-2</v>
      </c>
      <c r="Z611">
        <v>-5.3775730000000003E-4</v>
      </c>
      <c r="AA611">
        <v>0.99965970000000004</v>
      </c>
      <c r="AB611">
        <v>53</v>
      </c>
      <c r="AC611">
        <v>0.851999999999975</v>
      </c>
      <c r="AD611">
        <v>-9.3470800000000007E-2</v>
      </c>
      <c r="AE611">
        <v>-3.5000000000024997E-2</v>
      </c>
      <c r="AF611">
        <v>2.89691889746811E-2</v>
      </c>
      <c r="AG611">
        <v>-9.3470800000000007E-2</v>
      </c>
      <c r="AH611">
        <v>0.84209629153901899</v>
      </c>
      <c r="AI611">
        <v>96.3300620696062</v>
      </c>
      <c r="AJ611">
        <v>88.029728929779594</v>
      </c>
      <c r="AK611">
        <v>0.84776303799249197</v>
      </c>
      <c r="AL611">
        <v>82.488221419479103</v>
      </c>
      <c r="AM611">
        <v>86.9380719847329</v>
      </c>
      <c r="AN611">
        <v>0.99999995602304603</v>
      </c>
    </row>
    <row r="612" spans="1:40" x14ac:dyDescent="0.25">
      <c r="A612" t="str">
        <f>"20190312164447674"</f>
        <v>20190312164447674</v>
      </c>
      <c r="B612" t="str">
        <f>"1552380287662569"</f>
        <v>1552380287662569</v>
      </c>
      <c r="C612" t="s">
        <v>40</v>
      </c>
      <c r="D612">
        <v>4.5372000000000003</v>
      </c>
      <c r="E612">
        <v>0.49371999999999999</v>
      </c>
      <c r="F612" t="s">
        <v>41</v>
      </c>
      <c r="G612">
        <v>-298.64179999999999</v>
      </c>
      <c r="H612">
        <v>0.98891090000000004</v>
      </c>
      <c r="I612">
        <v>366.77289999999999</v>
      </c>
      <c r="J612">
        <v>-299.2457</v>
      </c>
      <c r="K612">
        <v>1.0588489999999999</v>
      </c>
      <c r="L612">
        <v>366.8005</v>
      </c>
      <c r="M612">
        <v>0.99985579999999996</v>
      </c>
      <c r="N612">
        <v>0</v>
      </c>
      <c r="O612">
        <v>-6.520194E-3</v>
      </c>
      <c r="P612">
        <v>0.99152609999999997</v>
      </c>
      <c r="Q612">
        <v>0.1153578</v>
      </c>
      <c r="R612">
        <v>-5.9740170000000002E-2</v>
      </c>
      <c r="S612">
        <v>3.048035</v>
      </c>
      <c r="T612">
        <v>-0.24684890000000001</v>
      </c>
      <c r="U612">
        <v>-0.1022034</v>
      </c>
      <c r="V612">
        <v>5.3184710000000003E-2</v>
      </c>
      <c r="W612">
        <v>0.1309408</v>
      </c>
      <c r="X612">
        <v>0.98996260000000003</v>
      </c>
      <c r="Y612">
        <v>2.6927300000000001E-2</v>
      </c>
      <c r="Z612">
        <v>-5.6120089999999996E-4</v>
      </c>
      <c r="AA612">
        <v>0.9996372</v>
      </c>
      <c r="AB612">
        <v>53</v>
      </c>
      <c r="AC612">
        <v>0.60390000000000998</v>
      </c>
      <c r="AD612">
        <v>-6.9938099999999795E-2</v>
      </c>
      <c r="AE612">
        <v>-2.7600000000006699E-2</v>
      </c>
      <c r="AF612">
        <v>2.3348878535212499E-2</v>
      </c>
      <c r="AG612">
        <v>-6.9938099999999795E-2</v>
      </c>
      <c r="AH612">
        <v>0.59608898373913599</v>
      </c>
      <c r="AI612">
        <v>96.686739989562696</v>
      </c>
      <c r="AJ612">
        <v>87.756864040074902</v>
      </c>
      <c r="AK612">
        <v>0.60063182108144897</v>
      </c>
      <c r="AL612">
        <v>82.476039291853994</v>
      </c>
      <c r="AM612">
        <v>86.924800237137106</v>
      </c>
      <c r="AN612">
        <v>1.0000000279405901</v>
      </c>
    </row>
    <row r="613" spans="1:40" x14ac:dyDescent="0.25">
      <c r="A613" t="str">
        <f>"20190312164447685"</f>
        <v>20190312164447685</v>
      </c>
      <c r="B613" t="str">
        <f>"1552380287672329"</f>
        <v>1552380287672329</v>
      </c>
      <c r="C613" t="s">
        <v>40</v>
      </c>
      <c r="D613">
        <v>4.5391089999999998</v>
      </c>
      <c r="E613">
        <v>0.49376340000000002</v>
      </c>
      <c r="F613" t="s">
        <v>41</v>
      </c>
      <c r="G613">
        <v>-298.17649999999998</v>
      </c>
      <c r="H613">
        <v>0.97538659999999999</v>
      </c>
      <c r="I613">
        <v>366.7636</v>
      </c>
      <c r="J613">
        <v>-298.9896</v>
      </c>
      <c r="K613">
        <v>1.058846</v>
      </c>
      <c r="L613">
        <v>366.7989</v>
      </c>
      <c r="M613">
        <v>0.99985729999999995</v>
      </c>
      <c r="N613">
        <v>0</v>
      </c>
      <c r="O613">
        <v>-6.3661919999999997E-3</v>
      </c>
      <c r="P613">
        <v>0.99153080000000005</v>
      </c>
      <c r="Q613">
        <v>0.1152441</v>
      </c>
      <c r="R613">
        <v>-5.9880250000000003E-2</v>
      </c>
      <c r="S613">
        <v>3.046967</v>
      </c>
      <c r="T613">
        <v>-0.23790529999999999</v>
      </c>
      <c r="U613">
        <v>-0.105072</v>
      </c>
      <c r="V613">
        <v>5.3471409999999997E-2</v>
      </c>
      <c r="W613">
        <v>0.13079950000000001</v>
      </c>
      <c r="X613">
        <v>0.98996580000000001</v>
      </c>
      <c r="Y613">
        <v>2.8033909999999999E-2</v>
      </c>
      <c r="Z613">
        <v>-5.9623779999999995E-4</v>
      </c>
      <c r="AA613">
        <v>0.99960680000000002</v>
      </c>
      <c r="AB613">
        <v>53</v>
      </c>
      <c r="AC613">
        <v>0.81310000000001903</v>
      </c>
      <c r="AD613">
        <v>-8.3459399999999906E-2</v>
      </c>
      <c r="AE613">
        <v>-3.53000000000065E-2</v>
      </c>
      <c r="AF613">
        <v>2.9808834399488199E-2</v>
      </c>
      <c r="AG613">
        <v>-8.3459399999999906E-2</v>
      </c>
      <c r="AH613">
        <v>0.80484463917402405</v>
      </c>
      <c r="AI613">
        <v>95.916172760756893</v>
      </c>
      <c r="AJ613">
        <v>87.8789196920129</v>
      </c>
      <c r="AK613">
        <v>0.80970916461639597</v>
      </c>
      <c r="AL613">
        <v>82.484205153991695</v>
      </c>
      <c r="AM613">
        <v>86.908264970323799</v>
      </c>
      <c r="AN613">
        <v>0.99999999302863896</v>
      </c>
    </row>
    <row r="614" spans="1:40" x14ac:dyDescent="0.25">
      <c r="A614" t="str">
        <f>"20190312164447696"</f>
        <v>20190312164447696</v>
      </c>
      <c r="B614" t="str">
        <f>"1552380287691848"</f>
        <v>1552380287691848</v>
      </c>
      <c r="C614" t="s">
        <v>40</v>
      </c>
      <c r="D614">
        <v>4.5559379999999896</v>
      </c>
      <c r="E614">
        <v>0.49394110000000002</v>
      </c>
      <c r="F614" t="s">
        <v>41</v>
      </c>
      <c r="G614">
        <v>-298.16289999999998</v>
      </c>
      <c r="H614">
        <v>0.99567229999999995</v>
      </c>
      <c r="I614">
        <v>366.77010000000001</v>
      </c>
      <c r="J614">
        <v>-298.73860000000002</v>
      </c>
      <c r="K614">
        <v>1.0588470000000001</v>
      </c>
      <c r="L614">
        <v>366.79739999999998</v>
      </c>
      <c r="M614">
        <v>0.99985869999999999</v>
      </c>
      <c r="N614">
        <v>0</v>
      </c>
      <c r="O614">
        <v>-6.2056619999999998E-3</v>
      </c>
      <c r="P614">
        <v>0.99151029999999996</v>
      </c>
      <c r="Q614">
        <v>0.1154188</v>
      </c>
      <c r="R614">
        <v>-5.9885149999999998E-2</v>
      </c>
      <c r="S614">
        <v>3.0463260000000001</v>
      </c>
      <c r="T614">
        <v>-0.23287389999999999</v>
      </c>
      <c r="U614">
        <v>-0.1059875</v>
      </c>
      <c r="V614">
        <v>5.3629429999999999E-2</v>
      </c>
      <c r="W614">
        <v>0.13094749999999999</v>
      </c>
      <c r="X614">
        <v>0.98993770000000003</v>
      </c>
      <c r="Y614">
        <v>2.8502590000000001E-2</v>
      </c>
      <c r="Z614">
        <v>-6.139184E-4</v>
      </c>
      <c r="AA614">
        <v>0.99959359999999997</v>
      </c>
      <c r="AB614">
        <v>53</v>
      </c>
      <c r="AC614">
        <v>0.57570000000003996</v>
      </c>
      <c r="AD614">
        <v>-6.3174699999999903E-2</v>
      </c>
      <c r="AE614">
        <v>-2.7299999999968301E-2</v>
      </c>
      <c r="AF614">
        <v>2.34447532938243E-2</v>
      </c>
      <c r="AG614">
        <v>-6.3174699999999903E-2</v>
      </c>
      <c r="AH614">
        <v>0.56902163671150696</v>
      </c>
      <c r="AI614">
        <v>96.329898966125896</v>
      </c>
      <c r="AJ614">
        <v>87.640641437021998</v>
      </c>
      <c r="AK614">
        <v>0.57299766336603897</v>
      </c>
      <c r="AL614">
        <v>82.475651915368502</v>
      </c>
      <c r="AM614">
        <v>86.899058156873593</v>
      </c>
      <c r="AN614">
        <v>1.00000000669983</v>
      </c>
    </row>
    <row r="615" spans="1:40" x14ac:dyDescent="0.25">
      <c r="A615" t="str">
        <f>"20190312164447708"</f>
        <v>20190312164447708</v>
      </c>
      <c r="B615" t="str">
        <f>"1552380287702584"</f>
        <v>1552380287702584</v>
      </c>
      <c r="C615" t="s">
        <v>40</v>
      </c>
      <c r="D615">
        <v>4.5877109999999997</v>
      </c>
      <c r="E615">
        <v>0.49363829999999997</v>
      </c>
      <c r="F615" t="s">
        <v>41</v>
      </c>
      <c r="G615">
        <v>-297.7011</v>
      </c>
      <c r="H615">
        <v>0.98118110000000003</v>
      </c>
      <c r="I615">
        <v>366.7604</v>
      </c>
      <c r="J615">
        <v>-298.42649999999998</v>
      </c>
      <c r="K615">
        <v>1.0588439999999999</v>
      </c>
      <c r="L615">
        <v>366.79559999999998</v>
      </c>
      <c r="M615">
        <v>0.99986030000000004</v>
      </c>
      <c r="N615">
        <v>0</v>
      </c>
      <c r="O615">
        <v>-5.9985180000000004E-3</v>
      </c>
      <c r="P615">
        <v>0.99151920000000004</v>
      </c>
      <c r="Q615">
        <v>0.1153308</v>
      </c>
      <c r="R615">
        <v>-5.9903230000000002E-2</v>
      </c>
      <c r="S615">
        <v>3.045776</v>
      </c>
      <c r="T615">
        <v>-0.22829440000000001</v>
      </c>
      <c r="U615">
        <v>-0.10760500000000001</v>
      </c>
      <c r="V615">
        <v>5.3845320000000002E-2</v>
      </c>
      <c r="W615">
        <v>0.1308288</v>
      </c>
      <c r="X615">
        <v>0.98994170000000004</v>
      </c>
      <c r="Y615">
        <v>2.924595E-2</v>
      </c>
      <c r="Z615">
        <v>-6.4529419999999999E-4</v>
      </c>
      <c r="AA615">
        <v>0.99957200000000002</v>
      </c>
      <c r="AB615">
        <v>53</v>
      </c>
      <c r="AC615">
        <v>0.72539999999997895</v>
      </c>
      <c r="AD615">
        <v>-7.7662900000000201E-2</v>
      </c>
      <c r="AE615">
        <v>-3.51999999999748E-2</v>
      </c>
      <c r="AF615">
        <v>3.0498747115635098E-2</v>
      </c>
      <c r="AG615">
        <v>-7.7662900000000201E-2</v>
      </c>
      <c r="AH615">
        <v>0.71739443985406603</v>
      </c>
      <c r="AI615">
        <v>96.173068875480396</v>
      </c>
      <c r="AJ615">
        <v>87.565637857641207</v>
      </c>
      <c r="AK615">
        <v>0.72223021395228504</v>
      </c>
      <c r="AL615">
        <v>82.482512126911601</v>
      </c>
      <c r="AM615">
        <v>86.886612106715901</v>
      </c>
      <c r="AN615">
        <v>1.00000003139711</v>
      </c>
    </row>
    <row r="616" spans="1:40" x14ac:dyDescent="0.25">
      <c r="A616" t="str">
        <f>"20190312164447721"</f>
        <v>20190312164447721</v>
      </c>
      <c r="B616" t="str">
        <f>"1552380287712344"</f>
        <v>1552380287712344</v>
      </c>
      <c r="C616" t="s">
        <v>40</v>
      </c>
      <c r="D616">
        <v>4.5626040000000003</v>
      </c>
      <c r="E616">
        <v>0.49336269999999999</v>
      </c>
      <c r="F616" t="s">
        <v>43</v>
      </c>
      <c r="G616">
        <v>-283.80430000000001</v>
      </c>
      <c r="H616">
        <v>-0.05</v>
      </c>
      <c r="I616">
        <v>366.28989999999999</v>
      </c>
      <c r="J616">
        <v>-298.12790000000001</v>
      </c>
      <c r="K616">
        <v>1.0588519999999999</v>
      </c>
      <c r="L616">
        <v>366.79390000000001</v>
      </c>
      <c r="M616">
        <v>0.99986209999999998</v>
      </c>
      <c r="N616">
        <v>0</v>
      </c>
      <c r="O616">
        <v>-5.7833210000000001E-3</v>
      </c>
      <c r="P616">
        <v>0.9915313</v>
      </c>
      <c r="Q616">
        <v>0.1152864</v>
      </c>
      <c r="R616">
        <v>-5.9789589999999997E-2</v>
      </c>
      <c r="S616">
        <v>3.0461429999999998</v>
      </c>
      <c r="T616">
        <v>-0.23099739999999999</v>
      </c>
      <c r="U616">
        <v>-0.1053467</v>
      </c>
      <c r="V616">
        <v>5.393775E-2</v>
      </c>
      <c r="W616">
        <v>0.13075880000000001</v>
      </c>
      <c r="X616">
        <v>0.98994590000000005</v>
      </c>
      <c r="Y616">
        <v>2.871607E-2</v>
      </c>
      <c r="Z616">
        <v>-6.4907889999999996E-4</v>
      </c>
      <c r="AA616">
        <v>0.99958740000000001</v>
      </c>
      <c r="AB616">
        <v>53</v>
      </c>
      <c r="AC616">
        <v>14.323600000000001</v>
      </c>
      <c r="AD616">
        <v>-1.1088519999999999</v>
      </c>
      <c r="AE616">
        <v>-0.50400000000001899</v>
      </c>
      <c r="AF616">
        <v>0.41863776836926297</v>
      </c>
      <c r="AG616">
        <v>-1.1088519999999999</v>
      </c>
      <c r="AH616">
        <v>14.241034853029101</v>
      </c>
      <c r="AI616">
        <v>94.450332787167</v>
      </c>
      <c r="AJ616">
        <v>88.316184757020807</v>
      </c>
      <c r="AK616">
        <v>14.290272356543801</v>
      </c>
      <c r="AL616">
        <v>82.486557457967606</v>
      </c>
      <c r="AM616">
        <v>86.881291462385306</v>
      </c>
      <c r="AN616">
        <v>1.0000000147896499</v>
      </c>
    </row>
    <row r="617" spans="1:40" x14ac:dyDescent="0.25">
      <c r="A617" t="str">
        <f>"20190312164447734"</f>
        <v>20190312164447734</v>
      </c>
      <c r="B617" t="str">
        <f>"1552380287722105"</f>
        <v>1552380287722105</v>
      </c>
      <c r="C617" t="s">
        <v>40</v>
      </c>
      <c r="D617">
        <v>4.6149329999999997</v>
      </c>
      <c r="E617">
        <v>0.49326769999999998</v>
      </c>
      <c r="F617" t="s">
        <v>41</v>
      </c>
      <c r="G617">
        <v>-297.22390000000001</v>
      </c>
      <c r="H617">
        <v>0.98946449999999997</v>
      </c>
      <c r="I617">
        <v>366.76330000000002</v>
      </c>
      <c r="J617">
        <v>-297.82569999999998</v>
      </c>
      <c r="K617">
        <v>1.0588599999999999</v>
      </c>
      <c r="L617">
        <v>366.79230000000001</v>
      </c>
      <c r="M617">
        <v>0.99986390000000003</v>
      </c>
      <c r="N617">
        <v>0</v>
      </c>
      <c r="O617">
        <v>-5.558594E-3</v>
      </c>
      <c r="P617">
        <v>0.99153800000000003</v>
      </c>
      <c r="Q617">
        <v>0.115199499999999</v>
      </c>
      <c r="R617">
        <v>-5.9846669999999998E-2</v>
      </c>
      <c r="S617">
        <v>3.0466310000000001</v>
      </c>
      <c r="T617">
        <v>-0.23400029999999999</v>
      </c>
      <c r="U617">
        <v>-0.1027222</v>
      </c>
      <c r="V617">
        <v>5.4210170000000002E-2</v>
      </c>
      <c r="W617">
        <v>0.13064719999999999</v>
      </c>
      <c r="X617">
        <v>0.98994570000000004</v>
      </c>
      <c r="Y617">
        <v>2.807463E-2</v>
      </c>
      <c r="Z617">
        <v>-6.5003769999999895E-4</v>
      </c>
      <c r="AA617">
        <v>0.99960559999999998</v>
      </c>
      <c r="AB617">
        <v>53</v>
      </c>
      <c r="AC617">
        <v>0.60179999999996803</v>
      </c>
      <c r="AD617">
        <v>-6.9395499999999999E-2</v>
      </c>
      <c r="AE617">
        <v>-2.89999999999963E-2</v>
      </c>
      <c r="AF617">
        <v>2.53181078888901E-2</v>
      </c>
      <c r="AG617">
        <v>-6.9395499999999999E-2</v>
      </c>
      <c r="AH617">
        <v>0.594070777919527</v>
      </c>
      <c r="AI617">
        <v>96.656737867599304</v>
      </c>
      <c r="AJ617">
        <v>87.559645271466096</v>
      </c>
      <c r="AK617">
        <v>0.59864583117669501</v>
      </c>
      <c r="AL617">
        <v>82.493006588959602</v>
      </c>
      <c r="AM617">
        <v>86.865570694827198</v>
      </c>
      <c r="AN617">
        <v>0.99999996117387802</v>
      </c>
    </row>
    <row r="618" spans="1:40" x14ac:dyDescent="0.25">
      <c r="A618" t="str">
        <f>"20190312164447747"</f>
        <v>20190312164447747</v>
      </c>
      <c r="B618" t="str">
        <f>"1552380287742600"</f>
        <v>1552380287742600</v>
      </c>
      <c r="C618" t="s">
        <v>40</v>
      </c>
      <c r="D618">
        <v>4.6771900000000004</v>
      </c>
      <c r="E618">
        <v>0.508467</v>
      </c>
      <c r="F618" t="s">
        <v>41</v>
      </c>
      <c r="G618">
        <v>-296.75959999999998</v>
      </c>
      <c r="H618">
        <v>0.97598249999999998</v>
      </c>
      <c r="I618">
        <v>366.75639999999999</v>
      </c>
      <c r="J618">
        <v>-297.50400000000002</v>
      </c>
      <c r="K618">
        <v>1.058875</v>
      </c>
      <c r="L618">
        <v>366.79059999999998</v>
      </c>
      <c r="M618">
        <v>0.99986569999999997</v>
      </c>
      <c r="N618">
        <v>0</v>
      </c>
      <c r="O618">
        <v>-5.3085750000000003E-3</v>
      </c>
      <c r="P618">
        <v>0.9915408</v>
      </c>
      <c r="Q618">
        <v>0.1153015</v>
      </c>
      <c r="R618">
        <v>-5.9601349999999997E-2</v>
      </c>
      <c r="S618">
        <v>3.0469360000000001</v>
      </c>
      <c r="T618">
        <v>-0.23695350000000001</v>
      </c>
      <c r="U618">
        <v>-0.1021118</v>
      </c>
      <c r="V618">
        <v>5.4205059999999999E-2</v>
      </c>
      <c r="W618">
        <v>0.1307248</v>
      </c>
      <c r="X618">
        <v>0.98993580000000003</v>
      </c>
      <c r="Y618">
        <v>2.811866E-2</v>
      </c>
      <c r="Z618">
        <v>-6.7927220000000004E-4</v>
      </c>
      <c r="AA618">
        <v>0.9996043</v>
      </c>
      <c r="AB618">
        <v>53</v>
      </c>
      <c r="AC618">
        <v>0.74440000000004103</v>
      </c>
      <c r="AD618">
        <v>-8.2892499999999897E-2</v>
      </c>
      <c r="AE618">
        <v>-3.4199999999998398E-2</v>
      </c>
      <c r="AF618">
        <v>2.9877640636493299E-2</v>
      </c>
      <c r="AG618">
        <v>-8.2892499999999897E-2</v>
      </c>
      <c r="AH618">
        <v>0.73547054062311701</v>
      </c>
      <c r="AI618">
        <v>96.425229538447695</v>
      </c>
      <c r="AJ618">
        <v>87.673704311291402</v>
      </c>
      <c r="AK618">
        <v>0.74072988065199197</v>
      </c>
      <c r="AL618">
        <v>82.488522457533193</v>
      </c>
      <c r="AM618">
        <v>86.865834284822995</v>
      </c>
      <c r="AN618">
        <v>1.00000002499314</v>
      </c>
    </row>
    <row r="619" spans="1:40" x14ac:dyDescent="0.25">
      <c r="A619" t="str">
        <f>"20190312164447763"</f>
        <v>20190312164447763</v>
      </c>
      <c r="B619" t="str">
        <f>"1552380287752360"</f>
        <v>1552380287752360</v>
      </c>
      <c r="C619" t="s">
        <v>40</v>
      </c>
      <c r="D619">
        <v>4.5949939999999998</v>
      </c>
      <c r="E619">
        <v>0.508467</v>
      </c>
      <c r="F619" t="s">
        <v>41</v>
      </c>
      <c r="G619">
        <v>-296.74959999999999</v>
      </c>
      <c r="H619">
        <v>0.99433159999999998</v>
      </c>
      <c r="I619">
        <v>366.73559999999998</v>
      </c>
      <c r="J619">
        <v>-297.15179999999998</v>
      </c>
      <c r="K619">
        <v>1.0588850000000001</v>
      </c>
      <c r="L619">
        <v>366.78890000000001</v>
      </c>
      <c r="M619">
        <v>0.99986759999999997</v>
      </c>
      <c r="N619">
        <v>0</v>
      </c>
      <c r="O619">
        <v>-5.0199090000000004E-3</v>
      </c>
      <c r="P619">
        <v>0.99156120000000003</v>
      </c>
      <c r="Q619">
        <v>0.1150799</v>
      </c>
      <c r="R619">
        <v>-5.9694129999999998E-2</v>
      </c>
      <c r="S619">
        <v>3.0426030000000002</v>
      </c>
      <c r="T619">
        <v>-0.26045790000000002</v>
      </c>
      <c r="U619">
        <v>-0.2216187</v>
      </c>
      <c r="V619">
        <v>5.4575569999999997E-2</v>
      </c>
      <c r="W619">
        <v>0.13047990000000001</v>
      </c>
      <c r="X619">
        <v>0.98994769999999999</v>
      </c>
      <c r="Y619">
        <v>6.7410940000000003E-2</v>
      </c>
      <c r="Z619">
        <v>-2.447851E-3</v>
      </c>
      <c r="AA619">
        <v>0.99772229999999995</v>
      </c>
      <c r="AB619">
        <v>53</v>
      </c>
      <c r="AC619">
        <v>0.40219999999999301</v>
      </c>
      <c r="AD619">
        <v>-6.4553400000000205E-2</v>
      </c>
      <c r="AE619">
        <v>-5.3300000000035597E-2</v>
      </c>
      <c r="AF619">
        <v>5.0013931504250798E-2</v>
      </c>
      <c r="AG619">
        <v>-6.4553400000000205E-2</v>
      </c>
      <c r="AH619">
        <v>0.39252539254386098</v>
      </c>
      <c r="AI619">
        <v>99.265480207497305</v>
      </c>
      <c r="AJ619">
        <v>82.738739513819695</v>
      </c>
      <c r="AK619">
        <v>0.40092981753392198</v>
      </c>
      <c r="AL619">
        <v>82.502675023582299</v>
      </c>
      <c r="AM619">
        <v>86.844492200882598</v>
      </c>
      <c r="AN619">
        <v>0.99999997294006204</v>
      </c>
    </row>
    <row r="620" spans="1:40" x14ac:dyDescent="0.25">
      <c r="A620" t="str">
        <f>"20190312164447774"</f>
        <v>20190312164447774</v>
      </c>
      <c r="B620" t="str">
        <f>"1552380287762121"</f>
        <v>1552380287762121</v>
      </c>
      <c r="C620" t="s">
        <v>40</v>
      </c>
      <c r="D620">
        <v>4.6309069999999997</v>
      </c>
      <c r="E620">
        <v>0.51374059999999999</v>
      </c>
      <c r="F620" t="s">
        <v>41</v>
      </c>
      <c r="G620">
        <v>-296.2842</v>
      </c>
      <c r="H620">
        <v>0.98443700000000001</v>
      </c>
      <c r="I620">
        <v>366.72559999999999</v>
      </c>
      <c r="J620">
        <v>-296.88069999999999</v>
      </c>
      <c r="K620">
        <v>1.058894</v>
      </c>
      <c r="L620">
        <v>366.78769999999997</v>
      </c>
      <c r="M620">
        <v>0.99986900000000001</v>
      </c>
      <c r="N620">
        <v>0</v>
      </c>
      <c r="O620">
        <v>-4.7912529999999997E-3</v>
      </c>
      <c r="P620">
        <v>0.99154889999999996</v>
      </c>
      <c r="Q620">
        <v>0.1151809</v>
      </c>
      <c r="R620">
        <v>-5.9700639999999999E-2</v>
      </c>
      <c r="S620">
        <v>3.0425110000000002</v>
      </c>
      <c r="T620">
        <v>-0.26117269999999998</v>
      </c>
      <c r="U620">
        <v>-0.22155759999999999</v>
      </c>
      <c r="V620">
        <v>5.4802360000000001E-2</v>
      </c>
      <c r="W620">
        <v>0.13056309999999999</v>
      </c>
      <c r="X620">
        <v>0.98992429999999998</v>
      </c>
      <c r="Y620">
        <v>6.7618510000000007E-2</v>
      </c>
      <c r="Z620">
        <v>-2.4830680000000002E-3</v>
      </c>
      <c r="AA620">
        <v>0.99770809999999999</v>
      </c>
      <c r="AB620">
        <v>53</v>
      </c>
      <c r="AC620">
        <v>0.59649999999999104</v>
      </c>
      <c r="AD620">
        <v>-7.4456999999999801E-2</v>
      </c>
      <c r="AE620">
        <v>-6.2099999999986701E-2</v>
      </c>
      <c r="AF620">
        <v>5.8341698312146098E-2</v>
      </c>
      <c r="AG620">
        <v>-7.4456999999999801E-2</v>
      </c>
      <c r="AH620">
        <v>0.58773157317161395</v>
      </c>
      <c r="AI620">
        <v>97.185134703500097</v>
      </c>
      <c r="AJ620">
        <v>84.331054777592698</v>
      </c>
      <c r="AK620">
        <v>0.59529488550946397</v>
      </c>
      <c r="AL620">
        <v>82.497867621163394</v>
      </c>
      <c r="AM620">
        <v>86.831331334851797</v>
      </c>
      <c r="AN620">
        <v>1.0000000707368299</v>
      </c>
    </row>
    <row r="621" spans="1:40" x14ac:dyDescent="0.25">
      <c r="A621" t="str">
        <f>"20190312164447785"</f>
        <v>20190312164447785</v>
      </c>
      <c r="B621" t="str">
        <f>"1552380287782617"</f>
        <v>1552380287782617</v>
      </c>
      <c r="C621" t="s">
        <v>40</v>
      </c>
      <c r="D621">
        <v>4.6567379999999998</v>
      </c>
      <c r="E621">
        <v>0.51386430000000005</v>
      </c>
      <c r="F621" t="s">
        <v>41</v>
      </c>
      <c r="G621">
        <v>-295.81990000000002</v>
      </c>
      <c r="H621">
        <v>0.97070659999999998</v>
      </c>
      <c r="I621">
        <v>366.6952</v>
      </c>
      <c r="J621">
        <v>-296.6157</v>
      </c>
      <c r="K621">
        <v>1.0589059999999999</v>
      </c>
      <c r="L621">
        <v>366.78649999999999</v>
      </c>
      <c r="M621">
        <v>0.99987040000000005</v>
      </c>
      <c r="N621">
        <v>0</v>
      </c>
      <c r="O621">
        <v>-4.5616700000000003E-3</v>
      </c>
      <c r="P621">
        <v>0.99155870000000002</v>
      </c>
      <c r="Q621">
        <v>0.11517670000000001</v>
      </c>
      <c r="R621">
        <v>-5.9548839999999999E-2</v>
      </c>
      <c r="S621">
        <v>3.0390320000000002</v>
      </c>
      <c r="T621">
        <v>-0.25284220000000002</v>
      </c>
      <c r="U621">
        <v>-0.26397710000000002</v>
      </c>
      <c r="V621">
        <v>5.4871879999999998E-2</v>
      </c>
      <c r="W621">
        <v>0.1305433</v>
      </c>
      <c r="X621">
        <v>0.989923</v>
      </c>
      <c r="Y621">
        <v>8.1725800000000001E-2</v>
      </c>
      <c r="Z621">
        <v>-3.0093289999999998E-3</v>
      </c>
      <c r="AA621">
        <v>0.99665029999999999</v>
      </c>
      <c r="AB621">
        <v>53</v>
      </c>
      <c r="AC621">
        <v>0.79579999999998496</v>
      </c>
      <c r="AD621">
        <v>-8.8199399999999997E-2</v>
      </c>
      <c r="AE621">
        <v>-9.1299999999989695E-2</v>
      </c>
      <c r="AF621">
        <v>8.6618283862620798E-2</v>
      </c>
      <c r="AG621">
        <v>-8.8199399999999997E-2</v>
      </c>
      <c r="AH621">
        <v>0.78667068758765701</v>
      </c>
      <c r="AI621">
        <v>96.359019759531805</v>
      </c>
      <c r="AJ621">
        <v>83.716620158113898</v>
      </c>
      <c r="AK621">
        <v>0.79632445144507702</v>
      </c>
      <c r="AL621">
        <v>82.499011421338295</v>
      </c>
      <c r="AM621">
        <v>86.827315741891795</v>
      </c>
      <c r="AN621">
        <v>1.0000000111593099</v>
      </c>
    </row>
    <row r="622" spans="1:40" x14ac:dyDescent="0.25">
      <c r="A622" t="str">
        <f>"20190312164447796"</f>
        <v>20190312164447796</v>
      </c>
      <c r="B622" t="str">
        <f>"1552380287792376"</f>
        <v>1552380287792376</v>
      </c>
      <c r="C622" t="s">
        <v>40</v>
      </c>
      <c r="D622">
        <v>4.684164</v>
      </c>
      <c r="E622">
        <v>0.51368230000000004</v>
      </c>
      <c r="F622" t="s">
        <v>41</v>
      </c>
      <c r="G622">
        <v>-295.80959999999999</v>
      </c>
      <c r="H622">
        <v>0.99132070000000005</v>
      </c>
      <c r="I622">
        <v>366.71609999999998</v>
      </c>
      <c r="J622">
        <v>-296.36369999999999</v>
      </c>
      <c r="K622">
        <v>1.0589170000000001</v>
      </c>
      <c r="L622">
        <v>366.78550000000001</v>
      </c>
      <c r="M622">
        <v>0.99987170000000003</v>
      </c>
      <c r="N622">
        <v>0</v>
      </c>
      <c r="O622">
        <v>-4.3365399999999998E-3</v>
      </c>
      <c r="P622">
        <v>0.99153849999999999</v>
      </c>
      <c r="Q622">
        <v>0.1154005</v>
      </c>
      <c r="R622">
        <v>-5.9452730000000002E-2</v>
      </c>
      <c r="S622">
        <v>3.039307</v>
      </c>
      <c r="T622">
        <v>-0.2551582</v>
      </c>
      <c r="U622">
        <v>-0.2643433</v>
      </c>
      <c r="V622">
        <v>5.499312E-2</v>
      </c>
      <c r="W622">
        <v>0.1307527</v>
      </c>
      <c r="X622">
        <v>0.98988860000000001</v>
      </c>
      <c r="Y622">
        <v>8.2054879999999997E-2</v>
      </c>
      <c r="Z622">
        <v>-3.0691059999999998E-3</v>
      </c>
      <c r="AA622">
        <v>0.99662309999999998</v>
      </c>
      <c r="AB622">
        <v>53</v>
      </c>
      <c r="AC622">
        <v>0.55410000000000503</v>
      </c>
      <c r="AD622">
        <v>-6.7596299999999998E-2</v>
      </c>
      <c r="AE622">
        <v>-6.9400000000030104E-2</v>
      </c>
      <c r="AF622">
        <v>6.60287038804101E-2</v>
      </c>
      <c r="AG622">
        <v>-6.7596299999999998E-2</v>
      </c>
      <c r="AH622">
        <v>0.54638984217907705</v>
      </c>
      <c r="AI622">
        <v>97.002048433951998</v>
      </c>
      <c r="AJ622">
        <v>83.109480624036905</v>
      </c>
      <c r="AK622">
        <v>0.55450059436063204</v>
      </c>
      <c r="AL622">
        <v>82.486909696530105</v>
      </c>
      <c r="AM622">
        <v>86.820209759281894</v>
      </c>
      <c r="AN622">
        <v>0.99999997610729097</v>
      </c>
    </row>
    <row r="623" spans="1:40" x14ac:dyDescent="0.25">
      <c r="A623" t="str">
        <f>"20190312164447807"</f>
        <v>20190312164447807</v>
      </c>
      <c r="B623" t="str">
        <f>"1552380287802137"</f>
        <v>1552380287802137</v>
      </c>
      <c r="C623" t="s">
        <v>40</v>
      </c>
      <c r="D623">
        <v>4.7430890000000003</v>
      </c>
      <c r="E623">
        <v>0.51405190000000001</v>
      </c>
      <c r="F623" t="s">
        <v>41</v>
      </c>
      <c r="G623">
        <v>-295.34710000000001</v>
      </c>
      <c r="H623">
        <v>0.9745665</v>
      </c>
      <c r="I623">
        <v>366.69760000000002</v>
      </c>
      <c r="J623">
        <v>-296.07479999999998</v>
      </c>
      <c r="K623">
        <v>1.0589299999999999</v>
      </c>
      <c r="L623">
        <v>366.78429999999997</v>
      </c>
      <c r="M623">
        <v>0.99987300000000001</v>
      </c>
      <c r="N623">
        <v>0</v>
      </c>
      <c r="O623">
        <v>-4.0746419999999998E-3</v>
      </c>
      <c r="P623">
        <v>0.99152949999999995</v>
      </c>
      <c r="Q623">
        <v>0.1154718</v>
      </c>
      <c r="R623">
        <v>-5.946034E-2</v>
      </c>
      <c r="S623">
        <v>3.0391849999999998</v>
      </c>
      <c r="T623">
        <v>-0.25217440000000002</v>
      </c>
      <c r="U623">
        <v>-0.26281739999999998</v>
      </c>
      <c r="V623">
        <v>5.5254049999999999E-2</v>
      </c>
      <c r="W623">
        <v>0.13080890000000001</v>
      </c>
      <c r="X623">
        <v>0.98986669999999999</v>
      </c>
      <c r="Y623">
        <v>8.1828880000000007E-2</v>
      </c>
      <c r="Z623">
        <v>-3.0458360000000001E-3</v>
      </c>
      <c r="AA623">
        <v>0.99664180000000002</v>
      </c>
      <c r="AB623">
        <v>53</v>
      </c>
      <c r="AC623">
        <v>0.72769999999997004</v>
      </c>
      <c r="AD623">
        <v>-8.43634999999998E-2</v>
      </c>
      <c r="AE623">
        <v>-8.6699999999950705E-2</v>
      </c>
      <c r="AF623">
        <v>8.2638679399762396E-2</v>
      </c>
      <c r="AG623">
        <v>-8.43634999999998E-2</v>
      </c>
      <c r="AH623">
        <v>0.71852533897728399</v>
      </c>
      <c r="AI623">
        <v>96.653091872121706</v>
      </c>
      <c r="AJ623">
        <v>83.439153112057994</v>
      </c>
      <c r="AK623">
        <v>0.72816551292793796</v>
      </c>
      <c r="AL623">
        <v>82.483662193739207</v>
      </c>
      <c r="AM623">
        <v>86.805083012559606</v>
      </c>
      <c r="AN623">
        <v>1.0000000310647501</v>
      </c>
    </row>
    <row r="624" spans="1:40" x14ac:dyDescent="0.25">
      <c r="A624" t="str">
        <f>"20190312164447819"</f>
        <v>20190312164447819</v>
      </c>
      <c r="B624" t="str">
        <f>"1552380287811896"</f>
        <v>1552380287811896</v>
      </c>
      <c r="C624" t="s">
        <v>40</v>
      </c>
      <c r="D624">
        <v>4.8829200000000004</v>
      </c>
      <c r="E624">
        <v>0.51390159999999996</v>
      </c>
      <c r="F624" t="s">
        <v>41</v>
      </c>
      <c r="G624">
        <v>-295.33429999999998</v>
      </c>
      <c r="H624">
        <v>0.99701490000000004</v>
      </c>
      <c r="I624">
        <v>366.71949999999998</v>
      </c>
      <c r="J624">
        <v>-295.82010000000002</v>
      </c>
      <c r="K624">
        <v>1.0589409999999999</v>
      </c>
      <c r="L624">
        <v>366.78339999999997</v>
      </c>
      <c r="M624">
        <v>0.99987420000000005</v>
      </c>
      <c r="N624">
        <v>0</v>
      </c>
      <c r="O624">
        <v>-3.8352339999999999E-3</v>
      </c>
      <c r="P624">
        <v>0.99152240000000003</v>
      </c>
      <c r="Q624">
        <v>0.1155108</v>
      </c>
      <c r="R624">
        <v>-5.9504229999999998E-2</v>
      </c>
      <c r="S624">
        <v>3.0392760000000001</v>
      </c>
      <c r="T624">
        <v>-0.25407350000000001</v>
      </c>
      <c r="U624">
        <v>-0.26580809999999999</v>
      </c>
      <c r="V624">
        <v>5.5529769999999999E-2</v>
      </c>
      <c r="W624">
        <v>0.13083639999999999</v>
      </c>
      <c r="X624">
        <v>0.98984760000000005</v>
      </c>
      <c r="Y624">
        <v>8.3029279999999997E-2</v>
      </c>
      <c r="Z624">
        <v>-3.1384080000000001E-3</v>
      </c>
      <c r="AA624">
        <v>0.99654219999999905</v>
      </c>
      <c r="AB624">
        <v>53</v>
      </c>
      <c r="AC624">
        <v>0.48580000000003998</v>
      </c>
      <c r="AD624">
        <v>-6.1926099999999901E-2</v>
      </c>
      <c r="AE624">
        <v>-6.3899999999989604E-2</v>
      </c>
      <c r="AF624">
        <v>6.1060836317848602E-2</v>
      </c>
      <c r="AG624">
        <v>-6.1926099999999901E-2</v>
      </c>
      <c r="AH624">
        <v>0.47840010851866999</v>
      </c>
      <c r="AI624">
        <v>97.316884613378406</v>
      </c>
      <c r="AJ624">
        <v>82.726352379009398</v>
      </c>
      <c r="AK624">
        <v>0.48624061062782498</v>
      </c>
      <c r="AL624">
        <v>82.482072628989698</v>
      </c>
      <c r="AM624">
        <v>86.789111692746602</v>
      </c>
      <c r="AN624">
        <v>0.99999999507348603</v>
      </c>
    </row>
    <row r="625" spans="1:40" x14ac:dyDescent="0.25">
      <c r="A625" t="str">
        <f>"20190312164447830"</f>
        <v>20190312164447830</v>
      </c>
      <c r="B625" t="str">
        <f>"1552380287822632"</f>
        <v>1552380287822632</v>
      </c>
      <c r="C625" t="s">
        <v>40</v>
      </c>
      <c r="D625">
        <v>4.714785</v>
      </c>
      <c r="E625">
        <v>0.51398869999999997</v>
      </c>
      <c r="F625" t="s">
        <v>41</v>
      </c>
      <c r="G625">
        <v>-294.87389999999999</v>
      </c>
      <c r="H625">
        <v>0.97987679999999999</v>
      </c>
      <c r="I625">
        <v>366.70080000000002</v>
      </c>
      <c r="J625">
        <v>-295.56180000000001</v>
      </c>
      <c r="K625">
        <v>1.058953</v>
      </c>
      <c r="L625">
        <v>366.78250000000003</v>
      </c>
      <c r="M625">
        <v>0.99987519999999996</v>
      </c>
      <c r="N625">
        <v>0</v>
      </c>
      <c r="O625">
        <v>-3.5909380000000001E-3</v>
      </c>
      <c r="P625">
        <v>0.99152750000000001</v>
      </c>
      <c r="Q625">
        <v>0.1154575</v>
      </c>
      <c r="R625">
        <v>-5.9522520000000002E-2</v>
      </c>
      <c r="S625">
        <v>3.0393680000000001</v>
      </c>
      <c r="T625">
        <v>-0.25419190000000003</v>
      </c>
      <c r="U625">
        <v>-0.26455689999999998</v>
      </c>
      <c r="V625">
        <v>5.5784529999999999E-2</v>
      </c>
      <c r="W625">
        <v>0.1307711</v>
      </c>
      <c r="X625">
        <v>0.98984190000000005</v>
      </c>
      <c r="Y625">
        <v>8.2862480000000002E-2</v>
      </c>
      <c r="Z625">
        <v>-3.1532349999999999E-3</v>
      </c>
      <c r="AA625">
        <v>0.996556</v>
      </c>
      <c r="AB625">
        <v>53</v>
      </c>
      <c r="AC625">
        <v>0.68790000000001295</v>
      </c>
      <c r="AD625">
        <v>-7.9076199999999999E-2</v>
      </c>
      <c r="AE625">
        <v>-8.1700000000012096E-2</v>
      </c>
      <c r="AF625">
        <v>7.8209868590993506E-2</v>
      </c>
      <c r="AG625">
        <v>-7.9076199999999999E-2</v>
      </c>
      <c r="AH625">
        <v>0.67933694581622195</v>
      </c>
      <c r="AI625">
        <v>96.596283173958497</v>
      </c>
      <c r="AJ625">
        <v>83.432635098030204</v>
      </c>
      <c r="AK625">
        <v>0.68838108261512598</v>
      </c>
      <c r="AL625">
        <v>82.4858464340344</v>
      </c>
      <c r="AM625">
        <v>86.774393248590101</v>
      </c>
      <c r="AN625">
        <v>0.99999999068906997</v>
      </c>
    </row>
    <row r="626" spans="1:40" x14ac:dyDescent="0.25">
      <c r="A626" t="str">
        <f>"20190312164447841"</f>
        <v>20190312164447841</v>
      </c>
      <c r="B626" t="str">
        <f>"1552380287832393"</f>
        <v>1552380287832393</v>
      </c>
      <c r="C626" t="s">
        <v>40</v>
      </c>
      <c r="D626">
        <v>4.730963</v>
      </c>
      <c r="E626">
        <v>0.51386489999999996</v>
      </c>
      <c r="F626" t="s">
        <v>41</v>
      </c>
      <c r="G626">
        <v>-294.41219999999998</v>
      </c>
      <c r="H626">
        <v>0.96278370000000002</v>
      </c>
      <c r="I626">
        <v>366.68200000000002</v>
      </c>
      <c r="J626">
        <v>-295.29969999999997</v>
      </c>
      <c r="K626">
        <v>1.058969</v>
      </c>
      <c r="L626">
        <v>366.7817</v>
      </c>
      <c r="M626">
        <v>0.99987630000000005</v>
      </c>
      <c r="N626">
        <v>0</v>
      </c>
      <c r="O626">
        <v>-3.3345010000000001E-3</v>
      </c>
      <c r="P626">
        <v>0.99150649999999996</v>
      </c>
      <c r="Q626">
        <v>0.115526</v>
      </c>
      <c r="R626">
        <v>-5.9737209999999999E-2</v>
      </c>
      <c r="S626">
        <v>3.039307</v>
      </c>
      <c r="T626">
        <v>-0.254305</v>
      </c>
      <c r="U626">
        <v>-0.26535029999999998</v>
      </c>
      <c r="V626">
        <v>5.6248060000000003E-2</v>
      </c>
      <c r="W626">
        <v>0.13082930000000001</v>
      </c>
      <c r="X626">
        <v>0.98980800000000002</v>
      </c>
      <c r="Y626">
        <v>8.3375069999999996E-2</v>
      </c>
      <c r="Z626">
        <v>-3.1974070000000002E-3</v>
      </c>
      <c r="AA626">
        <v>0.99651310000000004</v>
      </c>
      <c r="AB626">
        <v>53</v>
      </c>
      <c r="AC626">
        <v>0.88749999999998797</v>
      </c>
      <c r="AD626">
        <v>-9.6185300000000098E-2</v>
      </c>
      <c r="AE626">
        <v>-9.97000000000412E-2</v>
      </c>
      <c r="AF626">
        <v>9.5630473421972104E-2</v>
      </c>
      <c r="AG626">
        <v>-9.6185300000000098E-2</v>
      </c>
      <c r="AH626">
        <v>0.87764740034904998</v>
      </c>
      <c r="AI626">
        <v>96.217828261487</v>
      </c>
      <c r="AJ626">
        <v>83.781453512906893</v>
      </c>
      <c r="AK626">
        <v>0.88806630311168</v>
      </c>
      <c r="AL626">
        <v>82.4824830947951</v>
      </c>
      <c r="AM626">
        <v>86.747536888024399</v>
      </c>
      <c r="AN626">
        <v>1.0000000134281199</v>
      </c>
    </row>
    <row r="627" spans="1:40" x14ac:dyDescent="0.25">
      <c r="A627" t="str">
        <f>"20190312164447852"</f>
        <v>20190312164447852</v>
      </c>
      <c r="B627" t="str">
        <f>"1552380287842152"</f>
        <v>1552380287842152</v>
      </c>
      <c r="C627" t="s">
        <v>40</v>
      </c>
      <c r="D627">
        <v>4.7274029999999998</v>
      </c>
      <c r="E627">
        <v>0.51380619999999999</v>
      </c>
      <c r="F627" t="s">
        <v>41</v>
      </c>
      <c r="G627">
        <v>-294.40179999999998</v>
      </c>
      <c r="H627">
        <v>0.98377440000000005</v>
      </c>
      <c r="I627">
        <v>366.70339999999999</v>
      </c>
      <c r="J627">
        <v>-295.04500000000002</v>
      </c>
      <c r="K627">
        <v>1.058981</v>
      </c>
      <c r="L627">
        <v>366.78100000000001</v>
      </c>
      <c r="M627">
        <v>0.99987749999999997</v>
      </c>
      <c r="N627">
        <v>0</v>
      </c>
      <c r="O627">
        <v>-3.0828510000000002E-3</v>
      </c>
      <c r="P627">
        <v>0.99150479999999996</v>
      </c>
      <c r="Q627">
        <v>0.1155349</v>
      </c>
      <c r="R627">
        <v>-5.9753569999999999E-2</v>
      </c>
      <c r="S627">
        <v>3.0394290000000002</v>
      </c>
      <c r="T627">
        <v>-0.2546158</v>
      </c>
      <c r="U627">
        <v>-0.26489259999999998</v>
      </c>
      <c r="V627">
        <v>5.6508269999999999E-2</v>
      </c>
      <c r="W627">
        <v>0.13082830000000001</v>
      </c>
      <c r="X627">
        <v>0.98979329999999999</v>
      </c>
      <c r="Y627">
        <v>8.3471569999999995E-2</v>
      </c>
      <c r="Z627">
        <v>-3.2262279999999998E-3</v>
      </c>
      <c r="AA627">
        <v>0.99650499999999997</v>
      </c>
      <c r="AB627">
        <v>53</v>
      </c>
      <c r="AC627">
        <v>0.64320000000003497</v>
      </c>
      <c r="AD627">
        <v>-7.5206599999999901E-2</v>
      </c>
      <c r="AE627">
        <v>-7.7600000000018099E-2</v>
      </c>
      <c r="AF627">
        <v>7.4611088296651404E-2</v>
      </c>
      <c r="AG627">
        <v>-7.5206599999999901E-2</v>
      </c>
      <c r="AH627">
        <v>0.63488088101506601</v>
      </c>
      <c r="AI627">
        <v>96.709900373524704</v>
      </c>
      <c r="AJ627">
        <v>83.297353892356497</v>
      </c>
      <c r="AK627">
        <v>0.643658745189435</v>
      </c>
      <c r="AL627">
        <v>82.482540806127801</v>
      </c>
      <c r="AM627">
        <v>86.7324747237205</v>
      </c>
      <c r="AN627">
        <v>1.0000000026920799</v>
      </c>
    </row>
    <row r="628" spans="1:40" x14ac:dyDescent="0.25">
      <c r="A628" t="str">
        <f>"20190312164447863"</f>
        <v>20190312164447863</v>
      </c>
      <c r="B628" t="str">
        <f>"1552380287851913"</f>
        <v>1552380287851913</v>
      </c>
      <c r="C628" t="s">
        <v>40</v>
      </c>
      <c r="D628">
        <v>4.7165980000000003</v>
      </c>
      <c r="E628">
        <v>0.51398949999999999</v>
      </c>
      <c r="F628" t="s">
        <v>41</v>
      </c>
      <c r="G628">
        <v>-293.94069999999999</v>
      </c>
      <c r="H628">
        <v>0.9662288</v>
      </c>
      <c r="I628">
        <v>366.68450000000001</v>
      </c>
      <c r="J628">
        <v>-294.76889999999997</v>
      </c>
      <c r="K628">
        <v>1.0589949999999999</v>
      </c>
      <c r="L628">
        <v>366.78019999999998</v>
      </c>
      <c r="M628">
        <v>0.99987839999999995</v>
      </c>
      <c r="N628">
        <v>0</v>
      </c>
      <c r="O628">
        <v>-2.8036519999999998E-3</v>
      </c>
      <c r="P628">
        <v>0.99151650000000002</v>
      </c>
      <c r="Q628">
        <v>0.1155455</v>
      </c>
      <c r="R628">
        <v>-5.9535379999999999E-2</v>
      </c>
      <c r="S628">
        <v>3.0395509999999999</v>
      </c>
      <c r="T628">
        <v>-0.25546679999999999</v>
      </c>
      <c r="U628">
        <v>-0.26470949999999999</v>
      </c>
      <c r="V628">
        <v>5.6561609999999998E-2</v>
      </c>
      <c r="W628">
        <v>0.13082930000000001</v>
      </c>
      <c r="X628">
        <v>0.98979010000000001</v>
      </c>
      <c r="Y628">
        <v>8.3683209999999994E-2</v>
      </c>
      <c r="Z628">
        <v>-3.269096E-3</v>
      </c>
      <c r="AA628">
        <v>0.99648700000000001</v>
      </c>
      <c r="AB628">
        <v>53</v>
      </c>
      <c r="AC628">
        <v>0.82819999999998095</v>
      </c>
      <c r="AD628">
        <v>-9.2766200000000104E-2</v>
      </c>
      <c r="AE628">
        <v>-9.5699999999965202E-2</v>
      </c>
      <c r="AF628">
        <v>9.2235417811022902E-2</v>
      </c>
      <c r="AG628">
        <v>-9.2766200000000104E-2</v>
      </c>
      <c r="AH628">
        <v>0.81833346348292202</v>
      </c>
      <c r="AI628">
        <v>96.427083246261205</v>
      </c>
      <c r="AJ628">
        <v>83.569259000671494</v>
      </c>
      <c r="AK628">
        <v>0.82872347475932395</v>
      </c>
      <c r="AL628">
        <v>82.482482855362505</v>
      </c>
      <c r="AM628">
        <v>86.729386541609799</v>
      </c>
      <c r="AN628">
        <v>0.99999998176114502</v>
      </c>
    </row>
    <row r="629" spans="1:40" x14ac:dyDescent="0.25">
      <c r="A629" t="str">
        <f>"20190312164447874"</f>
        <v>20190312164447874</v>
      </c>
      <c r="B629" t="str">
        <f>"1552380287862648"</f>
        <v>1552380287862648</v>
      </c>
      <c r="C629" t="s">
        <v>40</v>
      </c>
      <c r="D629">
        <v>4.7052659999999999</v>
      </c>
      <c r="E629">
        <v>0.51412639999999998</v>
      </c>
      <c r="F629" t="s">
        <v>41</v>
      </c>
      <c r="G629">
        <v>-293.92970000000003</v>
      </c>
      <c r="H629">
        <v>0.98850459999999996</v>
      </c>
      <c r="I629">
        <v>366.70650000000001</v>
      </c>
      <c r="J629">
        <v>-294.52069999999998</v>
      </c>
      <c r="K629">
        <v>1.059013</v>
      </c>
      <c r="L629">
        <v>366.77969999999999</v>
      </c>
      <c r="M629">
        <v>0.99987919999999997</v>
      </c>
      <c r="N629">
        <v>0</v>
      </c>
      <c r="O629">
        <v>-2.548224E-3</v>
      </c>
      <c r="P629">
        <v>0.99149600000000004</v>
      </c>
      <c r="Q629">
        <v>0.11579399999999999</v>
      </c>
      <c r="R629">
        <v>-5.9395009999999998E-2</v>
      </c>
      <c r="S629">
        <v>3.0394589999999999</v>
      </c>
      <c r="T629">
        <v>-0.2554574</v>
      </c>
      <c r="U629">
        <v>-0.26608280000000001</v>
      </c>
      <c r="V629">
        <v>5.666935E-2</v>
      </c>
      <c r="W629">
        <v>0.13106899999999999</v>
      </c>
      <c r="X629">
        <v>0.98975219999999997</v>
      </c>
      <c r="Y629">
        <v>8.4383849999999996E-2</v>
      </c>
      <c r="Z629">
        <v>-3.3197370000000001E-3</v>
      </c>
      <c r="AA629">
        <v>0.99642779999999997</v>
      </c>
      <c r="AB629">
        <v>53</v>
      </c>
      <c r="AC629">
        <v>0.59099999999995101</v>
      </c>
      <c r="AD629">
        <v>-7.0508399999999902E-2</v>
      </c>
      <c r="AE629">
        <v>-7.3199999999985693E-2</v>
      </c>
      <c r="AF629">
        <v>7.0702457538054E-2</v>
      </c>
      <c r="AG629">
        <v>-7.0508399999999902E-2</v>
      </c>
      <c r="AH629">
        <v>0.58301180612764603</v>
      </c>
      <c r="AI629">
        <v>96.846082918123798</v>
      </c>
      <c r="AJ629">
        <v>83.0854450690194</v>
      </c>
      <c r="AK629">
        <v>0.59150066615068198</v>
      </c>
      <c r="AL629">
        <v>82.468629586707394</v>
      </c>
      <c r="AM629">
        <v>86.723044952383404</v>
      </c>
      <c r="AN629">
        <v>0.99999995769762995</v>
      </c>
    </row>
    <row r="630" spans="1:40" x14ac:dyDescent="0.25">
      <c r="A630" t="str">
        <f>"20190312164447885"</f>
        <v>20190312164447885</v>
      </c>
      <c r="B630" t="str">
        <f>"1552380287882169"</f>
        <v>1552380287882169</v>
      </c>
      <c r="C630" t="s">
        <v>40</v>
      </c>
      <c r="D630">
        <v>4.7733230000000004</v>
      </c>
      <c r="E630">
        <v>0.51414329999999997</v>
      </c>
      <c r="F630" t="s">
        <v>41</v>
      </c>
      <c r="G630">
        <v>-293.46879999999999</v>
      </c>
      <c r="H630">
        <v>0.97115549999999995</v>
      </c>
      <c r="I630">
        <v>366.68740000000003</v>
      </c>
      <c r="J630">
        <v>-294.26929999999999</v>
      </c>
      <c r="K630">
        <v>1.059026</v>
      </c>
      <c r="L630">
        <v>366.77910000000003</v>
      </c>
      <c r="M630">
        <v>0.99988010000000005</v>
      </c>
      <c r="N630">
        <v>0</v>
      </c>
      <c r="O630">
        <v>-2.2860070000000001E-3</v>
      </c>
      <c r="P630">
        <v>0.99149849999999995</v>
      </c>
      <c r="Q630">
        <v>0.1158459</v>
      </c>
      <c r="R630">
        <v>-5.9254000000000001E-2</v>
      </c>
      <c r="S630">
        <v>3.0393979999999998</v>
      </c>
      <c r="T630">
        <v>-0.25383679999999997</v>
      </c>
      <c r="U630">
        <v>-0.26699830000000002</v>
      </c>
      <c r="V630">
        <v>5.6783409999999999E-2</v>
      </c>
      <c r="W630">
        <v>0.13111289999999901</v>
      </c>
      <c r="X630">
        <v>0.98973990000000001</v>
      </c>
      <c r="Y630">
        <v>8.4945480000000004E-2</v>
      </c>
      <c r="Z630">
        <v>-3.3439590000000001E-3</v>
      </c>
      <c r="AA630">
        <v>0.99638000000000004</v>
      </c>
      <c r="AB630">
        <v>53</v>
      </c>
      <c r="AC630">
        <v>0.80049999999999899</v>
      </c>
      <c r="AD630">
        <v>-8.7870499999999893E-2</v>
      </c>
      <c r="AE630">
        <v>-9.1700000000003001E-2</v>
      </c>
      <c r="AF630">
        <v>8.8813315630546494E-2</v>
      </c>
      <c r="AG630">
        <v>-8.7870499999999893E-2</v>
      </c>
      <c r="AH630">
        <v>0.79129645064668097</v>
      </c>
      <c r="AI630">
        <v>96.297300771668304</v>
      </c>
      <c r="AJ630">
        <v>83.596052982758096</v>
      </c>
      <c r="AK630">
        <v>0.80109868468845702</v>
      </c>
      <c r="AL630">
        <v>82.466092795074999</v>
      </c>
      <c r="AM630">
        <v>86.716423032853001</v>
      </c>
      <c r="AN630">
        <v>1.00000000892482</v>
      </c>
    </row>
    <row r="631" spans="1:40" x14ac:dyDescent="0.25">
      <c r="A631" t="str">
        <f>"20190312164447897"</f>
        <v>20190312164447897</v>
      </c>
      <c r="B631" t="str">
        <f>"1552380287891929"</f>
        <v>1552380287891929</v>
      </c>
      <c r="C631" t="s">
        <v>40</v>
      </c>
      <c r="D631">
        <v>4.7605490000000001</v>
      </c>
      <c r="E631">
        <v>0.51420869999999996</v>
      </c>
      <c r="F631" t="s">
        <v>41</v>
      </c>
      <c r="G631">
        <v>-293.459</v>
      </c>
      <c r="H631">
        <v>0.9910582</v>
      </c>
      <c r="I631">
        <v>366.70819999999998</v>
      </c>
      <c r="J631">
        <v>-293.97050000000002</v>
      </c>
      <c r="K631">
        <v>1.059042</v>
      </c>
      <c r="L631">
        <v>366.77870000000001</v>
      </c>
      <c r="M631">
        <v>0.99988100000000002</v>
      </c>
      <c r="N631">
        <v>0</v>
      </c>
      <c r="O631">
        <v>-1.967122E-3</v>
      </c>
      <c r="P631">
        <v>0.99152609999999997</v>
      </c>
      <c r="Q631">
        <v>0.1157743</v>
      </c>
      <c r="R631">
        <v>-5.8927840000000002E-2</v>
      </c>
      <c r="S631">
        <v>3.0396420000000002</v>
      </c>
      <c r="T631">
        <v>-0.2548916</v>
      </c>
      <c r="U631">
        <v>-0.26623540000000001</v>
      </c>
      <c r="V631">
        <v>5.6767940000000003E-2</v>
      </c>
      <c r="W631">
        <v>0.13103299999999901</v>
      </c>
      <c r="X631">
        <v>0.9897513</v>
      </c>
      <c r="Y631">
        <v>8.5004460000000004E-2</v>
      </c>
      <c r="Z631">
        <v>-3.386685E-3</v>
      </c>
      <c r="AA631">
        <v>0.9963748</v>
      </c>
      <c r="AB631">
        <v>53</v>
      </c>
      <c r="AC631">
        <v>0.51150000000001195</v>
      </c>
      <c r="AD631">
        <v>-6.7983799999999997E-2</v>
      </c>
      <c r="AE631">
        <v>-7.0500000000038199E-2</v>
      </c>
      <c r="AF631">
        <v>6.8309357948632202E-2</v>
      </c>
      <c r="AG631">
        <v>-6.7983799999999997E-2</v>
      </c>
      <c r="AH631">
        <v>0.50291914717007202</v>
      </c>
      <c r="AI631">
        <v>97.629268720204806</v>
      </c>
      <c r="AJ631">
        <v>82.265093552093006</v>
      </c>
      <c r="AK631">
        <v>0.51206995033497804</v>
      </c>
      <c r="AL631">
        <v>82.470710052028394</v>
      </c>
      <c r="AM631">
        <v>86.7173533771617</v>
      </c>
      <c r="AN631">
        <v>0.99999994097626499</v>
      </c>
    </row>
    <row r="632" spans="1:40" x14ac:dyDescent="0.25">
      <c r="A632" t="str">
        <f>"20190312164447910"</f>
        <v>20190312164447910</v>
      </c>
      <c r="B632" t="str">
        <f>"1552380287902666"</f>
        <v>1552380287902666</v>
      </c>
      <c r="C632" t="s">
        <v>40</v>
      </c>
      <c r="D632">
        <v>4.800605</v>
      </c>
      <c r="E632">
        <v>0.5142253</v>
      </c>
      <c r="F632" t="s">
        <v>41</v>
      </c>
      <c r="G632">
        <v>-292.99650000000003</v>
      </c>
      <c r="H632">
        <v>0.97760309999999995</v>
      </c>
      <c r="I632">
        <v>366.69349999999997</v>
      </c>
      <c r="J632">
        <v>-293.69310000000002</v>
      </c>
      <c r="K632">
        <v>1.059051</v>
      </c>
      <c r="L632">
        <v>366.77820000000003</v>
      </c>
      <c r="M632">
        <v>0.99988169999999998</v>
      </c>
      <c r="N632">
        <v>0</v>
      </c>
      <c r="O632">
        <v>-1.667939E-3</v>
      </c>
      <c r="P632">
        <v>0.99159439999999999</v>
      </c>
      <c r="Q632">
        <v>0.11530360000000001</v>
      </c>
      <c r="R632">
        <v>-5.870355E-2</v>
      </c>
      <c r="S632">
        <v>3.0395509999999999</v>
      </c>
      <c r="T632">
        <v>-0.25433889999999998</v>
      </c>
      <c r="U632">
        <v>-0.26495360000000001</v>
      </c>
      <c r="V632">
        <v>5.6835709999999998E-2</v>
      </c>
      <c r="W632">
        <v>0.13055510000000001</v>
      </c>
      <c r="X632">
        <v>0.98981059999999998</v>
      </c>
      <c r="Y632">
        <v>8.4888790000000006E-2</v>
      </c>
      <c r="Z632">
        <v>-3.399652E-3</v>
      </c>
      <c r="AA632">
        <v>0.99638459999999995</v>
      </c>
      <c r="AB632">
        <v>53</v>
      </c>
      <c r="AC632">
        <v>0.69659999999998901</v>
      </c>
      <c r="AD632">
        <v>-8.1447900000000004E-2</v>
      </c>
      <c r="AE632">
        <v>-8.4700000000054801E-2</v>
      </c>
      <c r="AF632">
        <v>8.2427430782007496E-2</v>
      </c>
      <c r="AG632">
        <v>-8.1447900000000004E-2</v>
      </c>
      <c r="AH632">
        <v>0.68747888258893997</v>
      </c>
      <c r="AI632">
        <v>96.708919331533593</v>
      </c>
      <c r="AJ632">
        <v>83.162980658054394</v>
      </c>
      <c r="AK632">
        <v>0.69717663168344202</v>
      </c>
      <c r="AL632">
        <v>82.498329244699207</v>
      </c>
      <c r="AM632">
        <v>86.713639581492203</v>
      </c>
      <c r="AN632">
        <v>0.99999997796978601</v>
      </c>
    </row>
    <row r="633" spans="1:40" x14ac:dyDescent="0.25">
      <c r="A633" t="str">
        <f>"20190312164447922"</f>
        <v>20190312164447922</v>
      </c>
      <c r="B633" t="str">
        <f>"1552380287912425"</f>
        <v>1552380287912425</v>
      </c>
      <c r="C633" t="s">
        <v>40</v>
      </c>
      <c r="D633">
        <v>4.7922330000000004</v>
      </c>
      <c r="E633">
        <v>0.51417020000000002</v>
      </c>
      <c r="F633" t="s">
        <v>41</v>
      </c>
      <c r="G633">
        <v>-292.53530000000001</v>
      </c>
      <c r="H633">
        <v>0.96194959999999996</v>
      </c>
      <c r="I633">
        <v>366.67739999999998</v>
      </c>
      <c r="J633">
        <v>-293.39449999999999</v>
      </c>
      <c r="K633">
        <v>1.0590660000000001</v>
      </c>
      <c r="L633">
        <v>366.77789999999999</v>
      </c>
      <c r="M633">
        <v>0.99988239999999995</v>
      </c>
      <c r="N633">
        <v>0</v>
      </c>
      <c r="O633">
        <v>-1.3375189999999999E-3</v>
      </c>
      <c r="P633">
        <v>0.9916102</v>
      </c>
      <c r="Q633">
        <v>0.1151937</v>
      </c>
      <c r="R633">
        <v>-5.8652349999999999E-2</v>
      </c>
      <c r="S633">
        <v>3.0394589999999999</v>
      </c>
      <c r="T633">
        <v>-0.25496010000000002</v>
      </c>
      <c r="U633">
        <v>-0.26428220000000002</v>
      </c>
      <c r="V633">
        <v>5.7106990000000003E-2</v>
      </c>
      <c r="W633">
        <v>0.13043879999999999</v>
      </c>
      <c r="X633">
        <v>0.98981030000000003</v>
      </c>
      <c r="Y633">
        <v>8.4999240000000004E-2</v>
      </c>
      <c r="Z633">
        <v>-3.4402959999999998E-3</v>
      </c>
      <c r="AA633">
        <v>0.99637509999999996</v>
      </c>
      <c r="AB633">
        <v>52</v>
      </c>
      <c r="AC633">
        <v>0.85919999999998697</v>
      </c>
      <c r="AD633">
        <v>-9.7116400000000103E-2</v>
      </c>
      <c r="AE633">
        <v>-0.10050000000001</v>
      </c>
      <c r="AF633">
        <v>9.8113989160315496E-2</v>
      </c>
      <c r="AG633">
        <v>-9.7116400000000103E-2</v>
      </c>
      <c r="AH633">
        <v>0.84863776807995395</v>
      </c>
      <c r="AI633">
        <v>96.485584723724202</v>
      </c>
      <c r="AJ633">
        <v>83.405113425131404</v>
      </c>
      <c r="AK633">
        <v>0.85979300498994304</v>
      </c>
      <c r="AL633">
        <v>82.505050077153697</v>
      </c>
      <c r="AM633">
        <v>86.697987229124394</v>
      </c>
      <c r="AN633">
        <v>0.99999995941919395</v>
      </c>
    </row>
    <row r="634" spans="1:40" x14ac:dyDescent="0.25">
      <c r="A634" t="str">
        <f>"20190312164447935"</f>
        <v>20190312164447935</v>
      </c>
      <c r="B634" t="str">
        <f>"1552380287931944"</f>
        <v>1552380287931944</v>
      </c>
      <c r="C634" t="s">
        <v>40</v>
      </c>
      <c r="D634">
        <v>4.8095840000000001</v>
      </c>
      <c r="E634">
        <v>0.51419059999999905</v>
      </c>
      <c r="F634" t="s">
        <v>41</v>
      </c>
      <c r="G634">
        <v>-292.52339999999998</v>
      </c>
      <c r="H634">
        <v>0.98620200000000002</v>
      </c>
      <c r="I634">
        <v>366.7022</v>
      </c>
      <c r="J634">
        <v>-293.08350000000002</v>
      </c>
      <c r="K634">
        <v>1.0590790000000001</v>
      </c>
      <c r="L634">
        <v>366.77760000000001</v>
      </c>
      <c r="M634">
        <v>0.99988279999999996</v>
      </c>
      <c r="N634">
        <v>0</v>
      </c>
      <c r="O634">
        <v>-9.8898090000000007E-4</v>
      </c>
      <c r="P634">
        <v>0.99163290000000004</v>
      </c>
      <c r="Q634">
        <v>0.1151404</v>
      </c>
      <c r="R634">
        <v>-5.8371369999999999E-2</v>
      </c>
      <c r="S634">
        <v>3.039307</v>
      </c>
      <c r="T634">
        <v>-0.25436120000000001</v>
      </c>
      <c r="U634">
        <v>-0.26367190000000001</v>
      </c>
      <c r="V634">
        <v>5.716632E-2</v>
      </c>
      <c r="W634">
        <v>0.1303783</v>
      </c>
      <c r="X634">
        <v>0.98981490000000005</v>
      </c>
      <c r="Y634">
        <v>8.5151859999999996E-2</v>
      </c>
      <c r="Z634">
        <v>-3.4678729999999998E-3</v>
      </c>
      <c r="AA634">
        <v>0.99636199999999997</v>
      </c>
      <c r="AB634">
        <v>52</v>
      </c>
      <c r="AC634">
        <v>0.56010000000003302</v>
      </c>
      <c r="AD634">
        <v>-7.2876999999999997E-2</v>
      </c>
      <c r="AE634">
        <v>-7.5400000000001896E-2</v>
      </c>
      <c r="AF634">
        <v>7.3621759749832802E-2</v>
      </c>
      <c r="AG634">
        <v>-7.2876999999999997E-2</v>
      </c>
      <c r="AH634">
        <v>0.55101186979589001</v>
      </c>
      <c r="AI634">
        <v>97.468617627058805</v>
      </c>
      <c r="AJ634">
        <v>82.3896735722914</v>
      </c>
      <c r="AK634">
        <v>0.56066505267728695</v>
      </c>
      <c r="AL634">
        <v>82.508546730625298</v>
      </c>
      <c r="AM634">
        <v>86.694579608700295</v>
      </c>
      <c r="AN634">
        <v>1.0000000127576201</v>
      </c>
    </row>
    <row r="635" spans="1:40" x14ac:dyDescent="0.25">
      <c r="A635" t="str">
        <f>"20190312164447948"</f>
        <v>20190312164447948</v>
      </c>
      <c r="B635" t="str">
        <f>"1552380287942680"</f>
        <v>1552380287942680</v>
      </c>
      <c r="C635" t="s">
        <v>40</v>
      </c>
      <c r="D635">
        <v>4.8224960000000001</v>
      </c>
      <c r="E635">
        <v>0.51426369999999999</v>
      </c>
      <c r="F635" t="s">
        <v>41</v>
      </c>
      <c r="G635">
        <v>-292.0609</v>
      </c>
      <c r="H635">
        <v>0.97415839999999998</v>
      </c>
      <c r="I635">
        <v>366.68869999999998</v>
      </c>
      <c r="J635">
        <v>-292.78359999999998</v>
      </c>
      <c r="K635">
        <v>1.0590930000000001</v>
      </c>
      <c r="L635">
        <v>366.77749999999997</v>
      </c>
      <c r="M635">
        <v>0.99988339999999998</v>
      </c>
      <c r="N635">
        <v>0</v>
      </c>
      <c r="O635">
        <v>-6.4952830000000001E-4</v>
      </c>
      <c r="P635">
        <v>0.99169490000000005</v>
      </c>
      <c r="Q635">
        <v>0.11473709999999999</v>
      </c>
      <c r="R635">
        <v>-5.8114689999999997E-2</v>
      </c>
      <c r="S635">
        <v>3.0391849999999998</v>
      </c>
      <c r="T635">
        <v>-0.25277359999999999</v>
      </c>
      <c r="U635">
        <v>-0.26315309999999997</v>
      </c>
      <c r="V635">
        <v>5.7241739999999999E-2</v>
      </c>
      <c r="W635">
        <v>0.12996930000000001</v>
      </c>
      <c r="X635">
        <v>0.98986430000000003</v>
      </c>
      <c r="Y635">
        <v>8.5326570000000004E-2</v>
      </c>
      <c r="Z635">
        <v>-3.4818409999999998E-3</v>
      </c>
      <c r="AA635">
        <v>0.99634699999999998</v>
      </c>
      <c r="AB635">
        <v>52</v>
      </c>
      <c r="AC635">
        <v>0.72269999999997403</v>
      </c>
      <c r="AD635">
        <v>-8.4934599999999902E-2</v>
      </c>
      <c r="AE635">
        <v>-8.8799999999991996E-2</v>
      </c>
      <c r="AF635">
        <v>8.7144780001292194E-2</v>
      </c>
      <c r="AG635">
        <v>-8.4934599999999902E-2</v>
      </c>
      <c r="AH635">
        <v>0.71305536844589801</v>
      </c>
      <c r="AI635">
        <v>96.742999562649004</v>
      </c>
      <c r="AJ635">
        <v>83.032252455627201</v>
      </c>
      <c r="AK635">
        <v>0.72336440154886605</v>
      </c>
      <c r="AL635">
        <v>82.532181595300997</v>
      </c>
      <c r="AM635">
        <v>86.690393238403104</v>
      </c>
      <c r="AN635">
        <v>0.99999998407760304</v>
      </c>
    </row>
    <row r="636" spans="1:40" x14ac:dyDescent="0.25">
      <c r="A636" t="str">
        <f>"20190312164447964"</f>
        <v>20190312164447964</v>
      </c>
      <c r="B636" t="str">
        <f>"1552380287952441"</f>
        <v>1552380287952441</v>
      </c>
      <c r="C636" t="s">
        <v>40</v>
      </c>
      <c r="D636">
        <v>4.810149</v>
      </c>
      <c r="E636">
        <v>0.51436629999999905</v>
      </c>
      <c r="F636" t="s">
        <v>41</v>
      </c>
      <c r="G636">
        <v>-292.04770000000002</v>
      </c>
      <c r="H636">
        <v>0.99756880000000003</v>
      </c>
      <c r="I636">
        <v>366.71339999999998</v>
      </c>
      <c r="J636">
        <v>-292.43220000000002</v>
      </c>
      <c r="K636">
        <v>1.0591029999999999</v>
      </c>
      <c r="L636">
        <v>366.77749999999997</v>
      </c>
      <c r="M636">
        <v>0.99988350000000004</v>
      </c>
      <c r="N636">
        <v>0</v>
      </c>
      <c r="O636">
        <v>-2.4437200000000002E-4</v>
      </c>
      <c r="P636">
        <v>0.991726</v>
      </c>
      <c r="Q636">
        <v>0.114345</v>
      </c>
      <c r="R636">
        <v>-5.8353160000000001E-2</v>
      </c>
      <c r="S636">
        <v>3.0391849999999998</v>
      </c>
      <c r="T636">
        <v>-0.25456849999999998</v>
      </c>
      <c r="U636">
        <v>-0.26281739999999998</v>
      </c>
      <c r="V636">
        <v>5.7877619999999998E-2</v>
      </c>
      <c r="W636">
        <v>0.1295712</v>
      </c>
      <c r="X636">
        <v>0.98987950000000002</v>
      </c>
      <c r="Y636">
        <v>8.5614510000000005E-2</v>
      </c>
      <c r="Z636">
        <v>-3.552328E-3</v>
      </c>
      <c r="AA636">
        <v>0.99632200000000004</v>
      </c>
      <c r="AB636">
        <v>52</v>
      </c>
      <c r="AC636">
        <v>0.38450000000000201</v>
      </c>
      <c r="AD636">
        <v>-6.1534200000000101E-2</v>
      </c>
      <c r="AE636">
        <v>-6.4099999999996202E-2</v>
      </c>
      <c r="AF636">
        <v>6.2449822882599197E-2</v>
      </c>
      <c r="AG636">
        <v>-6.1534200000000101E-2</v>
      </c>
      <c r="AH636">
        <v>0.37516677702331702</v>
      </c>
      <c r="AI636">
        <v>99.190363349953699</v>
      </c>
      <c r="AJ636">
        <v>80.549264485398396</v>
      </c>
      <c r="AK636">
        <v>0.38527464065231598</v>
      </c>
      <c r="AL636">
        <v>82.555185457086907</v>
      </c>
      <c r="AM636">
        <v>86.653762242857994</v>
      </c>
      <c r="AN636">
        <v>0.99999996964327598</v>
      </c>
    </row>
    <row r="637" spans="1:40" x14ac:dyDescent="0.25">
      <c r="A637" t="str">
        <f>"20190312164447974"</f>
        <v>20190312164447974</v>
      </c>
      <c r="B637" t="str">
        <f>"1552380287971960"</f>
        <v>1552380287971960</v>
      </c>
      <c r="C637" t="s">
        <v>40</v>
      </c>
      <c r="D637">
        <v>4.8444379999999896</v>
      </c>
      <c r="E637">
        <v>0.51455839999999997</v>
      </c>
      <c r="F637" t="s">
        <v>41</v>
      </c>
      <c r="G637">
        <v>-291.58600000000001</v>
      </c>
      <c r="H637">
        <v>0.98796269999999997</v>
      </c>
      <c r="I637">
        <v>366.70409999999998</v>
      </c>
      <c r="J637">
        <v>-292.17380000000003</v>
      </c>
      <c r="K637">
        <v>1.05911</v>
      </c>
      <c r="L637">
        <v>366.77760000000001</v>
      </c>
      <c r="M637">
        <v>0.99988379999999999</v>
      </c>
      <c r="N637">
        <v>0</v>
      </c>
      <c r="O637" s="1">
        <v>5.6133810000000002E-5</v>
      </c>
      <c r="P637">
        <v>0.99173670000000003</v>
      </c>
      <c r="Q637">
        <v>0.1142618</v>
      </c>
      <c r="R637">
        <v>-5.8335489999999997E-2</v>
      </c>
      <c r="S637">
        <v>3.0389710000000001</v>
      </c>
      <c r="T637">
        <v>-0.25552180000000002</v>
      </c>
      <c r="U637">
        <v>-0.26361079999999998</v>
      </c>
      <c r="V637">
        <v>5.8154450000000003E-2</v>
      </c>
      <c r="W637">
        <v>0.12948370000000001</v>
      </c>
      <c r="X637">
        <v>0.98987480000000005</v>
      </c>
      <c r="Y637">
        <v>8.6172860000000004E-2</v>
      </c>
      <c r="Z637">
        <v>-3.6143600000000001E-3</v>
      </c>
      <c r="AA637">
        <v>0.99627359999999998</v>
      </c>
      <c r="AB637">
        <v>52</v>
      </c>
      <c r="AC637">
        <v>0.58780000000001498</v>
      </c>
      <c r="AD637">
        <v>-7.11472999999999E-2</v>
      </c>
      <c r="AE637">
        <v>-7.3500000000024102E-2</v>
      </c>
      <c r="AF637">
        <v>7.2487359544918598E-2</v>
      </c>
      <c r="AG637">
        <v>-7.11472999999999E-2</v>
      </c>
      <c r="AH637">
        <v>0.57943741241871904</v>
      </c>
      <c r="AI637">
        <v>96.946519746175795</v>
      </c>
      <c r="AJ637">
        <v>82.8693676759422</v>
      </c>
      <c r="AK637">
        <v>0.588272105833333</v>
      </c>
      <c r="AL637">
        <v>82.560241987727196</v>
      </c>
      <c r="AM637">
        <v>86.637777812966903</v>
      </c>
      <c r="AN637">
        <v>1.0000000441477599</v>
      </c>
    </row>
    <row r="638" spans="1:40" x14ac:dyDescent="0.25">
      <c r="A638" t="str">
        <f>"20190312164447987"</f>
        <v>20190312164447987</v>
      </c>
      <c r="B638" t="str">
        <f>"1552380287982698"</f>
        <v>1552380287982698</v>
      </c>
      <c r="C638" t="s">
        <v>40</v>
      </c>
      <c r="D638">
        <v>4.8336180000000004</v>
      </c>
      <c r="E638">
        <v>0.51459149999999998</v>
      </c>
      <c r="F638" t="s">
        <v>41</v>
      </c>
      <c r="G638">
        <v>-291.1266</v>
      </c>
      <c r="H638">
        <v>0.97102759999999999</v>
      </c>
      <c r="I638">
        <v>366.68579999999997</v>
      </c>
      <c r="J638">
        <v>-291.87459999999999</v>
      </c>
      <c r="K638">
        <v>1.059115</v>
      </c>
      <c r="L638">
        <v>366.77780000000001</v>
      </c>
      <c r="M638">
        <v>0.99988370000000004</v>
      </c>
      <c r="N638">
        <v>0</v>
      </c>
      <c r="O638">
        <v>4.0696139999999998E-4</v>
      </c>
      <c r="P638">
        <v>0.99174519999999999</v>
      </c>
      <c r="Q638">
        <v>0.114189899999999</v>
      </c>
      <c r="R638">
        <v>-5.8328989999999997E-2</v>
      </c>
      <c r="S638">
        <v>3.03891</v>
      </c>
      <c r="T638">
        <v>-0.2558687</v>
      </c>
      <c r="U638">
        <v>-0.26522829999999997</v>
      </c>
      <c r="V638">
        <v>5.8492210000000003E-2</v>
      </c>
      <c r="W638">
        <v>0.12940670000000001</v>
      </c>
      <c r="X638">
        <v>0.98986490000000005</v>
      </c>
      <c r="Y638">
        <v>8.7045280000000003E-2</v>
      </c>
      <c r="Z638">
        <v>-3.6852679999999998E-3</v>
      </c>
      <c r="AA638">
        <v>0.99619749999999996</v>
      </c>
      <c r="AB638">
        <v>52</v>
      </c>
      <c r="AC638">
        <v>0.74799999999999001</v>
      </c>
      <c r="AD638">
        <v>-8.8087399999999996E-2</v>
      </c>
      <c r="AE638">
        <v>-9.2000000000041299E-2</v>
      </c>
      <c r="AF638">
        <v>9.10603979970947E-2</v>
      </c>
      <c r="AG638">
        <v>-8.8087399999999996E-2</v>
      </c>
      <c r="AH638">
        <v>0.73788179738027604</v>
      </c>
      <c r="AI638">
        <v>96.756902207392201</v>
      </c>
      <c r="AJ638">
        <v>82.9648218440622</v>
      </c>
      <c r="AK638">
        <v>0.74867945946666403</v>
      </c>
      <c r="AL638">
        <v>82.5646906893747</v>
      </c>
      <c r="AM638">
        <v>86.618261532800005</v>
      </c>
      <c r="AN638">
        <v>0.99999997644379102</v>
      </c>
    </row>
    <row r="639" spans="1:40" x14ac:dyDescent="0.25">
      <c r="A639" t="str">
        <f>"20190312164447999"</f>
        <v>20190312164447999</v>
      </c>
      <c r="B639" t="str">
        <f>"1552380287992456"</f>
        <v>1552380287992456</v>
      </c>
      <c r="C639" t="s">
        <v>40</v>
      </c>
      <c r="D639">
        <v>4.8166010000000004</v>
      </c>
      <c r="E639">
        <v>0.51463099999999995</v>
      </c>
      <c r="F639" t="s">
        <v>41</v>
      </c>
      <c r="G639">
        <v>-291.11380000000003</v>
      </c>
      <c r="H639">
        <v>0.99533249999999995</v>
      </c>
      <c r="I639">
        <v>366.71100000000001</v>
      </c>
      <c r="J639">
        <v>-291.59769999999997</v>
      </c>
      <c r="K639">
        <v>1.0591269999999999</v>
      </c>
      <c r="L639">
        <v>366.77809999999999</v>
      </c>
      <c r="M639">
        <v>0.99988350000000004</v>
      </c>
      <c r="N639">
        <v>0</v>
      </c>
      <c r="O639">
        <v>7.3491880000000004E-4</v>
      </c>
      <c r="P639">
        <v>0.99174830000000003</v>
      </c>
      <c r="Q639">
        <v>0.1142541</v>
      </c>
      <c r="R639">
        <v>-5.8148230000000002E-2</v>
      </c>
      <c r="S639">
        <v>3.0387879999999998</v>
      </c>
      <c r="T639">
        <v>-0.25514199999999998</v>
      </c>
      <c r="U639">
        <v>-0.26531979999999999</v>
      </c>
      <c r="V639">
        <v>5.8633409999999997E-2</v>
      </c>
      <c r="W639">
        <v>0.1294662</v>
      </c>
      <c r="X639">
        <v>0.98984879999999997</v>
      </c>
      <c r="Y639">
        <v>8.7404570000000001E-2</v>
      </c>
      <c r="Z639">
        <v>-3.717447E-3</v>
      </c>
      <c r="AA639">
        <v>0.99616590000000005</v>
      </c>
      <c r="AB639">
        <v>52</v>
      </c>
      <c r="AC639">
        <v>0.48389999999994798</v>
      </c>
      <c r="AD639">
        <v>-6.3794500000000004E-2</v>
      </c>
      <c r="AE639">
        <v>-6.7099999999982105E-2</v>
      </c>
      <c r="AF639">
        <v>6.6324660007732794E-2</v>
      </c>
      <c r="AG639">
        <v>-6.3794500000000004E-2</v>
      </c>
      <c r="AH639">
        <v>0.47573810431365299</v>
      </c>
      <c r="AI639">
        <v>97.565257291420806</v>
      </c>
      <c r="AJ639">
        <v>82.063309401512299</v>
      </c>
      <c r="AK639">
        <v>0.484556955012864</v>
      </c>
      <c r="AL639">
        <v>82.561252921986195</v>
      </c>
      <c r="AM639">
        <v>86.610062033642194</v>
      </c>
      <c r="AN639">
        <v>1.00000001028605</v>
      </c>
    </row>
    <row r="640" spans="1:40" x14ac:dyDescent="0.25">
      <c r="A640" t="str">
        <f>"20190312164448010"</f>
        <v>20190312164448010</v>
      </c>
      <c r="B640" t="str">
        <f>"1552380288002217"</f>
        <v>1552380288002217</v>
      </c>
      <c r="C640" t="s">
        <v>40</v>
      </c>
      <c r="D640">
        <v>4.8582210000000003</v>
      </c>
      <c r="E640">
        <v>0.51459319999999997</v>
      </c>
      <c r="F640" t="s">
        <v>41</v>
      </c>
      <c r="G640">
        <v>-290.65469999999999</v>
      </c>
      <c r="H640">
        <v>0.98015390000000002</v>
      </c>
      <c r="I640">
        <v>366.69580000000002</v>
      </c>
      <c r="J640">
        <v>-291.34519999999998</v>
      </c>
      <c r="K640">
        <v>1.0591349999999999</v>
      </c>
      <c r="L640">
        <v>366.77839999999998</v>
      </c>
      <c r="M640">
        <v>0.99988350000000004</v>
      </c>
      <c r="N640">
        <v>0</v>
      </c>
      <c r="O640">
        <v>1.034362E-3</v>
      </c>
      <c r="P640">
        <v>0.99176540000000002</v>
      </c>
      <c r="Q640">
        <v>0.11416320000000001</v>
      </c>
      <c r="R640">
        <v>-5.8039739999999999E-2</v>
      </c>
      <c r="S640">
        <v>3.0387569999999999</v>
      </c>
      <c r="T640">
        <v>-0.25450270000000003</v>
      </c>
      <c r="U640">
        <v>-0.2651367</v>
      </c>
      <c r="V640">
        <v>5.8819139999999999E-2</v>
      </c>
      <c r="W640">
        <v>0.12937119999999999</v>
      </c>
      <c r="X640">
        <v>0.98985020000000001</v>
      </c>
      <c r="Y640">
        <v>8.7643849999999995E-2</v>
      </c>
      <c r="Z640">
        <v>-3.7431859999999999E-3</v>
      </c>
      <c r="AA640">
        <v>0.99614480000000005</v>
      </c>
      <c r="AB640">
        <v>52</v>
      </c>
      <c r="AC640">
        <v>0.69049999999998501</v>
      </c>
      <c r="AD640">
        <v>-7.8981099999999901E-2</v>
      </c>
      <c r="AE640">
        <v>-8.2599999999956694E-2</v>
      </c>
      <c r="AF640">
        <v>8.2253299013466993E-2</v>
      </c>
      <c r="AG640">
        <v>-7.8981099999999901E-2</v>
      </c>
      <c r="AH640">
        <v>0.68162209404916796</v>
      </c>
      <c r="AI640">
        <v>96.5623289216812</v>
      </c>
      <c r="AJ640">
        <v>83.119223896664593</v>
      </c>
      <c r="AK640">
        <v>0.69109499958528198</v>
      </c>
      <c r="AL640">
        <v>82.5667421723644</v>
      </c>
      <c r="AM640">
        <v>86.599353863016603</v>
      </c>
      <c r="AN640">
        <v>1.0000000085298999</v>
      </c>
    </row>
    <row r="641" spans="1:40" x14ac:dyDescent="0.25">
      <c r="A641" t="str">
        <f>"20190312164448020"</f>
        <v>20190312164448020</v>
      </c>
      <c r="B641" t="str">
        <f>"1552380288011977"</f>
        <v>1552380288011977</v>
      </c>
      <c r="C641" t="s">
        <v>40</v>
      </c>
      <c r="D641">
        <v>4.8164210000000001</v>
      </c>
      <c r="E641">
        <v>0.51466309999999904</v>
      </c>
      <c r="F641" t="s">
        <v>41</v>
      </c>
      <c r="G641">
        <v>-290.19589999999999</v>
      </c>
      <c r="H641">
        <v>0.96301639999999999</v>
      </c>
      <c r="I641">
        <v>366.67790000000002</v>
      </c>
      <c r="J641">
        <v>-291.08440000000002</v>
      </c>
      <c r="K641">
        <v>1.0591440000000001</v>
      </c>
      <c r="L641">
        <v>366.77879999999999</v>
      </c>
      <c r="M641">
        <v>0.99988319999999997</v>
      </c>
      <c r="N641">
        <v>0</v>
      </c>
      <c r="O641">
        <v>1.3458879999999999E-3</v>
      </c>
      <c r="P641">
        <v>0.99180639999999998</v>
      </c>
      <c r="Q641">
        <v>0.1139411</v>
      </c>
      <c r="R641">
        <v>-5.7772940000000002E-2</v>
      </c>
      <c r="S641">
        <v>3.0387270000000002</v>
      </c>
      <c r="T641">
        <v>-0.25440780000000002</v>
      </c>
      <c r="U641">
        <v>-0.264679</v>
      </c>
      <c r="V641">
        <v>5.8859229999999998E-2</v>
      </c>
      <c r="W641">
        <v>0.129145699999999</v>
      </c>
      <c r="X641">
        <v>0.98987729999999996</v>
      </c>
      <c r="Y641">
        <v>8.7804729999999998E-2</v>
      </c>
      <c r="Z641">
        <v>-3.774557E-3</v>
      </c>
      <c r="AA641">
        <v>0.99613050000000003</v>
      </c>
      <c r="AB641">
        <v>52</v>
      </c>
      <c r="AC641">
        <v>0.88850000000002105</v>
      </c>
      <c r="AD641">
        <v>-9.6127599999999896E-2</v>
      </c>
      <c r="AE641">
        <v>-0.100899999999967</v>
      </c>
      <c r="AF641">
        <v>0.100929503741771</v>
      </c>
      <c r="AG641">
        <v>-9.6127599999999896E-2</v>
      </c>
      <c r="AH641">
        <v>0.87821452684206003</v>
      </c>
      <c r="AI641">
        <v>96.206084815294801</v>
      </c>
      <c r="AJ641">
        <v>83.443999705632393</v>
      </c>
      <c r="AK641">
        <v>0.88920640762634195</v>
      </c>
      <c r="AL641">
        <v>82.579771947412098</v>
      </c>
      <c r="AM641">
        <v>86.597134437062195</v>
      </c>
      <c r="AN641">
        <v>1.00000004491998</v>
      </c>
    </row>
    <row r="642" spans="1:40" x14ac:dyDescent="0.25">
      <c r="A642" t="str">
        <f>"20190312164448031"</f>
        <v>20190312164448031</v>
      </c>
      <c r="B642" t="str">
        <f>"1552380288022713"</f>
        <v>1552380288022713</v>
      </c>
      <c r="C642" t="s">
        <v>40</v>
      </c>
      <c r="D642">
        <v>4.8619629999999896</v>
      </c>
      <c r="E642">
        <v>0.51468150000000001</v>
      </c>
      <c r="F642" t="s">
        <v>41</v>
      </c>
      <c r="G642">
        <v>-290.1857</v>
      </c>
      <c r="H642">
        <v>0.98410889999999995</v>
      </c>
      <c r="I642">
        <v>366.7002</v>
      </c>
      <c r="J642">
        <v>-290.85270000000003</v>
      </c>
      <c r="K642">
        <v>1.059145</v>
      </c>
      <c r="L642">
        <v>366.77929999999998</v>
      </c>
      <c r="M642">
        <v>0.99988290000000002</v>
      </c>
      <c r="N642">
        <v>0</v>
      </c>
      <c r="O642">
        <v>1.62329799999999E-3</v>
      </c>
      <c r="P642">
        <v>0.99184309999999998</v>
      </c>
      <c r="Q642">
        <v>0.1137862</v>
      </c>
      <c r="R642">
        <v>-5.7448140000000002E-2</v>
      </c>
      <c r="S642">
        <v>3.0385439999999999</v>
      </c>
      <c r="T642">
        <v>-0.25402829999999998</v>
      </c>
      <c r="U642">
        <v>-0.264679</v>
      </c>
      <c r="V642">
        <v>5.8807720000000001E-2</v>
      </c>
      <c r="W642">
        <v>0.1289873</v>
      </c>
      <c r="X642">
        <v>0.98990089999999997</v>
      </c>
      <c r="Y642">
        <v>8.8085209999999997E-2</v>
      </c>
      <c r="Z642">
        <v>-3.8039649999999999E-3</v>
      </c>
      <c r="AA642">
        <v>0.99610569999999998</v>
      </c>
      <c r="AB642">
        <v>52</v>
      </c>
      <c r="AC642">
        <v>0.66700000000003001</v>
      </c>
      <c r="AD642">
        <v>-7.5036099999999994E-2</v>
      </c>
      <c r="AE642">
        <v>-7.9099999999982601E-2</v>
      </c>
      <c r="AF642">
        <v>7.9194394391276401E-2</v>
      </c>
      <c r="AG642">
        <v>-7.5036099999999994E-2</v>
      </c>
      <c r="AH642">
        <v>0.65865057386703296</v>
      </c>
      <c r="AI642">
        <v>96.453258970037496</v>
      </c>
      <c r="AJ642">
        <v>83.143821303405005</v>
      </c>
      <c r="AK642">
        <v>0.66762470510128802</v>
      </c>
      <c r="AL642">
        <v>82.588923303917994</v>
      </c>
      <c r="AM642">
        <v>86.600186294202203</v>
      </c>
      <c r="AN642">
        <v>0.99999993165684598</v>
      </c>
    </row>
    <row r="643" spans="1:40" x14ac:dyDescent="0.25">
      <c r="A643" t="str">
        <f>"20190312164448041"</f>
        <v>20190312164448041</v>
      </c>
      <c r="B643" t="str">
        <f>"1552380288032472"</f>
        <v>1552380288032472</v>
      </c>
      <c r="C643" t="s">
        <v>40</v>
      </c>
      <c r="D643">
        <v>4.8576249999999996</v>
      </c>
      <c r="E643">
        <v>0.51478959999999996</v>
      </c>
      <c r="F643" t="s">
        <v>41</v>
      </c>
      <c r="G643">
        <v>-289.72809999999998</v>
      </c>
      <c r="H643">
        <v>0.96530099999999996</v>
      </c>
      <c r="I643">
        <v>366.68119999999999</v>
      </c>
      <c r="J643">
        <v>-290.6053</v>
      </c>
      <c r="K643">
        <v>1.0591520000000001</v>
      </c>
      <c r="L643">
        <v>366.77980000000002</v>
      </c>
      <c r="M643">
        <v>0.99988239999999995</v>
      </c>
      <c r="N643">
        <v>0</v>
      </c>
      <c r="O643">
        <v>1.9210270000000001E-3</v>
      </c>
      <c r="P643">
        <v>0.99184919999999999</v>
      </c>
      <c r="Q643">
        <v>0.113840899999999</v>
      </c>
      <c r="R643">
        <v>-5.7235109999999999E-2</v>
      </c>
      <c r="S643">
        <v>3.0384519999999999</v>
      </c>
      <c r="T643">
        <v>-0.253747</v>
      </c>
      <c r="U643">
        <v>-0.26422119999999999</v>
      </c>
      <c r="V643">
        <v>5.888794E-2</v>
      </c>
      <c r="W643">
        <v>0.12903779999999901</v>
      </c>
      <c r="X643">
        <v>0.98988960000000004</v>
      </c>
      <c r="Y643">
        <v>8.8234569999999998E-2</v>
      </c>
      <c r="Z643">
        <v>-3.830899E-3</v>
      </c>
      <c r="AA643">
        <v>0.99609239999999999</v>
      </c>
      <c r="AB643">
        <v>52</v>
      </c>
      <c r="AC643">
        <v>0.87720000000001597</v>
      </c>
      <c r="AD643">
        <v>-9.3851000000000004E-2</v>
      </c>
      <c r="AE643">
        <v>-9.8600000000033106E-2</v>
      </c>
      <c r="AF643">
        <v>9.9164196974211596E-2</v>
      </c>
      <c r="AG643">
        <v>-9.3851000000000004E-2</v>
      </c>
      <c r="AH643">
        <v>0.86720614435856103</v>
      </c>
      <c r="AI643">
        <v>96.136955239878503</v>
      </c>
      <c r="AJ643">
        <v>83.476616307772403</v>
      </c>
      <c r="AK643">
        <v>0.87788840120813905</v>
      </c>
      <c r="AL643">
        <v>82.586005855960096</v>
      </c>
      <c r="AM643">
        <v>86.595520714903401</v>
      </c>
      <c r="AN643">
        <v>0.99999998174722105</v>
      </c>
    </row>
    <row r="644" spans="1:40" x14ac:dyDescent="0.25">
      <c r="A644" t="str">
        <f>"20190312164448052"</f>
        <v>20190312164448052</v>
      </c>
      <c r="B644" t="str">
        <f>"1552380288042232"</f>
        <v>1552380288042232</v>
      </c>
      <c r="C644" t="s">
        <v>40</v>
      </c>
      <c r="D644">
        <v>4.8288349999999998</v>
      </c>
      <c r="E644">
        <v>0.51481540000000003</v>
      </c>
      <c r="F644" t="s">
        <v>41</v>
      </c>
      <c r="G644">
        <v>-289.71839999999997</v>
      </c>
      <c r="H644">
        <v>0.9852495</v>
      </c>
      <c r="I644">
        <v>366.70249999999999</v>
      </c>
      <c r="J644">
        <v>-290.3535</v>
      </c>
      <c r="K644">
        <v>1.059161</v>
      </c>
      <c r="L644">
        <v>366.78039999999999</v>
      </c>
      <c r="M644">
        <v>0.99988189999999999</v>
      </c>
      <c r="N644">
        <v>0</v>
      </c>
      <c r="O644">
        <v>2.2242939999999999E-3</v>
      </c>
      <c r="P644">
        <v>0.99184510000000004</v>
      </c>
      <c r="Q644">
        <v>0.11391709999999999</v>
      </c>
      <c r="R644">
        <v>-5.7151300000000002E-2</v>
      </c>
      <c r="S644">
        <v>3.0384829999999998</v>
      </c>
      <c r="T644">
        <v>-0.25341730000000001</v>
      </c>
      <c r="U644">
        <v>-0.26416020000000001</v>
      </c>
      <c r="V644">
        <v>5.9102910000000002E-2</v>
      </c>
      <c r="W644">
        <v>0.12911069999999999</v>
      </c>
      <c r="X644">
        <v>0.98986730000000001</v>
      </c>
      <c r="Y644">
        <v>8.8514780000000001E-2</v>
      </c>
      <c r="Z644">
        <v>-3.862753E-3</v>
      </c>
      <c r="AA644">
        <v>0.99606729999999999</v>
      </c>
      <c r="AB644">
        <v>52</v>
      </c>
      <c r="AC644">
        <v>0.63510000000002198</v>
      </c>
      <c r="AD644">
        <v>-7.3911499999999894E-2</v>
      </c>
      <c r="AE644">
        <v>-7.7899999999999595E-2</v>
      </c>
      <c r="AF644">
        <v>7.82682835037741E-2</v>
      </c>
      <c r="AG644">
        <v>-7.3911499999999894E-2</v>
      </c>
      <c r="AH644">
        <v>0.62656486092990904</v>
      </c>
      <c r="AI644">
        <v>96.676280432171296</v>
      </c>
      <c r="AJ644">
        <v>82.879694829473607</v>
      </c>
      <c r="AK644">
        <v>0.63574551432707205</v>
      </c>
      <c r="AL644">
        <v>82.581793889401794</v>
      </c>
      <c r="AM644">
        <v>86.583045285801504</v>
      </c>
      <c r="AN644">
        <v>0.99999999921712401</v>
      </c>
    </row>
    <row r="645" spans="1:40" x14ac:dyDescent="0.25">
      <c r="A645" t="str">
        <f>"20190312164448063"</f>
        <v>20190312164448063</v>
      </c>
      <c r="B645" t="str">
        <f>"1552380288051992"</f>
        <v>1552380288051992</v>
      </c>
      <c r="C645" t="s">
        <v>40</v>
      </c>
      <c r="D645">
        <v>4.8486219999999998</v>
      </c>
      <c r="E645">
        <v>0.51483319999999999</v>
      </c>
      <c r="F645" t="s">
        <v>41</v>
      </c>
      <c r="G645">
        <v>-289.2602</v>
      </c>
      <c r="H645">
        <v>0.9683602</v>
      </c>
      <c r="I645">
        <v>366.68490000000003</v>
      </c>
      <c r="J645">
        <v>-290.09399999999999</v>
      </c>
      <c r="K645">
        <v>1.0591660000000001</v>
      </c>
      <c r="L645">
        <v>366.78120000000001</v>
      </c>
      <c r="M645">
        <v>0.99988109999999997</v>
      </c>
      <c r="N645">
        <v>0</v>
      </c>
      <c r="O645">
        <v>2.5379230000000001E-3</v>
      </c>
      <c r="P645">
        <v>0.9918479</v>
      </c>
      <c r="Q645">
        <v>0.114108</v>
      </c>
      <c r="R645">
        <v>-5.6721430000000003E-2</v>
      </c>
      <c r="S645">
        <v>3.0384220000000002</v>
      </c>
      <c r="T645">
        <v>-0.2526969</v>
      </c>
      <c r="U645">
        <v>-0.26416020000000001</v>
      </c>
      <c r="V645">
        <v>5.8981690000000003E-2</v>
      </c>
      <c r="W645">
        <v>0.12929740000000001</v>
      </c>
      <c r="X645">
        <v>0.98985020000000001</v>
      </c>
      <c r="Y645">
        <v>8.8828519999999994E-2</v>
      </c>
      <c r="Z645">
        <v>-3.8908800000000002E-3</v>
      </c>
      <c r="AA645">
        <v>0.99603929999999996</v>
      </c>
      <c r="AB645">
        <v>52</v>
      </c>
      <c r="AC645">
        <v>0.83379999999999599</v>
      </c>
      <c r="AD645">
        <v>-9.0805800000000103E-2</v>
      </c>
      <c r="AE645">
        <v>-9.6299999999985106E-2</v>
      </c>
      <c r="AF645">
        <v>9.7277481794854001E-2</v>
      </c>
      <c r="AG645">
        <v>-9.0805800000000103E-2</v>
      </c>
      <c r="AH645">
        <v>0.82390953022047198</v>
      </c>
      <c r="AI645">
        <v>96.246334050912395</v>
      </c>
      <c r="AJ645">
        <v>83.266366449993598</v>
      </c>
      <c r="AK645">
        <v>0.83458703306851501</v>
      </c>
      <c r="AL645">
        <v>82.571006635611994</v>
      </c>
      <c r="AM645">
        <v>86.589978132651197</v>
      </c>
      <c r="AN645">
        <v>1.0000000379210201</v>
      </c>
    </row>
    <row r="646" spans="1:40" x14ac:dyDescent="0.25">
      <c r="A646" t="str">
        <f>"20190312164448075"</f>
        <v>20190312164448075</v>
      </c>
      <c r="B646" t="str">
        <f>"1552380288072489"</f>
        <v>1552380288072489</v>
      </c>
      <c r="C646" t="s">
        <v>40</v>
      </c>
      <c r="D646">
        <v>4.8455879999999896</v>
      </c>
      <c r="E646">
        <v>0.51499209999999995</v>
      </c>
      <c r="F646" t="s">
        <v>41</v>
      </c>
      <c r="G646">
        <v>-289.25009999999997</v>
      </c>
      <c r="H646">
        <v>0.98919330000000005</v>
      </c>
      <c r="I646">
        <v>366.70780000000002</v>
      </c>
      <c r="J646">
        <v>-289.82429999999999</v>
      </c>
      <c r="K646">
        <v>1.0591729999999999</v>
      </c>
      <c r="L646">
        <v>366.78199999999998</v>
      </c>
      <c r="M646">
        <v>0.99988030000000006</v>
      </c>
      <c r="N646">
        <v>0</v>
      </c>
      <c r="O646">
        <v>2.8643039999999998E-3</v>
      </c>
      <c r="P646">
        <v>0.99182369999999997</v>
      </c>
      <c r="Q646">
        <v>0.1143347</v>
      </c>
      <c r="R646">
        <v>-5.6688820000000001E-2</v>
      </c>
      <c r="S646">
        <v>3.0386959999999998</v>
      </c>
      <c r="T646">
        <v>-0.25241140000000001</v>
      </c>
      <c r="U646">
        <v>-0.262268099999999</v>
      </c>
      <c r="V646">
        <v>5.9270360000000001E-2</v>
      </c>
      <c r="W646">
        <v>0.1295201</v>
      </c>
      <c r="X646">
        <v>0.98980380000000001</v>
      </c>
      <c r="Y646">
        <v>8.8530940000000002E-2</v>
      </c>
      <c r="Z646">
        <v>-3.900957E-3</v>
      </c>
      <c r="AA646">
        <v>0.9960658</v>
      </c>
      <c r="AB646">
        <v>52</v>
      </c>
      <c r="AC646">
        <v>0.57420000000001803</v>
      </c>
      <c r="AD646">
        <v>-6.9979699999999798E-2</v>
      </c>
      <c r="AE646">
        <v>-7.4199999999962005E-2</v>
      </c>
      <c r="AF646">
        <v>7.4752497149293107E-2</v>
      </c>
      <c r="AG646">
        <v>-6.9979699999999798E-2</v>
      </c>
      <c r="AH646">
        <v>0.565720383112573</v>
      </c>
      <c r="AI646">
        <v>96.991511871897302</v>
      </c>
      <c r="AJ646">
        <v>82.472724384850494</v>
      </c>
      <c r="AK646">
        <v>0.57491272912606595</v>
      </c>
      <c r="AL646">
        <v>82.558138358653196</v>
      </c>
      <c r="AM646">
        <v>86.573168118222199</v>
      </c>
      <c r="AN646">
        <v>0.99999999718648902</v>
      </c>
    </row>
    <row r="647" spans="1:40" x14ac:dyDescent="0.25">
      <c r="A647" t="str">
        <f>"20190312164448087"</f>
        <v>20190312164448087</v>
      </c>
      <c r="B647" t="str">
        <f>"1552380288082252"</f>
        <v>1552380288082252</v>
      </c>
      <c r="C647" t="s">
        <v>40</v>
      </c>
      <c r="D647">
        <v>4.8989399999999996</v>
      </c>
      <c r="E647">
        <v>0.51495329999999995</v>
      </c>
      <c r="F647" t="s">
        <v>41</v>
      </c>
      <c r="G647">
        <v>-288.79160000000002</v>
      </c>
      <c r="H647">
        <v>0.9738367</v>
      </c>
      <c r="I647">
        <v>366.69220000000001</v>
      </c>
      <c r="J647">
        <v>-289.56270000000001</v>
      </c>
      <c r="K647">
        <v>1.059178</v>
      </c>
      <c r="L647">
        <v>366.78289999999998</v>
      </c>
      <c r="M647">
        <v>0.99987950000000003</v>
      </c>
      <c r="N647">
        <v>0</v>
      </c>
      <c r="O647">
        <v>3.1811959999999999E-3</v>
      </c>
      <c r="P647">
        <v>0.99179989999999996</v>
      </c>
      <c r="Q647">
        <v>0.114686</v>
      </c>
      <c r="R647">
        <v>-5.6396000000000002E-2</v>
      </c>
      <c r="S647">
        <v>3.0386350000000002</v>
      </c>
      <c r="T647">
        <v>-0.25132199999999999</v>
      </c>
      <c r="U647">
        <v>-0.26336670000000001</v>
      </c>
      <c r="V647">
        <v>5.9289550000000003E-2</v>
      </c>
      <c r="W647">
        <v>0.1298677</v>
      </c>
      <c r="X647">
        <v>0.98975709999999995</v>
      </c>
      <c r="Y647">
        <v>8.9205080000000006E-2</v>
      </c>
      <c r="Z647">
        <v>-3.9380969999999998E-3</v>
      </c>
      <c r="AA647">
        <v>0.99600549999999999</v>
      </c>
      <c r="AB647">
        <v>52</v>
      </c>
      <c r="AC647">
        <v>0.77109999999998902</v>
      </c>
      <c r="AD647">
        <v>-8.5341300000000106E-2</v>
      </c>
      <c r="AE647">
        <v>-9.0699999999969805E-2</v>
      </c>
      <c r="AF647">
        <v>9.2040830636273899E-2</v>
      </c>
      <c r="AG647">
        <v>-8.5341300000000106E-2</v>
      </c>
      <c r="AH647">
        <v>0.76160600076445795</v>
      </c>
      <c r="AI647">
        <v>96.347767991224003</v>
      </c>
      <c r="AJ647">
        <v>83.109166085362801</v>
      </c>
      <c r="AK647">
        <v>0.77187975254591101</v>
      </c>
      <c r="AL647">
        <v>82.538052676928899</v>
      </c>
      <c r="AM647">
        <v>86.5718999004106</v>
      </c>
      <c r="AN647">
        <v>0.99999999362145098</v>
      </c>
    </row>
    <row r="648" spans="1:40" x14ac:dyDescent="0.25">
      <c r="A648" t="str">
        <f>"20190312164448098"</f>
        <v>20190312164448098</v>
      </c>
      <c r="B648" t="str">
        <f>"1552380288092008"</f>
        <v>1552380288092008</v>
      </c>
      <c r="C648" t="s">
        <v>40</v>
      </c>
      <c r="D648">
        <v>4.8885300000000003</v>
      </c>
      <c r="E648">
        <v>0.51504839999999996</v>
      </c>
      <c r="F648" t="s">
        <v>41</v>
      </c>
      <c r="G648">
        <v>-288.7808</v>
      </c>
      <c r="H648">
        <v>0.99468860000000003</v>
      </c>
      <c r="I648">
        <v>366.71519999999998</v>
      </c>
      <c r="J648">
        <v>-289.28930000000003</v>
      </c>
      <c r="K648">
        <v>1.0591839999999999</v>
      </c>
      <c r="L648">
        <v>366.78390000000002</v>
      </c>
      <c r="M648">
        <v>0.9998785</v>
      </c>
      <c r="N648">
        <v>0</v>
      </c>
      <c r="O648">
        <v>3.5130389999999999E-3</v>
      </c>
      <c r="P648">
        <v>0.99177559999999998</v>
      </c>
      <c r="Q648">
        <v>0.11491120000000001</v>
      </c>
      <c r="R648">
        <v>-5.6366289999999999E-2</v>
      </c>
      <c r="S648">
        <v>3.0389400000000002</v>
      </c>
      <c r="T648">
        <v>-0.25098189999999998</v>
      </c>
      <c r="U648">
        <v>-0.26177979999999901</v>
      </c>
      <c r="V648">
        <v>5.9586670000000001E-2</v>
      </c>
      <c r="W648">
        <v>0.13008939999999999</v>
      </c>
      <c r="X648">
        <v>0.98971019999999998</v>
      </c>
      <c r="Y648">
        <v>8.9011190000000004E-2</v>
      </c>
      <c r="Z648">
        <v>-3.9518169999999998E-3</v>
      </c>
      <c r="AA648">
        <v>0.99602279999999999</v>
      </c>
      <c r="AB648">
        <v>52</v>
      </c>
      <c r="AC648">
        <v>0.50850000000002604</v>
      </c>
      <c r="AD648">
        <v>-6.4495399999999994E-2</v>
      </c>
      <c r="AE648">
        <v>-6.8700000000035205E-2</v>
      </c>
      <c r="AF648">
        <v>6.9389895825221995E-2</v>
      </c>
      <c r="AG648">
        <v>-6.4495399999999994E-2</v>
      </c>
      <c r="AH648">
        <v>0.50035062455830703</v>
      </c>
      <c r="AI648">
        <v>97.276068884833407</v>
      </c>
      <c r="AJ648">
        <v>82.104436757976103</v>
      </c>
      <c r="AK648">
        <v>0.50923998444710095</v>
      </c>
      <c r="AL648">
        <v>82.525241958915203</v>
      </c>
      <c r="AM648">
        <v>86.554598940014699</v>
      </c>
      <c r="AN648">
        <v>1.0000000516090399</v>
      </c>
    </row>
    <row r="649" spans="1:40" x14ac:dyDescent="0.25">
      <c r="A649" t="str">
        <f>"20190312164448110"</f>
        <v>20190312164448110</v>
      </c>
      <c r="B649" t="str">
        <f>"1552380288102745"</f>
        <v>1552380288102745</v>
      </c>
      <c r="C649" t="s">
        <v>40</v>
      </c>
      <c r="D649">
        <v>4.8943459999999996</v>
      </c>
      <c r="E649">
        <v>0.51514970000000004</v>
      </c>
      <c r="F649" t="s">
        <v>41</v>
      </c>
      <c r="G649">
        <v>-288.32310000000001</v>
      </c>
      <c r="H649">
        <v>0.97957910000000004</v>
      </c>
      <c r="I649">
        <v>366.70030000000003</v>
      </c>
      <c r="J649">
        <v>-289.01119999999997</v>
      </c>
      <c r="K649">
        <v>1.0591900000000001</v>
      </c>
      <c r="L649">
        <v>366.7851</v>
      </c>
      <c r="M649">
        <v>0.99987720000000002</v>
      </c>
      <c r="N649">
        <v>0</v>
      </c>
      <c r="O649">
        <v>3.8510179999999999E-3</v>
      </c>
      <c r="P649">
        <v>0.99178560000000004</v>
      </c>
      <c r="Q649">
        <v>0.1149255</v>
      </c>
      <c r="R649">
        <v>-5.6154410000000002E-2</v>
      </c>
      <c r="S649">
        <v>3.0390320000000002</v>
      </c>
      <c r="T649">
        <v>-0.25072840000000002</v>
      </c>
      <c r="U649">
        <v>-0.26187129999999997</v>
      </c>
      <c r="V649">
        <v>5.9708749999999998E-2</v>
      </c>
      <c r="W649">
        <v>0.1301003</v>
      </c>
      <c r="X649">
        <v>0.98970139999999995</v>
      </c>
      <c r="Y649">
        <v>8.9373380000000002E-2</v>
      </c>
      <c r="Z649">
        <v>-3.9903949999999999E-3</v>
      </c>
      <c r="AA649">
        <v>0.99599020000000005</v>
      </c>
      <c r="AB649">
        <v>52</v>
      </c>
      <c r="AC649">
        <v>0.68809999999996296</v>
      </c>
      <c r="AD649">
        <v>-7.9610899999999901E-2</v>
      </c>
      <c r="AE649">
        <v>-8.4799999999972897E-2</v>
      </c>
      <c r="AF649">
        <v>8.6311504462316696E-2</v>
      </c>
      <c r="AG649">
        <v>-7.9610899999999901E-2</v>
      </c>
      <c r="AH649">
        <v>0.67881776036240604</v>
      </c>
      <c r="AI649">
        <v>96.636076001295294</v>
      </c>
      <c r="AJ649">
        <v>82.753739594746904</v>
      </c>
      <c r="AK649">
        <v>0.68889848525366304</v>
      </c>
      <c r="AL649">
        <v>82.524612009916694</v>
      </c>
      <c r="AM649">
        <v>86.547526503210307</v>
      </c>
      <c r="AN649">
        <v>1.0000000420243</v>
      </c>
    </row>
    <row r="650" spans="1:40" x14ac:dyDescent="0.25">
      <c r="A650" t="str">
        <f>"20190312164448132"</f>
        <v>20190312164448132</v>
      </c>
      <c r="B650" t="str">
        <f>"1552380288122264"</f>
        <v>1552380288122264</v>
      </c>
      <c r="C650" t="s">
        <v>40</v>
      </c>
      <c r="D650">
        <v>4.8884819999999998</v>
      </c>
      <c r="E650">
        <v>0.51526539999999998</v>
      </c>
      <c r="F650" t="s">
        <v>41</v>
      </c>
      <c r="G650">
        <v>-287.86489999999998</v>
      </c>
      <c r="H650">
        <v>0.96459689999999998</v>
      </c>
      <c r="I650">
        <v>366.68599999999998</v>
      </c>
      <c r="J650">
        <v>-288.51100000000002</v>
      </c>
      <c r="K650">
        <v>1.0592010000000001</v>
      </c>
      <c r="L650">
        <v>366.78739999999999</v>
      </c>
      <c r="M650">
        <v>0.99987470000000001</v>
      </c>
      <c r="N650">
        <v>0</v>
      </c>
      <c r="O650">
        <v>4.4589349999999998E-3</v>
      </c>
      <c r="P650">
        <v>0.99180619999999997</v>
      </c>
      <c r="Q650">
        <v>0.11484900000000001</v>
      </c>
      <c r="R650">
        <v>-5.5946910000000002E-2</v>
      </c>
      <c r="S650">
        <v>3.0390929999999998</v>
      </c>
      <c r="T650">
        <v>-0.25099379999999999</v>
      </c>
      <c r="U650">
        <v>-0.26193240000000001</v>
      </c>
      <c r="V650">
        <v>6.0102049999999997E-2</v>
      </c>
      <c r="W650">
        <v>0.13001799999999999</v>
      </c>
      <c r="X650">
        <v>0.98968840000000002</v>
      </c>
      <c r="Y650">
        <v>8.9992230000000006E-2</v>
      </c>
      <c r="Z650">
        <v>-4.0700249999999997E-3</v>
      </c>
      <c r="AA650">
        <v>0.99593410000000004</v>
      </c>
      <c r="AB650">
        <v>52</v>
      </c>
      <c r="AC650">
        <v>0.64609999999998902</v>
      </c>
      <c r="AD650">
        <v>-9.4604099999999899E-2</v>
      </c>
      <c r="AE650">
        <v>-0.10140000000001199</v>
      </c>
      <c r="AF650">
        <v>0.10214296151381</v>
      </c>
      <c r="AG650">
        <v>-9.4604099999999899E-2</v>
      </c>
      <c r="AH650">
        <v>0.63240861460277698</v>
      </c>
      <c r="AI650">
        <v>98.400690656363807</v>
      </c>
      <c r="AJ650">
        <v>80.825152275521603</v>
      </c>
      <c r="AK650">
        <v>0.64755214164376396</v>
      </c>
      <c r="AL650">
        <v>82.529367778897395</v>
      </c>
      <c r="AM650">
        <v>86.524795164221402</v>
      </c>
      <c r="AN650">
        <v>1.0000000329163801</v>
      </c>
    </row>
    <row r="651" spans="1:40" x14ac:dyDescent="0.25">
      <c r="A651" t="str">
        <f>"20190312164448143"</f>
        <v>20190312164448143</v>
      </c>
      <c r="B651" t="str">
        <f>"1552380288132024"</f>
        <v>1552380288132024</v>
      </c>
      <c r="C651" t="s">
        <v>40</v>
      </c>
      <c r="D651">
        <v>4.9174220000000002</v>
      </c>
      <c r="E651">
        <v>0.51533879999999999</v>
      </c>
      <c r="F651" t="s">
        <v>41</v>
      </c>
      <c r="G651">
        <v>-287.39850000000001</v>
      </c>
      <c r="H651">
        <v>0.9673543</v>
      </c>
      <c r="I651">
        <v>366.69080000000002</v>
      </c>
      <c r="J651">
        <v>-288.2269</v>
      </c>
      <c r="K651">
        <v>1.059204</v>
      </c>
      <c r="L651">
        <v>366.78879999999998</v>
      </c>
      <c r="M651">
        <v>0.99987340000000002</v>
      </c>
      <c r="N651">
        <v>0</v>
      </c>
      <c r="O651">
        <v>4.8044610000000003E-3</v>
      </c>
      <c r="P651">
        <v>0.99180690000000005</v>
      </c>
      <c r="Q651">
        <v>0.11483210000000001</v>
      </c>
      <c r="R651">
        <v>-5.5975780000000003E-2</v>
      </c>
      <c r="S651">
        <v>3.0390929999999998</v>
      </c>
      <c r="T651">
        <v>-0.25120389999999998</v>
      </c>
      <c r="U651">
        <v>-0.2627563</v>
      </c>
      <c r="V651">
        <v>6.0472440000000002E-2</v>
      </c>
      <c r="W651">
        <v>0.12999859999999999</v>
      </c>
      <c r="X651">
        <v>0.9896684</v>
      </c>
      <c r="Y651">
        <v>9.0600639999999996E-2</v>
      </c>
      <c r="Z651">
        <v>-4.1268930000000004E-3</v>
      </c>
      <c r="AA651">
        <v>0.99587879999999995</v>
      </c>
      <c r="AB651">
        <v>52</v>
      </c>
      <c r="AC651">
        <v>0.82839999999998704</v>
      </c>
      <c r="AD651">
        <v>-9.1849700000000006E-2</v>
      </c>
      <c r="AE651">
        <v>-9.7999999999956303E-2</v>
      </c>
      <c r="AF651">
        <v>0.10075777297923801</v>
      </c>
      <c r="AG651">
        <v>-9.1849700000000006E-2</v>
      </c>
      <c r="AH651">
        <v>0.81800223310509701</v>
      </c>
      <c r="AI651">
        <v>96.358983753573398</v>
      </c>
      <c r="AJ651">
        <v>82.977938774250504</v>
      </c>
      <c r="AK651">
        <v>0.82928653044092804</v>
      </c>
      <c r="AL651">
        <v>82.530488937109496</v>
      </c>
      <c r="AM651">
        <v>86.503361057679101</v>
      </c>
      <c r="AN651">
        <v>1.0000000469800301</v>
      </c>
    </row>
    <row r="652" spans="1:40" x14ac:dyDescent="0.25">
      <c r="A652" t="str">
        <f>"20190312164448156"</f>
        <v>20190312164448156</v>
      </c>
      <c r="B652" t="str">
        <f>"1552380288152520"</f>
        <v>1552380288152520</v>
      </c>
      <c r="C652" t="s">
        <v>40</v>
      </c>
      <c r="D652">
        <v>4.9230720000000003</v>
      </c>
      <c r="E652">
        <v>0.51544290000000004</v>
      </c>
      <c r="F652" t="s">
        <v>41</v>
      </c>
      <c r="G652">
        <v>-287.3877</v>
      </c>
      <c r="H652">
        <v>0.98987999999999998</v>
      </c>
      <c r="I652">
        <v>366.71570000000003</v>
      </c>
      <c r="J652">
        <v>-287.94479999999999</v>
      </c>
      <c r="K652">
        <v>1.0592060000000001</v>
      </c>
      <c r="L652">
        <v>366.7903</v>
      </c>
      <c r="M652">
        <v>0.99987170000000003</v>
      </c>
      <c r="N652">
        <v>0</v>
      </c>
      <c r="O652">
        <v>5.1480720000000001E-3</v>
      </c>
      <c r="P652">
        <v>0.9918283</v>
      </c>
      <c r="Q652">
        <v>0.1147736</v>
      </c>
      <c r="R652">
        <v>-5.5713859999999997E-2</v>
      </c>
      <c r="S652">
        <v>3.0390009999999998</v>
      </c>
      <c r="T652">
        <v>-0.2513688</v>
      </c>
      <c r="U652">
        <v>-0.26327509999999998</v>
      </c>
      <c r="V652">
        <v>6.0550779999999998E-2</v>
      </c>
      <c r="W652">
        <v>0.12993759999999999</v>
      </c>
      <c r="X652">
        <v>0.98967159999999998</v>
      </c>
      <c r="Y652">
        <v>9.1110839999999998E-2</v>
      </c>
      <c r="Z652">
        <v>-4.179037E-3</v>
      </c>
      <c r="AA652">
        <v>0.99583200000000005</v>
      </c>
      <c r="AB652">
        <v>52</v>
      </c>
      <c r="AC652">
        <v>0.55709999999999105</v>
      </c>
      <c r="AD652">
        <v>-6.9325999999999804E-2</v>
      </c>
      <c r="AE652">
        <v>-7.4599999999975297E-2</v>
      </c>
      <c r="AF652">
        <v>7.6306500986574405E-2</v>
      </c>
      <c r="AG652">
        <v>-6.9325999999999804E-2</v>
      </c>
      <c r="AH652">
        <v>0.54836636932911498</v>
      </c>
      <c r="AI652">
        <v>97.137217581562098</v>
      </c>
      <c r="AJ652">
        <v>82.078025013551496</v>
      </c>
      <c r="AK652">
        <v>0.55797352211373796</v>
      </c>
      <c r="AL652">
        <v>82.534013722512</v>
      </c>
      <c r="AM652">
        <v>86.498853833246201</v>
      </c>
      <c r="AN652">
        <v>1.0000000263494599</v>
      </c>
    </row>
    <row r="653" spans="1:40" x14ac:dyDescent="0.25">
      <c r="A653" t="str">
        <f>"20190312164448168"</f>
        <v>20190312164448168</v>
      </c>
      <c r="B653" t="str">
        <f>"1552380288162281"</f>
        <v>1552380288162281</v>
      </c>
      <c r="C653" t="s">
        <v>40</v>
      </c>
      <c r="D653">
        <v>4.8996079999999997</v>
      </c>
      <c r="E653">
        <v>0.51547869999999996</v>
      </c>
      <c r="F653" t="s">
        <v>41</v>
      </c>
      <c r="G653">
        <v>-286.93020000000001</v>
      </c>
      <c r="H653">
        <v>0.97512529999999997</v>
      </c>
      <c r="I653">
        <v>366.70229999999998</v>
      </c>
      <c r="J653">
        <v>-287.65589999999997</v>
      </c>
      <c r="K653">
        <v>1.059204</v>
      </c>
      <c r="L653">
        <v>366.7919</v>
      </c>
      <c r="M653">
        <v>0.99986980000000003</v>
      </c>
      <c r="N653">
        <v>0</v>
      </c>
      <c r="O653">
        <v>5.5002030000000004E-3</v>
      </c>
      <c r="P653">
        <v>0.99184329999999998</v>
      </c>
      <c r="Q653">
        <v>0.1147205</v>
      </c>
      <c r="R653">
        <v>-5.5553859999999997E-2</v>
      </c>
      <c r="S653">
        <v>3.0390630000000001</v>
      </c>
      <c r="T653">
        <v>-0.25199149999999998</v>
      </c>
      <c r="U653">
        <v>-0.26296999999999998</v>
      </c>
      <c r="V653">
        <v>6.0739219999999997E-2</v>
      </c>
      <c r="W653">
        <v>0.12988139999999901</v>
      </c>
      <c r="X653">
        <v>0.98966739999999997</v>
      </c>
      <c r="Y653">
        <v>9.135691E-2</v>
      </c>
      <c r="Z653">
        <v>-4.2285559999999996E-3</v>
      </c>
      <c r="AA653">
        <v>0.99580930000000001</v>
      </c>
      <c r="AB653">
        <v>52</v>
      </c>
      <c r="AC653">
        <v>0.72569999999996004</v>
      </c>
      <c r="AD653">
        <v>-8.4078699999999895E-2</v>
      </c>
      <c r="AE653">
        <v>-8.9600000000018498E-2</v>
      </c>
      <c r="AF653">
        <v>9.2369321716708197E-2</v>
      </c>
      <c r="AG653">
        <v>-8.4078699999999895E-2</v>
      </c>
      <c r="AH653">
        <v>0.71573294017904698</v>
      </c>
      <c r="AI653">
        <v>96.645340211300905</v>
      </c>
      <c r="AJ653">
        <v>82.646306908992202</v>
      </c>
      <c r="AK653">
        <v>0.72655004029002501</v>
      </c>
      <c r="AL653">
        <v>82.537261043363202</v>
      </c>
      <c r="AM653">
        <v>86.487970283507494</v>
      </c>
      <c r="AN653">
        <v>0.99999999676746398</v>
      </c>
    </row>
    <row r="654" spans="1:40" x14ac:dyDescent="0.25">
      <c r="A654" t="str">
        <f>"20190312164448179"</f>
        <v>20190312164448179</v>
      </c>
      <c r="B654" t="str">
        <f>"1552380288172041"</f>
        <v>1552380288172041</v>
      </c>
      <c r="C654" t="s">
        <v>40</v>
      </c>
      <c r="D654">
        <v>4.9097309999999998</v>
      </c>
      <c r="E654">
        <v>0.5155303</v>
      </c>
      <c r="F654" t="s">
        <v>41</v>
      </c>
      <c r="G654">
        <v>-286.91730000000001</v>
      </c>
      <c r="H654">
        <v>0.9978553</v>
      </c>
      <c r="I654">
        <v>366.72789999999998</v>
      </c>
      <c r="J654">
        <v>-287.40010000000001</v>
      </c>
      <c r="K654">
        <v>1.0592060000000001</v>
      </c>
      <c r="L654">
        <v>366.79349999999999</v>
      </c>
      <c r="M654">
        <v>0.99986819999999998</v>
      </c>
      <c r="N654">
        <v>0</v>
      </c>
      <c r="O654">
        <v>5.812266E-3</v>
      </c>
      <c r="P654">
        <v>0.99186339999999995</v>
      </c>
      <c r="Q654">
        <v>0.1144886</v>
      </c>
      <c r="R654">
        <v>-5.5675259999999997E-2</v>
      </c>
      <c r="S654">
        <v>3.0391849999999998</v>
      </c>
      <c r="T654">
        <v>-0.25264199999999998</v>
      </c>
      <c r="U654">
        <v>-0.26281739999999998</v>
      </c>
      <c r="V654">
        <v>6.1170099999999998E-2</v>
      </c>
      <c r="W654">
        <v>0.12964729999999999</v>
      </c>
      <c r="X654">
        <v>0.98967150000000004</v>
      </c>
      <c r="Y654">
        <v>9.1611040000000005E-2</v>
      </c>
      <c r="Z654">
        <v>-4.2756549999999997E-3</v>
      </c>
      <c r="AA654">
        <v>0.9957857</v>
      </c>
      <c r="AB654">
        <v>52</v>
      </c>
      <c r="AC654">
        <v>0.48279999999999701</v>
      </c>
      <c r="AD654">
        <v>-6.13506999999998E-2</v>
      </c>
      <c r="AE654">
        <v>-6.5600000000017603E-2</v>
      </c>
      <c r="AF654">
        <v>6.73377519861343E-2</v>
      </c>
      <c r="AG654">
        <v>-6.13506999999998E-2</v>
      </c>
      <c r="AH654">
        <v>0.47488138206764702</v>
      </c>
      <c r="AI654">
        <v>97.289239305034897</v>
      </c>
      <c r="AJ654">
        <v>81.929315459018895</v>
      </c>
      <c r="AK654">
        <v>0.48353966566096201</v>
      </c>
      <c r="AL654">
        <v>82.550787940893997</v>
      </c>
      <c r="AM654">
        <v>86.463133814935503</v>
      </c>
      <c r="AN654">
        <v>0.99999994072177301</v>
      </c>
    </row>
    <row r="655" spans="1:40" x14ac:dyDescent="0.25">
      <c r="A655" t="str">
        <f>"20190312164448190"</f>
        <v>20190312164448190</v>
      </c>
      <c r="B655" t="str">
        <f>"1552380288182777"</f>
        <v>1552380288182777</v>
      </c>
      <c r="C655" t="s">
        <v>40</v>
      </c>
      <c r="D655">
        <v>4.9550239999999999</v>
      </c>
      <c r="E655">
        <v>0.51555960000000001</v>
      </c>
      <c r="F655" t="s">
        <v>41</v>
      </c>
      <c r="G655">
        <v>-286.46289999999999</v>
      </c>
      <c r="H655">
        <v>0.98115359999999996</v>
      </c>
      <c r="I655">
        <v>366.7122</v>
      </c>
      <c r="J655">
        <v>-287.1465</v>
      </c>
      <c r="K655">
        <v>1.059207</v>
      </c>
      <c r="L655">
        <v>366.79509999999999</v>
      </c>
      <c r="M655">
        <v>0.99986620000000004</v>
      </c>
      <c r="N655">
        <v>0</v>
      </c>
      <c r="O655">
        <v>6.1217040000000004E-3</v>
      </c>
      <c r="P655">
        <v>0.99191660000000004</v>
      </c>
      <c r="Q655">
        <v>0.1141273</v>
      </c>
      <c r="R655">
        <v>-5.5469169999999998E-2</v>
      </c>
      <c r="S655">
        <v>3.0390929999999998</v>
      </c>
      <c r="T655">
        <v>-0.253363</v>
      </c>
      <c r="U655">
        <v>-0.26300050000000003</v>
      </c>
      <c r="V655">
        <v>6.1271319999999997E-2</v>
      </c>
      <c r="W655">
        <v>0.1292847</v>
      </c>
      <c r="X655">
        <v>0.9897127</v>
      </c>
      <c r="Y655">
        <v>9.1977080000000003E-2</v>
      </c>
      <c r="Z655">
        <v>-4.3288459999999999E-3</v>
      </c>
      <c r="AA655">
        <v>0.99575170000000002</v>
      </c>
      <c r="AB655">
        <v>52</v>
      </c>
      <c r="AC655">
        <v>0.68360000000001198</v>
      </c>
      <c r="AD655">
        <v>-7.8053399999999995E-2</v>
      </c>
      <c r="AE655">
        <v>-8.2899999999995005E-2</v>
      </c>
      <c r="AF655">
        <v>8.5979056523722994E-2</v>
      </c>
      <c r="AG655">
        <v>-7.8053399999999995E-2</v>
      </c>
      <c r="AH655">
        <v>0.67441468776969404</v>
      </c>
      <c r="AI655">
        <v>96.549215654422397</v>
      </c>
      <c r="AJ655">
        <v>82.734728562186802</v>
      </c>
      <c r="AK655">
        <v>0.68433902598913898</v>
      </c>
      <c r="AL655">
        <v>82.571739931979295</v>
      </c>
      <c r="AM655">
        <v>86.457443250536102</v>
      </c>
      <c r="AN655">
        <v>0.99999996842495997</v>
      </c>
    </row>
    <row r="656" spans="1:40" x14ac:dyDescent="0.25">
      <c r="A656" t="str">
        <f>"20190312164448201"</f>
        <v>20190312164448201</v>
      </c>
      <c r="B656" t="str">
        <f>"1552380288192537"</f>
        <v>1552380288192537</v>
      </c>
      <c r="C656" t="s">
        <v>40</v>
      </c>
      <c r="D656">
        <v>4.9801129999999896</v>
      </c>
      <c r="E656">
        <v>0.51564920000000003</v>
      </c>
      <c r="F656" t="s">
        <v>41</v>
      </c>
      <c r="G656">
        <v>-286.00720000000001</v>
      </c>
      <c r="H656">
        <v>0.96377049999999997</v>
      </c>
      <c r="I656">
        <v>366.69650000000001</v>
      </c>
      <c r="J656">
        <v>-286.89800000000002</v>
      </c>
      <c r="K656">
        <v>1.0592109999999999</v>
      </c>
      <c r="L656">
        <v>366.79680000000002</v>
      </c>
      <c r="M656">
        <v>0.99986439999999999</v>
      </c>
      <c r="N656">
        <v>0</v>
      </c>
      <c r="O656">
        <v>6.4248789999999997E-3</v>
      </c>
      <c r="P656">
        <v>0.99193439999999999</v>
      </c>
      <c r="Q656">
        <v>0.1139768</v>
      </c>
      <c r="R656">
        <v>-5.5456940000000003E-2</v>
      </c>
      <c r="S656">
        <v>3.0390320000000002</v>
      </c>
      <c r="T656">
        <v>-0.2546002</v>
      </c>
      <c r="U656">
        <v>-0.26287840000000001</v>
      </c>
      <c r="V656">
        <v>6.1559839999999998E-2</v>
      </c>
      <c r="W656">
        <v>0.12913189999999999</v>
      </c>
      <c r="X656">
        <v>0.98971469999999995</v>
      </c>
      <c r="Y656">
        <v>9.2235709999999999E-2</v>
      </c>
      <c r="Z656">
        <v>-4.3861129999999996E-3</v>
      </c>
      <c r="AA656">
        <v>0.99572749999999999</v>
      </c>
      <c r="AB656">
        <v>52</v>
      </c>
      <c r="AC656">
        <v>0.89079999999995596</v>
      </c>
      <c r="AD656">
        <v>-9.5440500000000095E-2</v>
      </c>
      <c r="AE656">
        <v>-0.100300000000004</v>
      </c>
      <c r="AF656">
        <v>0.104833547903477</v>
      </c>
      <c r="AG656">
        <v>-9.5440500000000095E-2</v>
      </c>
      <c r="AH656">
        <v>0.88016022376267</v>
      </c>
      <c r="AI656">
        <v>96.145605516272596</v>
      </c>
      <c r="AJ656">
        <v>83.207651194277503</v>
      </c>
      <c r="AK656">
        <v>0.891504896958078</v>
      </c>
      <c r="AL656">
        <v>82.580568406922595</v>
      </c>
      <c r="AM656">
        <v>86.440811690106401</v>
      </c>
      <c r="AN656">
        <v>0.99999992444725905</v>
      </c>
    </row>
    <row r="657" spans="1:40" x14ac:dyDescent="0.25">
      <c r="A657" t="str">
        <f>"20190312164448211"</f>
        <v>20190312164448211</v>
      </c>
      <c r="B657" t="str">
        <f>"1552380288202297"</f>
        <v>1552380288202297</v>
      </c>
      <c r="C657" t="s">
        <v>40</v>
      </c>
      <c r="D657">
        <v>4.9576180000000001</v>
      </c>
      <c r="E657">
        <v>0.51573599999999997</v>
      </c>
      <c r="F657" t="s">
        <v>41</v>
      </c>
      <c r="G657">
        <v>-285.99779999999998</v>
      </c>
      <c r="H657">
        <v>0.98356770000000004</v>
      </c>
      <c r="I657">
        <v>366.71870000000001</v>
      </c>
      <c r="J657">
        <v>-286.66430000000003</v>
      </c>
      <c r="K657">
        <v>1.0592109999999999</v>
      </c>
      <c r="L657">
        <v>366.79849999999999</v>
      </c>
      <c r="M657">
        <v>0.99986260000000005</v>
      </c>
      <c r="N657">
        <v>0</v>
      </c>
      <c r="O657">
        <v>6.7102289999999998E-3</v>
      </c>
      <c r="P657">
        <v>0.99198909999999996</v>
      </c>
      <c r="Q657">
        <v>0.1136083</v>
      </c>
      <c r="R657">
        <v>-5.5238759999999998E-2</v>
      </c>
      <c r="S657">
        <v>3.0390009999999998</v>
      </c>
      <c r="T657">
        <v>-0.25538040000000001</v>
      </c>
      <c r="U657">
        <v>-0.26348880000000002</v>
      </c>
      <c r="V657">
        <v>6.1625199999999998E-2</v>
      </c>
      <c r="W657">
        <v>0.12876219999999999</v>
      </c>
      <c r="X657">
        <v>0.9897589</v>
      </c>
      <c r="Y657">
        <v>9.2714459999999999E-2</v>
      </c>
      <c r="Z657">
        <v>-4.443453E-3</v>
      </c>
      <c r="AA657">
        <v>0.99568279999999998</v>
      </c>
      <c r="AB657">
        <v>52</v>
      </c>
      <c r="AC657">
        <v>0.66650000000004095</v>
      </c>
      <c r="AD657">
        <v>-7.5643300000000094E-2</v>
      </c>
      <c r="AE657">
        <v>-7.9799999999977403E-2</v>
      </c>
      <c r="AF657">
        <v>8.3214370529002907E-2</v>
      </c>
      <c r="AG657">
        <v>-7.5643300000000094E-2</v>
      </c>
      <c r="AH657">
        <v>0.65759880635297396</v>
      </c>
      <c r="AI657">
        <v>96.510400134805494</v>
      </c>
      <c r="AJ657">
        <v>82.787966282974097</v>
      </c>
      <c r="AK657">
        <v>0.66714520939169197</v>
      </c>
      <c r="AL657">
        <v>82.601929733990204</v>
      </c>
      <c r="AM657">
        <v>86.437201220724504</v>
      </c>
      <c r="AN657">
        <v>1.0000000247765399</v>
      </c>
    </row>
    <row r="658" spans="1:40" x14ac:dyDescent="0.25">
      <c r="A658" t="str">
        <f>"20190312164448220"</f>
        <v>20190312164448220</v>
      </c>
      <c r="B658" t="str">
        <f>"1552380288212057"</f>
        <v>1552380288212057</v>
      </c>
      <c r="C658" t="s">
        <v>40</v>
      </c>
      <c r="D658">
        <v>4.9793409999999998</v>
      </c>
      <c r="E658">
        <v>0.51562370000000002</v>
      </c>
      <c r="F658" t="s">
        <v>41</v>
      </c>
      <c r="G658">
        <v>-285.54320000000001</v>
      </c>
      <c r="H658">
        <v>0.96457470000000001</v>
      </c>
      <c r="I658">
        <v>366.70100000000002</v>
      </c>
      <c r="J658">
        <v>-286.42720000000003</v>
      </c>
      <c r="K658">
        <v>1.0592090000000001</v>
      </c>
      <c r="L658">
        <v>366.80020000000002</v>
      </c>
      <c r="M658">
        <v>0.99986050000000004</v>
      </c>
      <c r="N658">
        <v>0</v>
      </c>
      <c r="O658">
        <v>7.0002220000000004E-3</v>
      </c>
      <c r="P658">
        <v>0.99204729999999997</v>
      </c>
      <c r="Q658">
        <v>0.11322160000000001</v>
      </c>
      <c r="R658">
        <v>-5.498683E-2</v>
      </c>
      <c r="S658">
        <v>3.0389710000000001</v>
      </c>
      <c r="T658">
        <v>-0.25676729999999998</v>
      </c>
      <c r="U658">
        <v>-0.26333620000000002</v>
      </c>
      <c r="V658">
        <v>6.166162E-2</v>
      </c>
      <c r="W658">
        <v>0.12837390000000001</v>
      </c>
      <c r="X658">
        <v>0.98980710000000005</v>
      </c>
      <c r="Y658">
        <v>9.2948810000000007E-2</v>
      </c>
      <c r="Z658">
        <v>-4.5018360000000004E-3</v>
      </c>
      <c r="AA658">
        <v>0.99566069999999995</v>
      </c>
      <c r="AB658">
        <v>52</v>
      </c>
      <c r="AC658">
        <v>0.884000000000014</v>
      </c>
      <c r="AD658">
        <v>-9.4634300000000102E-2</v>
      </c>
      <c r="AE658">
        <v>-9.9200000000052996E-2</v>
      </c>
      <c r="AF658">
        <v>0.104207093136748</v>
      </c>
      <c r="AG658">
        <v>-9.4634300000000102E-2</v>
      </c>
      <c r="AH658">
        <v>0.87339897392230104</v>
      </c>
      <c r="AI658">
        <v>96.140755371522204</v>
      </c>
      <c r="AJ658">
        <v>83.196082235241803</v>
      </c>
      <c r="AK658">
        <v>0.88466973308971597</v>
      </c>
      <c r="AL658">
        <v>82.6243640923377</v>
      </c>
      <c r="AM658">
        <v>86.435274213443606</v>
      </c>
      <c r="AN658">
        <v>1.0000000543963199</v>
      </c>
    </row>
    <row r="659" spans="1:40" x14ac:dyDescent="0.25">
      <c r="A659" t="str">
        <f>"20190312164448232"</f>
        <v>20190312164448232</v>
      </c>
      <c r="B659" t="str">
        <f>"1552380288222794"</f>
        <v>1552380288222794</v>
      </c>
      <c r="C659" t="s">
        <v>40</v>
      </c>
      <c r="D659">
        <v>5.0178760000000002</v>
      </c>
      <c r="E659">
        <v>0.51562370000000002</v>
      </c>
      <c r="F659" t="s">
        <v>41</v>
      </c>
      <c r="G659">
        <v>-285.5342</v>
      </c>
      <c r="H659">
        <v>0.98342819999999997</v>
      </c>
      <c r="I659">
        <v>366.72309999999999</v>
      </c>
      <c r="J659">
        <v>-286.17790000000002</v>
      </c>
      <c r="K659">
        <v>1.0592079999999999</v>
      </c>
      <c r="L659">
        <v>366.8021</v>
      </c>
      <c r="M659">
        <v>0.99985849999999998</v>
      </c>
      <c r="N659">
        <v>0</v>
      </c>
      <c r="O659">
        <v>7.305115E-3</v>
      </c>
      <c r="P659">
        <v>0.99210050000000005</v>
      </c>
      <c r="Q659">
        <v>0.112752</v>
      </c>
      <c r="R659">
        <v>-5.4987510000000003E-2</v>
      </c>
      <c r="S659">
        <v>3.0390630000000001</v>
      </c>
      <c r="T659">
        <v>-0.25817469999999998</v>
      </c>
      <c r="U659">
        <v>-0.2616272</v>
      </c>
      <c r="V659">
        <v>6.1966069999999998E-2</v>
      </c>
      <c r="W659">
        <v>0.12790290000000001</v>
      </c>
      <c r="X659">
        <v>0.98984899999999998</v>
      </c>
      <c r="Y659">
        <v>9.2690040000000001E-2</v>
      </c>
      <c r="Z659">
        <v>-4.5412600000000001E-3</v>
      </c>
      <c r="AA659">
        <v>0.99568469999999998</v>
      </c>
      <c r="AB659">
        <v>52</v>
      </c>
      <c r="AC659">
        <v>0.64370000000002303</v>
      </c>
      <c r="AD659">
        <v>-7.5779799999999897E-2</v>
      </c>
      <c r="AE659">
        <v>-7.9000000000007703E-2</v>
      </c>
      <c r="AF659">
        <v>8.2573310898166594E-2</v>
      </c>
      <c r="AG659">
        <v>-7.5779799999999897E-2</v>
      </c>
      <c r="AH659">
        <v>0.63444321459519804</v>
      </c>
      <c r="AI659">
        <v>96.754872635641703</v>
      </c>
      <c r="AJ659">
        <v>82.584589740444798</v>
      </c>
      <c r="AK659">
        <v>0.64426634422932105</v>
      </c>
      <c r="AL659">
        <v>82.651574275056504</v>
      </c>
      <c r="AM659">
        <v>86.417870587518493</v>
      </c>
      <c r="AN659">
        <v>0.99999999423032704</v>
      </c>
    </row>
    <row r="660" spans="1:40" x14ac:dyDescent="0.25">
      <c r="A660" t="str">
        <f>"20190312164448243"</f>
        <v>20190312164448243</v>
      </c>
      <c r="B660" t="str">
        <f>"1552380288232553"</f>
        <v>1552380288232553</v>
      </c>
      <c r="C660" t="s">
        <v>40</v>
      </c>
      <c r="D660">
        <v>4.9654230000000004</v>
      </c>
      <c r="E660">
        <v>0.49792170000000002</v>
      </c>
      <c r="F660" t="s">
        <v>41</v>
      </c>
      <c r="G660">
        <v>-285.0795</v>
      </c>
      <c r="H660">
        <v>0.96541600000000005</v>
      </c>
      <c r="I660">
        <v>366.70749999999998</v>
      </c>
      <c r="J660">
        <v>-285.90750000000003</v>
      </c>
      <c r="K660">
        <v>1.059205</v>
      </c>
      <c r="L660">
        <v>366.80430000000001</v>
      </c>
      <c r="M660">
        <v>0.99985599999999997</v>
      </c>
      <c r="N660">
        <v>0</v>
      </c>
      <c r="O660">
        <v>7.6363480000000003E-3</v>
      </c>
      <c r="P660">
        <v>0.9921681</v>
      </c>
      <c r="Q660">
        <v>0.11219949999999999</v>
      </c>
      <c r="R660">
        <v>-5.4900169999999998E-2</v>
      </c>
      <c r="S660">
        <v>3.0389710000000001</v>
      </c>
      <c r="T660">
        <v>-0.25968049999999998</v>
      </c>
      <c r="U660">
        <v>-0.26104739999999999</v>
      </c>
      <c r="V660">
        <v>6.2208590000000001E-2</v>
      </c>
      <c r="W660">
        <v>0.12734909999999999</v>
      </c>
      <c r="X660">
        <v>0.98990520000000004</v>
      </c>
      <c r="Y660">
        <v>9.2827969999999996E-2</v>
      </c>
      <c r="Z660">
        <v>-4.6019049999999999E-3</v>
      </c>
      <c r="AA660">
        <v>0.99567150000000004</v>
      </c>
      <c r="AB660">
        <v>52</v>
      </c>
      <c r="AC660">
        <v>0.82800000000003104</v>
      </c>
      <c r="AD660">
        <v>-9.3788999999999997E-2</v>
      </c>
      <c r="AE660">
        <v>-9.6800000000030195E-2</v>
      </c>
      <c r="AF660">
        <v>0.10183186344725299</v>
      </c>
      <c r="AG660">
        <v>-9.3788999999999997E-2</v>
      </c>
      <c r="AH660">
        <v>0.81689670669425996</v>
      </c>
      <c r="AI660">
        <v>96.499657306679694</v>
      </c>
      <c r="AJ660">
        <v>82.894336599150193</v>
      </c>
      <c r="AK660">
        <v>0.82854470871647401</v>
      </c>
      <c r="AL660">
        <v>82.683566365370794</v>
      </c>
      <c r="AM660">
        <v>86.404091356329005</v>
      </c>
      <c r="AN660">
        <v>1.0000000034638099</v>
      </c>
    </row>
    <row r="661" spans="1:40" x14ac:dyDescent="0.25">
      <c r="A661" t="str">
        <f>"20190312164448255"</f>
        <v>20190312164448255</v>
      </c>
      <c r="B661" t="str">
        <f>"1552380288242313"</f>
        <v>1552380288242313</v>
      </c>
      <c r="C661" t="s">
        <v>40</v>
      </c>
      <c r="D661">
        <v>5.0413519999999998</v>
      </c>
      <c r="E661">
        <v>0.49722670000000002</v>
      </c>
      <c r="F661" t="s">
        <v>41</v>
      </c>
      <c r="G661">
        <v>-285.0684</v>
      </c>
      <c r="H661">
        <v>0.98914170000000001</v>
      </c>
      <c r="I661">
        <v>366.77100000000002</v>
      </c>
      <c r="J661">
        <v>-285.65730000000002</v>
      </c>
      <c r="K661">
        <v>1.059205</v>
      </c>
      <c r="L661">
        <v>366.80630000000002</v>
      </c>
      <c r="M661">
        <v>0.99985360000000001</v>
      </c>
      <c r="N661">
        <v>0</v>
      </c>
      <c r="O661">
        <v>7.9426669999999901E-3</v>
      </c>
      <c r="P661">
        <v>0.99226769999999997</v>
      </c>
      <c r="Q661">
        <v>0.11148760000000001</v>
      </c>
      <c r="R661">
        <v>-5.4549390000000003E-2</v>
      </c>
      <c r="S661">
        <v>3.0458069999999999</v>
      </c>
      <c r="T661">
        <v>-0.25452010000000003</v>
      </c>
      <c r="U661">
        <v>-0.119812</v>
      </c>
      <c r="V661">
        <v>6.2163719999999999E-2</v>
      </c>
      <c r="W661">
        <v>0.1266359</v>
      </c>
      <c r="X661">
        <v>0.98999950000000003</v>
      </c>
      <c r="Y661">
        <v>4.705111E-2</v>
      </c>
      <c r="Z661">
        <v>-2.6241260000000001E-3</v>
      </c>
      <c r="AA661">
        <v>0.99888900000000003</v>
      </c>
      <c r="AB661">
        <v>52</v>
      </c>
      <c r="AC661">
        <v>0.58890000000002296</v>
      </c>
      <c r="AD661">
        <v>-7.0063299999999995E-2</v>
      </c>
      <c r="AE661">
        <v>-3.5300000000063302E-2</v>
      </c>
      <c r="AF661">
        <v>3.9420870590643399E-2</v>
      </c>
      <c r="AG661">
        <v>-7.0063299999999995E-2</v>
      </c>
      <c r="AH661">
        <v>0.58041487557687499</v>
      </c>
      <c r="AI661">
        <v>96.867341363805096</v>
      </c>
      <c r="AJ661">
        <v>86.114527383801999</v>
      </c>
      <c r="AK661">
        <v>0.58595588471823801</v>
      </c>
      <c r="AL661">
        <v>82.724763194809697</v>
      </c>
      <c r="AM661">
        <v>86.407019602634406</v>
      </c>
      <c r="AN661">
        <v>0.99999999462664901</v>
      </c>
    </row>
    <row r="662" spans="1:40" x14ac:dyDescent="0.25">
      <c r="A662" t="str">
        <f>"20190312164448266"</f>
        <v>20190312164448266</v>
      </c>
      <c r="B662" t="str">
        <f>"1552380288262809"</f>
        <v>1552380288262809</v>
      </c>
      <c r="C662" t="s">
        <v>40</v>
      </c>
      <c r="D662">
        <v>5.164174</v>
      </c>
      <c r="E662">
        <v>0.4958862</v>
      </c>
      <c r="F662" t="s">
        <v>41</v>
      </c>
      <c r="G662">
        <v>-284.61110000000002</v>
      </c>
      <c r="H662">
        <v>0.97782409999999997</v>
      </c>
      <c r="I662">
        <v>366.76670000000001</v>
      </c>
      <c r="J662">
        <v>-285.38850000000002</v>
      </c>
      <c r="K662">
        <v>1.0592029999999999</v>
      </c>
      <c r="L662">
        <v>366.80860000000001</v>
      </c>
      <c r="M662">
        <v>0.99985100000000005</v>
      </c>
      <c r="N662">
        <v>0</v>
      </c>
      <c r="O662">
        <v>8.2717580000000006E-3</v>
      </c>
      <c r="P662">
        <v>0.99235669999999998</v>
      </c>
      <c r="Q662">
        <v>0.1108111</v>
      </c>
      <c r="R662">
        <v>-5.4308439999999999E-2</v>
      </c>
      <c r="S662">
        <v>3.0437319999999999</v>
      </c>
      <c r="T662">
        <v>-0.23717740000000001</v>
      </c>
      <c r="U662">
        <v>-0.11413570000000001</v>
      </c>
      <c r="V662">
        <v>6.2251000000000001E-2</v>
      </c>
      <c r="W662">
        <v>0.1259585</v>
      </c>
      <c r="X662">
        <v>0.99008039999999997</v>
      </c>
      <c r="Y662">
        <v>4.557489E-2</v>
      </c>
      <c r="Z662">
        <v>-2.415819E-3</v>
      </c>
      <c r="AA662">
        <v>0.99895800000000001</v>
      </c>
      <c r="AB662">
        <v>52</v>
      </c>
      <c r="AC662">
        <v>0.77739999999999998</v>
      </c>
      <c r="AD662">
        <v>-8.1378900000000101E-2</v>
      </c>
      <c r="AE662">
        <v>-4.1899999999998203E-2</v>
      </c>
      <c r="AF662">
        <v>4.7807408986321402E-2</v>
      </c>
      <c r="AG662">
        <v>-8.1378900000000101E-2</v>
      </c>
      <c r="AH662">
        <v>0.76862847394412703</v>
      </c>
      <c r="AI662">
        <v>96.032131507090199</v>
      </c>
      <c r="AJ662">
        <v>86.440882998495695</v>
      </c>
      <c r="AK662">
        <v>0.77440157843128998</v>
      </c>
      <c r="AL662">
        <v>82.763888437527498</v>
      </c>
      <c r="AM662">
        <v>86.402281400566693</v>
      </c>
      <c r="AN662">
        <v>0.99999996459370399</v>
      </c>
    </row>
    <row r="663" spans="1:40" x14ac:dyDescent="0.25">
      <c r="A663" t="str">
        <f>"20190312164448276"</f>
        <v>20190312164448276</v>
      </c>
      <c r="B663" t="str">
        <f>"1552380288272568"</f>
        <v>1552380288272568</v>
      </c>
      <c r="C663" t="s">
        <v>40</v>
      </c>
      <c r="D663">
        <v>5.0536190000000003</v>
      </c>
      <c r="E663">
        <v>0.495535</v>
      </c>
      <c r="F663" t="s">
        <v>42</v>
      </c>
      <c r="G663">
        <v>-271.13659999999999</v>
      </c>
      <c r="H663" s="1">
        <v>-4.3681819999999999E-6</v>
      </c>
      <c r="I663">
        <v>366.32690000000002</v>
      </c>
      <c r="J663">
        <v>-285.15410000000003</v>
      </c>
      <c r="K663">
        <v>1.0592010000000001</v>
      </c>
      <c r="L663">
        <v>366.8107</v>
      </c>
      <c r="M663">
        <v>0.99984870000000003</v>
      </c>
      <c r="N663">
        <v>0</v>
      </c>
      <c r="O663">
        <v>8.5591160000000003E-3</v>
      </c>
      <c r="P663">
        <v>0.99239759999999999</v>
      </c>
      <c r="Q663">
        <v>0.1106053</v>
      </c>
      <c r="R663">
        <v>-5.3976120000000002E-2</v>
      </c>
      <c r="S663">
        <v>3.0427249999999999</v>
      </c>
      <c r="T663">
        <v>-0.22613430000000001</v>
      </c>
      <c r="U663">
        <v>-0.1028442</v>
      </c>
      <c r="V663">
        <v>6.2204710000000003E-2</v>
      </c>
      <c r="W663">
        <v>0.1257508</v>
      </c>
      <c r="X663">
        <v>0.99010969999999998</v>
      </c>
      <c r="Y663">
        <v>4.21949E-2</v>
      </c>
      <c r="Z663">
        <v>-2.2004949999999998E-3</v>
      </c>
      <c r="AA663">
        <v>0.99910699999999997</v>
      </c>
      <c r="AB663">
        <v>52</v>
      </c>
      <c r="AC663">
        <v>14.0175</v>
      </c>
      <c r="AD663">
        <v>-1.059205368182</v>
      </c>
      <c r="AE663">
        <v>-0.48379999999997297</v>
      </c>
      <c r="AF663">
        <v>0.60034965706417298</v>
      </c>
      <c r="AG663">
        <v>-1.059205368182</v>
      </c>
      <c r="AH663">
        <v>13.933383179990001</v>
      </c>
      <c r="AI663">
        <v>94.343206805125206</v>
      </c>
      <c r="AJ663">
        <v>87.532814645500594</v>
      </c>
      <c r="AK663">
        <v>13.986475702018399</v>
      </c>
      <c r="AL663">
        <v>82.775884074916206</v>
      </c>
      <c r="AM663">
        <v>86.405055762574193</v>
      </c>
      <c r="AN663">
        <v>0.99999995384045504</v>
      </c>
    </row>
    <row r="664" spans="1:40" x14ac:dyDescent="0.25">
      <c r="A664" t="str">
        <f>"20190312164448289"</f>
        <v>20190312164448289</v>
      </c>
      <c r="B664" t="str">
        <f>"1552380288282329"</f>
        <v>1552380288282329</v>
      </c>
      <c r="C664" t="s">
        <v>40</v>
      </c>
      <c r="D664">
        <v>5.0015229999999997</v>
      </c>
      <c r="E664">
        <v>0.49545070000000002</v>
      </c>
      <c r="F664" t="s">
        <v>41</v>
      </c>
      <c r="G664">
        <v>-284.14530000000002</v>
      </c>
      <c r="H664">
        <v>0.98431089999999999</v>
      </c>
      <c r="I664">
        <v>366.77780000000001</v>
      </c>
      <c r="J664">
        <v>-284.86329999999998</v>
      </c>
      <c r="K664">
        <v>1.059202</v>
      </c>
      <c r="L664">
        <v>366.8134</v>
      </c>
      <c r="M664">
        <v>0.9998456</v>
      </c>
      <c r="N664">
        <v>0</v>
      </c>
      <c r="O664">
        <v>8.9159730000000006E-3</v>
      </c>
      <c r="P664">
        <v>0.99246979999999996</v>
      </c>
      <c r="Q664">
        <v>0.1100907</v>
      </c>
      <c r="R664">
        <v>-5.3702659999999999E-2</v>
      </c>
      <c r="S664">
        <v>3.0428160000000002</v>
      </c>
      <c r="T664">
        <v>-0.22605500000000001</v>
      </c>
      <c r="U664">
        <v>-9.8785399999999995E-2</v>
      </c>
      <c r="V664">
        <v>6.228674E-2</v>
      </c>
      <c r="W664">
        <v>0.1252347</v>
      </c>
      <c r="X664">
        <v>0.99016999999999999</v>
      </c>
      <c r="Y664">
        <v>4.1221000000000001E-2</v>
      </c>
      <c r="Z664">
        <v>-2.1900629999999999E-3</v>
      </c>
      <c r="AA664">
        <v>0.99914769999999997</v>
      </c>
      <c r="AB664">
        <v>52</v>
      </c>
      <c r="AC664">
        <v>0.71799999999996</v>
      </c>
      <c r="AD664">
        <v>-7.4891099999999905E-2</v>
      </c>
      <c r="AE664">
        <v>-3.5599999999988002E-2</v>
      </c>
      <c r="AF664">
        <v>4.1550049395994798E-2</v>
      </c>
      <c r="AG664">
        <v>-7.4891099999999905E-2</v>
      </c>
      <c r="AH664">
        <v>0.70994901475623096</v>
      </c>
      <c r="AI664">
        <v>96.0115357479241</v>
      </c>
      <c r="AJ664">
        <v>86.6505623427594</v>
      </c>
      <c r="AK664">
        <v>0.71509627814537202</v>
      </c>
      <c r="AL664">
        <v>82.805690381433195</v>
      </c>
      <c r="AM664">
        <v>86.400546167611395</v>
      </c>
      <c r="AN664">
        <v>0.99999999848195797</v>
      </c>
    </row>
    <row r="665" spans="1:40" x14ac:dyDescent="0.25">
      <c r="A665" t="str">
        <f>"20190312164448300"</f>
        <v>20190312164448300</v>
      </c>
      <c r="B665" t="str">
        <f>"1552380288292089"</f>
        <v>1552380288292089</v>
      </c>
      <c r="C665" t="s">
        <v>40</v>
      </c>
      <c r="D665">
        <v>4.9919070000000003</v>
      </c>
      <c r="E665">
        <v>0.49548880000000001</v>
      </c>
      <c r="F665" t="s">
        <v>41</v>
      </c>
      <c r="G665">
        <v>-283.68869999999998</v>
      </c>
      <c r="H665">
        <v>0.97290690000000002</v>
      </c>
      <c r="I665">
        <v>366.7756</v>
      </c>
      <c r="J665">
        <v>-284.57220000000001</v>
      </c>
      <c r="K665">
        <v>1.0591969999999999</v>
      </c>
      <c r="L665">
        <v>366.81619999999998</v>
      </c>
      <c r="M665">
        <v>0.99984229999999996</v>
      </c>
      <c r="N665">
        <v>0</v>
      </c>
      <c r="O665">
        <v>9.2732470000000001E-3</v>
      </c>
      <c r="P665">
        <v>0.99249149999999997</v>
      </c>
      <c r="Q665">
        <v>0.1100077</v>
      </c>
      <c r="R665">
        <v>-5.34677E-2</v>
      </c>
      <c r="S665">
        <v>3.042297</v>
      </c>
      <c r="T665">
        <v>-0.22378799999999999</v>
      </c>
      <c r="U665">
        <v>-9.7045900000000004E-2</v>
      </c>
      <c r="V665">
        <v>6.2406730000000001E-2</v>
      </c>
      <c r="W665">
        <v>0.12514910000000001</v>
      </c>
      <c r="X665">
        <v>0.99017330000000003</v>
      </c>
      <c r="Y665">
        <v>4.101515E-2</v>
      </c>
      <c r="Z665">
        <v>-2.187231E-3</v>
      </c>
      <c r="AA665">
        <v>0.99915609999999999</v>
      </c>
      <c r="AB665">
        <v>52</v>
      </c>
      <c r="AC665">
        <v>0.88350000000002604</v>
      </c>
      <c r="AD665">
        <v>-8.6290099999999995E-2</v>
      </c>
      <c r="AE665">
        <v>-4.0599999999983503E-2</v>
      </c>
      <c r="AF665">
        <v>4.8332033371783802E-2</v>
      </c>
      <c r="AG665">
        <v>-8.6290099999999995E-2</v>
      </c>
      <c r="AH665">
        <v>0.87475861262504095</v>
      </c>
      <c r="AI665">
        <v>95.625161243398793</v>
      </c>
      <c r="AJ665">
        <v>86.837517563903901</v>
      </c>
      <c r="AK665">
        <v>0.88033209481964703</v>
      </c>
      <c r="AL665">
        <v>82.810634024402205</v>
      </c>
      <c r="AM665">
        <v>86.393642401797194</v>
      </c>
      <c r="AN665">
        <v>1.00000003060649</v>
      </c>
    </row>
    <row r="666" spans="1:40" x14ac:dyDescent="0.25">
      <c r="A666" t="str">
        <f>"20190312164448314"</f>
        <v>20190312164448314</v>
      </c>
      <c r="B666" t="str">
        <f>"1552380288302825"</f>
        <v>1552380288302825</v>
      </c>
      <c r="C666" t="s">
        <v>40</v>
      </c>
      <c r="D666">
        <v>5.1596019999999996</v>
      </c>
      <c r="E666">
        <v>0.4961042</v>
      </c>
      <c r="F666" t="s">
        <v>41</v>
      </c>
      <c r="G666">
        <v>-283.67910000000001</v>
      </c>
      <c r="H666">
        <v>0.99145660000000002</v>
      </c>
      <c r="I666">
        <v>366.7876</v>
      </c>
      <c r="J666">
        <v>-284.29860000000002</v>
      </c>
      <c r="K666">
        <v>1.0591969999999999</v>
      </c>
      <c r="L666">
        <v>366.81880000000001</v>
      </c>
      <c r="M666">
        <v>0.99983920000000004</v>
      </c>
      <c r="N666">
        <v>0</v>
      </c>
      <c r="O666">
        <v>9.6090020000000002E-3</v>
      </c>
      <c r="P666">
        <v>0.99252839999999998</v>
      </c>
      <c r="Q666">
        <v>0.109843</v>
      </c>
      <c r="R666">
        <v>-5.3122080000000002E-2</v>
      </c>
      <c r="S666">
        <v>3.0431210000000002</v>
      </c>
      <c r="T666">
        <v>-0.23116590000000001</v>
      </c>
      <c r="U666">
        <v>-9.6405030000000003E-2</v>
      </c>
      <c r="V666">
        <v>6.2394789999999999E-2</v>
      </c>
      <c r="W666">
        <v>0.1249826</v>
      </c>
      <c r="X666">
        <v>0.99019500000000005</v>
      </c>
      <c r="Y666">
        <v>4.1121570000000003E-2</v>
      </c>
      <c r="Z666">
        <v>-2.2880349999999999E-3</v>
      </c>
      <c r="AA666">
        <v>0.99915149999999997</v>
      </c>
      <c r="AB666">
        <v>52</v>
      </c>
      <c r="AC666">
        <v>0.61950000000001604</v>
      </c>
      <c r="AD666">
        <v>-6.7740400000000006E-2</v>
      </c>
      <c r="AE666">
        <v>-3.1200000000012499E-2</v>
      </c>
      <c r="AF666">
        <v>3.6714147425911302E-2</v>
      </c>
      <c r="AG666">
        <v>-6.7740400000000006E-2</v>
      </c>
      <c r="AH666">
        <v>0.61187404652889299</v>
      </c>
      <c r="AI666">
        <v>96.306222356808703</v>
      </c>
      <c r="AJ666">
        <v>86.566210588504006</v>
      </c>
      <c r="AK666">
        <v>0.61670620171116597</v>
      </c>
      <c r="AL666">
        <v>82.820248677552399</v>
      </c>
      <c r="AM666">
        <v>86.394409378950499</v>
      </c>
      <c r="AN666">
        <v>0.99999994907345002</v>
      </c>
    </row>
    <row r="667" spans="1:40" x14ac:dyDescent="0.25">
      <c r="A667" t="str">
        <f>"20190312164448330"</f>
        <v>20190312164448330</v>
      </c>
      <c r="B667" t="str">
        <f>"1552380288322345"</f>
        <v>1552380288322345</v>
      </c>
      <c r="C667" t="s">
        <v>40</v>
      </c>
      <c r="D667">
        <v>5.1148030000000002</v>
      </c>
      <c r="E667">
        <v>0.4962395</v>
      </c>
      <c r="F667" t="s">
        <v>41</v>
      </c>
      <c r="G667">
        <v>-283.22500000000002</v>
      </c>
      <c r="H667">
        <v>0.97644699999999995</v>
      </c>
      <c r="I667">
        <v>366.78339999999997</v>
      </c>
      <c r="J667">
        <v>-283.93130000000002</v>
      </c>
      <c r="K667">
        <v>1.0591980000000001</v>
      </c>
      <c r="L667">
        <v>366.82260000000002</v>
      </c>
      <c r="M667">
        <v>0.99983489999999997</v>
      </c>
      <c r="N667">
        <v>0</v>
      </c>
      <c r="O667">
        <v>1.0059790000000001E-2</v>
      </c>
      <c r="P667">
        <v>0.99257649999999997</v>
      </c>
      <c r="Q667">
        <v>0.1095858</v>
      </c>
      <c r="R667">
        <v>-5.275436E-2</v>
      </c>
      <c r="S667">
        <v>3.0432429999999999</v>
      </c>
      <c r="T667">
        <v>-0.23461879999999999</v>
      </c>
      <c r="U667">
        <v>-0.1002502</v>
      </c>
      <c r="V667">
        <v>6.2475019999999999E-2</v>
      </c>
      <c r="W667">
        <v>0.12472279999999999</v>
      </c>
      <c r="X667">
        <v>0.99022279999999996</v>
      </c>
      <c r="Y667">
        <v>4.2821110000000003E-2</v>
      </c>
      <c r="Z667">
        <v>-2.4220679999999999E-3</v>
      </c>
      <c r="AA667">
        <v>0.99907979999999996</v>
      </c>
      <c r="AB667">
        <v>52</v>
      </c>
      <c r="AC667">
        <v>0.70629999999999804</v>
      </c>
      <c r="AD667">
        <v>-8.2750999999999894E-2</v>
      </c>
      <c r="AE667">
        <v>-3.9200000000050701E-2</v>
      </c>
      <c r="AF667">
        <v>4.5678960554965099E-2</v>
      </c>
      <c r="AG667">
        <v>-8.2750999999999894E-2</v>
      </c>
      <c r="AH667">
        <v>0.69634071320433999</v>
      </c>
      <c r="AI667">
        <v>96.762672170877195</v>
      </c>
      <c r="AJ667">
        <v>86.246855654683003</v>
      </c>
      <c r="AK667">
        <v>0.70272660708436996</v>
      </c>
      <c r="AL667">
        <v>82.835252236633593</v>
      </c>
      <c r="AM667">
        <v>86.389886490653097</v>
      </c>
      <c r="AN667">
        <v>1.00000004930183</v>
      </c>
    </row>
    <row r="668" spans="1:40" x14ac:dyDescent="0.25">
      <c r="A668" t="str">
        <f>"20190312164448343"</f>
        <v>20190312164448343</v>
      </c>
      <c r="B668" t="str">
        <f>"1552380288332105"</f>
        <v>1552380288332105</v>
      </c>
      <c r="C668" t="s">
        <v>40</v>
      </c>
      <c r="D668">
        <v>4.9805720000000004</v>
      </c>
      <c r="E668">
        <v>0.49626989999999999</v>
      </c>
      <c r="F668" t="s">
        <v>41</v>
      </c>
      <c r="G668">
        <v>-282.7663</v>
      </c>
      <c r="H668">
        <v>0.97047499999999998</v>
      </c>
      <c r="I668">
        <v>366.78399999999999</v>
      </c>
      <c r="J668">
        <v>-283.59730000000002</v>
      </c>
      <c r="K668">
        <v>1.0591900000000001</v>
      </c>
      <c r="L668">
        <v>366.82619999999997</v>
      </c>
      <c r="M668">
        <v>0.99983069999999996</v>
      </c>
      <c r="N668">
        <v>0</v>
      </c>
      <c r="O668">
        <v>1.046969E-2</v>
      </c>
      <c r="P668">
        <v>0.99266180000000004</v>
      </c>
      <c r="Q668">
        <v>0.1088944</v>
      </c>
      <c r="R668">
        <v>-5.258231E-2</v>
      </c>
      <c r="S668">
        <v>3.0427249999999999</v>
      </c>
      <c r="T668">
        <v>-0.23200190000000001</v>
      </c>
      <c r="U668">
        <v>-0.10006710000000001</v>
      </c>
      <c r="V668">
        <v>6.2712019999999993E-2</v>
      </c>
      <c r="W668">
        <v>0.12402970000000001</v>
      </c>
      <c r="X668">
        <v>0.99029480000000003</v>
      </c>
      <c r="Y668">
        <v>4.3177439999999997E-2</v>
      </c>
      <c r="Z668">
        <v>-2.4403070000000001E-3</v>
      </c>
      <c r="AA668">
        <v>0.99906439999999996</v>
      </c>
      <c r="AB668">
        <v>52</v>
      </c>
      <c r="AC668">
        <v>0.83100000000001695</v>
      </c>
      <c r="AD668">
        <v>-8.8714999999999794E-2</v>
      </c>
      <c r="AE668">
        <v>-4.2199999999979802E-2</v>
      </c>
      <c r="AF668">
        <v>5.0326892854657898E-2</v>
      </c>
      <c r="AG668">
        <v>-8.8714999999999794E-2</v>
      </c>
      <c r="AH668">
        <v>0.821177650813944</v>
      </c>
      <c r="AI668">
        <v>96.154512214014304</v>
      </c>
      <c r="AJ668">
        <v>86.492943397572901</v>
      </c>
      <c r="AK668">
        <v>0.82748769269742695</v>
      </c>
      <c r="AL668">
        <v>82.8752741948786</v>
      </c>
      <c r="AM668">
        <v>86.376490656816202</v>
      </c>
      <c r="AN668">
        <v>0.99999997742080404</v>
      </c>
    </row>
    <row r="669" spans="1:40" x14ac:dyDescent="0.25">
      <c r="A669" t="str">
        <f>"20190312164448358"</f>
        <v>20190312164448358</v>
      </c>
      <c r="B669" t="str">
        <f>"1552380288352601"</f>
        <v>1552380288352601</v>
      </c>
      <c r="C669" t="s">
        <v>40</v>
      </c>
      <c r="D669">
        <v>5.1456749999999998</v>
      </c>
      <c r="E669">
        <v>0.49635649999999998</v>
      </c>
      <c r="F669" t="s">
        <v>41</v>
      </c>
      <c r="G669">
        <v>-282.7525</v>
      </c>
      <c r="H669">
        <v>0.99486680000000005</v>
      </c>
      <c r="I669">
        <v>366.79820000000001</v>
      </c>
      <c r="J669">
        <v>-283.28379999999999</v>
      </c>
      <c r="K669">
        <v>1.0591889999999999</v>
      </c>
      <c r="L669">
        <v>366.8297</v>
      </c>
      <c r="M669">
        <v>0.99982660000000001</v>
      </c>
      <c r="N669">
        <v>0</v>
      </c>
      <c r="O669">
        <v>1.085347E-2</v>
      </c>
      <c r="P669">
        <v>0.99272740000000004</v>
      </c>
      <c r="Q669">
        <v>0.10845689999999999</v>
      </c>
      <c r="R669">
        <v>-5.2242999999999998E-2</v>
      </c>
      <c r="S669">
        <v>3.0423279999999999</v>
      </c>
      <c r="T669">
        <v>-0.23201469999999999</v>
      </c>
      <c r="U669">
        <v>-9.9914550000000005E-2</v>
      </c>
      <c r="V669">
        <v>6.2755499999999895E-2</v>
      </c>
      <c r="W669">
        <v>0.12359059999999999</v>
      </c>
      <c r="X669">
        <v>0.99034699999999998</v>
      </c>
      <c r="Y669">
        <v>4.3513000000000003E-2</v>
      </c>
      <c r="Z669">
        <v>-2.482756E-3</v>
      </c>
      <c r="AA669">
        <v>0.99904979999999999</v>
      </c>
      <c r="AB669">
        <v>52</v>
      </c>
      <c r="AC669">
        <v>0.531299999999987</v>
      </c>
      <c r="AD669">
        <v>-6.4322199999999996E-2</v>
      </c>
      <c r="AE669">
        <v>-3.1499999999993998E-2</v>
      </c>
      <c r="AF669">
        <v>3.6728808281626203E-2</v>
      </c>
      <c r="AG669">
        <v>-6.4322199999999996E-2</v>
      </c>
      <c r="AH669">
        <v>0.52328392059171902</v>
      </c>
      <c r="AI669">
        <v>96.990632123175203</v>
      </c>
      <c r="AJ669">
        <v>85.985047486774903</v>
      </c>
      <c r="AK669">
        <v>0.52850015356711999</v>
      </c>
      <c r="AL669">
        <v>82.900628254814194</v>
      </c>
      <c r="AM669">
        <v>86.374175689603106</v>
      </c>
      <c r="AN669">
        <v>1.0000000347988001</v>
      </c>
    </row>
    <row r="670" spans="1:40" x14ac:dyDescent="0.25">
      <c r="A670" t="str">
        <f>"20190312164448371"</f>
        <v>20190312164448371</v>
      </c>
      <c r="B670" t="str">
        <f>"1552380288362361"</f>
        <v>1552380288362361</v>
      </c>
      <c r="C670" t="s">
        <v>40</v>
      </c>
      <c r="D670">
        <v>5.1834049999999996</v>
      </c>
      <c r="E670">
        <v>0.496392</v>
      </c>
      <c r="F670" t="s">
        <v>41</v>
      </c>
      <c r="G670">
        <v>-282.29840000000002</v>
      </c>
      <c r="H670">
        <v>0.98427960000000003</v>
      </c>
      <c r="I670">
        <v>366.79730000000001</v>
      </c>
      <c r="J670">
        <v>-282.98149999999998</v>
      </c>
      <c r="K670">
        <v>1.0591889999999999</v>
      </c>
      <c r="L670">
        <v>366.83319999999998</v>
      </c>
      <c r="M670">
        <v>0.99982260000000001</v>
      </c>
      <c r="N670">
        <v>0</v>
      </c>
      <c r="O670">
        <v>1.1222940000000001E-2</v>
      </c>
      <c r="P670">
        <v>0.99276799999999998</v>
      </c>
      <c r="Q670">
        <v>0.1081718</v>
      </c>
      <c r="R670">
        <v>-5.20645E-2</v>
      </c>
      <c r="S670">
        <v>3.0420229999999999</v>
      </c>
      <c r="T670">
        <v>-0.231382</v>
      </c>
      <c r="U670">
        <v>-9.9700929999999993E-2</v>
      </c>
      <c r="V670">
        <v>6.2945119999999993E-2</v>
      </c>
      <c r="W670">
        <v>0.12330339999999999</v>
      </c>
      <c r="X670">
        <v>0.9903708</v>
      </c>
      <c r="Y670">
        <v>4.3814279999999997E-2</v>
      </c>
      <c r="Z670">
        <v>-2.5157529999999999E-3</v>
      </c>
      <c r="AA670">
        <v>0.99903660000000005</v>
      </c>
      <c r="AB670">
        <v>52</v>
      </c>
      <c r="AC670">
        <v>0.68309999999996696</v>
      </c>
      <c r="AD670">
        <v>-7.4909399999999904E-2</v>
      </c>
      <c r="AE670">
        <v>-3.5899999999969602E-2</v>
      </c>
      <c r="AF670">
        <v>4.3048748155334098E-2</v>
      </c>
      <c r="AG670">
        <v>-7.4909399999999904E-2</v>
      </c>
      <c r="AH670">
        <v>0.67456437175878103</v>
      </c>
      <c r="AI670">
        <v>96.323891543843402</v>
      </c>
      <c r="AJ670">
        <v>86.3485006722685</v>
      </c>
      <c r="AK670">
        <v>0.68007477866218602</v>
      </c>
      <c r="AL670">
        <v>82.917210680263295</v>
      </c>
      <c r="AM670">
        <v>86.363336535279899</v>
      </c>
      <c r="AN670">
        <v>1.000000069038</v>
      </c>
    </row>
    <row r="671" spans="1:40" x14ac:dyDescent="0.25">
      <c r="A671" t="str">
        <f>"20190312164448380"</f>
        <v>20190312164448380</v>
      </c>
      <c r="B671" t="str">
        <f>"1552380288372121"</f>
        <v>1552380288372121</v>
      </c>
      <c r="C671" t="s">
        <v>40</v>
      </c>
      <c r="D671">
        <v>5.0477910000000001</v>
      </c>
      <c r="E671">
        <v>0.49638850000000001</v>
      </c>
      <c r="F671" t="s">
        <v>41</v>
      </c>
      <c r="G671">
        <v>-281.84300000000002</v>
      </c>
      <c r="H671">
        <v>0.97312659999999995</v>
      </c>
      <c r="I671">
        <v>366.79579999999999</v>
      </c>
      <c r="J671">
        <v>-282.72179999999997</v>
      </c>
      <c r="K671">
        <v>1.0591889999999999</v>
      </c>
      <c r="L671">
        <v>366.83629999999999</v>
      </c>
      <c r="M671">
        <v>0.99981909999999896</v>
      </c>
      <c r="N671">
        <v>0</v>
      </c>
      <c r="O671">
        <v>1.1538039999999999E-2</v>
      </c>
      <c r="P671">
        <v>0.99280000000000002</v>
      </c>
      <c r="Q671">
        <v>0.1078933</v>
      </c>
      <c r="R671">
        <v>-5.2034209999999997E-2</v>
      </c>
      <c r="S671">
        <v>3.041779</v>
      </c>
      <c r="T671">
        <v>-0.2301559</v>
      </c>
      <c r="U671">
        <v>-9.9090579999999998E-2</v>
      </c>
      <c r="V671">
        <v>6.3228690000000004E-2</v>
      </c>
      <c r="W671">
        <v>0.1230232</v>
      </c>
      <c r="X671">
        <v>0.99038749999999998</v>
      </c>
      <c r="Y671">
        <v>4.3931919999999999E-2</v>
      </c>
      <c r="Z671">
        <v>-2.5309180000000001E-3</v>
      </c>
      <c r="AA671">
        <v>0.99903129999999996</v>
      </c>
      <c r="AB671">
        <v>52</v>
      </c>
      <c r="AC671">
        <v>0.87879999999995495</v>
      </c>
      <c r="AD671">
        <v>-8.60623999999999E-2</v>
      </c>
      <c r="AE671">
        <v>-4.0500000000008599E-2</v>
      </c>
      <c r="AF671">
        <v>5.01580648443819E-2</v>
      </c>
      <c r="AG671">
        <v>-8.60623999999999E-2</v>
      </c>
      <c r="AH671">
        <v>0.869948479904887</v>
      </c>
      <c r="AI671">
        <v>95.640475819752893</v>
      </c>
      <c r="AJ671">
        <v>86.700187010040693</v>
      </c>
      <c r="AK671">
        <v>0.87563287161430703</v>
      </c>
      <c r="AL671">
        <v>82.933387546261201</v>
      </c>
      <c r="AM671">
        <v>86.3470589307436</v>
      </c>
      <c r="AN671">
        <v>0.99999998756680297</v>
      </c>
    </row>
    <row r="672" spans="1:40" x14ac:dyDescent="0.25">
      <c r="A672" t="str">
        <f>"20190312164448392"</f>
        <v>20190312164448392</v>
      </c>
      <c r="B672" t="str">
        <f>"1552380288382858"</f>
        <v>1552380288382858</v>
      </c>
      <c r="C672" t="s">
        <v>40</v>
      </c>
      <c r="D672">
        <v>5.2213310000000002</v>
      </c>
      <c r="E672">
        <v>0.49643870000000001</v>
      </c>
      <c r="F672" t="s">
        <v>41</v>
      </c>
      <c r="G672">
        <v>-281.83409999999998</v>
      </c>
      <c r="H672">
        <v>0.99097729999999995</v>
      </c>
      <c r="I672">
        <v>366.80720000000002</v>
      </c>
      <c r="J672">
        <v>-282.48469999999998</v>
      </c>
      <c r="K672">
        <v>1.059186</v>
      </c>
      <c r="L672">
        <v>366.83909999999997</v>
      </c>
      <c r="M672">
        <v>0.99981569999999997</v>
      </c>
      <c r="N672">
        <v>0</v>
      </c>
      <c r="O672">
        <v>1.1824950000000001E-2</v>
      </c>
      <c r="P672">
        <v>0.99283049999999995</v>
      </c>
      <c r="Q672">
        <v>0.1076645</v>
      </c>
      <c r="R672">
        <v>-5.1925770000000003E-2</v>
      </c>
      <c r="S672">
        <v>3.041992</v>
      </c>
      <c r="T672">
        <v>-0.2340372</v>
      </c>
      <c r="U672">
        <v>-9.8602289999999995E-2</v>
      </c>
      <c r="V672">
        <v>6.340614E-2</v>
      </c>
      <c r="W672">
        <v>0.12279279999999999</v>
      </c>
      <c r="X672">
        <v>0.99040479999999997</v>
      </c>
      <c r="Y672">
        <v>4.4049579999999998E-2</v>
      </c>
      <c r="Z672">
        <v>-2.5998560000000002E-3</v>
      </c>
      <c r="AA672">
        <v>0.99902590000000002</v>
      </c>
      <c r="AB672">
        <v>52</v>
      </c>
      <c r="AC672">
        <v>0.65059999999999696</v>
      </c>
      <c r="AD672">
        <v>-6.82086999999999E-2</v>
      </c>
      <c r="AE672">
        <v>-3.1899999999950503E-2</v>
      </c>
      <c r="AF672">
        <v>3.9162544369863203E-2</v>
      </c>
      <c r="AG672">
        <v>-6.82086999999999E-2</v>
      </c>
      <c r="AH672">
        <v>0.643125373446508</v>
      </c>
      <c r="AI672">
        <v>96.042943379077002</v>
      </c>
      <c r="AJ672">
        <v>86.515327666196598</v>
      </c>
      <c r="AK672">
        <v>0.64791695270915906</v>
      </c>
      <c r="AL672">
        <v>82.946689712670306</v>
      </c>
      <c r="AM672">
        <v>86.336898715661505</v>
      </c>
      <c r="AN672">
        <v>1.0000000390922801</v>
      </c>
    </row>
    <row r="673" spans="1:40" x14ac:dyDescent="0.25">
      <c r="A673" t="str">
        <f>"20190312164448405"</f>
        <v>20190312164448405</v>
      </c>
      <c r="B673" t="str">
        <f>"1552380288392619"</f>
        <v>1552380288392619</v>
      </c>
      <c r="C673" t="s">
        <v>40</v>
      </c>
      <c r="D673">
        <v>5.037477</v>
      </c>
      <c r="E673">
        <v>0.49647970000000002</v>
      </c>
      <c r="F673" t="s">
        <v>41</v>
      </c>
      <c r="G673">
        <v>-281.3818</v>
      </c>
      <c r="H673">
        <v>0.97439290000000001</v>
      </c>
      <c r="I673">
        <v>366.8032</v>
      </c>
      <c r="J673">
        <v>-282.19040000000001</v>
      </c>
      <c r="K673">
        <v>1.059185</v>
      </c>
      <c r="L673">
        <v>366.84280000000001</v>
      </c>
      <c r="M673">
        <v>0.99981160000000002</v>
      </c>
      <c r="N673">
        <v>0</v>
      </c>
      <c r="O673">
        <v>1.217913E-2</v>
      </c>
      <c r="P673">
        <v>0.99284890000000003</v>
      </c>
      <c r="Q673">
        <v>0.1075025</v>
      </c>
      <c r="R673">
        <v>-5.1910739999999997E-2</v>
      </c>
      <c r="S673">
        <v>3.0418699999999999</v>
      </c>
      <c r="T673">
        <v>-0.23392499999999999</v>
      </c>
      <c r="U673">
        <v>-9.8785399999999995E-2</v>
      </c>
      <c r="V673">
        <v>6.3744220000000004E-2</v>
      </c>
      <c r="W673">
        <v>0.122629</v>
      </c>
      <c r="X673">
        <v>0.99040340000000004</v>
      </c>
      <c r="Y673">
        <v>4.4462710000000003E-2</v>
      </c>
      <c r="Z673">
        <v>-2.6417670000000002E-3</v>
      </c>
      <c r="AA673">
        <v>0.99900750000000005</v>
      </c>
      <c r="AB673">
        <v>52</v>
      </c>
      <c r="AC673">
        <v>0.80860000000001198</v>
      </c>
      <c r="AD673">
        <v>-8.4792099999999995E-2</v>
      </c>
      <c r="AE673">
        <v>-3.9600000000007102E-2</v>
      </c>
      <c r="AF673">
        <v>4.89096969624776E-2</v>
      </c>
      <c r="AG673">
        <v>-8.4792099999999995E-2</v>
      </c>
      <c r="AH673">
        <v>0.79928953337432695</v>
      </c>
      <c r="AI673">
        <v>96.044314779311605</v>
      </c>
      <c r="AJ673">
        <v>86.498353513040399</v>
      </c>
      <c r="AK673">
        <v>0.80526121031695097</v>
      </c>
      <c r="AL673">
        <v>82.956146277747905</v>
      </c>
      <c r="AM673">
        <v>86.317415561324907</v>
      </c>
      <c r="AN673">
        <v>1.0000000459779801</v>
      </c>
    </row>
    <row r="674" spans="1:40" x14ac:dyDescent="0.25">
      <c r="A674" t="str">
        <f>"20190312164448419"</f>
        <v>20190312164448419</v>
      </c>
      <c r="B674" t="str">
        <f>"1552380288412137"</f>
        <v>1552380288412137</v>
      </c>
      <c r="C674" t="s">
        <v>40</v>
      </c>
      <c r="D674">
        <v>5.2177360000000004</v>
      </c>
      <c r="E674">
        <v>0.49660260000000001</v>
      </c>
      <c r="F674" t="s">
        <v>41</v>
      </c>
      <c r="G674">
        <v>-281.36880000000002</v>
      </c>
      <c r="H674">
        <v>0.99613830000000003</v>
      </c>
      <c r="I674">
        <v>366.8159</v>
      </c>
      <c r="J674">
        <v>-281.87</v>
      </c>
      <c r="K674">
        <v>1.0591839999999999</v>
      </c>
      <c r="L674">
        <v>366.84690000000001</v>
      </c>
      <c r="M674">
        <v>0.99980690000000005</v>
      </c>
      <c r="N674">
        <v>0</v>
      </c>
      <c r="O674">
        <v>1.256172E-2</v>
      </c>
      <c r="P674">
        <v>0.99284300000000003</v>
      </c>
      <c r="Q674">
        <v>0.10764700000000001</v>
      </c>
      <c r="R674">
        <v>-5.1723230000000002E-2</v>
      </c>
      <c r="S674">
        <v>3.0417179999999999</v>
      </c>
      <c r="T674">
        <v>-0.23352800000000001</v>
      </c>
      <c r="U674">
        <v>-9.9151610000000001E-2</v>
      </c>
      <c r="V674">
        <v>6.3937240000000006E-2</v>
      </c>
      <c r="W674">
        <v>0.12277</v>
      </c>
      <c r="X674">
        <v>0.99037339999999996</v>
      </c>
      <c r="Y674">
        <v>4.4964730000000001E-2</v>
      </c>
      <c r="Z674">
        <v>-2.6859879999999998E-3</v>
      </c>
      <c r="AA674">
        <v>0.99898500000000001</v>
      </c>
      <c r="AB674">
        <v>52</v>
      </c>
      <c r="AC674">
        <v>0.50119999999998299</v>
      </c>
      <c r="AD674">
        <v>-6.3045700000000093E-2</v>
      </c>
      <c r="AE674">
        <v>-3.1000000000005901E-2</v>
      </c>
      <c r="AF674">
        <v>3.67154716921054E-2</v>
      </c>
      <c r="AG674">
        <v>-6.3045700000000093E-2</v>
      </c>
      <c r="AH674">
        <v>0.49299997816032998</v>
      </c>
      <c r="AI674">
        <v>97.267619892936395</v>
      </c>
      <c r="AJ674">
        <v>85.740840967426493</v>
      </c>
      <c r="AK674">
        <v>0.49836910479698598</v>
      </c>
      <c r="AL674">
        <v>82.948005437524202</v>
      </c>
      <c r="AM674">
        <v>86.306183796552602</v>
      </c>
      <c r="AN674">
        <v>0.99999995749318704</v>
      </c>
    </row>
    <row r="675" spans="1:40" x14ac:dyDescent="0.25">
      <c r="A675" t="str">
        <f>"20190312164448432"</f>
        <v>20190312164448432</v>
      </c>
      <c r="B675" t="str">
        <f>"1552380288422874"</f>
        <v>1552380288422874</v>
      </c>
      <c r="C675" t="s">
        <v>40</v>
      </c>
      <c r="D675">
        <v>5.0975849999999996</v>
      </c>
      <c r="E675">
        <v>0.49663279999999899</v>
      </c>
      <c r="F675" t="s">
        <v>41</v>
      </c>
      <c r="G675">
        <v>-280.91559999999998</v>
      </c>
      <c r="H675">
        <v>0.9865834</v>
      </c>
      <c r="I675">
        <v>366.81549999999999</v>
      </c>
      <c r="J675">
        <v>-281.55169999999998</v>
      </c>
      <c r="K675">
        <v>1.059186</v>
      </c>
      <c r="L675">
        <v>366.85109999999997</v>
      </c>
      <c r="M675">
        <v>0.99980210000000003</v>
      </c>
      <c r="N675">
        <v>0</v>
      </c>
      <c r="O675">
        <v>1.293852E-2</v>
      </c>
      <c r="P675">
        <v>0.99276790000000004</v>
      </c>
      <c r="Q675">
        <v>0.10827199999999999</v>
      </c>
      <c r="R675">
        <v>-5.1860980000000001E-2</v>
      </c>
      <c r="S675">
        <v>3.0415649999999999</v>
      </c>
      <c r="T675">
        <v>-0.23144700000000001</v>
      </c>
      <c r="U675">
        <v>-9.9639889999999995E-2</v>
      </c>
      <c r="V675">
        <v>6.4447889999999994E-2</v>
      </c>
      <c r="W675">
        <v>0.1233918</v>
      </c>
      <c r="X675">
        <v>0.990263</v>
      </c>
      <c r="Y675">
        <v>4.5503370000000001E-2</v>
      </c>
      <c r="Z675">
        <v>-2.711335E-3</v>
      </c>
      <c r="AA675">
        <v>0.99896050000000003</v>
      </c>
      <c r="AB675">
        <v>52</v>
      </c>
      <c r="AC675">
        <v>0.636099999999999</v>
      </c>
      <c r="AD675">
        <v>-7.2602599999999795E-2</v>
      </c>
      <c r="AE675">
        <v>-3.5599999999988002E-2</v>
      </c>
      <c r="AF675">
        <v>4.3266270175216899E-2</v>
      </c>
      <c r="AG675">
        <v>-7.2602599999999795E-2</v>
      </c>
      <c r="AH675">
        <v>0.62743779622461804</v>
      </c>
      <c r="AI675">
        <v>96.585002216153896</v>
      </c>
      <c r="AJ675">
        <v>86.055295640455995</v>
      </c>
      <c r="AK675">
        <v>0.63310449042226802</v>
      </c>
      <c r="AL675">
        <v>82.912105824196303</v>
      </c>
      <c r="AM675">
        <v>86.276350988720196</v>
      </c>
      <c r="AN675">
        <v>0.99999993800084397</v>
      </c>
    </row>
    <row r="676" spans="1:40" x14ac:dyDescent="0.25">
      <c r="A676" t="str">
        <f>"20190312164448458"</f>
        <v>20190312164448458</v>
      </c>
      <c r="B676" t="str">
        <f>"1552380288452154"</f>
        <v>1552380288452154</v>
      </c>
      <c r="C676" t="s">
        <v>40</v>
      </c>
      <c r="D676">
        <v>5.0731380000000001</v>
      </c>
      <c r="E676">
        <v>0.49660799999999999</v>
      </c>
      <c r="F676" t="s">
        <v>41</v>
      </c>
      <c r="G676">
        <v>-280.46030000000002</v>
      </c>
      <c r="H676">
        <v>0.97726009999999996</v>
      </c>
      <c r="I676">
        <v>366.81509999999997</v>
      </c>
      <c r="J676">
        <v>-281.01229999999998</v>
      </c>
      <c r="K676">
        <v>1.0592600000000001</v>
      </c>
      <c r="L676">
        <v>366.85840000000002</v>
      </c>
      <c r="M676">
        <v>0.99978909999999999</v>
      </c>
      <c r="N676">
        <v>0</v>
      </c>
      <c r="O676">
        <v>1.3526369999999999E-2</v>
      </c>
      <c r="P676">
        <v>0.99271050000000005</v>
      </c>
      <c r="Q676">
        <v>0.1089513</v>
      </c>
      <c r="R676">
        <v>-5.1535820000000003E-2</v>
      </c>
      <c r="S676">
        <v>3.041534</v>
      </c>
      <c r="T676">
        <v>-0.22828319999999999</v>
      </c>
      <c r="U676">
        <v>-0.10034179999999999</v>
      </c>
      <c r="V676">
        <v>6.4710219999999999E-2</v>
      </c>
      <c r="W676">
        <v>0.1243964</v>
      </c>
      <c r="X676">
        <v>0.99012020000000001</v>
      </c>
      <c r="Y676">
        <v>4.632203E-2</v>
      </c>
      <c r="Z676">
        <v>-2.7491239999999999E-3</v>
      </c>
      <c r="AA676">
        <v>0.9989228</v>
      </c>
      <c r="AB676">
        <v>51</v>
      </c>
      <c r="AC676">
        <v>0.55199999999996396</v>
      </c>
      <c r="AD676">
        <v>-8.1999900000000001E-2</v>
      </c>
      <c r="AE676">
        <v>-4.3300000000044699E-2</v>
      </c>
      <c r="AF676">
        <v>4.9674019558445998E-2</v>
      </c>
      <c r="AG676">
        <v>-8.1999900000000001E-2</v>
      </c>
      <c r="AH676">
        <v>0.53953057375787095</v>
      </c>
      <c r="AI676">
        <v>98.606044605405103</v>
      </c>
      <c r="AJ676">
        <v>84.739667049445103</v>
      </c>
      <c r="AK676">
        <v>0.54798241927875802</v>
      </c>
      <c r="AL676">
        <v>82.854099606313895</v>
      </c>
      <c r="AM676">
        <v>86.260699381408003</v>
      </c>
      <c r="AN676">
        <v>0.99999994367672196</v>
      </c>
    </row>
    <row r="677" spans="1:40" x14ac:dyDescent="0.25">
      <c r="A677" t="str">
        <f>"20190312164448468"</f>
        <v>20190312164448468</v>
      </c>
      <c r="B677" t="str">
        <f>"1552380288461914"</f>
        <v>1552380288461914</v>
      </c>
      <c r="C677" t="s">
        <v>40</v>
      </c>
      <c r="D677">
        <v>5.0649889999999997</v>
      </c>
      <c r="E677">
        <v>0.49651269999999997</v>
      </c>
      <c r="F677" t="s">
        <v>41</v>
      </c>
      <c r="G677">
        <v>-280.0009</v>
      </c>
      <c r="H677">
        <v>0.98340119999999998</v>
      </c>
      <c r="I677">
        <v>366.82530000000003</v>
      </c>
      <c r="J677">
        <v>-280.72219999999999</v>
      </c>
      <c r="K677">
        <v>1.0593900000000001</v>
      </c>
      <c r="L677">
        <v>366.86250000000001</v>
      </c>
      <c r="M677">
        <v>0.99977640000000001</v>
      </c>
      <c r="N677">
        <v>0</v>
      </c>
      <c r="O677">
        <v>1.3792199999999999E-2</v>
      </c>
      <c r="P677">
        <v>0.99276169999999997</v>
      </c>
      <c r="Q677">
        <v>0.1085856</v>
      </c>
      <c r="R677">
        <v>-5.132043E-2</v>
      </c>
      <c r="S677">
        <v>3.041992</v>
      </c>
      <c r="T677">
        <v>-0.22839760000000001</v>
      </c>
      <c r="U677">
        <v>-9.9060060000000005E-2</v>
      </c>
      <c r="V677">
        <v>6.4767549999999993E-2</v>
      </c>
      <c r="W677">
        <v>0.1246017</v>
      </c>
      <c r="X677">
        <v>0.99009069999999999</v>
      </c>
      <c r="Y677">
        <v>4.6161929999999997E-2</v>
      </c>
      <c r="Z677">
        <v>-2.764042E-3</v>
      </c>
      <c r="AA677">
        <v>0.99893019999999999</v>
      </c>
      <c r="AB677">
        <v>51</v>
      </c>
      <c r="AC677">
        <v>0.72129999999998495</v>
      </c>
      <c r="AD677">
        <v>-7.5988800000000106E-2</v>
      </c>
      <c r="AE677">
        <v>-3.7199999999984301E-2</v>
      </c>
      <c r="AF677">
        <v>4.6629900165011597E-2</v>
      </c>
      <c r="AG677">
        <v>-7.5988800000000106E-2</v>
      </c>
      <c r="AH677">
        <v>0.71282785092131795</v>
      </c>
      <c r="AI677">
        <v>96.071978366907103</v>
      </c>
      <c r="AJ677">
        <v>86.257307640763699</v>
      </c>
      <c r="AK677">
        <v>0.71838164673378402</v>
      </c>
      <c r="AL677">
        <v>82.8422449999577</v>
      </c>
      <c r="AM677">
        <v>86.257284765545904</v>
      </c>
      <c r="AN677">
        <v>1.00000000670119</v>
      </c>
    </row>
    <row r="678" spans="1:40" x14ac:dyDescent="0.25">
      <c r="A678" t="str">
        <f>"20190312164448479"</f>
        <v>20190312164448479</v>
      </c>
      <c r="B678" t="str">
        <f>"1552380288472557"</f>
        <v>1552380288472557</v>
      </c>
      <c r="C678" t="s">
        <v>40</v>
      </c>
      <c r="D678">
        <v>5.1966199999999896</v>
      </c>
      <c r="E678">
        <v>0.49667929999999999</v>
      </c>
      <c r="F678" t="s">
        <v>41</v>
      </c>
      <c r="G678">
        <v>-279.55489999999998</v>
      </c>
      <c r="H678">
        <v>0.97076799999999996</v>
      </c>
      <c r="I678">
        <v>366.82490000000001</v>
      </c>
      <c r="J678">
        <v>-280.46820000000002</v>
      </c>
      <c r="K678">
        <v>1.0597019999999999</v>
      </c>
      <c r="L678">
        <v>366.86610000000002</v>
      </c>
      <c r="M678">
        <v>0.9997625</v>
      </c>
      <c r="N678">
        <v>0</v>
      </c>
      <c r="O678">
        <v>1.400824E-2</v>
      </c>
      <c r="P678">
        <v>0.99279170000000005</v>
      </c>
      <c r="Q678">
        <v>0.1083036</v>
      </c>
      <c r="R678">
        <v>-5.1330790000000001E-2</v>
      </c>
      <c r="S678">
        <v>3.0421450000000001</v>
      </c>
      <c r="T678">
        <v>-0.23106840000000001</v>
      </c>
      <c r="U678">
        <v>-9.7534179999999998E-2</v>
      </c>
      <c r="V678">
        <v>6.5001719999999999E-2</v>
      </c>
      <c r="W678">
        <v>0.1249745</v>
      </c>
      <c r="X678">
        <v>0.99002840000000003</v>
      </c>
      <c r="Y678">
        <v>4.5872040000000003E-2</v>
      </c>
      <c r="Z678">
        <v>-2.801558E-3</v>
      </c>
      <c r="AA678">
        <v>0.99894340000000004</v>
      </c>
      <c r="AB678">
        <v>51</v>
      </c>
      <c r="AC678">
        <v>0.91330000000004896</v>
      </c>
      <c r="AD678">
        <v>-8.8933999999999999E-2</v>
      </c>
      <c r="AE678">
        <v>-4.1200000000003401E-2</v>
      </c>
      <c r="AF678">
        <v>5.34853369264593E-2</v>
      </c>
      <c r="AG678">
        <v>-8.8933999999999999E-2</v>
      </c>
      <c r="AH678">
        <v>0.90407791173031704</v>
      </c>
      <c r="AI678">
        <v>95.608358652143295</v>
      </c>
      <c r="AJ678">
        <v>86.614322312036606</v>
      </c>
      <c r="AK678">
        <v>0.91001472960649799</v>
      </c>
      <c r="AL678">
        <v>82.820717104573603</v>
      </c>
      <c r="AM678">
        <v>86.243555787370099</v>
      </c>
      <c r="AN678">
        <v>1.0000000410298799</v>
      </c>
    </row>
    <row r="679" spans="1:40" x14ac:dyDescent="0.25">
      <c r="A679" t="str">
        <f>"20190312164448490"</f>
        <v>20190312164448490</v>
      </c>
      <c r="B679" t="str">
        <f>"1552380288482317"</f>
        <v>1552380288482317</v>
      </c>
      <c r="C679" t="s">
        <v>40</v>
      </c>
      <c r="D679">
        <v>5.2554040000000004</v>
      </c>
      <c r="E679">
        <v>0.49685240000000003</v>
      </c>
      <c r="F679" t="s">
        <v>41</v>
      </c>
      <c r="G679">
        <v>-279.54590000000002</v>
      </c>
      <c r="H679">
        <v>0.98897000000000002</v>
      </c>
      <c r="I679">
        <v>366.83620000000002</v>
      </c>
      <c r="J679">
        <v>-280.24040000000002</v>
      </c>
      <c r="K679">
        <v>1.05999</v>
      </c>
      <c r="L679">
        <v>366.86939999999998</v>
      </c>
      <c r="M679">
        <v>0.99975080000000005</v>
      </c>
      <c r="N679">
        <v>0</v>
      </c>
      <c r="O679">
        <v>1.4203159999999999E-2</v>
      </c>
      <c r="P679">
        <v>0.99282680000000001</v>
      </c>
      <c r="Q679">
        <v>0.10806929999999999</v>
      </c>
      <c r="R679">
        <v>-5.1144059999999998E-2</v>
      </c>
      <c r="S679">
        <v>3.0421450000000001</v>
      </c>
      <c r="T679">
        <v>-0.23340449999999999</v>
      </c>
      <c r="U679">
        <v>-9.8510739999999999E-2</v>
      </c>
      <c r="V679">
        <v>6.5015790000000004E-2</v>
      </c>
      <c r="W679">
        <v>0.12525310000000001</v>
      </c>
      <c r="X679">
        <v>0.98999219999999999</v>
      </c>
      <c r="Y679">
        <v>4.638171E-2</v>
      </c>
      <c r="Z679">
        <v>-2.864246E-3</v>
      </c>
      <c r="AA679">
        <v>0.99891969999999997</v>
      </c>
      <c r="AB679">
        <v>51</v>
      </c>
      <c r="AC679">
        <v>0.694500000000005</v>
      </c>
      <c r="AD679">
        <v>-7.1019999999999806E-2</v>
      </c>
      <c r="AE679">
        <v>-3.3199999999965202E-2</v>
      </c>
      <c r="AF679">
        <v>4.2617562245548003E-2</v>
      </c>
      <c r="AG679">
        <v>-7.1019999999999806E-2</v>
      </c>
      <c r="AH679">
        <v>0.68679273274961805</v>
      </c>
      <c r="AI679">
        <v>95.892615114232498</v>
      </c>
      <c r="AJ679">
        <v>86.449176828442205</v>
      </c>
      <c r="AK679">
        <v>0.69176900390913898</v>
      </c>
      <c r="AL679">
        <v>82.804627595247695</v>
      </c>
      <c r="AM679">
        <v>86.2426080179591</v>
      </c>
      <c r="AN679">
        <v>0.99999997403488605</v>
      </c>
    </row>
    <row r="680" spans="1:40" x14ac:dyDescent="0.25">
      <c r="A680" t="str">
        <f>"20190312164448499"</f>
        <v>20190312164448499</v>
      </c>
      <c r="B680" t="str">
        <f>"1552380288492077"</f>
        <v>1552380288492077</v>
      </c>
      <c r="C680" t="s">
        <v>40</v>
      </c>
      <c r="D680">
        <v>5.216011</v>
      </c>
      <c r="E680">
        <v>0.49699090000000001</v>
      </c>
      <c r="F680" t="s">
        <v>41</v>
      </c>
      <c r="G680">
        <v>-279.10300000000001</v>
      </c>
      <c r="H680">
        <v>0.97185250000000001</v>
      </c>
      <c r="I680">
        <v>366.83210000000003</v>
      </c>
      <c r="J680">
        <v>-280.00580000000002</v>
      </c>
      <c r="K680">
        <v>1.060351</v>
      </c>
      <c r="L680">
        <v>366.87290000000002</v>
      </c>
      <c r="M680">
        <v>0.99974700000000005</v>
      </c>
      <c r="N680">
        <v>0</v>
      </c>
      <c r="O680">
        <v>1.441077E-2</v>
      </c>
      <c r="P680">
        <v>0.9928264</v>
      </c>
      <c r="Q680">
        <v>0.1080952</v>
      </c>
      <c r="R680">
        <v>-5.1101649999999998E-2</v>
      </c>
      <c r="S680">
        <v>3.0422060000000002</v>
      </c>
      <c r="T680">
        <v>-0.23590929999999999</v>
      </c>
      <c r="U680">
        <v>-9.9304199999999995E-2</v>
      </c>
      <c r="V680">
        <v>6.5178070000000005E-2</v>
      </c>
      <c r="W680">
        <v>0.12533739999999999</v>
      </c>
      <c r="X680">
        <v>0.98997089999999999</v>
      </c>
      <c r="Y680">
        <v>4.6842929999999998E-2</v>
      </c>
      <c r="Z680">
        <v>-2.9287480000000001E-3</v>
      </c>
      <c r="AA680">
        <v>0.99889799999999995</v>
      </c>
      <c r="AB680">
        <v>51</v>
      </c>
      <c r="AC680">
        <v>0.90280000000001304</v>
      </c>
      <c r="AD680">
        <v>-8.8498499999999994E-2</v>
      </c>
      <c r="AE680">
        <v>-4.0799999999990101E-2</v>
      </c>
      <c r="AF680">
        <v>5.3296649791384397E-2</v>
      </c>
      <c r="AG680">
        <v>-8.8498499999999994E-2</v>
      </c>
      <c r="AH680">
        <v>0.893549354653845</v>
      </c>
      <c r="AI680">
        <v>95.646245994137303</v>
      </c>
      <c r="AJ680">
        <v>86.586579696137093</v>
      </c>
      <c r="AK680">
        <v>0.89950151005072698</v>
      </c>
      <c r="AL680">
        <v>82.7997594829299</v>
      </c>
      <c r="AM680">
        <v>86.233175688326895</v>
      </c>
      <c r="AN680">
        <v>1.00000001374724</v>
      </c>
    </row>
    <row r="681" spans="1:40" x14ac:dyDescent="0.25">
      <c r="A681" t="str">
        <f>"20190312164448511"</f>
        <v>20190312164448511</v>
      </c>
      <c r="B681" t="str">
        <f>"1552380288502814"</f>
        <v>1552380288502814</v>
      </c>
      <c r="C681" t="s">
        <v>40</v>
      </c>
      <c r="D681">
        <v>5.2148560000000002</v>
      </c>
      <c r="E681">
        <v>0.49708540000000001</v>
      </c>
      <c r="F681" t="s">
        <v>41</v>
      </c>
      <c r="G681">
        <v>-279.09440000000001</v>
      </c>
      <c r="H681">
        <v>0.98921570000000003</v>
      </c>
      <c r="I681">
        <v>366.84280000000001</v>
      </c>
      <c r="J681">
        <v>-279.76</v>
      </c>
      <c r="K681">
        <v>1.060716</v>
      </c>
      <c r="L681">
        <v>366.8766</v>
      </c>
      <c r="M681">
        <v>0.99974660000000004</v>
      </c>
      <c r="N681">
        <v>0</v>
      </c>
      <c r="O681">
        <v>1.462859E-2</v>
      </c>
      <c r="P681">
        <v>0.99276500000000001</v>
      </c>
      <c r="Q681">
        <v>0.1086408</v>
      </c>
      <c r="R681">
        <v>-5.1138580000000003E-2</v>
      </c>
      <c r="S681">
        <v>3.042389</v>
      </c>
      <c r="T681">
        <v>-0.2376199</v>
      </c>
      <c r="U681">
        <v>-0.10018920000000001</v>
      </c>
      <c r="V681">
        <v>6.5428429999999996E-2</v>
      </c>
      <c r="W681">
        <v>0.1257267</v>
      </c>
      <c r="X681">
        <v>0.98990500000000003</v>
      </c>
      <c r="Y681">
        <v>4.7343990000000002E-2</v>
      </c>
      <c r="Z681">
        <v>-2.9862439999999999E-3</v>
      </c>
      <c r="AA681">
        <v>0.99887420000000005</v>
      </c>
      <c r="AB681">
        <v>51</v>
      </c>
      <c r="AC681">
        <v>0.66559999999998298</v>
      </c>
      <c r="AD681">
        <v>-7.1500300000000003E-2</v>
      </c>
      <c r="AE681">
        <v>-3.3799999999985099E-2</v>
      </c>
      <c r="AF681">
        <v>4.3039221150877202E-2</v>
      </c>
      <c r="AG681">
        <v>-7.1500300000000003E-2</v>
      </c>
      <c r="AH681">
        <v>0.65746687718601404</v>
      </c>
      <c r="AI681">
        <v>96.193439523615694</v>
      </c>
      <c r="AJ681">
        <v>86.254636736843096</v>
      </c>
      <c r="AK681">
        <v>0.66274230440955995</v>
      </c>
      <c r="AL681">
        <v>82.777276254608793</v>
      </c>
      <c r="AM681">
        <v>86.218497578699697</v>
      </c>
      <c r="AN681">
        <v>0.99999999578507703</v>
      </c>
    </row>
    <row r="682" spans="1:40" x14ac:dyDescent="0.25">
      <c r="A682" t="str">
        <f>"20190312164448524"</f>
        <v>20190312164448524</v>
      </c>
      <c r="B682" t="str">
        <f>"1552380288512573"</f>
        <v>1552380288512573</v>
      </c>
      <c r="C682" t="s">
        <v>40</v>
      </c>
      <c r="D682">
        <v>5.1347120000000004</v>
      </c>
      <c r="E682">
        <v>0.4970697</v>
      </c>
      <c r="F682" t="s">
        <v>41</v>
      </c>
      <c r="G682">
        <v>-278.64800000000002</v>
      </c>
      <c r="H682">
        <v>0.97417909999999996</v>
      </c>
      <c r="I682">
        <v>366.83949999999999</v>
      </c>
      <c r="J682">
        <v>-279.47089999999997</v>
      </c>
      <c r="K682">
        <v>1.0611159999999999</v>
      </c>
      <c r="L682">
        <v>366.8811</v>
      </c>
      <c r="M682">
        <v>0.99975879999999995</v>
      </c>
      <c r="N682">
        <v>0</v>
      </c>
      <c r="O682">
        <v>1.488631E-2</v>
      </c>
      <c r="P682">
        <v>0.99263049999999997</v>
      </c>
      <c r="Q682">
        <v>0.1098928</v>
      </c>
      <c r="R682">
        <v>-5.107428E-2</v>
      </c>
      <c r="S682">
        <v>3.0425719999999998</v>
      </c>
      <c r="T682">
        <v>-0.23703850000000001</v>
      </c>
      <c r="U682">
        <v>-0.100769</v>
      </c>
      <c r="V682">
        <v>6.5614530000000004E-2</v>
      </c>
      <c r="W682">
        <v>0.12602240000000001</v>
      </c>
      <c r="X682">
        <v>0.98985509999999999</v>
      </c>
      <c r="Y682">
        <v>4.7788230000000001E-2</v>
      </c>
      <c r="Z682">
        <v>-3.0160740000000001E-3</v>
      </c>
      <c r="AA682">
        <v>0.99885290000000004</v>
      </c>
      <c r="AB682">
        <v>51</v>
      </c>
      <c r="AC682">
        <v>0.82290000000000396</v>
      </c>
      <c r="AD682">
        <v>-8.69368999999999E-2</v>
      </c>
      <c r="AE682">
        <v>-4.16000000000167E-2</v>
      </c>
      <c r="AF682">
        <v>5.3254062446357199E-2</v>
      </c>
      <c r="AG682">
        <v>-8.69368999999999E-2</v>
      </c>
      <c r="AH682">
        <v>0.81313692379842395</v>
      </c>
      <c r="AI682">
        <v>96.089673998185802</v>
      </c>
      <c r="AJ682">
        <v>86.252929050802393</v>
      </c>
      <c r="AK682">
        <v>0.81950331091034301</v>
      </c>
      <c r="AL682">
        <v>82.760198198257399</v>
      </c>
      <c r="AM682">
        <v>86.207582467163405</v>
      </c>
      <c r="AN682">
        <v>1.00000001542244</v>
      </c>
    </row>
    <row r="683" spans="1:40" x14ac:dyDescent="0.25">
      <c r="A683" t="str">
        <f>"20190312164448538"</f>
        <v>20190312164448538</v>
      </c>
      <c r="B683" t="str">
        <f>"1552380288532092"</f>
        <v>1552380288532092</v>
      </c>
      <c r="C683" t="s">
        <v>40</v>
      </c>
      <c r="D683">
        <v>5.2238910000000001</v>
      </c>
      <c r="E683">
        <v>0.49726690000000001</v>
      </c>
      <c r="F683" t="s">
        <v>41</v>
      </c>
      <c r="G683">
        <v>-278.6354</v>
      </c>
      <c r="H683">
        <v>0.99651230000000002</v>
      </c>
      <c r="I683">
        <v>366.85329999999999</v>
      </c>
      <c r="J683">
        <v>-279.16149999999999</v>
      </c>
      <c r="K683">
        <v>1.0616369999999999</v>
      </c>
      <c r="L683">
        <v>366.88600000000002</v>
      </c>
      <c r="M683">
        <v>0.99977499999999997</v>
      </c>
      <c r="N683">
        <v>0</v>
      </c>
      <c r="O683">
        <v>1.5134369999999999E-2</v>
      </c>
      <c r="P683">
        <v>0.99245139999999998</v>
      </c>
      <c r="Q683">
        <v>0.1114134</v>
      </c>
      <c r="R683">
        <v>-5.1258930000000001E-2</v>
      </c>
      <c r="S683">
        <v>3.0432130000000002</v>
      </c>
      <c r="T683">
        <v>-0.23565220000000001</v>
      </c>
      <c r="U683">
        <v>-0.10006710000000001</v>
      </c>
      <c r="V683">
        <v>6.6038879999999994E-2</v>
      </c>
      <c r="W683">
        <v>0.12626499999999999</v>
      </c>
      <c r="X683">
        <v>0.98979589999999995</v>
      </c>
      <c r="Y683">
        <v>4.7800179999999998E-2</v>
      </c>
      <c r="Z683">
        <v>-3.0174849999999999E-3</v>
      </c>
      <c r="AA683">
        <v>0.99885239999999997</v>
      </c>
      <c r="AB683">
        <v>51</v>
      </c>
      <c r="AC683">
        <v>0.52609999999998502</v>
      </c>
      <c r="AD683">
        <v>-6.5124700000000202E-2</v>
      </c>
      <c r="AE683">
        <v>-3.2699999999976997E-2</v>
      </c>
      <c r="AF683">
        <v>4.0048015922601099E-2</v>
      </c>
      <c r="AG683">
        <v>-6.5124700000000202E-2</v>
      </c>
      <c r="AH683">
        <v>0.51764325949658496</v>
      </c>
      <c r="AI683">
        <v>97.149564649784196</v>
      </c>
      <c r="AJ683">
        <v>85.576064131609996</v>
      </c>
      <c r="AK683">
        <v>0.52325864945710798</v>
      </c>
      <c r="AL683">
        <v>82.746185865544504</v>
      </c>
      <c r="AM683">
        <v>86.182900352755098</v>
      </c>
      <c r="AN683">
        <v>0.99999995377673101</v>
      </c>
    </row>
    <row r="684" spans="1:40" x14ac:dyDescent="0.25">
      <c r="A684" t="str">
        <f>"20190312164448551"</f>
        <v>20190312164448551</v>
      </c>
      <c r="B684" t="str">
        <f>"1552380288542829"</f>
        <v>1552380288542829</v>
      </c>
      <c r="C684" t="s">
        <v>40</v>
      </c>
      <c r="D684">
        <v>5.4115820000000001</v>
      </c>
      <c r="E684">
        <v>0.49756640000000002</v>
      </c>
      <c r="F684" t="s">
        <v>41</v>
      </c>
      <c r="G684">
        <v>-278.18630000000002</v>
      </c>
      <c r="H684">
        <v>0.98741959999999995</v>
      </c>
      <c r="I684">
        <v>366.85300000000001</v>
      </c>
      <c r="J684">
        <v>-278.85399999999998</v>
      </c>
      <c r="K684">
        <v>1.06223</v>
      </c>
      <c r="L684">
        <v>366.89089999999999</v>
      </c>
      <c r="M684">
        <v>0.99979110000000004</v>
      </c>
      <c r="N684">
        <v>0</v>
      </c>
      <c r="O684">
        <v>1.536879E-2</v>
      </c>
      <c r="P684">
        <v>0.99226599999999998</v>
      </c>
      <c r="Q684">
        <v>0.1130027</v>
      </c>
      <c r="R684">
        <v>-5.1367290000000003E-2</v>
      </c>
      <c r="S684">
        <v>3.0436100000000001</v>
      </c>
      <c r="T684">
        <v>-0.23194480000000001</v>
      </c>
      <c r="U684">
        <v>-0.10189819999999999</v>
      </c>
      <c r="V684">
        <v>6.6375429999999999E-2</v>
      </c>
      <c r="W684">
        <v>0.12647169999999999</v>
      </c>
      <c r="X684">
        <v>0.98974700000000004</v>
      </c>
      <c r="Y684">
        <v>4.8632880000000003E-2</v>
      </c>
      <c r="Z684">
        <v>-3.019224E-3</v>
      </c>
      <c r="AA684">
        <v>0.99881209999999998</v>
      </c>
      <c r="AB684">
        <v>51</v>
      </c>
      <c r="AC684">
        <v>0.66770000000002405</v>
      </c>
      <c r="AD684">
        <v>-7.4810399999999999E-2</v>
      </c>
      <c r="AE684">
        <v>-3.7899999999979103E-2</v>
      </c>
      <c r="AF684">
        <v>4.7563035670276303E-2</v>
      </c>
      <c r="AG684">
        <v>-7.4810399999999999E-2</v>
      </c>
      <c r="AH684">
        <v>0.65879504134542599</v>
      </c>
      <c r="AI684">
        <v>96.461874793085897</v>
      </c>
      <c r="AJ684">
        <v>85.8705805261975</v>
      </c>
      <c r="AK684">
        <v>0.66473283716968101</v>
      </c>
      <c r="AL684">
        <v>82.734247137526594</v>
      </c>
      <c r="AM684">
        <v>86.163316460674295</v>
      </c>
      <c r="AN684">
        <v>0.99999995630878602</v>
      </c>
    </row>
    <row r="685" spans="1:40" x14ac:dyDescent="0.25">
      <c r="A685" t="str">
        <f>"20190312164448565"</f>
        <v>20190312164448565</v>
      </c>
      <c r="B685" t="str">
        <f>"1552380288552589"</f>
        <v>1552380288552589</v>
      </c>
      <c r="C685" t="s">
        <v>40</v>
      </c>
      <c r="D685">
        <v>5.1218469999999998</v>
      </c>
      <c r="E685">
        <v>0.49757200000000001</v>
      </c>
      <c r="F685" t="s">
        <v>41</v>
      </c>
      <c r="G685">
        <v>-277.7355</v>
      </c>
      <c r="H685">
        <v>0.97882899999999995</v>
      </c>
      <c r="I685">
        <v>366.85250000000002</v>
      </c>
      <c r="J685">
        <v>-278.53399999999999</v>
      </c>
      <c r="K685">
        <v>1.062994</v>
      </c>
      <c r="L685">
        <v>366.89620000000002</v>
      </c>
      <c r="M685">
        <v>0.99980480000000005</v>
      </c>
      <c r="N685">
        <v>0</v>
      </c>
      <c r="O685">
        <v>1.5621619999999999E-2</v>
      </c>
      <c r="P685">
        <v>0.99209849999999999</v>
      </c>
      <c r="Q685">
        <v>0.1144651</v>
      </c>
      <c r="R685">
        <v>-5.1363680000000002E-2</v>
      </c>
      <c r="S685">
        <v>3.0438540000000001</v>
      </c>
      <c r="T685">
        <v>-0.227048</v>
      </c>
      <c r="U685">
        <v>-0.1042175</v>
      </c>
      <c r="V685">
        <v>6.662796E-2</v>
      </c>
      <c r="W685">
        <v>0.12657109999999999</v>
      </c>
      <c r="X685">
        <v>0.98971739999999997</v>
      </c>
      <c r="Y685">
        <v>4.9646910000000002E-2</v>
      </c>
      <c r="Z685">
        <v>-3.0119539999999998E-3</v>
      </c>
      <c r="AA685">
        <v>0.99876229999999999</v>
      </c>
      <c r="AB685">
        <v>51</v>
      </c>
      <c r="AC685">
        <v>0.79849999999999</v>
      </c>
      <c r="AD685">
        <v>-8.4164999999999907E-2</v>
      </c>
      <c r="AE685">
        <v>-4.3700000000001099E-2</v>
      </c>
      <c r="AF685">
        <v>5.5554081461802497E-2</v>
      </c>
      <c r="AG685">
        <v>-8.4164999999999907E-2</v>
      </c>
      <c r="AH685">
        <v>0.78898045369340997</v>
      </c>
      <c r="AI685">
        <v>96.074110855949101</v>
      </c>
      <c r="AJ685">
        <v>85.972308813825805</v>
      </c>
      <c r="AK685">
        <v>0.79539937107237102</v>
      </c>
      <c r="AL685">
        <v>82.728506338422505</v>
      </c>
      <c r="AM685">
        <v>86.148648537806807</v>
      </c>
      <c r="AN685">
        <v>1.00000003013586</v>
      </c>
    </row>
    <row r="686" spans="1:40" x14ac:dyDescent="0.25">
      <c r="A686" t="str">
        <f>"20190312164448579"</f>
        <v>20190312164448579</v>
      </c>
      <c r="B686" t="str">
        <f>"1552380288572109"</f>
        <v>1552380288572109</v>
      </c>
      <c r="C686" t="s">
        <v>40</v>
      </c>
      <c r="D686">
        <v>5.1711239999999998</v>
      </c>
      <c r="E686">
        <v>0.4976428</v>
      </c>
      <c r="F686" t="s">
        <v>41</v>
      </c>
      <c r="G686">
        <v>-277.72089999999997</v>
      </c>
      <c r="H686">
        <v>1.0036989999999999</v>
      </c>
      <c r="I686">
        <v>366.86829999999998</v>
      </c>
      <c r="J686">
        <v>-278.20490000000001</v>
      </c>
      <c r="K686">
        <v>1.0639749999999999</v>
      </c>
      <c r="L686">
        <v>366.90170000000001</v>
      </c>
      <c r="M686">
        <v>0.99981149999999996</v>
      </c>
      <c r="N686">
        <v>0</v>
      </c>
      <c r="O686">
        <v>1.5901439999999999E-2</v>
      </c>
      <c r="P686">
        <v>0.99194749999999998</v>
      </c>
      <c r="Q686">
        <v>0.1154944</v>
      </c>
      <c r="R686">
        <v>-5.1974480000000003E-2</v>
      </c>
      <c r="S686">
        <v>3.0441590000000001</v>
      </c>
      <c r="T686">
        <v>-0.22210820000000001</v>
      </c>
      <c r="U686">
        <v>-0.1042786</v>
      </c>
      <c r="V686">
        <v>6.7527989999999996E-2</v>
      </c>
      <c r="W686">
        <v>0.12664909999999999</v>
      </c>
      <c r="X686">
        <v>0.98964640000000004</v>
      </c>
      <c r="Y686">
        <v>4.9949130000000001E-2</v>
      </c>
      <c r="Z686">
        <v>-2.9776849999999999E-3</v>
      </c>
      <c r="AA686">
        <v>0.9987473</v>
      </c>
      <c r="AB686">
        <v>51</v>
      </c>
      <c r="AC686">
        <v>0.48400000000003701</v>
      </c>
      <c r="AD686">
        <v>-6.0276000000000003E-2</v>
      </c>
      <c r="AE686">
        <v>-3.3400000000028698E-2</v>
      </c>
      <c r="AF686">
        <v>4.04678886476047E-2</v>
      </c>
      <c r="AG686">
        <v>-6.0276000000000003E-2</v>
      </c>
      <c r="AH686">
        <v>0.47605920492002402</v>
      </c>
      <c r="AI686">
        <v>97.190419864506595</v>
      </c>
      <c r="AJ686">
        <v>85.141195787452105</v>
      </c>
      <c r="AK686">
        <v>0.48156330090309102</v>
      </c>
      <c r="AL686">
        <v>82.724000867756601</v>
      </c>
      <c r="AM686">
        <v>86.096503938002201</v>
      </c>
      <c r="AN686">
        <v>1.0000000104986</v>
      </c>
    </row>
    <row r="687" spans="1:40" x14ac:dyDescent="0.25">
      <c r="A687" t="str">
        <f>"20190312164448590"</f>
        <v>20190312164448590</v>
      </c>
      <c r="B687" t="str">
        <f>"1552380288582845"</f>
        <v>1552380288582845</v>
      </c>
      <c r="C687" t="s">
        <v>40</v>
      </c>
      <c r="D687">
        <v>5.2200259999999998</v>
      </c>
      <c r="E687">
        <v>0.49765510000000002</v>
      </c>
      <c r="F687" t="s">
        <v>41</v>
      </c>
      <c r="G687">
        <v>-277.27409999999998</v>
      </c>
      <c r="H687">
        <v>0.9972143</v>
      </c>
      <c r="I687">
        <v>366.86900000000003</v>
      </c>
      <c r="J687">
        <v>-277.95370000000003</v>
      </c>
      <c r="K687">
        <v>1.0648420000000001</v>
      </c>
      <c r="L687">
        <v>366.90589999999997</v>
      </c>
      <c r="M687">
        <v>0.99981359999999997</v>
      </c>
      <c r="N687">
        <v>0</v>
      </c>
      <c r="O687">
        <v>1.6124320000000001E-2</v>
      </c>
      <c r="P687">
        <v>0.99188109999999996</v>
      </c>
      <c r="Q687">
        <v>0.1160635</v>
      </c>
      <c r="R687">
        <v>-5.197483E-2</v>
      </c>
      <c r="S687">
        <v>3.0442499999999999</v>
      </c>
      <c r="T687">
        <v>-0.21866759999999999</v>
      </c>
      <c r="U687">
        <v>-0.1059875</v>
      </c>
      <c r="V687">
        <v>6.7760520000000005E-2</v>
      </c>
      <c r="W687">
        <v>0.126695</v>
      </c>
      <c r="X687">
        <v>0.98962459999999997</v>
      </c>
      <c r="Y687">
        <v>5.0733439999999998E-2</v>
      </c>
      <c r="Z687">
        <v>-2.9756660000000001E-3</v>
      </c>
      <c r="AA687">
        <v>0.99870780000000003</v>
      </c>
      <c r="AB687">
        <v>51</v>
      </c>
      <c r="AC687">
        <v>0.67960000000005005</v>
      </c>
      <c r="AD687">
        <v>-6.7627699999999999E-2</v>
      </c>
      <c r="AE687">
        <v>-3.68999999999459E-2</v>
      </c>
      <c r="AF687">
        <v>4.7386049564016701E-2</v>
      </c>
      <c r="AG687">
        <v>-6.7627699999999999E-2</v>
      </c>
      <c r="AH687">
        <v>0.67227897959329297</v>
      </c>
      <c r="AI687">
        <v>95.730205490183494</v>
      </c>
      <c r="AJ687">
        <v>85.968135549497106</v>
      </c>
      <c r="AK687">
        <v>0.67733150665207698</v>
      </c>
      <c r="AL687">
        <v>82.721349411785894</v>
      </c>
      <c r="AM687">
        <v>86.083018155030601</v>
      </c>
      <c r="AN687">
        <v>0.99999998001041501</v>
      </c>
    </row>
    <row r="688" spans="1:40" x14ac:dyDescent="0.25">
      <c r="A688" t="str">
        <f>"20190312164448601"</f>
        <v>20190312164448601</v>
      </c>
      <c r="B688" t="str">
        <f>"1552380288592605"</f>
        <v>1552380288592605</v>
      </c>
      <c r="C688" t="s">
        <v>40</v>
      </c>
      <c r="D688">
        <v>5.3103109999999996</v>
      </c>
      <c r="E688">
        <v>0.49766169999999998</v>
      </c>
      <c r="F688" t="s">
        <v>41</v>
      </c>
      <c r="G688">
        <v>-276.83030000000002</v>
      </c>
      <c r="H688">
        <v>0.98485299999999998</v>
      </c>
      <c r="I688">
        <v>366.86660000000001</v>
      </c>
      <c r="J688">
        <v>-277.70490000000001</v>
      </c>
      <c r="K688">
        <v>1.065977</v>
      </c>
      <c r="L688">
        <v>366.9101</v>
      </c>
      <c r="M688">
        <v>0.99981089999999995</v>
      </c>
      <c r="N688">
        <v>0</v>
      </c>
      <c r="O688">
        <v>1.6363099999999998E-2</v>
      </c>
      <c r="P688">
        <v>0.9918401</v>
      </c>
      <c r="Q688">
        <v>0.11633979999999999</v>
      </c>
      <c r="R688">
        <v>-5.2138539999999997E-2</v>
      </c>
      <c r="S688">
        <v>3.044403</v>
      </c>
      <c r="T688">
        <v>-0.2168419</v>
      </c>
      <c r="U688">
        <v>-0.10632320000000001</v>
      </c>
      <c r="V688">
        <v>6.8173709999999998E-2</v>
      </c>
      <c r="W688">
        <v>0.126857199999999</v>
      </c>
      <c r="X688">
        <v>0.98957539999999999</v>
      </c>
      <c r="Y688">
        <v>5.1081580000000001E-2</v>
      </c>
      <c r="Z688">
        <v>-2.9800920000000002E-3</v>
      </c>
      <c r="AA688">
        <v>0.99868999999999997</v>
      </c>
      <c r="AB688">
        <v>51</v>
      </c>
      <c r="AC688">
        <v>0.87459999999998606</v>
      </c>
      <c r="AD688">
        <v>-8.1123999999999793E-2</v>
      </c>
      <c r="AE688">
        <v>-4.3499999999994501E-2</v>
      </c>
      <c r="AF688">
        <v>5.7314241303033198E-2</v>
      </c>
      <c r="AG688">
        <v>-8.1123999999999793E-2</v>
      </c>
      <c r="AH688">
        <v>0.86633585104684796</v>
      </c>
      <c r="AI688">
        <v>95.337996556849703</v>
      </c>
      <c r="AJ688">
        <v>86.214994706833394</v>
      </c>
      <c r="AK688">
        <v>0.87201137173847099</v>
      </c>
      <c r="AL688">
        <v>82.711980134229904</v>
      </c>
      <c r="AM688">
        <v>86.059012906398095</v>
      </c>
      <c r="AN688">
        <v>0.99999993810608001</v>
      </c>
    </row>
    <row r="689" spans="1:40" x14ac:dyDescent="0.25">
      <c r="A689" t="str">
        <f>"20190312164448613"</f>
        <v>20190312164448613</v>
      </c>
      <c r="B689" t="str">
        <f>"1552380288602365"</f>
        <v>1552380288602365</v>
      </c>
      <c r="C689" t="s">
        <v>40</v>
      </c>
      <c r="D689">
        <v>5.104374</v>
      </c>
      <c r="E689">
        <v>0.49769629999999998</v>
      </c>
      <c r="F689" t="s">
        <v>41</v>
      </c>
      <c r="G689">
        <v>-276.8211</v>
      </c>
      <c r="H689">
        <v>1.003323</v>
      </c>
      <c r="I689">
        <v>366.87909999999999</v>
      </c>
      <c r="J689">
        <v>-277.45240000000001</v>
      </c>
      <c r="K689">
        <v>1.067229</v>
      </c>
      <c r="L689">
        <v>366.91449999999998</v>
      </c>
      <c r="M689">
        <v>0.99980709999999995</v>
      </c>
      <c r="N689">
        <v>0</v>
      </c>
      <c r="O689">
        <v>1.6611549999999999E-2</v>
      </c>
      <c r="P689">
        <v>0.99178549999999999</v>
      </c>
      <c r="Q689">
        <v>0.1167117</v>
      </c>
      <c r="R689">
        <v>-5.2347810000000002E-2</v>
      </c>
      <c r="S689">
        <v>3.0443730000000002</v>
      </c>
      <c r="T689">
        <v>-0.21592549999999999</v>
      </c>
      <c r="U689">
        <v>-0.1066589</v>
      </c>
      <c r="V689">
        <v>6.8640870000000007E-2</v>
      </c>
      <c r="W689">
        <v>0.12719159999999999</v>
      </c>
      <c r="X689">
        <v>0.98950020000000005</v>
      </c>
      <c r="Y689">
        <v>5.1439980000000003E-2</v>
      </c>
      <c r="Z689">
        <v>-2.9978380000000001E-3</v>
      </c>
      <c r="AA689">
        <v>0.99867159999999999</v>
      </c>
      <c r="AB689">
        <v>51</v>
      </c>
      <c r="AC689">
        <v>0.63130000000000996</v>
      </c>
      <c r="AD689">
        <v>-6.3906000000000004E-2</v>
      </c>
      <c r="AE689">
        <v>-3.5399999999981398E-2</v>
      </c>
      <c r="AF689">
        <v>4.5418600759555602E-2</v>
      </c>
      <c r="AG689">
        <v>-6.3906000000000004E-2</v>
      </c>
      <c r="AH689">
        <v>0.62424796370100899</v>
      </c>
      <c r="AI689">
        <v>95.829861935571103</v>
      </c>
      <c r="AJ689">
        <v>85.838645925132198</v>
      </c>
      <c r="AK689">
        <v>0.62915208520342003</v>
      </c>
      <c r="AL689">
        <v>82.692664108651698</v>
      </c>
      <c r="AM689">
        <v>86.0317926936997</v>
      </c>
      <c r="AN689">
        <v>0.99999995897247695</v>
      </c>
    </row>
    <row r="690" spans="1:40" x14ac:dyDescent="0.25">
      <c r="A690" t="str">
        <f>"20190312164448623"</f>
        <v>20190312164448623</v>
      </c>
      <c r="B690" t="str">
        <f>"1552380288612125"</f>
        <v>1552380288612125</v>
      </c>
      <c r="C690" t="s">
        <v>40</v>
      </c>
      <c r="D690">
        <v>5.1163259999999999</v>
      </c>
      <c r="E690">
        <v>0.49769770000000002</v>
      </c>
      <c r="F690" t="s">
        <v>41</v>
      </c>
      <c r="G690">
        <v>-276.37880000000001</v>
      </c>
      <c r="H690">
        <v>0.99162130000000004</v>
      </c>
      <c r="I690">
        <v>366.87630000000001</v>
      </c>
      <c r="J690">
        <v>-277.20760000000001</v>
      </c>
      <c r="K690">
        <v>1.0686</v>
      </c>
      <c r="L690">
        <v>366.91860000000003</v>
      </c>
      <c r="M690">
        <v>0.99980190000000002</v>
      </c>
      <c r="N690">
        <v>0</v>
      </c>
      <c r="O690">
        <v>1.686226E-2</v>
      </c>
      <c r="P690">
        <v>0.99177000000000004</v>
      </c>
      <c r="Q690">
        <v>0.1167173</v>
      </c>
      <c r="R690">
        <v>-5.2625970000000001E-2</v>
      </c>
      <c r="S690">
        <v>3.044403</v>
      </c>
      <c r="T690">
        <v>-0.21466669999999999</v>
      </c>
      <c r="U690">
        <v>-0.107543899999999</v>
      </c>
      <c r="V690">
        <v>6.9179260000000006E-2</v>
      </c>
      <c r="W690">
        <v>0.12728339999999999</v>
      </c>
      <c r="X690">
        <v>0.98945090000000002</v>
      </c>
      <c r="Y690">
        <v>5.198005E-2</v>
      </c>
      <c r="Z690">
        <v>-3.0170259999999999E-3</v>
      </c>
      <c r="AA690">
        <v>0.99864359999999996</v>
      </c>
      <c r="AB690">
        <v>50</v>
      </c>
      <c r="AC690">
        <v>0.82880000000000098</v>
      </c>
      <c r="AD690">
        <v>-7.6978699999999997E-2</v>
      </c>
      <c r="AE690">
        <v>-4.2300000000011502E-2</v>
      </c>
      <c r="AF690">
        <v>5.5790176406479701E-2</v>
      </c>
      <c r="AG690">
        <v>-7.6978699999999997E-2</v>
      </c>
      <c r="AH690">
        <v>0.82090557820521504</v>
      </c>
      <c r="AI690">
        <v>95.344868343415499</v>
      </c>
      <c r="AJ690">
        <v>86.112057305403397</v>
      </c>
      <c r="AK690">
        <v>0.82639229931406899</v>
      </c>
      <c r="AL690">
        <v>82.687361253909899</v>
      </c>
      <c r="AM690">
        <v>86.000569738163705</v>
      </c>
      <c r="AN690">
        <v>0.99999995872025704</v>
      </c>
    </row>
    <row r="691" spans="1:40" x14ac:dyDescent="0.25">
      <c r="A691" t="str">
        <f>"20190312164448635"</f>
        <v>20190312164448635</v>
      </c>
      <c r="B691" t="str">
        <f>"1552380288622862"</f>
        <v>1552380288622862</v>
      </c>
      <c r="C691" t="s">
        <v>40</v>
      </c>
      <c r="D691">
        <v>5.163157</v>
      </c>
      <c r="E691">
        <v>0.49777860000000002</v>
      </c>
      <c r="F691" t="s">
        <v>41</v>
      </c>
      <c r="G691">
        <v>-276.36849999999998</v>
      </c>
      <c r="H691">
        <v>1.009185</v>
      </c>
      <c r="I691">
        <v>366.8886</v>
      </c>
      <c r="J691">
        <v>-276.96480000000003</v>
      </c>
      <c r="K691">
        <v>1.0700190000000001</v>
      </c>
      <c r="L691">
        <v>366.9228</v>
      </c>
      <c r="M691">
        <v>0.99979750000000001</v>
      </c>
      <c r="N691">
        <v>0</v>
      </c>
      <c r="O691">
        <v>1.7108660000000001E-2</v>
      </c>
      <c r="P691">
        <v>0.99173840000000002</v>
      </c>
      <c r="Q691">
        <v>0.11684369999999999</v>
      </c>
      <c r="R691">
        <v>-5.294248E-2</v>
      </c>
      <c r="S691">
        <v>3.044556</v>
      </c>
      <c r="T691">
        <v>-0.21591189999999999</v>
      </c>
      <c r="U691">
        <v>-0.1080933</v>
      </c>
      <c r="V691">
        <v>6.9748610000000003E-2</v>
      </c>
      <c r="W691">
        <v>0.1274305</v>
      </c>
      <c r="X691">
        <v>0.98939200000000005</v>
      </c>
      <c r="Y691">
        <v>5.2400719999999998E-2</v>
      </c>
      <c r="Z691">
        <v>-3.0666629999999999E-3</v>
      </c>
      <c r="AA691">
        <v>0.99862139999999999</v>
      </c>
      <c r="AB691">
        <v>50</v>
      </c>
      <c r="AC691">
        <v>0.59630000000004202</v>
      </c>
      <c r="AD691">
        <v>-6.0833999999999999E-2</v>
      </c>
      <c r="AE691">
        <v>-3.4199999999998398E-2</v>
      </c>
      <c r="AF691">
        <v>4.3941619855076698E-2</v>
      </c>
      <c r="AG691">
        <v>-6.0833999999999999E-2</v>
      </c>
      <c r="AH691">
        <v>0.58951209771416502</v>
      </c>
      <c r="AI691">
        <v>95.875530072700698</v>
      </c>
      <c r="AJ691">
        <v>85.737115347447698</v>
      </c>
      <c r="AK691">
        <v>0.59426942952068795</v>
      </c>
      <c r="AL691">
        <v>82.678863897987597</v>
      </c>
      <c r="AM691">
        <v>85.967523036117697</v>
      </c>
      <c r="AN691">
        <v>0.99999996529558999</v>
      </c>
    </row>
    <row r="692" spans="1:40" x14ac:dyDescent="0.25">
      <c r="A692" t="str">
        <f>"20190312164448646"</f>
        <v>20190312164448646</v>
      </c>
      <c r="B692" t="str">
        <f>"1552380288642381"</f>
        <v>1552380288642381</v>
      </c>
      <c r="C692" t="s">
        <v>40</v>
      </c>
      <c r="D692">
        <v>5.2404999999999999</v>
      </c>
      <c r="E692">
        <v>0.49801210000000001</v>
      </c>
      <c r="F692" t="s">
        <v>41</v>
      </c>
      <c r="G692">
        <v>-275.92779999999999</v>
      </c>
      <c r="H692">
        <v>0.99619049999999998</v>
      </c>
      <c r="I692">
        <v>366.88529999999997</v>
      </c>
      <c r="J692">
        <v>-276.70580000000001</v>
      </c>
      <c r="K692">
        <v>1.071593</v>
      </c>
      <c r="L692">
        <v>366.9273</v>
      </c>
      <c r="M692">
        <v>0.99979320000000005</v>
      </c>
      <c r="N692">
        <v>0</v>
      </c>
      <c r="O692">
        <v>1.7369550000000001E-2</v>
      </c>
      <c r="P692">
        <v>0.99168579999999995</v>
      </c>
      <c r="Q692">
        <v>0.117193699999999</v>
      </c>
      <c r="R692">
        <v>-5.3149990000000001E-2</v>
      </c>
      <c r="S692">
        <v>3.0446780000000002</v>
      </c>
      <c r="T692">
        <v>-0.21685389999999999</v>
      </c>
      <c r="U692">
        <v>-0.10968020000000001</v>
      </c>
      <c r="V692">
        <v>7.0221720000000001E-2</v>
      </c>
      <c r="W692">
        <v>0.12774829999999901</v>
      </c>
      <c r="X692">
        <v>0.98931760000000002</v>
      </c>
      <c r="Y692">
        <v>5.3175559999999997E-2</v>
      </c>
      <c r="Z692">
        <v>-3.1259619999999999E-3</v>
      </c>
      <c r="AA692">
        <v>0.99858029999999998</v>
      </c>
      <c r="AB692">
        <v>50</v>
      </c>
      <c r="AC692">
        <v>0.77800000000002001</v>
      </c>
      <c r="AD692">
        <v>-7.54024999999999E-2</v>
      </c>
      <c r="AE692">
        <v>-4.2000000000029999E-2</v>
      </c>
      <c r="AF692">
        <v>5.4992872345572298E-2</v>
      </c>
      <c r="AG692">
        <v>-7.54024999999999E-2</v>
      </c>
      <c r="AH692">
        <v>0.76994187330268504</v>
      </c>
      <c r="AI692">
        <v>95.579172545413101</v>
      </c>
      <c r="AJ692">
        <v>85.914603538406098</v>
      </c>
      <c r="AK692">
        <v>0.775577359958318</v>
      </c>
      <c r="AL692">
        <v>82.660505628094697</v>
      </c>
      <c r="AM692">
        <v>85.939957312102294</v>
      </c>
      <c r="AN692">
        <v>1.0000000158911999</v>
      </c>
    </row>
    <row r="693" spans="1:40" x14ac:dyDescent="0.25">
      <c r="A693" t="str">
        <f>"20190312164448657"</f>
        <v>20190312164448657</v>
      </c>
      <c r="B693" t="str">
        <f>"1552380288652141"</f>
        <v>1552380288652141</v>
      </c>
      <c r="C693" t="s">
        <v>40</v>
      </c>
      <c r="D693">
        <v>5.1253950000000001</v>
      </c>
      <c r="E693">
        <v>0.49801479999999998</v>
      </c>
      <c r="F693" t="s">
        <v>41</v>
      </c>
      <c r="G693">
        <v>-275.91550000000001</v>
      </c>
      <c r="H693">
        <v>1.015112</v>
      </c>
      <c r="I693">
        <v>366.8981</v>
      </c>
      <c r="J693">
        <v>-276.46980000000002</v>
      </c>
      <c r="K693">
        <v>1.0730770000000001</v>
      </c>
      <c r="L693">
        <v>366.9314</v>
      </c>
      <c r="M693">
        <v>0.99979050000000003</v>
      </c>
      <c r="N693">
        <v>0</v>
      </c>
      <c r="O693">
        <v>1.7589049999999998E-2</v>
      </c>
      <c r="P693">
        <v>0.99166189999999999</v>
      </c>
      <c r="Q693">
        <v>0.1173734</v>
      </c>
      <c r="R693">
        <v>-5.32013E-2</v>
      </c>
      <c r="S693">
        <v>3.0449220000000001</v>
      </c>
      <c r="T693">
        <v>-0.2177473</v>
      </c>
      <c r="U693">
        <v>-0.1119385</v>
      </c>
      <c r="V693">
        <v>7.0495440000000006E-2</v>
      </c>
      <c r="W693">
        <v>0.12782489999999999</v>
      </c>
      <c r="X693">
        <v>0.98928819999999995</v>
      </c>
      <c r="Y693">
        <v>5.4127069999999999E-2</v>
      </c>
      <c r="Z693">
        <v>-3.1881570000000001E-3</v>
      </c>
      <c r="AA693">
        <v>0.998529</v>
      </c>
      <c r="AB693">
        <v>50</v>
      </c>
      <c r="AC693">
        <v>0.55430000000001201</v>
      </c>
      <c r="AD693">
        <v>-5.7965000000000003E-2</v>
      </c>
      <c r="AE693">
        <v>-3.3299999999996999E-2</v>
      </c>
      <c r="AF693">
        <v>4.2581018875419797E-2</v>
      </c>
      <c r="AG693">
        <v>-5.7965000000000003E-2</v>
      </c>
      <c r="AH693">
        <v>0.54766103796124099</v>
      </c>
      <c r="AI693">
        <v>96.023704452419693</v>
      </c>
      <c r="AJ693">
        <v>85.554158326224396</v>
      </c>
      <c r="AK693">
        <v>0.55236373604197897</v>
      </c>
      <c r="AL693">
        <v>82.656080208497997</v>
      </c>
      <c r="AM693">
        <v>85.924064026836305</v>
      </c>
      <c r="AN693">
        <v>0.999999977390021</v>
      </c>
    </row>
    <row r="694" spans="1:40" x14ac:dyDescent="0.25">
      <c r="A694" t="str">
        <f>"20190312164448667"</f>
        <v>20190312164448667</v>
      </c>
      <c r="B694" t="str">
        <f>"1552380288661901"</f>
        <v>1552380288661901</v>
      </c>
      <c r="C694" t="s">
        <v>40</v>
      </c>
      <c r="D694">
        <v>5.3202610000000004</v>
      </c>
      <c r="E694">
        <v>0.49804369999999998</v>
      </c>
      <c r="F694" t="s">
        <v>41</v>
      </c>
      <c r="G694">
        <v>-275.4753</v>
      </c>
      <c r="H694">
        <v>1.0017769999999999</v>
      </c>
      <c r="I694">
        <v>366.89440000000002</v>
      </c>
      <c r="J694">
        <v>-276.22199999999998</v>
      </c>
      <c r="K694">
        <v>1.074649</v>
      </c>
      <c r="L694">
        <v>366.93579999999997</v>
      </c>
      <c r="M694">
        <v>0.9997878</v>
      </c>
      <c r="N694">
        <v>0</v>
      </c>
      <c r="O694">
        <v>1.7814070000000001E-2</v>
      </c>
      <c r="P694">
        <v>0.99160760000000003</v>
      </c>
      <c r="Q694">
        <v>0.1177453</v>
      </c>
      <c r="R694">
        <v>-5.3391790000000001E-2</v>
      </c>
      <c r="S694">
        <v>3.0450439999999999</v>
      </c>
      <c r="T694">
        <v>-0.2184422</v>
      </c>
      <c r="U694">
        <v>-0.112793</v>
      </c>
      <c r="V694">
        <v>7.0912439999999993E-2</v>
      </c>
      <c r="W694">
        <v>0.12806509999999999</v>
      </c>
      <c r="X694">
        <v>0.98922739999999998</v>
      </c>
      <c r="Y694">
        <v>5.462711E-2</v>
      </c>
      <c r="Z694">
        <v>-3.232183E-3</v>
      </c>
      <c r="AA694">
        <v>0.99850159999999999</v>
      </c>
      <c r="AB694">
        <v>50</v>
      </c>
      <c r="AC694">
        <v>0.74669999999997505</v>
      </c>
      <c r="AD694">
        <v>-7.2871999999999798E-2</v>
      </c>
      <c r="AE694">
        <v>-4.1399999999953203E-2</v>
      </c>
      <c r="AF694">
        <v>5.4181453451805597E-2</v>
      </c>
      <c r="AG694">
        <v>-7.2871999999999798E-2</v>
      </c>
      <c r="AH694">
        <v>0.73882875951021398</v>
      </c>
      <c r="AI694">
        <v>95.617976599560507</v>
      </c>
      <c r="AJ694">
        <v>85.805764933259496</v>
      </c>
      <c r="AK694">
        <v>0.74438826842015104</v>
      </c>
      <c r="AL694">
        <v>82.642204225601901</v>
      </c>
      <c r="AM694">
        <v>85.899784586943497</v>
      </c>
      <c r="AN694">
        <v>1.0000000464477601</v>
      </c>
    </row>
    <row r="695" spans="1:40" x14ac:dyDescent="0.25">
      <c r="A695" t="str">
        <f>"20190312164448679"</f>
        <v>20190312164448679</v>
      </c>
      <c r="B695" t="str">
        <f>"1552380288672168"</f>
        <v>1552380288672168</v>
      </c>
      <c r="C695" t="s">
        <v>40</v>
      </c>
      <c r="D695">
        <v>5.2243209999999998</v>
      </c>
      <c r="E695">
        <v>0.49818249999999997</v>
      </c>
      <c r="F695" t="s">
        <v>41</v>
      </c>
      <c r="G695">
        <v>-275.45440000000002</v>
      </c>
      <c r="H695">
        <v>1.0199</v>
      </c>
      <c r="I695">
        <v>366.90699999999998</v>
      </c>
      <c r="J695">
        <v>-275.96170000000001</v>
      </c>
      <c r="K695">
        <v>1.0763339999999999</v>
      </c>
      <c r="L695">
        <v>366.94040000000001</v>
      </c>
      <c r="M695">
        <v>0.9997857</v>
      </c>
      <c r="N695">
        <v>0</v>
      </c>
      <c r="O695">
        <v>1.8021800000000001E-2</v>
      </c>
      <c r="P695">
        <v>0.99153769999999997</v>
      </c>
      <c r="Q695">
        <v>0.1181745</v>
      </c>
      <c r="R695">
        <v>-5.3740169999999997E-2</v>
      </c>
      <c r="S695">
        <v>3.0451350000000001</v>
      </c>
      <c r="T695">
        <v>-0.2173755</v>
      </c>
      <c r="U695">
        <v>-0.1135559</v>
      </c>
      <c r="V695">
        <v>7.1468499999999893E-2</v>
      </c>
      <c r="W695">
        <v>0.1283366</v>
      </c>
      <c r="X695">
        <v>0.98915209999999998</v>
      </c>
      <c r="Y695">
        <v>5.5083390000000003E-2</v>
      </c>
      <c r="Z695">
        <v>-3.2473929999999999E-3</v>
      </c>
      <c r="AA695">
        <v>0.99847649999999999</v>
      </c>
      <c r="AB695">
        <v>50</v>
      </c>
      <c r="AC695">
        <v>0.50729999999998598</v>
      </c>
      <c r="AD695">
        <v>-5.6434000000000102E-2</v>
      </c>
      <c r="AE695">
        <v>-3.3400000000028698E-2</v>
      </c>
      <c r="AF695">
        <v>4.2019750481280302E-2</v>
      </c>
      <c r="AG695">
        <v>-5.6434000000000102E-2</v>
      </c>
      <c r="AH695">
        <v>0.50044921835520695</v>
      </c>
      <c r="AI695">
        <v>96.411503417817698</v>
      </c>
      <c r="AJ695">
        <v>85.200471178885294</v>
      </c>
      <c r="AK695">
        <v>0.50537102799710099</v>
      </c>
      <c r="AL695">
        <v>82.626518299468898</v>
      </c>
      <c r="AM695">
        <v>85.867430205597401</v>
      </c>
      <c r="AN695">
        <v>0.99999995316310797</v>
      </c>
    </row>
    <row r="696" spans="1:40" x14ac:dyDescent="0.25">
      <c r="A696" t="str">
        <f>"20190312164448690"</f>
        <v>20190312164448690</v>
      </c>
      <c r="B696" t="str">
        <f>"1552380288681928"</f>
        <v>1552380288681928</v>
      </c>
      <c r="C696" t="s">
        <v>40</v>
      </c>
      <c r="D696">
        <v>5.1214209999999998</v>
      </c>
      <c r="E696">
        <v>0.49822830000000001</v>
      </c>
      <c r="F696" t="s">
        <v>41</v>
      </c>
      <c r="G696">
        <v>-275.0213</v>
      </c>
      <c r="H696">
        <v>1.0092890000000001</v>
      </c>
      <c r="I696">
        <v>366.9049</v>
      </c>
      <c r="J696">
        <v>-275.714</v>
      </c>
      <c r="K696">
        <v>1.0779350000000001</v>
      </c>
      <c r="L696">
        <v>366.94490000000002</v>
      </c>
      <c r="M696">
        <v>0.9997838</v>
      </c>
      <c r="N696">
        <v>0</v>
      </c>
      <c r="O696">
        <v>1.8212800000000001E-2</v>
      </c>
      <c r="P696">
        <v>0.99147870000000005</v>
      </c>
      <c r="Q696">
        <v>0.1185326</v>
      </c>
      <c r="R696">
        <v>-5.4040659999999997E-2</v>
      </c>
      <c r="S696">
        <v>3.045258</v>
      </c>
      <c r="T696">
        <v>-0.21696779999999999</v>
      </c>
      <c r="U696">
        <v>-0.1152649</v>
      </c>
      <c r="V696">
        <v>7.1960090000000004E-2</v>
      </c>
      <c r="W696">
        <v>0.12854749999999901</v>
      </c>
      <c r="X696">
        <v>0.98908910000000005</v>
      </c>
      <c r="Y696">
        <v>5.5830499999999998E-2</v>
      </c>
      <c r="Z696">
        <v>-3.2813130000000001E-3</v>
      </c>
      <c r="AA696">
        <v>0.99843479999999996</v>
      </c>
      <c r="AB696">
        <v>50</v>
      </c>
      <c r="AC696">
        <v>0.69270000000000198</v>
      </c>
      <c r="AD696">
        <v>-6.8646000000000207E-2</v>
      </c>
      <c r="AE696">
        <v>-4.0000000000020401E-2</v>
      </c>
      <c r="AF696">
        <v>5.2100050395116899E-2</v>
      </c>
      <c r="AG696">
        <v>-6.8646000000000207E-2</v>
      </c>
      <c r="AH696">
        <v>0.68515028675047096</v>
      </c>
      <c r="AI696">
        <v>95.705075498930995</v>
      </c>
      <c r="AJ696">
        <v>85.6514953311776</v>
      </c>
      <c r="AK696">
        <v>0.69054877018312499</v>
      </c>
      <c r="AL696">
        <v>82.614333900996598</v>
      </c>
      <c r="AM696">
        <v>85.838840075460197</v>
      </c>
      <c r="AN696">
        <v>0.99999998102393295</v>
      </c>
    </row>
    <row r="697" spans="1:40" x14ac:dyDescent="0.25">
      <c r="A697" t="str">
        <f>"20190312164448700"</f>
        <v>20190312164448700</v>
      </c>
      <c r="B697" t="str">
        <f>"1552380288692665"</f>
        <v>1552380288692665</v>
      </c>
      <c r="C697" t="s">
        <v>40</v>
      </c>
      <c r="D697">
        <v>5.8097500000000002</v>
      </c>
      <c r="E697">
        <v>0.49822749999999999</v>
      </c>
      <c r="F697" t="s">
        <v>41</v>
      </c>
      <c r="G697">
        <v>-274.57600000000002</v>
      </c>
      <c r="H697">
        <v>0.99705299999999997</v>
      </c>
      <c r="I697">
        <v>366.90120000000002</v>
      </c>
      <c r="J697">
        <v>-275.47390000000001</v>
      </c>
      <c r="K697">
        <v>1.0794889999999999</v>
      </c>
      <c r="L697">
        <v>366.94920000000002</v>
      </c>
      <c r="M697">
        <v>0.99978199999999995</v>
      </c>
      <c r="N697">
        <v>0</v>
      </c>
      <c r="O697">
        <v>1.8373090000000002E-2</v>
      </c>
      <c r="P697">
        <v>0.99143170000000003</v>
      </c>
      <c r="Q697">
        <v>0.1188057</v>
      </c>
      <c r="R697">
        <v>-5.4303049999999999E-2</v>
      </c>
      <c r="S697">
        <v>3.0453800000000002</v>
      </c>
      <c r="T697">
        <v>-0.21659139999999999</v>
      </c>
      <c r="U697">
        <v>-0.1161499</v>
      </c>
      <c r="V697">
        <v>7.2382660000000001E-2</v>
      </c>
      <c r="W697">
        <v>0.1287064</v>
      </c>
      <c r="X697">
        <v>0.98903759999999996</v>
      </c>
      <c r="Y697">
        <v>5.6277889999999997E-2</v>
      </c>
      <c r="Z697">
        <v>-3.302751E-3</v>
      </c>
      <c r="AA697">
        <v>0.99840969999999996</v>
      </c>
      <c r="AB697">
        <v>51</v>
      </c>
      <c r="AC697">
        <v>0.89790000000004899</v>
      </c>
      <c r="AD697">
        <v>-8.2435999999999801E-2</v>
      </c>
      <c r="AE697">
        <v>-4.8000000000001798E-2</v>
      </c>
      <c r="AF697">
        <v>6.3952385103253503E-2</v>
      </c>
      <c r="AG697">
        <v>-8.2435999999999801E-2</v>
      </c>
      <c r="AH697">
        <v>0.88939112187109004</v>
      </c>
      <c r="AI697">
        <v>95.281948546028005</v>
      </c>
      <c r="AJ697">
        <v>85.887179440875201</v>
      </c>
      <c r="AK697">
        <v>0.89548990464410605</v>
      </c>
      <c r="AL697">
        <v>82.605153335401198</v>
      </c>
      <c r="AM697">
        <v>85.814273986800103</v>
      </c>
      <c r="AN697">
        <v>0.99999998054169703</v>
      </c>
    </row>
    <row r="698" spans="1:40" x14ac:dyDescent="0.25">
      <c r="A698" t="str">
        <f>"20190312164448712"</f>
        <v>20190312164448712</v>
      </c>
      <c r="B698" t="str">
        <f>"1552380288702424"</f>
        <v>1552380288702424</v>
      </c>
      <c r="C698" t="s">
        <v>40</v>
      </c>
      <c r="D698">
        <v>5.1014390000000001</v>
      </c>
      <c r="E698">
        <v>0.49824970000000002</v>
      </c>
      <c r="F698" t="s">
        <v>41</v>
      </c>
      <c r="G698">
        <v>-274.56720000000001</v>
      </c>
      <c r="H698">
        <v>1.0153449999999999</v>
      </c>
      <c r="I698">
        <v>366.91419999999999</v>
      </c>
      <c r="J698">
        <v>-275.22739999999999</v>
      </c>
      <c r="K698">
        <v>1.0810740000000001</v>
      </c>
      <c r="L698">
        <v>366.95370000000003</v>
      </c>
      <c r="M698">
        <v>0.99978009999999995</v>
      </c>
      <c r="N698">
        <v>0</v>
      </c>
      <c r="O698">
        <v>1.853028E-2</v>
      </c>
      <c r="P698">
        <v>0.9914229</v>
      </c>
      <c r="Q698">
        <v>0.118876</v>
      </c>
      <c r="R698">
        <v>-5.4311619999999998E-2</v>
      </c>
      <c r="S698">
        <v>3.0453800000000002</v>
      </c>
      <c r="T698">
        <v>-0.2155939</v>
      </c>
      <c r="U698">
        <v>-0.1166992</v>
      </c>
      <c r="V698">
        <v>7.2549009999999997E-2</v>
      </c>
      <c r="W698">
        <v>0.1286756</v>
      </c>
      <c r="X698">
        <v>0.98902939999999995</v>
      </c>
      <c r="Y698">
        <v>5.6615169999999999E-2</v>
      </c>
      <c r="Z698">
        <v>-3.3105980000000001E-3</v>
      </c>
      <c r="AA698">
        <v>0.99839060000000002</v>
      </c>
      <c r="AB698">
        <v>51</v>
      </c>
      <c r="AC698">
        <v>0.66019999999997403</v>
      </c>
      <c r="AD698">
        <v>-6.5728999999999704E-2</v>
      </c>
      <c r="AE698">
        <v>-3.9500000000032197E-2</v>
      </c>
      <c r="AF698">
        <v>5.1221598090685702E-2</v>
      </c>
      <c r="AG698">
        <v>-6.5728999999999704E-2</v>
      </c>
      <c r="AH698">
        <v>0.65290610394450099</v>
      </c>
      <c r="AI698">
        <v>95.731188614594402</v>
      </c>
      <c r="AJ698">
        <v>85.514236061148495</v>
      </c>
      <c r="AK698">
        <v>0.65820235043636199</v>
      </c>
      <c r="AL698">
        <v>82.606932700764204</v>
      </c>
      <c r="AM698">
        <v>85.804653990012994</v>
      </c>
      <c r="AN698">
        <v>0.99999996147584902</v>
      </c>
    </row>
    <row r="699" spans="1:40" x14ac:dyDescent="0.25">
      <c r="A699" t="str">
        <f>"20190312164448723"</f>
        <v>20190312164448723</v>
      </c>
      <c r="B699" t="str">
        <f>"1552380288712184"</f>
        <v>1552380288712184</v>
      </c>
      <c r="C699" t="s">
        <v>40</v>
      </c>
      <c r="D699">
        <v>5.0728499999999999</v>
      </c>
      <c r="E699">
        <v>0.4982858</v>
      </c>
      <c r="F699" t="s">
        <v>41</v>
      </c>
      <c r="G699">
        <v>-274.12150000000003</v>
      </c>
      <c r="H699">
        <v>1.0030319999999999</v>
      </c>
      <c r="I699">
        <v>366.91109999999998</v>
      </c>
      <c r="J699">
        <v>-274.9522</v>
      </c>
      <c r="K699">
        <v>1.082811</v>
      </c>
      <c r="L699">
        <v>366.95870000000002</v>
      </c>
      <c r="M699">
        <v>0.99977769999999999</v>
      </c>
      <c r="N699">
        <v>0</v>
      </c>
      <c r="O699">
        <v>1.8684679999999999E-2</v>
      </c>
      <c r="P699">
        <v>0.99139569999999999</v>
      </c>
      <c r="Q699">
        <v>0.1190978</v>
      </c>
      <c r="R699">
        <v>-5.4318230000000002E-2</v>
      </c>
      <c r="S699">
        <v>3.0453800000000002</v>
      </c>
      <c r="T699">
        <v>-0.21509210000000001</v>
      </c>
      <c r="U699">
        <v>-0.11672970000000001</v>
      </c>
      <c r="V699">
        <v>7.2710540000000004E-2</v>
      </c>
      <c r="W699">
        <v>0.1288321</v>
      </c>
      <c r="X699">
        <v>0.98899720000000002</v>
      </c>
      <c r="Y699">
        <v>5.6779410000000002E-2</v>
      </c>
      <c r="Z699">
        <v>-3.319589E-3</v>
      </c>
      <c r="AA699">
        <v>0.99838130000000003</v>
      </c>
      <c r="AB699">
        <v>51</v>
      </c>
      <c r="AC699">
        <v>0.83069999999997801</v>
      </c>
      <c r="AD699">
        <v>-7.9779000000000003E-2</v>
      </c>
      <c r="AE699">
        <v>-4.7600000000045301E-2</v>
      </c>
      <c r="AF699">
        <v>6.2538863663895494E-2</v>
      </c>
      <c r="AG699">
        <v>-7.9779000000000003E-2</v>
      </c>
      <c r="AH699">
        <v>0.82210776094604998</v>
      </c>
      <c r="AI699">
        <v>95.526873624354195</v>
      </c>
      <c r="AJ699">
        <v>85.649809951047501</v>
      </c>
      <c r="AK699">
        <v>0.82833385112350699</v>
      </c>
      <c r="AL699">
        <v>82.597890915420507</v>
      </c>
      <c r="AM699">
        <v>85.795210131528606</v>
      </c>
      <c r="AN699">
        <v>0.99999999711266996</v>
      </c>
    </row>
    <row r="700" spans="1:40" x14ac:dyDescent="0.25">
      <c r="A700" t="str">
        <f>"20190312164448740"</f>
        <v>20190312164448740</v>
      </c>
      <c r="B700" t="str">
        <f>"1552380288732680"</f>
        <v>1552380288732680</v>
      </c>
      <c r="C700" t="s">
        <v>40</v>
      </c>
      <c r="D700">
        <v>5.2187070000000002</v>
      </c>
      <c r="E700">
        <v>0.49836320000000001</v>
      </c>
      <c r="F700" t="s">
        <v>41</v>
      </c>
      <c r="G700">
        <v>-274.1103</v>
      </c>
      <c r="H700">
        <v>1.023641</v>
      </c>
      <c r="I700">
        <v>366.92619999999999</v>
      </c>
      <c r="J700">
        <v>-274.5874</v>
      </c>
      <c r="K700">
        <v>1.085051</v>
      </c>
      <c r="L700">
        <v>366.96550000000002</v>
      </c>
      <c r="M700">
        <v>0.99977459999999996</v>
      </c>
      <c r="N700">
        <v>0</v>
      </c>
      <c r="O700">
        <v>1.8863999999999999E-2</v>
      </c>
      <c r="P700">
        <v>0.99138919999999997</v>
      </c>
      <c r="Q700">
        <v>0.1191535</v>
      </c>
      <c r="R700">
        <v>-5.4315280000000001E-2</v>
      </c>
      <c r="S700">
        <v>3.0453800000000002</v>
      </c>
      <c r="T700">
        <v>-0.21424029999999999</v>
      </c>
      <c r="U700">
        <v>-0.1169434</v>
      </c>
      <c r="V700">
        <v>7.2888430000000004E-2</v>
      </c>
      <c r="W700">
        <v>0.1288657</v>
      </c>
      <c r="X700">
        <v>0.98897979999999996</v>
      </c>
      <c r="Y700">
        <v>5.7028830000000003E-2</v>
      </c>
      <c r="Z700">
        <v>-3.3278270000000002E-3</v>
      </c>
      <c r="AA700">
        <v>0.998367</v>
      </c>
      <c r="AB700">
        <v>51</v>
      </c>
      <c r="AC700">
        <v>0.47710000000000702</v>
      </c>
      <c r="AD700">
        <v>-6.1409999999999902E-2</v>
      </c>
      <c r="AE700">
        <v>-3.9300000000025599E-2</v>
      </c>
      <c r="AF700">
        <v>4.7511600013084798E-2</v>
      </c>
      <c r="AG700">
        <v>-6.1409999999999902E-2</v>
      </c>
      <c r="AH700">
        <v>0.46856306342228599</v>
      </c>
      <c r="AI700">
        <v>97.428978516310593</v>
      </c>
      <c r="AJ700">
        <v>84.210082101411899</v>
      </c>
      <c r="AK700">
        <v>0.47495250777259901</v>
      </c>
      <c r="AL700">
        <v>82.595950125134493</v>
      </c>
      <c r="AM700">
        <v>85.784886040795499</v>
      </c>
      <c r="AN700">
        <v>1.00000006833619</v>
      </c>
    </row>
    <row r="701" spans="1:40" x14ac:dyDescent="0.25">
      <c r="A701" t="str">
        <f>"20190312164448753"</f>
        <v>20190312164448753</v>
      </c>
      <c r="B701" t="str">
        <f>"1552380288742440"</f>
        <v>1552380288742440</v>
      </c>
      <c r="C701" t="s">
        <v>40</v>
      </c>
      <c r="D701">
        <v>5.081785</v>
      </c>
      <c r="E701">
        <v>0.4983784</v>
      </c>
      <c r="F701" t="s">
        <v>41</v>
      </c>
      <c r="G701">
        <v>-273.66160000000002</v>
      </c>
      <c r="H701">
        <v>1.0201960000000001</v>
      </c>
      <c r="I701">
        <v>366.92939999999999</v>
      </c>
      <c r="J701">
        <v>-274.2962</v>
      </c>
      <c r="K701">
        <v>1.0867770000000001</v>
      </c>
      <c r="L701">
        <v>366.97089999999997</v>
      </c>
      <c r="M701">
        <v>0.99977179999999999</v>
      </c>
      <c r="N701">
        <v>0</v>
      </c>
      <c r="O701">
        <v>1.8989840000000001E-2</v>
      </c>
      <c r="P701">
        <v>0.99140519999999999</v>
      </c>
      <c r="Q701">
        <v>0.118893</v>
      </c>
      <c r="R701">
        <v>-5.4591559999999997E-2</v>
      </c>
      <c r="S701">
        <v>3.0453489999999999</v>
      </c>
      <c r="T701">
        <v>-0.21367549999999999</v>
      </c>
      <c r="U701">
        <v>-0.1176147</v>
      </c>
      <c r="V701">
        <v>7.3292679999999999E-2</v>
      </c>
      <c r="W701">
        <v>0.12863069999999999</v>
      </c>
      <c r="X701">
        <v>0.98898050000000004</v>
      </c>
      <c r="Y701">
        <v>5.7374479999999999E-2</v>
      </c>
      <c r="Z701">
        <v>-3.3400180000000002E-3</v>
      </c>
      <c r="AA701">
        <v>0.99834719999999999</v>
      </c>
      <c r="AB701">
        <v>51</v>
      </c>
      <c r="AC701">
        <v>0.63459999999997696</v>
      </c>
      <c r="AD701">
        <v>-6.6581000000000196E-2</v>
      </c>
      <c r="AE701">
        <v>-4.1499999999984903E-2</v>
      </c>
      <c r="AF701">
        <v>5.2963516149983299E-2</v>
      </c>
      <c r="AG701">
        <v>-6.6581000000000196E-2</v>
      </c>
      <c r="AH701">
        <v>0.62682683858687405</v>
      </c>
      <c r="AI701">
        <v>96.041804506385205</v>
      </c>
      <c r="AJ701">
        <v>85.170284867087801</v>
      </c>
      <c r="AK701">
        <v>0.63257414520100697</v>
      </c>
      <c r="AL701">
        <v>82.609527509726504</v>
      </c>
      <c r="AM701">
        <v>85.761596342632103</v>
      </c>
      <c r="AN701">
        <v>1.0000000516521499</v>
      </c>
    </row>
    <row r="702" spans="1:40" x14ac:dyDescent="0.25">
      <c r="A702" t="str">
        <f>"20190312164448770"</f>
        <v>20190312164448770</v>
      </c>
      <c r="B702" t="str">
        <f>"1552380288761960"</f>
        <v>1552380288761960</v>
      </c>
      <c r="C702" t="s">
        <v>40</v>
      </c>
      <c r="D702">
        <v>5.2558150000000001</v>
      </c>
      <c r="E702">
        <v>0.49841829999999998</v>
      </c>
      <c r="F702" t="s">
        <v>41</v>
      </c>
      <c r="G702">
        <v>-273.21420000000001</v>
      </c>
      <c r="H702">
        <v>1.0107189999999999</v>
      </c>
      <c r="I702">
        <v>366.92869999999999</v>
      </c>
      <c r="J702">
        <v>-273.9006</v>
      </c>
      <c r="K702">
        <v>1.0890089999999999</v>
      </c>
      <c r="L702">
        <v>366.97840000000002</v>
      </c>
      <c r="M702">
        <v>0.99976830000000005</v>
      </c>
      <c r="N702">
        <v>0</v>
      </c>
      <c r="O702">
        <v>1.9131780000000001E-2</v>
      </c>
      <c r="P702">
        <v>0.99142149999999996</v>
      </c>
      <c r="Q702">
        <v>0.118723</v>
      </c>
      <c r="R702">
        <v>-5.4670429999999999E-2</v>
      </c>
      <c r="S702">
        <v>3.0451350000000001</v>
      </c>
      <c r="T702">
        <v>-0.21419750000000001</v>
      </c>
      <c r="U702">
        <v>-0.11843869999999999</v>
      </c>
      <c r="V702">
        <v>7.3517319999999997E-2</v>
      </c>
      <c r="W702">
        <v>0.12855929999999999</v>
      </c>
      <c r="X702">
        <v>0.98897310000000005</v>
      </c>
      <c r="Y702">
        <v>5.7786360000000002E-2</v>
      </c>
      <c r="Z702">
        <v>-3.3728090000000001E-3</v>
      </c>
      <c r="AA702">
        <v>0.99832330000000002</v>
      </c>
      <c r="AB702">
        <v>51</v>
      </c>
      <c r="AC702">
        <v>0.68639999999999102</v>
      </c>
      <c r="AD702">
        <v>-7.8289999999999901E-2</v>
      </c>
      <c r="AE702">
        <v>-4.9700000000029797E-2</v>
      </c>
      <c r="AF702">
        <v>6.2020946757014299E-2</v>
      </c>
      <c r="AG702">
        <v>-7.8289999999999901E-2</v>
      </c>
      <c r="AH702">
        <v>0.67656761111560504</v>
      </c>
      <c r="AI702">
        <v>96.573387824373498</v>
      </c>
      <c r="AJ702">
        <v>84.762335055563497</v>
      </c>
      <c r="AK702">
        <v>0.68390032486270502</v>
      </c>
      <c r="AL702">
        <v>82.613652601307706</v>
      </c>
      <c r="AM702">
        <v>85.748621616863701</v>
      </c>
      <c r="AN702">
        <v>1.00000004124004</v>
      </c>
    </row>
    <row r="703" spans="1:40" x14ac:dyDescent="0.25">
      <c r="A703" t="str">
        <f>"20190312164448781"</f>
        <v>20190312164448781</v>
      </c>
      <c r="B703" t="str">
        <f>"1552380288772697"</f>
        <v>1552380288772697</v>
      </c>
      <c r="C703" t="s">
        <v>40</v>
      </c>
      <c r="D703">
        <v>5.0618499999999997</v>
      </c>
      <c r="E703">
        <v>0.49844100000000002</v>
      </c>
      <c r="F703" t="s">
        <v>41</v>
      </c>
      <c r="G703">
        <v>-272.76319999999998</v>
      </c>
      <c r="H703">
        <v>1.0087699999999999</v>
      </c>
      <c r="I703">
        <v>366.93419999999998</v>
      </c>
      <c r="J703">
        <v>-273.63339999999999</v>
      </c>
      <c r="K703">
        <v>1.0904130000000001</v>
      </c>
      <c r="L703">
        <v>366.98349999999999</v>
      </c>
      <c r="M703">
        <v>0.99976580000000004</v>
      </c>
      <c r="N703">
        <v>0</v>
      </c>
      <c r="O703">
        <v>1.9207780000000001E-2</v>
      </c>
      <c r="P703">
        <v>0.99139460000000001</v>
      </c>
      <c r="Q703">
        <v>0.118823</v>
      </c>
      <c r="R703">
        <v>-5.4938689999999998E-2</v>
      </c>
      <c r="S703">
        <v>3.0451350000000001</v>
      </c>
      <c r="T703">
        <v>-0.21484259999999999</v>
      </c>
      <c r="U703">
        <v>-0.11828610000000001</v>
      </c>
      <c r="V703">
        <v>7.3863929999999994E-2</v>
      </c>
      <c r="W703">
        <v>0.1287655</v>
      </c>
      <c r="X703">
        <v>0.98892040000000003</v>
      </c>
      <c r="Y703">
        <v>5.7810930000000003E-2</v>
      </c>
      <c r="Z703">
        <v>-3.389165E-3</v>
      </c>
      <c r="AA703">
        <v>0.99832180000000004</v>
      </c>
      <c r="AB703">
        <v>51</v>
      </c>
      <c r="AC703">
        <v>0.87020000000001096</v>
      </c>
      <c r="AD703">
        <v>-8.1642999999999605E-2</v>
      </c>
      <c r="AE703">
        <v>-4.9300000000016497E-2</v>
      </c>
      <c r="AF703">
        <v>6.5432228743722898E-2</v>
      </c>
      <c r="AG703">
        <v>-8.1642999999999605E-2</v>
      </c>
      <c r="AH703">
        <v>0.86153317972712595</v>
      </c>
      <c r="AI703">
        <v>95.398001748778199</v>
      </c>
      <c r="AJ703">
        <v>85.656804415694793</v>
      </c>
      <c r="AK703">
        <v>0.86786310889339202</v>
      </c>
      <c r="AL703">
        <v>82.601738855432501</v>
      </c>
      <c r="AM703">
        <v>85.728424993443895</v>
      </c>
      <c r="AN703">
        <v>0.99999999584072696</v>
      </c>
    </row>
    <row r="704" spans="1:40" x14ac:dyDescent="0.25">
      <c r="A704" t="str">
        <f>"20190312164448795"</f>
        <v>20190312164448795</v>
      </c>
      <c r="B704" t="str">
        <f>"1552380288782457"</f>
        <v>1552380288782457</v>
      </c>
      <c r="C704" t="s">
        <v>40</v>
      </c>
      <c r="D704">
        <v>5.0633429999999997</v>
      </c>
      <c r="E704">
        <v>0.49847019999999997</v>
      </c>
      <c r="F704" t="s">
        <v>41</v>
      </c>
      <c r="G704">
        <v>-272.75360000000001</v>
      </c>
      <c r="H704">
        <v>1.028435</v>
      </c>
      <c r="I704">
        <v>366.94909999999999</v>
      </c>
      <c r="J704">
        <v>-273.36470000000003</v>
      </c>
      <c r="K704">
        <v>1.0917760000000001</v>
      </c>
      <c r="L704">
        <v>366.98860000000002</v>
      </c>
      <c r="M704">
        <v>0.99976319999999996</v>
      </c>
      <c r="N704">
        <v>0</v>
      </c>
      <c r="O704">
        <v>1.927618E-2</v>
      </c>
      <c r="P704">
        <v>0.99139310000000003</v>
      </c>
      <c r="Q704">
        <v>0.1187802</v>
      </c>
      <c r="R704">
        <v>-5.5057990000000001E-2</v>
      </c>
      <c r="S704">
        <v>3.045166</v>
      </c>
      <c r="T704">
        <v>-0.21453130000000001</v>
      </c>
      <c r="U704">
        <v>-0.11883539999999999</v>
      </c>
      <c r="V704">
        <v>7.4055309999999999E-2</v>
      </c>
      <c r="W704">
        <v>0.12884300000000001</v>
      </c>
      <c r="X704">
        <v>0.988896</v>
      </c>
      <c r="Y704">
        <v>5.8058459999999999E-2</v>
      </c>
      <c r="Z704">
        <v>-3.3977389999999999E-3</v>
      </c>
      <c r="AA704">
        <v>0.99830739999999996</v>
      </c>
      <c r="AB704">
        <v>51</v>
      </c>
      <c r="AC704">
        <v>0.61110000000002096</v>
      </c>
      <c r="AD704">
        <v>-6.3340999999999995E-2</v>
      </c>
      <c r="AE704">
        <v>-3.9500000000032197E-2</v>
      </c>
      <c r="AF704">
        <v>5.0730182847828403E-2</v>
      </c>
      <c r="AG704">
        <v>-6.3340999999999995E-2</v>
      </c>
      <c r="AH704">
        <v>0.60376543833692597</v>
      </c>
      <c r="AI704">
        <v>95.9681121005531</v>
      </c>
      <c r="AJ704">
        <v>85.197118137399897</v>
      </c>
      <c r="AK704">
        <v>0.609194827836674</v>
      </c>
      <c r="AL704">
        <v>82.597261188046303</v>
      </c>
      <c r="AM704">
        <v>85.717293273611403</v>
      </c>
      <c r="AN704">
        <v>1.0000000032020899</v>
      </c>
    </row>
    <row r="705" spans="1:40" x14ac:dyDescent="0.25">
      <c r="A705" t="str">
        <f>"20190312164448805"</f>
        <v>20190312164448805</v>
      </c>
      <c r="B705" t="str">
        <f>"1552380288801977"</f>
        <v>1552380288801977</v>
      </c>
      <c r="C705" t="s">
        <v>40</v>
      </c>
      <c r="D705">
        <v>5.2267849999999996</v>
      </c>
      <c r="E705">
        <v>0.49852089999999999</v>
      </c>
      <c r="F705" t="s">
        <v>41</v>
      </c>
      <c r="G705">
        <v>-272.3073</v>
      </c>
      <c r="H705">
        <v>1.0173639999999999</v>
      </c>
      <c r="I705">
        <v>366.9468</v>
      </c>
      <c r="J705">
        <v>-273.09789999999998</v>
      </c>
      <c r="K705">
        <v>1.0930500000000001</v>
      </c>
      <c r="L705">
        <v>366.99369999999999</v>
      </c>
      <c r="M705">
        <v>0.9997606</v>
      </c>
      <c r="N705">
        <v>0</v>
      </c>
      <c r="O705">
        <v>1.9333570000000001E-2</v>
      </c>
      <c r="P705">
        <v>0.9913594</v>
      </c>
      <c r="Q705">
        <v>0.1189264</v>
      </c>
      <c r="R705">
        <v>-5.5347029999999998E-2</v>
      </c>
      <c r="S705">
        <v>3.0450439999999999</v>
      </c>
      <c r="T705">
        <v>-0.21439230000000001</v>
      </c>
      <c r="U705">
        <v>-0.1199036</v>
      </c>
      <c r="V705">
        <v>7.4404929999999994E-2</v>
      </c>
      <c r="W705">
        <v>0.1291253</v>
      </c>
      <c r="X705">
        <v>0.98883299999999996</v>
      </c>
      <c r="Y705">
        <v>5.8466079999999997E-2</v>
      </c>
      <c r="Z705">
        <v>-3.4140199999999998E-3</v>
      </c>
      <c r="AA705">
        <v>0.99828360000000005</v>
      </c>
      <c r="AB705">
        <v>51</v>
      </c>
      <c r="AC705">
        <v>0.79059999999998298</v>
      </c>
      <c r="AD705">
        <v>-7.56860000000001E-2</v>
      </c>
      <c r="AE705">
        <v>-4.6899999999993697E-2</v>
      </c>
      <c r="AF705">
        <v>6.1614458747838399E-2</v>
      </c>
      <c r="AG705">
        <v>-7.56860000000001E-2</v>
      </c>
      <c r="AH705">
        <v>0.78240011606158399</v>
      </c>
      <c r="AI705">
        <v>95.508404596924095</v>
      </c>
      <c r="AJ705">
        <v>85.497217326193393</v>
      </c>
      <c r="AK705">
        <v>0.78846347647558801</v>
      </c>
      <c r="AL705">
        <v>82.5809508324772</v>
      </c>
      <c r="AM705">
        <v>85.696876979733503</v>
      </c>
      <c r="AN705">
        <v>1.0000000692986899</v>
      </c>
    </row>
    <row r="706" spans="1:40" x14ac:dyDescent="0.25">
      <c r="A706" t="str">
        <f>"20190312164448816"</f>
        <v>20190312164448816</v>
      </c>
      <c r="B706" t="str">
        <f>"1552380288812712"</f>
        <v>1552380288812712</v>
      </c>
      <c r="C706" t="s">
        <v>40</v>
      </c>
      <c r="D706">
        <v>5.2050299999999998</v>
      </c>
      <c r="E706">
        <v>0.49853520000000001</v>
      </c>
      <c r="F706" t="s">
        <v>41</v>
      </c>
      <c r="G706">
        <v>-272.29520000000002</v>
      </c>
      <c r="H706">
        <v>1.036632</v>
      </c>
      <c r="I706">
        <v>366.96170000000001</v>
      </c>
      <c r="J706">
        <v>-272.86439999999999</v>
      </c>
      <c r="K706">
        <v>1.094096</v>
      </c>
      <c r="L706">
        <v>366.9982</v>
      </c>
      <c r="M706">
        <v>0.99975829999999999</v>
      </c>
      <c r="N706">
        <v>0</v>
      </c>
      <c r="O706">
        <v>1.937446E-2</v>
      </c>
      <c r="P706">
        <v>0.99137509999999995</v>
      </c>
      <c r="Q706">
        <v>0.1187206</v>
      </c>
      <c r="R706">
        <v>-5.5503770000000001E-2</v>
      </c>
      <c r="S706">
        <v>3.0450740000000001</v>
      </c>
      <c r="T706">
        <v>-0.2141391</v>
      </c>
      <c r="U706">
        <v>-0.12103269999999999</v>
      </c>
      <c r="V706">
        <v>7.4607190000000004E-2</v>
      </c>
      <c r="W706">
        <v>0.12905059999999999</v>
      </c>
      <c r="X706">
        <v>0.98882749999999997</v>
      </c>
      <c r="Y706">
        <v>5.8875480000000001E-2</v>
      </c>
      <c r="Z706">
        <v>-3.4271850000000001E-3</v>
      </c>
      <c r="AA706">
        <v>0.99825940000000002</v>
      </c>
      <c r="AB706">
        <v>51</v>
      </c>
      <c r="AC706">
        <v>0.56919999999996596</v>
      </c>
      <c r="AD706">
        <v>-5.7463999999999897E-2</v>
      </c>
      <c r="AE706">
        <v>-3.6499999999989499E-2</v>
      </c>
      <c r="AF706">
        <v>4.7044172723767798E-2</v>
      </c>
      <c r="AG706">
        <v>-5.7463999999999897E-2</v>
      </c>
      <c r="AH706">
        <v>0.56267461457763701</v>
      </c>
      <c r="AI706">
        <v>95.811066057990899</v>
      </c>
      <c r="AJ706">
        <v>85.220722519591405</v>
      </c>
      <c r="AK706">
        <v>0.56755439155499099</v>
      </c>
      <c r="AL706">
        <v>82.585266850841904</v>
      </c>
      <c r="AM706">
        <v>85.685199713713999</v>
      </c>
      <c r="AN706">
        <v>1.00000005745815</v>
      </c>
    </row>
    <row r="707" spans="1:40" x14ac:dyDescent="0.25">
      <c r="A707" t="str">
        <f>"20190312164448827"</f>
        <v>20190312164448827</v>
      </c>
      <c r="B707" t="str">
        <f>"1552380288822473"</f>
        <v>1552380288822473</v>
      </c>
      <c r="C707" t="s">
        <v>40</v>
      </c>
      <c r="D707">
        <v>5.0491169999999999</v>
      </c>
      <c r="E707">
        <v>0.49856</v>
      </c>
      <c r="F707" t="s">
        <v>41</v>
      </c>
      <c r="G707">
        <v>-271.85289999999998</v>
      </c>
      <c r="H707">
        <v>1.0227759999999999</v>
      </c>
      <c r="I707">
        <v>366.95760000000001</v>
      </c>
      <c r="J707">
        <v>-272.61689999999999</v>
      </c>
      <c r="K707">
        <v>1.0951690000000001</v>
      </c>
      <c r="L707">
        <v>367.00299999999999</v>
      </c>
      <c r="M707">
        <v>0.99975619999999998</v>
      </c>
      <c r="N707">
        <v>0</v>
      </c>
      <c r="O707">
        <v>1.9413469999999999E-2</v>
      </c>
      <c r="P707">
        <v>0.99135799999999996</v>
      </c>
      <c r="Q707">
        <v>0.1187199</v>
      </c>
      <c r="R707">
        <v>-5.5811859999999998E-2</v>
      </c>
      <c r="S707">
        <v>3.0450439999999999</v>
      </c>
      <c r="T707">
        <v>-0.2148323</v>
      </c>
      <c r="U707">
        <v>-0.1218567</v>
      </c>
      <c r="V707">
        <v>7.4958440000000001E-2</v>
      </c>
      <c r="W707">
        <v>0.129193899999999</v>
      </c>
      <c r="X707">
        <v>0.98878219999999994</v>
      </c>
      <c r="Y707">
        <v>5.9182430000000001E-2</v>
      </c>
      <c r="Z707">
        <v>-3.4518280000000001E-3</v>
      </c>
      <c r="AA707">
        <v>0.99824120000000005</v>
      </c>
      <c r="AB707">
        <v>51</v>
      </c>
      <c r="AC707">
        <v>0.76400000000001</v>
      </c>
      <c r="AD707">
        <v>-7.2392999999999902E-2</v>
      </c>
      <c r="AE707">
        <v>-4.5400000000029202E-2</v>
      </c>
      <c r="AF707">
        <v>5.9690109704887202E-2</v>
      </c>
      <c r="AG707">
        <v>-7.2392999999999902E-2</v>
      </c>
      <c r="AH707">
        <v>0.75620881024173503</v>
      </c>
      <c r="AI707">
        <v>95.451492638094095</v>
      </c>
      <c r="AJ707">
        <v>85.486808633726497</v>
      </c>
      <c r="AK707">
        <v>0.76200749361984699</v>
      </c>
      <c r="AL707">
        <v>82.576986887747097</v>
      </c>
      <c r="AM707">
        <v>85.6647650802432</v>
      </c>
      <c r="AN707">
        <v>1.00000003528064</v>
      </c>
    </row>
    <row r="708" spans="1:40" x14ac:dyDescent="0.25">
      <c r="A708" t="str">
        <f>"20190312164448839"</f>
        <v>20190312164448839</v>
      </c>
      <c r="B708" t="str">
        <f>"1552380288832232"</f>
        <v>1552380288832232</v>
      </c>
      <c r="C708" t="s">
        <v>40</v>
      </c>
      <c r="D708">
        <v>5.061083</v>
      </c>
      <c r="E708">
        <v>0.4985733</v>
      </c>
      <c r="F708" t="s">
        <v>41</v>
      </c>
      <c r="G708">
        <v>-271.84070000000003</v>
      </c>
      <c r="H708">
        <v>1.0404230000000001</v>
      </c>
      <c r="I708">
        <v>366.97149999999999</v>
      </c>
      <c r="J708">
        <v>-272.36900000000003</v>
      </c>
      <c r="K708">
        <v>1.0961510000000001</v>
      </c>
      <c r="L708">
        <v>367.00779999999997</v>
      </c>
      <c r="M708">
        <v>0.99975380000000003</v>
      </c>
      <c r="N708">
        <v>0</v>
      </c>
      <c r="O708">
        <v>1.9443820000000001E-2</v>
      </c>
      <c r="P708">
        <v>0.99138020000000004</v>
      </c>
      <c r="Q708">
        <v>0.11841599999999999</v>
      </c>
      <c r="R708">
        <v>-5.6062389999999997E-2</v>
      </c>
      <c r="S708">
        <v>3.0449830000000002</v>
      </c>
      <c r="T708">
        <v>-0.21495139999999999</v>
      </c>
      <c r="U708">
        <v>-0.1230469</v>
      </c>
      <c r="V708">
        <v>7.5244809999999995E-2</v>
      </c>
      <c r="W708">
        <v>0.12904209999999999</v>
      </c>
      <c r="X708">
        <v>0.98878029999999995</v>
      </c>
      <c r="Y708">
        <v>5.9601790000000002E-2</v>
      </c>
      <c r="Z708">
        <v>-3.4707000000000002E-3</v>
      </c>
      <c r="AA708">
        <v>0.9982162</v>
      </c>
      <c r="AB708">
        <v>51</v>
      </c>
      <c r="AC708">
        <v>0.52830000000000099</v>
      </c>
      <c r="AD708">
        <v>-5.5728000000000201E-2</v>
      </c>
      <c r="AE708">
        <v>-3.6299999999982901E-2</v>
      </c>
      <c r="AF708">
        <v>4.6055829754260903E-2</v>
      </c>
      <c r="AG708">
        <v>-5.5728000000000201E-2</v>
      </c>
      <c r="AH708">
        <v>0.52171630295773697</v>
      </c>
      <c r="AI708">
        <v>96.073584093503996</v>
      </c>
      <c r="AJ708">
        <v>84.955147351434903</v>
      </c>
      <c r="AK708">
        <v>0.52670167097726495</v>
      </c>
      <c r="AL708">
        <v>82.585758015239307</v>
      </c>
      <c r="AM708">
        <v>85.648257991136703</v>
      </c>
      <c r="AN708">
        <v>1.0000000633362101</v>
      </c>
    </row>
    <row r="709" spans="1:40" x14ac:dyDescent="0.25">
      <c r="A709" t="str">
        <f>"20190312164448850"</f>
        <v>20190312164448850</v>
      </c>
      <c r="B709" t="str">
        <f>"1552380288842969"</f>
        <v>1552380288842969</v>
      </c>
      <c r="C709" t="s">
        <v>40</v>
      </c>
      <c r="D709">
        <v>5.087472</v>
      </c>
      <c r="E709">
        <v>0.49852069999999998</v>
      </c>
      <c r="F709" t="s">
        <v>41</v>
      </c>
      <c r="G709">
        <v>-271.39909999999998</v>
      </c>
      <c r="H709">
        <v>1.0274049999999999</v>
      </c>
      <c r="I709">
        <v>366.96820000000002</v>
      </c>
      <c r="J709">
        <v>-272.08749999999998</v>
      </c>
      <c r="K709">
        <v>1.0972249999999999</v>
      </c>
      <c r="L709">
        <v>367.01330000000002</v>
      </c>
      <c r="M709">
        <v>0.99975130000000001</v>
      </c>
      <c r="N709">
        <v>0</v>
      </c>
      <c r="O709">
        <v>1.947519E-2</v>
      </c>
      <c r="P709">
        <v>0.9914018</v>
      </c>
      <c r="Q709">
        <v>0.1181996</v>
      </c>
      <c r="R709">
        <v>-5.6134400000000001E-2</v>
      </c>
      <c r="S709">
        <v>3.0448300000000001</v>
      </c>
      <c r="T709">
        <v>-0.21596689999999999</v>
      </c>
      <c r="U709">
        <v>-0.1239929</v>
      </c>
      <c r="V709">
        <v>7.5354699999999997E-2</v>
      </c>
      <c r="W709">
        <v>0.129001</v>
      </c>
      <c r="X709">
        <v>0.98877720000000002</v>
      </c>
      <c r="Y709">
        <v>5.9941979999999999E-2</v>
      </c>
      <c r="Z709">
        <v>-3.5014780000000001E-3</v>
      </c>
      <c r="AA709">
        <v>0.99819570000000002</v>
      </c>
      <c r="AB709">
        <v>51</v>
      </c>
      <c r="AC709">
        <v>0.68840000000000101</v>
      </c>
      <c r="AD709">
        <v>-6.9819999999999993E-2</v>
      </c>
      <c r="AE709">
        <v>-4.50999999999908E-2</v>
      </c>
      <c r="AF709">
        <v>5.7905840699039098E-2</v>
      </c>
      <c r="AG709">
        <v>-6.9819999999999993E-2</v>
      </c>
      <c r="AH709">
        <v>0.68042162991387001</v>
      </c>
      <c r="AI709">
        <v>95.837821752496595</v>
      </c>
      <c r="AJ709">
        <v>85.135684793225707</v>
      </c>
      <c r="AK709">
        <v>0.68644119430706496</v>
      </c>
      <c r="AL709">
        <v>82.588132024422805</v>
      </c>
      <c r="AM709">
        <v>85.6419134199312</v>
      </c>
      <c r="AN709">
        <v>0.99999997002646401</v>
      </c>
    </row>
    <row r="710" spans="1:40" x14ac:dyDescent="0.25">
      <c r="A710" t="str">
        <f>"20190312164448862"</f>
        <v>20190312164448862</v>
      </c>
      <c r="B710" t="str">
        <f>"1552380288852729"</f>
        <v>1552380288852729</v>
      </c>
      <c r="C710" t="s">
        <v>40</v>
      </c>
      <c r="D710">
        <v>5.251112</v>
      </c>
      <c r="E710">
        <v>0.49849250000000001</v>
      </c>
      <c r="F710" t="s">
        <v>41</v>
      </c>
      <c r="G710">
        <v>-270.95310000000001</v>
      </c>
      <c r="H710">
        <v>1.016184</v>
      </c>
      <c r="I710">
        <v>366.96699999999998</v>
      </c>
      <c r="J710">
        <v>-271.80860000000001</v>
      </c>
      <c r="K710">
        <v>1.098185</v>
      </c>
      <c r="L710">
        <v>367.01870000000002</v>
      </c>
      <c r="M710">
        <v>0.99974879999999999</v>
      </c>
      <c r="N710">
        <v>0</v>
      </c>
      <c r="O710">
        <v>1.9499369999999999E-2</v>
      </c>
      <c r="P710">
        <v>0.99141009999999996</v>
      </c>
      <c r="Q710">
        <v>0.11790340000000001</v>
      </c>
      <c r="R710">
        <v>-5.6612969999999999E-2</v>
      </c>
      <c r="S710">
        <v>3.045013</v>
      </c>
      <c r="T710">
        <v>-0.21784580000000001</v>
      </c>
      <c r="U710">
        <v>-0.1234131</v>
      </c>
      <c r="V710">
        <v>7.5863260000000002E-2</v>
      </c>
      <c r="W710">
        <v>0.12888230000000001</v>
      </c>
      <c r="X710">
        <v>0.98875380000000002</v>
      </c>
      <c r="Y710">
        <v>5.9770879999999998E-2</v>
      </c>
      <c r="Z710">
        <v>-3.527283E-3</v>
      </c>
      <c r="AA710">
        <v>0.99820589999999998</v>
      </c>
      <c r="AB710">
        <v>51</v>
      </c>
      <c r="AC710">
        <v>0.85550000000000603</v>
      </c>
      <c r="AD710">
        <v>-8.2000999999999893E-2</v>
      </c>
      <c r="AE710">
        <v>-5.1700000000039298E-2</v>
      </c>
      <c r="AF710">
        <v>6.7752684650161404E-2</v>
      </c>
      <c r="AG710">
        <v>-8.2000999999999893E-2</v>
      </c>
      <c r="AH710">
        <v>0.84657948128182003</v>
      </c>
      <c r="AI710">
        <v>95.514974556518496</v>
      </c>
      <c r="AJ710">
        <v>85.424308343752998</v>
      </c>
      <c r="AK710">
        <v>0.85323584571072697</v>
      </c>
      <c r="AL710">
        <v>82.594990353801705</v>
      </c>
      <c r="AM710">
        <v>85.612512236997006</v>
      </c>
      <c r="AN710">
        <v>0.99999997924277795</v>
      </c>
    </row>
    <row r="711" spans="1:40" x14ac:dyDescent="0.25">
      <c r="A711" t="str">
        <f>"20190312164448873"</f>
        <v>20190312164448873</v>
      </c>
      <c r="B711" t="str">
        <f>"1552380288862489"</f>
        <v>1552380288862489</v>
      </c>
      <c r="C711" t="s">
        <v>40</v>
      </c>
      <c r="D711">
        <v>5.1547090000000004</v>
      </c>
      <c r="E711">
        <v>0.4984229</v>
      </c>
      <c r="F711" t="s">
        <v>41</v>
      </c>
      <c r="G711">
        <v>-270.94319999999999</v>
      </c>
      <c r="H711">
        <v>1.0358769999999999</v>
      </c>
      <c r="I711">
        <v>366.98289999999997</v>
      </c>
      <c r="J711">
        <v>-271.56319999999999</v>
      </c>
      <c r="K711">
        <v>1.098986</v>
      </c>
      <c r="L711">
        <v>367.02350000000001</v>
      </c>
      <c r="M711">
        <v>0.99974660000000004</v>
      </c>
      <c r="N711">
        <v>0</v>
      </c>
      <c r="O711">
        <v>1.9518310000000001E-2</v>
      </c>
      <c r="P711">
        <v>0.99139029999999995</v>
      </c>
      <c r="Q711">
        <v>0.1180498</v>
      </c>
      <c r="R711">
        <v>-5.6654330000000003E-2</v>
      </c>
      <c r="S711">
        <v>3.0449830000000002</v>
      </c>
      <c r="T711">
        <v>-0.21962309999999999</v>
      </c>
      <c r="U711">
        <v>-0.1247559</v>
      </c>
      <c r="V711">
        <v>7.5928140000000005E-2</v>
      </c>
      <c r="W711">
        <v>0.12918389999999999</v>
      </c>
      <c r="X711">
        <v>0.98870939999999996</v>
      </c>
      <c r="Y711">
        <v>6.0225149999999998E-2</v>
      </c>
      <c r="Z711">
        <v>-3.5737120000000002E-3</v>
      </c>
      <c r="AA711">
        <v>0.99817840000000002</v>
      </c>
      <c r="AB711">
        <v>51</v>
      </c>
      <c r="AC711">
        <v>0.62000000000000399</v>
      </c>
      <c r="AD711">
        <v>-6.3108999999999998E-2</v>
      </c>
      <c r="AE711">
        <v>-4.0600000000040298E-2</v>
      </c>
      <c r="AF711">
        <v>5.2156297013312099E-2</v>
      </c>
      <c r="AG711">
        <v>-6.3108999999999998E-2</v>
      </c>
      <c r="AH711">
        <v>0.61276764056365296</v>
      </c>
      <c r="AI711">
        <v>95.859128855269006</v>
      </c>
      <c r="AJ711">
        <v>85.134941618363499</v>
      </c>
      <c r="AK711">
        <v>0.61821291358324704</v>
      </c>
      <c r="AL711">
        <v>82.5775638274161</v>
      </c>
      <c r="AM711">
        <v>85.608578201487902</v>
      </c>
      <c r="AN711">
        <v>0.99999992005571103</v>
      </c>
    </row>
    <row r="712" spans="1:40" x14ac:dyDescent="0.25">
      <c r="A712" t="str">
        <f>"20190312164448884"</f>
        <v>20190312164448884</v>
      </c>
      <c r="B712" t="str">
        <f>"1552380288872756"</f>
        <v>1552380288872756</v>
      </c>
      <c r="C712" t="s">
        <v>40</v>
      </c>
      <c r="D712">
        <v>5.1746600000000003</v>
      </c>
      <c r="E712">
        <v>0.49836180000000002</v>
      </c>
      <c r="F712" t="s">
        <v>41</v>
      </c>
      <c r="G712">
        <v>-270.49919999999997</v>
      </c>
      <c r="H712">
        <v>1.022108</v>
      </c>
      <c r="I712">
        <v>366.98020000000002</v>
      </c>
      <c r="J712">
        <v>-271.3218</v>
      </c>
      <c r="K712">
        <v>1.0997189999999999</v>
      </c>
      <c r="L712">
        <v>367.0283</v>
      </c>
      <c r="M712">
        <v>0.99974459999999998</v>
      </c>
      <c r="N712">
        <v>0</v>
      </c>
      <c r="O712">
        <v>1.9534269999999999E-2</v>
      </c>
      <c r="P712">
        <v>0.99137560000000002</v>
      </c>
      <c r="Q712">
        <v>0.11801929999999999</v>
      </c>
      <c r="R712">
        <v>-5.697381E-2</v>
      </c>
      <c r="S712">
        <v>3.0452270000000001</v>
      </c>
      <c r="T712">
        <v>-0.220081</v>
      </c>
      <c r="U712">
        <v>-0.12402340000000001</v>
      </c>
      <c r="V712">
        <v>7.626811E-2</v>
      </c>
      <c r="W712">
        <v>0.129306</v>
      </c>
      <c r="X712">
        <v>0.98866739999999997</v>
      </c>
      <c r="Y712">
        <v>5.9997889999999998E-2</v>
      </c>
      <c r="Z712">
        <v>-3.573831E-3</v>
      </c>
      <c r="AA712">
        <v>0.99819210000000003</v>
      </c>
      <c r="AB712">
        <v>51</v>
      </c>
      <c r="AC712">
        <v>0.82260000000002198</v>
      </c>
      <c r="AD712">
        <v>-7.7611000000000097E-2</v>
      </c>
      <c r="AE712">
        <v>-4.8099999999976703E-2</v>
      </c>
      <c r="AF712">
        <v>6.3596565400845101E-2</v>
      </c>
      <c r="AG712">
        <v>-7.7611000000000097E-2</v>
      </c>
      <c r="AH712">
        <v>0.81427964768152505</v>
      </c>
      <c r="AI712">
        <v>95.428123686191796</v>
      </c>
      <c r="AJ712">
        <v>85.534171985325401</v>
      </c>
      <c r="AK712">
        <v>0.82043850170511401</v>
      </c>
      <c r="AL712">
        <v>82.570509788536896</v>
      </c>
      <c r="AM712">
        <v>85.588806291809206</v>
      </c>
      <c r="AN712">
        <v>1.0000000470308601</v>
      </c>
    </row>
    <row r="713" spans="1:40" x14ac:dyDescent="0.25">
      <c r="A713" t="str">
        <f>"20190312164448896"</f>
        <v>20190312164448896</v>
      </c>
      <c r="B713" t="str">
        <f>"1552380288892275"</f>
        <v>1552380288892275</v>
      </c>
      <c r="C713" t="s">
        <v>40</v>
      </c>
      <c r="D713">
        <v>5.1278589999999999</v>
      </c>
      <c r="E713">
        <v>0.4901664</v>
      </c>
      <c r="F713" t="s">
        <v>41</v>
      </c>
      <c r="G713">
        <v>-270.48939999999999</v>
      </c>
      <c r="H713">
        <v>1.0393920000000001</v>
      </c>
      <c r="I713">
        <v>366.99430000000001</v>
      </c>
      <c r="J713">
        <v>-271.07240000000002</v>
      </c>
      <c r="K713">
        <v>1.10042</v>
      </c>
      <c r="L713">
        <v>367.03309999999999</v>
      </c>
      <c r="M713">
        <v>0.99974240000000003</v>
      </c>
      <c r="N713">
        <v>0</v>
      </c>
      <c r="O713">
        <v>1.9548650000000001E-2</v>
      </c>
      <c r="P713">
        <v>0.99139440000000001</v>
      </c>
      <c r="Q713">
        <v>0.1176987</v>
      </c>
      <c r="R713">
        <v>-5.7310920000000001E-2</v>
      </c>
      <c r="S713">
        <v>3.0452270000000001</v>
      </c>
      <c r="T713">
        <v>-0.2207664</v>
      </c>
      <c r="U713">
        <v>-0.1242371</v>
      </c>
      <c r="V713">
        <v>7.6625070000000003E-2</v>
      </c>
      <c r="W713">
        <v>0.129140899999999</v>
      </c>
      <c r="X713">
        <v>0.98866129999999997</v>
      </c>
      <c r="Y713">
        <v>6.0080630000000003E-2</v>
      </c>
      <c r="Z713">
        <v>-3.588965E-3</v>
      </c>
      <c r="AA713">
        <v>0.99818709999999999</v>
      </c>
      <c r="AB713">
        <v>51</v>
      </c>
      <c r="AC713">
        <v>0.58300000000002605</v>
      </c>
      <c r="AD713">
        <v>-6.1027999999999999E-2</v>
      </c>
      <c r="AE713">
        <v>-3.87999999999806E-2</v>
      </c>
      <c r="AF713">
        <v>4.96485681328293E-2</v>
      </c>
      <c r="AG713">
        <v>-6.1027999999999999E-2</v>
      </c>
      <c r="AH713">
        <v>0.57584787110408697</v>
      </c>
      <c r="AI713">
        <v>96.027394122097306</v>
      </c>
      <c r="AJ713">
        <v>85.072247070865501</v>
      </c>
      <c r="AK713">
        <v>0.581197184918122</v>
      </c>
      <c r="AL713">
        <v>82.580048728810198</v>
      </c>
      <c r="AM713">
        <v>85.568215268520404</v>
      </c>
      <c r="AN713">
        <v>0.99999996976150096</v>
      </c>
    </row>
    <row r="714" spans="1:40" x14ac:dyDescent="0.25">
      <c r="A714" t="str">
        <f>"20190312164448906"</f>
        <v>20190312164448906</v>
      </c>
      <c r="B714" t="str">
        <f>"1552380288902035"</f>
        <v>1552380288902035</v>
      </c>
      <c r="C714" t="s">
        <v>40</v>
      </c>
      <c r="D714">
        <v>5.1832699999999896</v>
      </c>
      <c r="E714">
        <v>0.49086839999999998</v>
      </c>
      <c r="F714" t="s">
        <v>41</v>
      </c>
      <c r="G714">
        <v>-270.05099999999999</v>
      </c>
      <c r="H714">
        <v>1.0171829999999999</v>
      </c>
      <c r="I714">
        <v>367.01339999999999</v>
      </c>
      <c r="J714">
        <v>-270.81479999999999</v>
      </c>
      <c r="K714">
        <v>1.101102</v>
      </c>
      <c r="L714">
        <v>367.03809999999999</v>
      </c>
      <c r="M714">
        <v>0.99974030000000003</v>
      </c>
      <c r="N714">
        <v>0</v>
      </c>
      <c r="O714">
        <v>1.9562039999999999E-2</v>
      </c>
      <c r="P714">
        <v>0.99140039999999996</v>
      </c>
      <c r="Q714">
        <v>0.1175759</v>
      </c>
      <c r="R714">
        <v>-5.7458799999999997E-2</v>
      </c>
      <c r="S714">
        <v>3.052216</v>
      </c>
      <c r="T714">
        <v>-0.249001</v>
      </c>
      <c r="U714">
        <v>-5.8105469999999999E-2</v>
      </c>
      <c r="V714">
        <v>7.6791590000000007E-2</v>
      </c>
      <c r="W714">
        <v>0.12917690000000001</v>
      </c>
      <c r="X714">
        <v>0.98864370000000001</v>
      </c>
      <c r="Y714">
        <v>3.8397399999999998E-2</v>
      </c>
      <c r="Z714">
        <v>-3.1566960000000001E-3</v>
      </c>
      <c r="AA714">
        <v>0.99925759999999997</v>
      </c>
      <c r="AB714">
        <v>51</v>
      </c>
      <c r="AC714">
        <v>0.76380000000000303</v>
      </c>
      <c r="AD714">
        <v>-8.3918999999999994E-2</v>
      </c>
      <c r="AE714">
        <v>-2.4699999999995701E-2</v>
      </c>
      <c r="AF714">
        <v>3.91654877510733E-2</v>
      </c>
      <c r="AG714">
        <v>-8.3918999999999994E-2</v>
      </c>
      <c r="AH714">
        <v>0.754077272249147</v>
      </c>
      <c r="AI714">
        <v>96.341668482637104</v>
      </c>
      <c r="AJ714">
        <v>87.026826450339996</v>
      </c>
      <c r="AK714">
        <v>0.75974263176058099</v>
      </c>
      <c r="AL714">
        <v>82.577968828799698</v>
      </c>
      <c r="AM714">
        <v>85.5585439499269</v>
      </c>
      <c r="AN714">
        <v>0.99999999266901396</v>
      </c>
    </row>
    <row r="715" spans="1:40" x14ac:dyDescent="0.25">
      <c r="A715" t="str">
        <f>"20190312164448918"</f>
        <v>20190312164448918</v>
      </c>
      <c r="B715" t="str">
        <f>"1552380288912771"</f>
        <v>1552380288912771</v>
      </c>
      <c r="C715" t="s">
        <v>40</v>
      </c>
      <c r="D715">
        <v>5.1429640000000001</v>
      </c>
      <c r="E715">
        <v>0.49104690000000001</v>
      </c>
      <c r="F715" t="s">
        <v>41</v>
      </c>
      <c r="G715">
        <v>-270.03820000000002</v>
      </c>
      <c r="H715">
        <v>1.0394650000000001</v>
      </c>
      <c r="I715">
        <v>367.02140000000003</v>
      </c>
      <c r="J715">
        <v>-270.55149999999998</v>
      </c>
      <c r="K715">
        <v>1.101728</v>
      </c>
      <c r="L715">
        <v>367.04340000000002</v>
      </c>
      <c r="M715">
        <v>0.99973820000000002</v>
      </c>
      <c r="N715">
        <v>0</v>
      </c>
      <c r="O715">
        <v>1.95719E-2</v>
      </c>
      <c r="P715">
        <v>0.99143139999999996</v>
      </c>
      <c r="Q715">
        <v>0.1172308</v>
      </c>
      <c r="R715">
        <v>-5.762552E-2</v>
      </c>
      <c r="S715">
        <v>3.0510860000000002</v>
      </c>
      <c r="T715">
        <v>-0.242506</v>
      </c>
      <c r="U715">
        <v>-6.4514160000000001E-2</v>
      </c>
      <c r="V715">
        <v>7.6973780000000006E-2</v>
      </c>
      <c r="W715">
        <v>0.1289901</v>
      </c>
      <c r="X715">
        <v>0.98865400000000003</v>
      </c>
      <c r="Y715">
        <v>4.0515349999999999E-2</v>
      </c>
      <c r="Z715">
        <v>-3.1605079999999998E-3</v>
      </c>
      <c r="AA715">
        <v>0.99917389999999995</v>
      </c>
      <c r="AB715">
        <v>51</v>
      </c>
      <c r="AC715">
        <v>0.51329999999995801</v>
      </c>
      <c r="AD715">
        <v>-6.2263000000000103E-2</v>
      </c>
      <c r="AE715">
        <v>-2.1999999999991301E-2</v>
      </c>
      <c r="AF715">
        <v>3.1578960562371097E-2</v>
      </c>
      <c r="AG715">
        <v>-6.2263000000000103E-2</v>
      </c>
      <c r="AH715">
        <v>0.50534920403292105</v>
      </c>
      <c r="AI715">
        <v>97.010354831531799</v>
      </c>
      <c r="AJ715">
        <v>86.424271499651795</v>
      </c>
      <c r="AK715">
        <v>0.51014873315132903</v>
      </c>
      <c r="AL715">
        <v>82.588762556848494</v>
      </c>
      <c r="AM715">
        <v>85.548094989543003</v>
      </c>
      <c r="AN715">
        <v>1.0000000702107401</v>
      </c>
    </row>
    <row r="716" spans="1:40" x14ac:dyDescent="0.25">
      <c r="A716" t="str">
        <f>"20190312164448932"</f>
        <v>20190312164448932</v>
      </c>
      <c r="B716" t="str">
        <f>"1552380288922531"</f>
        <v>1552380288922531</v>
      </c>
      <c r="C716" t="s">
        <v>40</v>
      </c>
      <c r="D716">
        <v>5.2709070000000002</v>
      </c>
      <c r="E716">
        <v>0.4910504</v>
      </c>
      <c r="F716" t="s">
        <v>41</v>
      </c>
      <c r="G716">
        <v>-269.59570000000002</v>
      </c>
      <c r="H716">
        <v>1.026708</v>
      </c>
      <c r="I716">
        <v>367.0224</v>
      </c>
      <c r="J716">
        <v>-270.24549999999999</v>
      </c>
      <c r="K716">
        <v>1.1024130000000001</v>
      </c>
      <c r="L716">
        <v>367.04930000000002</v>
      </c>
      <c r="M716">
        <v>0.99973579999999995</v>
      </c>
      <c r="N716">
        <v>0</v>
      </c>
      <c r="O716">
        <v>1.9581029999999999E-2</v>
      </c>
      <c r="P716">
        <v>0.99145779999999994</v>
      </c>
      <c r="Q716">
        <v>0.1169004</v>
      </c>
      <c r="R716">
        <v>-5.7843060000000002E-2</v>
      </c>
      <c r="S716">
        <v>3.050354</v>
      </c>
      <c r="T716">
        <v>-0.23942160000000001</v>
      </c>
      <c r="U716">
        <v>-6.6986080000000003E-2</v>
      </c>
      <c r="V716">
        <v>7.7206700000000003E-2</v>
      </c>
      <c r="W716">
        <v>0.12883919999999999</v>
      </c>
      <c r="X716">
        <v>0.98865539999999996</v>
      </c>
      <c r="Y716">
        <v>4.1341030000000001E-2</v>
      </c>
      <c r="Z716">
        <v>-3.154226E-3</v>
      </c>
      <c r="AA716">
        <v>0.99914009999999998</v>
      </c>
      <c r="AB716">
        <v>50</v>
      </c>
      <c r="AC716">
        <v>0.64979999999996996</v>
      </c>
      <c r="AD716">
        <v>-7.5704999999999897E-2</v>
      </c>
      <c r="AE716">
        <v>-2.6900000000011901E-2</v>
      </c>
      <c r="AF716">
        <v>3.9089841488818999E-2</v>
      </c>
      <c r="AG716">
        <v>-7.5704999999999897E-2</v>
      </c>
      <c r="AH716">
        <v>0.640470124214777</v>
      </c>
      <c r="AI716">
        <v>96.728804035935397</v>
      </c>
      <c r="AJ716">
        <v>86.507396536267606</v>
      </c>
      <c r="AK716">
        <v>0.64611240720505703</v>
      </c>
      <c r="AL716">
        <v>82.597480397748498</v>
      </c>
      <c r="AM716">
        <v>85.5346843764694</v>
      </c>
      <c r="AN716">
        <v>0.99999995696534305</v>
      </c>
    </row>
    <row r="717" spans="1:40" x14ac:dyDescent="0.25">
      <c r="A717" t="str">
        <f>"20190312164448946"</f>
        <v>20190312164448946</v>
      </c>
      <c r="B717" t="str">
        <f>"1552380288942051"</f>
        <v>1552380288942051</v>
      </c>
      <c r="C717" t="s">
        <v>40</v>
      </c>
      <c r="D717">
        <v>5.1100879999999904</v>
      </c>
      <c r="E717">
        <v>0.49135259999999997</v>
      </c>
      <c r="F717" t="s">
        <v>41</v>
      </c>
      <c r="G717">
        <v>-269.15030000000002</v>
      </c>
      <c r="H717">
        <v>1.0165010000000001</v>
      </c>
      <c r="I717">
        <v>367.0249</v>
      </c>
      <c r="J717">
        <v>-269.90519999999998</v>
      </c>
      <c r="K717">
        <v>1.103089</v>
      </c>
      <c r="L717">
        <v>367.05599999999998</v>
      </c>
      <c r="M717">
        <v>0.99973319999999999</v>
      </c>
      <c r="N717">
        <v>0</v>
      </c>
      <c r="O717">
        <v>1.958592E-2</v>
      </c>
      <c r="P717">
        <v>0.99153919999999995</v>
      </c>
      <c r="Q717">
        <v>0.1159781</v>
      </c>
      <c r="R717">
        <v>-5.8302029999999998E-2</v>
      </c>
      <c r="S717">
        <v>3.0501399999999999</v>
      </c>
      <c r="T717">
        <v>-0.239431</v>
      </c>
      <c r="U717">
        <v>-6.7504880000000003E-2</v>
      </c>
      <c r="V717">
        <v>7.7678319999999995E-2</v>
      </c>
      <c r="W717">
        <v>0.1281101</v>
      </c>
      <c r="X717">
        <v>0.98871330000000002</v>
      </c>
      <c r="Y717">
        <v>4.1516780000000003E-2</v>
      </c>
      <c r="Z717">
        <v>-3.1618380000000001E-3</v>
      </c>
      <c r="AA717">
        <v>0.99913280000000004</v>
      </c>
      <c r="AB717">
        <v>50</v>
      </c>
      <c r="AC717">
        <v>0.75489999999996305</v>
      </c>
      <c r="AD717">
        <v>-8.6587999999999804E-2</v>
      </c>
      <c r="AE717">
        <v>-3.1099999999980799E-2</v>
      </c>
      <c r="AF717">
        <v>4.5285765415599998E-2</v>
      </c>
      <c r="AG717">
        <v>-8.6587999999999804E-2</v>
      </c>
      <c r="AH717">
        <v>0.74436938683353104</v>
      </c>
      <c r="AI717">
        <v>96.622916631891599</v>
      </c>
      <c r="AJ717">
        <v>86.518544165384696</v>
      </c>
      <c r="AK717">
        <v>0.75075566354720402</v>
      </c>
      <c r="AL717">
        <v>82.6396045598961</v>
      </c>
      <c r="AM717">
        <v>85.507781158569301</v>
      </c>
      <c r="AN717">
        <v>1.00000005435845</v>
      </c>
    </row>
    <row r="718" spans="1:40" x14ac:dyDescent="0.25">
      <c r="A718" t="str">
        <f>"20190312164448962"</f>
        <v>20190312164448962</v>
      </c>
      <c r="B718" t="str">
        <f>"1552380288952787"</f>
        <v>1552380288952787</v>
      </c>
      <c r="C718" t="s">
        <v>40</v>
      </c>
      <c r="D718">
        <v>5.1571069999999999</v>
      </c>
      <c r="E718">
        <v>0.49192829999999899</v>
      </c>
      <c r="F718" t="s">
        <v>41</v>
      </c>
      <c r="G718">
        <v>-269.13670000000002</v>
      </c>
      <c r="H718">
        <v>1.04088</v>
      </c>
      <c r="I718">
        <v>367.03800000000001</v>
      </c>
      <c r="J718">
        <v>-269.5693</v>
      </c>
      <c r="K718">
        <v>1.10368</v>
      </c>
      <c r="L718">
        <v>367.06259999999997</v>
      </c>
      <c r="M718">
        <v>0.99973089999999998</v>
      </c>
      <c r="N718">
        <v>0</v>
      </c>
      <c r="O718">
        <v>1.9583779999999999E-2</v>
      </c>
      <c r="P718">
        <v>0.99165479999999995</v>
      </c>
      <c r="Q718">
        <v>0.1149174</v>
      </c>
      <c r="R718">
        <v>-5.8436479999999999E-2</v>
      </c>
      <c r="S718">
        <v>3.0503230000000001</v>
      </c>
      <c r="T718">
        <v>-0.24716579999999999</v>
      </c>
      <c r="U718">
        <v>-7.1044919999999998E-2</v>
      </c>
      <c r="V718">
        <v>7.7819239999999998E-2</v>
      </c>
      <c r="W718">
        <v>0.12723039999999999</v>
      </c>
      <c r="X718">
        <v>0.98881569999999996</v>
      </c>
      <c r="Y718">
        <v>4.265625E-2</v>
      </c>
      <c r="Z718">
        <v>-3.3093329999999998E-3</v>
      </c>
      <c r="AA718">
        <v>0.99908439999999998</v>
      </c>
      <c r="AB718">
        <v>50</v>
      </c>
      <c r="AC718">
        <v>0.432599999999979</v>
      </c>
      <c r="AD718">
        <v>-6.2799999999999898E-2</v>
      </c>
      <c r="AE718">
        <v>-2.4599999999963901E-2</v>
      </c>
      <c r="AF718">
        <v>3.2387545641400298E-2</v>
      </c>
      <c r="AG718">
        <v>-6.2799999999999898E-2</v>
      </c>
      <c r="AH718">
        <v>0.42314659114143599</v>
      </c>
      <c r="AI718">
        <v>98.417491164894699</v>
      </c>
      <c r="AJ718">
        <v>85.623127577827304</v>
      </c>
      <c r="AK718">
        <v>0.429005630158034</v>
      </c>
      <c r="AL718">
        <v>82.690422747764799</v>
      </c>
      <c r="AM718">
        <v>85.500129186711405</v>
      </c>
      <c r="AN718">
        <v>0.99999994868241204</v>
      </c>
    </row>
    <row r="719" spans="1:40" x14ac:dyDescent="0.25">
      <c r="A719" t="str">
        <f>"20190312164448975"</f>
        <v>20190312164448975</v>
      </c>
      <c r="B719" t="str">
        <f>"1552380288962547"</f>
        <v>1552380288962547</v>
      </c>
      <c r="C719" t="s">
        <v>40</v>
      </c>
      <c r="D719">
        <v>5.0123089999999904</v>
      </c>
      <c r="E719">
        <v>0.49186150000000001</v>
      </c>
      <c r="F719" t="s">
        <v>41</v>
      </c>
      <c r="G719">
        <v>-268.69310000000002</v>
      </c>
      <c r="H719">
        <v>1.03102</v>
      </c>
      <c r="I719">
        <v>367.04090000000002</v>
      </c>
      <c r="J719">
        <v>-269.27980000000002</v>
      </c>
      <c r="K719">
        <v>1.1041399999999999</v>
      </c>
      <c r="L719">
        <v>367.06830000000002</v>
      </c>
      <c r="M719">
        <v>0.99972930000000004</v>
      </c>
      <c r="N719">
        <v>0</v>
      </c>
      <c r="O719">
        <v>1.9578749999999999E-2</v>
      </c>
      <c r="P719">
        <v>0.9917551</v>
      </c>
      <c r="Q719">
        <v>0.113967899999999</v>
      </c>
      <c r="R719">
        <v>-5.859835E-2</v>
      </c>
      <c r="S719">
        <v>3.0501100000000001</v>
      </c>
      <c r="T719">
        <v>-0.2528589</v>
      </c>
      <c r="U719">
        <v>-7.6019290000000003E-2</v>
      </c>
      <c r="V719">
        <v>7.7983250000000004E-2</v>
      </c>
      <c r="W719">
        <v>0.12643099999999999</v>
      </c>
      <c r="X719">
        <v>0.98890540000000005</v>
      </c>
      <c r="Y719">
        <v>4.4266260000000002E-2</v>
      </c>
      <c r="Z719">
        <v>-3.451675E-3</v>
      </c>
      <c r="AA719">
        <v>0.99901379999999995</v>
      </c>
      <c r="AB719">
        <v>50</v>
      </c>
      <c r="AC719">
        <v>0.58670000000000699</v>
      </c>
      <c r="AD719">
        <v>-7.3119999999999796E-2</v>
      </c>
      <c r="AE719">
        <v>-2.7400000000000001E-2</v>
      </c>
      <c r="AF719">
        <v>3.8289078080266999E-2</v>
      </c>
      <c r="AG719">
        <v>-7.3119999999999796E-2</v>
      </c>
      <c r="AH719">
        <v>0.57710664572910497</v>
      </c>
      <c r="AI719">
        <v>97.205284033016</v>
      </c>
      <c r="AJ719">
        <v>86.204181465068103</v>
      </c>
      <c r="AK719">
        <v>0.58297913208358898</v>
      </c>
      <c r="AL719">
        <v>82.736598539844707</v>
      </c>
      <c r="AM719">
        <v>85.491091774629595</v>
      </c>
      <c r="AN719">
        <v>1.0000000375953599</v>
      </c>
    </row>
    <row r="720" spans="1:40" x14ac:dyDescent="0.25">
      <c r="A720" t="str">
        <f>"20190312164448987"</f>
        <v>20190312164448987</v>
      </c>
      <c r="B720" t="str">
        <f>"1552380288982575"</f>
        <v>1552380288982575</v>
      </c>
      <c r="C720" t="s">
        <v>40</v>
      </c>
      <c r="D720">
        <v>5.1584820000000002</v>
      </c>
      <c r="E720">
        <v>0.49172559999999899</v>
      </c>
      <c r="F720" t="s">
        <v>41</v>
      </c>
      <c r="G720">
        <v>-268.24950000000001</v>
      </c>
      <c r="H720">
        <v>1.0182260000000001</v>
      </c>
      <c r="I720">
        <v>367.04239999999999</v>
      </c>
      <c r="J720">
        <v>-268.99590000000001</v>
      </c>
      <c r="K720">
        <v>1.10456</v>
      </c>
      <c r="L720">
        <v>367.07389999999998</v>
      </c>
      <c r="M720">
        <v>0.99972749999999999</v>
      </c>
      <c r="N720">
        <v>0</v>
      </c>
      <c r="O720">
        <v>1.9571390000000001E-2</v>
      </c>
      <c r="P720">
        <v>0.99183779999999999</v>
      </c>
      <c r="Q720">
        <v>0.11321929999999999</v>
      </c>
      <c r="R720">
        <v>-5.8644670000000003E-2</v>
      </c>
      <c r="S720">
        <v>3.0497130000000001</v>
      </c>
      <c r="T720">
        <v>-0.25457180000000001</v>
      </c>
      <c r="U720">
        <v>-7.5958250000000005E-2</v>
      </c>
      <c r="V720">
        <v>7.8029109999999999E-2</v>
      </c>
      <c r="W720">
        <v>0.12582370000000001</v>
      </c>
      <c r="X720">
        <v>0.98897919999999995</v>
      </c>
      <c r="Y720">
        <v>4.4239290000000001E-2</v>
      </c>
      <c r="Z720">
        <v>-3.4736939999999998E-3</v>
      </c>
      <c r="AA720">
        <v>0.99901490000000004</v>
      </c>
      <c r="AB720">
        <v>50</v>
      </c>
      <c r="AC720">
        <v>0.74639999999999396</v>
      </c>
      <c r="AD720">
        <v>-8.6333999999999897E-2</v>
      </c>
      <c r="AE720">
        <v>-3.1499999999993998E-2</v>
      </c>
      <c r="AF720">
        <v>4.5495634190547397E-2</v>
      </c>
      <c r="AG720">
        <v>-8.6333999999999897E-2</v>
      </c>
      <c r="AH720">
        <v>0.73581358871303204</v>
      </c>
      <c r="AI720">
        <v>96.679354370867898</v>
      </c>
      <c r="AJ720">
        <v>86.461884296535999</v>
      </c>
      <c r="AK720">
        <v>0.74225672756880501</v>
      </c>
      <c r="AL720">
        <v>82.771674119193307</v>
      </c>
      <c r="AM720">
        <v>85.488786414734193</v>
      </c>
      <c r="AN720">
        <v>1.0000000017608599</v>
      </c>
    </row>
    <row r="721" spans="1:40" x14ac:dyDescent="0.25">
      <c r="A721" t="str">
        <f>"20190312164449002"</f>
        <v>20190312164449002</v>
      </c>
      <c r="B721" t="str">
        <f>"1552380288992333"</f>
        <v>1552380288992333</v>
      </c>
      <c r="C721" t="s">
        <v>40</v>
      </c>
      <c r="D721">
        <v>5.1572329999999997</v>
      </c>
      <c r="E721">
        <v>0.49166260000000001</v>
      </c>
      <c r="F721" t="s">
        <v>41</v>
      </c>
      <c r="G721">
        <v>-268.23689999999999</v>
      </c>
      <c r="H721">
        <v>1.041277</v>
      </c>
      <c r="I721">
        <v>367.05489999999998</v>
      </c>
      <c r="J721">
        <v>-268.67070000000001</v>
      </c>
      <c r="K721">
        <v>1.1049789999999999</v>
      </c>
      <c r="L721">
        <v>367.08019999999999</v>
      </c>
      <c r="M721">
        <v>0.99972589999999995</v>
      </c>
      <c r="N721">
        <v>0</v>
      </c>
      <c r="O721">
        <v>1.9557789999999999E-2</v>
      </c>
      <c r="P721">
        <v>0.99189819999999995</v>
      </c>
      <c r="Q721">
        <v>0.1126163</v>
      </c>
      <c r="R721">
        <v>-5.8785709999999998E-2</v>
      </c>
      <c r="S721">
        <v>3.0492859999999999</v>
      </c>
      <c r="T721">
        <v>-0.2545693</v>
      </c>
      <c r="U721">
        <v>-7.5195310000000001E-2</v>
      </c>
      <c r="V721">
        <v>7.8162770000000006E-2</v>
      </c>
      <c r="W721">
        <v>0.12537239999999999</v>
      </c>
      <c r="X721">
        <v>0.98902599999999996</v>
      </c>
      <c r="Y721">
        <v>4.3980310000000002E-2</v>
      </c>
      <c r="Z721">
        <v>-3.4622339999999998E-3</v>
      </c>
      <c r="AA721">
        <v>0.99902639999999998</v>
      </c>
      <c r="AB721">
        <v>50</v>
      </c>
      <c r="AC721">
        <v>0.433800000000019</v>
      </c>
      <c r="AD721">
        <v>-6.3702000000000106E-2</v>
      </c>
      <c r="AE721">
        <v>-2.5300000000015602E-2</v>
      </c>
      <c r="AF721">
        <v>3.3069345703606499E-2</v>
      </c>
      <c r="AG721">
        <v>-6.3702000000000106E-2</v>
      </c>
      <c r="AH721">
        <v>0.42410775006039902</v>
      </c>
      <c r="AI721">
        <v>98.516636248771903</v>
      </c>
      <c r="AJ721">
        <v>85.541444513800101</v>
      </c>
      <c r="AK721">
        <v>0.430138245324174</v>
      </c>
      <c r="AL721">
        <v>82.797738398317506</v>
      </c>
      <c r="AM721">
        <v>85.481303853892001</v>
      </c>
      <c r="AN721">
        <v>1.0000000429859099</v>
      </c>
    </row>
    <row r="722" spans="1:40" x14ac:dyDescent="0.25">
      <c r="A722" t="str">
        <f>"20190312164449013"</f>
        <v>20190312164449013</v>
      </c>
      <c r="B722" t="str">
        <f>"1552380289002095"</f>
        <v>1552380289002095</v>
      </c>
      <c r="C722" t="s">
        <v>40</v>
      </c>
      <c r="D722">
        <v>4.9975259999999997</v>
      </c>
      <c r="E722">
        <v>0.49154310000000001</v>
      </c>
      <c r="F722" t="s">
        <v>41</v>
      </c>
      <c r="G722">
        <v>-267.79349999999999</v>
      </c>
      <c r="H722">
        <v>1.0316240000000001</v>
      </c>
      <c r="I722">
        <v>367.05860000000001</v>
      </c>
      <c r="J722">
        <v>-268.41950000000003</v>
      </c>
      <c r="K722">
        <v>1.105281</v>
      </c>
      <c r="L722">
        <v>367.08519999999999</v>
      </c>
      <c r="M722">
        <v>0.99972459999999996</v>
      </c>
      <c r="N722">
        <v>0</v>
      </c>
      <c r="O722">
        <v>1.9545819999999998E-2</v>
      </c>
      <c r="P722">
        <v>0.99191669999999998</v>
      </c>
      <c r="Q722">
        <v>0.1124256</v>
      </c>
      <c r="R722">
        <v>-5.8838040000000001E-2</v>
      </c>
      <c r="S722">
        <v>3.04895</v>
      </c>
      <c r="T722">
        <v>-0.25493100000000002</v>
      </c>
      <c r="U722">
        <v>-7.5195310000000001E-2</v>
      </c>
      <c r="V722">
        <v>7.8207429999999994E-2</v>
      </c>
      <c r="W722">
        <v>0.1252943</v>
      </c>
      <c r="X722">
        <v>0.98903229999999998</v>
      </c>
      <c r="Y722">
        <v>4.3970479999999999E-2</v>
      </c>
      <c r="Z722">
        <v>-3.4661100000000001E-3</v>
      </c>
      <c r="AA722">
        <v>0.99902679999999999</v>
      </c>
      <c r="AB722">
        <v>50</v>
      </c>
      <c r="AC722">
        <v>0.62600000000003297</v>
      </c>
      <c r="AD722">
        <v>-7.3657E-2</v>
      </c>
      <c r="AE722">
        <v>-2.6599999999973499E-2</v>
      </c>
      <c r="AF722">
        <v>3.8302309802035701E-2</v>
      </c>
      <c r="AG722">
        <v>-7.3657E-2</v>
      </c>
      <c r="AH722">
        <v>0.61683599158478897</v>
      </c>
      <c r="AI722">
        <v>96.796535196416201</v>
      </c>
      <c r="AJ722">
        <v>86.446791911195405</v>
      </c>
      <c r="AK722">
        <v>0.62239783185641095</v>
      </c>
      <c r="AL722">
        <v>82.802248287276498</v>
      </c>
      <c r="AM722">
        <v>85.478761380609399</v>
      </c>
      <c r="AN722">
        <v>0.99999997708149202</v>
      </c>
    </row>
    <row r="723" spans="1:40" x14ac:dyDescent="0.25">
      <c r="A723" t="str">
        <f>"20190312164449024"</f>
        <v>20190312164449024</v>
      </c>
      <c r="B723" t="str">
        <f>"1552380289012830"</f>
        <v>1552380289012830</v>
      </c>
      <c r="C723" t="s">
        <v>40</v>
      </c>
      <c r="D723">
        <v>5.552854</v>
      </c>
      <c r="E723">
        <v>0.49149599999999999</v>
      </c>
      <c r="F723" t="s">
        <v>41</v>
      </c>
      <c r="G723">
        <v>-267.35199999999998</v>
      </c>
      <c r="H723">
        <v>1.0158499999999999</v>
      </c>
      <c r="I723">
        <v>367.05900000000003</v>
      </c>
      <c r="J723">
        <v>-268.15359999999998</v>
      </c>
      <c r="K723">
        <v>1.1055699999999999</v>
      </c>
      <c r="L723">
        <v>367.09039999999999</v>
      </c>
      <c r="M723">
        <v>0.99972340000000004</v>
      </c>
      <c r="N723">
        <v>0</v>
      </c>
      <c r="O723">
        <v>1.953104E-2</v>
      </c>
      <c r="P723">
        <v>0.9919116</v>
      </c>
      <c r="Q723">
        <v>0.1124351</v>
      </c>
      <c r="R723">
        <v>-5.8907899999999999E-2</v>
      </c>
      <c r="S723">
        <v>3.0490110000000001</v>
      </c>
      <c r="T723">
        <v>-0.25555299999999997</v>
      </c>
      <c r="U723">
        <v>-7.4249270000000006E-2</v>
      </c>
      <c r="V723">
        <v>7.8265929999999997E-2</v>
      </c>
      <c r="W723">
        <v>0.12541730000000001</v>
      </c>
      <c r="X723">
        <v>0.98901209999999995</v>
      </c>
      <c r="Y723">
        <v>4.3645570000000002E-2</v>
      </c>
      <c r="Z723">
        <v>-3.4596560000000002E-3</v>
      </c>
      <c r="AA723">
        <v>0.99904110000000002</v>
      </c>
      <c r="AB723">
        <v>50</v>
      </c>
      <c r="AC723">
        <v>0.80159999999995002</v>
      </c>
      <c r="AD723">
        <v>-8.9720000000000202E-2</v>
      </c>
      <c r="AE723">
        <v>-3.1399999999962298E-2</v>
      </c>
      <c r="AF723">
        <v>4.6470173607633301E-2</v>
      </c>
      <c r="AG723">
        <v>-8.9720000000000202E-2</v>
      </c>
      <c r="AH723">
        <v>0.79094044573601896</v>
      </c>
      <c r="AI723">
        <v>96.460612947795298</v>
      </c>
      <c r="AJ723">
        <v>86.637562875609703</v>
      </c>
      <c r="AK723">
        <v>0.79736813589220901</v>
      </c>
      <c r="AL723">
        <v>82.795144999180494</v>
      </c>
      <c r="AM723">
        <v>85.475301454110195</v>
      </c>
      <c r="AN723">
        <v>0.99999999444223198</v>
      </c>
    </row>
    <row r="724" spans="1:40" x14ac:dyDescent="0.25">
      <c r="A724" t="str">
        <f>"20190312164449036"</f>
        <v>20190312164449036</v>
      </c>
      <c r="B724" t="str">
        <f>"1552380289032350"</f>
        <v>1552380289032350</v>
      </c>
      <c r="C724" t="s">
        <v>40</v>
      </c>
      <c r="D724">
        <v>5.0185620000000002</v>
      </c>
      <c r="E724">
        <v>0.49140919999999999</v>
      </c>
      <c r="F724" t="s">
        <v>41</v>
      </c>
      <c r="G724">
        <v>-267.34140000000002</v>
      </c>
      <c r="H724">
        <v>1.0376289999999999</v>
      </c>
      <c r="I724">
        <v>367.07040000000001</v>
      </c>
      <c r="J724">
        <v>-267.91320000000002</v>
      </c>
      <c r="K724">
        <v>1.1058079999999999</v>
      </c>
      <c r="L724">
        <v>367.0951</v>
      </c>
      <c r="M724">
        <v>0.99972240000000001</v>
      </c>
      <c r="N724">
        <v>0</v>
      </c>
      <c r="O724">
        <v>1.9515859999999999E-2</v>
      </c>
      <c r="P724">
        <v>0.99191810000000002</v>
      </c>
      <c r="Q724">
        <v>0.11231720000000001</v>
      </c>
      <c r="R724">
        <v>-5.9023069999999997E-2</v>
      </c>
      <c r="S724">
        <v>3.0489809999999999</v>
      </c>
      <c r="T724">
        <v>-0.25520409999999999</v>
      </c>
      <c r="U724">
        <v>-7.4279789999999998E-2</v>
      </c>
      <c r="V724">
        <v>7.8369049999999996E-2</v>
      </c>
      <c r="W724">
        <v>0.12539700000000001</v>
      </c>
      <c r="X724">
        <v>0.98900650000000001</v>
      </c>
      <c r="Y724">
        <v>4.3641329999999999E-2</v>
      </c>
      <c r="Z724">
        <v>-3.4535389999999998E-3</v>
      </c>
      <c r="AA724">
        <v>0.99904130000000002</v>
      </c>
      <c r="AB724">
        <v>50</v>
      </c>
      <c r="AC724">
        <v>0.57179999999999598</v>
      </c>
      <c r="AD724">
        <v>-6.8178999999999698E-2</v>
      </c>
      <c r="AE724">
        <v>-2.4699999999995701E-2</v>
      </c>
      <c r="AF724">
        <v>3.5353742362240301E-2</v>
      </c>
      <c r="AG724">
        <v>-6.8178999999999698E-2</v>
      </c>
      <c r="AH724">
        <v>0.56321656825053001</v>
      </c>
      <c r="AI724">
        <v>96.8888087629784</v>
      </c>
      <c r="AJ724">
        <v>86.408191531384702</v>
      </c>
      <c r="AK724">
        <v>0.56842868144730296</v>
      </c>
      <c r="AL724">
        <v>82.796317300081</v>
      </c>
      <c r="AM724">
        <v>85.469339152497895</v>
      </c>
      <c r="AN724">
        <v>0.99999998632457598</v>
      </c>
    </row>
    <row r="725" spans="1:40" x14ac:dyDescent="0.25">
      <c r="A725" t="str">
        <f>"20190312164449046"</f>
        <v>20190312164449046</v>
      </c>
      <c r="B725" t="str">
        <f>"1552380289042110"</f>
        <v>1552380289042110</v>
      </c>
      <c r="C725" t="s">
        <v>40</v>
      </c>
      <c r="D725">
        <v>5.158182</v>
      </c>
      <c r="E725">
        <v>0.4913458</v>
      </c>
      <c r="F725" t="s">
        <v>41</v>
      </c>
      <c r="G725">
        <v>-266.90039999999999</v>
      </c>
      <c r="H725">
        <v>1.0213829999999999</v>
      </c>
      <c r="I725">
        <v>367.07029999999997</v>
      </c>
      <c r="J725">
        <v>-267.65120000000002</v>
      </c>
      <c r="K725">
        <v>1.106052</v>
      </c>
      <c r="L725">
        <v>367.10019999999997</v>
      </c>
      <c r="M725">
        <v>0.99972130000000003</v>
      </c>
      <c r="N725">
        <v>0</v>
      </c>
      <c r="O725">
        <v>1.94983E-2</v>
      </c>
      <c r="P725">
        <v>0.99192420000000003</v>
      </c>
      <c r="Q725">
        <v>0.11226750000000001</v>
      </c>
      <c r="R725">
        <v>-5.9016249999999999E-2</v>
      </c>
      <c r="S725">
        <v>3.0487980000000001</v>
      </c>
      <c r="T725">
        <v>-0.25427840000000002</v>
      </c>
      <c r="U725">
        <v>-7.4005130000000002E-2</v>
      </c>
      <c r="V725">
        <v>7.8347760000000002E-2</v>
      </c>
      <c r="W725">
        <v>0.12545039999999999</v>
      </c>
      <c r="X725">
        <v>0.98900149999999998</v>
      </c>
      <c r="Y725">
        <v>4.3537319999999997E-2</v>
      </c>
      <c r="Z725">
        <v>-3.4354780000000001E-3</v>
      </c>
      <c r="AA725">
        <v>0.99904590000000004</v>
      </c>
      <c r="AB725">
        <v>50</v>
      </c>
      <c r="AC725">
        <v>0.750800000000026</v>
      </c>
      <c r="AD725">
        <v>-8.4669000000000105E-2</v>
      </c>
      <c r="AE725">
        <v>-2.98999999999978E-2</v>
      </c>
      <c r="AF725">
        <v>4.3976550727887503E-2</v>
      </c>
      <c r="AG725">
        <v>-8.4669000000000105E-2</v>
      </c>
      <c r="AH725">
        <v>0.74066966875556395</v>
      </c>
      <c r="AI725">
        <v>96.510042105049905</v>
      </c>
      <c r="AJ725">
        <v>86.602107171560803</v>
      </c>
      <c r="AK725">
        <v>0.74678935101499699</v>
      </c>
      <c r="AL725">
        <v>82.793233963458903</v>
      </c>
      <c r="AM725">
        <v>85.470542041093594</v>
      </c>
      <c r="AN725">
        <v>1.0000000706797101</v>
      </c>
    </row>
    <row r="726" spans="1:40" x14ac:dyDescent="0.25">
      <c r="A726" t="str">
        <f>"20190312164449058"</f>
        <v>20190312164449058</v>
      </c>
      <c r="B726" t="str">
        <f>"1552380289051870"</f>
        <v>1552380289051870</v>
      </c>
      <c r="C726" t="s">
        <v>40</v>
      </c>
      <c r="D726">
        <v>5.1556129999999998</v>
      </c>
      <c r="E726">
        <v>0.49123499999999998</v>
      </c>
      <c r="F726" t="s">
        <v>41</v>
      </c>
      <c r="G726">
        <v>-266.8886</v>
      </c>
      <c r="H726">
        <v>1.0425770000000001</v>
      </c>
      <c r="I726">
        <v>367.08150000000001</v>
      </c>
      <c r="J726">
        <v>-267.38959999999997</v>
      </c>
      <c r="K726">
        <v>1.106263</v>
      </c>
      <c r="L726">
        <v>367.10520000000002</v>
      </c>
      <c r="M726">
        <v>0.99972030000000001</v>
      </c>
      <c r="N726">
        <v>0</v>
      </c>
      <c r="O726">
        <v>1.9478789999999999E-2</v>
      </c>
      <c r="P726">
        <v>0.9919135</v>
      </c>
      <c r="Q726">
        <v>0.11232159999999999</v>
      </c>
      <c r="R726">
        <v>-5.9089540000000003E-2</v>
      </c>
      <c r="S726">
        <v>3.048737</v>
      </c>
      <c r="T726">
        <v>-0.2539517</v>
      </c>
      <c r="U726">
        <v>-7.3791499999999996E-2</v>
      </c>
      <c r="V726">
        <v>7.8404009999999996E-2</v>
      </c>
      <c r="W726">
        <v>0.1255994</v>
      </c>
      <c r="X726">
        <v>0.98897800000000002</v>
      </c>
      <c r="Y726">
        <v>4.3449290000000002E-2</v>
      </c>
      <c r="Z726">
        <v>-3.4258689999999998E-3</v>
      </c>
      <c r="AA726">
        <v>0.99904979999999999</v>
      </c>
      <c r="AB726">
        <v>50</v>
      </c>
      <c r="AC726">
        <v>0.50099999999997602</v>
      </c>
      <c r="AD726">
        <v>-6.3685999999999895E-2</v>
      </c>
      <c r="AE726">
        <v>-2.3700000000019299E-2</v>
      </c>
      <c r="AF726">
        <v>3.2924418962737297E-2</v>
      </c>
      <c r="AG726">
        <v>-6.3685999999999895E-2</v>
      </c>
      <c r="AH726">
        <v>0.49250269423604198</v>
      </c>
      <c r="AI726">
        <v>97.351856556996296</v>
      </c>
      <c r="AJ726">
        <v>86.175396450242701</v>
      </c>
      <c r="AK726">
        <v>0.49769350788391198</v>
      </c>
      <c r="AL726">
        <v>82.784627891676394</v>
      </c>
      <c r="AM726">
        <v>85.467196393338</v>
      </c>
      <c r="AN726">
        <v>0.99999994127421798</v>
      </c>
    </row>
    <row r="727" spans="1:40" x14ac:dyDescent="0.25">
      <c r="A727" t="str">
        <f>"20190312164449069"</f>
        <v>20190312164449069</v>
      </c>
      <c r="B727" t="str">
        <f>"1552380289062606"</f>
        <v>1552380289062606</v>
      </c>
      <c r="C727" t="s">
        <v>40</v>
      </c>
      <c r="D727">
        <v>5.1659249999999997</v>
      </c>
      <c r="E727">
        <v>0.4911527</v>
      </c>
      <c r="F727" t="s">
        <v>41</v>
      </c>
      <c r="G727">
        <v>-266.4486</v>
      </c>
      <c r="H727">
        <v>1.0280119999999999</v>
      </c>
      <c r="I727">
        <v>367.08260000000001</v>
      </c>
      <c r="J727">
        <v>-267.14909999999998</v>
      </c>
      <c r="K727">
        <v>1.106454</v>
      </c>
      <c r="L727">
        <v>367.10989999999998</v>
      </c>
      <c r="M727">
        <v>0.99971949999999998</v>
      </c>
      <c r="N727">
        <v>0</v>
      </c>
      <c r="O727">
        <v>1.9460249999999998E-2</v>
      </c>
      <c r="P727">
        <v>0.99191640000000003</v>
      </c>
      <c r="Q727">
        <v>0.1122225</v>
      </c>
      <c r="R727">
        <v>-5.9231590000000001E-2</v>
      </c>
      <c r="S727">
        <v>3.0488279999999999</v>
      </c>
      <c r="T727">
        <v>-0.253612</v>
      </c>
      <c r="U727">
        <v>-7.2875980000000007E-2</v>
      </c>
      <c r="V727">
        <v>7.8529879999999996E-2</v>
      </c>
      <c r="W727">
        <v>0.12558620000000001</v>
      </c>
      <c r="X727">
        <v>0.98896969999999995</v>
      </c>
      <c r="Y727">
        <v>4.313198E-2</v>
      </c>
      <c r="Z727">
        <v>-3.4065010000000001E-3</v>
      </c>
      <c r="AA727">
        <v>0.99906360000000005</v>
      </c>
      <c r="AB727">
        <v>50</v>
      </c>
      <c r="AC727">
        <v>0.70049999999997603</v>
      </c>
      <c r="AD727">
        <v>-7.8441999999999901E-2</v>
      </c>
      <c r="AE727">
        <v>-2.7299999999968301E-2</v>
      </c>
      <c r="AF727">
        <v>4.0421874230026002E-2</v>
      </c>
      <c r="AG727">
        <v>-7.8441999999999901E-2</v>
      </c>
      <c r="AH727">
        <v>0.69118206000787596</v>
      </c>
      <c r="AI727">
        <v>96.463823273448398</v>
      </c>
      <c r="AJ727">
        <v>86.653026812750596</v>
      </c>
      <c r="AK727">
        <v>0.69679244783292404</v>
      </c>
      <c r="AL727">
        <v>82.785390307216502</v>
      </c>
      <c r="AM727">
        <v>85.459911873279907</v>
      </c>
      <c r="AN727">
        <v>0.99999995160067101</v>
      </c>
    </row>
    <row r="728" spans="1:40" x14ac:dyDescent="0.25">
      <c r="A728" t="str">
        <f>"20190312164449080"</f>
        <v>20190312164449080</v>
      </c>
      <c r="B728" t="str">
        <f>"1552380289072875"</f>
        <v>1552380289072875</v>
      </c>
      <c r="C728" t="s">
        <v>40</v>
      </c>
      <c r="D728">
        <v>5.1317199999999996</v>
      </c>
      <c r="E728">
        <v>0.49113279999999898</v>
      </c>
      <c r="F728" t="s">
        <v>41</v>
      </c>
      <c r="G728">
        <v>-266.00839999999999</v>
      </c>
      <c r="H728">
        <v>1.0115369999999999</v>
      </c>
      <c r="I728">
        <v>367.08260000000001</v>
      </c>
      <c r="J728">
        <v>-266.90199999999999</v>
      </c>
      <c r="K728">
        <v>1.1066229999999999</v>
      </c>
      <c r="L728">
        <v>367.11470000000003</v>
      </c>
      <c r="M728">
        <v>0.99971869999999996</v>
      </c>
      <c r="N728">
        <v>0</v>
      </c>
      <c r="O728">
        <v>1.943984E-2</v>
      </c>
      <c r="P728">
        <v>0.99193560000000003</v>
      </c>
      <c r="Q728">
        <v>0.11210580000000001</v>
      </c>
      <c r="R728">
        <v>-5.9125249999999997E-2</v>
      </c>
      <c r="S728">
        <v>3.0487669999999998</v>
      </c>
      <c r="T728">
        <v>-0.25371280000000002</v>
      </c>
      <c r="U728">
        <v>-7.2814939999999995E-2</v>
      </c>
      <c r="V728">
        <v>7.8405630000000004E-2</v>
      </c>
      <c r="W728">
        <v>0.1255512</v>
      </c>
      <c r="X728">
        <v>0.98898399999999997</v>
      </c>
      <c r="Y728">
        <v>4.3092119999999998E-2</v>
      </c>
      <c r="Z728">
        <v>-3.40457E-3</v>
      </c>
      <c r="AA728">
        <v>0.99906530000000004</v>
      </c>
      <c r="AB728">
        <v>50</v>
      </c>
      <c r="AC728">
        <v>0.89359999999999196</v>
      </c>
      <c r="AD728">
        <v>-9.5085999999999699E-2</v>
      </c>
      <c r="AE728">
        <v>-3.2100000000013999E-2</v>
      </c>
      <c r="AF728">
        <v>4.8913858474495898E-2</v>
      </c>
      <c r="AG728">
        <v>-9.5085999999999699E-2</v>
      </c>
      <c r="AH728">
        <v>0.88282403059356096</v>
      </c>
      <c r="AI728">
        <v>96.138094548867301</v>
      </c>
      <c r="AJ728">
        <v>86.8287053546685</v>
      </c>
      <c r="AK728">
        <v>0.88927621239990595</v>
      </c>
      <c r="AL728">
        <v>82.787411643124599</v>
      </c>
      <c r="AM728">
        <v>85.467130511635105</v>
      </c>
      <c r="AN728">
        <v>0.999999949446567</v>
      </c>
    </row>
    <row r="729" spans="1:40" x14ac:dyDescent="0.25">
      <c r="A729" t="str">
        <f>"20190312164449091"</f>
        <v>20190312164449091</v>
      </c>
      <c r="B729" t="str">
        <f>"1552380289082633"</f>
        <v>1552380289082633</v>
      </c>
      <c r="C729" t="s">
        <v>40</v>
      </c>
      <c r="D729">
        <v>5.0754760000000001</v>
      </c>
      <c r="E729">
        <v>0.49109750000000002</v>
      </c>
      <c r="F729" t="s">
        <v>41</v>
      </c>
      <c r="G729">
        <v>-265.99869999999999</v>
      </c>
      <c r="H729">
        <v>1.031455</v>
      </c>
      <c r="I729">
        <v>367.0933</v>
      </c>
      <c r="J729">
        <v>-266.65499999999997</v>
      </c>
      <c r="K729">
        <v>1.1067819999999999</v>
      </c>
      <c r="L729">
        <v>367.11950000000002</v>
      </c>
      <c r="M729">
        <v>0.99971810000000005</v>
      </c>
      <c r="N729">
        <v>0</v>
      </c>
      <c r="O729">
        <v>1.9418789999999998E-2</v>
      </c>
      <c r="P729">
        <v>0.99193589999999998</v>
      </c>
      <c r="Q729">
        <v>0.1121255</v>
      </c>
      <c r="R729">
        <v>-5.9087300000000002E-2</v>
      </c>
      <c r="S729">
        <v>3.0487980000000001</v>
      </c>
      <c r="T729">
        <v>-0.25373220000000002</v>
      </c>
      <c r="U729">
        <v>-7.2174070000000007E-2</v>
      </c>
      <c r="V729">
        <v>7.8348769999999998E-2</v>
      </c>
      <c r="W729">
        <v>0.1256505</v>
      </c>
      <c r="X729">
        <v>0.98897590000000002</v>
      </c>
      <c r="Y729">
        <v>4.2861820000000002E-2</v>
      </c>
      <c r="Z729">
        <v>-3.3934910000000002E-3</v>
      </c>
      <c r="AA729">
        <v>0.99907520000000005</v>
      </c>
      <c r="AB729">
        <v>50</v>
      </c>
      <c r="AC729">
        <v>0.656299999999987</v>
      </c>
      <c r="AD729">
        <v>-7.5326999999999894E-2</v>
      </c>
      <c r="AE729">
        <v>-2.6200000000017099E-2</v>
      </c>
      <c r="AF729">
        <v>3.8435283873270699E-2</v>
      </c>
      <c r="AG729">
        <v>-7.5326999999999894E-2</v>
      </c>
      <c r="AH729">
        <v>0.64715575310206097</v>
      </c>
      <c r="AI729">
        <v>96.627607993509699</v>
      </c>
      <c r="AJ729">
        <v>86.601133876011204</v>
      </c>
      <c r="AK729">
        <v>0.65265764130094595</v>
      </c>
      <c r="AL729">
        <v>82.781676792088703</v>
      </c>
      <c r="AM729">
        <v>85.470367133476998</v>
      </c>
      <c r="AN729">
        <v>0.99999995434578504</v>
      </c>
    </row>
    <row r="730" spans="1:40" x14ac:dyDescent="0.25">
      <c r="A730" t="str">
        <f>"20190312164449102"</f>
        <v>20190312164449102</v>
      </c>
      <c r="B730" t="str">
        <f>"1552380289092394"</f>
        <v>1552380289092394</v>
      </c>
      <c r="C730" t="s">
        <v>40</v>
      </c>
      <c r="D730">
        <v>5.1334879999999998</v>
      </c>
      <c r="E730">
        <v>0.49109439999999999</v>
      </c>
      <c r="F730" t="s">
        <v>41</v>
      </c>
      <c r="G730">
        <v>-265.55860000000001</v>
      </c>
      <c r="H730">
        <v>1.015576</v>
      </c>
      <c r="I730">
        <v>367.09339999999997</v>
      </c>
      <c r="J730">
        <v>-266.4076</v>
      </c>
      <c r="K730">
        <v>1.1069249999999999</v>
      </c>
      <c r="L730">
        <v>367.12430000000001</v>
      </c>
      <c r="M730">
        <v>0.99971750000000004</v>
      </c>
      <c r="N730">
        <v>0</v>
      </c>
      <c r="O730">
        <v>1.9397009999999999E-2</v>
      </c>
      <c r="P730">
        <v>0.99196090000000003</v>
      </c>
      <c r="Q730">
        <v>0.1119315</v>
      </c>
      <c r="R730">
        <v>-5.9035879999999999E-2</v>
      </c>
      <c r="S730">
        <v>3.0488590000000002</v>
      </c>
      <c r="T730">
        <v>-0.25389089999999997</v>
      </c>
      <c r="U730">
        <v>-7.1746829999999998E-2</v>
      </c>
      <c r="V730">
        <v>7.8277600000000003E-2</v>
      </c>
      <c r="W730">
        <v>0.12553130000000001</v>
      </c>
      <c r="X730">
        <v>0.98899669999999895</v>
      </c>
      <c r="Y730">
        <v>4.2700050000000003E-2</v>
      </c>
      <c r="Z730">
        <v>-3.3870110000000001E-3</v>
      </c>
      <c r="AA730">
        <v>0.99908220000000003</v>
      </c>
      <c r="AB730">
        <v>50</v>
      </c>
      <c r="AC730">
        <v>0.84899999999998899</v>
      </c>
      <c r="AD730">
        <v>-9.1348999999999902E-2</v>
      </c>
      <c r="AE730">
        <v>-3.0900000000031E-2</v>
      </c>
      <c r="AF730">
        <v>4.6822458910388498E-2</v>
      </c>
      <c r="AG730">
        <v>-9.1348999999999902E-2</v>
      </c>
      <c r="AH730">
        <v>0.83854589699019999</v>
      </c>
      <c r="AI730">
        <v>96.2075423909519</v>
      </c>
      <c r="AJ730">
        <v>86.804055230743501</v>
      </c>
      <c r="AK730">
        <v>0.84480542364411504</v>
      </c>
      <c r="AL730">
        <v>82.788561152585302</v>
      </c>
      <c r="AM730">
        <v>85.474559418516407</v>
      </c>
      <c r="AN730">
        <v>0.99999998127616896</v>
      </c>
    </row>
    <row r="731" spans="1:40" x14ac:dyDescent="0.25">
      <c r="A731" t="str">
        <f>"20190312164449114"</f>
        <v>20190312164449114</v>
      </c>
      <c r="B731" t="str">
        <f>"1552380289102152"</f>
        <v>1552380289102152</v>
      </c>
      <c r="C731" t="s">
        <v>40</v>
      </c>
      <c r="D731">
        <v>4.9821339999999896</v>
      </c>
      <c r="E731">
        <v>0.49107899999999999</v>
      </c>
      <c r="F731" t="s">
        <v>41</v>
      </c>
      <c r="G731">
        <v>-265.5489</v>
      </c>
      <c r="H731">
        <v>1.0354289999999999</v>
      </c>
      <c r="I731">
        <v>367.10390000000001</v>
      </c>
      <c r="J731">
        <v>-266.14960000000002</v>
      </c>
      <c r="K731">
        <v>1.1070629999999999</v>
      </c>
      <c r="L731">
        <v>367.1293</v>
      </c>
      <c r="M731">
        <v>0.99971679999999996</v>
      </c>
      <c r="N731">
        <v>0</v>
      </c>
      <c r="O731">
        <v>1.937434E-2</v>
      </c>
      <c r="P731">
        <v>0.99197670000000004</v>
      </c>
      <c r="Q731">
        <v>0.1117865</v>
      </c>
      <c r="R731">
        <v>-5.9046000000000001E-2</v>
      </c>
      <c r="S731">
        <v>3.0487669999999998</v>
      </c>
      <c r="T731">
        <v>-0.25420549999999997</v>
      </c>
      <c r="U731">
        <v>-7.1166989999999999E-2</v>
      </c>
      <c r="V731">
        <v>7.8267089999999997E-2</v>
      </c>
      <c r="W731">
        <v>0.12545990000000001</v>
      </c>
      <c r="X731">
        <v>0.98900659999999896</v>
      </c>
      <c r="Y731">
        <v>4.248847E-2</v>
      </c>
      <c r="Z731">
        <v>-3.3806119999999999E-3</v>
      </c>
      <c r="AA731">
        <v>0.99909119999999996</v>
      </c>
      <c r="AB731">
        <v>50</v>
      </c>
      <c r="AC731">
        <v>0.600700000000017</v>
      </c>
      <c r="AD731">
        <v>-7.1633999999999698E-2</v>
      </c>
      <c r="AE731">
        <v>-2.53999999999905E-2</v>
      </c>
      <c r="AF731">
        <v>3.65161479059668E-2</v>
      </c>
      <c r="AG731">
        <v>-7.1633999999999698E-2</v>
      </c>
      <c r="AH731">
        <v>0.59169571996841097</v>
      </c>
      <c r="AI731">
        <v>96.889971761803295</v>
      </c>
      <c r="AJ731">
        <v>86.468504079948403</v>
      </c>
      <c r="AK731">
        <v>0.59713372375275098</v>
      </c>
      <c r="AL731">
        <v>82.792684729735797</v>
      </c>
      <c r="AM731">
        <v>85.475209612489806</v>
      </c>
      <c r="AN731">
        <v>0.999999989364318</v>
      </c>
    </row>
    <row r="732" spans="1:40" x14ac:dyDescent="0.25">
      <c r="A732" t="str">
        <f>"20190312164449125"</f>
        <v>20190312164449125</v>
      </c>
      <c r="B732" t="str">
        <f>"1552380289122649"</f>
        <v>1552380289122649</v>
      </c>
      <c r="C732" t="s">
        <v>40</v>
      </c>
      <c r="D732">
        <v>5.2476129999999896</v>
      </c>
      <c r="E732">
        <v>0.49105589999999999</v>
      </c>
      <c r="F732" t="s">
        <v>41</v>
      </c>
      <c r="G732">
        <v>-265.1087</v>
      </c>
      <c r="H732">
        <v>1.020243</v>
      </c>
      <c r="I732">
        <v>367.10509999999999</v>
      </c>
      <c r="J732">
        <v>-265.89580000000001</v>
      </c>
      <c r="K732">
        <v>1.1071850000000001</v>
      </c>
      <c r="L732">
        <v>367.13420000000002</v>
      </c>
      <c r="M732">
        <v>0.9997163</v>
      </c>
      <c r="N732">
        <v>0</v>
      </c>
      <c r="O732">
        <v>1.935158E-2</v>
      </c>
      <c r="P732">
        <v>0.99199320000000002</v>
      </c>
      <c r="Q732">
        <v>0.1115546</v>
      </c>
      <c r="R732">
        <v>-5.9204380000000001E-2</v>
      </c>
      <c r="S732">
        <v>3.0487060000000001</v>
      </c>
      <c r="T732">
        <v>-0.25432569999999999</v>
      </c>
      <c r="U732">
        <v>-7.0739750000000004E-2</v>
      </c>
      <c r="V732">
        <v>7.8404760000000004E-2</v>
      </c>
      <c r="W732">
        <v>0.1252972</v>
      </c>
      <c r="X732">
        <v>0.98901640000000002</v>
      </c>
      <c r="Y732">
        <v>4.2326709999999997E-2</v>
      </c>
      <c r="Z732">
        <v>-3.3736500000000002E-3</v>
      </c>
      <c r="AA732">
        <v>0.99909809999999999</v>
      </c>
      <c r="AB732">
        <v>50</v>
      </c>
      <c r="AC732">
        <v>0.78710000000000901</v>
      </c>
      <c r="AD732">
        <v>-8.6942000000000005E-2</v>
      </c>
      <c r="AE732">
        <v>-2.91000000000281E-2</v>
      </c>
      <c r="AF732">
        <v>4.3794040492771198E-2</v>
      </c>
      <c r="AG732">
        <v>-8.6942000000000005E-2</v>
      </c>
      <c r="AH732">
        <v>0.77692300877731002</v>
      </c>
      <c r="AI732">
        <v>96.375114316488904</v>
      </c>
      <c r="AJ732">
        <v>86.773732905698196</v>
      </c>
      <c r="AK732">
        <v>0.78299820620118299</v>
      </c>
      <c r="AL732">
        <v>82.802081461024997</v>
      </c>
      <c r="AM732">
        <v>85.467328474950307</v>
      </c>
      <c r="AN732">
        <v>1.0000000670937199</v>
      </c>
    </row>
    <row r="733" spans="1:40" x14ac:dyDescent="0.25">
      <c r="A733" t="str">
        <f>"20190312164449137"</f>
        <v>20190312164449137</v>
      </c>
      <c r="B733" t="str">
        <f>"1552380289132409"</f>
        <v>1552380289132409</v>
      </c>
      <c r="C733" t="s">
        <v>40</v>
      </c>
      <c r="D733">
        <v>5.0031239999999997</v>
      </c>
      <c r="E733">
        <v>0.49105589999999999</v>
      </c>
      <c r="F733" t="s">
        <v>41</v>
      </c>
      <c r="G733">
        <v>-265.09840000000003</v>
      </c>
      <c r="H733">
        <v>1.040629</v>
      </c>
      <c r="I733">
        <v>367.1155</v>
      </c>
      <c r="J733">
        <v>-265.63900000000001</v>
      </c>
      <c r="K733">
        <v>1.1072900000000001</v>
      </c>
      <c r="L733">
        <v>367.13920000000002</v>
      </c>
      <c r="M733">
        <v>0.99971569999999998</v>
      </c>
      <c r="N733">
        <v>0</v>
      </c>
      <c r="O733">
        <v>1.9328149999999999E-2</v>
      </c>
      <c r="P733">
        <v>0.9920293</v>
      </c>
      <c r="Q733">
        <v>0.1110845</v>
      </c>
      <c r="R733">
        <v>-5.948167E-2</v>
      </c>
      <c r="S733">
        <v>3.048584</v>
      </c>
      <c r="T733">
        <v>-0.25448969999999999</v>
      </c>
      <c r="U733">
        <v>-7.1228029999999998E-2</v>
      </c>
      <c r="V733">
        <v>7.8660670000000002E-2</v>
      </c>
      <c r="W733">
        <v>0.1248927</v>
      </c>
      <c r="X733">
        <v>0.98904720000000002</v>
      </c>
      <c r="Y733">
        <v>4.2463500000000001E-2</v>
      </c>
      <c r="Z733">
        <v>-3.3796949999999998E-3</v>
      </c>
      <c r="AA733">
        <v>0.99909230000000004</v>
      </c>
      <c r="AB733">
        <v>50</v>
      </c>
      <c r="AC733">
        <v>0.54059999999998298</v>
      </c>
      <c r="AD733">
        <v>-6.6660999999999804E-2</v>
      </c>
      <c r="AE733">
        <v>-2.3700000000019299E-2</v>
      </c>
      <c r="AF733">
        <v>3.3634943999888603E-2</v>
      </c>
      <c r="AG733">
        <v>-6.6660999999999804E-2</v>
      </c>
      <c r="AH733">
        <v>0.53196772239844003</v>
      </c>
      <c r="AI733">
        <v>97.128429738271294</v>
      </c>
      <c r="AJ733">
        <v>86.382151868014105</v>
      </c>
      <c r="AK733">
        <v>0.53718214420498001</v>
      </c>
      <c r="AL733">
        <v>82.825440798902207</v>
      </c>
      <c r="AM733">
        <v>85.452736983436694</v>
      </c>
      <c r="AN733">
        <v>1.00000002567298</v>
      </c>
    </row>
    <row r="734" spans="1:40" x14ac:dyDescent="0.25">
      <c r="A734" t="str">
        <f>"20190312164449150"</f>
        <v>20190312164449150</v>
      </c>
      <c r="B734" t="str">
        <f>"1552380289142169"</f>
        <v>1552380289142169</v>
      </c>
      <c r="C734" t="s">
        <v>40</v>
      </c>
      <c r="D734">
        <v>5.1300879999999998</v>
      </c>
      <c r="E734">
        <v>0.4911451</v>
      </c>
      <c r="F734" t="s">
        <v>41</v>
      </c>
      <c r="G734">
        <v>-264.65910000000002</v>
      </c>
      <c r="H734">
        <v>1.0250629999999901</v>
      </c>
      <c r="I734">
        <v>367.11599999999999</v>
      </c>
      <c r="J734">
        <v>-265.33850000000001</v>
      </c>
      <c r="K734">
        <v>1.107407</v>
      </c>
      <c r="L734">
        <v>367.14499999999998</v>
      </c>
      <c r="M734">
        <v>0.99971529999999997</v>
      </c>
      <c r="N734">
        <v>0</v>
      </c>
      <c r="O734">
        <v>1.9300479999999998E-2</v>
      </c>
      <c r="P734">
        <v>0.99202880000000004</v>
      </c>
      <c r="Q734">
        <v>0.1110563</v>
      </c>
      <c r="R734">
        <v>-5.9547030000000001E-2</v>
      </c>
      <c r="S734">
        <v>3.048492</v>
      </c>
      <c r="T734">
        <v>-0.2558938</v>
      </c>
      <c r="U734">
        <v>-7.1746829999999998E-2</v>
      </c>
      <c r="V734">
        <v>7.8699969999999994E-2</v>
      </c>
      <c r="W734">
        <v>0.1249372</v>
      </c>
      <c r="X734">
        <v>0.98903839999999998</v>
      </c>
      <c r="Y734">
        <v>4.2603710000000003E-2</v>
      </c>
      <c r="Z734">
        <v>-3.4019300000000001E-3</v>
      </c>
      <c r="AA734">
        <v>0.99908629999999998</v>
      </c>
      <c r="AB734">
        <v>50</v>
      </c>
      <c r="AC734">
        <v>0.67939999999998602</v>
      </c>
      <c r="AD734">
        <v>-8.2344000000000195E-2</v>
      </c>
      <c r="AE734">
        <v>-2.89999999999963E-2</v>
      </c>
      <c r="AF734">
        <v>4.1500118272920702E-2</v>
      </c>
      <c r="AG734">
        <v>-8.2344000000000195E-2</v>
      </c>
      <c r="AH734">
        <v>0.66890550434532503</v>
      </c>
      <c r="AI734">
        <v>97.004616479515306</v>
      </c>
      <c r="AJ734">
        <v>86.449815714366494</v>
      </c>
      <c r="AK734">
        <v>0.675231343982298</v>
      </c>
      <c r="AL734">
        <v>82.822870628374403</v>
      </c>
      <c r="AM734">
        <v>85.450434331046097</v>
      </c>
      <c r="AN734">
        <v>0.99999997294819998</v>
      </c>
    </row>
    <row r="735" spans="1:40" x14ac:dyDescent="0.25">
      <c r="A735" t="str">
        <f>"20190312164449163"</f>
        <v>20190312164449163</v>
      </c>
      <c r="B735" t="str">
        <f>"1552380289151929"</f>
        <v>1552380289151929</v>
      </c>
      <c r="C735" t="s">
        <v>40</v>
      </c>
      <c r="D735">
        <v>4.9789269999999997</v>
      </c>
      <c r="E735">
        <v>0.4911451</v>
      </c>
      <c r="F735" t="s">
        <v>41</v>
      </c>
      <c r="G735">
        <v>-264.21809999999999</v>
      </c>
      <c r="H735">
        <v>1.012907</v>
      </c>
      <c r="I735">
        <v>367.1182</v>
      </c>
      <c r="J735">
        <v>-265.04500000000002</v>
      </c>
      <c r="K735">
        <v>1.107507</v>
      </c>
      <c r="L735">
        <v>367.1506</v>
      </c>
      <c r="M735">
        <v>0.99971500000000002</v>
      </c>
      <c r="N735">
        <v>0</v>
      </c>
      <c r="O735">
        <v>1.9273410000000001E-2</v>
      </c>
      <c r="P735">
        <v>0.99206240000000001</v>
      </c>
      <c r="Q735">
        <v>0.11068459999999999</v>
      </c>
      <c r="R735">
        <v>-5.9676750000000001E-2</v>
      </c>
      <c r="S735">
        <v>3.0485229999999999</v>
      </c>
      <c r="T735">
        <v>-0.2571619</v>
      </c>
      <c r="U735">
        <v>-7.2692870000000007E-2</v>
      </c>
      <c r="V735">
        <v>7.8804620000000006E-2</v>
      </c>
      <c r="W735">
        <v>0.12463100000000001</v>
      </c>
      <c r="X735">
        <v>0.98906870000000002</v>
      </c>
      <c r="Y735">
        <v>4.2883249999999998E-2</v>
      </c>
      <c r="Z735">
        <v>-3.4281720000000002E-3</v>
      </c>
      <c r="AA735">
        <v>0.99907420000000002</v>
      </c>
      <c r="AB735">
        <v>50</v>
      </c>
      <c r="AC735">
        <v>0.82690000000002295</v>
      </c>
      <c r="AD735">
        <v>-9.4600000000000004E-2</v>
      </c>
      <c r="AE735">
        <v>-3.2399999999995502E-2</v>
      </c>
      <c r="AF735">
        <v>4.7709278721210002E-2</v>
      </c>
      <c r="AG735">
        <v>-9.4600000000000004E-2</v>
      </c>
      <c r="AH735">
        <v>0.81546532945081696</v>
      </c>
      <c r="AI735">
        <v>96.605959350264001</v>
      </c>
      <c r="AJ735">
        <v>86.651693550168005</v>
      </c>
      <c r="AK735">
        <v>0.82231930465752001</v>
      </c>
      <c r="AL735">
        <v>82.840552808104505</v>
      </c>
      <c r="AM735">
        <v>85.4445490408051</v>
      </c>
      <c r="AN735">
        <v>0.999999973807016</v>
      </c>
    </row>
    <row r="736" spans="1:40" x14ac:dyDescent="0.25">
      <c r="A736" t="str">
        <f>"20190312164449177"</f>
        <v>20190312164449177</v>
      </c>
      <c r="B736" t="str">
        <f>"1552380289172425"</f>
        <v>1552380289172425</v>
      </c>
      <c r="C736" t="s">
        <v>40</v>
      </c>
      <c r="D736">
        <v>5.0390220000000001</v>
      </c>
      <c r="E736">
        <v>0.50047719999999996</v>
      </c>
      <c r="F736" t="s">
        <v>41</v>
      </c>
      <c r="G736">
        <v>-264.20659999999998</v>
      </c>
      <c r="H736">
        <v>1.0364819999999999</v>
      </c>
      <c r="I736">
        <v>367.13040000000001</v>
      </c>
      <c r="J736">
        <v>-264.76119999999997</v>
      </c>
      <c r="K736">
        <v>1.1075969999999999</v>
      </c>
      <c r="L736">
        <v>367.15609999999998</v>
      </c>
      <c r="M736">
        <v>0.99971460000000001</v>
      </c>
      <c r="N736">
        <v>0</v>
      </c>
      <c r="O736">
        <v>1.924704E-2</v>
      </c>
      <c r="P736">
        <v>0.99206609999999995</v>
      </c>
      <c r="Q736">
        <v>0.1104559</v>
      </c>
      <c r="R736">
        <v>-6.0038500000000002E-2</v>
      </c>
      <c r="S736">
        <v>3.0484309999999999</v>
      </c>
      <c r="T736">
        <v>-0.25830700000000001</v>
      </c>
      <c r="U736">
        <v>-7.318115E-2</v>
      </c>
      <c r="V736">
        <v>7.9141180000000005E-2</v>
      </c>
      <c r="W736">
        <v>0.12446169999999999</v>
      </c>
      <c r="X736">
        <v>0.98906320000000003</v>
      </c>
      <c r="Y736">
        <v>4.301522E-2</v>
      </c>
      <c r="Z736">
        <v>-3.4468319999999999E-3</v>
      </c>
      <c r="AA736">
        <v>0.99906850000000003</v>
      </c>
      <c r="AB736">
        <v>50</v>
      </c>
      <c r="AC736">
        <v>0.55459999999999299</v>
      </c>
      <c r="AD736">
        <v>-7.1114999999999998E-2</v>
      </c>
      <c r="AE736">
        <v>-2.5699999999971999E-2</v>
      </c>
      <c r="AF736">
        <v>3.5783611445998002E-2</v>
      </c>
      <c r="AG736">
        <v>-7.1114999999999998E-2</v>
      </c>
      <c r="AH736">
        <v>0.54505971162602695</v>
      </c>
      <c r="AI736">
        <v>97.417711822248194</v>
      </c>
      <c r="AJ736">
        <v>86.243875824287201</v>
      </c>
      <c r="AK736">
        <v>0.55084289893849503</v>
      </c>
      <c r="AL736">
        <v>82.850329489064706</v>
      </c>
      <c r="AM736">
        <v>85.425150628527305</v>
      </c>
      <c r="AN736">
        <v>1.00000002736646</v>
      </c>
    </row>
    <row r="737" spans="1:40" x14ac:dyDescent="0.25">
      <c r="A737" t="str">
        <f>"20190312164449191"</f>
        <v>20190312164449191</v>
      </c>
      <c r="B737" t="str">
        <f>"1552380289182185"</f>
        <v>1552380289182185</v>
      </c>
      <c r="C737" t="s">
        <v>40</v>
      </c>
      <c r="D737">
        <v>5.0711170000000001</v>
      </c>
      <c r="E737">
        <v>0.50210980000000005</v>
      </c>
      <c r="F737" t="s">
        <v>41</v>
      </c>
      <c r="G737">
        <v>-263.77199999999999</v>
      </c>
      <c r="H737">
        <v>1.0114080000000001</v>
      </c>
      <c r="I737">
        <v>367.10829999999999</v>
      </c>
      <c r="J737">
        <v>-264.41410000000002</v>
      </c>
      <c r="K737">
        <v>1.107694</v>
      </c>
      <c r="L737">
        <v>367.1628</v>
      </c>
      <c r="M737">
        <v>0.99971429999999994</v>
      </c>
      <c r="N737">
        <v>0</v>
      </c>
      <c r="O737">
        <v>1.9214410000000001E-2</v>
      </c>
      <c r="P737">
        <v>0.99210980000000004</v>
      </c>
      <c r="Q737">
        <v>0.109983</v>
      </c>
      <c r="R737">
        <v>-6.0184099999999997E-2</v>
      </c>
      <c r="S737">
        <v>3.0481569999999998</v>
      </c>
      <c r="T737">
        <v>-0.29661659999999901</v>
      </c>
      <c r="U737">
        <v>-0.146514899999999</v>
      </c>
      <c r="V737">
        <v>7.9256530000000006E-2</v>
      </c>
      <c r="W737">
        <v>0.1240571</v>
      </c>
      <c r="X737">
        <v>0.98910469999999895</v>
      </c>
      <c r="Y737">
        <v>6.6791210000000004E-2</v>
      </c>
      <c r="Z737">
        <v>-5.1048170000000002E-3</v>
      </c>
      <c r="AA737">
        <v>0.99775389999999997</v>
      </c>
      <c r="AB737">
        <v>50</v>
      </c>
      <c r="AC737">
        <v>0.64210000000002698</v>
      </c>
      <c r="AD737">
        <v>-9.6285999999999802E-2</v>
      </c>
      <c r="AE737">
        <v>-5.4500000000018603E-2</v>
      </c>
      <c r="AF737">
        <v>6.5369345462800099E-2</v>
      </c>
      <c r="AG737">
        <v>-9.6285999999999802E-2</v>
      </c>
      <c r="AH737">
        <v>0.62693738239765895</v>
      </c>
      <c r="AI737">
        <v>98.684990888200801</v>
      </c>
      <c r="AJ737">
        <v>84.047407959291306</v>
      </c>
      <c r="AK737">
        <v>0.63764772921250501</v>
      </c>
      <c r="AL737">
        <v>82.873691764573095</v>
      </c>
      <c r="AM737">
        <v>85.418702459494298</v>
      </c>
      <c r="AN737">
        <v>0.99999993458506797</v>
      </c>
    </row>
    <row r="738" spans="1:40" x14ac:dyDescent="0.25">
      <c r="A738" t="str">
        <f>"20190312164449202"</f>
        <v>20190312164449202</v>
      </c>
      <c r="B738" t="str">
        <f>"1552380289191945"</f>
        <v>1552380289191945</v>
      </c>
      <c r="C738" t="s">
        <v>40</v>
      </c>
      <c r="D738">
        <v>4.9706669999999997</v>
      </c>
      <c r="E738">
        <v>0.50192590000000004</v>
      </c>
      <c r="F738" t="s">
        <v>41</v>
      </c>
      <c r="G738">
        <v>-263.3306</v>
      </c>
      <c r="H738">
        <v>1.0009889999999999</v>
      </c>
      <c r="I738">
        <v>367.10579999999999</v>
      </c>
      <c r="J738">
        <v>-264.16579999999999</v>
      </c>
      <c r="K738">
        <v>1.1077509999999999</v>
      </c>
      <c r="L738">
        <v>367.16750000000002</v>
      </c>
      <c r="M738">
        <v>0.99971399999999999</v>
      </c>
      <c r="N738">
        <v>0</v>
      </c>
      <c r="O738">
        <v>1.91915E-2</v>
      </c>
      <c r="P738">
        <v>0.99209510000000001</v>
      </c>
      <c r="Q738">
        <v>0.109981</v>
      </c>
      <c r="R738">
        <v>-6.0430409999999997E-2</v>
      </c>
      <c r="S738">
        <v>3.0474239999999999</v>
      </c>
      <c r="T738">
        <v>-0.30018590000000001</v>
      </c>
      <c r="U738">
        <v>-0.15994259999999999</v>
      </c>
      <c r="V738">
        <v>7.9480380000000003E-2</v>
      </c>
      <c r="W738">
        <v>0.12409969999999999</v>
      </c>
      <c r="X738">
        <v>0.9890814</v>
      </c>
      <c r="Y738">
        <v>7.1133730000000006E-2</v>
      </c>
      <c r="Z738">
        <v>-5.3776079999999999E-3</v>
      </c>
      <c r="AA738">
        <v>0.99745229999999996</v>
      </c>
      <c r="AB738">
        <v>50</v>
      </c>
      <c r="AC738">
        <v>0.83519999999998595</v>
      </c>
      <c r="AD738">
        <v>-0.106762</v>
      </c>
      <c r="AE738">
        <v>-6.1700000000030203E-2</v>
      </c>
      <c r="AF738">
        <v>7.6476168024618998E-2</v>
      </c>
      <c r="AG738">
        <v>-0.106762</v>
      </c>
      <c r="AH738">
        <v>0.82052725668659998</v>
      </c>
      <c r="AI738">
        <v>97.381691800663802</v>
      </c>
      <c r="AJ738">
        <v>84.675205078057303</v>
      </c>
      <c r="AK738">
        <v>0.83097034115867696</v>
      </c>
      <c r="AL738">
        <v>82.8712320024093</v>
      </c>
      <c r="AM738">
        <v>85.405710716406006</v>
      </c>
      <c r="AN738">
        <v>0.99999994108549495</v>
      </c>
    </row>
    <row r="739" spans="1:40" x14ac:dyDescent="0.25">
      <c r="A739" t="str">
        <f>"20190312164449214"</f>
        <v>20190312164449214</v>
      </c>
      <c r="B739" t="str">
        <f>"1552380289202681"</f>
        <v>1552380289202681</v>
      </c>
      <c r="C739" t="s">
        <v>40</v>
      </c>
      <c r="D739">
        <v>4.9633450000000003</v>
      </c>
      <c r="E739">
        <v>0.50176670000000001</v>
      </c>
      <c r="F739" t="s">
        <v>41</v>
      </c>
      <c r="G739">
        <v>-263.31889999999999</v>
      </c>
      <c r="H739">
        <v>1.025312</v>
      </c>
      <c r="I739">
        <v>367.12299999999999</v>
      </c>
      <c r="J739">
        <v>-263.91419999999999</v>
      </c>
      <c r="K739">
        <v>1.107804</v>
      </c>
      <c r="L739">
        <v>367.17230000000001</v>
      </c>
      <c r="M739">
        <v>0.99971379999999999</v>
      </c>
      <c r="N739">
        <v>0</v>
      </c>
      <c r="O739">
        <v>1.9168069999999999E-2</v>
      </c>
      <c r="P739">
        <v>0.99209619999999998</v>
      </c>
      <c r="Q739">
        <v>0.109797699999999</v>
      </c>
      <c r="R739">
        <v>-6.0743440000000003E-2</v>
      </c>
      <c r="S739">
        <v>3.0470579999999998</v>
      </c>
      <c r="T739">
        <v>-0.29668800000000001</v>
      </c>
      <c r="U739">
        <v>-0.15972900000000001</v>
      </c>
      <c r="V739">
        <v>7.9770969999999997E-2</v>
      </c>
      <c r="W739">
        <v>0.1239587</v>
      </c>
      <c r="X739">
        <v>0.9890757</v>
      </c>
      <c r="Y739">
        <v>7.105736E-2</v>
      </c>
      <c r="Z739">
        <v>-5.3099050000000002E-3</v>
      </c>
      <c r="AA739">
        <v>0.99745810000000001</v>
      </c>
      <c r="AB739">
        <v>50</v>
      </c>
      <c r="AC739">
        <v>0.59530000000000804</v>
      </c>
      <c r="AD739">
        <v>-8.2491999999999996E-2</v>
      </c>
      <c r="AE739">
        <v>-4.9299999999959702E-2</v>
      </c>
      <c r="AF739">
        <v>5.9566836428432801E-2</v>
      </c>
      <c r="AG739">
        <v>-8.2491999999999996E-2</v>
      </c>
      <c r="AH739">
        <v>0.58312449932856203</v>
      </c>
      <c r="AI739">
        <v>98.010804716523097</v>
      </c>
      <c r="AJ739">
        <v>84.167401703408899</v>
      </c>
      <c r="AK739">
        <v>0.59193523276054305</v>
      </c>
      <c r="AL739">
        <v>82.879373662283996</v>
      </c>
      <c r="AM739">
        <v>85.388959275207199</v>
      </c>
      <c r="AN739">
        <v>0.99999995364545902</v>
      </c>
    </row>
    <row r="740" spans="1:40" x14ac:dyDescent="0.25">
      <c r="A740" t="str">
        <f>"20190312164449226"</f>
        <v>20190312164449226</v>
      </c>
      <c r="B740" t="str">
        <f>"1552380289222201"</f>
        <v>1552380289222201</v>
      </c>
      <c r="C740" t="s">
        <v>40</v>
      </c>
      <c r="D740">
        <v>4.9407969999999999</v>
      </c>
      <c r="E740">
        <v>0.50158670000000005</v>
      </c>
      <c r="F740" t="s">
        <v>41</v>
      </c>
      <c r="G740">
        <v>-262.88119999999998</v>
      </c>
      <c r="H740">
        <v>1.0083200000000001</v>
      </c>
      <c r="I740">
        <v>367.11810000000003</v>
      </c>
      <c r="J740">
        <v>-263.64670000000001</v>
      </c>
      <c r="K740">
        <v>1.1078570000000001</v>
      </c>
      <c r="L740">
        <v>367.17750000000001</v>
      </c>
      <c r="M740">
        <v>0.99971370000000004</v>
      </c>
      <c r="N740">
        <v>0</v>
      </c>
      <c r="O740">
        <v>1.9143150000000001E-2</v>
      </c>
      <c r="P740">
        <v>0.99208220000000003</v>
      </c>
      <c r="Q740">
        <v>0.1098446</v>
      </c>
      <c r="R740">
        <v>-6.0885729999999999E-2</v>
      </c>
      <c r="S740">
        <v>3.0466310000000001</v>
      </c>
      <c r="T740">
        <v>-0.29351389999999999</v>
      </c>
      <c r="U740">
        <v>-0.15978999999999999</v>
      </c>
      <c r="V740">
        <v>7.9889059999999998E-2</v>
      </c>
      <c r="W740">
        <v>0.12404859999999999</v>
      </c>
      <c r="X740">
        <v>0.98905489999999996</v>
      </c>
      <c r="Y740">
        <v>7.1068729999999997E-2</v>
      </c>
      <c r="Z740">
        <v>-5.2522430000000002E-3</v>
      </c>
      <c r="AA740">
        <v>0.99745760000000006</v>
      </c>
      <c r="AB740">
        <v>50</v>
      </c>
      <c r="AC740">
        <v>0.76550000000003104</v>
      </c>
      <c r="AD740">
        <v>-9.9536999999999695E-2</v>
      </c>
      <c r="AE740">
        <v>-5.93999999999823E-2</v>
      </c>
      <c r="AF740">
        <v>7.2820856594483702E-2</v>
      </c>
      <c r="AG740">
        <v>-9.9536999999999695E-2</v>
      </c>
      <c r="AH740">
        <v>0.751591026654718</v>
      </c>
      <c r="AI740">
        <v>97.509308678705594</v>
      </c>
      <c r="AJ740">
        <v>84.465946530582599</v>
      </c>
      <c r="AK740">
        <v>0.76164267400930696</v>
      </c>
      <c r="AL740">
        <v>82.874182724308497</v>
      </c>
      <c r="AM740">
        <v>85.382066066966004</v>
      </c>
      <c r="AN740">
        <v>0.99999995614182502</v>
      </c>
    </row>
    <row r="741" spans="1:40" x14ac:dyDescent="0.25">
      <c r="A741" t="str">
        <f>"20190312164449237"</f>
        <v>20190312164449237</v>
      </c>
      <c r="B741" t="str">
        <f>"1552380289231961"</f>
        <v>1552380289231961</v>
      </c>
      <c r="C741" t="s">
        <v>40</v>
      </c>
      <c r="D741">
        <v>4.9071680000000004</v>
      </c>
      <c r="E741">
        <v>0.50142520000000002</v>
      </c>
      <c r="F741" t="s">
        <v>41</v>
      </c>
      <c r="G741">
        <v>-262.86900000000003</v>
      </c>
      <c r="H741">
        <v>1.0334460000000001</v>
      </c>
      <c r="I741">
        <v>367.13690000000003</v>
      </c>
      <c r="J741">
        <v>-263.40570000000002</v>
      </c>
      <c r="K741">
        <v>1.107901</v>
      </c>
      <c r="L741">
        <v>367.18200000000002</v>
      </c>
      <c r="M741">
        <v>0.99971350000000003</v>
      </c>
      <c r="N741">
        <v>0</v>
      </c>
      <c r="O741">
        <v>1.9120149999999999E-2</v>
      </c>
      <c r="P741">
        <v>0.99208269999999998</v>
      </c>
      <c r="Q741">
        <v>0.1097813</v>
      </c>
      <c r="R741">
        <v>-6.0993840000000001E-2</v>
      </c>
      <c r="S741">
        <v>3.046478</v>
      </c>
      <c r="T741">
        <v>-0.29160239999999998</v>
      </c>
      <c r="U741">
        <v>-0.15875239999999999</v>
      </c>
      <c r="V741">
        <v>7.9974859999999995E-2</v>
      </c>
      <c r="W741">
        <v>0.1240212</v>
      </c>
      <c r="X741">
        <v>0.98905149999999997</v>
      </c>
      <c r="Y741">
        <v>7.0716660000000001E-2</v>
      </c>
      <c r="Z741">
        <v>-5.1995019999999999E-3</v>
      </c>
      <c r="AA741">
        <v>0.99748289999999995</v>
      </c>
      <c r="AB741">
        <v>50</v>
      </c>
      <c r="AC741">
        <v>0.53669999999999596</v>
      </c>
      <c r="AD741">
        <v>-7.4455000000000104E-2</v>
      </c>
      <c r="AE741">
        <v>-4.5099999999933901E-2</v>
      </c>
      <c r="AF741">
        <v>5.4316593190021502E-2</v>
      </c>
      <c r="AG741">
        <v>-7.4455000000000104E-2</v>
      </c>
      <c r="AH741">
        <v>0.52569327746497696</v>
      </c>
      <c r="AI741">
        <v>98.019167888005896</v>
      </c>
      <c r="AJ741">
        <v>84.100919055725598</v>
      </c>
      <c r="AK741">
        <v>0.53371084052381801</v>
      </c>
      <c r="AL741">
        <v>82.8757655394908</v>
      </c>
      <c r="AM741">
        <v>85.3771121173382</v>
      </c>
      <c r="AN741">
        <v>1.00000005296685</v>
      </c>
    </row>
    <row r="742" spans="1:40" x14ac:dyDescent="0.25">
      <c r="A742" t="str">
        <f>"20190312164449249"</f>
        <v>20190312164449249</v>
      </c>
      <c r="B742" t="str">
        <f>"1552380289242697"</f>
        <v>1552380289242697</v>
      </c>
      <c r="C742" t="s">
        <v>40</v>
      </c>
      <c r="D742">
        <v>4.9516589999999896</v>
      </c>
      <c r="E742">
        <v>0.50142810000000004</v>
      </c>
      <c r="F742" t="s">
        <v>41</v>
      </c>
      <c r="G742">
        <v>-262.4323</v>
      </c>
      <c r="H742">
        <v>1.0151760000000001</v>
      </c>
      <c r="I742">
        <v>367.13150000000002</v>
      </c>
      <c r="J742">
        <v>-263.13</v>
      </c>
      <c r="K742">
        <v>1.1079479999999999</v>
      </c>
      <c r="L742">
        <v>367.18729999999999</v>
      </c>
      <c r="M742">
        <v>0.99971339999999997</v>
      </c>
      <c r="N742">
        <v>0</v>
      </c>
      <c r="O742">
        <v>1.9093780000000001E-2</v>
      </c>
      <c r="P742">
        <v>0.99212250000000002</v>
      </c>
      <c r="Q742">
        <v>0.1093758</v>
      </c>
      <c r="R742">
        <v>-6.1074580000000003E-2</v>
      </c>
      <c r="S742">
        <v>3.0463559999999998</v>
      </c>
      <c r="T742">
        <v>-0.29029270000000001</v>
      </c>
      <c r="U742">
        <v>-0.15786739999999999</v>
      </c>
      <c r="V742">
        <v>8.003035E-2</v>
      </c>
      <c r="W742">
        <v>0.123655399999999</v>
      </c>
      <c r="X742">
        <v>0.98909279999999999</v>
      </c>
      <c r="Y742">
        <v>7.0408579999999998E-2</v>
      </c>
      <c r="Z742">
        <v>-5.15936E-3</v>
      </c>
      <c r="AA742">
        <v>0.99750490000000003</v>
      </c>
      <c r="AB742">
        <v>50</v>
      </c>
      <c r="AC742">
        <v>0.69769999999999699</v>
      </c>
      <c r="AD742">
        <v>-9.2771999999999799E-2</v>
      </c>
      <c r="AE742">
        <v>-5.57999999999765E-2</v>
      </c>
      <c r="AF742">
        <v>6.7919717591324799E-2</v>
      </c>
      <c r="AG742">
        <v>-9.2771999999999799E-2</v>
      </c>
      <c r="AH742">
        <v>0.68448211579698903</v>
      </c>
      <c r="AI742">
        <v>97.681339493680497</v>
      </c>
      <c r="AJ742">
        <v>84.333210716394703</v>
      </c>
      <c r="AK742">
        <v>0.69407168136123198</v>
      </c>
      <c r="AL742">
        <v>82.896886832459799</v>
      </c>
      <c r="AM742">
        <v>85.3741108015587</v>
      </c>
      <c r="AN742">
        <v>1.0000000409410601</v>
      </c>
    </row>
    <row r="743" spans="1:40" x14ac:dyDescent="0.25">
      <c r="A743" t="str">
        <f>"20190312164449260"</f>
        <v>20190312164449260</v>
      </c>
      <c r="B743" t="str">
        <f>"1552380289252457"</f>
        <v>1552380289252457</v>
      </c>
      <c r="C743" t="s">
        <v>40</v>
      </c>
      <c r="D743">
        <v>4.9257140000000001</v>
      </c>
      <c r="E743">
        <v>0.50139040000000001</v>
      </c>
      <c r="F743" t="s">
        <v>41</v>
      </c>
      <c r="G743">
        <v>-261.99419999999998</v>
      </c>
      <c r="H743">
        <v>0.99998089999999995</v>
      </c>
      <c r="I743">
        <v>367.12810000000002</v>
      </c>
      <c r="J743">
        <v>-262.87400000000002</v>
      </c>
      <c r="K743">
        <v>1.107982</v>
      </c>
      <c r="L743">
        <v>367.19220000000001</v>
      </c>
      <c r="M743">
        <v>0.99971339999999997</v>
      </c>
      <c r="N743">
        <v>0</v>
      </c>
      <c r="O743">
        <v>1.9069300000000001E-2</v>
      </c>
      <c r="P743">
        <v>0.99215739999999997</v>
      </c>
      <c r="Q743">
        <v>0.10913299999999999</v>
      </c>
      <c r="R743">
        <v>-6.0940199999999903E-2</v>
      </c>
      <c r="S743">
        <v>3.0459900000000002</v>
      </c>
      <c r="T743">
        <v>-0.28971370000000002</v>
      </c>
      <c r="U743">
        <v>-0.15829470000000001</v>
      </c>
      <c r="V743">
        <v>7.9872960000000007E-2</v>
      </c>
      <c r="W743">
        <v>0.12344629999999999</v>
      </c>
      <c r="X743">
        <v>0.9891316</v>
      </c>
      <c r="Y743">
        <v>7.0530960000000004E-2</v>
      </c>
      <c r="Z743">
        <v>-5.1531939999999998E-3</v>
      </c>
      <c r="AA743">
        <v>0.9974963</v>
      </c>
      <c r="AB743">
        <v>50</v>
      </c>
      <c r="AC743">
        <v>0.87980000000004499</v>
      </c>
      <c r="AD743">
        <v>-0.108001099999999</v>
      </c>
      <c r="AE743">
        <v>-6.4099999999996202E-2</v>
      </c>
      <c r="AF743">
        <v>7.9673005351604806E-2</v>
      </c>
      <c r="AG743">
        <v>-0.108001099999999</v>
      </c>
      <c r="AH743">
        <v>0.86544486971133905</v>
      </c>
      <c r="AI743">
        <v>97.083666953636296</v>
      </c>
      <c r="AJ743">
        <v>84.740166293795994</v>
      </c>
      <c r="AK743">
        <v>0.87578927139617502</v>
      </c>
      <c r="AL743">
        <v>82.908959591438403</v>
      </c>
      <c r="AM743">
        <v>85.383349160687999</v>
      </c>
      <c r="AN743">
        <v>1.0000000004206999</v>
      </c>
    </row>
    <row r="744" spans="1:40" x14ac:dyDescent="0.25">
      <c r="A744" t="str">
        <f>"20190312164449271"</f>
        <v>20190312164449271</v>
      </c>
      <c r="B744" t="str">
        <f>"1552380289262217"</f>
        <v>1552380289262217</v>
      </c>
      <c r="C744" t="s">
        <v>40</v>
      </c>
      <c r="D744">
        <v>4.9249809999999998</v>
      </c>
      <c r="E744">
        <v>0.50137589999999999</v>
      </c>
      <c r="F744" t="s">
        <v>41</v>
      </c>
      <c r="G744">
        <v>-261.98329999999999</v>
      </c>
      <c r="H744">
        <v>1.022815</v>
      </c>
      <c r="I744">
        <v>367.14589999999998</v>
      </c>
      <c r="J744">
        <v>-262.64170000000001</v>
      </c>
      <c r="K744">
        <v>1.1080019999999999</v>
      </c>
      <c r="L744">
        <v>367.19659999999999</v>
      </c>
      <c r="M744">
        <v>0.99971350000000003</v>
      </c>
      <c r="N744">
        <v>0</v>
      </c>
      <c r="O744">
        <v>1.904689E-2</v>
      </c>
      <c r="P744">
        <v>0.99222639999999995</v>
      </c>
      <c r="Q744">
        <v>0.1085071</v>
      </c>
      <c r="R744">
        <v>-6.0937369999999998E-2</v>
      </c>
      <c r="S744">
        <v>3.0460820000000002</v>
      </c>
      <c r="T744">
        <v>-0.29148610000000003</v>
      </c>
      <c r="U744">
        <v>-0.1572876</v>
      </c>
      <c r="V744">
        <v>7.9849299999999998E-2</v>
      </c>
      <c r="W744">
        <v>0.1228505</v>
      </c>
      <c r="X744">
        <v>0.98920770000000002</v>
      </c>
      <c r="Y744">
        <v>7.0174940000000005E-2</v>
      </c>
      <c r="Z744">
        <v>-5.1653430000000002E-3</v>
      </c>
      <c r="AA744">
        <v>0.99752130000000006</v>
      </c>
      <c r="AB744">
        <v>50</v>
      </c>
      <c r="AC744">
        <v>0.65840000000002796</v>
      </c>
      <c r="AD744">
        <v>-8.5187000000000096E-2</v>
      </c>
      <c r="AE744">
        <v>-5.0700000000006101E-2</v>
      </c>
      <c r="AF744">
        <v>6.2197514489328899E-2</v>
      </c>
      <c r="AG744">
        <v>-8.5187000000000096E-2</v>
      </c>
      <c r="AH744">
        <v>0.64655494217126797</v>
      </c>
      <c r="AI744">
        <v>97.471686249536901</v>
      </c>
      <c r="AJ744">
        <v>84.505149292957896</v>
      </c>
      <c r="AK744">
        <v>0.65510201421132996</v>
      </c>
      <c r="AL744">
        <v>82.943358353515507</v>
      </c>
      <c r="AM744">
        <v>85.385064319638502</v>
      </c>
      <c r="AN744">
        <v>1.0000000149000099</v>
      </c>
    </row>
    <row r="745" spans="1:40" x14ac:dyDescent="0.25">
      <c r="A745" t="str">
        <f>"20190312164449282"</f>
        <v>20190312164449282</v>
      </c>
      <c r="B745" t="str">
        <f>"1552380289271978"</f>
        <v>1552380289271978</v>
      </c>
      <c r="C745" t="s">
        <v>40</v>
      </c>
      <c r="D745">
        <v>4.9519199999999897</v>
      </c>
      <c r="E745">
        <v>0.5013377</v>
      </c>
      <c r="F745" t="s">
        <v>41</v>
      </c>
      <c r="G745">
        <v>-261.54820000000001</v>
      </c>
      <c r="H745">
        <v>1.0023219999999999</v>
      </c>
      <c r="I745">
        <v>367.14</v>
      </c>
      <c r="J745">
        <v>-262.38200000000001</v>
      </c>
      <c r="K745">
        <v>1.108031</v>
      </c>
      <c r="L745">
        <v>367.20150000000001</v>
      </c>
      <c r="M745">
        <v>0.99971350000000003</v>
      </c>
      <c r="N745">
        <v>0</v>
      </c>
      <c r="O745">
        <v>1.902191E-2</v>
      </c>
      <c r="P745">
        <v>0.99226760000000003</v>
      </c>
      <c r="Q745">
        <v>0.10827680000000001</v>
      </c>
      <c r="R745">
        <v>-6.067372E-2</v>
      </c>
      <c r="S745">
        <v>3.0460509999999998</v>
      </c>
      <c r="T745">
        <v>-0.29449320000000001</v>
      </c>
      <c r="U745">
        <v>-0.157135</v>
      </c>
      <c r="V745">
        <v>7.9562309999999997E-2</v>
      </c>
      <c r="W745">
        <v>0.1226508</v>
      </c>
      <c r="X745">
        <v>0.98925560000000001</v>
      </c>
      <c r="Y745">
        <v>7.0092799999999997E-2</v>
      </c>
      <c r="Z745">
        <v>-5.2120780000000002E-3</v>
      </c>
      <c r="AA745">
        <v>0.99752689999999999</v>
      </c>
      <c r="AB745">
        <v>50</v>
      </c>
      <c r="AC745">
        <v>0.83379999999999599</v>
      </c>
      <c r="AD745">
        <v>-0.105709</v>
      </c>
      <c r="AE745">
        <v>-6.1500000000023598E-2</v>
      </c>
      <c r="AF745">
        <v>7.6133924834783998E-2</v>
      </c>
      <c r="AG745">
        <v>-0.105709</v>
      </c>
      <c r="AH745">
        <v>0.81938039872200397</v>
      </c>
      <c r="AI745">
        <v>97.319989108770102</v>
      </c>
      <c r="AJ745">
        <v>84.691520927921204</v>
      </c>
      <c r="AK745">
        <v>0.82967162480199297</v>
      </c>
      <c r="AL745">
        <v>82.954887481811596</v>
      </c>
      <c r="AM745">
        <v>85.401801509335201</v>
      </c>
      <c r="AN745">
        <v>1.00000001102226</v>
      </c>
    </row>
    <row r="746" spans="1:40" x14ac:dyDescent="0.25">
      <c r="A746" t="str">
        <f>"20190312164449294"</f>
        <v>20190312164449294</v>
      </c>
      <c r="B746" t="str">
        <f>"1552380289282713"</f>
        <v>1552380289282713</v>
      </c>
      <c r="C746" t="s">
        <v>40</v>
      </c>
      <c r="D746">
        <v>4.9207070000000002</v>
      </c>
      <c r="E746">
        <v>0.50133499999999998</v>
      </c>
      <c r="F746" t="s">
        <v>41</v>
      </c>
      <c r="G746">
        <v>-261.53649999999999</v>
      </c>
      <c r="H746">
        <v>1.026516</v>
      </c>
      <c r="I746">
        <v>367.15800000000002</v>
      </c>
      <c r="J746">
        <v>-262.14080000000001</v>
      </c>
      <c r="K746">
        <v>1.1080559999999999</v>
      </c>
      <c r="L746">
        <v>367.20609999999999</v>
      </c>
      <c r="M746">
        <v>0.99971350000000003</v>
      </c>
      <c r="N746">
        <v>0</v>
      </c>
      <c r="O746">
        <v>1.8998339999999999E-2</v>
      </c>
      <c r="P746">
        <v>0.99233979999999999</v>
      </c>
      <c r="Q746">
        <v>0.1077283</v>
      </c>
      <c r="R746">
        <v>-6.0466260000000001E-2</v>
      </c>
      <c r="S746">
        <v>3.045868</v>
      </c>
      <c r="T746">
        <v>-0.29381689999999999</v>
      </c>
      <c r="U746">
        <v>-0.15643309999999999</v>
      </c>
      <c r="V746">
        <v>7.9332940000000005E-2</v>
      </c>
      <c r="W746">
        <v>0.1221293</v>
      </c>
      <c r="X746">
        <v>0.98933850000000001</v>
      </c>
      <c r="Y746">
        <v>6.9846169999999999E-2</v>
      </c>
      <c r="Z746">
        <v>-5.1863769999999998E-3</v>
      </c>
      <c r="AA746">
        <v>0.99754430000000005</v>
      </c>
      <c r="AB746">
        <v>50</v>
      </c>
      <c r="AC746">
        <v>0.60430000000002304</v>
      </c>
      <c r="AD746">
        <v>-8.1539999999999904E-2</v>
      </c>
      <c r="AE746">
        <v>-4.8099999999976703E-2</v>
      </c>
      <c r="AF746">
        <v>5.8514568525769403E-2</v>
      </c>
      <c r="AG746">
        <v>-8.1539999999999904E-2</v>
      </c>
      <c r="AH746">
        <v>0.59255629586634395</v>
      </c>
      <c r="AI746">
        <v>97.797646389615906</v>
      </c>
      <c r="AJ746">
        <v>84.360361239763506</v>
      </c>
      <c r="AK746">
        <v>0.60099558243018703</v>
      </c>
      <c r="AL746">
        <v>82.984993308086999</v>
      </c>
      <c r="AM746">
        <v>85.415383598552694</v>
      </c>
      <c r="AN746">
        <v>0.99999997443489097</v>
      </c>
    </row>
    <row r="747" spans="1:40" x14ac:dyDescent="0.25">
      <c r="A747" t="str">
        <f>"20190312164449306"</f>
        <v>20190312164449306</v>
      </c>
      <c r="B747" t="str">
        <f>"1552380289302233"</f>
        <v>1552380289302233</v>
      </c>
      <c r="C747" t="s">
        <v>40</v>
      </c>
      <c r="D747">
        <v>5.4256039999999999</v>
      </c>
      <c r="E747">
        <v>0.50147759999999997</v>
      </c>
      <c r="F747" t="s">
        <v>41</v>
      </c>
      <c r="G747">
        <v>-261.10129999999998</v>
      </c>
      <c r="H747">
        <v>1.0072099999999999</v>
      </c>
      <c r="I747">
        <v>367.15269999999998</v>
      </c>
      <c r="J747">
        <v>-261.87040000000002</v>
      </c>
      <c r="K747">
        <v>1.108087</v>
      </c>
      <c r="L747">
        <v>367.21120000000002</v>
      </c>
      <c r="M747">
        <v>0.99971359999999998</v>
      </c>
      <c r="N747">
        <v>0</v>
      </c>
      <c r="O747">
        <v>1.8971890000000002E-2</v>
      </c>
      <c r="P747">
        <v>0.99239239999999995</v>
      </c>
      <c r="Q747">
        <v>0.10745250000000001</v>
      </c>
      <c r="R747">
        <v>-6.0096410000000003E-2</v>
      </c>
      <c r="S747">
        <v>3.045776</v>
      </c>
      <c r="T747">
        <v>-0.29574719999999999</v>
      </c>
      <c r="U747">
        <v>-0.1557007</v>
      </c>
      <c r="V747">
        <v>7.8937930000000003E-2</v>
      </c>
      <c r="W747">
        <v>0.121882199999999</v>
      </c>
      <c r="X747">
        <v>0.98940059999999996</v>
      </c>
      <c r="Y747">
        <v>6.9578029999999999E-2</v>
      </c>
      <c r="Z747">
        <v>-5.2049369999999998E-3</v>
      </c>
      <c r="AA747">
        <v>0.99756290000000003</v>
      </c>
      <c r="AB747">
        <v>50</v>
      </c>
      <c r="AC747">
        <v>0.76910000000003698</v>
      </c>
      <c r="AD747">
        <v>-0.10087699999999999</v>
      </c>
      <c r="AE747">
        <v>-5.8500000000037702E-2</v>
      </c>
      <c r="AF747">
        <v>7.1853279382496596E-2</v>
      </c>
      <c r="AG747">
        <v>-0.10087699999999999</v>
      </c>
      <c r="AH747">
        <v>0.75493863787413995</v>
      </c>
      <c r="AI747">
        <v>97.577095426588699</v>
      </c>
      <c r="AJ747">
        <v>84.563100571340598</v>
      </c>
      <c r="AK747">
        <v>0.76503033262889697</v>
      </c>
      <c r="AL747">
        <v>82.999257890722006</v>
      </c>
      <c r="AM747">
        <v>85.438399584630304</v>
      </c>
      <c r="AN747">
        <v>1.00000000737494</v>
      </c>
    </row>
    <row r="748" spans="1:40" x14ac:dyDescent="0.25">
      <c r="A748" t="str">
        <f>"20190312164449316"</f>
        <v>20190312164449316</v>
      </c>
      <c r="B748" t="str">
        <f>"1552380289311993"</f>
        <v>1552380289311993</v>
      </c>
      <c r="C748" t="s">
        <v>40</v>
      </c>
      <c r="D748">
        <v>4.9043070000000002</v>
      </c>
      <c r="E748">
        <v>0.50160400000000005</v>
      </c>
      <c r="F748" t="s">
        <v>41</v>
      </c>
      <c r="G748">
        <v>-261.08879999999999</v>
      </c>
      <c r="H748">
        <v>1.0329740000000001</v>
      </c>
      <c r="I748">
        <v>367.17090000000002</v>
      </c>
      <c r="J748">
        <v>-261.64109999999999</v>
      </c>
      <c r="K748">
        <v>1.108106</v>
      </c>
      <c r="L748">
        <v>367.21559999999999</v>
      </c>
      <c r="M748">
        <v>0.99971379999999999</v>
      </c>
      <c r="N748">
        <v>0</v>
      </c>
      <c r="O748">
        <v>1.8949480000000001E-2</v>
      </c>
      <c r="P748">
        <v>0.99242509999999995</v>
      </c>
      <c r="Q748">
        <v>0.10723679999999999</v>
      </c>
      <c r="R748">
        <v>-5.9939560000000003E-2</v>
      </c>
      <c r="S748">
        <v>3.0452270000000001</v>
      </c>
      <c r="T748">
        <v>-0.29297129999999999</v>
      </c>
      <c r="U748">
        <v>-0.15606689999999901</v>
      </c>
      <c r="V748">
        <v>7.8759969999999999E-2</v>
      </c>
      <c r="W748">
        <v>0.1216882</v>
      </c>
      <c r="X748">
        <v>0.9894387</v>
      </c>
      <c r="Y748">
        <v>6.9691669999999997E-2</v>
      </c>
      <c r="Z748">
        <v>-5.1605189999999997E-3</v>
      </c>
      <c r="AA748">
        <v>0.99755530000000003</v>
      </c>
      <c r="AB748">
        <v>50</v>
      </c>
      <c r="AC748">
        <v>0.55230000000000201</v>
      </c>
      <c r="AD748">
        <v>-7.5131999999999893E-2</v>
      </c>
      <c r="AE748">
        <v>-4.4699999999977501E-2</v>
      </c>
      <c r="AF748">
        <v>5.4163095830863497E-2</v>
      </c>
      <c r="AG748">
        <v>-7.5131999999999893E-2</v>
      </c>
      <c r="AH748">
        <v>0.541400022341329</v>
      </c>
      <c r="AI748">
        <v>97.861928074642194</v>
      </c>
      <c r="AJ748">
        <v>84.286987100052897</v>
      </c>
      <c r="AK748">
        <v>0.54926536625312095</v>
      </c>
      <c r="AL748">
        <v>83.010456901075003</v>
      </c>
      <c r="AM748">
        <v>85.448814657517403</v>
      </c>
      <c r="AN748">
        <v>1.0000000459756599</v>
      </c>
    </row>
    <row r="749" spans="1:40" x14ac:dyDescent="0.25">
      <c r="A749" t="str">
        <f>"20190312164449328"</f>
        <v>20190312164449328</v>
      </c>
      <c r="B749" t="str">
        <f>"1552380289322729"</f>
        <v>1552380289322729</v>
      </c>
      <c r="C749" t="s">
        <v>40</v>
      </c>
      <c r="D749">
        <v>6.0372070000000004</v>
      </c>
      <c r="E749">
        <v>0.50172260000000002</v>
      </c>
      <c r="F749" t="s">
        <v>41</v>
      </c>
      <c r="G749">
        <v>-260.65370000000001</v>
      </c>
      <c r="H749">
        <v>1.0139359999999999</v>
      </c>
      <c r="I749">
        <v>367.16469999999998</v>
      </c>
      <c r="J749">
        <v>-261.3784</v>
      </c>
      <c r="K749">
        <v>1.108128</v>
      </c>
      <c r="L749">
        <v>367.22059999999999</v>
      </c>
      <c r="M749">
        <v>0.99971390000000004</v>
      </c>
      <c r="N749">
        <v>0</v>
      </c>
      <c r="O749">
        <v>1.8924259999999998E-2</v>
      </c>
      <c r="P749">
        <v>0.99246970000000001</v>
      </c>
      <c r="Q749">
        <v>0.10695540000000001</v>
      </c>
      <c r="R749">
        <v>-5.970541E-2</v>
      </c>
      <c r="S749">
        <v>3.0448300000000001</v>
      </c>
      <c r="T749">
        <v>-0.29046290000000002</v>
      </c>
      <c r="U749">
        <v>-0.15686040000000001</v>
      </c>
      <c r="V749">
        <v>7.8501660000000001E-2</v>
      </c>
      <c r="W749">
        <v>0.1214312</v>
      </c>
      <c r="X749">
        <v>0.98949069999999995</v>
      </c>
      <c r="Y749">
        <v>6.9938260000000002E-2</v>
      </c>
      <c r="Z749">
        <v>-5.1264939999999997E-3</v>
      </c>
      <c r="AA749">
        <v>0.99753809999999998</v>
      </c>
      <c r="AB749">
        <v>50</v>
      </c>
      <c r="AC749">
        <v>0.72469999999998402</v>
      </c>
      <c r="AD749">
        <v>-9.4191999999999998E-2</v>
      </c>
      <c r="AE749">
        <v>-5.59000000000082E-2</v>
      </c>
      <c r="AF749">
        <v>6.8456261885311107E-2</v>
      </c>
      <c r="AG749">
        <v>-9.4191999999999998E-2</v>
      </c>
      <c r="AH749">
        <v>0.71156275087613297</v>
      </c>
      <c r="AI749">
        <v>97.506339145423198</v>
      </c>
      <c r="AJ749">
        <v>84.504742092001294</v>
      </c>
      <c r="AK749">
        <v>0.72102700441087497</v>
      </c>
      <c r="AL749">
        <v>83.025291230968705</v>
      </c>
      <c r="AM749">
        <v>85.463916231122496</v>
      </c>
      <c r="AN749">
        <v>0.99999994617134103</v>
      </c>
    </row>
    <row r="750" spans="1:40" x14ac:dyDescent="0.25">
      <c r="A750" t="str">
        <f>"20190312164449340"</f>
        <v>20190312164449340</v>
      </c>
      <c r="B750" t="str">
        <f>"1552380289332489"</f>
        <v>1552380289332489</v>
      </c>
      <c r="C750" t="s">
        <v>40</v>
      </c>
      <c r="D750">
        <v>4.9039419999999998</v>
      </c>
      <c r="E750">
        <v>0.50189240000000002</v>
      </c>
      <c r="F750" t="s">
        <v>41</v>
      </c>
      <c r="G750">
        <v>-260.64190000000002</v>
      </c>
      <c r="H750">
        <v>1.0382709999999999</v>
      </c>
      <c r="I750">
        <v>367.18259999999998</v>
      </c>
      <c r="J750">
        <v>-261.12029999999999</v>
      </c>
      <c r="K750">
        <v>1.10815</v>
      </c>
      <c r="L750">
        <v>367.22539999999998</v>
      </c>
      <c r="M750">
        <v>0.99971399999999999</v>
      </c>
      <c r="N750">
        <v>0</v>
      </c>
      <c r="O750">
        <v>1.8899050000000001E-2</v>
      </c>
      <c r="P750">
        <v>0.99248689999999995</v>
      </c>
      <c r="Q750">
        <v>0.1069417</v>
      </c>
      <c r="R750">
        <v>-5.944261E-2</v>
      </c>
      <c r="S750">
        <v>3.0444339999999999</v>
      </c>
      <c r="T750">
        <v>-0.28883900000000001</v>
      </c>
      <c r="U750">
        <v>-0.15698239999999999</v>
      </c>
      <c r="V750">
        <v>7.8214560000000002E-2</v>
      </c>
      <c r="W750">
        <v>0.1214387</v>
      </c>
      <c r="X750">
        <v>0.98951259999999996</v>
      </c>
      <c r="Y750">
        <v>6.9964070000000003E-2</v>
      </c>
      <c r="Z750">
        <v>-5.0974530000000001E-3</v>
      </c>
      <c r="AA750">
        <v>0.99753650000000005</v>
      </c>
      <c r="AB750">
        <v>50</v>
      </c>
      <c r="AC750">
        <v>0.47839999999996502</v>
      </c>
      <c r="AD750">
        <v>-6.9878999999999997E-2</v>
      </c>
      <c r="AE750">
        <v>-4.2799999999999699E-2</v>
      </c>
      <c r="AF750">
        <v>5.0760215184470901E-2</v>
      </c>
      <c r="AG750">
        <v>-6.9878999999999997E-2</v>
      </c>
      <c r="AH750">
        <v>0.46760795417314699</v>
      </c>
      <c r="AI750">
        <v>98.450423592380801</v>
      </c>
      <c r="AJ750">
        <v>83.804633912918405</v>
      </c>
      <c r="AK750">
        <v>0.47551747906104302</v>
      </c>
      <c r="AL750">
        <v>83.024858899180998</v>
      </c>
      <c r="AM750">
        <v>85.480536569123402</v>
      </c>
      <c r="AN750">
        <v>1.00000003040622</v>
      </c>
    </row>
    <row r="751" spans="1:40" x14ac:dyDescent="0.25">
      <c r="A751" t="str">
        <f>"20190312164449354"</f>
        <v>20190312164449354</v>
      </c>
      <c r="B751" t="str">
        <f>"1552380289342248"</f>
        <v>1552380289342248</v>
      </c>
      <c r="C751" t="s">
        <v>40</v>
      </c>
      <c r="D751">
        <v>4.9307670000000003</v>
      </c>
      <c r="E751">
        <v>0.50199769999999999</v>
      </c>
      <c r="F751" t="s">
        <v>41</v>
      </c>
      <c r="G751">
        <v>-260.20569999999998</v>
      </c>
      <c r="H751">
        <v>1.022357</v>
      </c>
      <c r="I751">
        <v>367.17770000000002</v>
      </c>
      <c r="J751">
        <v>-260.80309999999997</v>
      </c>
      <c r="K751">
        <v>1.1081700000000001</v>
      </c>
      <c r="L751">
        <v>367.23140000000001</v>
      </c>
      <c r="M751">
        <v>0.99971429999999994</v>
      </c>
      <c r="N751">
        <v>0</v>
      </c>
      <c r="O751">
        <v>1.8868159999999998E-2</v>
      </c>
      <c r="P751">
        <v>0.99253139999999995</v>
      </c>
      <c r="Q751">
        <v>0.1066869</v>
      </c>
      <c r="R751">
        <v>-5.9158299999999997E-2</v>
      </c>
      <c r="S751">
        <v>3.044098</v>
      </c>
      <c r="T751">
        <v>-0.28576040000000003</v>
      </c>
      <c r="U751">
        <v>-0.15765379999999901</v>
      </c>
      <c r="V751">
        <v>7.7900570000000002E-2</v>
      </c>
      <c r="W751">
        <v>0.1212092</v>
      </c>
      <c r="X751">
        <v>0.98956549999999999</v>
      </c>
      <c r="Y751">
        <v>7.0165920000000007E-2</v>
      </c>
      <c r="Z751">
        <v>-5.0504419999999996E-3</v>
      </c>
      <c r="AA751">
        <v>0.99752249999999998</v>
      </c>
      <c r="AB751">
        <v>50</v>
      </c>
      <c r="AC751">
        <v>0.59739999999999305</v>
      </c>
      <c r="AD751">
        <v>-8.5813000000000098E-2</v>
      </c>
      <c r="AE751">
        <v>-5.3699999999991997E-2</v>
      </c>
      <c r="AF751">
        <v>6.3660472377321406E-2</v>
      </c>
      <c r="AG751">
        <v>-8.5813000000000098E-2</v>
      </c>
      <c r="AH751">
        <v>0.58432028609963804</v>
      </c>
      <c r="AI751">
        <v>98.306249654380693</v>
      </c>
      <c r="AJ751">
        <v>83.782268096654093</v>
      </c>
      <c r="AK751">
        <v>0.59400902641278697</v>
      </c>
      <c r="AL751">
        <v>83.038106092359698</v>
      </c>
      <c r="AM751">
        <v>85.4988447504589</v>
      </c>
      <c r="AN751">
        <v>1.0000000238805999</v>
      </c>
    </row>
    <row r="752" spans="1:40" x14ac:dyDescent="0.25">
      <c r="A752" t="str">
        <f>"20190312164449368"</f>
        <v>20190312164449368</v>
      </c>
      <c r="B752" t="str">
        <f>"1552380289362745"</f>
        <v>1552380289362745</v>
      </c>
      <c r="C752" t="s">
        <v>40</v>
      </c>
      <c r="D752">
        <v>4.8836940000000002</v>
      </c>
      <c r="E752">
        <v>0.50224999999999997</v>
      </c>
      <c r="F752" t="s">
        <v>41</v>
      </c>
      <c r="G752">
        <v>-259.7672</v>
      </c>
      <c r="H752">
        <v>1.0115540000000001</v>
      </c>
      <c r="I752">
        <v>367.17759999999998</v>
      </c>
      <c r="J752">
        <v>-260.49459999999999</v>
      </c>
      <c r="K752">
        <v>1.108187</v>
      </c>
      <c r="L752">
        <v>367.23719999999997</v>
      </c>
      <c r="M752">
        <v>0.99971449999999995</v>
      </c>
      <c r="N752">
        <v>0</v>
      </c>
      <c r="O752">
        <v>1.8837590000000001E-2</v>
      </c>
      <c r="P752">
        <v>0.99255139999999997</v>
      </c>
      <c r="Q752">
        <v>0.1064692</v>
      </c>
      <c r="R752">
        <v>-5.9212319999999999E-2</v>
      </c>
      <c r="S752">
        <v>3.043701</v>
      </c>
      <c r="T752">
        <v>-0.28404410000000002</v>
      </c>
      <c r="U752">
        <v>-0.157684299999999</v>
      </c>
      <c r="V752">
        <v>7.7924850000000004E-2</v>
      </c>
      <c r="W752">
        <v>0.1210132</v>
      </c>
      <c r="X752">
        <v>0.98958749999999995</v>
      </c>
      <c r="Y752">
        <v>7.0156850000000007E-2</v>
      </c>
      <c r="Z752">
        <v>-5.0176229999999997E-3</v>
      </c>
      <c r="AA752">
        <v>0.99752339999999995</v>
      </c>
      <c r="AB752">
        <v>50</v>
      </c>
      <c r="AC752">
        <v>0.72739999999998795</v>
      </c>
      <c r="AD752">
        <v>-9.66329999999999E-2</v>
      </c>
      <c r="AE752">
        <v>-5.9599999999989002E-2</v>
      </c>
      <c r="AF752">
        <v>7.2030620729386693E-2</v>
      </c>
      <c r="AG752">
        <v>-9.66329999999999E-2</v>
      </c>
      <c r="AH752">
        <v>0.713637516079902</v>
      </c>
      <c r="AI752">
        <v>97.672947486033195</v>
      </c>
      <c r="AJ752">
        <v>84.236401001841003</v>
      </c>
      <c r="AK752">
        <v>0.72374363649592999</v>
      </c>
      <c r="AL752">
        <v>83.049418815733205</v>
      </c>
      <c r="AM752">
        <v>85.497547287894506</v>
      </c>
      <c r="AN752">
        <v>0.99999994848900398</v>
      </c>
    </row>
    <row r="753" spans="1:40" x14ac:dyDescent="0.25">
      <c r="A753" t="str">
        <f>"20190312164449382"</f>
        <v>20190312164449382</v>
      </c>
      <c r="B753" t="str">
        <f>"1552380289372506"</f>
        <v>1552380289372506</v>
      </c>
      <c r="C753" t="s">
        <v>40</v>
      </c>
      <c r="D753">
        <v>4.8599079999999999</v>
      </c>
      <c r="E753">
        <v>0.50235509999999906</v>
      </c>
      <c r="F753" t="s">
        <v>41</v>
      </c>
      <c r="G753">
        <v>-259.7534</v>
      </c>
      <c r="H753">
        <v>1.0399910000000001</v>
      </c>
      <c r="I753">
        <v>367.19819999999999</v>
      </c>
      <c r="J753">
        <v>-260.18380000000002</v>
      </c>
      <c r="K753">
        <v>1.1082069999999999</v>
      </c>
      <c r="L753">
        <v>367.24299999999999</v>
      </c>
      <c r="M753">
        <v>0.99971489999999996</v>
      </c>
      <c r="N753">
        <v>0</v>
      </c>
      <c r="O753">
        <v>1.8807219999999999E-2</v>
      </c>
      <c r="P753">
        <v>0.9925834</v>
      </c>
      <c r="Q753">
        <v>0.1063593</v>
      </c>
      <c r="R753">
        <v>-5.887353E-2</v>
      </c>
      <c r="S753">
        <v>3.0430600000000001</v>
      </c>
      <c r="T753">
        <v>-0.28022770000000002</v>
      </c>
      <c r="U753">
        <v>-0.1599121</v>
      </c>
      <c r="V753">
        <v>7.7556669999999994E-2</v>
      </c>
      <c r="W753">
        <v>0.1209228</v>
      </c>
      <c r="X753">
        <v>0.98962749999999999</v>
      </c>
      <c r="Y753">
        <v>7.0872920000000006E-2</v>
      </c>
      <c r="Z753">
        <v>-4.9815249999999997E-3</v>
      </c>
      <c r="AA753">
        <v>0.9974729</v>
      </c>
      <c r="AB753">
        <v>50</v>
      </c>
      <c r="AC753">
        <v>0.43040000000001999</v>
      </c>
      <c r="AD753">
        <v>-6.8215999999999999E-2</v>
      </c>
      <c r="AE753">
        <v>-4.4800000000066099E-2</v>
      </c>
      <c r="AF753">
        <v>5.1605127057494198E-2</v>
      </c>
      <c r="AG753">
        <v>-6.8215999999999999E-2</v>
      </c>
      <c r="AH753">
        <v>0.41906687606883603</v>
      </c>
      <c r="AI753">
        <v>99.1774252801914</v>
      </c>
      <c r="AJ753">
        <v>82.979772251888406</v>
      </c>
      <c r="AK753">
        <v>0.427707327985754</v>
      </c>
      <c r="AL753">
        <v>83.054636855150605</v>
      </c>
      <c r="AM753">
        <v>85.518914052778797</v>
      </c>
      <c r="AN753">
        <v>0.99999997468878898</v>
      </c>
    </row>
    <row r="754" spans="1:40" x14ac:dyDescent="0.25">
      <c r="A754" t="str">
        <f>"20190312164449396"</f>
        <v>20190312164449396</v>
      </c>
      <c r="B754" t="str">
        <f>"1552380289392025"</f>
        <v>1552380289392025</v>
      </c>
      <c r="C754" t="s">
        <v>40</v>
      </c>
      <c r="D754">
        <v>4.8840640000000004</v>
      </c>
      <c r="E754">
        <v>0.50235410000000003</v>
      </c>
      <c r="F754" t="s">
        <v>41</v>
      </c>
      <c r="G754">
        <v>-259.31560000000002</v>
      </c>
      <c r="H754">
        <v>1.0287839999999999</v>
      </c>
      <c r="I754">
        <v>367.19709999999998</v>
      </c>
      <c r="J754">
        <v>-259.88240000000002</v>
      </c>
      <c r="K754">
        <v>1.1082209999999999</v>
      </c>
      <c r="L754">
        <v>367.24869999999999</v>
      </c>
      <c r="M754">
        <v>0.99971509999999997</v>
      </c>
      <c r="N754">
        <v>0</v>
      </c>
      <c r="O754">
        <v>1.8777809999999999E-2</v>
      </c>
      <c r="P754">
        <v>0.99256650000000002</v>
      </c>
      <c r="Q754">
        <v>0.1065309</v>
      </c>
      <c r="R754">
        <v>-5.8848049999999999E-2</v>
      </c>
      <c r="S754">
        <v>3.0427550000000001</v>
      </c>
      <c r="T754">
        <v>-0.2785571</v>
      </c>
      <c r="U754">
        <v>-0.16009519999999999</v>
      </c>
      <c r="V754">
        <v>7.7501829999999994E-2</v>
      </c>
      <c r="W754">
        <v>0.1211117</v>
      </c>
      <c r="X754">
        <v>0.98960870000000001</v>
      </c>
      <c r="Y754">
        <v>7.0913069999999995E-2</v>
      </c>
      <c r="Z754">
        <v>-4.951586E-3</v>
      </c>
      <c r="AA754">
        <v>0.99747019999999997</v>
      </c>
      <c r="AB754">
        <v>50</v>
      </c>
      <c r="AC754">
        <v>0.56679999999999997</v>
      </c>
      <c r="AD754">
        <v>-7.9436999999999897E-2</v>
      </c>
      <c r="AE754">
        <v>-5.1600000000007598E-2</v>
      </c>
      <c r="AF754">
        <v>6.10461058572851E-2</v>
      </c>
      <c r="AG754">
        <v>-7.9436999999999897E-2</v>
      </c>
      <c r="AH754">
        <v>0.55492083135498504</v>
      </c>
      <c r="AI754">
        <v>98.098352440318607</v>
      </c>
      <c r="AJ754">
        <v>83.722210364321199</v>
      </c>
      <c r="AK754">
        <v>0.56389182746431599</v>
      </c>
      <c r="AL754">
        <v>83.043733572605802</v>
      </c>
      <c r="AM754">
        <v>85.521984995563699</v>
      </c>
      <c r="AN754">
        <v>0.99999997832296394</v>
      </c>
    </row>
    <row r="755" spans="1:40" x14ac:dyDescent="0.25">
      <c r="A755" t="str">
        <f>"20190312164449410"</f>
        <v>20190312164449410</v>
      </c>
      <c r="B755" t="str">
        <f>"1552380289402761"</f>
        <v>1552380289402761</v>
      </c>
      <c r="C755" t="s">
        <v>40</v>
      </c>
      <c r="D755">
        <v>4.9184710000000003</v>
      </c>
      <c r="E755">
        <v>0.50246290000000005</v>
      </c>
      <c r="F755" t="s">
        <v>41</v>
      </c>
      <c r="G755">
        <v>-258.87869999999998</v>
      </c>
      <c r="H755">
        <v>1.01621299999999</v>
      </c>
      <c r="I755">
        <v>367.19580000000002</v>
      </c>
      <c r="J755">
        <v>-259.55689999999998</v>
      </c>
      <c r="K755">
        <v>1.1082379999999901</v>
      </c>
      <c r="L755">
        <v>367.25479999999999</v>
      </c>
      <c r="M755">
        <v>0.99971549999999998</v>
      </c>
      <c r="N755">
        <v>0</v>
      </c>
      <c r="O755">
        <v>1.8745789999999998E-2</v>
      </c>
      <c r="P755">
        <v>0.9925562</v>
      </c>
      <c r="Q755">
        <v>0.106534199999999</v>
      </c>
      <c r="R755">
        <v>-5.9015270000000002E-2</v>
      </c>
      <c r="S755">
        <v>3.0429080000000002</v>
      </c>
      <c r="T755">
        <v>-0.27902480000000002</v>
      </c>
      <c r="U755">
        <v>-0.16009519999999999</v>
      </c>
      <c r="V755">
        <v>7.763726E-2</v>
      </c>
      <c r="W755">
        <v>0.1211325</v>
      </c>
      <c r="X755">
        <v>0.98959549999999996</v>
      </c>
      <c r="Y755">
        <v>7.0877549999999997E-2</v>
      </c>
      <c r="Z755">
        <v>-4.9550660000000002E-3</v>
      </c>
      <c r="AA755">
        <v>0.99747269999999999</v>
      </c>
      <c r="AB755">
        <v>50</v>
      </c>
      <c r="AC755">
        <v>0.67820000000000302</v>
      </c>
      <c r="AD755">
        <v>-9.2024999999999996E-2</v>
      </c>
      <c r="AE755">
        <v>-5.8999999999969001E-2</v>
      </c>
      <c r="AF755">
        <v>7.0417631709230405E-2</v>
      </c>
      <c r="AG755">
        <v>-9.2024999999999996E-2</v>
      </c>
      <c r="AH755">
        <v>0.66482598489693101</v>
      </c>
      <c r="AI755">
        <v>97.837494386152997</v>
      </c>
      <c r="AJ755">
        <v>83.953837520992394</v>
      </c>
      <c r="AK755">
        <v>0.67484874873908696</v>
      </c>
      <c r="AL755">
        <v>83.042532714309004</v>
      </c>
      <c r="AM755">
        <v>85.5141322401617</v>
      </c>
      <c r="AN755">
        <v>0.99999994015840099</v>
      </c>
    </row>
    <row r="756" spans="1:40" x14ac:dyDescent="0.25">
      <c r="A756" t="str">
        <f>"20190312164449422"</f>
        <v>20190312164449422</v>
      </c>
      <c r="B756" t="str">
        <f>"1552380289412521"</f>
        <v>1552380289412521</v>
      </c>
      <c r="C756" t="s">
        <v>40</v>
      </c>
      <c r="D756">
        <v>4.8991910000000001</v>
      </c>
      <c r="E756">
        <v>0.50249179999999904</v>
      </c>
      <c r="F756" t="s">
        <v>41</v>
      </c>
      <c r="G756">
        <v>-258.44119999999998</v>
      </c>
      <c r="H756">
        <v>1.0054259999999999</v>
      </c>
      <c r="I756">
        <v>367.19529999999997</v>
      </c>
      <c r="J756">
        <v>-259.28210000000001</v>
      </c>
      <c r="K756">
        <v>1.1082479999999999</v>
      </c>
      <c r="L756">
        <v>367.25990000000002</v>
      </c>
      <c r="M756">
        <v>0.99971580000000004</v>
      </c>
      <c r="N756">
        <v>0</v>
      </c>
      <c r="O756">
        <v>1.8718329999999998E-2</v>
      </c>
      <c r="P756">
        <v>0.99253119999999995</v>
      </c>
      <c r="Q756">
        <v>0.10668469999999999</v>
      </c>
      <c r="R756">
        <v>-5.9165889999999999E-2</v>
      </c>
      <c r="S756">
        <v>3.042999</v>
      </c>
      <c r="T756">
        <v>-0.28053869999999997</v>
      </c>
      <c r="U756">
        <v>-0.16165160000000001</v>
      </c>
      <c r="V756">
        <v>7.775994E-2</v>
      </c>
      <c r="W756">
        <v>0.12129529999999999</v>
      </c>
      <c r="X756">
        <v>0.98956599999999995</v>
      </c>
      <c r="Y756">
        <v>7.1351419999999999E-2</v>
      </c>
      <c r="Z756">
        <v>-5.0008800000000001E-3</v>
      </c>
      <c r="AA756">
        <v>0.99743870000000001</v>
      </c>
      <c r="AB756">
        <v>50</v>
      </c>
      <c r="AC756">
        <v>0.84090000000003295</v>
      </c>
      <c r="AD756">
        <v>-0.102821999999999</v>
      </c>
      <c r="AE756">
        <v>-6.4600000000041194E-2</v>
      </c>
      <c r="AF756">
        <v>7.9154113132969994E-2</v>
      </c>
      <c r="AG756">
        <v>-0.102821999999999</v>
      </c>
      <c r="AH756">
        <v>0.82724732145095203</v>
      </c>
      <c r="AI756">
        <v>97.053305081919504</v>
      </c>
      <c r="AJ756">
        <v>84.534365294119894</v>
      </c>
      <c r="AK756">
        <v>0.83736244730561105</v>
      </c>
      <c r="AL756">
        <v>83.033136182372203</v>
      </c>
      <c r="AM756">
        <v>85.506939420026896</v>
      </c>
      <c r="AN756">
        <v>1.0000000132134399</v>
      </c>
    </row>
    <row r="757" spans="1:40" x14ac:dyDescent="0.25">
      <c r="A757" t="str">
        <f>"20190312164449435"</f>
        <v>20190312164449435</v>
      </c>
      <c r="B757" t="str">
        <f>"1552380289422283"</f>
        <v>1552380289422283</v>
      </c>
      <c r="C757" t="s">
        <v>40</v>
      </c>
      <c r="D757">
        <v>5.0728809999999998</v>
      </c>
      <c r="E757">
        <v>0.5025482</v>
      </c>
      <c r="F757" t="s">
        <v>41</v>
      </c>
      <c r="G757">
        <v>-258.42950000000002</v>
      </c>
      <c r="H757">
        <v>1.029663</v>
      </c>
      <c r="I757">
        <v>367.21429999999998</v>
      </c>
      <c r="J757">
        <v>-259.01369999999997</v>
      </c>
      <c r="K757">
        <v>1.108257</v>
      </c>
      <c r="L757">
        <v>367.26490000000001</v>
      </c>
      <c r="M757">
        <v>0.9997161</v>
      </c>
      <c r="N757">
        <v>0</v>
      </c>
      <c r="O757">
        <v>1.869183E-2</v>
      </c>
      <c r="P757">
        <v>0.99250329999999998</v>
      </c>
      <c r="Q757">
        <v>0.1067837</v>
      </c>
      <c r="R757">
        <v>-5.9449839999999997E-2</v>
      </c>
      <c r="S757">
        <v>3.043091</v>
      </c>
      <c r="T757">
        <v>-0.28066210000000003</v>
      </c>
      <c r="U757">
        <v>-0.16220090000000001</v>
      </c>
      <c r="V757">
        <v>7.8017429999999999E-2</v>
      </c>
      <c r="W757">
        <v>0.1214056</v>
      </c>
      <c r="X757">
        <v>0.98953219999999997</v>
      </c>
      <c r="Y757">
        <v>7.1502099999999999E-2</v>
      </c>
      <c r="Z757">
        <v>-5.0073899999999996E-3</v>
      </c>
      <c r="AA757">
        <v>0.99742790000000003</v>
      </c>
      <c r="AB757">
        <v>50</v>
      </c>
      <c r="AC757">
        <v>0.58419999999995298</v>
      </c>
      <c r="AD757">
        <v>-7.8593999999999997E-2</v>
      </c>
      <c r="AE757">
        <v>-5.0600000000031203E-2</v>
      </c>
      <c r="AF757">
        <v>6.0426597072063597E-2</v>
      </c>
      <c r="AG757">
        <v>-7.8593999999999997E-2</v>
      </c>
      <c r="AH757">
        <v>0.57286097024433102</v>
      </c>
      <c r="AI757">
        <v>97.769385524322701</v>
      </c>
      <c r="AJ757">
        <v>83.978585468667703</v>
      </c>
      <c r="AK757">
        <v>0.58137602435857805</v>
      </c>
      <c r="AL757">
        <v>83.026769361968704</v>
      </c>
      <c r="AM757">
        <v>85.4919692238105</v>
      </c>
      <c r="AN757">
        <v>1.000000006966</v>
      </c>
    </row>
    <row r="758" spans="1:40" x14ac:dyDescent="0.25">
      <c r="A758" t="str">
        <f>"20190312164449450"</f>
        <v>20190312164449450</v>
      </c>
      <c r="B758" t="str">
        <f>"1552380289442778"</f>
        <v>1552380289442778</v>
      </c>
      <c r="C758" t="s">
        <v>40</v>
      </c>
      <c r="D758">
        <v>4.87582</v>
      </c>
      <c r="E758">
        <v>0.50274770000000002</v>
      </c>
      <c r="F758" t="s">
        <v>41</v>
      </c>
      <c r="G758">
        <v>-257.99430000000001</v>
      </c>
      <c r="H758">
        <v>1.014912</v>
      </c>
      <c r="I758">
        <v>367.21</v>
      </c>
      <c r="J758">
        <v>-258.67520000000002</v>
      </c>
      <c r="K758">
        <v>1.1082620000000001</v>
      </c>
      <c r="L758">
        <v>367.2713</v>
      </c>
      <c r="M758">
        <v>0.99971659999999996</v>
      </c>
      <c r="N758">
        <v>0</v>
      </c>
      <c r="O758">
        <v>1.8658460000000002E-2</v>
      </c>
      <c r="P758">
        <v>0.99247770000000002</v>
      </c>
      <c r="Q758">
        <v>0.10694529999999999</v>
      </c>
      <c r="R758">
        <v>-5.959217E-2</v>
      </c>
      <c r="S758">
        <v>3.0428769999999998</v>
      </c>
      <c r="T758">
        <v>-0.27874179999999998</v>
      </c>
      <c r="U758">
        <v>-0.16360469999999999</v>
      </c>
      <c r="V758">
        <v>7.8126119999999993E-2</v>
      </c>
      <c r="W758">
        <v>0.1215803</v>
      </c>
      <c r="X758">
        <v>0.9895022</v>
      </c>
      <c r="Y758">
        <v>7.1934849999999995E-2</v>
      </c>
      <c r="Z758">
        <v>-4.9902779999999999E-3</v>
      </c>
      <c r="AA758">
        <v>0.99739679999999997</v>
      </c>
      <c r="AB758">
        <v>50</v>
      </c>
      <c r="AC758">
        <v>0.68090000000000805</v>
      </c>
      <c r="AD758">
        <v>-9.3350000000000002E-2</v>
      </c>
      <c r="AE758">
        <v>-6.1300000000017001E-2</v>
      </c>
      <c r="AF758">
        <v>7.2640890340313999E-2</v>
      </c>
      <c r="AG758">
        <v>-9.3350000000000002E-2</v>
      </c>
      <c r="AH758">
        <v>0.66719782537940497</v>
      </c>
      <c r="AI758">
        <v>97.918555998073799</v>
      </c>
      <c r="AJ758">
        <v>83.786419570395694</v>
      </c>
      <c r="AK758">
        <v>0.67760154931968697</v>
      </c>
      <c r="AL758">
        <v>83.016685262929599</v>
      </c>
      <c r="AM758">
        <v>85.485578501135393</v>
      </c>
      <c r="AN758">
        <v>1.0000000318895901</v>
      </c>
    </row>
    <row r="759" spans="1:40" x14ac:dyDescent="0.25">
      <c r="A759" t="str">
        <f>"20190312164449463"</f>
        <v>20190312164449463</v>
      </c>
      <c r="B759" t="str">
        <f>"1552380289452538"</f>
        <v>1552380289452538</v>
      </c>
      <c r="C759" t="s">
        <v>40</v>
      </c>
      <c r="D759">
        <v>4.8662789999999996</v>
      </c>
      <c r="E759">
        <v>0.50273869999999998</v>
      </c>
      <c r="F759" t="s">
        <v>41</v>
      </c>
      <c r="G759">
        <v>-257.55599999999998</v>
      </c>
      <c r="H759">
        <v>1.0071190000000001</v>
      </c>
      <c r="I759">
        <v>367.20979999999997</v>
      </c>
      <c r="J759">
        <v>-258.37709999999998</v>
      </c>
      <c r="K759">
        <v>1.1082689999999999</v>
      </c>
      <c r="L759">
        <v>367.27679999999998</v>
      </c>
      <c r="M759">
        <v>0.99971699999999997</v>
      </c>
      <c r="N759">
        <v>0</v>
      </c>
      <c r="O759">
        <v>1.8629349999999999E-2</v>
      </c>
      <c r="P759">
        <v>0.99246909999999999</v>
      </c>
      <c r="Q759">
        <v>0.1070487</v>
      </c>
      <c r="R759">
        <v>-5.9550810000000003E-2</v>
      </c>
      <c r="S759">
        <v>3.0424190000000002</v>
      </c>
      <c r="T759">
        <v>-0.27517799999999998</v>
      </c>
      <c r="U759">
        <v>-0.16616819999999999</v>
      </c>
      <c r="V759">
        <v>7.8055739999999998E-2</v>
      </c>
      <c r="W759">
        <v>0.12169430000000001</v>
      </c>
      <c r="X759">
        <v>0.98949370000000003</v>
      </c>
      <c r="Y759">
        <v>7.2758009999999998E-2</v>
      </c>
      <c r="Z759">
        <v>-4.9618609999999997E-3</v>
      </c>
      <c r="AA759">
        <v>0.99733729999999998</v>
      </c>
      <c r="AB759">
        <v>49</v>
      </c>
      <c r="AC759">
        <v>0.82110000000000105</v>
      </c>
      <c r="AD759">
        <v>-0.101149999999999</v>
      </c>
      <c r="AE759">
        <v>-6.7000000000007207E-2</v>
      </c>
      <c r="AF759">
        <v>8.1064554666628694E-2</v>
      </c>
      <c r="AG759">
        <v>-0.101149999999999</v>
      </c>
      <c r="AH759">
        <v>0.80753556360802503</v>
      </c>
      <c r="AI759">
        <v>97.104212639195396</v>
      </c>
      <c r="AJ759">
        <v>84.267560404030405</v>
      </c>
      <c r="AK759">
        <v>0.81787313870491496</v>
      </c>
      <c r="AL759">
        <v>83.010104399086501</v>
      </c>
      <c r="AM759">
        <v>85.489589949272101</v>
      </c>
      <c r="AN759">
        <v>0.999999991769563</v>
      </c>
    </row>
    <row r="760" spans="1:40" x14ac:dyDescent="0.25">
      <c r="A760" t="str">
        <f>"20190312164449482"</f>
        <v>20190312164449482</v>
      </c>
      <c r="B760" t="str">
        <f>"1552380289472057"</f>
        <v>1552380289472057</v>
      </c>
      <c r="C760" t="s">
        <v>40</v>
      </c>
      <c r="D760">
        <v>4.9142929999999998</v>
      </c>
      <c r="E760">
        <v>0.50284399999999996</v>
      </c>
      <c r="F760" t="s">
        <v>41</v>
      </c>
      <c r="G760">
        <v>-257.5437</v>
      </c>
      <c r="H760">
        <v>1.032673</v>
      </c>
      <c r="I760">
        <v>367.23099999999999</v>
      </c>
      <c r="J760">
        <v>-257.96120000000002</v>
      </c>
      <c r="K760">
        <v>1.108276</v>
      </c>
      <c r="L760">
        <v>367.28449999999998</v>
      </c>
      <c r="M760">
        <v>0.99971750000000004</v>
      </c>
      <c r="N760">
        <v>0</v>
      </c>
      <c r="O760">
        <v>1.8588469999999999E-2</v>
      </c>
      <c r="P760">
        <v>0.99246670000000003</v>
      </c>
      <c r="Q760">
        <v>0.1067736</v>
      </c>
      <c r="R760">
        <v>-6.0082169999999997E-2</v>
      </c>
      <c r="S760">
        <v>3.042618</v>
      </c>
      <c r="T760">
        <v>-0.27626709999999999</v>
      </c>
      <c r="U760">
        <v>-0.1658936</v>
      </c>
      <c r="V760">
        <v>7.8546500000000005E-2</v>
      </c>
      <c r="W760">
        <v>0.1214326</v>
      </c>
      <c r="X760">
        <v>0.98948709999999995</v>
      </c>
      <c r="Y760">
        <v>7.2621759999999994E-2</v>
      </c>
      <c r="Z760">
        <v>-4.9712360000000004E-3</v>
      </c>
      <c r="AA760">
        <v>0.99734719999999999</v>
      </c>
      <c r="AB760">
        <v>49</v>
      </c>
      <c r="AC760">
        <v>0.41750000000001802</v>
      </c>
      <c r="AD760">
        <v>-7.5603000000000004E-2</v>
      </c>
      <c r="AE760">
        <v>-5.34999999999854E-2</v>
      </c>
      <c r="AF760">
        <v>5.9337930411913702E-2</v>
      </c>
      <c r="AG760">
        <v>-7.5603000000000004E-2</v>
      </c>
      <c r="AH760">
        <v>0.40341817112383699</v>
      </c>
      <c r="AI760">
        <v>100.503991127492</v>
      </c>
      <c r="AJ760">
        <v>81.632483356497104</v>
      </c>
      <c r="AK760">
        <v>0.41470836064332101</v>
      </c>
      <c r="AL760">
        <v>83.025211322112298</v>
      </c>
      <c r="AM760">
        <v>85.461319607130704</v>
      </c>
      <c r="AN760">
        <v>1.0000000750357001</v>
      </c>
    </row>
    <row r="761" spans="1:40" x14ac:dyDescent="0.25">
      <c r="A761" t="str">
        <f>"20190312164449495"</f>
        <v>20190312164449495</v>
      </c>
      <c r="B761" t="str">
        <f>"1552380289492553"</f>
        <v>1552380289492553</v>
      </c>
      <c r="C761" t="s">
        <v>40</v>
      </c>
      <c r="D761">
        <v>4.8109520000000003</v>
      </c>
      <c r="E761">
        <v>0.51295000000000002</v>
      </c>
      <c r="F761" t="s">
        <v>41</v>
      </c>
      <c r="G761">
        <v>-257.10359999999997</v>
      </c>
      <c r="H761">
        <v>1.029423</v>
      </c>
      <c r="I761">
        <v>367.23719999999997</v>
      </c>
      <c r="J761">
        <v>-257.68549999999999</v>
      </c>
      <c r="K761">
        <v>1.108282</v>
      </c>
      <c r="L761">
        <v>367.28960000000001</v>
      </c>
      <c r="M761">
        <v>0.99971790000000005</v>
      </c>
      <c r="N761">
        <v>0</v>
      </c>
      <c r="O761">
        <v>1.8561230000000001E-2</v>
      </c>
      <c r="P761">
        <v>0.99249730000000003</v>
      </c>
      <c r="Q761">
        <v>0.1065855</v>
      </c>
      <c r="R761">
        <v>-5.9907849999999999E-2</v>
      </c>
      <c r="S761">
        <v>3.0427089999999999</v>
      </c>
      <c r="T761">
        <v>-0.27978550000000002</v>
      </c>
      <c r="U761">
        <v>-0.16784669999999999</v>
      </c>
      <c r="V761">
        <v>7.8345810000000002E-2</v>
      </c>
      <c r="W761">
        <v>0.1212527</v>
      </c>
      <c r="X761">
        <v>0.98952499999999999</v>
      </c>
      <c r="Y761">
        <v>7.3219309999999996E-2</v>
      </c>
      <c r="Z761">
        <v>-5.0589459999999999E-3</v>
      </c>
      <c r="AA761">
        <v>0.99730300000000005</v>
      </c>
      <c r="AB761">
        <v>49</v>
      </c>
      <c r="AC761">
        <v>0.58190000000001796</v>
      </c>
      <c r="AD761">
        <v>-7.8858999999999999E-2</v>
      </c>
      <c r="AE761">
        <v>-5.2400000000034197E-2</v>
      </c>
      <c r="AF761">
        <v>6.2062292011012897E-2</v>
      </c>
      <c r="AG761">
        <v>-7.8858999999999999E-2</v>
      </c>
      <c r="AH761">
        <v>0.57043488988508295</v>
      </c>
      <c r="AI761">
        <v>97.825288770078302</v>
      </c>
      <c r="AJ761">
        <v>83.790744936899102</v>
      </c>
      <c r="AK761">
        <v>0.579194642213537</v>
      </c>
      <c r="AL761">
        <v>83.035595070292004</v>
      </c>
      <c r="AM761">
        <v>85.473040556008797</v>
      </c>
      <c r="AN761">
        <v>1.0000000044134201</v>
      </c>
    </row>
    <row r="762" spans="1:40" x14ac:dyDescent="0.25">
      <c r="A762" t="str">
        <f>"20190312164449506"</f>
        <v>20190312164449506</v>
      </c>
      <c r="B762" t="str">
        <f>"1552380289502313"</f>
        <v>1552380289502313</v>
      </c>
      <c r="C762" t="s">
        <v>40</v>
      </c>
      <c r="D762">
        <v>5.2586060000000003</v>
      </c>
      <c r="E762">
        <v>0.51295000000000002</v>
      </c>
      <c r="F762" t="s">
        <v>41</v>
      </c>
      <c r="G762">
        <v>-256.68610000000001</v>
      </c>
      <c r="H762">
        <v>0.97969309999999998</v>
      </c>
      <c r="I762">
        <v>367.2106</v>
      </c>
      <c r="J762">
        <v>-257.43759999999997</v>
      </c>
      <c r="K762">
        <v>1.1082879999999999</v>
      </c>
      <c r="L762">
        <v>367.29419999999999</v>
      </c>
      <c r="M762">
        <v>0.9997182</v>
      </c>
      <c r="N762">
        <v>0</v>
      </c>
      <c r="O762">
        <v>1.8536449999999999E-2</v>
      </c>
      <c r="P762">
        <v>0.99249549999999997</v>
      </c>
      <c r="Q762">
        <v>0.1065436</v>
      </c>
      <c r="R762">
        <v>-6.0010559999999998E-2</v>
      </c>
      <c r="S762">
        <v>3.0502929999999999</v>
      </c>
      <c r="T762">
        <v>-0.3925477</v>
      </c>
      <c r="U762">
        <v>-0.24093629999999999</v>
      </c>
      <c r="V762">
        <v>7.842404E-2</v>
      </c>
      <c r="W762">
        <v>0.121217699999999</v>
      </c>
      <c r="X762">
        <v>0.98952309999999999</v>
      </c>
      <c r="Y762">
        <v>9.6268790000000007E-2</v>
      </c>
      <c r="Z762">
        <v>-8.5322249999999992E-3</v>
      </c>
      <c r="AA762">
        <v>0.99531879999999995</v>
      </c>
      <c r="AB762">
        <v>49</v>
      </c>
      <c r="AC762">
        <v>0.75149999999996397</v>
      </c>
      <c r="AD762">
        <v>-0.12859489999999901</v>
      </c>
      <c r="AE762">
        <v>-8.3599999999989905E-2</v>
      </c>
      <c r="AF762">
        <v>9.4776069665756801E-2</v>
      </c>
      <c r="AG762">
        <v>-0.12859489999999901</v>
      </c>
      <c r="AH762">
        <v>0.72874336484845903</v>
      </c>
      <c r="AI762">
        <v>99.925550063202607</v>
      </c>
      <c r="AJ762">
        <v>82.590039147113501</v>
      </c>
      <c r="AK762">
        <v>0.74604694456713105</v>
      </c>
      <c r="AL762">
        <v>83.037615385393295</v>
      </c>
      <c r="AM762">
        <v>85.468530440365896</v>
      </c>
      <c r="AN762">
        <v>1.0000000131384099</v>
      </c>
    </row>
    <row r="763" spans="1:40" x14ac:dyDescent="0.25">
      <c r="A763" t="str">
        <f>"20190312164449516"</f>
        <v>20190312164449516</v>
      </c>
      <c r="B763" t="str">
        <f>"1552380289512074"</f>
        <v>1552380289512074</v>
      </c>
      <c r="C763" t="s">
        <v>40</v>
      </c>
      <c r="D763">
        <v>4.9502899999999999</v>
      </c>
      <c r="E763">
        <v>0.52638600000000002</v>
      </c>
      <c r="F763" t="s">
        <v>41</v>
      </c>
      <c r="G763">
        <v>-256.67180000000002</v>
      </c>
      <c r="H763">
        <v>1.009733</v>
      </c>
      <c r="I763">
        <v>367.23340000000002</v>
      </c>
      <c r="J763">
        <v>-257.21010000000001</v>
      </c>
      <c r="K763">
        <v>1.1082909999999999</v>
      </c>
      <c r="L763">
        <v>367.29840000000002</v>
      </c>
      <c r="M763">
        <v>0.99971849999999995</v>
      </c>
      <c r="N763">
        <v>0</v>
      </c>
      <c r="O763">
        <v>1.8513999999999999E-2</v>
      </c>
      <c r="P763">
        <v>0.99247490000000005</v>
      </c>
      <c r="Q763">
        <v>0.10673820000000001</v>
      </c>
      <c r="R763">
        <v>-6.0005419999999997E-2</v>
      </c>
      <c r="S763">
        <v>3.0502009999999999</v>
      </c>
      <c r="T763">
        <v>-0.3926885</v>
      </c>
      <c r="U763">
        <v>-0.2415466</v>
      </c>
      <c r="V763">
        <v>7.8396220000000003E-2</v>
      </c>
      <c r="W763">
        <v>0.12141739999999999</v>
      </c>
      <c r="X763">
        <v>0.98950079999999996</v>
      </c>
      <c r="Y763">
        <v>9.6444710000000003E-2</v>
      </c>
      <c r="Z763">
        <v>-8.5438340000000002E-3</v>
      </c>
      <c r="AA763">
        <v>0.99530169999999996</v>
      </c>
      <c r="AB763">
        <v>49</v>
      </c>
      <c r="AC763">
        <v>0.53829999999999201</v>
      </c>
      <c r="AD763">
        <v>-9.8557999999999896E-2</v>
      </c>
      <c r="AE763">
        <v>-6.4999999999997699E-2</v>
      </c>
      <c r="AF763">
        <v>7.2558655816974502E-2</v>
      </c>
      <c r="AG763">
        <v>-9.8557999999999896E-2</v>
      </c>
      <c r="AH763">
        <v>0.51982870170998596</v>
      </c>
      <c r="AI763">
        <v>100.634967673487</v>
      </c>
      <c r="AJ763">
        <v>82.053888202367602</v>
      </c>
      <c r="AK763">
        <v>0.53404149372446297</v>
      </c>
      <c r="AL763">
        <v>83.026088133444702</v>
      </c>
      <c r="AM763">
        <v>85.470029571165199</v>
      </c>
      <c r="AN763">
        <v>0.99999999276684404</v>
      </c>
    </row>
    <row r="764" spans="1:40" x14ac:dyDescent="0.25">
      <c r="A764" t="str">
        <f>"20190312164449527"</f>
        <v>20190312164449527</v>
      </c>
      <c r="B764" t="str">
        <f>"1552380289522809"</f>
        <v>1552380289522809</v>
      </c>
      <c r="C764" t="s">
        <v>40</v>
      </c>
      <c r="D764">
        <v>4.9665019999999904</v>
      </c>
      <c r="E764">
        <v>0.52437880000000003</v>
      </c>
      <c r="F764" t="s">
        <v>41</v>
      </c>
      <c r="G764">
        <v>-256.27019999999999</v>
      </c>
      <c r="H764">
        <v>0.92553730000000001</v>
      </c>
      <c r="I764">
        <v>367.19510000000002</v>
      </c>
      <c r="J764">
        <v>-256.96789999999999</v>
      </c>
      <c r="K764">
        <v>1.1082959999999999</v>
      </c>
      <c r="L764">
        <v>367.30290000000002</v>
      </c>
      <c r="M764">
        <v>0.99971889999999997</v>
      </c>
      <c r="N764">
        <v>0</v>
      </c>
      <c r="O764">
        <v>1.848994E-2</v>
      </c>
      <c r="P764">
        <v>0.99246619999999997</v>
      </c>
      <c r="Q764">
        <v>0.1066772</v>
      </c>
      <c r="R764">
        <v>-6.0258150000000003E-2</v>
      </c>
      <c r="S764">
        <v>3.0664829999999998</v>
      </c>
      <c r="T764">
        <v>-0.59625699999999904</v>
      </c>
      <c r="U764">
        <v>-0.33728029999999998</v>
      </c>
      <c r="V764">
        <v>7.8624959999999994E-2</v>
      </c>
      <c r="W764">
        <v>0.1213611</v>
      </c>
      <c r="X764">
        <v>0.98948959999999997</v>
      </c>
      <c r="Y764">
        <v>0.1250348</v>
      </c>
      <c r="Z764">
        <v>-1.55607E-2</v>
      </c>
      <c r="AA764">
        <v>0.99203030000000003</v>
      </c>
      <c r="AB764">
        <v>49</v>
      </c>
      <c r="AC764">
        <v>0.69769999999999699</v>
      </c>
      <c r="AD764">
        <v>-0.182758699999999</v>
      </c>
      <c r="AE764">
        <v>-0.107799999999997</v>
      </c>
      <c r="AF764">
        <v>0.113103758159305</v>
      </c>
      <c r="AG764">
        <v>-0.182758699999999</v>
      </c>
      <c r="AH764">
        <v>0.65190010600616499</v>
      </c>
      <c r="AI764">
        <v>105.44127890541</v>
      </c>
      <c r="AJ764">
        <v>80.157243197113104</v>
      </c>
      <c r="AK764">
        <v>0.686416018713359</v>
      </c>
      <c r="AL764">
        <v>83.029338211951696</v>
      </c>
      <c r="AM764">
        <v>85.456816325950598</v>
      </c>
      <c r="AN764">
        <v>1.0000000347181801</v>
      </c>
    </row>
    <row r="765" spans="1:40" x14ac:dyDescent="0.25">
      <c r="A765" t="str">
        <f>"20190312164449539"</f>
        <v>20190312164449539</v>
      </c>
      <c r="B765" t="str">
        <f>"1552380289532569"</f>
        <v>1552380289532569</v>
      </c>
      <c r="C765" t="s">
        <v>40</v>
      </c>
      <c r="D765">
        <v>4.9328209999999997</v>
      </c>
      <c r="E765">
        <v>0.52456020000000003</v>
      </c>
      <c r="F765" t="s">
        <v>41</v>
      </c>
      <c r="G765">
        <v>-256.25319999999999</v>
      </c>
      <c r="H765">
        <v>0.9640455</v>
      </c>
      <c r="I765">
        <v>367.22820000000002</v>
      </c>
      <c r="J765">
        <v>-256.7176</v>
      </c>
      <c r="K765">
        <v>1.1083000000000001</v>
      </c>
      <c r="L765">
        <v>367.3075</v>
      </c>
      <c r="M765">
        <v>0.99971940000000004</v>
      </c>
      <c r="N765">
        <v>0</v>
      </c>
      <c r="O765">
        <v>1.8465160000000001E-2</v>
      </c>
      <c r="P765">
        <v>0.99244719999999997</v>
      </c>
      <c r="Q765">
        <v>0.10681019999999899</v>
      </c>
      <c r="R765">
        <v>-6.033786E-2</v>
      </c>
      <c r="S765">
        <v>3.0699160000000001</v>
      </c>
      <c r="T765">
        <v>-0.61953499999999995</v>
      </c>
      <c r="U765">
        <v>-0.32077030000000001</v>
      </c>
      <c r="V765">
        <v>7.8679639999999995E-2</v>
      </c>
      <c r="W765">
        <v>0.12149890000000001</v>
      </c>
      <c r="X765">
        <v>0.98946829999999997</v>
      </c>
      <c r="Y765">
        <v>0.1195186</v>
      </c>
      <c r="Z765">
        <v>-1.558877E-2</v>
      </c>
      <c r="AA765">
        <v>0.99270959999999997</v>
      </c>
      <c r="AB765">
        <v>49</v>
      </c>
      <c r="AC765">
        <v>0.46440000000001103</v>
      </c>
      <c r="AD765">
        <v>-0.14425450000000001</v>
      </c>
      <c r="AE765">
        <v>-7.9299999999989199E-2</v>
      </c>
      <c r="AF765">
        <v>8.0331226764687E-2</v>
      </c>
      <c r="AG765">
        <v>-0.14425450000000001</v>
      </c>
      <c r="AH765">
        <v>0.42318121117346102</v>
      </c>
      <c r="AI765">
        <v>108.515728810913</v>
      </c>
      <c r="AJ765">
        <v>79.251599109473503</v>
      </c>
      <c r="AK765">
        <v>0.45425191717152602</v>
      </c>
      <c r="AL765">
        <v>83.021383697022401</v>
      </c>
      <c r="AM765">
        <v>85.453572536804401</v>
      </c>
      <c r="AN765">
        <v>0.99999999257831396</v>
      </c>
    </row>
    <row r="766" spans="1:40" x14ac:dyDescent="0.25">
      <c r="A766" t="str">
        <f>"20190312164449553"</f>
        <v>20190312164449553</v>
      </c>
      <c r="B766" t="str">
        <f>"1552380289542329"</f>
        <v>1552380289542329</v>
      </c>
      <c r="C766" t="s">
        <v>40</v>
      </c>
      <c r="D766">
        <v>4.9584710000000003</v>
      </c>
      <c r="E766">
        <v>0.52468930000000003</v>
      </c>
      <c r="F766" t="s">
        <v>41</v>
      </c>
      <c r="G766">
        <v>-255.8296</v>
      </c>
      <c r="H766">
        <v>0.92664310000000005</v>
      </c>
      <c r="I766">
        <v>367.21440000000001</v>
      </c>
      <c r="J766">
        <v>-256.4246</v>
      </c>
      <c r="K766">
        <v>1.1083050000000001</v>
      </c>
      <c r="L766">
        <v>367.31290000000001</v>
      </c>
      <c r="M766">
        <v>0.99971960000000004</v>
      </c>
      <c r="N766">
        <v>0</v>
      </c>
      <c r="O766">
        <v>1.843622E-2</v>
      </c>
      <c r="P766">
        <v>0.99249209999999999</v>
      </c>
      <c r="Q766">
        <v>0.1063312</v>
      </c>
      <c r="R766">
        <v>-6.0439039999999999E-2</v>
      </c>
      <c r="S766">
        <v>3.0708769999999999</v>
      </c>
      <c r="T766">
        <v>-0.62823180000000001</v>
      </c>
      <c r="U766">
        <v>-0.32180789999999998</v>
      </c>
      <c r="V766">
        <v>7.8752989999999995E-2</v>
      </c>
      <c r="W766">
        <v>0.12102599999999999</v>
      </c>
      <c r="X766">
        <v>0.98952039999999997</v>
      </c>
      <c r="Y766">
        <v>0.119710999999999</v>
      </c>
      <c r="Z766">
        <v>-1.581171E-2</v>
      </c>
      <c r="AA766">
        <v>0.99268290000000003</v>
      </c>
      <c r="AB766">
        <v>49</v>
      </c>
      <c r="AC766">
        <v>0.59499999999999797</v>
      </c>
      <c r="AD766">
        <v>-0.18166189999999899</v>
      </c>
      <c r="AE766">
        <v>-9.8500000000001295E-2</v>
      </c>
      <c r="AF766">
        <v>0.10034930493356201</v>
      </c>
      <c r="AG766">
        <v>-0.18166189999999899</v>
      </c>
      <c r="AH766">
        <v>0.54374829143677705</v>
      </c>
      <c r="AI766">
        <v>108.187616715153</v>
      </c>
      <c r="AJ766">
        <v>79.543656901667902</v>
      </c>
      <c r="AK766">
        <v>0.58200793237951098</v>
      </c>
      <c r="AL766">
        <v>83.048680178155706</v>
      </c>
      <c r="AM766">
        <v>85.449590464696797</v>
      </c>
      <c r="AN766">
        <v>0.99999997406304897</v>
      </c>
    </row>
    <row r="767" spans="1:40" x14ac:dyDescent="0.25">
      <c r="A767" t="str">
        <f>"20190312164449566"</f>
        <v>20190312164449566</v>
      </c>
      <c r="B767" t="str">
        <f>"1552380289562825"</f>
        <v>1552380289562825</v>
      </c>
      <c r="C767" t="s">
        <v>40</v>
      </c>
      <c r="D767">
        <v>6.4210399999999996</v>
      </c>
      <c r="E767">
        <v>0.52640559999999903</v>
      </c>
      <c r="F767" t="s">
        <v>41</v>
      </c>
      <c r="G767">
        <v>-255.4023</v>
      </c>
      <c r="H767">
        <v>0.89509340000000004</v>
      </c>
      <c r="I767">
        <v>367.2056</v>
      </c>
      <c r="J767">
        <v>-256.10140000000001</v>
      </c>
      <c r="K767">
        <v>1.108309</v>
      </c>
      <c r="L767">
        <v>367.31880000000001</v>
      </c>
      <c r="M767">
        <v>0.99972030000000001</v>
      </c>
      <c r="N767">
        <v>0</v>
      </c>
      <c r="O767">
        <v>1.8404110000000001E-2</v>
      </c>
      <c r="P767">
        <v>0.99250749999999999</v>
      </c>
      <c r="Q767">
        <v>0.1060382</v>
      </c>
      <c r="R767">
        <v>-6.0704470000000003E-2</v>
      </c>
      <c r="S767">
        <v>3.0716860000000001</v>
      </c>
      <c r="T767">
        <v>-0.6406828</v>
      </c>
      <c r="U767">
        <v>-0.32226559999999999</v>
      </c>
      <c r="V767">
        <v>7.8986559999999997E-2</v>
      </c>
      <c r="W767">
        <v>0.1207387</v>
      </c>
      <c r="X767">
        <v>0.98953690000000005</v>
      </c>
      <c r="Y767">
        <v>0.1196889</v>
      </c>
      <c r="Z767">
        <v>-1.610545E-2</v>
      </c>
      <c r="AA767">
        <v>0.99268080000000003</v>
      </c>
      <c r="AB767">
        <v>49</v>
      </c>
      <c r="AC767">
        <v>0.69910000000001504</v>
      </c>
      <c r="AD767">
        <v>-0.21321559999999901</v>
      </c>
      <c r="AE767">
        <v>-0.113200000000006</v>
      </c>
      <c r="AF767">
        <v>0.115573029716056</v>
      </c>
      <c r="AG767">
        <v>-0.21321559999999901</v>
      </c>
      <c r="AH767">
        <v>0.63898084213928796</v>
      </c>
      <c r="AI767">
        <v>108.17775175644999</v>
      </c>
      <c r="AJ767">
        <v>79.747701612406402</v>
      </c>
      <c r="AK767">
        <v>0.68345777770257499</v>
      </c>
      <c r="AL767">
        <v>83.065262994295395</v>
      </c>
      <c r="AM767">
        <v>85.436227314604096</v>
      </c>
      <c r="AN767">
        <v>0.99999999339996604</v>
      </c>
    </row>
    <row r="768" spans="1:40" x14ac:dyDescent="0.25">
      <c r="A768" t="str">
        <f>"20190312164449580"</f>
        <v>20190312164449580</v>
      </c>
      <c r="B768" t="str">
        <f>"1552380289572585"</f>
        <v>1552380289572585</v>
      </c>
      <c r="C768" t="s">
        <v>40</v>
      </c>
      <c r="D768">
        <v>4.7966280000000001</v>
      </c>
      <c r="E768">
        <v>0.52696999999999905</v>
      </c>
      <c r="F768" t="s">
        <v>41</v>
      </c>
      <c r="G768">
        <v>-255.375</v>
      </c>
      <c r="H768">
        <v>0.95791890000000002</v>
      </c>
      <c r="I768">
        <v>367.23919999999998</v>
      </c>
      <c r="J768">
        <v>-255.8091</v>
      </c>
      <c r="K768">
        <v>1.1083130000000001</v>
      </c>
      <c r="L768">
        <v>367.32420000000002</v>
      </c>
      <c r="M768">
        <v>0.99972059999999996</v>
      </c>
      <c r="N768">
        <v>0</v>
      </c>
      <c r="O768">
        <v>1.8375349999999999E-2</v>
      </c>
      <c r="P768">
        <v>0.99249430000000005</v>
      </c>
      <c r="Q768">
        <v>0.1062009</v>
      </c>
      <c r="R768">
        <v>-6.0631659999999997E-2</v>
      </c>
      <c r="S768">
        <v>3.0699920000000001</v>
      </c>
      <c r="T768">
        <v>-0.63555550000000005</v>
      </c>
      <c r="U768">
        <v>-0.3365784</v>
      </c>
      <c r="V768">
        <v>7.8885220000000006E-2</v>
      </c>
      <c r="W768">
        <v>0.12090480000000001</v>
      </c>
      <c r="X768">
        <v>0.98952470000000003</v>
      </c>
      <c r="Y768">
        <v>0.1242414</v>
      </c>
      <c r="Z768">
        <v>-1.6443070000000001E-2</v>
      </c>
      <c r="AA768">
        <v>0.99211579999999999</v>
      </c>
      <c r="AB768">
        <v>49</v>
      </c>
      <c r="AC768">
        <v>0.43409999999999999</v>
      </c>
      <c r="AD768">
        <v>-0.150394099999999</v>
      </c>
      <c r="AE768">
        <v>-8.5000000000036297E-2</v>
      </c>
      <c r="AF768">
        <v>8.3330596169090901E-2</v>
      </c>
      <c r="AG768">
        <v>-0.150394099999999</v>
      </c>
      <c r="AH768">
        <v>0.38765348173701702</v>
      </c>
      <c r="AI768">
        <v>110.77152440464501</v>
      </c>
      <c r="AJ768">
        <v>77.868225127591302</v>
      </c>
      <c r="AK768">
        <v>0.424072629953334</v>
      </c>
      <c r="AL768">
        <v>83.055675910570699</v>
      </c>
      <c r="AM768">
        <v>85.442002002592204</v>
      </c>
      <c r="AN768">
        <v>0.99999999025378905</v>
      </c>
    </row>
    <row r="769" spans="1:40" x14ac:dyDescent="0.25">
      <c r="A769" t="str">
        <f>"20190312164449594"</f>
        <v>20190312164449594</v>
      </c>
      <c r="B769" t="str">
        <f>"1552380289582345"</f>
        <v>1552380289582345</v>
      </c>
      <c r="C769" t="s">
        <v>40</v>
      </c>
      <c r="D769">
        <v>5.349227</v>
      </c>
      <c r="E769">
        <v>0.52742979999999995</v>
      </c>
      <c r="F769" t="s">
        <v>41</v>
      </c>
      <c r="G769">
        <v>-254.94739999999999</v>
      </c>
      <c r="H769">
        <v>0.9304038</v>
      </c>
      <c r="I769">
        <v>367.22840000000002</v>
      </c>
      <c r="J769">
        <v>-255.5095</v>
      </c>
      <c r="K769">
        <v>1.108312</v>
      </c>
      <c r="L769">
        <v>367.3297</v>
      </c>
      <c r="M769">
        <v>0.99972130000000003</v>
      </c>
      <c r="N769">
        <v>0</v>
      </c>
      <c r="O769">
        <v>1.834564E-2</v>
      </c>
      <c r="P769">
        <v>0.99250749999999999</v>
      </c>
      <c r="Q769">
        <v>0.1061001</v>
      </c>
      <c r="R769">
        <v>-6.0597140000000001E-2</v>
      </c>
      <c r="S769">
        <v>3.0696870000000001</v>
      </c>
      <c r="T769">
        <v>-0.63374259999999905</v>
      </c>
      <c r="U769">
        <v>-0.34100340000000001</v>
      </c>
      <c r="V769">
        <v>7.8821279999999994E-2</v>
      </c>
      <c r="W769">
        <v>0.12080829999999999</v>
      </c>
      <c r="X769">
        <v>0.98954160000000002</v>
      </c>
      <c r="Y769">
        <v>0.12562400000000001</v>
      </c>
      <c r="Z769">
        <v>-1.6532229999999998E-2</v>
      </c>
      <c r="AA769">
        <v>0.99194009999999999</v>
      </c>
      <c r="AB769">
        <v>49</v>
      </c>
      <c r="AC769">
        <v>0.56210000000001503</v>
      </c>
      <c r="AD769">
        <v>-0.17790819999999999</v>
      </c>
      <c r="AE769">
        <v>-0.10129999999998</v>
      </c>
      <c r="AF769">
        <v>0.101726182586279</v>
      </c>
      <c r="AG769">
        <v>-0.17790819999999999</v>
      </c>
      <c r="AH769">
        <v>0.51060526056651601</v>
      </c>
      <c r="AI769">
        <v>108.865842901709</v>
      </c>
      <c r="AJ769">
        <v>78.7326785665757</v>
      </c>
      <c r="AK769">
        <v>0.55019748815222402</v>
      </c>
      <c r="AL769">
        <v>83.061245910125507</v>
      </c>
      <c r="AM769">
        <v>85.445758369669804</v>
      </c>
      <c r="AN769">
        <v>1.00000000883014</v>
      </c>
    </row>
    <row r="770" spans="1:40" x14ac:dyDescent="0.25">
      <c r="A770" t="str">
        <f>"20190312164449605"</f>
        <v>20190312164449605</v>
      </c>
      <c r="B770" t="str">
        <f>"1552380289592105"</f>
        <v>1552380289592105</v>
      </c>
      <c r="C770" t="s">
        <v>40</v>
      </c>
      <c r="D770">
        <v>5.0113760000000003</v>
      </c>
      <c r="E770">
        <v>0.52663269999999995</v>
      </c>
      <c r="F770" t="s">
        <v>41</v>
      </c>
      <c r="G770">
        <v>-254.51830000000001</v>
      </c>
      <c r="H770">
        <v>0.90433169999999996</v>
      </c>
      <c r="I770">
        <v>367.2183</v>
      </c>
      <c r="J770">
        <v>-255.2525</v>
      </c>
      <c r="K770">
        <v>1.1083099999999999</v>
      </c>
      <c r="L770">
        <v>367.33440000000002</v>
      </c>
      <c r="M770">
        <v>0.99972159999999999</v>
      </c>
      <c r="N770">
        <v>0</v>
      </c>
      <c r="O770">
        <v>1.832023E-2</v>
      </c>
      <c r="P770">
        <v>0.99250070000000001</v>
      </c>
      <c r="Q770">
        <v>0.1061523</v>
      </c>
      <c r="R770">
        <v>-6.061677E-2</v>
      </c>
      <c r="S770">
        <v>3.0691380000000001</v>
      </c>
      <c r="T770">
        <v>-0.63164679999999995</v>
      </c>
      <c r="U770">
        <v>-0.34478760000000003</v>
      </c>
      <c r="V770">
        <v>7.8815620000000003E-2</v>
      </c>
      <c r="W770">
        <v>0.1208632</v>
      </c>
      <c r="X770">
        <v>0.98953530000000001</v>
      </c>
      <c r="Y770">
        <v>0.12682099999999999</v>
      </c>
      <c r="Z770">
        <v>-1.659683E-2</v>
      </c>
      <c r="AA770">
        <v>0.99178679999999997</v>
      </c>
      <c r="AB770">
        <v>49</v>
      </c>
      <c r="AC770">
        <v>0.73419999999998697</v>
      </c>
      <c r="AD770">
        <v>-0.2039783</v>
      </c>
      <c r="AE770">
        <v>-0.116100000000017</v>
      </c>
      <c r="AF770">
        <v>0.120461577934825</v>
      </c>
      <c r="AG770">
        <v>-0.2039783</v>
      </c>
      <c r="AH770">
        <v>0.68069135496592403</v>
      </c>
      <c r="AI770">
        <v>106.440190599156</v>
      </c>
      <c r="AJ770">
        <v>79.964302865160207</v>
      </c>
      <c r="AK770">
        <v>0.72073494389739701</v>
      </c>
      <c r="AL770">
        <v>83.058076829689298</v>
      </c>
      <c r="AM770">
        <v>85.446055154025998</v>
      </c>
      <c r="AN770">
        <v>0.99999996250815604</v>
      </c>
    </row>
    <row r="771" spans="1:40" x14ac:dyDescent="0.25">
      <c r="A771" t="str">
        <f>"20190312164449617"</f>
        <v>20190312164449617</v>
      </c>
      <c r="B771" t="str">
        <f>"1552380289612601"</f>
        <v>1552380289612601</v>
      </c>
      <c r="C771" t="s">
        <v>40</v>
      </c>
      <c r="D771">
        <v>4.9355900000000004</v>
      </c>
      <c r="E771">
        <v>0.52731229999999996</v>
      </c>
      <c r="F771" t="s">
        <v>41</v>
      </c>
      <c r="G771">
        <v>-254.49760000000001</v>
      </c>
      <c r="H771">
        <v>0.95279570000000002</v>
      </c>
      <c r="I771">
        <v>367.25099999999998</v>
      </c>
      <c r="J771">
        <v>-254.99600000000001</v>
      </c>
      <c r="K771">
        <v>1.1083130000000001</v>
      </c>
      <c r="L771">
        <v>367.33909999999997</v>
      </c>
      <c r="M771">
        <v>0.99972220000000001</v>
      </c>
      <c r="N771">
        <v>0</v>
      </c>
      <c r="O771">
        <v>1.8294640000000001E-2</v>
      </c>
      <c r="P771">
        <v>0.99250470000000002</v>
      </c>
      <c r="Q771">
        <v>0.1060796</v>
      </c>
      <c r="R771">
        <v>-6.0677450000000001E-2</v>
      </c>
      <c r="S771">
        <v>3.069626</v>
      </c>
      <c r="T771">
        <v>-0.63232819999999901</v>
      </c>
      <c r="U771">
        <v>-0.3388062</v>
      </c>
      <c r="V771">
        <v>7.885114E-2</v>
      </c>
      <c r="W771">
        <v>0.1207931</v>
      </c>
      <c r="X771">
        <v>0.98954109999999995</v>
      </c>
      <c r="Y771">
        <v>0.124903</v>
      </c>
      <c r="Z771">
        <v>-1.6413380000000002E-2</v>
      </c>
      <c r="AA771">
        <v>0.99203319999999995</v>
      </c>
      <c r="AB771">
        <v>49</v>
      </c>
      <c r="AC771">
        <v>0.49839999999997497</v>
      </c>
      <c r="AD771">
        <v>-0.155517299999999</v>
      </c>
      <c r="AE771">
        <v>-8.8099999999997097E-2</v>
      </c>
      <c r="AF771">
        <v>8.8818542986603702E-2</v>
      </c>
      <c r="AG771">
        <v>-0.155517299999999</v>
      </c>
      <c r="AH771">
        <v>0.45385418432312502</v>
      </c>
      <c r="AI771">
        <v>108.58677638031099</v>
      </c>
      <c r="AJ771">
        <v>78.927245890776604</v>
      </c>
      <c r="AK771">
        <v>0.48791186171803802</v>
      </c>
      <c r="AL771">
        <v>83.062123391886004</v>
      </c>
      <c r="AM771">
        <v>85.444038048150702</v>
      </c>
      <c r="AN771">
        <v>1.00000003193805</v>
      </c>
    </row>
    <row r="772" spans="1:40" x14ac:dyDescent="0.25">
      <c r="A772" t="str">
        <f>"20190312164449628"</f>
        <v>20190312164449628</v>
      </c>
      <c r="B772" t="str">
        <f>"1552380289622361"</f>
        <v>1552380289622361</v>
      </c>
      <c r="C772" t="s">
        <v>40</v>
      </c>
      <c r="D772">
        <v>4.9679729999999998</v>
      </c>
      <c r="E772">
        <v>0.52760589999999996</v>
      </c>
      <c r="F772" t="s">
        <v>41</v>
      </c>
      <c r="G772">
        <v>-254.07329999999999</v>
      </c>
      <c r="H772">
        <v>0.91876340000000001</v>
      </c>
      <c r="I772">
        <v>367.23540000000003</v>
      </c>
      <c r="J772">
        <v>-254.74520000000001</v>
      </c>
      <c r="K772">
        <v>1.1083149999999999</v>
      </c>
      <c r="L772">
        <v>367.34370000000001</v>
      </c>
      <c r="M772">
        <v>0.99972249999999996</v>
      </c>
      <c r="N772">
        <v>0</v>
      </c>
      <c r="O772">
        <v>1.826989E-2</v>
      </c>
      <c r="P772">
        <v>0.99249299999999996</v>
      </c>
      <c r="Q772">
        <v>0.1061206</v>
      </c>
      <c r="R772">
        <v>-6.0796580000000003E-2</v>
      </c>
      <c r="S772">
        <v>3.0689850000000001</v>
      </c>
      <c r="T772">
        <v>-0.63051679999999999</v>
      </c>
      <c r="U772">
        <v>-0.34460449999999998</v>
      </c>
      <c r="V772">
        <v>7.8945370000000001E-2</v>
      </c>
      <c r="W772">
        <v>0.1208362</v>
      </c>
      <c r="X772">
        <v>0.98952830000000003</v>
      </c>
      <c r="Y772">
        <v>0.12673129999999999</v>
      </c>
      <c r="Z772">
        <v>-1.6549290000000001E-2</v>
      </c>
      <c r="AA772">
        <v>0.99179899999999999</v>
      </c>
      <c r="AB772">
        <v>49</v>
      </c>
      <c r="AC772">
        <v>0.67190000000002204</v>
      </c>
      <c r="AD772">
        <v>-0.18955159999999999</v>
      </c>
      <c r="AE772">
        <v>-0.10829999999998501</v>
      </c>
      <c r="AF772">
        <v>0.11188002830912</v>
      </c>
      <c r="AG772">
        <v>-0.18955159999999999</v>
      </c>
      <c r="AH772">
        <v>0.62159077245303995</v>
      </c>
      <c r="AI772">
        <v>106.705723586619</v>
      </c>
      <c r="AJ772">
        <v>79.796589722079702</v>
      </c>
      <c r="AK772">
        <v>0.65941037161677696</v>
      </c>
      <c r="AL772">
        <v>83.059635552061906</v>
      </c>
      <c r="AM772">
        <v>85.438557714199206</v>
      </c>
      <c r="AN772">
        <v>1.0000000075878801</v>
      </c>
    </row>
    <row r="773" spans="1:40" x14ac:dyDescent="0.25">
      <c r="A773" t="str">
        <f>"20190312164449640"</f>
        <v>20190312164449640</v>
      </c>
      <c r="B773" t="str">
        <f>"1552380289632122"</f>
        <v>1552380289632122</v>
      </c>
      <c r="C773" t="s">
        <v>40</v>
      </c>
      <c r="D773">
        <v>5.1749619999999998</v>
      </c>
      <c r="E773">
        <v>0.52772059999999998</v>
      </c>
      <c r="F773" t="s">
        <v>41</v>
      </c>
      <c r="G773">
        <v>-254.05189999999999</v>
      </c>
      <c r="H773">
        <v>0.96601999999999999</v>
      </c>
      <c r="I773">
        <v>367.26499999999999</v>
      </c>
      <c r="J773">
        <v>-254.4898</v>
      </c>
      <c r="K773">
        <v>1.10832</v>
      </c>
      <c r="L773">
        <v>367.34829999999999</v>
      </c>
      <c r="M773">
        <v>0.99972300000000003</v>
      </c>
      <c r="N773">
        <v>0</v>
      </c>
      <c r="O773">
        <v>1.824431E-2</v>
      </c>
      <c r="P773">
        <v>0.99250090000000002</v>
      </c>
      <c r="Q773">
        <v>0.1060432</v>
      </c>
      <c r="R773">
        <v>-6.0803219999999998E-2</v>
      </c>
      <c r="S773">
        <v>3.0687709999999999</v>
      </c>
      <c r="T773">
        <v>-0.62990469999999998</v>
      </c>
      <c r="U773">
        <v>-0.34762569999999998</v>
      </c>
      <c r="V773">
        <v>7.8926850000000007E-2</v>
      </c>
      <c r="W773">
        <v>0.1207614</v>
      </c>
      <c r="X773">
        <v>0.9895389</v>
      </c>
      <c r="Y773">
        <v>0.12766479999999999</v>
      </c>
      <c r="Z773">
        <v>-1.6623140000000002E-2</v>
      </c>
      <c r="AA773">
        <v>0.99167810000000001</v>
      </c>
      <c r="AB773">
        <v>49</v>
      </c>
      <c r="AC773">
        <v>0.437900000000013</v>
      </c>
      <c r="AD773">
        <v>-0.14229999999999901</v>
      </c>
      <c r="AE773">
        <v>-8.3300000000008298E-2</v>
      </c>
      <c r="AF773">
        <v>8.2834436480508894E-2</v>
      </c>
      <c r="AG773">
        <v>-0.14229999999999901</v>
      </c>
      <c r="AH773">
        <v>0.395954912905428</v>
      </c>
      <c r="AI773">
        <v>109.380298182749</v>
      </c>
      <c r="AJ773">
        <v>78.184035836636497</v>
      </c>
      <c r="AK773">
        <v>0.42882528717531099</v>
      </c>
      <c r="AL773">
        <v>83.063952832288606</v>
      </c>
      <c r="AM773">
        <v>85.439671925592194</v>
      </c>
      <c r="AN773">
        <v>0.99999999899704595</v>
      </c>
    </row>
    <row r="774" spans="1:40" x14ac:dyDescent="0.25">
      <c r="A774" t="str">
        <f>"20190312164449661"</f>
        <v>20190312164449661</v>
      </c>
      <c r="B774" t="str">
        <f>"1552380289652617"</f>
        <v>1552380289652617</v>
      </c>
      <c r="C774" t="s">
        <v>40</v>
      </c>
      <c r="D774">
        <v>5.1042610000000002</v>
      </c>
      <c r="E774">
        <v>0.52787729999999999</v>
      </c>
      <c r="F774" t="s">
        <v>41</v>
      </c>
      <c r="G774">
        <v>-253.6284</v>
      </c>
      <c r="H774">
        <v>0.93185070000000003</v>
      </c>
      <c r="I774">
        <v>367.25049999999999</v>
      </c>
      <c r="J774">
        <v>-254.03489999999999</v>
      </c>
      <c r="K774">
        <v>1.10832</v>
      </c>
      <c r="L774">
        <v>367.35660000000001</v>
      </c>
      <c r="M774">
        <v>0.99972369999999999</v>
      </c>
      <c r="N774">
        <v>0</v>
      </c>
      <c r="O774">
        <v>1.8199219999999999E-2</v>
      </c>
      <c r="P774">
        <v>0.99250059999999996</v>
      </c>
      <c r="Q774">
        <v>0.10622040000000001</v>
      </c>
      <c r="R774">
        <v>-6.0498679999999999E-2</v>
      </c>
      <c r="S774">
        <v>3.0685120000000001</v>
      </c>
      <c r="T774">
        <v>-0.62867980000000001</v>
      </c>
      <c r="U774">
        <v>-0.34851070000000001</v>
      </c>
      <c r="V774">
        <v>7.8577519999999998E-2</v>
      </c>
      <c r="W774">
        <v>0.1209417</v>
      </c>
      <c r="X774">
        <v>0.98954470000000005</v>
      </c>
      <c r="Y774">
        <v>0.1279187</v>
      </c>
      <c r="Z774">
        <v>-1.6609120000000002E-2</v>
      </c>
      <c r="AA774">
        <v>0.99164560000000002</v>
      </c>
      <c r="AB774">
        <v>49</v>
      </c>
      <c r="AC774">
        <v>0.40649999999999398</v>
      </c>
      <c r="AD774">
        <v>-0.1764693</v>
      </c>
      <c r="AE774">
        <v>-0.10610000000002601</v>
      </c>
      <c r="AF774">
        <v>9.6461619832761594E-2</v>
      </c>
      <c r="AG774">
        <v>-0.1764693</v>
      </c>
      <c r="AH774">
        <v>0.34383547290161998</v>
      </c>
      <c r="AI774">
        <v>116.296706474594</v>
      </c>
      <c r="AJ774">
        <v>74.3287557025469</v>
      </c>
      <c r="AK774">
        <v>0.39833288888658303</v>
      </c>
      <c r="AL774">
        <v>83.053546256508</v>
      </c>
      <c r="AM774">
        <v>85.4597978498674</v>
      </c>
      <c r="AN774">
        <v>1.00000001737316</v>
      </c>
    </row>
    <row r="775" spans="1:40" x14ac:dyDescent="0.25">
      <c r="A775" t="str">
        <f>"20190312164449672"</f>
        <v>20190312164449672</v>
      </c>
      <c r="B775" t="str">
        <f>"1552380289662377"</f>
        <v>1552380289662377</v>
      </c>
      <c r="C775" t="s">
        <v>40</v>
      </c>
      <c r="D775">
        <v>5.1599170000000001</v>
      </c>
      <c r="E775">
        <v>0.52797320000000003</v>
      </c>
      <c r="F775" t="s">
        <v>41</v>
      </c>
      <c r="G775">
        <v>-253.18809999999999</v>
      </c>
      <c r="H775">
        <v>0.93537199999999998</v>
      </c>
      <c r="I775">
        <v>367.2602</v>
      </c>
      <c r="J775">
        <v>-253.78870000000001</v>
      </c>
      <c r="K775">
        <v>1.108328</v>
      </c>
      <c r="L775">
        <v>367.36110000000002</v>
      </c>
      <c r="M775">
        <v>0.9997241</v>
      </c>
      <c r="N775">
        <v>0</v>
      </c>
      <c r="O775">
        <v>1.8174949999999999E-2</v>
      </c>
      <c r="P775">
        <v>0.99251230000000001</v>
      </c>
      <c r="Q775">
        <v>0.1061865</v>
      </c>
      <c r="R775">
        <v>-6.0364840000000003E-2</v>
      </c>
      <c r="S775">
        <v>3.0684659999999999</v>
      </c>
      <c r="T775">
        <v>-0.6267855</v>
      </c>
      <c r="U775">
        <v>-0.34902949999999999</v>
      </c>
      <c r="V775">
        <v>7.8420030000000002E-2</v>
      </c>
      <c r="W775">
        <v>0.12090910000000001</v>
      </c>
      <c r="X775">
        <v>0.98956109999999997</v>
      </c>
      <c r="Y775">
        <v>0.12807689999999999</v>
      </c>
      <c r="Z775">
        <v>-1.6571220000000001E-2</v>
      </c>
      <c r="AA775">
        <v>0.9916258</v>
      </c>
      <c r="AB775">
        <v>49</v>
      </c>
      <c r="AC775">
        <v>0.60060000000001401</v>
      </c>
      <c r="AD775">
        <v>-0.172956</v>
      </c>
      <c r="AE775">
        <v>-0.100900000000024</v>
      </c>
      <c r="AF775">
        <v>0.10345648120395901</v>
      </c>
      <c r="AG775">
        <v>-0.172956</v>
      </c>
      <c r="AH775">
        <v>0.55398678809715196</v>
      </c>
      <c r="AI775">
        <v>107.061077878885</v>
      </c>
      <c r="AJ775">
        <v>79.421917884302701</v>
      </c>
      <c r="AK775">
        <v>0.58950689803029699</v>
      </c>
      <c r="AL775">
        <v>83.055427374907396</v>
      </c>
      <c r="AM775">
        <v>85.468934458698698</v>
      </c>
      <c r="AN775">
        <v>0.99999994110060797</v>
      </c>
    </row>
    <row r="776" spans="1:40" x14ac:dyDescent="0.25">
      <c r="A776" t="str">
        <f>"20190312164449683"</f>
        <v>20190312164449683</v>
      </c>
      <c r="B776" t="str">
        <f>"1552380289672138"</f>
        <v>1552380289672138</v>
      </c>
      <c r="C776" t="s">
        <v>40</v>
      </c>
      <c r="D776">
        <v>5.0689929999999999</v>
      </c>
      <c r="E776">
        <v>0.5280686</v>
      </c>
      <c r="F776" t="s">
        <v>41</v>
      </c>
      <c r="G776">
        <v>-252.76439999999999</v>
      </c>
      <c r="H776">
        <v>0.89944829999999998</v>
      </c>
      <c r="I776">
        <v>367.24439999999998</v>
      </c>
      <c r="J776">
        <v>-253.54169999999999</v>
      </c>
      <c r="K776">
        <v>1.10833</v>
      </c>
      <c r="L776">
        <v>367.36559999999997</v>
      </c>
      <c r="M776">
        <v>0.99972459999999996</v>
      </c>
      <c r="N776">
        <v>0</v>
      </c>
      <c r="O776">
        <v>1.8150570000000001E-2</v>
      </c>
      <c r="P776">
        <v>0.99251429999999996</v>
      </c>
      <c r="Q776">
        <v>0.1062051</v>
      </c>
      <c r="R776">
        <v>-6.0301159999999999E-2</v>
      </c>
      <c r="S776">
        <v>3.068298</v>
      </c>
      <c r="T776">
        <v>-0.62565179999999998</v>
      </c>
      <c r="U776">
        <v>-0.34942630000000002</v>
      </c>
      <c r="V776">
        <v>7.8332159999999998E-2</v>
      </c>
      <c r="W776">
        <v>0.12092899999999999</v>
      </c>
      <c r="X776">
        <v>0.98956569999999999</v>
      </c>
      <c r="Y776">
        <v>0.128193899999999</v>
      </c>
      <c r="Z776">
        <v>-1.654947E-2</v>
      </c>
      <c r="AA776">
        <v>0.99161100000000002</v>
      </c>
      <c r="AB776">
        <v>49</v>
      </c>
      <c r="AC776">
        <v>0.77729999999999599</v>
      </c>
      <c r="AD776">
        <v>-0.2088817</v>
      </c>
      <c r="AE776">
        <v>-0.121199999999987</v>
      </c>
      <c r="AF776">
        <v>0.12638018676617299</v>
      </c>
      <c r="AG776">
        <v>-0.2088817</v>
      </c>
      <c r="AH776">
        <v>0.72393424280639895</v>
      </c>
      <c r="AI776">
        <v>105.86717009937701</v>
      </c>
      <c r="AJ776">
        <v>80.097431991467502</v>
      </c>
      <c r="AK776">
        <v>0.763992345583133</v>
      </c>
      <c r="AL776">
        <v>83.054279258904103</v>
      </c>
      <c r="AM776">
        <v>85.474011383876004</v>
      </c>
      <c r="AN776">
        <v>1.0000000124738699</v>
      </c>
    </row>
    <row r="777" spans="1:40" x14ac:dyDescent="0.25">
      <c r="A777" t="str">
        <f>"20190312164449695"</f>
        <v>20190312164449695</v>
      </c>
      <c r="B777" t="str">
        <f>"1552380289692633"</f>
        <v>1552380289692633</v>
      </c>
      <c r="C777" t="s">
        <v>40</v>
      </c>
      <c r="D777">
        <v>5.2860680000000002</v>
      </c>
      <c r="E777">
        <v>0.52857080000000001</v>
      </c>
      <c r="F777" t="s">
        <v>41</v>
      </c>
      <c r="G777">
        <v>-252.74549999999999</v>
      </c>
      <c r="H777">
        <v>0.94479310000000005</v>
      </c>
      <c r="I777">
        <v>367.27480000000003</v>
      </c>
      <c r="J777">
        <v>-253.28149999999999</v>
      </c>
      <c r="K777">
        <v>1.108333</v>
      </c>
      <c r="L777">
        <v>367.37020000000001</v>
      </c>
      <c r="M777">
        <v>0.99972499999999997</v>
      </c>
      <c r="N777">
        <v>0</v>
      </c>
      <c r="O777">
        <v>1.8124990000000001E-2</v>
      </c>
      <c r="P777">
        <v>0.99250159999999998</v>
      </c>
      <c r="Q777">
        <v>0.10645060000000001</v>
      </c>
      <c r="R777">
        <v>-6.0074280000000001E-2</v>
      </c>
      <c r="S777">
        <v>3.0687869999999999</v>
      </c>
      <c r="T777">
        <v>-0.63030719999999996</v>
      </c>
      <c r="U777">
        <v>-0.34985349999999998</v>
      </c>
      <c r="V777">
        <v>7.8079949999999995E-2</v>
      </c>
      <c r="W777">
        <v>0.12117509999999999</v>
      </c>
      <c r="X777">
        <v>0.98955550000000003</v>
      </c>
      <c r="Y777">
        <v>0.12824360000000001</v>
      </c>
      <c r="Z777">
        <v>-1.6667270000000001E-2</v>
      </c>
      <c r="AA777">
        <v>0.9916026</v>
      </c>
      <c r="AB777">
        <v>49</v>
      </c>
      <c r="AC777">
        <v>0.53600000000000103</v>
      </c>
      <c r="AD777">
        <v>-0.16353989999999899</v>
      </c>
      <c r="AE777">
        <v>-9.5399999999983706E-2</v>
      </c>
      <c r="AF777">
        <v>9.6401626735612894E-2</v>
      </c>
      <c r="AG777">
        <v>-0.16353989999999899</v>
      </c>
      <c r="AH777">
        <v>0.48997030829979399</v>
      </c>
      <c r="AI777">
        <v>108.13344161453</v>
      </c>
      <c r="AJ777">
        <v>78.869231766335602</v>
      </c>
      <c r="AK777">
        <v>0.52546120270166197</v>
      </c>
      <c r="AL777">
        <v>83.040074118225306</v>
      </c>
      <c r="AM777">
        <v>85.488477371401103</v>
      </c>
      <c r="AN777">
        <v>0.99999998551613101</v>
      </c>
    </row>
    <row r="778" spans="1:40" x14ac:dyDescent="0.25">
      <c r="A778" t="str">
        <f>"20190312164449708"</f>
        <v>20190312164449708</v>
      </c>
      <c r="B778" t="str">
        <f>"1552380289702394"</f>
        <v>1552380289702394</v>
      </c>
      <c r="C778" t="s">
        <v>40</v>
      </c>
      <c r="D778">
        <v>5.1536929999999996</v>
      </c>
      <c r="E778">
        <v>0.52885530000000003</v>
      </c>
      <c r="F778" t="s">
        <v>41</v>
      </c>
      <c r="G778">
        <v>-252.32300000000001</v>
      </c>
      <c r="H778">
        <v>0.90846959999999999</v>
      </c>
      <c r="I778">
        <v>367.26</v>
      </c>
      <c r="J778">
        <v>-253.02019999999999</v>
      </c>
      <c r="K778">
        <v>1.108341</v>
      </c>
      <c r="L778">
        <v>367.375</v>
      </c>
      <c r="M778">
        <v>0.99972550000000004</v>
      </c>
      <c r="N778">
        <v>0</v>
      </c>
      <c r="O778">
        <v>1.8098940000000001E-2</v>
      </c>
      <c r="P778">
        <v>0.9925351</v>
      </c>
      <c r="Q778">
        <v>0.10621220000000001</v>
      </c>
      <c r="R778">
        <v>-5.9946369999999999E-2</v>
      </c>
      <c r="S778">
        <v>3.0699770000000002</v>
      </c>
      <c r="T778">
        <v>-0.64019349999999997</v>
      </c>
      <c r="U778">
        <v>-0.3526917</v>
      </c>
      <c r="V778">
        <v>7.7926529999999994E-2</v>
      </c>
      <c r="W778">
        <v>0.1209384</v>
      </c>
      <c r="X778">
        <v>0.98959649999999999</v>
      </c>
      <c r="Y778">
        <v>0.1289728</v>
      </c>
      <c r="Z778">
        <v>-1.698566E-2</v>
      </c>
      <c r="AA778">
        <v>0.99150260000000001</v>
      </c>
      <c r="AB778">
        <v>49</v>
      </c>
      <c r="AC778">
        <v>0.69720000000000903</v>
      </c>
      <c r="AD778">
        <v>-0.1998714</v>
      </c>
      <c r="AE778">
        <v>-0.115000000000009</v>
      </c>
      <c r="AF778">
        <v>0.11814842300605401</v>
      </c>
      <c r="AG778">
        <v>-0.1998714</v>
      </c>
      <c r="AH778">
        <v>0.64351813979572503</v>
      </c>
      <c r="AI778">
        <v>106.987163152645</v>
      </c>
      <c r="AJ778">
        <v>79.596490690396706</v>
      </c>
      <c r="AK778">
        <v>0.68412222785327503</v>
      </c>
      <c r="AL778">
        <v>83.053736167849806</v>
      </c>
      <c r="AM778">
        <v>85.497491398184707</v>
      </c>
      <c r="AN778">
        <v>0.99999993674232301</v>
      </c>
    </row>
    <row r="779" spans="1:40" x14ac:dyDescent="0.25">
      <c r="A779" t="str">
        <f>"20190312164449718"</f>
        <v>20190312164449718</v>
      </c>
      <c r="B779" t="str">
        <f>"1552380289712153"</f>
        <v>1552380289712153</v>
      </c>
      <c r="C779" t="s">
        <v>40</v>
      </c>
      <c r="D779">
        <v>5.0925180000000001</v>
      </c>
      <c r="E779">
        <v>0.52899790000000002</v>
      </c>
      <c r="F779" t="s">
        <v>41</v>
      </c>
      <c r="G779">
        <v>-252.30179999999999</v>
      </c>
      <c r="H779">
        <v>0.95729719999999996</v>
      </c>
      <c r="I779">
        <v>367.2919</v>
      </c>
      <c r="J779">
        <v>-252.77789999999999</v>
      </c>
      <c r="K779">
        <v>1.1083419999999999</v>
      </c>
      <c r="L779">
        <v>367.3793</v>
      </c>
      <c r="M779">
        <v>0.99972589999999995</v>
      </c>
      <c r="N779">
        <v>0</v>
      </c>
      <c r="O779">
        <v>1.8075040000000001E-2</v>
      </c>
      <c r="P779">
        <v>0.99249080000000001</v>
      </c>
      <c r="Q779">
        <v>0.1066151</v>
      </c>
      <c r="R779">
        <v>-5.99593E-2</v>
      </c>
      <c r="S779">
        <v>3.0702509999999998</v>
      </c>
      <c r="T779">
        <v>-0.64559359999999999</v>
      </c>
      <c r="U779">
        <v>-0.35461429999999999</v>
      </c>
      <c r="V779">
        <v>7.7915150000000002E-2</v>
      </c>
      <c r="W779">
        <v>0.1213412</v>
      </c>
      <c r="X779">
        <v>0.98954810000000004</v>
      </c>
      <c r="Y779">
        <v>0.12948959999999901</v>
      </c>
      <c r="Z779">
        <v>-1.7172449999999999E-2</v>
      </c>
      <c r="AA779">
        <v>0.99143210000000004</v>
      </c>
      <c r="AB779">
        <v>49</v>
      </c>
      <c r="AC779">
        <v>0.47610000000000202</v>
      </c>
      <c r="AD779">
        <v>-0.15104479999999901</v>
      </c>
      <c r="AE779">
        <v>-8.7400000000002295E-2</v>
      </c>
      <c r="AF779">
        <v>8.7474857079078303E-2</v>
      </c>
      <c r="AG779">
        <v>-0.15104479999999901</v>
      </c>
      <c r="AH779">
        <v>0.43234523915626899</v>
      </c>
      <c r="AI779">
        <v>108.902389865239</v>
      </c>
      <c r="AJ779">
        <v>78.561958638632603</v>
      </c>
      <c r="AK779">
        <v>0.46624970568262702</v>
      </c>
      <c r="AL779">
        <v>83.030486292377901</v>
      </c>
      <c r="AM779">
        <v>85.497926932993494</v>
      </c>
      <c r="AN779">
        <v>0.99999994981528495</v>
      </c>
    </row>
    <row r="780" spans="1:40" x14ac:dyDescent="0.25">
      <c r="A780" t="str">
        <f>"20190312164449730"</f>
        <v>20190312164449730</v>
      </c>
      <c r="B780" t="str">
        <f>"1552380289721914"</f>
        <v>1552380289721914</v>
      </c>
      <c r="C780" t="s">
        <v>40</v>
      </c>
      <c r="D780">
        <v>5.1677379999999999</v>
      </c>
      <c r="E780">
        <v>0.52885139999999997</v>
      </c>
      <c r="F780" t="s">
        <v>41</v>
      </c>
      <c r="G780">
        <v>-251.8811</v>
      </c>
      <c r="H780">
        <v>0.91922559999999998</v>
      </c>
      <c r="I780">
        <v>367.27530000000002</v>
      </c>
      <c r="J780">
        <v>-252.5273</v>
      </c>
      <c r="K780">
        <v>1.1083449999999999</v>
      </c>
      <c r="L780">
        <v>367.38389999999998</v>
      </c>
      <c r="M780">
        <v>0.99972640000000002</v>
      </c>
      <c r="N780">
        <v>0</v>
      </c>
      <c r="O780">
        <v>1.8050179999999999E-2</v>
      </c>
      <c r="P780">
        <v>0.99248499999999995</v>
      </c>
      <c r="Q780">
        <v>0.1066643</v>
      </c>
      <c r="R780">
        <v>-5.9969990000000001E-2</v>
      </c>
      <c r="S780">
        <v>3.0707399999999998</v>
      </c>
      <c r="T780">
        <v>-0.64753269999999996</v>
      </c>
      <c r="U780">
        <v>-0.3558655</v>
      </c>
      <c r="V780">
        <v>7.7901170000000006E-2</v>
      </c>
      <c r="W780">
        <v>0.1213905</v>
      </c>
      <c r="X780">
        <v>0.98954319999999896</v>
      </c>
      <c r="Y780">
        <v>0.12982109999999999</v>
      </c>
      <c r="Z780">
        <v>-1.7249179999999999E-2</v>
      </c>
      <c r="AA780">
        <v>0.99138740000000003</v>
      </c>
      <c r="AB780">
        <v>49</v>
      </c>
      <c r="AC780">
        <v>0.646199999999993</v>
      </c>
      <c r="AD780">
        <v>-0.18911939999999999</v>
      </c>
      <c r="AE780">
        <v>-0.108599999999967</v>
      </c>
      <c r="AF780">
        <v>0.11100127626296701</v>
      </c>
      <c r="AG780">
        <v>-0.18911939999999999</v>
      </c>
      <c r="AH780">
        <v>0.59460404823607704</v>
      </c>
      <c r="AI780">
        <v>107.362272171054</v>
      </c>
      <c r="AJ780">
        <v>79.4256831884517</v>
      </c>
      <c r="AK780">
        <v>0.63375184809758001</v>
      </c>
      <c r="AL780">
        <v>83.027640892473201</v>
      </c>
      <c r="AM780">
        <v>85.498709204084307</v>
      </c>
      <c r="AN780">
        <v>0.99999999522192895</v>
      </c>
    </row>
    <row r="781" spans="1:40" x14ac:dyDescent="0.25">
      <c r="A781" t="str">
        <f>"20190312164449742"</f>
        <v>20190312164449742</v>
      </c>
      <c r="B781" t="str">
        <f>"1552380289732650"</f>
        <v>1552380289732650</v>
      </c>
      <c r="C781" t="s">
        <v>40</v>
      </c>
      <c r="D781">
        <v>4.9207349999999996</v>
      </c>
      <c r="E781">
        <v>0.52872469999999905</v>
      </c>
      <c r="F781" t="s">
        <v>41</v>
      </c>
      <c r="G781">
        <v>-251.45820000000001</v>
      </c>
      <c r="H781">
        <v>0.88208129999999996</v>
      </c>
      <c r="I781">
        <v>367.26029999999997</v>
      </c>
      <c r="J781">
        <v>-252.24969999999999</v>
      </c>
      <c r="K781">
        <v>1.108341</v>
      </c>
      <c r="L781">
        <v>367.3888</v>
      </c>
      <c r="M781">
        <v>0.99972680000000003</v>
      </c>
      <c r="N781">
        <v>0</v>
      </c>
      <c r="O781">
        <v>1.802258E-2</v>
      </c>
      <c r="P781">
        <v>0.99245740000000005</v>
      </c>
      <c r="Q781">
        <v>0.1069465</v>
      </c>
      <c r="R781">
        <v>-5.9924499999999999E-2</v>
      </c>
      <c r="S781">
        <v>3.0711360000000001</v>
      </c>
      <c r="T781">
        <v>-0.65004090000000003</v>
      </c>
      <c r="U781">
        <v>-0.35449219999999998</v>
      </c>
      <c r="V781">
        <v>7.7827869999999993E-2</v>
      </c>
      <c r="W781">
        <v>0.1216725</v>
      </c>
      <c r="X781">
        <v>0.98951440000000002</v>
      </c>
      <c r="Y781">
        <v>0.129329</v>
      </c>
      <c r="Z781">
        <v>-1.7255699999999999E-2</v>
      </c>
      <c r="AA781">
        <v>0.99145159999999999</v>
      </c>
      <c r="AB781">
        <v>49</v>
      </c>
      <c r="AC781">
        <v>0.79149999999998499</v>
      </c>
      <c r="AD781">
        <v>-0.22625970000000001</v>
      </c>
      <c r="AE781">
        <v>-0.12850000000003001</v>
      </c>
      <c r="AF781">
        <v>0.132218537048471</v>
      </c>
      <c r="AG781">
        <v>-0.22625970000000001</v>
      </c>
      <c r="AH781">
        <v>0.73086490179656904</v>
      </c>
      <c r="AI781">
        <v>106.94247772741301</v>
      </c>
      <c r="AJ781">
        <v>79.745700893182601</v>
      </c>
      <c r="AK781">
        <v>0.77642687876028305</v>
      </c>
      <c r="AL781">
        <v>83.011363285987201</v>
      </c>
      <c r="AM781">
        <v>85.502796896992905</v>
      </c>
      <c r="AN781">
        <v>1.0000000612061699</v>
      </c>
    </row>
    <row r="782" spans="1:40" x14ac:dyDescent="0.25">
      <c r="A782" t="str">
        <f>"20190312164449756"</f>
        <v>20190312164449756</v>
      </c>
      <c r="B782" t="str">
        <f>"1552380289752170"</f>
        <v>1552380289752170</v>
      </c>
      <c r="C782" t="s">
        <v>40</v>
      </c>
      <c r="D782">
        <v>5.4451749999999999</v>
      </c>
      <c r="E782">
        <v>0.52896489999999996</v>
      </c>
      <c r="F782" t="s">
        <v>41</v>
      </c>
      <c r="G782">
        <v>-251.4366</v>
      </c>
      <c r="H782">
        <v>0.93531640000000005</v>
      </c>
      <c r="I782">
        <v>367.2953</v>
      </c>
      <c r="J782">
        <v>-251.96440000000001</v>
      </c>
      <c r="K782">
        <v>1.1083430000000001</v>
      </c>
      <c r="L782">
        <v>367.39400000000001</v>
      </c>
      <c r="M782">
        <v>0.99972729999999999</v>
      </c>
      <c r="N782">
        <v>0</v>
      </c>
      <c r="O782">
        <v>1.799421E-2</v>
      </c>
      <c r="P782">
        <v>0.99245459999999996</v>
      </c>
      <c r="Q782">
        <v>0.1068747</v>
      </c>
      <c r="R782">
        <v>-6.0100340000000002E-2</v>
      </c>
      <c r="S782">
        <v>3.0719449999999999</v>
      </c>
      <c r="T782">
        <v>-0.65383579999999997</v>
      </c>
      <c r="U782">
        <v>-0.3526917</v>
      </c>
      <c r="V782">
        <v>7.7975279999999994E-2</v>
      </c>
      <c r="W782">
        <v>0.1216006</v>
      </c>
      <c r="X782">
        <v>0.98951149999999999</v>
      </c>
      <c r="Y782">
        <v>0.1286767</v>
      </c>
      <c r="Z782">
        <v>-1.7275990000000001E-2</v>
      </c>
      <c r="AA782">
        <v>0.99153610000000003</v>
      </c>
      <c r="AB782">
        <v>49</v>
      </c>
      <c r="AC782">
        <v>0.52780000000001304</v>
      </c>
      <c r="AD782">
        <v>-0.1730266</v>
      </c>
      <c r="AE782">
        <v>-9.8700000000008004E-2</v>
      </c>
      <c r="AF782">
        <v>9.8005635085889498E-2</v>
      </c>
      <c r="AG782">
        <v>-0.1730266</v>
      </c>
      <c r="AH782">
        <v>0.47646300408985098</v>
      </c>
      <c r="AI782">
        <v>109.58052927394699</v>
      </c>
      <c r="AJ782">
        <v>78.376713155748803</v>
      </c>
      <c r="AK782">
        <v>0.51629478312537103</v>
      </c>
      <c r="AL782">
        <v>83.015512745063305</v>
      </c>
      <c r="AM782">
        <v>85.494300852577894</v>
      </c>
      <c r="AN782">
        <v>0.99999992942184102</v>
      </c>
    </row>
    <row r="783" spans="1:40" x14ac:dyDescent="0.25">
      <c r="A783" t="str">
        <f>"20190312164449769"</f>
        <v>20190312164449769</v>
      </c>
      <c r="B783" t="str">
        <f>"1552380289761929"</f>
        <v>1552380289761929</v>
      </c>
      <c r="C783" t="s">
        <v>40</v>
      </c>
      <c r="D783">
        <v>5.0776029999999999</v>
      </c>
      <c r="E783">
        <v>0.52909589999999995</v>
      </c>
      <c r="F783" t="s">
        <v>41</v>
      </c>
      <c r="G783">
        <v>-251.01220000000001</v>
      </c>
      <c r="H783">
        <v>0.90504720000000005</v>
      </c>
      <c r="I783">
        <v>367.28390000000002</v>
      </c>
      <c r="J783">
        <v>-251.66640000000001</v>
      </c>
      <c r="K783">
        <v>1.108344</v>
      </c>
      <c r="L783">
        <v>367.39929999999998</v>
      </c>
      <c r="M783">
        <v>0.99972780000000006</v>
      </c>
      <c r="N783">
        <v>0</v>
      </c>
      <c r="O783">
        <v>1.7964649999999999E-2</v>
      </c>
      <c r="P783">
        <v>0.99245050000000001</v>
      </c>
      <c r="Q783">
        <v>0.106863</v>
      </c>
      <c r="R783">
        <v>-6.0185349999999999E-2</v>
      </c>
      <c r="S783">
        <v>3.0719150000000002</v>
      </c>
      <c r="T783">
        <v>-0.65587830000000003</v>
      </c>
      <c r="U783">
        <v>-0.35498049999999998</v>
      </c>
      <c r="V783">
        <v>7.8031030000000001E-2</v>
      </c>
      <c r="W783">
        <v>0.1215893</v>
      </c>
      <c r="X783">
        <v>0.98950859999999996</v>
      </c>
      <c r="Y783">
        <v>0.1293436</v>
      </c>
      <c r="Z783">
        <v>-1.7392189999999998E-2</v>
      </c>
      <c r="AA783">
        <v>0.99144730000000003</v>
      </c>
      <c r="AB783">
        <v>49</v>
      </c>
      <c r="AC783">
        <v>0.654200000000002</v>
      </c>
      <c r="AD783">
        <v>-0.2032968</v>
      </c>
      <c r="AE783">
        <v>-0.115399999999965</v>
      </c>
      <c r="AF783">
        <v>0.116247917818333</v>
      </c>
      <c r="AG783">
        <v>-0.2032968</v>
      </c>
      <c r="AH783">
        <v>0.59618516363306695</v>
      </c>
      <c r="AI783">
        <v>108.505031581461</v>
      </c>
      <c r="AJ783">
        <v>78.966549173435794</v>
      </c>
      <c r="AK783">
        <v>0.64053096460945902</v>
      </c>
      <c r="AL783">
        <v>83.016165764955304</v>
      </c>
      <c r="AM783">
        <v>85.4910795310292</v>
      </c>
      <c r="AN783">
        <v>1.0000000344956499</v>
      </c>
    </row>
    <row r="784" spans="1:40" x14ac:dyDescent="0.25">
      <c r="A784" t="str">
        <f>"20190312164449785"</f>
        <v>20190312164449785</v>
      </c>
      <c r="B784" t="str">
        <f>"1552380289772665"</f>
        <v>1552380289772665</v>
      </c>
      <c r="C784" t="s">
        <v>40</v>
      </c>
      <c r="D784">
        <v>4.9778789999999997</v>
      </c>
      <c r="E784">
        <v>0.52933019999999997</v>
      </c>
      <c r="F784" t="s">
        <v>41</v>
      </c>
      <c r="G784">
        <v>-250.58600000000001</v>
      </c>
      <c r="H784">
        <v>0.87780550000000002</v>
      </c>
      <c r="I784">
        <v>367.27379999999999</v>
      </c>
      <c r="J784">
        <v>-251.3237</v>
      </c>
      <c r="K784">
        <v>1.1083499999999999</v>
      </c>
      <c r="L784">
        <v>367.40550000000002</v>
      </c>
      <c r="M784">
        <v>0.99972859999999997</v>
      </c>
      <c r="N784">
        <v>0</v>
      </c>
      <c r="O784">
        <v>1.7930390000000001E-2</v>
      </c>
      <c r="P784">
        <v>0.99245850000000002</v>
      </c>
      <c r="Q784">
        <v>0.10668619999999999</v>
      </c>
      <c r="R784">
        <v>-6.0368980000000003E-2</v>
      </c>
      <c r="S784">
        <v>3.0718230000000002</v>
      </c>
      <c r="T784">
        <v>-0.65550540000000002</v>
      </c>
      <c r="U784">
        <v>-0.35617070000000001</v>
      </c>
      <c r="V784">
        <v>7.8180609999999998E-2</v>
      </c>
      <c r="W784">
        <v>0.1214122</v>
      </c>
      <c r="X784">
        <v>0.98951849999999997</v>
      </c>
      <c r="Y784">
        <v>0.12968879999999999</v>
      </c>
      <c r="Z784">
        <v>-1.741175E-2</v>
      </c>
      <c r="AA784">
        <v>0.99140189999999995</v>
      </c>
      <c r="AB784">
        <v>49</v>
      </c>
      <c r="AC784">
        <v>0.73770000000001701</v>
      </c>
      <c r="AD784">
        <v>-0.23054450000000001</v>
      </c>
      <c r="AE784">
        <v>-0.13170000000002299</v>
      </c>
      <c r="AF784">
        <v>0.132377870400785</v>
      </c>
      <c r="AG784">
        <v>-0.23054450000000001</v>
      </c>
      <c r="AH784">
        <v>0.67164772552627205</v>
      </c>
      <c r="AI784">
        <v>108.612149535779</v>
      </c>
      <c r="AJ784">
        <v>78.850243289058</v>
      </c>
      <c r="AK784">
        <v>0.72234710095404397</v>
      </c>
      <c r="AL784">
        <v>83.026388314534302</v>
      </c>
      <c r="AM784">
        <v>85.482517000590093</v>
      </c>
      <c r="AN784">
        <v>0.99999999596553102</v>
      </c>
    </row>
    <row r="785" spans="1:40" x14ac:dyDescent="0.25">
      <c r="A785" t="str">
        <f>"20190312164449806"</f>
        <v>20190312164449806</v>
      </c>
      <c r="B785" t="str">
        <f>"1552380289801945"</f>
        <v>1552380289801945</v>
      </c>
      <c r="C785" t="s">
        <v>40</v>
      </c>
      <c r="D785">
        <v>4.9236870000000001</v>
      </c>
      <c r="E785">
        <v>0.52966169999999901</v>
      </c>
      <c r="F785" t="s">
        <v>41</v>
      </c>
      <c r="G785">
        <v>-250.55869999999999</v>
      </c>
      <c r="H785">
        <v>0.94427539999999999</v>
      </c>
      <c r="I785">
        <v>367.3159</v>
      </c>
      <c r="J785">
        <v>-250.84719999999999</v>
      </c>
      <c r="K785">
        <v>1.1083559999999999</v>
      </c>
      <c r="L785">
        <v>367.41399999999999</v>
      </c>
      <c r="M785">
        <v>0.99972939999999999</v>
      </c>
      <c r="N785">
        <v>0</v>
      </c>
      <c r="O785">
        <v>1.7883300000000001E-2</v>
      </c>
      <c r="P785">
        <v>0.99241599999999996</v>
      </c>
      <c r="Q785">
        <v>0.10688880000000001</v>
      </c>
      <c r="R785">
        <v>-6.0710609999999998E-2</v>
      </c>
      <c r="S785">
        <v>3.0718079999999999</v>
      </c>
      <c r="T785">
        <v>-0.65892280000000003</v>
      </c>
      <c r="U785">
        <v>-0.35885620000000001</v>
      </c>
      <c r="V785">
        <v>7.8474829999999995E-2</v>
      </c>
      <c r="W785">
        <v>0.1216134</v>
      </c>
      <c r="X785">
        <v>0.98947050000000003</v>
      </c>
      <c r="Y785">
        <v>0.13044829999999999</v>
      </c>
      <c r="Z785">
        <v>-1.7570079999999998E-2</v>
      </c>
      <c r="AA785">
        <v>0.9912995</v>
      </c>
      <c r="AB785">
        <v>49</v>
      </c>
      <c r="AC785">
        <v>0.28849999999999898</v>
      </c>
      <c r="AD785">
        <v>-0.16408059999999899</v>
      </c>
      <c r="AE785">
        <v>-9.8099999999988002E-2</v>
      </c>
      <c r="AF785">
        <v>8.0038118660040999E-2</v>
      </c>
      <c r="AG785">
        <v>-0.16408059999999899</v>
      </c>
      <c r="AH785">
        <v>0.222258205405856</v>
      </c>
      <c r="AI785">
        <v>124.783017921325</v>
      </c>
      <c r="AJ785">
        <v>70.195380940956298</v>
      </c>
      <c r="AK785">
        <v>0.28762345802321199</v>
      </c>
      <c r="AL785">
        <v>83.014774330036403</v>
      </c>
      <c r="AM785">
        <v>85.465367903589296</v>
      </c>
      <c r="AN785">
        <v>0.99999999418666896</v>
      </c>
    </row>
    <row r="786" spans="1:40" x14ac:dyDescent="0.25">
      <c r="A786" t="str">
        <f>"20190312164449818"</f>
        <v>20190312164449818</v>
      </c>
      <c r="B786" t="str">
        <f>"1552380289812682"</f>
        <v>1552380289812682</v>
      </c>
      <c r="C786" t="s">
        <v>40</v>
      </c>
      <c r="D786">
        <v>4.8798399999999997</v>
      </c>
      <c r="E786">
        <v>0.52975640000000002</v>
      </c>
      <c r="F786" t="s">
        <v>41</v>
      </c>
      <c r="G786">
        <v>-250.11840000000001</v>
      </c>
      <c r="H786">
        <v>0.95240939999999996</v>
      </c>
      <c r="I786">
        <v>367.3279</v>
      </c>
      <c r="J786">
        <v>-250.60130000000001</v>
      </c>
      <c r="K786">
        <v>1.1083590000000001</v>
      </c>
      <c r="L786">
        <v>367.41829999999999</v>
      </c>
      <c r="M786">
        <v>0.99972989999999995</v>
      </c>
      <c r="N786">
        <v>0</v>
      </c>
      <c r="O786">
        <v>1.7858929999999999E-2</v>
      </c>
      <c r="P786">
        <v>0.99240419999999996</v>
      </c>
      <c r="Q786">
        <v>0.1068625</v>
      </c>
      <c r="R786">
        <v>-6.0947910000000001E-2</v>
      </c>
      <c r="S786">
        <v>3.071564</v>
      </c>
      <c r="T786">
        <v>-0.65741830000000001</v>
      </c>
      <c r="U786">
        <v>-0.36242679999999999</v>
      </c>
      <c r="V786">
        <v>7.8687740000000006E-2</v>
      </c>
      <c r="W786">
        <v>0.1215864</v>
      </c>
      <c r="X786">
        <v>0.98945689999999997</v>
      </c>
      <c r="Y786">
        <v>0.1315605</v>
      </c>
      <c r="Z786">
        <v>-1.7643220000000001E-2</v>
      </c>
      <c r="AA786">
        <v>0.99115120000000001</v>
      </c>
      <c r="AB786">
        <v>49</v>
      </c>
      <c r="AC786">
        <v>0.4829</v>
      </c>
      <c r="AD786">
        <v>-0.15594959999999999</v>
      </c>
      <c r="AE786">
        <v>-9.0399999999988198E-2</v>
      </c>
      <c r="AF786">
        <v>8.9947370678802596E-2</v>
      </c>
      <c r="AG786">
        <v>-0.15594959999999999</v>
      </c>
      <c r="AH786">
        <v>0.437159460443028</v>
      </c>
      <c r="AI786">
        <v>109.26014885433599</v>
      </c>
      <c r="AJ786">
        <v>78.373413287498195</v>
      </c>
      <c r="AK786">
        <v>0.47277817323458299</v>
      </c>
      <c r="AL786">
        <v>83.016332817491701</v>
      </c>
      <c r="AM786">
        <v>85.453054281378499</v>
      </c>
      <c r="AN786">
        <v>0.99999998502443799</v>
      </c>
    </row>
    <row r="787" spans="1:40" x14ac:dyDescent="0.25">
      <c r="A787" t="str">
        <f>"20190312164449829"</f>
        <v>20190312164449829</v>
      </c>
      <c r="B787" t="str">
        <f>"1552380289822441"</f>
        <v>1552380289822441</v>
      </c>
      <c r="C787" t="s">
        <v>40</v>
      </c>
      <c r="D787">
        <v>5.016375</v>
      </c>
      <c r="E787">
        <v>0.52990039999999905</v>
      </c>
      <c r="F787" t="s">
        <v>41</v>
      </c>
      <c r="G787">
        <v>-249.6986</v>
      </c>
      <c r="H787">
        <v>0.91534009999999999</v>
      </c>
      <c r="I787">
        <v>367.31119999999999</v>
      </c>
      <c r="J787">
        <v>-250.35059999999999</v>
      </c>
      <c r="K787">
        <v>1.10836</v>
      </c>
      <c r="L787">
        <v>367.4228</v>
      </c>
      <c r="M787">
        <v>0.99973029999999996</v>
      </c>
      <c r="N787">
        <v>0</v>
      </c>
      <c r="O787">
        <v>1.7834019999999999E-2</v>
      </c>
      <c r="P787">
        <v>0.99238610000000005</v>
      </c>
      <c r="Q787">
        <v>0.1069667</v>
      </c>
      <c r="R787">
        <v>-6.1062270000000002E-2</v>
      </c>
      <c r="S787">
        <v>3.0713650000000001</v>
      </c>
      <c r="T787">
        <v>-0.65677730000000001</v>
      </c>
      <c r="U787">
        <v>-0.36376950000000002</v>
      </c>
      <c r="V787">
        <v>7.8776810000000003E-2</v>
      </c>
      <c r="W787">
        <v>0.1216901</v>
      </c>
      <c r="X787">
        <v>0.98943709999999996</v>
      </c>
      <c r="Y787">
        <v>0.13196830000000001</v>
      </c>
      <c r="Z787">
        <v>-1.7664780000000001E-2</v>
      </c>
      <c r="AA787">
        <v>0.99109659999999999</v>
      </c>
      <c r="AB787">
        <v>49</v>
      </c>
      <c r="AC787">
        <v>0.65199999999998604</v>
      </c>
      <c r="AD787">
        <v>-0.19301989999999999</v>
      </c>
      <c r="AE787">
        <v>-0.111600000000009</v>
      </c>
      <c r="AF787">
        <v>0.113543460382367</v>
      </c>
      <c r="AG787">
        <v>-0.19301989999999999</v>
      </c>
      <c r="AH787">
        <v>0.598910513432244</v>
      </c>
      <c r="AI787">
        <v>107.570123918535</v>
      </c>
      <c r="AJ787">
        <v>79.265075296533595</v>
      </c>
      <c r="AK787">
        <v>0.63940800924862196</v>
      </c>
      <c r="AL787">
        <v>83.010347045362707</v>
      </c>
      <c r="AM787">
        <v>85.447838308641394</v>
      </c>
      <c r="AN787">
        <v>1.00000002054409</v>
      </c>
    </row>
    <row r="788" spans="1:40" x14ac:dyDescent="0.25">
      <c r="A788" t="str">
        <f>"20190312164449840"</f>
        <v>20190312164449840</v>
      </c>
      <c r="B788" t="str">
        <f>"1552380289832201"</f>
        <v>1552380289832201</v>
      </c>
      <c r="C788" t="s">
        <v>40</v>
      </c>
      <c r="D788">
        <v>4.832389</v>
      </c>
      <c r="E788">
        <v>0.53006469999999895</v>
      </c>
      <c r="F788" t="s">
        <v>41</v>
      </c>
      <c r="G788">
        <v>-249.27690000000001</v>
      </c>
      <c r="H788">
        <v>0.87890959999999996</v>
      </c>
      <c r="I788">
        <v>367.29509999999999</v>
      </c>
      <c r="J788">
        <v>-250.10929999999999</v>
      </c>
      <c r="K788">
        <v>1.1083590000000001</v>
      </c>
      <c r="L788">
        <v>367.4271</v>
      </c>
      <c r="M788">
        <v>0.99973060000000002</v>
      </c>
      <c r="N788">
        <v>0</v>
      </c>
      <c r="O788">
        <v>1.7809769999999999E-2</v>
      </c>
      <c r="P788">
        <v>0.9923805</v>
      </c>
      <c r="Q788">
        <v>0.10691870000000001</v>
      </c>
      <c r="R788">
        <v>-6.1233410000000002E-2</v>
      </c>
      <c r="S788">
        <v>3.0712739999999998</v>
      </c>
      <c r="T788">
        <v>-0.65630010000000005</v>
      </c>
      <c r="U788">
        <v>-0.365448</v>
      </c>
      <c r="V788">
        <v>7.892391E-2</v>
      </c>
      <c r="W788">
        <v>0.12164079999999999</v>
      </c>
      <c r="X788">
        <v>0.98943139999999996</v>
      </c>
      <c r="Y788">
        <v>0.13247590000000001</v>
      </c>
      <c r="Z788">
        <v>-1.7700540000000001E-2</v>
      </c>
      <c r="AA788">
        <v>0.99102820000000003</v>
      </c>
      <c r="AB788">
        <v>49</v>
      </c>
      <c r="AC788">
        <v>0.83239999999997805</v>
      </c>
      <c r="AD788">
        <v>-0.2294494</v>
      </c>
      <c r="AE788">
        <v>-0.132000000000005</v>
      </c>
      <c r="AF788">
        <v>0.13667544517798699</v>
      </c>
      <c r="AG788">
        <v>-0.2294494</v>
      </c>
      <c r="AH788">
        <v>0.77264956493541703</v>
      </c>
      <c r="AI788">
        <v>106.30021467289799</v>
      </c>
      <c r="AJ788">
        <v>79.968611859803303</v>
      </c>
      <c r="AK788">
        <v>0.81750507929299698</v>
      </c>
      <c r="AL788">
        <v>83.013192594581</v>
      </c>
      <c r="AM788">
        <v>85.439347716554494</v>
      </c>
      <c r="AN788">
        <v>0.99999998155014302</v>
      </c>
    </row>
    <row r="789" spans="1:40" x14ac:dyDescent="0.25">
      <c r="A789" t="str">
        <f>"20190312164449851"</f>
        <v>20190312164449851</v>
      </c>
      <c r="B789" t="str">
        <f>"1552380289841962"</f>
        <v>1552380289841962</v>
      </c>
      <c r="C789" t="s">
        <v>40</v>
      </c>
      <c r="D789">
        <v>4.6504009999999996</v>
      </c>
      <c r="E789">
        <v>0.53017289999999995</v>
      </c>
      <c r="F789" t="s">
        <v>41</v>
      </c>
      <c r="G789">
        <v>-249.25800000000001</v>
      </c>
      <c r="H789">
        <v>0.92658019999999996</v>
      </c>
      <c r="I789">
        <v>367.32530000000003</v>
      </c>
      <c r="J789">
        <v>-249.87960000000001</v>
      </c>
      <c r="K789">
        <v>1.108358</v>
      </c>
      <c r="L789">
        <v>367.43119999999999</v>
      </c>
      <c r="M789">
        <v>0.99973109999999998</v>
      </c>
      <c r="N789">
        <v>0</v>
      </c>
      <c r="O789">
        <v>1.778677E-2</v>
      </c>
      <c r="P789">
        <v>0.99239659999999996</v>
      </c>
      <c r="Q789">
        <v>0.10682899999999999</v>
      </c>
      <c r="R789">
        <v>-6.1130009999999999E-2</v>
      </c>
      <c r="S789">
        <v>3.070999</v>
      </c>
      <c r="T789">
        <v>-0.65566269999999904</v>
      </c>
      <c r="U789">
        <v>-0.36724849999999998</v>
      </c>
      <c r="V789">
        <v>7.8797969999999995E-2</v>
      </c>
      <c r="W789">
        <v>0.1215509</v>
      </c>
      <c r="X789">
        <v>0.98945249999999996</v>
      </c>
      <c r="Y789">
        <v>0.1330307</v>
      </c>
      <c r="Z789">
        <v>-1.7738179999999999E-2</v>
      </c>
      <c r="AA789">
        <v>0.99095319999999998</v>
      </c>
      <c r="AB789">
        <v>49</v>
      </c>
      <c r="AC789">
        <v>0.62160000000002902</v>
      </c>
      <c r="AD789">
        <v>-0.18177779999999999</v>
      </c>
      <c r="AE789">
        <v>-0.105899999999962</v>
      </c>
      <c r="AF789">
        <v>0.10796791239223399</v>
      </c>
      <c r="AG789">
        <v>-0.18177779999999999</v>
      </c>
      <c r="AH789">
        <v>0.57207480934405097</v>
      </c>
      <c r="AI789">
        <v>107.34043107037699</v>
      </c>
      <c r="AJ789">
        <v>79.312256967821199</v>
      </c>
      <c r="AK789">
        <v>0.609893290801931</v>
      </c>
      <c r="AL789">
        <v>83.018382090484394</v>
      </c>
      <c r="AM789">
        <v>85.446691278964707</v>
      </c>
      <c r="AN789">
        <v>0.99999999556159003</v>
      </c>
    </row>
    <row r="790" spans="1:40" x14ac:dyDescent="0.25">
      <c r="A790" t="str">
        <f>"20190312164449861"</f>
        <v>20190312164449861</v>
      </c>
      <c r="B790" t="str">
        <f>"1552380289852699"</f>
        <v>1552380289852699</v>
      </c>
      <c r="C790" t="s">
        <v>40</v>
      </c>
      <c r="D790">
        <v>4.6570489999999998</v>
      </c>
      <c r="E790">
        <v>0.53017289999999995</v>
      </c>
      <c r="F790" t="s">
        <v>41</v>
      </c>
      <c r="G790">
        <v>-248.83860000000001</v>
      </c>
      <c r="H790">
        <v>0.8860538</v>
      </c>
      <c r="I790">
        <v>367.30619999999999</v>
      </c>
      <c r="J790">
        <v>-249.63489999999999</v>
      </c>
      <c r="K790">
        <v>1.1083590000000001</v>
      </c>
      <c r="L790">
        <v>367.43549999999999</v>
      </c>
      <c r="M790">
        <v>0.9997315</v>
      </c>
      <c r="N790">
        <v>0</v>
      </c>
      <c r="O790">
        <v>1.776223E-2</v>
      </c>
      <c r="P790">
        <v>0.99239330000000003</v>
      </c>
      <c r="Q790">
        <v>0.1067251</v>
      </c>
      <c r="R790">
        <v>-6.1364719999999998E-2</v>
      </c>
      <c r="S790">
        <v>3.0708920000000002</v>
      </c>
      <c r="T790">
        <v>-0.6557965</v>
      </c>
      <c r="U790">
        <v>-0.3681335</v>
      </c>
      <c r="V790">
        <v>7.9008209999999995E-2</v>
      </c>
      <c r="W790">
        <v>0.12144629999999999</v>
      </c>
      <c r="X790">
        <v>0.98944860000000001</v>
      </c>
      <c r="Y790">
        <v>0.1332854</v>
      </c>
      <c r="Z790">
        <v>-1.7763669999999999E-2</v>
      </c>
      <c r="AA790">
        <v>0.99091850000000004</v>
      </c>
      <c r="AB790">
        <v>49</v>
      </c>
      <c r="AC790">
        <v>0.79629999999997303</v>
      </c>
      <c r="AD790">
        <v>-0.22230520000000001</v>
      </c>
      <c r="AE790">
        <v>-0.1293</v>
      </c>
      <c r="AF790">
        <v>0.133302839209407</v>
      </c>
      <c r="AG790">
        <v>-0.22230520000000001</v>
      </c>
      <c r="AH790">
        <v>0.73784869304025602</v>
      </c>
      <c r="AI790">
        <v>106.51448737405499</v>
      </c>
      <c r="AJ790">
        <v>79.759169357703897</v>
      </c>
      <c r="AK790">
        <v>0.78205494865101599</v>
      </c>
      <c r="AL790">
        <v>83.024420107025705</v>
      </c>
      <c r="AM790">
        <v>85.434576015955997</v>
      </c>
      <c r="AN790">
        <v>1.0000000165365199</v>
      </c>
    </row>
    <row r="791" spans="1:40" x14ac:dyDescent="0.25">
      <c r="A791" t="str">
        <f>"20190312164449873"</f>
        <v>20190312164449873</v>
      </c>
      <c r="B791" t="str">
        <f>"1552380289862458"</f>
        <v>1552380289862458</v>
      </c>
      <c r="C791" t="s">
        <v>40</v>
      </c>
      <c r="D791">
        <v>4.9509339999999904</v>
      </c>
      <c r="E791">
        <v>0.53890269999999996</v>
      </c>
      <c r="F791" t="s">
        <v>41</v>
      </c>
      <c r="G791">
        <v>-248.8192</v>
      </c>
      <c r="H791">
        <v>0.93407750000000001</v>
      </c>
      <c r="I791">
        <v>367.3374</v>
      </c>
      <c r="J791">
        <v>-249.3981</v>
      </c>
      <c r="K791">
        <v>1.10836</v>
      </c>
      <c r="L791">
        <v>367.43970000000002</v>
      </c>
      <c r="M791">
        <v>0.99973199999999995</v>
      </c>
      <c r="N791">
        <v>0</v>
      </c>
      <c r="O791">
        <v>1.7738810000000001E-2</v>
      </c>
      <c r="P791">
        <v>0.99240289999999998</v>
      </c>
      <c r="Q791">
        <v>0.1067203</v>
      </c>
      <c r="R791">
        <v>-6.1215650000000003E-2</v>
      </c>
      <c r="S791">
        <v>3.0707239999999998</v>
      </c>
      <c r="T791">
        <v>-0.65611030000000004</v>
      </c>
      <c r="U791">
        <v>-0.36880489999999999</v>
      </c>
      <c r="V791">
        <v>7.8836119999999996E-2</v>
      </c>
      <c r="W791">
        <v>0.1214411</v>
      </c>
      <c r="X791">
        <v>0.98946299999999998</v>
      </c>
      <c r="Y791">
        <v>0.13347500000000001</v>
      </c>
      <c r="Z791">
        <v>-1.778774E-2</v>
      </c>
      <c r="AA791">
        <v>0.99089249999999995</v>
      </c>
      <c r="AB791">
        <v>49</v>
      </c>
      <c r="AC791">
        <v>0.57890000000000397</v>
      </c>
      <c r="AD791">
        <v>-0.17428250000000001</v>
      </c>
      <c r="AE791">
        <v>-0.10230000000001301</v>
      </c>
      <c r="AF791">
        <v>0.10346073725796801</v>
      </c>
      <c r="AG791">
        <v>-0.17428250000000001</v>
      </c>
      <c r="AH791">
        <v>0.53037837951023103</v>
      </c>
      <c r="AI791">
        <v>107.875615842778</v>
      </c>
      <c r="AJ791">
        <v>78.961945291429004</v>
      </c>
      <c r="AK791">
        <v>0.56778494116356304</v>
      </c>
      <c r="AL791">
        <v>83.0247205116939</v>
      </c>
      <c r="AM791">
        <v>85.444544212008594</v>
      </c>
      <c r="AN791">
        <v>1.0000000514774301</v>
      </c>
    </row>
    <row r="792" spans="1:40" x14ac:dyDescent="0.25">
      <c r="A792" t="str">
        <f>"20190312164449883"</f>
        <v>20190312164449883</v>
      </c>
      <c r="B792" t="str">
        <f>"1552380289872217"</f>
        <v>1552380289872217</v>
      </c>
      <c r="C792" t="s">
        <v>40</v>
      </c>
      <c r="D792">
        <v>4.786867</v>
      </c>
      <c r="E792">
        <v>0.53829969999999905</v>
      </c>
      <c r="F792" t="s">
        <v>41</v>
      </c>
      <c r="G792">
        <v>-248.41839999999999</v>
      </c>
      <c r="H792">
        <v>0.84999799999999903</v>
      </c>
      <c r="I792">
        <v>367.30349999999999</v>
      </c>
      <c r="J792">
        <v>-249.1549</v>
      </c>
      <c r="K792">
        <v>1.1083620000000001</v>
      </c>
      <c r="L792">
        <v>367.44400000000002</v>
      </c>
      <c r="M792">
        <v>0.99973239999999997</v>
      </c>
      <c r="N792">
        <v>0</v>
      </c>
      <c r="O792">
        <v>1.771474E-2</v>
      </c>
      <c r="P792">
        <v>0.99239829999999996</v>
      </c>
      <c r="Q792">
        <v>0.1065952</v>
      </c>
      <c r="R792">
        <v>-6.1509050000000003E-2</v>
      </c>
      <c r="S792">
        <v>3.0839690000000002</v>
      </c>
      <c r="T792">
        <v>-0.81331109999999995</v>
      </c>
      <c r="U792">
        <v>-0.42877199999999999</v>
      </c>
      <c r="V792">
        <v>7.9105579999999995E-2</v>
      </c>
      <c r="W792">
        <v>0.1213147</v>
      </c>
      <c r="X792">
        <v>0.98945700000000003</v>
      </c>
      <c r="Y792">
        <v>0.14961629999999901</v>
      </c>
      <c r="Z792">
        <v>-2.38827E-2</v>
      </c>
      <c r="AA792">
        <v>0.98845570000000005</v>
      </c>
      <c r="AB792">
        <v>49</v>
      </c>
      <c r="AC792">
        <v>0.73650000000000604</v>
      </c>
      <c r="AD792">
        <v>-0.25836399999999998</v>
      </c>
      <c r="AE792">
        <v>-0.14050000000003099</v>
      </c>
      <c r="AF792">
        <v>0.13723152585776099</v>
      </c>
      <c r="AG792">
        <v>-0.25836399999999998</v>
      </c>
      <c r="AH792">
        <v>0.65600200366598904</v>
      </c>
      <c r="AI792">
        <v>111.081726599598</v>
      </c>
      <c r="AJ792">
        <v>78.184471065418705</v>
      </c>
      <c r="AK792">
        <v>0.71827785501088703</v>
      </c>
      <c r="AL792">
        <v>83.032016646657993</v>
      </c>
      <c r="AM792">
        <v>85.429012041492101</v>
      </c>
      <c r="AN792">
        <v>1.0000000520361101</v>
      </c>
    </row>
    <row r="793" spans="1:40" x14ac:dyDescent="0.25">
      <c r="A793" t="str">
        <f>"20190312164449895"</f>
        <v>20190312164449895</v>
      </c>
      <c r="B793" t="str">
        <f>"1552380289892713"</f>
        <v>1552380289892713</v>
      </c>
      <c r="C793" t="s">
        <v>40</v>
      </c>
      <c r="D793">
        <v>4.589048</v>
      </c>
      <c r="E793">
        <v>0.53687320000000005</v>
      </c>
      <c r="F793" t="s">
        <v>41</v>
      </c>
      <c r="G793">
        <v>-248.3947</v>
      </c>
      <c r="H793">
        <v>0.91027270000000005</v>
      </c>
      <c r="I793">
        <v>367.33909999999997</v>
      </c>
      <c r="J793">
        <v>-248.9127</v>
      </c>
      <c r="K793">
        <v>1.108363</v>
      </c>
      <c r="L793">
        <v>367.44830000000002</v>
      </c>
      <c r="M793">
        <v>0.99973299999999998</v>
      </c>
      <c r="N793">
        <v>0</v>
      </c>
      <c r="O793">
        <v>1.769072E-2</v>
      </c>
      <c r="P793">
        <v>0.99238700000000002</v>
      </c>
      <c r="Q793">
        <v>0.10661669999999999</v>
      </c>
      <c r="R793">
        <v>-6.1653930000000003E-2</v>
      </c>
      <c r="S793">
        <v>3.082916</v>
      </c>
      <c r="T793">
        <v>-0.80332109999999901</v>
      </c>
      <c r="U793">
        <v>-0.42526249999999999</v>
      </c>
      <c r="V793">
        <v>7.9226519999999995E-2</v>
      </c>
      <c r="W793">
        <v>0.1213351</v>
      </c>
      <c r="X793">
        <v>0.98944480000000001</v>
      </c>
      <c r="Y793">
        <v>0.14869579999999999</v>
      </c>
      <c r="Z793">
        <v>-2.3484660000000001E-2</v>
      </c>
      <c r="AA793">
        <v>0.98860409999999999</v>
      </c>
      <c r="AB793">
        <v>49</v>
      </c>
      <c r="AC793">
        <v>0.51800000000000002</v>
      </c>
      <c r="AD793">
        <v>-0.1980903</v>
      </c>
      <c r="AE793">
        <v>-0.109200000000043</v>
      </c>
      <c r="AF793">
        <v>0.10381217229232099</v>
      </c>
      <c r="AG793">
        <v>-0.1980903</v>
      </c>
      <c r="AH793">
        <v>0.45261304584828899</v>
      </c>
      <c r="AI793">
        <v>113.102247403166</v>
      </c>
      <c r="AJ793">
        <v>77.081965792042396</v>
      </c>
      <c r="AK793">
        <v>0.50485176373090601</v>
      </c>
      <c r="AL793">
        <v>83.0308389606096</v>
      </c>
      <c r="AM793">
        <v>85.421997194492604</v>
      </c>
      <c r="AN793">
        <v>1.0000000301051699</v>
      </c>
    </row>
    <row r="794" spans="1:40" x14ac:dyDescent="0.25">
      <c r="A794" t="str">
        <f>"20190312164449907"</f>
        <v>20190312164449907</v>
      </c>
      <c r="B794" t="str">
        <f>"1552380289902474"</f>
        <v>1552380289902474</v>
      </c>
      <c r="C794" t="s">
        <v>40</v>
      </c>
      <c r="D794">
        <v>4.7707990000000002</v>
      </c>
      <c r="E794">
        <v>0.53724479999999997</v>
      </c>
      <c r="F794" t="s">
        <v>41</v>
      </c>
      <c r="G794">
        <v>-247.9802</v>
      </c>
      <c r="H794">
        <v>0.85958709999999905</v>
      </c>
      <c r="I794">
        <v>367.32330000000002</v>
      </c>
      <c r="J794">
        <v>-248.65459999999999</v>
      </c>
      <c r="K794">
        <v>1.1083620000000001</v>
      </c>
      <c r="L794">
        <v>367.4529</v>
      </c>
      <c r="M794">
        <v>0.99973330000000005</v>
      </c>
      <c r="N794">
        <v>0</v>
      </c>
      <c r="O794">
        <v>1.7665340000000002E-2</v>
      </c>
      <c r="P794">
        <v>0.99237810000000004</v>
      </c>
      <c r="Q794">
        <v>0.10672130000000001</v>
      </c>
      <c r="R794">
        <v>-6.1614460000000003E-2</v>
      </c>
      <c r="S794">
        <v>3.0858460000000001</v>
      </c>
      <c r="T794">
        <v>-0.82330329999999996</v>
      </c>
      <c r="U794">
        <v>-0.41287230000000003</v>
      </c>
      <c r="V794">
        <v>7.9161670000000003E-2</v>
      </c>
      <c r="W794">
        <v>0.1214387</v>
      </c>
      <c r="X794">
        <v>0.98943720000000002</v>
      </c>
      <c r="Y794">
        <v>0.14452579999999901</v>
      </c>
      <c r="Z794">
        <v>-2.348271E-2</v>
      </c>
      <c r="AA794">
        <v>0.9892223</v>
      </c>
      <c r="AB794">
        <v>49</v>
      </c>
      <c r="AC794">
        <v>0.67439999999999101</v>
      </c>
      <c r="AD794">
        <v>-0.24877489999999999</v>
      </c>
      <c r="AE794">
        <v>-0.12959999999998201</v>
      </c>
      <c r="AF794">
        <v>0.12508045447276001</v>
      </c>
      <c r="AG794">
        <v>-0.24877489999999999</v>
      </c>
      <c r="AH794">
        <v>0.59404882403825399</v>
      </c>
      <c r="AI794">
        <v>112.283485370265</v>
      </c>
      <c r="AJ794">
        <v>78.109721658018103</v>
      </c>
      <c r="AK794">
        <v>0.65607017635490394</v>
      </c>
      <c r="AL794">
        <v>83.024858337647501</v>
      </c>
      <c r="AM794">
        <v>85.425693572945406</v>
      </c>
      <c r="AN794">
        <v>0.99999995029935795</v>
      </c>
    </row>
    <row r="795" spans="1:40" x14ac:dyDescent="0.25">
      <c r="A795" t="str">
        <f>"20190312164449919"</f>
        <v>20190312164449919</v>
      </c>
      <c r="B795" t="str">
        <f>"1552380289912233"</f>
        <v>1552380289912233</v>
      </c>
      <c r="C795" t="s">
        <v>40</v>
      </c>
      <c r="D795">
        <v>4.6988690000000002</v>
      </c>
      <c r="E795">
        <v>0.53699869999999905</v>
      </c>
      <c r="F795" t="s">
        <v>41</v>
      </c>
      <c r="G795">
        <v>-247.9546</v>
      </c>
      <c r="H795">
        <v>0.92313860000000003</v>
      </c>
      <c r="I795">
        <v>367.35829999999999</v>
      </c>
      <c r="J795">
        <v>-248.41579999999999</v>
      </c>
      <c r="K795">
        <v>1.1083639999999999</v>
      </c>
      <c r="L795">
        <v>367.45710000000003</v>
      </c>
      <c r="M795">
        <v>0.99973369999999995</v>
      </c>
      <c r="N795">
        <v>0</v>
      </c>
      <c r="O795">
        <v>1.7641449999999999E-2</v>
      </c>
      <c r="P795">
        <v>0.99237679999999995</v>
      </c>
      <c r="Q795">
        <v>0.1065382</v>
      </c>
      <c r="R795">
        <v>-6.1950150000000002E-2</v>
      </c>
      <c r="S795">
        <v>3.0850070000000001</v>
      </c>
      <c r="T795">
        <v>-0.81637599999999999</v>
      </c>
      <c r="U795">
        <v>-0.41583249999999999</v>
      </c>
      <c r="V795">
        <v>7.947369E-2</v>
      </c>
      <c r="W795">
        <v>0.1212546</v>
      </c>
      <c r="X795">
        <v>0.98943479999999995</v>
      </c>
      <c r="Y795">
        <v>0.14552660000000001</v>
      </c>
      <c r="Z795">
        <v>-2.341975E-2</v>
      </c>
      <c r="AA795">
        <v>0.98907710000000004</v>
      </c>
      <c r="AB795">
        <v>49</v>
      </c>
      <c r="AC795">
        <v>0.46119999999999101</v>
      </c>
      <c r="AD795">
        <v>-0.18522539999999901</v>
      </c>
      <c r="AE795">
        <v>-9.8800000000039703E-2</v>
      </c>
      <c r="AF795">
        <v>9.2635651883326106E-2</v>
      </c>
      <c r="AG795">
        <v>-0.18522539999999901</v>
      </c>
      <c r="AH795">
        <v>0.39800536009174498</v>
      </c>
      <c r="AI795">
        <v>114.38330204300399</v>
      </c>
      <c r="AJ795">
        <v>76.897691670347896</v>
      </c>
      <c r="AK795">
        <v>0.44866254520158899</v>
      </c>
      <c r="AL795">
        <v>83.035485259294802</v>
      </c>
      <c r="AM795">
        <v>85.407729572320704</v>
      </c>
      <c r="AN795">
        <v>0.99999998443720695</v>
      </c>
    </row>
    <row r="796" spans="1:40" x14ac:dyDescent="0.25">
      <c r="A796" t="str">
        <f>"20190312164449929"</f>
        <v>20190312164449929</v>
      </c>
      <c r="B796" t="str">
        <f>"1552380289921994"</f>
        <v>1552380289921994</v>
      </c>
      <c r="C796" t="s">
        <v>40</v>
      </c>
      <c r="D796">
        <v>4.760294</v>
      </c>
      <c r="E796">
        <v>0.5372306</v>
      </c>
      <c r="F796" t="s">
        <v>41</v>
      </c>
      <c r="G796">
        <v>-247.53829999999999</v>
      </c>
      <c r="H796">
        <v>0.87781489999999995</v>
      </c>
      <c r="I796">
        <v>367.33890000000002</v>
      </c>
      <c r="J796">
        <v>-248.16540000000001</v>
      </c>
      <c r="K796">
        <v>1.108365</v>
      </c>
      <c r="L796">
        <v>367.4615</v>
      </c>
      <c r="M796">
        <v>0.99973429999999996</v>
      </c>
      <c r="N796">
        <v>0</v>
      </c>
      <c r="O796">
        <v>1.7616070000000001E-2</v>
      </c>
      <c r="P796">
        <v>0.99237500000000001</v>
      </c>
      <c r="Q796">
        <v>0.1065367</v>
      </c>
      <c r="R796">
        <v>-6.1987199999999902E-2</v>
      </c>
      <c r="S796">
        <v>3.0841059999999998</v>
      </c>
      <c r="T796">
        <v>-0.81029569999999995</v>
      </c>
      <c r="U796">
        <v>-0.41528320000000002</v>
      </c>
      <c r="V796">
        <v>7.9485210000000001E-2</v>
      </c>
      <c r="W796">
        <v>0.12125180000000001</v>
      </c>
      <c r="X796">
        <v>0.98943419999999904</v>
      </c>
      <c r="Y796">
        <v>0.14544760000000001</v>
      </c>
      <c r="Z796">
        <v>-2.3241069999999999E-2</v>
      </c>
      <c r="AA796">
        <v>0.98909290000000005</v>
      </c>
      <c r="AB796">
        <v>49</v>
      </c>
      <c r="AC796">
        <v>0.62710000000001198</v>
      </c>
      <c r="AD796">
        <v>-0.23055010000000001</v>
      </c>
      <c r="AE796">
        <v>-0.12259999999997701</v>
      </c>
      <c r="AF796">
        <v>0.11823640764104699</v>
      </c>
      <c r="AG796">
        <v>-0.23055010000000001</v>
      </c>
      <c r="AH796">
        <v>0.55286673618772098</v>
      </c>
      <c r="AI796">
        <v>112.18501363641199</v>
      </c>
      <c r="AJ796">
        <v>77.928533285850307</v>
      </c>
      <c r="AK796">
        <v>0.61056926280704005</v>
      </c>
      <c r="AL796">
        <v>83.035646757035707</v>
      </c>
      <c r="AM796">
        <v>85.407063980581597</v>
      </c>
      <c r="AN796">
        <v>0.99999996687081105</v>
      </c>
    </row>
    <row r="797" spans="1:40" x14ac:dyDescent="0.25">
      <c r="A797" t="str">
        <f>"20190312164449940"</f>
        <v>20190312164449940</v>
      </c>
      <c r="B797" t="str">
        <f>"1552380289932729"</f>
        <v>1552380289932729</v>
      </c>
      <c r="C797" t="s">
        <v>40</v>
      </c>
      <c r="D797">
        <v>4.6990509999999999</v>
      </c>
      <c r="E797">
        <v>0.53727899999999995</v>
      </c>
      <c r="F797" t="s">
        <v>41</v>
      </c>
      <c r="G797">
        <v>-247.12100000000001</v>
      </c>
      <c r="H797">
        <v>0.83454729999999999</v>
      </c>
      <c r="I797">
        <v>367.32</v>
      </c>
      <c r="J797">
        <v>-247.92670000000001</v>
      </c>
      <c r="K797">
        <v>1.108363</v>
      </c>
      <c r="L797">
        <v>367.46559999999999</v>
      </c>
      <c r="M797">
        <v>0.99973469999999998</v>
      </c>
      <c r="N797">
        <v>0</v>
      </c>
      <c r="O797">
        <v>1.7592360000000001E-2</v>
      </c>
      <c r="P797">
        <v>0.99235309999999999</v>
      </c>
      <c r="Q797">
        <v>0.1066999</v>
      </c>
      <c r="R797">
        <v>-6.2056069999999998E-2</v>
      </c>
      <c r="S797">
        <v>3.0838169999999998</v>
      </c>
      <c r="T797">
        <v>-0.80851809999999902</v>
      </c>
      <c r="U797">
        <v>-0.41717530000000003</v>
      </c>
      <c r="V797">
        <v>7.9530149999999994E-2</v>
      </c>
      <c r="W797">
        <v>0.1214136</v>
      </c>
      <c r="X797">
        <v>0.98941080000000003</v>
      </c>
      <c r="Y797">
        <v>0.14603669999999999</v>
      </c>
      <c r="Z797">
        <v>-2.3262439999999999E-2</v>
      </c>
      <c r="AA797">
        <v>0.98900560000000004</v>
      </c>
      <c r="AB797">
        <v>49</v>
      </c>
      <c r="AC797">
        <v>0.80570000000002995</v>
      </c>
      <c r="AD797">
        <v>-0.2738157</v>
      </c>
      <c r="AE797">
        <v>-0.14560000000000101</v>
      </c>
      <c r="AF797">
        <v>0.143683061252672</v>
      </c>
      <c r="AG797">
        <v>-0.2738157</v>
      </c>
      <c r="AH797">
        <v>0.72223561253851198</v>
      </c>
      <c r="AI797">
        <v>110.39692401219899</v>
      </c>
      <c r="AJ797">
        <v>78.7483619191038</v>
      </c>
      <c r="AK797">
        <v>0.78564886538218204</v>
      </c>
      <c r="AL797">
        <v>83.026307664669403</v>
      </c>
      <c r="AM797">
        <v>85.404370087793097</v>
      </c>
      <c r="AN797">
        <v>1.00000001909031</v>
      </c>
    </row>
    <row r="798" spans="1:40" x14ac:dyDescent="0.25">
      <c r="A798" t="str">
        <f>"20190312164449953"</f>
        <v>20190312164449953</v>
      </c>
      <c r="B798" t="str">
        <f>"1552380289942491"</f>
        <v>1552380289942491</v>
      </c>
      <c r="C798" t="s">
        <v>40</v>
      </c>
      <c r="D798">
        <v>4.5544019999999996</v>
      </c>
      <c r="E798">
        <v>0.53645209999999999</v>
      </c>
      <c r="F798" t="s">
        <v>41</v>
      </c>
      <c r="G798">
        <v>-247.0984</v>
      </c>
      <c r="H798">
        <v>0.89201749999999902</v>
      </c>
      <c r="I798">
        <v>367.35309999999998</v>
      </c>
      <c r="J798">
        <v>-247.66</v>
      </c>
      <c r="K798">
        <v>1.108363</v>
      </c>
      <c r="L798">
        <v>367.47030000000001</v>
      </c>
      <c r="M798">
        <v>0.99973520000000005</v>
      </c>
      <c r="N798">
        <v>0</v>
      </c>
      <c r="O798">
        <v>1.756578E-2</v>
      </c>
      <c r="P798">
        <v>0.99236979999999997</v>
      </c>
      <c r="Q798">
        <v>0.10651389999999999</v>
      </c>
      <c r="R798">
        <v>-6.2107969999999998E-2</v>
      </c>
      <c r="S798">
        <v>3.0836030000000001</v>
      </c>
      <c r="T798">
        <v>-0.80540480000000003</v>
      </c>
      <c r="U798">
        <v>-0.41799930000000002</v>
      </c>
      <c r="V798">
        <v>7.955603E-2</v>
      </c>
      <c r="W798">
        <v>0.12122670000000001</v>
      </c>
      <c r="X798">
        <v>0.98943159999999997</v>
      </c>
      <c r="Y798">
        <v>0.14631140000000001</v>
      </c>
      <c r="Z798">
        <v>-2.320523E-2</v>
      </c>
      <c r="AA798">
        <v>0.98896629999999996</v>
      </c>
      <c r="AB798">
        <v>49</v>
      </c>
      <c r="AC798">
        <v>0.56159999999999799</v>
      </c>
      <c r="AD798">
        <v>-0.2163455</v>
      </c>
      <c r="AE798">
        <v>-0.11720000000002501</v>
      </c>
      <c r="AF798">
        <v>0.11123001272001699</v>
      </c>
      <c r="AG798">
        <v>-0.2163455</v>
      </c>
      <c r="AH798">
        <v>0.48980028165188999</v>
      </c>
      <c r="AI798">
        <v>113.303205737268</v>
      </c>
      <c r="AJ798">
        <v>77.205548694426199</v>
      </c>
      <c r="AK798">
        <v>0.54688372347896397</v>
      </c>
      <c r="AL798">
        <v>83.037095680672394</v>
      </c>
      <c r="AM798">
        <v>85.402977254537902</v>
      </c>
      <c r="AN798">
        <v>0.99999998289040504</v>
      </c>
    </row>
    <row r="799" spans="1:40" x14ac:dyDescent="0.25">
      <c r="A799" t="str">
        <f>"20190312164449974"</f>
        <v>20190312164449974</v>
      </c>
      <c r="B799" t="str">
        <f>"1552380289962010"</f>
        <v>1552380289962010</v>
      </c>
      <c r="C799" t="s">
        <v>40</v>
      </c>
      <c r="D799">
        <v>4.673521</v>
      </c>
      <c r="E799">
        <v>0.53654199999999996</v>
      </c>
      <c r="F799" t="s">
        <v>41</v>
      </c>
      <c r="G799">
        <v>-246.68020000000001</v>
      </c>
      <c r="H799">
        <v>0.85248789999999997</v>
      </c>
      <c r="I799">
        <v>367.33960000000002</v>
      </c>
      <c r="J799">
        <v>-247.20230000000001</v>
      </c>
      <c r="K799">
        <v>1.1083609999999999</v>
      </c>
      <c r="L799">
        <v>367.47829999999999</v>
      </c>
      <c r="M799">
        <v>0.99973599999999996</v>
      </c>
      <c r="N799">
        <v>0</v>
      </c>
      <c r="O799">
        <v>1.7520029999999999E-2</v>
      </c>
      <c r="P799">
        <v>0.99237600000000004</v>
      </c>
      <c r="Q799">
        <v>0.10656400000000001</v>
      </c>
      <c r="R799">
        <v>-6.1920009999999998E-2</v>
      </c>
      <c r="S799">
        <v>3.0837400000000001</v>
      </c>
      <c r="T799">
        <v>-0.80526609999999998</v>
      </c>
      <c r="U799">
        <v>-0.41156009999999998</v>
      </c>
      <c r="V799">
        <v>7.9322870000000004E-2</v>
      </c>
      <c r="W799">
        <v>0.12127499999999999</v>
      </c>
      <c r="X799">
        <v>0.9894444</v>
      </c>
      <c r="Y799">
        <v>0.14430000000000001</v>
      </c>
      <c r="Z799">
        <v>-2.29345E-2</v>
      </c>
      <c r="AA799">
        <v>0.98926820000000004</v>
      </c>
      <c r="AB799">
        <v>49</v>
      </c>
      <c r="AC799">
        <v>0.52209999999999401</v>
      </c>
      <c r="AD799">
        <v>-0.25587310000000002</v>
      </c>
      <c r="AE799">
        <v>-0.13869999999997101</v>
      </c>
      <c r="AF799">
        <v>0.120739154591331</v>
      </c>
      <c r="AG799">
        <v>-0.25587310000000002</v>
      </c>
      <c r="AH799">
        <v>0.42438008461493698</v>
      </c>
      <c r="AI799">
        <v>120.11029694134901</v>
      </c>
      <c r="AJ799">
        <v>74.118570065740599</v>
      </c>
      <c r="AK799">
        <v>0.51004651059763295</v>
      </c>
      <c r="AL799">
        <v>83.034307718490098</v>
      </c>
      <c r="AM799">
        <v>85.416451596890198</v>
      </c>
      <c r="AN799">
        <v>0.99999998201069795</v>
      </c>
    </row>
    <row r="800" spans="1:40" x14ac:dyDescent="0.25">
      <c r="A800" t="str">
        <f>"20190312164449991"</f>
        <v>20190312164449991</v>
      </c>
      <c r="B800" t="str">
        <f>"1552380289982506"</f>
        <v>1552380289982506</v>
      </c>
      <c r="C800" t="s">
        <v>40</v>
      </c>
      <c r="D800">
        <v>4.693791</v>
      </c>
      <c r="E800">
        <v>0.53654829999999998</v>
      </c>
      <c r="F800" t="s">
        <v>41</v>
      </c>
      <c r="G800">
        <v>-246.244</v>
      </c>
      <c r="H800">
        <v>0.85901450000000001</v>
      </c>
      <c r="I800">
        <v>367.35019999999997</v>
      </c>
      <c r="J800">
        <v>-246.86089999999999</v>
      </c>
      <c r="K800">
        <v>1.1083609999999999</v>
      </c>
      <c r="L800">
        <v>367.48430000000002</v>
      </c>
      <c r="M800">
        <v>0.99973659999999998</v>
      </c>
      <c r="N800">
        <v>0</v>
      </c>
      <c r="O800">
        <v>1.7485770000000001E-2</v>
      </c>
      <c r="P800">
        <v>0.99240059999999997</v>
      </c>
      <c r="Q800">
        <v>0.1064398</v>
      </c>
      <c r="R800">
        <v>-6.1737979999999998E-2</v>
      </c>
      <c r="S800">
        <v>3.0835110000000001</v>
      </c>
      <c r="T800">
        <v>-0.802365199999999</v>
      </c>
      <c r="U800">
        <v>-0.4116821</v>
      </c>
      <c r="V800">
        <v>7.9107399999999994E-2</v>
      </c>
      <c r="W800">
        <v>0.12114999999999999</v>
      </c>
      <c r="X800">
        <v>0.98947700000000005</v>
      </c>
      <c r="Y800">
        <v>0.1443507</v>
      </c>
      <c r="Z800">
        <v>-2.2853809999999999E-2</v>
      </c>
      <c r="AA800">
        <v>0.98926259999999999</v>
      </c>
      <c r="AB800">
        <v>49</v>
      </c>
      <c r="AC800">
        <v>0.61689999999995804</v>
      </c>
      <c r="AD800">
        <v>-0.2493465</v>
      </c>
      <c r="AE800">
        <v>-0.13410000000004599</v>
      </c>
      <c r="AF800">
        <v>0.12531800858796299</v>
      </c>
      <c r="AG800">
        <v>-0.2493465</v>
      </c>
      <c r="AH800">
        <v>0.53154013585093396</v>
      </c>
      <c r="AI800">
        <v>114.540680086332</v>
      </c>
      <c r="AJ800">
        <v>76.733974841468594</v>
      </c>
      <c r="AK800">
        <v>0.60034423155314198</v>
      </c>
      <c r="AL800">
        <v>83.041523145896903</v>
      </c>
      <c r="AM800">
        <v>85.428999323985096</v>
      </c>
      <c r="AN800">
        <v>1.00000001838188</v>
      </c>
    </row>
    <row r="801" spans="1:40" x14ac:dyDescent="0.25">
      <c r="A801" t="str">
        <f>"20190312164450008"</f>
        <v>20190312164450008</v>
      </c>
      <c r="B801" t="str">
        <f>"1552380290002025"</f>
        <v>1552380290002025</v>
      </c>
      <c r="C801" t="s">
        <v>40</v>
      </c>
      <c r="D801">
        <v>4.8216999999999999</v>
      </c>
      <c r="E801">
        <v>0.53686480000000003</v>
      </c>
      <c r="F801" t="s">
        <v>41</v>
      </c>
      <c r="G801">
        <v>-245.81899999999999</v>
      </c>
      <c r="H801">
        <v>0.83790469999999895</v>
      </c>
      <c r="I801">
        <v>367.34519999999998</v>
      </c>
      <c r="J801">
        <v>-246.46770000000001</v>
      </c>
      <c r="K801">
        <v>1.108358</v>
      </c>
      <c r="L801">
        <v>367.49110000000002</v>
      </c>
      <c r="M801">
        <v>0.9997374</v>
      </c>
      <c r="N801">
        <v>0</v>
      </c>
      <c r="O801">
        <v>1.7446690000000001E-2</v>
      </c>
      <c r="P801">
        <v>0.99244880000000002</v>
      </c>
      <c r="Q801">
        <v>0.1061178</v>
      </c>
      <c r="R801">
        <v>-6.1518290000000003E-2</v>
      </c>
      <c r="S801">
        <v>3.0831909999999998</v>
      </c>
      <c r="T801">
        <v>-0.80042369999999996</v>
      </c>
      <c r="U801">
        <v>-0.4116821</v>
      </c>
      <c r="V801">
        <v>7.8849899999999903E-2</v>
      </c>
      <c r="W801">
        <v>0.12082619999999999</v>
      </c>
      <c r="X801">
        <v>0.98953709999999995</v>
      </c>
      <c r="Y801">
        <v>0.14435100000000001</v>
      </c>
      <c r="Z801">
        <v>-2.2792639999999999E-2</v>
      </c>
      <c r="AA801">
        <v>0.98926400000000003</v>
      </c>
      <c r="AB801">
        <v>48</v>
      </c>
      <c r="AC801">
        <v>0.64869999999999095</v>
      </c>
      <c r="AD801">
        <v>-0.27045330000000001</v>
      </c>
      <c r="AE801">
        <v>-0.14590000000004</v>
      </c>
      <c r="AF801">
        <v>0.13488074941740599</v>
      </c>
      <c r="AG801">
        <v>-0.27045330000000001</v>
      </c>
      <c r="AH801">
        <v>0.55434017091266996</v>
      </c>
      <c r="AI801">
        <v>115.36339733165499</v>
      </c>
      <c r="AJ801">
        <v>76.324667725399607</v>
      </c>
      <c r="AK801">
        <v>0.63137217956747105</v>
      </c>
      <c r="AL801">
        <v>83.060212510245293</v>
      </c>
      <c r="AM801">
        <v>85.444091054116399</v>
      </c>
      <c r="AN801">
        <v>0.99999997480642899</v>
      </c>
    </row>
    <row r="802" spans="1:40" x14ac:dyDescent="0.25">
      <c r="A802" t="str">
        <f>"20190312164450019"</f>
        <v>20190312164450019</v>
      </c>
      <c r="B802" t="str">
        <f>"1552380290012762"</f>
        <v>1552380290012762</v>
      </c>
      <c r="C802" t="s">
        <v>40</v>
      </c>
      <c r="D802">
        <v>4.77494</v>
      </c>
      <c r="E802">
        <v>0.53714240000000002</v>
      </c>
      <c r="F802" t="s">
        <v>41</v>
      </c>
      <c r="G802">
        <v>-245.78210000000001</v>
      </c>
      <c r="H802">
        <v>0.9299501</v>
      </c>
      <c r="I802">
        <v>367.39920000000001</v>
      </c>
      <c r="J802">
        <v>-246.22489999999999</v>
      </c>
      <c r="K802">
        <v>1.108358</v>
      </c>
      <c r="L802">
        <v>367.49540000000002</v>
      </c>
      <c r="M802">
        <v>0.99973780000000001</v>
      </c>
      <c r="N802">
        <v>0</v>
      </c>
      <c r="O802">
        <v>1.74225E-2</v>
      </c>
      <c r="P802">
        <v>0.99247370000000001</v>
      </c>
      <c r="Q802">
        <v>0.1058307</v>
      </c>
      <c r="R802">
        <v>-6.1613910000000001E-2</v>
      </c>
      <c r="S802">
        <v>3.083008</v>
      </c>
      <c r="T802">
        <v>-0.8023846</v>
      </c>
      <c r="U802">
        <v>-0.41329959999999999</v>
      </c>
      <c r="V802">
        <v>7.8921469999999994E-2</v>
      </c>
      <c r="W802">
        <v>0.12053850000000001</v>
      </c>
      <c r="X802">
        <v>0.98956650000000002</v>
      </c>
      <c r="Y802">
        <v>0.14480489999999999</v>
      </c>
      <c r="Z802">
        <v>-2.2898930000000001E-2</v>
      </c>
      <c r="AA802">
        <v>0.98919520000000005</v>
      </c>
      <c r="AB802">
        <v>48</v>
      </c>
      <c r="AC802">
        <v>0.44279999999997699</v>
      </c>
      <c r="AD802">
        <v>-0.17840789999999901</v>
      </c>
      <c r="AE802">
        <v>-9.6200000000010194E-2</v>
      </c>
      <c r="AF802">
        <v>8.9956071716413497E-2</v>
      </c>
      <c r="AG802">
        <v>-0.17840789999999901</v>
      </c>
      <c r="AH802">
        <v>0.38186101195385702</v>
      </c>
      <c r="AI802">
        <v>114.45406739135299</v>
      </c>
      <c r="AJ802">
        <v>76.744350775352103</v>
      </c>
      <c r="AK802">
        <v>0.43097483229474298</v>
      </c>
      <c r="AL802">
        <v>83.076817999891901</v>
      </c>
      <c r="AM802">
        <v>85.440108113620298</v>
      </c>
      <c r="AN802">
        <v>0.99999999316572996</v>
      </c>
    </row>
    <row r="803" spans="1:40" x14ac:dyDescent="0.25">
      <c r="A803" t="str">
        <f>"20190312164450031"</f>
        <v>20190312164450031</v>
      </c>
      <c r="B803" t="str">
        <f>"1552380290022522"</f>
        <v>1552380290022522</v>
      </c>
      <c r="C803" t="s">
        <v>40</v>
      </c>
      <c r="D803">
        <v>4.7266949999999897</v>
      </c>
      <c r="E803">
        <v>0.53712939999999998</v>
      </c>
      <c r="F803" t="s">
        <v>41</v>
      </c>
      <c r="G803">
        <v>-245.36760000000001</v>
      </c>
      <c r="H803">
        <v>0.88480149999999902</v>
      </c>
      <c r="I803">
        <v>367.37950000000001</v>
      </c>
      <c r="J803">
        <v>-245.9811</v>
      </c>
      <c r="K803">
        <v>1.1083559999999999</v>
      </c>
      <c r="L803">
        <v>367.49959999999999</v>
      </c>
      <c r="M803">
        <v>0.99973820000000002</v>
      </c>
      <c r="N803">
        <v>0</v>
      </c>
      <c r="O803">
        <v>1.7398070000000002E-2</v>
      </c>
      <c r="P803">
        <v>0.99249290000000001</v>
      </c>
      <c r="Q803">
        <v>0.10579810000000001</v>
      </c>
      <c r="R803">
        <v>-6.1359150000000001E-2</v>
      </c>
      <c r="S803">
        <v>3.0826419999999999</v>
      </c>
      <c r="T803">
        <v>-0.80390950000000005</v>
      </c>
      <c r="U803">
        <v>-0.41604609999999898</v>
      </c>
      <c r="V803">
        <v>7.8643110000000002E-2</v>
      </c>
      <c r="W803">
        <v>0.1205048</v>
      </c>
      <c r="X803">
        <v>0.98959280000000005</v>
      </c>
      <c r="Y803">
        <v>0.14561559999999901</v>
      </c>
      <c r="Z803">
        <v>-2.303968E-2</v>
      </c>
      <c r="AA803">
        <v>0.98907290000000003</v>
      </c>
      <c r="AB803">
        <v>48</v>
      </c>
      <c r="AC803">
        <v>0.61349999999998694</v>
      </c>
      <c r="AD803">
        <v>-0.22355449999999999</v>
      </c>
      <c r="AE803">
        <v>-0.120099999999979</v>
      </c>
      <c r="AF803">
        <v>0.115931323088612</v>
      </c>
      <c r="AG803">
        <v>-0.22355449999999999</v>
      </c>
      <c r="AH803">
        <v>0.54200531316211098</v>
      </c>
      <c r="AI803">
        <v>111.96594295579899</v>
      </c>
      <c r="AJ803">
        <v>77.926739420804097</v>
      </c>
      <c r="AK803">
        <v>0.59765077230710995</v>
      </c>
      <c r="AL803">
        <v>83.078763285837795</v>
      </c>
      <c r="AM803">
        <v>85.456243868827897</v>
      </c>
      <c r="AN803">
        <v>1.0000000276926699</v>
      </c>
    </row>
    <row r="804" spans="1:40" x14ac:dyDescent="0.25">
      <c r="A804" t="str">
        <f>"20190312164450042"</f>
        <v>20190312164450042</v>
      </c>
      <c r="B804" t="str">
        <f>"1552380290032282"</f>
        <v>1552380290032282</v>
      </c>
      <c r="C804" t="s">
        <v>40</v>
      </c>
      <c r="D804">
        <v>4.7543810000000004</v>
      </c>
      <c r="E804">
        <v>0.53714779999999995</v>
      </c>
      <c r="F804" t="s">
        <v>41</v>
      </c>
      <c r="G804">
        <v>-244.95249999999999</v>
      </c>
      <c r="H804">
        <v>0.84038009999999996</v>
      </c>
      <c r="I804">
        <v>367.36099999999999</v>
      </c>
      <c r="J804">
        <v>-245.72739999999999</v>
      </c>
      <c r="K804">
        <v>1.1083459999999901</v>
      </c>
      <c r="L804">
        <v>367.50400000000002</v>
      </c>
      <c r="M804">
        <v>0.99973860000000003</v>
      </c>
      <c r="N804">
        <v>0</v>
      </c>
      <c r="O804">
        <v>1.737269E-2</v>
      </c>
      <c r="P804">
        <v>0.99249010000000004</v>
      </c>
      <c r="Q804">
        <v>0.1059059</v>
      </c>
      <c r="R804">
        <v>-6.1217090000000002E-2</v>
      </c>
      <c r="S804">
        <v>3.0826570000000002</v>
      </c>
      <c r="T804">
        <v>-0.8030794</v>
      </c>
      <c r="U804">
        <v>-0.4150085</v>
      </c>
      <c r="V804">
        <v>7.847577E-2</v>
      </c>
      <c r="W804">
        <v>0.12061180000000001</v>
      </c>
      <c r="X804">
        <v>0.98959299999999994</v>
      </c>
      <c r="Y804">
        <v>0.14528529999999901</v>
      </c>
      <c r="Z804">
        <v>-2.29684E-2</v>
      </c>
      <c r="AA804">
        <v>0.98912319999999998</v>
      </c>
      <c r="AB804">
        <v>48</v>
      </c>
      <c r="AC804">
        <v>0.77490000000000203</v>
      </c>
      <c r="AD804">
        <v>-0.26796589999999898</v>
      </c>
      <c r="AE804">
        <v>-0.14300000000002899</v>
      </c>
      <c r="AF804">
        <v>0.14022570060851799</v>
      </c>
      <c r="AG804">
        <v>-0.26796589999999898</v>
      </c>
      <c r="AH804">
        <v>0.692244367546615</v>
      </c>
      <c r="AI804">
        <v>110.77632807714799</v>
      </c>
      <c r="AJ804">
        <v>78.548729236133795</v>
      </c>
      <c r="AK804">
        <v>0.75542784901933102</v>
      </c>
      <c r="AL804">
        <v>83.072587256149205</v>
      </c>
      <c r="AM804">
        <v>85.465872812817594</v>
      </c>
      <c r="AN804">
        <v>0.99999997921266603</v>
      </c>
    </row>
    <row r="805" spans="1:40" x14ac:dyDescent="0.25">
      <c r="A805" t="str">
        <f>"20190312164450054"</f>
        <v>20190312164450054</v>
      </c>
      <c r="B805" t="str">
        <f>"1552380290042042"</f>
        <v>1552380290042042</v>
      </c>
      <c r="C805" t="s">
        <v>40</v>
      </c>
      <c r="D805">
        <v>4.7480169999999999</v>
      </c>
      <c r="E805">
        <v>0.53707190000000005</v>
      </c>
      <c r="F805" t="s">
        <v>41</v>
      </c>
      <c r="G805">
        <v>-244.9289</v>
      </c>
      <c r="H805">
        <v>0.90048220000000001</v>
      </c>
      <c r="I805">
        <v>367.3965</v>
      </c>
      <c r="J805">
        <v>-245.4768</v>
      </c>
      <c r="K805">
        <v>1.1083480000000001</v>
      </c>
      <c r="L805">
        <v>367.50830000000002</v>
      </c>
      <c r="M805">
        <v>0.99973909999999999</v>
      </c>
      <c r="N805">
        <v>0</v>
      </c>
      <c r="O805">
        <v>1.7347669999999999E-2</v>
      </c>
      <c r="P805">
        <v>0.99254089999999995</v>
      </c>
      <c r="Q805">
        <v>0.1054331</v>
      </c>
      <c r="R805">
        <v>-6.120797E-2</v>
      </c>
      <c r="S805">
        <v>3.0827330000000002</v>
      </c>
      <c r="T805">
        <v>-0.8024268</v>
      </c>
      <c r="U805">
        <v>-0.4147034</v>
      </c>
      <c r="V805">
        <v>7.8442719999999994E-2</v>
      </c>
      <c r="W805">
        <v>0.1201385</v>
      </c>
      <c r="X805">
        <v>0.98965320000000001</v>
      </c>
      <c r="Y805">
        <v>0.1451742</v>
      </c>
      <c r="Z805">
        <v>-2.2929399999999999E-2</v>
      </c>
      <c r="AA805">
        <v>0.98914040000000003</v>
      </c>
      <c r="AB805">
        <v>48</v>
      </c>
      <c r="AC805">
        <v>0.54789999999999806</v>
      </c>
      <c r="AD805">
        <v>-0.20786579999999899</v>
      </c>
      <c r="AE805">
        <v>-0.111800000000016</v>
      </c>
      <c r="AF805">
        <v>0.10656394253874001</v>
      </c>
      <c r="AG805">
        <v>-0.20786579999999899</v>
      </c>
      <c r="AH805">
        <v>0.47960565941636901</v>
      </c>
      <c r="AI805">
        <v>112.932826921301</v>
      </c>
      <c r="AJ805">
        <v>77.472910514308197</v>
      </c>
      <c r="AK805">
        <v>0.53346570011880801</v>
      </c>
      <c r="AL805">
        <v>83.099904043868307</v>
      </c>
      <c r="AM805">
        <v>85.468048943171794</v>
      </c>
      <c r="AN805">
        <v>0.99999998788674405</v>
      </c>
    </row>
    <row r="806" spans="1:40" x14ac:dyDescent="0.25">
      <c r="A806" t="str">
        <f>"20190312164450067"</f>
        <v>20190312164450067</v>
      </c>
      <c r="B806" t="str">
        <f>"1552380290062538"</f>
        <v>1552380290062538</v>
      </c>
      <c r="C806" t="s">
        <v>40</v>
      </c>
      <c r="D806">
        <v>4.562093</v>
      </c>
      <c r="E806">
        <v>0.53701560000000004</v>
      </c>
      <c r="F806" t="s">
        <v>41</v>
      </c>
      <c r="G806">
        <v>-244.51349999999999</v>
      </c>
      <c r="H806">
        <v>0.85740209999999994</v>
      </c>
      <c r="I806">
        <v>367.37869999999998</v>
      </c>
      <c r="J806">
        <v>-245.1883</v>
      </c>
      <c r="K806">
        <v>1.1083459999999901</v>
      </c>
      <c r="L806">
        <v>367.51330000000002</v>
      </c>
      <c r="M806">
        <v>0.99973979999999996</v>
      </c>
      <c r="N806">
        <v>0</v>
      </c>
      <c r="O806">
        <v>1.7318599999999899E-2</v>
      </c>
      <c r="P806">
        <v>0.99253230000000003</v>
      </c>
      <c r="Q806">
        <v>0.105410199999999</v>
      </c>
      <c r="R806">
        <v>-6.1388249999999998E-2</v>
      </c>
      <c r="S806">
        <v>3.082306</v>
      </c>
      <c r="T806">
        <v>-0.8030446</v>
      </c>
      <c r="U806">
        <v>-0.41394039999999999</v>
      </c>
      <c r="V806">
        <v>7.8594090000000005E-2</v>
      </c>
      <c r="W806">
        <v>0.1201134</v>
      </c>
      <c r="X806">
        <v>0.98964419999999997</v>
      </c>
      <c r="Y806">
        <v>0.14492260000000001</v>
      </c>
      <c r="Z806">
        <v>-2.2910369999999999E-2</v>
      </c>
      <c r="AA806">
        <v>0.98917770000000005</v>
      </c>
      <c r="AB806">
        <v>48</v>
      </c>
      <c r="AC806">
        <v>0.67480000000000395</v>
      </c>
      <c r="AD806">
        <v>-0.250943899999999</v>
      </c>
      <c r="AE806">
        <v>-0.134600000000034</v>
      </c>
      <c r="AF806">
        <v>0.129097444583261</v>
      </c>
      <c r="AG806">
        <v>-0.250943899999999</v>
      </c>
      <c r="AH806">
        <v>0.59343877358615604</v>
      </c>
      <c r="AI806">
        <v>112.450406455695</v>
      </c>
      <c r="AJ806">
        <v>77.727020018389098</v>
      </c>
      <c r="AK806">
        <v>0.65712142648111804</v>
      </c>
      <c r="AL806">
        <v>83.101352403665004</v>
      </c>
      <c r="AM806">
        <v>85.459299104593597</v>
      </c>
      <c r="AN806">
        <v>0.99999995121806295</v>
      </c>
    </row>
    <row r="807" spans="1:40" x14ac:dyDescent="0.25">
      <c r="A807" t="str">
        <f>"20190312164450080"</f>
        <v>20190312164450080</v>
      </c>
      <c r="B807" t="str">
        <f>"1552380290072297"</f>
        <v>1552380290072297</v>
      </c>
      <c r="C807" t="s">
        <v>40</v>
      </c>
      <c r="D807">
        <v>4.9011259999999996</v>
      </c>
      <c r="E807">
        <v>0.53719289999999997</v>
      </c>
      <c r="F807" t="s">
        <v>41</v>
      </c>
      <c r="G807">
        <v>-244.4863</v>
      </c>
      <c r="H807">
        <v>0.92531839999999999</v>
      </c>
      <c r="I807">
        <v>367.41879999999998</v>
      </c>
      <c r="J807">
        <v>-244.9205</v>
      </c>
      <c r="K807">
        <v>1.1083529999999999</v>
      </c>
      <c r="L807">
        <v>367.5179</v>
      </c>
      <c r="M807">
        <v>0.99974019999999997</v>
      </c>
      <c r="N807">
        <v>0</v>
      </c>
      <c r="O807">
        <v>1.729203E-2</v>
      </c>
      <c r="P807">
        <v>0.99255459999999995</v>
      </c>
      <c r="Q807">
        <v>0.1051383</v>
      </c>
      <c r="R807">
        <v>-6.1495180000000003E-2</v>
      </c>
      <c r="S807">
        <v>3.082306</v>
      </c>
      <c r="T807">
        <v>-0.80365369999999903</v>
      </c>
      <c r="U807">
        <v>-0.4139099</v>
      </c>
      <c r="V807">
        <v>7.8674820000000006E-2</v>
      </c>
      <c r="W807">
        <v>0.11984069999999999</v>
      </c>
      <c r="X807">
        <v>0.98967090000000002</v>
      </c>
      <c r="Y807">
        <v>0.14488099999999901</v>
      </c>
      <c r="Z807">
        <v>-2.2915100000000001E-2</v>
      </c>
      <c r="AA807">
        <v>0.9891837</v>
      </c>
      <c r="AB807">
        <v>48</v>
      </c>
      <c r="AC807">
        <v>0.43420000000000403</v>
      </c>
      <c r="AD807">
        <v>-0.18303459999999999</v>
      </c>
      <c r="AE807">
        <v>-9.9100000000021199E-2</v>
      </c>
      <c r="AF807">
        <v>9.1191788005215907E-2</v>
      </c>
      <c r="AG807">
        <v>-0.18303459999999999</v>
      </c>
      <c r="AH807">
        <v>0.369938168389147</v>
      </c>
      <c r="AI807">
        <v>115.659190502367</v>
      </c>
      <c r="AJ807">
        <v>76.152354124727907</v>
      </c>
      <c r="AK807">
        <v>0.42269593732122002</v>
      </c>
      <c r="AL807">
        <v>83.117091021528097</v>
      </c>
      <c r="AM807">
        <v>85.454776651265206</v>
      </c>
      <c r="AN807">
        <v>1.0000000054926601</v>
      </c>
    </row>
    <row r="808" spans="1:40" x14ac:dyDescent="0.25">
      <c r="A808" t="str">
        <f>"20190312164450091"</f>
        <v>20190312164450091</v>
      </c>
      <c r="B808" t="str">
        <f>"1552380290082058"</f>
        <v>1552380290082058</v>
      </c>
      <c r="C808" t="s">
        <v>40</v>
      </c>
      <c r="D808">
        <v>4.7630610000000004</v>
      </c>
      <c r="E808">
        <v>0.53712669999999996</v>
      </c>
      <c r="F808" t="s">
        <v>41</v>
      </c>
      <c r="G808">
        <v>-244.0702</v>
      </c>
      <c r="H808">
        <v>0.88621510000000003</v>
      </c>
      <c r="I808">
        <v>367.40339999999998</v>
      </c>
      <c r="J808">
        <v>-244.65369999999999</v>
      </c>
      <c r="K808">
        <v>1.1083529999999999</v>
      </c>
      <c r="L808">
        <v>367.52249999999998</v>
      </c>
      <c r="M808">
        <v>0.99974070000000004</v>
      </c>
      <c r="N808">
        <v>0</v>
      </c>
      <c r="O808">
        <v>1.7265630000000001E-2</v>
      </c>
      <c r="P808">
        <v>0.9925503</v>
      </c>
      <c r="Q808">
        <v>0.1051745</v>
      </c>
      <c r="R808">
        <v>-6.1503099999999998E-2</v>
      </c>
      <c r="S808">
        <v>3.082077</v>
      </c>
      <c r="T808">
        <v>-0.80520550000000002</v>
      </c>
      <c r="U808">
        <v>-0.41513060000000002</v>
      </c>
      <c r="V808">
        <v>7.8656760000000006E-2</v>
      </c>
      <c r="W808">
        <v>0.1198752</v>
      </c>
      <c r="X808">
        <v>0.98966810000000005</v>
      </c>
      <c r="Y808">
        <v>0.1452184</v>
      </c>
      <c r="Z808">
        <v>-2.2995399999999999E-2</v>
      </c>
      <c r="AA808">
        <v>0.98913229999999996</v>
      </c>
      <c r="AB808">
        <v>48</v>
      </c>
      <c r="AC808">
        <v>0.58349999999998603</v>
      </c>
      <c r="AD808">
        <v>-0.2221379</v>
      </c>
      <c r="AE808">
        <v>-0.119100000000003</v>
      </c>
      <c r="AF808">
        <v>0.11338237939325201</v>
      </c>
      <c r="AG808">
        <v>-0.2221379</v>
      </c>
      <c r="AH808">
        <v>0.51034898168137099</v>
      </c>
      <c r="AI808">
        <v>113.02096462366499</v>
      </c>
      <c r="AJ808">
        <v>77.474241969835703</v>
      </c>
      <c r="AK808">
        <v>0.568028954963123</v>
      </c>
      <c r="AL808">
        <v>83.115099571590605</v>
      </c>
      <c r="AM808">
        <v>85.455802845506994</v>
      </c>
      <c r="AN808">
        <v>0.999999948813172</v>
      </c>
    </row>
    <row r="809" spans="1:40" x14ac:dyDescent="0.25">
      <c r="A809" t="str">
        <f>"20190312164450103"</f>
        <v>20190312164450103</v>
      </c>
      <c r="B809" t="str">
        <f>"1552380290092794"</f>
        <v>1552380290092794</v>
      </c>
      <c r="C809" t="s">
        <v>40</v>
      </c>
      <c r="D809">
        <v>4.799353</v>
      </c>
      <c r="E809">
        <v>0.5368851</v>
      </c>
      <c r="F809" t="s">
        <v>41</v>
      </c>
      <c r="G809">
        <v>-243.65369999999999</v>
      </c>
      <c r="H809">
        <v>0.84773349999999903</v>
      </c>
      <c r="I809">
        <v>367.38780000000003</v>
      </c>
      <c r="J809">
        <v>-244.39940000000001</v>
      </c>
      <c r="K809">
        <v>1.1083499999999999</v>
      </c>
      <c r="L809">
        <v>367.52690000000001</v>
      </c>
      <c r="M809">
        <v>0.99974110000000005</v>
      </c>
      <c r="N809">
        <v>0</v>
      </c>
      <c r="O809">
        <v>1.7240539999999999E-2</v>
      </c>
      <c r="P809">
        <v>0.99251080000000003</v>
      </c>
      <c r="Q809">
        <v>0.1052936</v>
      </c>
      <c r="R809">
        <v>-6.1933080000000001E-2</v>
      </c>
      <c r="S809">
        <v>3.0819399999999999</v>
      </c>
      <c r="T809">
        <v>-0.80327139999999997</v>
      </c>
      <c r="U809">
        <v>-0.41464230000000002</v>
      </c>
      <c r="V809">
        <v>7.9061190000000003E-2</v>
      </c>
      <c r="W809">
        <v>0.11999170000000001</v>
      </c>
      <c r="X809">
        <v>0.9896218</v>
      </c>
      <c r="Y809">
        <v>0.14507579999999901</v>
      </c>
      <c r="Z809">
        <v>-2.2918529999999999E-2</v>
      </c>
      <c r="AA809">
        <v>0.98915509999999995</v>
      </c>
      <c r="AB809">
        <v>48</v>
      </c>
      <c r="AC809">
        <v>0.74570000000002701</v>
      </c>
      <c r="AD809">
        <v>-0.26061649999999997</v>
      </c>
      <c r="AE809">
        <v>-0.13909999999998399</v>
      </c>
      <c r="AF809">
        <v>0.13589613607106901</v>
      </c>
      <c r="AG809">
        <v>-0.26061649999999997</v>
      </c>
      <c r="AH809">
        <v>0.66472775457765898</v>
      </c>
      <c r="AI809">
        <v>111.012780945884</v>
      </c>
      <c r="AJ809">
        <v>78.445735475304105</v>
      </c>
      <c r="AK809">
        <v>0.72680926492247799</v>
      </c>
      <c r="AL809">
        <v>83.108376391337202</v>
      </c>
      <c r="AM809">
        <v>85.432323739007799</v>
      </c>
      <c r="AN809">
        <v>0.99999999343417301</v>
      </c>
    </row>
    <row r="810" spans="1:40" x14ac:dyDescent="0.25">
      <c r="A810" t="str">
        <f>"20190312164450116"</f>
        <v>20190312164450116</v>
      </c>
      <c r="B810" t="str">
        <f>"1552380290112313"</f>
        <v>1552380290112313</v>
      </c>
      <c r="C810" t="s">
        <v>40</v>
      </c>
      <c r="D810">
        <v>4.6986840000000001</v>
      </c>
      <c r="E810">
        <v>0.51107130000000001</v>
      </c>
      <c r="F810" t="s">
        <v>41</v>
      </c>
      <c r="G810">
        <v>-243.62979999999999</v>
      </c>
      <c r="H810">
        <v>0.90852219999999995</v>
      </c>
      <c r="I810">
        <v>367.42340000000002</v>
      </c>
      <c r="J810">
        <v>-244.1541</v>
      </c>
      <c r="K810">
        <v>1.1083529999999999</v>
      </c>
      <c r="L810">
        <v>367.53109999999998</v>
      </c>
      <c r="M810">
        <v>0.9997414</v>
      </c>
      <c r="N810">
        <v>0</v>
      </c>
      <c r="O810">
        <v>1.7216309999999999E-2</v>
      </c>
      <c r="P810">
        <v>0.99245000000000005</v>
      </c>
      <c r="Q810">
        <v>0.1055947</v>
      </c>
      <c r="R810">
        <v>-6.2390899999999999E-2</v>
      </c>
      <c r="S810">
        <v>3.0817109999999999</v>
      </c>
      <c r="T810">
        <v>-0.80024030000000002</v>
      </c>
      <c r="U810">
        <v>-0.41394039999999999</v>
      </c>
      <c r="V810">
        <v>7.9493980000000006E-2</v>
      </c>
      <c r="W810">
        <v>0.1202966</v>
      </c>
      <c r="X810">
        <v>0.98955009999999999</v>
      </c>
      <c r="Y810">
        <v>0.14488570000000001</v>
      </c>
      <c r="Z810">
        <v>-2.2806409999999999E-2</v>
      </c>
      <c r="AA810">
        <v>0.98918550000000005</v>
      </c>
      <c r="AB810">
        <v>48</v>
      </c>
      <c r="AC810">
        <v>0.52430000000000998</v>
      </c>
      <c r="AD810">
        <v>-0.1998308</v>
      </c>
      <c r="AE810">
        <v>-0.107699999999965</v>
      </c>
      <c r="AF810">
        <v>0.10243381499175799</v>
      </c>
      <c r="AG810">
        <v>-0.1998308</v>
      </c>
      <c r="AH810">
        <v>0.45846480442804699</v>
      </c>
      <c r="AI810">
        <v>113.043990386353</v>
      </c>
      <c r="AJ810">
        <v>77.405381315349302</v>
      </c>
      <c r="AK810">
        <v>0.51050466401557304</v>
      </c>
      <c r="AL810">
        <v>83.090779368642202</v>
      </c>
      <c r="AM810">
        <v>85.407095087449903</v>
      </c>
      <c r="AN810">
        <v>0.99999998261890499</v>
      </c>
    </row>
    <row r="811" spans="1:40" x14ac:dyDescent="0.25">
      <c r="A811" t="str">
        <f>"20190312164450129"</f>
        <v>20190312164450129</v>
      </c>
      <c r="B811" t="str">
        <f>"1552380290122073"</f>
        <v>1552380290122073</v>
      </c>
      <c r="C811" t="s">
        <v>40</v>
      </c>
      <c r="D811">
        <v>4.6920460000000004</v>
      </c>
      <c r="E811">
        <v>0.50540669999999999</v>
      </c>
      <c r="F811" t="s">
        <v>41</v>
      </c>
      <c r="G811">
        <v>-243.1858</v>
      </c>
      <c r="H811">
        <v>0.93894889999999998</v>
      </c>
      <c r="I811">
        <v>367.46</v>
      </c>
      <c r="J811">
        <v>-243.8356</v>
      </c>
      <c r="K811">
        <v>1.1083639999999999</v>
      </c>
      <c r="L811">
        <v>367.53660000000002</v>
      </c>
      <c r="M811">
        <v>0.99974180000000001</v>
      </c>
      <c r="N811">
        <v>0</v>
      </c>
      <c r="O811">
        <v>1.7184599999999901E-2</v>
      </c>
      <c r="P811">
        <v>0.99231780000000003</v>
      </c>
      <c r="Q811">
        <v>0.106363899999999</v>
      </c>
      <c r="R811">
        <v>-6.3185530000000004E-2</v>
      </c>
      <c r="S811">
        <v>3.0657649999999999</v>
      </c>
      <c r="T811">
        <v>-0.53645659999999995</v>
      </c>
      <c r="U811">
        <v>-0.22494510000000001</v>
      </c>
      <c r="V811">
        <v>8.0254850000000003E-2</v>
      </c>
      <c r="W811">
        <v>0.12107850000000001</v>
      </c>
      <c r="X811">
        <v>0.98939339999999998</v>
      </c>
      <c r="Y811">
        <v>8.8705270000000003E-2</v>
      </c>
      <c r="Z811">
        <v>-1.0673439999999999E-2</v>
      </c>
      <c r="AA811">
        <v>0.99600069999999996</v>
      </c>
      <c r="AB811">
        <v>48</v>
      </c>
      <c r="AC811">
        <v>0.64979999999999905</v>
      </c>
      <c r="AD811">
        <v>-0.16941509999999901</v>
      </c>
      <c r="AE811">
        <v>-7.6600000000041704E-2</v>
      </c>
      <c r="AF811">
        <v>8.2242703259775798E-2</v>
      </c>
      <c r="AG811">
        <v>-0.16941509999999901</v>
      </c>
      <c r="AH811">
        <v>0.60764912063140297</v>
      </c>
      <c r="AI811">
        <v>105.444681685566</v>
      </c>
      <c r="AJ811">
        <v>82.292099785016703</v>
      </c>
      <c r="AK811">
        <v>0.63616255167339297</v>
      </c>
      <c r="AL811">
        <v>83.045650549856106</v>
      </c>
      <c r="AM811">
        <v>85.362594103213993</v>
      </c>
      <c r="AN811">
        <v>1.00000007203716</v>
      </c>
    </row>
    <row r="812" spans="1:40" x14ac:dyDescent="0.25">
      <c r="A812" t="str">
        <f>"20190312164450140"</f>
        <v>20190312164450140</v>
      </c>
      <c r="B812" t="str">
        <f>"1552380290132809"</f>
        <v>1552380290132809</v>
      </c>
      <c r="C812" t="s">
        <v>40</v>
      </c>
      <c r="D812">
        <v>4.6929790000000002</v>
      </c>
      <c r="E812">
        <v>0.50373009999999996</v>
      </c>
      <c r="F812" t="s">
        <v>41</v>
      </c>
      <c r="G812">
        <v>-242.7527</v>
      </c>
      <c r="H812">
        <v>0.94400479999999998</v>
      </c>
      <c r="I812">
        <v>367.47050000000002</v>
      </c>
      <c r="J812">
        <v>-243.58969999999999</v>
      </c>
      <c r="K812">
        <v>1.1083780000000001</v>
      </c>
      <c r="L812">
        <v>367.54079999999999</v>
      </c>
      <c r="M812">
        <v>0.99974149999999995</v>
      </c>
      <c r="N812">
        <v>0</v>
      </c>
      <c r="O812">
        <v>1.7161639999999999E-2</v>
      </c>
      <c r="P812">
        <v>0.99224080000000003</v>
      </c>
      <c r="Q812">
        <v>0.1066522</v>
      </c>
      <c r="R812">
        <v>-6.390324E-2</v>
      </c>
      <c r="S812">
        <v>3.061172</v>
      </c>
      <c r="T812">
        <v>-0.46474710000000002</v>
      </c>
      <c r="U812">
        <v>-0.1862183</v>
      </c>
      <c r="V812">
        <v>8.0948699999999998E-2</v>
      </c>
      <c r="W812">
        <v>0.1214122</v>
      </c>
      <c r="X812">
        <v>0.98929590000000001</v>
      </c>
      <c r="Y812">
        <v>7.6770309999999994E-2</v>
      </c>
      <c r="Z812">
        <v>-8.3779860000000005E-3</v>
      </c>
      <c r="AA812">
        <v>0.99701360000000006</v>
      </c>
      <c r="AB812">
        <v>48</v>
      </c>
      <c r="AC812">
        <v>0.83699999999998898</v>
      </c>
      <c r="AD812">
        <v>-0.1643732</v>
      </c>
      <c r="AE812">
        <v>-7.0299999999974702E-2</v>
      </c>
      <c r="AF812">
        <v>8.1533108669412394E-2</v>
      </c>
      <c r="AG812">
        <v>-0.1643732</v>
      </c>
      <c r="AH812">
        <v>0.80484733711013201</v>
      </c>
      <c r="AI812">
        <v>101.48551940512699</v>
      </c>
      <c r="AJ812">
        <v>84.215523247132097</v>
      </c>
      <c r="AK812">
        <v>0.825497082212171</v>
      </c>
      <c r="AL812">
        <v>83.026388315117003</v>
      </c>
      <c r="AM812">
        <v>85.322219227865702</v>
      </c>
      <c r="AN812">
        <v>0.99999999604866996</v>
      </c>
    </row>
    <row r="813" spans="1:40" x14ac:dyDescent="0.25">
      <c r="A813" t="str">
        <f>"20190312164450154"</f>
        <v>20190312164450154</v>
      </c>
      <c r="B813" t="str">
        <f>"1552380290142570"</f>
        <v>1552380290142570</v>
      </c>
      <c r="C813" t="s">
        <v>40</v>
      </c>
      <c r="D813">
        <v>4.7858559999999999</v>
      </c>
      <c r="E813">
        <v>0.50510929999999998</v>
      </c>
      <c r="F813" t="s">
        <v>41</v>
      </c>
      <c r="G813">
        <v>-242.72989999999999</v>
      </c>
      <c r="H813">
        <v>0.9909713</v>
      </c>
      <c r="I813">
        <v>367.49059999999997</v>
      </c>
      <c r="J813">
        <v>-243.32579999999999</v>
      </c>
      <c r="K813">
        <v>1.108398</v>
      </c>
      <c r="L813">
        <v>367.5453</v>
      </c>
      <c r="M813">
        <v>0.99974059999999998</v>
      </c>
      <c r="N813">
        <v>0</v>
      </c>
      <c r="O813">
        <v>1.7137289999999999E-2</v>
      </c>
      <c r="P813">
        <v>0.99220439999999999</v>
      </c>
      <c r="Q813">
        <v>0.106756</v>
      </c>
      <c r="R813">
        <v>-6.4297110000000005E-2</v>
      </c>
      <c r="S813">
        <v>3.0569000000000002</v>
      </c>
      <c r="T813">
        <v>-0.41751779999999999</v>
      </c>
      <c r="U813">
        <v>-0.177764899999999</v>
      </c>
      <c r="V813">
        <v>8.1317609999999999E-2</v>
      </c>
      <c r="W813">
        <v>0.12159540000000001</v>
      </c>
      <c r="X813">
        <v>0.98924310000000004</v>
      </c>
      <c r="Y813">
        <v>7.4309340000000002E-2</v>
      </c>
      <c r="Z813">
        <v>-7.3753669999999999E-3</v>
      </c>
      <c r="AA813">
        <v>0.99720790000000004</v>
      </c>
      <c r="AB813">
        <v>48</v>
      </c>
      <c r="AC813">
        <v>0.59589999999999999</v>
      </c>
      <c r="AD813">
        <v>-0.11742669999999999</v>
      </c>
      <c r="AE813">
        <v>-5.4700000000025201E-2</v>
      </c>
      <c r="AF813">
        <v>6.24985754690002E-2</v>
      </c>
      <c r="AG813">
        <v>-0.11742669999999999</v>
      </c>
      <c r="AH813">
        <v>0.57281731729588903</v>
      </c>
      <c r="AI813">
        <v>101.518529557633</v>
      </c>
      <c r="AJ813">
        <v>83.773240422046001</v>
      </c>
      <c r="AK813">
        <v>0.58806018467721699</v>
      </c>
      <c r="AL813">
        <v>83.015813075662606</v>
      </c>
      <c r="AM813">
        <v>85.300746600970896</v>
      </c>
      <c r="AN813">
        <v>0.99999995294744004</v>
      </c>
    </row>
    <row r="814" spans="1:40" x14ac:dyDescent="0.25">
      <c r="A814" t="str">
        <f>"20190312164450167"</f>
        <v>20190312164450167</v>
      </c>
      <c r="B814" t="str">
        <f>"1552380290162090"</f>
        <v>1552380290162090</v>
      </c>
      <c r="C814" t="s">
        <v>40</v>
      </c>
      <c r="D814">
        <v>4.7358279999999997</v>
      </c>
      <c r="E814">
        <v>0.50622630000000002</v>
      </c>
      <c r="F814" t="s">
        <v>41</v>
      </c>
      <c r="G814">
        <v>-242.3032</v>
      </c>
      <c r="H814">
        <v>0.98416539999999997</v>
      </c>
      <c r="I814">
        <v>367.48070000000001</v>
      </c>
      <c r="J814">
        <v>-243.02260000000001</v>
      </c>
      <c r="K814">
        <v>1.108436</v>
      </c>
      <c r="L814">
        <v>367.5505</v>
      </c>
      <c r="M814">
        <v>0.99973900000000004</v>
      </c>
      <c r="N814">
        <v>0</v>
      </c>
      <c r="O814">
        <v>1.7109119999999998E-2</v>
      </c>
      <c r="P814">
        <v>0.99221809999999999</v>
      </c>
      <c r="Q814">
        <v>0.1063851</v>
      </c>
      <c r="R814">
        <v>-6.4697589999999999E-2</v>
      </c>
      <c r="S814">
        <v>3.0509949999999999</v>
      </c>
      <c r="T814">
        <v>-0.37071559999999998</v>
      </c>
      <c r="U814">
        <v>-0.19262699999999999</v>
      </c>
      <c r="V814">
        <v>8.1690479999999996E-2</v>
      </c>
      <c r="W814">
        <v>0.1213663</v>
      </c>
      <c r="X814">
        <v>0.98924060000000003</v>
      </c>
      <c r="Y814">
        <v>7.9371200000000003E-2</v>
      </c>
      <c r="Z814">
        <v>-6.8693180000000001E-3</v>
      </c>
      <c r="AA814">
        <v>0.99682150000000003</v>
      </c>
      <c r="AB814">
        <v>48</v>
      </c>
      <c r="AC814">
        <v>0.71940000000000703</v>
      </c>
      <c r="AD814">
        <v>-0.124270599999999</v>
      </c>
      <c r="AE814">
        <v>-6.9799999999986498E-2</v>
      </c>
      <c r="AF814">
        <v>7.9742192907190299E-2</v>
      </c>
      <c r="AG814">
        <v>-0.124270599999999</v>
      </c>
      <c r="AH814">
        <v>0.69748170889685701</v>
      </c>
      <c r="AI814">
        <v>100.038353070375</v>
      </c>
      <c r="AJ814">
        <v>83.477765828223497</v>
      </c>
      <c r="AK814">
        <v>0.71293950206149204</v>
      </c>
      <c r="AL814">
        <v>83.029038085131603</v>
      </c>
      <c r="AM814">
        <v>85.279284149703798</v>
      </c>
      <c r="AN814">
        <v>1.0000000389933299</v>
      </c>
    </row>
    <row r="815" spans="1:40" x14ac:dyDescent="0.25">
      <c r="A815" t="str">
        <f>"20190312164450181"</f>
        <v>20190312164450181</v>
      </c>
      <c r="B815" t="str">
        <f>"1552380290172826"</f>
        <v>1552380290172826</v>
      </c>
      <c r="C815" t="s">
        <v>40</v>
      </c>
      <c r="D815">
        <v>4.7606539999999997</v>
      </c>
      <c r="E815">
        <v>0.50688739999999999</v>
      </c>
      <c r="F815" t="s">
        <v>41</v>
      </c>
      <c r="G815">
        <v>-242.28399999999999</v>
      </c>
      <c r="H815">
        <v>1.02362</v>
      </c>
      <c r="I815">
        <v>367.5009</v>
      </c>
      <c r="J815">
        <v>-242.73609999999999</v>
      </c>
      <c r="K815">
        <v>1.1084860000000001</v>
      </c>
      <c r="L815">
        <v>367.55540000000002</v>
      </c>
      <c r="M815">
        <v>0.99973639999999997</v>
      </c>
      <c r="N815">
        <v>0</v>
      </c>
      <c r="O815">
        <v>1.708175E-2</v>
      </c>
      <c r="P815">
        <v>0.99220549999999996</v>
      </c>
      <c r="Q815">
        <v>0.1060516</v>
      </c>
      <c r="R815">
        <v>-6.5435309999999997E-2</v>
      </c>
      <c r="S815">
        <v>3.0477599999999998</v>
      </c>
      <c r="T815">
        <v>-0.34998499999999999</v>
      </c>
      <c r="U815">
        <v>-0.2041626</v>
      </c>
      <c r="V815">
        <v>8.240045E-2</v>
      </c>
      <c r="W815">
        <v>0.121239</v>
      </c>
      <c r="X815">
        <v>0.98919729999999995</v>
      </c>
      <c r="Y815">
        <v>8.3217379999999994E-2</v>
      </c>
      <c r="Z815">
        <v>-6.7105480000000002E-3</v>
      </c>
      <c r="AA815">
        <v>0.99650879999999997</v>
      </c>
      <c r="AB815">
        <v>48</v>
      </c>
      <c r="AC815">
        <v>0.45209999999997302</v>
      </c>
      <c r="AD815">
        <v>-8.4866000000000094E-2</v>
      </c>
      <c r="AE815">
        <v>-5.4500000000018603E-2</v>
      </c>
      <c r="AF815">
        <v>6.0127260357556701E-2</v>
      </c>
      <c r="AG815">
        <v>-8.4866000000000094E-2</v>
      </c>
      <c r="AH815">
        <v>0.43596105494579501</v>
      </c>
      <c r="AI815">
        <v>100.91486716830499</v>
      </c>
      <c r="AJ815">
        <v>82.147370106344198</v>
      </c>
      <c r="AK815">
        <v>0.44819590228331602</v>
      </c>
      <c r="AL815">
        <v>83.036385922204502</v>
      </c>
      <c r="AM815">
        <v>85.238236888017198</v>
      </c>
      <c r="AN815">
        <v>1.00000001380424</v>
      </c>
    </row>
    <row r="816" spans="1:40" x14ac:dyDescent="0.25">
      <c r="A816" t="str">
        <f>"20190312164450195"</f>
        <v>20190312164450195</v>
      </c>
      <c r="B816" t="str">
        <f>"1552380290182585"</f>
        <v>1552380290182585</v>
      </c>
      <c r="C816" t="s">
        <v>40</v>
      </c>
      <c r="D816">
        <v>4.7831489999999999</v>
      </c>
      <c r="E816">
        <v>0.50740149999999995</v>
      </c>
      <c r="F816" t="s">
        <v>41</v>
      </c>
      <c r="G816">
        <v>-241.8623</v>
      </c>
      <c r="H816">
        <v>1.009007</v>
      </c>
      <c r="I816">
        <v>367.49450000000002</v>
      </c>
      <c r="J816">
        <v>-242.45410000000001</v>
      </c>
      <c r="K816">
        <v>1.1085400000000001</v>
      </c>
      <c r="L816">
        <v>367.56020000000001</v>
      </c>
      <c r="M816">
        <v>0.99973299999999998</v>
      </c>
      <c r="N816">
        <v>0</v>
      </c>
      <c r="O816">
        <v>1.7054679999999999E-2</v>
      </c>
      <c r="P816">
        <v>0.99222489999999997</v>
      </c>
      <c r="Q816">
        <v>0.1054681</v>
      </c>
      <c r="R816">
        <v>-6.6076839999999998E-2</v>
      </c>
      <c r="S816">
        <v>3.0466769999999999</v>
      </c>
      <c r="T816">
        <v>-0.34690539999999997</v>
      </c>
      <c r="U816">
        <v>-0.21170040000000001</v>
      </c>
      <c r="V816">
        <v>8.3015340000000007E-2</v>
      </c>
      <c r="W816">
        <v>0.1208897</v>
      </c>
      <c r="X816">
        <v>0.98918859999999997</v>
      </c>
      <c r="Y816">
        <v>8.5663450000000002E-2</v>
      </c>
      <c r="Z816">
        <v>-6.7892610000000004E-3</v>
      </c>
      <c r="AA816">
        <v>0.99630099999999999</v>
      </c>
      <c r="AB816">
        <v>48</v>
      </c>
      <c r="AC816">
        <v>0.59180000000000599</v>
      </c>
      <c r="AD816">
        <v>-9.9532999999999802E-2</v>
      </c>
      <c r="AE816">
        <v>-6.5699999999992501E-2</v>
      </c>
      <c r="AF816">
        <v>7.3724583638314106E-2</v>
      </c>
      <c r="AG816">
        <v>-9.9532999999999802E-2</v>
      </c>
      <c r="AH816">
        <v>0.57453924765909403</v>
      </c>
      <c r="AI816">
        <v>99.749964581178304</v>
      </c>
      <c r="AJ816">
        <v>82.687794030981095</v>
      </c>
      <c r="AK816">
        <v>0.587739295455324</v>
      </c>
      <c r="AL816">
        <v>83.056547372388096</v>
      </c>
      <c r="AM816">
        <v>85.202826803037397</v>
      </c>
      <c r="AN816">
        <v>0.99999997630568205</v>
      </c>
    </row>
    <row r="817" spans="1:40" x14ac:dyDescent="0.25">
      <c r="A817" t="str">
        <f>"20190312164450208"</f>
        <v>20190312164450208</v>
      </c>
      <c r="B817" t="str">
        <f>"1552380290202106"</f>
        <v>1552380290202106</v>
      </c>
      <c r="C817" t="s">
        <v>40</v>
      </c>
      <c r="D817">
        <v>4.7962189999999998</v>
      </c>
      <c r="E817">
        <v>0.50816790000000001</v>
      </c>
      <c r="F817" t="s">
        <v>41</v>
      </c>
      <c r="G817">
        <v>-241.4419</v>
      </c>
      <c r="H817">
        <v>0.99403549999999996</v>
      </c>
      <c r="I817">
        <v>367.48779999999999</v>
      </c>
      <c r="J817">
        <v>-242.1378</v>
      </c>
      <c r="K817">
        <v>1.1086100000000001</v>
      </c>
      <c r="L817">
        <v>367.56549999999999</v>
      </c>
      <c r="M817">
        <v>0.99972870000000003</v>
      </c>
      <c r="N817">
        <v>0</v>
      </c>
      <c r="O817">
        <v>1.7023969999999999E-2</v>
      </c>
      <c r="P817">
        <v>0.99221680000000001</v>
      </c>
      <c r="Q817">
        <v>0.1050625</v>
      </c>
      <c r="R817">
        <v>-6.6842559999999995E-2</v>
      </c>
      <c r="S817">
        <v>3.045639</v>
      </c>
      <c r="T817">
        <v>-0.3445607</v>
      </c>
      <c r="U817">
        <v>-0.21777340000000001</v>
      </c>
      <c r="V817">
        <v>8.3749859999999995E-2</v>
      </c>
      <c r="W817">
        <v>0.12078510000000001</v>
      </c>
      <c r="X817">
        <v>0.98913949999999995</v>
      </c>
      <c r="Y817">
        <v>8.7629299999999993E-2</v>
      </c>
      <c r="Z817">
        <v>-6.8527409999999999E-3</v>
      </c>
      <c r="AA817">
        <v>0.99612959999999995</v>
      </c>
      <c r="AB817">
        <v>48</v>
      </c>
      <c r="AC817">
        <v>0.69589999999999397</v>
      </c>
      <c r="AD817">
        <v>-0.1145745</v>
      </c>
      <c r="AE817">
        <v>-7.7699999999992997E-2</v>
      </c>
      <c r="AF817">
        <v>8.7202517632337495E-2</v>
      </c>
      <c r="AG817">
        <v>-0.1145745</v>
      </c>
      <c r="AH817">
        <v>0.67636761750984198</v>
      </c>
      <c r="AI817">
        <v>99.536981851251298</v>
      </c>
      <c r="AJ817">
        <v>82.653513649780194</v>
      </c>
      <c r="AK817">
        <v>0.691523498622865</v>
      </c>
      <c r="AL817">
        <v>83.062585020470806</v>
      </c>
      <c r="AM817">
        <v>85.160343024316504</v>
      </c>
      <c r="AN817">
        <v>1.0000000149461299</v>
      </c>
    </row>
    <row r="818" spans="1:40" x14ac:dyDescent="0.25">
      <c r="A818" t="str">
        <f>"20190312164450220"</f>
        <v>20190312164450220</v>
      </c>
      <c r="B818" t="str">
        <f>"1552380290212842"</f>
        <v>1552380290212842</v>
      </c>
      <c r="C818" t="s">
        <v>40</v>
      </c>
      <c r="D818">
        <v>4.782756</v>
      </c>
      <c r="E818">
        <v>0.50841380000000003</v>
      </c>
      <c r="F818" t="s">
        <v>41</v>
      </c>
      <c r="G818">
        <v>-241.02090000000001</v>
      </c>
      <c r="H818">
        <v>0.98300520000000002</v>
      </c>
      <c r="I818">
        <v>367.48239999999998</v>
      </c>
      <c r="J818">
        <v>-241.89179999999999</v>
      </c>
      <c r="K818">
        <v>1.1086640000000001</v>
      </c>
      <c r="L818">
        <v>367.56970000000001</v>
      </c>
      <c r="M818">
        <v>0.99972479999999997</v>
      </c>
      <c r="N818">
        <v>0</v>
      </c>
      <c r="O818">
        <v>1.699931E-2</v>
      </c>
      <c r="P818">
        <v>0.99219690000000005</v>
      </c>
      <c r="Q818">
        <v>0.10494489999999899</v>
      </c>
      <c r="R818">
        <v>-6.7320630000000006E-2</v>
      </c>
      <c r="S818">
        <v>3.04454</v>
      </c>
      <c r="T818">
        <v>-0.34244590000000003</v>
      </c>
      <c r="U818">
        <v>-0.22625729999999999</v>
      </c>
      <c r="V818">
        <v>8.4203089999999994E-2</v>
      </c>
      <c r="W818">
        <v>0.1209394</v>
      </c>
      <c r="X818">
        <v>0.98908220000000002</v>
      </c>
      <c r="Y818">
        <v>9.0381810000000007E-2</v>
      </c>
      <c r="Z818">
        <v>-6.9640539999999999E-3</v>
      </c>
      <c r="AA818">
        <v>0.99588290000000002</v>
      </c>
      <c r="AB818">
        <v>48</v>
      </c>
      <c r="AC818">
        <v>0.87089999999997703</v>
      </c>
      <c r="AD818">
        <v>-0.12565879999999899</v>
      </c>
      <c r="AE818">
        <v>-8.7300000000027397E-2</v>
      </c>
      <c r="AF818">
        <v>0.100032213896963</v>
      </c>
      <c r="AG818">
        <v>-0.12565879999999899</v>
      </c>
      <c r="AH818">
        <v>0.85173446552401599</v>
      </c>
      <c r="AI818">
        <v>98.3359875904234</v>
      </c>
      <c r="AJ818">
        <v>83.301565303113406</v>
      </c>
      <c r="AK818">
        <v>0.86674573987764603</v>
      </c>
      <c r="AL818">
        <v>83.0536792292135</v>
      </c>
      <c r="AM818">
        <v>85.133997077964594</v>
      </c>
      <c r="AN818">
        <v>1.0000000485973699</v>
      </c>
    </row>
    <row r="819" spans="1:40" x14ac:dyDescent="0.25">
      <c r="A819" t="str">
        <f>"20190312164450232"</f>
        <v>20190312164450232</v>
      </c>
      <c r="B819" t="str">
        <f>"1552380290222602"</f>
        <v>1552380290222602</v>
      </c>
      <c r="C819" t="s">
        <v>40</v>
      </c>
      <c r="D819">
        <v>4.8060809999999998</v>
      </c>
      <c r="E819">
        <v>0.50875309999999996</v>
      </c>
      <c r="F819" t="s">
        <v>41</v>
      </c>
      <c r="G819">
        <v>-241.00839999999999</v>
      </c>
      <c r="H819">
        <v>1.00918</v>
      </c>
      <c r="I819">
        <v>367.50279999999998</v>
      </c>
      <c r="J819">
        <v>-241.64449999999999</v>
      </c>
      <c r="K819">
        <v>1.1087199999999999</v>
      </c>
      <c r="L819">
        <v>367.57389999999998</v>
      </c>
      <c r="M819">
        <v>0.99972059999999996</v>
      </c>
      <c r="N819">
        <v>0</v>
      </c>
      <c r="O819">
        <v>1.6974369999999999E-2</v>
      </c>
      <c r="P819">
        <v>0.99216870000000001</v>
      </c>
      <c r="Q819">
        <v>0.1049781</v>
      </c>
      <c r="R819">
        <v>-6.7681669999999999E-2</v>
      </c>
      <c r="S819">
        <v>3.0442499999999999</v>
      </c>
      <c r="T819">
        <v>-0.34290389999999998</v>
      </c>
      <c r="U819">
        <v>-0.2299194</v>
      </c>
      <c r="V819">
        <v>8.4538940000000007E-2</v>
      </c>
      <c r="W819">
        <v>0.12125080000000001</v>
      </c>
      <c r="X819">
        <v>0.98901530000000004</v>
      </c>
      <c r="Y819">
        <v>9.1546290000000002E-2</v>
      </c>
      <c r="Z819">
        <v>-7.0361590000000002E-3</v>
      </c>
      <c r="AA819">
        <v>0.99577590000000005</v>
      </c>
      <c r="AB819">
        <v>48</v>
      </c>
      <c r="AC819">
        <v>0.636099999999999</v>
      </c>
      <c r="AD819">
        <v>-9.9540000000000101E-2</v>
      </c>
      <c r="AE819">
        <v>-7.1100000000001204E-2</v>
      </c>
      <c r="AF819">
        <v>7.9954875600051101E-2</v>
      </c>
      <c r="AG819">
        <v>-9.9540000000000101E-2</v>
      </c>
      <c r="AH819">
        <v>0.61981094992223595</v>
      </c>
      <c r="AI819">
        <v>99.049913911588803</v>
      </c>
      <c r="AJ819">
        <v>82.649505638512906</v>
      </c>
      <c r="AK819">
        <v>0.63282431003851602</v>
      </c>
      <c r="AL819">
        <v>83.035704194438395</v>
      </c>
      <c r="AM819">
        <v>85.114353567235199</v>
      </c>
      <c r="AN819">
        <v>0.99999992625552403</v>
      </c>
    </row>
    <row r="820" spans="1:40" x14ac:dyDescent="0.25">
      <c r="A820" t="str">
        <f>"20190312164450244"</f>
        <v>20190312164450244</v>
      </c>
      <c r="B820" t="str">
        <f>"1552380290232362"</f>
        <v>1552380290232362</v>
      </c>
      <c r="C820" t="s">
        <v>40</v>
      </c>
      <c r="D820">
        <v>4.8208760000000002</v>
      </c>
      <c r="E820">
        <v>0.50892309999999996</v>
      </c>
      <c r="F820" t="s">
        <v>41</v>
      </c>
      <c r="G820">
        <v>-240.5926</v>
      </c>
      <c r="H820">
        <v>0.99044549999999998</v>
      </c>
      <c r="I820">
        <v>367.49310000000003</v>
      </c>
      <c r="J820">
        <v>-241.39160000000001</v>
      </c>
      <c r="K820">
        <v>1.1087750000000001</v>
      </c>
      <c r="L820">
        <v>367.57810000000001</v>
      </c>
      <c r="M820">
        <v>0.9997161</v>
      </c>
      <c r="N820">
        <v>0</v>
      </c>
      <c r="O820">
        <v>1.6948930000000001E-2</v>
      </c>
      <c r="P820">
        <v>0.99214440000000004</v>
      </c>
      <c r="Q820">
        <v>0.1049549</v>
      </c>
      <c r="R820">
        <v>-6.8076419999999999E-2</v>
      </c>
      <c r="S820">
        <v>3.0439759999999998</v>
      </c>
      <c r="T820">
        <v>-0.34231009999999901</v>
      </c>
      <c r="U820">
        <v>-0.23321529999999999</v>
      </c>
      <c r="V820">
        <v>8.4907919999999998E-2</v>
      </c>
      <c r="W820">
        <v>0.1215244</v>
      </c>
      <c r="X820">
        <v>0.9889502</v>
      </c>
      <c r="Y820">
        <v>9.2595590000000005E-2</v>
      </c>
      <c r="Z820">
        <v>-7.0802879999999997E-3</v>
      </c>
      <c r="AA820">
        <v>0.99567859999999997</v>
      </c>
      <c r="AB820">
        <v>48</v>
      </c>
      <c r="AC820">
        <v>0.79900000000000604</v>
      </c>
      <c r="AD820">
        <v>-0.1183295</v>
      </c>
      <c r="AE820">
        <v>-8.4999999999979495E-2</v>
      </c>
      <c r="AF820">
        <v>9.6440352587614894E-2</v>
      </c>
      <c r="AG820">
        <v>-0.1183295</v>
      </c>
      <c r="AH820">
        <v>0.78051704541147904</v>
      </c>
      <c r="AI820">
        <v>98.556529324063405</v>
      </c>
      <c r="AJ820">
        <v>82.956258713817306</v>
      </c>
      <c r="AK820">
        <v>0.79530463996844603</v>
      </c>
      <c r="AL820">
        <v>83.019911914439902</v>
      </c>
      <c r="AM820">
        <v>85.092812056329606</v>
      </c>
      <c r="AN820">
        <v>1.0000000163770599</v>
      </c>
    </row>
    <row r="821" spans="1:40" x14ac:dyDescent="0.25">
      <c r="A821" t="str">
        <f>"20190312164450256"</f>
        <v>20190312164450256</v>
      </c>
      <c r="B821" t="str">
        <f>"1552380290252858"</f>
        <v>1552380290252858</v>
      </c>
      <c r="C821" t="s">
        <v>40</v>
      </c>
      <c r="D821">
        <v>4.9230470000000004</v>
      </c>
      <c r="E821">
        <v>0.50968559999999996</v>
      </c>
      <c r="F821" t="s">
        <v>41</v>
      </c>
      <c r="G821">
        <v>-240.5795</v>
      </c>
      <c r="H821">
        <v>1.0177389999999999</v>
      </c>
      <c r="I821">
        <v>367.51499999999999</v>
      </c>
      <c r="J821">
        <v>-241.13319999999999</v>
      </c>
      <c r="K821">
        <v>1.1088290000000001</v>
      </c>
      <c r="L821">
        <v>367.58249999999998</v>
      </c>
      <c r="M821">
        <v>0.99971120000000002</v>
      </c>
      <c r="N821">
        <v>0</v>
      </c>
      <c r="O821">
        <v>1.692372E-2</v>
      </c>
      <c r="P821">
        <v>0.99208399999999997</v>
      </c>
      <c r="Q821">
        <v>0.1052578</v>
      </c>
      <c r="R821">
        <v>-6.8484210000000004E-2</v>
      </c>
      <c r="S821">
        <v>3.0436550000000002</v>
      </c>
      <c r="T821">
        <v>-0.34123870000000001</v>
      </c>
      <c r="U821">
        <v>-0.23587040000000001</v>
      </c>
      <c r="V821">
        <v>8.5289740000000003E-2</v>
      </c>
      <c r="W821">
        <v>0.12213019999999999</v>
      </c>
      <c r="X821">
        <v>0.98884269999999996</v>
      </c>
      <c r="Y821">
        <v>9.3441029999999994E-2</v>
      </c>
      <c r="Z821">
        <v>-7.1031439999999996E-3</v>
      </c>
      <c r="AA821">
        <v>0.99559940000000002</v>
      </c>
      <c r="AB821">
        <v>48</v>
      </c>
      <c r="AC821">
        <v>0.55369999999999198</v>
      </c>
      <c r="AD821">
        <v>-9.1090000000000101E-2</v>
      </c>
      <c r="AE821">
        <v>-6.7499999999995397E-2</v>
      </c>
      <c r="AF821">
        <v>7.4865857466220195E-2</v>
      </c>
      <c r="AG821">
        <v>-9.1090000000000101E-2</v>
      </c>
      <c r="AH821">
        <v>0.53812753429722104</v>
      </c>
      <c r="AI821">
        <v>99.517543850407804</v>
      </c>
      <c r="AJ821">
        <v>82.079684204739706</v>
      </c>
      <c r="AK821">
        <v>0.55089339066915599</v>
      </c>
      <c r="AL821">
        <v>82.984941571426702</v>
      </c>
      <c r="AM821">
        <v>85.070320319525706</v>
      </c>
      <c r="AN821">
        <v>1.00000000542229</v>
      </c>
    </row>
    <row r="822" spans="1:40" x14ac:dyDescent="0.25">
      <c r="A822" t="str">
        <f>"20190312164450269"</f>
        <v>20190312164450269</v>
      </c>
      <c r="B822" t="str">
        <f>"1552380290262618"</f>
        <v>1552380290262618</v>
      </c>
      <c r="C822" t="s">
        <v>40</v>
      </c>
      <c r="D822">
        <v>4.8471169999999999</v>
      </c>
      <c r="E822">
        <v>0.50977950000000005</v>
      </c>
      <c r="F822" t="s">
        <v>41</v>
      </c>
      <c r="G822">
        <v>-240.16399999999999</v>
      </c>
      <c r="H822">
        <v>1.0013840000000001</v>
      </c>
      <c r="I822">
        <v>367.505</v>
      </c>
      <c r="J822">
        <v>-240.85910000000001</v>
      </c>
      <c r="K822">
        <v>1.108881</v>
      </c>
      <c r="L822">
        <v>367.58710000000002</v>
      </c>
      <c r="M822">
        <v>0.99970619999999999</v>
      </c>
      <c r="N822">
        <v>0</v>
      </c>
      <c r="O822">
        <v>1.6896919999999999E-2</v>
      </c>
      <c r="P822">
        <v>0.99204250000000005</v>
      </c>
      <c r="Q822">
        <v>0.10556790000000001</v>
      </c>
      <c r="R822">
        <v>-6.861022E-2</v>
      </c>
      <c r="S822">
        <v>3.0429689999999998</v>
      </c>
      <c r="T822">
        <v>-0.33747709999999997</v>
      </c>
      <c r="U822">
        <v>-0.24285889999999999</v>
      </c>
      <c r="V822">
        <v>8.5388790000000006E-2</v>
      </c>
      <c r="W822">
        <v>0.122763</v>
      </c>
      <c r="X822">
        <v>0.98875579999999996</v>
      </c>
      <c r="Y822">
        <v>9.5705189999999996E-2</v>
      </c>
      <c r="Z822">
        <v>-7.1482960000000002E-3</v>
      </c>
      <c r="AA822">
        <v>0.99538400000000005</v>
      </c>
      <c r="AB822">
        <v>47</v>
      </c>
      <c r="AC822">
        <v>0.69509999999999605</v>
      </c>
      <c r="AD822">
        <v>-0.107496999999999</v>
      </c>
      <c r="AE822">
        <v>-8.2100000000025306E-2</v>
      </c>
      <c r="AF822">
        <v>9.1672770082417601E-2</v>
      </c>
      <c r="AG822">
        <v>-0.107496999999999</v>
      </c>
      <c r="AH822">
        <v>0.67762971913668202</v>
      </c>
      <c r="AI822">
        <v>98.934050025347901</v>
      </c>
      <c r="AJ822">
        <v>82.295546243433193</v>
      </c>
      <c r="AK822">
        <v>0.69220050421885904</v>
      </c>
      <c r="AL822">
        <v>82.948409978444801</v>
      </c>
      <c r="AM822">
        <v>85.064191949788494</v>
      </c>
      <c r="AN822">
        <v>1.0000000158301501</v>
      </c>
    </row>
    <row r="823" spans="1:40" x14ac:dyDescent="0.25">
      <c r="A823" t="str">
        <f>"20190312164450281"</f>
        <v>20190312164450281</v>
      </c>
      <c r="B823" t="str">
        <f>"1552380290272378"</f>
        <v>1552380290272378</v>
      </c>
      <c r="C823" t="s">
        <v>40</v>
      </c>
      <c r="D823">
        <v>5.0472630000000001</v>
      </c>
      <c r="E823">
        <v>0.50994499999999998</v>
      </c>
      <c r="F823" t="s">
        <v>41</v>
      </c>
      <c r="G823">
        <v>-239.7491</v>
      </c>
      <c r="H823">
        <v>0.9862609</v>
      </c>
      <c r="I823">
        <v>367.4982</v>
      </c>
      <c r="J823">
        <v>-240.61089999999999</v>
      </c>
      <c r="K823">
        <v>1.1089209999999901</v>
      </c>
      <c r="L823">
        <v>367.59129999999999</v>
      </c>
      <c r="M823">
        <v>0.99970139999999996</v>
      </c>
      <c r="N823">
        <v>0</v>
      </c>
      <c r="O823">
        <v>1.6871899999999999E-2</v>
      </c>
      <c r="P823">
        <v>0.99200829999999995</v>
      </c>
      <c r="Q823">
        <v>0.1058265</v>
      </c>
      <c r="R823">
        <v>-6.8702780000000005E-2</v>
      </c>
      <c r="S823">
        <v>3.043015</v>
      </c>
      <c r="T823">
        <v>-0.33624110000000001</v>
      </c>
      <c r="U823">
        <v>-0.24365229999999999</v>
      </c>
      <c r="V823">
        <v>8.5456589999999999E-2</v>
      </c>
      <c r="W823">
        <v>0.12330480000000001</v>
      </c>
      <c r="X823">
        <v>0.98868250000000002</v>
      </c>
      <c r="Y823">
        <v>9.5940830000000005E-2</v>
      </c>
      <c r="Z823">
        <v>-7.1323100000000002E-3</v>
      </c>
      <c r="AA823">
        <v>0.99536150000000001</v>
      </c>
      <c r="AB823">
        <v>47</v>
      </c>
      <c r="AC823">
        <v>0.86179999999998802</v>
      </c>
      <c r="AD823">
        <v>-0.12266009999999899</v>
      </c>
      <c r="AE823">
        <v>-9.3099999999992605E-2</v>
      </c>
      <c r="AF823">
        <v>0.105516341906609</v>
      </c>
      <c r="AG823">
        <v>-0.12266009999999899</v>
      </c>
      <c r="AH823">
        <v>0.84322146037365497</v>
      </c>
      <c r="AI823">
        <v>98.213367060763602</v>
      </c>
      <c r="AJ823">
        <v>82.867379590007502</v>
      </c>
      <c r="AK823">
        <v>0.85860446643145505</v>
      </c>
      <c r="AL823">
        <v>82.917129316152995</v>
      </c>
      <c r="AM823">
        <v>85.059927813610003</v>
      </c>
      <c r="AN823">
        <v>0.99999999414185903</v>
      </c>
    </row>
    <row r="824" spans="1:40" x14ac:dyDescent="0.25">
      <c r="A824" t="str">
        <f>"20190312164450292"</f>
        <v>20190312164450292</v>
      </c>
      <c r="B824" t="str">
        <f>"1552380290282138"</f>
        <v>1552380290282138</v>
      </c>
      <c r="C824" t="s">
        <v>40</v>
      </c>
      <c r="D824">
        <v>4.9704660000000001</v>
      </c>
      <c r="E824">
        <v>0.51012179999999996</v>
      </c>
      <c r="F824" t="s">
        <v>41</v>
      </c>
      <c r="G824">
        <v>-239.7362</v>
      </c>
      <c r="H824">
        <v>1.013498</v>
      </c>
      <c r="I824">
        <v>367.52080000000001</v>
      </c>
      <c r="J824">
        <v>-240.37219999999999</v>
      </c>
      <c r="K824">
        <v>1.108954</v>
      </c>
      <c r="L824">
        <v>367.59530000000001</v>
      </c>
      <c r="M824">
        <v>0.99969699999999995</v>
      </c>
      <c r="N824">
        <v>0</v>
      </c>
      <c r="O824">
        <v>1.684681E-2</v>
      </c>
      <c r="P824">
        <v>0.99201139999999999</v>
      </c>
      <c r="Q824">
        <v>0.1055652</v>
      </c>
      <c r="R824">
        <v>-6.9060990000000003E-2</v>
      </c>
      <c r="S824">
        <v>3.0426479999999998</v>
      </c>
      <c r="T824">
        <v>-0.33200239999999998</v>
      </c>
      <c r="U824">
        <v>-0.2449036</v>
      </c>
      <c r="V824">
        <v>8.5790370000000005E-2</v>
      </c>
      <c r="W824">
        <v>0.1233114</v>
      </c>
      <c r="X824">
        <v>0.9886528</v>
      </c>
      <c r="Y824">
        <v>9.6346810000000005E-2</v>
      </c>
      <c r="Z824">
        <v>-7.0629880000000001E-3</v>
      </c>
      <c r="AA824">
        <v>0.99532279999999995</v>
      </c>
      <c r="AB824">
        <v>47</v>
      </c>
      <c r="AC824">
        <v>0.63599999999999501</v>
      </c>
      <c r="AD824">
        <v>-9.5455999999999999E-2</v>
      </c>
      <c r="AE824">
        <v>-7.4500000000000399E-2</v>
      </c>
      <c r="AF824">
        <v>8.3353480435245306E-2</v>
      </c>
      <c r="AG824">
        <v>-9.5455999999999999E-2</v>
      </c>
      <c r="AH824">
        <v>0.62085801752112302</v>
      </c>
      <c r="AI824">
        <v>98.664157876025897</v>
      </c>
      <c r="AJ824">
        <v>82.353460724849697</v>
      </c>
      <c r="AK824">
        <v>0.63365947365831099</v>
      </c>
      <c r="AL824">
        <v>82.916748468150203</v>
      </c>
      <c r="AM824">
        <v>85.040580471957497</v>
      </c>
      <c r="AN824">
        <v>1.0000000239512601</v>
      </c>
    </row>
    <row r="825" spans="1:40" x14ac:dyDescent="0.25">
      <c r="A825" t="str">
        <f>"20190312164450302"</f>
        <v>20190312164450302</v>
      </c>
      <c r="B825" t="str">
        <f>"1552380290292875"</f>
        <v>1552380290292875</v>
      </c>
      <c r="C825" t="s">
        <v>40</v>
      </c>
      <c r="D825">
        <v>4.9720050000000002</v>
      </c>
      <c r="E825">
        <v>0.51039869999999998</v>
      </c>
      <c r="F825" t="s">
        <v>41</v>
      </c>
      <c r="G825">
        <v>-239.3244</v>
      </c>
      <c r="H825">
        <v>0.99529400000000001</v>
      </c>
      <c r="I825">
        <v>367.51</v>
      </c>
      <c r="J825">
        <v>-240.14580000000001</v>
      </c>
      <c r="K825">
        <v>1.108973</v>
      </c>
      <c r="L825">
        <v>367.59910000000002</v>
      </c>
      <c r="M825">
        <v>0.99969300000000005</v>
      </c>
      <c r="N825">
        <v>0</v>
      </c>
      <c r="O825">
        <v>1.682206E-2</v>
      </c>
      <c r="P825">
        <v>0.99203359999999996</v>
      </c>
      <c r="Q825">
        <v>0.105144</v>
      </c>
      <c r="R825">
        <v>-6.9382840000000001E-2</v>
      </c>
      <c r="S825">
        <v>3.0420989999999999</v>
      </c>
      <c r="T825">
        <v>-0.33010020000000001</v>
      </c>
      <c r="U825">
        <v>-0.24716189999999999</v>
      </c>
      <c r="V825">
        <v>8.608847E-2</v>
      </c>
      <c r="W825">
        <v>0.1231358</v>
      </c>
      <c r="X825">
        <v>0.98864879999999999</v>
      </c>
      <c r="Y825">
        <v>9.7073989999999999E-2</v>
      </c>
      <c r="Z825">
        <v>-7.0604149999999996E-3</v>
      </c>
      <c r="AA825">
        <v>0.99525209999999997</v>
      </c>
      <c r="AB825">
        <v>47</v>
      </c>
      <c r="AC825">
        <v>0.82140000000001101</v>
      </c>
      <c r="AD825">
        <v>-0.113678999999999</v>
      </c>
      <c r="AE825">
        <v>-8.9100000000030294E-2</v>
      </c>
      <c r="AF825">
        <v>0.100995383520476</v>
      </c>
      <c r="AG825">
        <v>-0.113678999999999</v>
      </c>
      <c r="AH825">
        <v>0.80455372870018105</v>
      </c>
      <c r="AI825">
        <v>97.980524563656104</v>
      </c>
      <c r="AJ825">
        <v>82.845103271879097</v>
      </c>
      <c r="AK825">
        <v>0.818797706945258</v>
      </c>
      <c r="AL825">
        <v>82.926887056213602</v>
      </c>
      <c r="AM825">
        <v>85.023414092722703</v>
      </c>
      <c r="AN825">
        <v>1.0000000498249999</v>
      </c>
    </row>
    <row r="826" spans="1:40" x14ac:dyDescent="0.25">
      <c r="A826" t="str">
        <f>"20190312164450314"</f>
        <v>20190312164450314</v>
      </c>
      <c r="B826" t="str">
        <f>"1552380290302634"</f>
        <v>1552380290302634</v>
      </c>
      <c r="C826" t="s">
        <v>40</v>
      </c>
      <c r="D826">
        <v>4.9445259999999998</v>
      </c>
      <c r="E826">
        <v>0.51070329999999997</v>
      </c>
      <c r="F826" t="s">
        <v>41</v>
      </c>
      <c r="G826">
        <v>-239.31299999999999</v>
      </c>
      <c r="H826">
        <v>1.019145</v>
      </c>
      <c r="I826">
        <v>367.53039999999999</v>
      </c>
      <c r="J826">
        <v>-239.91679999999999</v>
      </c>
      <c r="K826">
        <v>1.108997</v>
      </c>
      <c r="L826">
        <v>367.60289999999998</v>
      </c>
      <c r="M826">
        <v>0.99968889999999999</v>
      </c>
      <c r="N826">
        <v>0</v>
      </c>
      <c r="O826">
        <v>1.67957E-2</v>
      </c>
      <c r="P826">
        <v>0.99209429999999998</v>
      </c>
      <c r="Q826">
        <v>0.1045629</v>
      </c>
      <c r="R826">
        <v>-6.9393949999999996E-2</v>
      </c>
      <c r="S826">
        <v>3.0413670000000002</v>
      </c>
      <c r="T826">
        <v>-0.32820199999999999</v>
      </c>
      <c r="U826">
        <v>-0.25012210000000001</v>
      </c>
      <c r="V826">
        <v>8.6074949999999997E-2</v>
      </c>
      <c r="W826">
        <v>0.1227975</v>
      </c>
      <c r="X826">
        <v>0.98869200000000002</v>
      </c>
      <c r="Y826">
        <v>9.8031359999999998E-2</v>
      </c>
      <c r="Z826">
        <v>-7.0700490000000001E-3</v>
      </c>
      <c r="AA826">
        <v>0.99515819999999999</v>
      </c>
      <c r="AB826">
        <v>47</v>
      </c>
      <c r="AC826">
        <v>0.603800000000006</v>
      </c>
      <c r="AD826">
        <v>-8.9852000000000001E-2</v>
      </c>
      <c r="AE826">
        <v>-7.2499999999990905E-2</v>
      </c>
      <c r="AF826">
        <v>8.0867407308806094E-2</v>
      </c>
      <c r="AG826">
        <v>-8.9852000000000001E-2</v>
      </c>
      <c r="AH826">
        <v>0.58962541737210905</v>
      </c>
      <c r="AI826">
        <v>98.585389170019695</v>
      </c>
      <c r="AJ826">
        <v>82.190579008083702</v>
      </c>
      <c r="AK826">
        <v>0.60188956817682304</v>
      </c>
      <c r="AL826">
        <v>82.946418070190404</v>
      </c>
      <c r="AM826">
        <v>85.024408052282794</v>
      </c>
      <c r="AN826">
        <v>0.99999999694387598</v>
      </c>
    </row>
    <row r="827" spans="1:40" x14ac:dyDescent="0.25">
      <c r="A827" t="str">
        <f>"20190312164450326"</f>
        <v>20190312164450326</v>
      </c>
      <c r="B827" t="str">
        <f>"1552380290322154"</f>
        <v>1552380290322154</v>
      </c>
      <c r="C827" t="s">
        <v>40</v>
      </c>
      <c r="D827">
        <v>4.7111850000000004</v>
      </c>
      <c r="E827">
        <v>0.51073970000000002</v>
      </c>
      <c r="F827" t="s">
        <v>41</v>
      </c>
      <c r="G827">
        <v>-238.90360000000001</v>
      </c>
      <c r="H827">
        <v>0.99903189999999997</v>
      </c>
      <c r="I827">
        <v>367.5188</v>
      </c>
      <c r="J827">
        <v>-239.68299999999999</v>
      </c>
      <c r="K827">
        <v>1.1090169999999999</v>
      </c>
      <c r="L827">
        <v>367.60680000000002</v>
      </c>
      <c r="M827">
        <v>0.99968500000000005</v>
      </c>
      <c r="N827">
        <v>0</v>
      </c>
      <c r="O827">
        <v>1.6767049999999999E-2</v>
      </c>
      <c r="P827">
        <v>0.99213379999999995</v>
      </c>
      <c r="Q827">
        <v>0.1037969</v>
      </c>
      <c r="R827">
        <v>-6.9979040000000006E-2</v>
      </c>
      <c r="S827">
        <v>3.0410919999999999</v>
      </c>
      <c r="T827">
        <v>-0.33018550000000002</v>
      </c>
      <c r="U827">
        <v>-0.25201420000000002</v>
      </c>
      <c r="V827">
        <v>8.663274E-2</v>
      </c>
      <c r="W827">
        <v>0.1222722</v>
      </c>
      <c r="X827">
        <v>0.98870840000000004</v>
      </c>
      <c r="Y827">
        <v>9.8613889999999996E-2</v>
      </c>
      <c r="Z827">
        <v>-7.1413759999999996E-3</v>
      </c>
      <c r="AA827">
        <v>0.99510010000000004</v>
      </c>
      <c r="AB827">
        <v>47</v>
      </c>
      <c r="AC827">
        <v>0.779399999999981</v>
      </c>
      <c r="AD827">
        <v>-0.109985099999999</v>
      </c>
      <c r="AE827">
        <v>-8.8000000000022199E-2</v>
      </c>
      <c r="AF827">
        <v>9.9109374826035601E-2</v>
      </c>
      <c r="AG827">
        <v>-0.109985099999999</v>
      </c>
      <c r="AH827">
        <v>0.76281554483027303</v>
      </c>
      <c r="AI827">
        <v>98.137075045601506</v>
      </c>
      <c r="AJ827">
        <v>82.597271934697602</v>
      </c>
      <c r="AK827">
        <v>0.77705015657621801</v>
      </c>
      <c r="AL827">
        <v>82.976744175899995</v>
      </c>
      <c r="AM827">
        <v>84.992410877855903</v>
      </c>
      <c r="AN827">
        <v>1.0000000113816501</v>
      </c>
    </row>
    <row r="828" spans="1:40" x14ac:dyDescent="0.25">
      <c r="A828" t="str">
        <f>"20190312164450337"</f>
        <v>20190312164450337</v>
      </c>
      <c r="B828" t="str">
        <f>"1552380290332891"</f>
        <v>1552380290332891</v>
      </c>
      <c r="C828" t="s">
        <v>40</v>
      </c>
      <c r="D828">
        <v>4.7175520000000004</v>
      </c>
      <c r="E828">
        <v>0.5107429</v>
      </c>
      <c r="F828" t="s">
        <v>41</v>
      </c>
      <c r="G828">
        <v>-238.89259999999999</v>
      </c>
      <c r="H828">
        <v>1.022103</v>
      </c>
      <c r="I828">
        <v>367.54059999999998</v>
      </c>
      <c r="J828">
        <v>-239.4314</v>
      </c>
      <c r="K828">
        <v>1.1090409999999999</v>
      </c>
      <c r="L828">
        <v>367.61099999999999</v>
      </c>
      <c r="M828">
        <v>0.99968069999999998</v>
      </c>
      <c r="N828">
        <v>0</v>
      </c>
      <c r="O828">
        <v>1.6734659999999998E-2</v>
      </c>
      <c r="P828">
        <v>0.99217679999999997</v>
      </c>
      <c r="Q828">
        <v>0.1032124</v>
      </c>
      <c r="R828">
        <v>-7.0231009999999996E-2</v>
      </c>
      <c r="S828">
        <v>3.040848</v>
      </c>
      <c r="T828">
        <v>-0.3345207</v>
      </c>
      <c r="U828">
        <v>-0.2541504</v>
      </c>
      <c r="V828">
        <v>8.6854169999999994E-2</v>
      </c>
      <c r="W828">
        <v>0.12193619999999999</v>
      </c>
      <c r="X828">
        <v>0.98873049999999996</v>
      </c>
      <c r="Y828">
        <v>9.9261050000000003E-2</v>
      </c>
      <c r="Z828">
        <v>-7.2668409999999996E-3</v>
      </c>
      <c r="AA828">
        <v>0.99503490000000006</v>
      </c>
      <c r="AB828">
        <v>47</v>
      </c>
      <c r="AC828">
        <v>0.53880000000000805</v>
      </c>
      <c r="AD828">
        <v>-8.6937999999999904E-2</v>
      </c>
      <c r="AE828">
        <v>-7.0400000000006402E-2</v>
      </c>
      <c r="AF828">
        <v>7.7426399632854595E-2</v>
      </c>
      <c r="AG828">
        <v>-8.6937999999999904E-2</v>
      </c>
      <c r="AH828">
        <v>0.524129334320109</v>
      </c>
      <c r="AI828">
        <v>99.3186492316553</v>
      </c>
      <c r="AJ828">
        <v>81.596821206770997</v>
      </c>
      <c r="AK828">
        <v>0.53690280526269096</v>
      </c>
      <c r="AL828">
        <v>82.996140916553898</v>
      </c>
      <c r="AM828">
        <v>84.979788637265699</v>
      </c>
      <c r="AN828">
        <v>1.00000004267353</v>
      </c>
    </row>
    <row r="829" spans="1:40" x14ac:dyDescent="0.25">
      <c r="A829" t="str">
        <f>"20190312164450349"</f>
        <v>20190312164450349</v>
      </c>
      <c r="B829" t="str">
        <f>"1552380290342650"</f>
        <v>1552380290342650</v>
      </c>
      <c r="C829" t="s">
        <v>40</v>
      </c>
      <c r="D829">
        <v>4.672282</v>
      </c>
      <c r="E829">
        <v>0.51073059999999904</v>
      </c>
      <c r="F829" t="s">
        <v>41</v>
      </c>
      <c r="G829">
        <v>-238.4837</v>
      </c>
      <c r="H829">
        <v>1.004316</v>
      </c>
      <c r="I829">
        <v>367.53140000000002</v>
      </c>
      <c r="J829">
        <v>-239.18</v>
      </c>
      <c r="K829">
        <v>1.109059</v>
      </c>
      <c r="L829">
        <v>367.61520000000002</v>
      </c>
      <c r="M829">
        <v>0.99967660000000003</v>
      </c>
      <c r="N829">
        <v>0</v>
      </c>
      <c r="O829">
        <v>1.6701629999999999E-2</v>
      </c>
      <c r="P829">
        <v>0.9922415</v>
      </c>
      <c r="Q829">
        <v>0.10225529999999999</v>
      </c>
      <c r="R829">
        <v>-7.0717420000000003E-2</v>
      </c>
      <c r="S829">
        <v>3.0405880000000001</v>
      </c>
      <c r="T829">
        <v>-0.33613779999999999</v>
      </c>
      <c r="U829">
        <v>-0.25482179999999999</v>
      </c>
      <c r="V829">
        <v>8.7309150000000002E-2</v>
      </c>
      <c r="W829">
        <v>0.121221</v>
      </c>
      <c r="X829">
        <v>0.98877839999999995</v>
      </c>
      <c r="Y829">
        <v>9.9445759999999994E-2</v>
      </c>
      <c r="Z829">
        <v>-7.3088459999999999E-3</v>
      </c>
      <c r="AA829">
        <v>0.99501620000000002</v>
      </c>
      <c r="AB829">
        <v>47</v>
      </c>
      <c r="AC829">
        <v>0.69630000000000702</v>
      </c>
      <c r="AD829">
        <v>-0.104743</v>
      </c>
      <c r="AE829">
        <v>-8.3799999999996502E-2</v>
      </c>
      <c r="AF829">
        <v>9.3337843908280593E-2</v>
      </c>
      <c r="AG829">
        <v>-0.104743</v>
      </c>
      <c r="AH829">
        <v>0.67964320856754901</v>
      </c>
      <c r="AI829">
        <v>98.680968796633806</v>
      </c>
      <c r="AJ829">
        <v>82.180281193744193</v>
      </c>
      <c r="AK829">
        <v>0.69397257878567398</v>
      </c>
      <c r="AL829">
        <v>83.037425312403698</v>
      </c>
      <c r="AM829">
        <v>84.953869224803</v>
      </c>
      <c r="AN829">
        <v>1.0000000714106301</v>
      </c>
    </row>
    <row r="830" spans="1:40" x14ac:dyDescent="0.25">
      <c r="A830" t="str">
        <f>"20190312164450362"</f>
        <v>20190312164450362</v>
      </c>
      <c r="B830" t="str">
        <f>"1552380290352409"</f>
        <v>1552380290352409</v>
      </c>
      <c r="C830" t="s">
        <v>40</v>
      </c>
      <c r="D830">
        <v>4.6558400000000004</v>
      </c>
      <c r="E830">
        <v>0.51085559999999997</v>
      </c>
      <c r="F830" t="s">
        <v>41</v>
      </c>
      <c r="G830">
        <v>-238.07640000000001</v>
      </c>
      <c r="H830">
        <v>0.98602749999999995</v>
      </c>
      <c r="I830">
        <v>367.5222</v>
      </c>
      <c r="J830">
        <v>-238.90209999999999</v>
      </c>
      <c r="K830">
        <v>1.1090719999999901</v>
      </c>
      <c r="L830">
        <v>367.6198</v>
      </c>
      <c r="M830">
        <v>0.99967249999999996</v>
      </c>
      <c r="N830">
        <v>0</v>
      </c>
      <c r="O830">
        <v>1.666196E-2</v>
      </c>
      <c r="P830">
        <v>0.99222840000000001</v>
      </c>
      <c r="Q830">
        <v>0.1018245</v>
      </c>
      <c r="R830">
        <v>-7.1518659999999998E-2</v>
      </c>
      <c r="S830">
        <v>3.040146</v>
      </c>
      <c r="T830">
        <v>-0.33892420000000001</v>
      </c>
      <c r="U830">
        <v>-0.25604250000000001</v>
      </c>
      <c r="V830">
        <v>8.8071540000000004E-2</v>
      </c>
      <c r="W830">
        <v>0.1210374</v>
      </c>
      <c r="X830">
        <v>0.98873319999999998</v>
      </c>
      <c r="Y830">
        <v>9.9801319999999999E-2</v>
      </c>
      <c r="Z830">
        <v>-7.3853319999999997E-3</v>
      </c>
      <c r="AA830">
        <v>0.99497999999999998</v>
      </c>
      <c r="AB830">
        <v>47</v>
      </c>
      <c r="AC830">
        <v>0.825699999999983</v>
      </c>
      <c r="AD830">
        <v>-0.123044499999999</v>
      </c>
      <c r="AE830">
        <v>-9.7599999999999895E-2</v>
      </c>
      <c r="AF830">
        <v>0.10896053277447</v>
      </c>
      <c r="AG830">
        <v>-0.123044499999999</v>
      </c>
      <c r="AH830">
        <v>0.80630044019089198</v>
      </c>
      <c r="AI830">
        <v>98.599629789003899</v>
      </c>
      <c r="AJ830">
        <v>82.303877527180802</v>
      </c>
      <c r="AK830">
        <v>0.82288076082429595</v>
      </c>
      <c r="AL830">
        <v>83.048022312255497</v>
      </c>
      <c r="AM830">
        <v>84.909805039852699</v>
      </c>
      <c r="AN830">
        <v>0.99999999456948496</v>
      </c>
    </row>
    <row r="831" spans="1:40" x14ac:dyDescent="0.25">
      <c r="A831" t="str">
        <f>"20190312164450376"</f>
        <v>20190312164450376</v>
      </c>
      <c r="B831" t="str">
        <f>"1552380290372906"</f>
        <v>1552380290372906</v>
      </c>
      <c r="C831" t="s">
        <v>40</v>
      </c>
      <c r="D831">
        <v>4.5336600000000002</v>
      </c>
      <c r="E831">
        <v>0.51096679999999906</v>
      </c>
      <c r="F831" t="s">
        <v>41</v>
      </c>
      <c r="G831">
        <v>-238.0624</v>
      </c>
      <c r="H831">
        <v>1.015477</v>
      </c>
      <c r="I831">
        <v>367.54820000000001</v>
      </c>
      <c r="J831">
        <v>-238.62280000000001</v>
      </c>
      <c r="K831">
        <v>1.109086</v>
      </c>
      <c r="L831">
        <v>367.62439999999998</v>
      </c>
      <c r="M831">
        <v>0.99966849999999996</v>
      </c>
      <c r="N831">
        <v>0</v>
      </c>
      <c r="O831">
        <v>1.6620940000000001E-2</v>
      </c>
      <c r="P831">
        <v>0.99220390000000003</v>
      </c>
      <c r="Q831">
        <v>0.1012227</v>
      </c>
      <c r="R831">
        <v>-7.270472E-2</v>
      </c>
      <c r="S831">
        <v>3.0395970000000001</v>
      </c>
      <c r="T831">
        <v>-0.33878779999999997</v>
      </c>
      <c r="U831">
        <v>-0.25906370000000001</v>
      </c>
      <c r="V831">
        <v>8.9216909999999996E-2</v>
      </c>
      <c r="W831">
        <v>0.120671</v>
      </c>
      <c r="X831">
        <v>0.98867530000000003</v>
      </c>
      <c r="Y831">
        <v>0.1007523</v>
      </c>
      <c r="Z831">
        <v>-7.4315919999999999E-3</v>
      </c>
      <c r="AA831">
        <v>0.99488379999999998</v>
      </c>
      <c r="AB831">
        <v>47</v>
      </c>
      <c r="AC831">
        <v>0.560400000000015</v>
      </c>
      <c r="AD831">
        <v>-9.3608999999999998E-2</v>
      </c>
      <c r="AE831">
        <v>-7.6199999999971596E-2</v>
      </c>
      <c r="AF831">
        <v>8.3225620558591798E-2</v>
      </c>
      <c r="AG831">
        <v>-9.3608999999999998E-2</v>
      </c>
      <c r="AH831">
        <v>0.54414846214257795</v>
      </c>
      <c r="AI831">
        <v>99.6508823454799</v>
      </c>
      <c r="AJ831">
        <v>81.304197247867805</v>
      </c>
      <c r="AK831">
        <v>0.55837863287423095</v>
      </c>
      <c r="AL831">
        <v>83.069170520863096</v>
      </c>
      <c r="AM831">
        <v>84.843661288812399</v>
      </c>
      <c r="AN831">
        <v>0.99999999805051898</v>
      </c>
    </row>
    <row r="832" spans="1:40" x14ac:dyDescent="0.25">
      <c r="A832" t="str">
        <f>"20190312164450389"</f>
        <v>20190312164450389</v>
      </c>
      <c r="B832" t="str">
        <f>"1552380290382666"</f>
        <v>1552380290382666</v>
      </c>
      <c r="C832" t="s">
        <v>40</v>
      </c>
      <c r="D832">
        <v>4.6054149999999998</v>
      </c>
      <c r="E832">
        <v>0.51102479999999995</v>
      </c>
      <c r="F832" t="s">
        <v>41</v>
      </c>
      <c r="G832">
        <v>-237.65450000000001</v>
      </c>
      <c r="H832">
        <v>1.001582</v>
      </c>
      <c r="I832">
        <v>367.54050000000001</v>
      </c>
      <c r="J832">
        <v>-238.34729999999999</v>
      </c>
      <c r="K832">
        <v>1.1090960000000001</v>
      </c>
      <c r="L832">
        <v>367.62900000000002</v>
      </c>
      <c r="M832">
        <v>0.99966469999999996</v>
      </c>
      <c r="N832">
        <v>0</v>
      </c>
      <c r="O832">
        <v>1.6579139999999999E-2</v>
      </c>
      <c r="P832">
        <v>0.99218740000000005</v>
      </c>
      <c r="Q832">
        <v>0.1010225</v>
      </c>
      <c r="R832">
        <v>-7.3205030000000004E-2</v>
      </c>
      <c r="S832">
        <v>3.0387569999999999</v>
      </c>
      <c r="T832">
        <v>-0.3374412</v>
      </c>
      <c r="U832">
        <v>-0.26293949999999999</v>
      </c>
      <c r="V832">
        <v>8.9676130000000007E-2</v>
      </c>
      <c r="W832">
        <v>0.1206923</v>
      </c>
      <c r="X832">
        <v>0.98863109999999998</v>
      </c>
      <c r="Y832">
        <v>0.1019916</v>
      </c>
      <c r="Z832">
        <v>-7.46772699999999E-3</v>
      </c>
      <c r="AA832">
        <v>0.99475720000000001</v>
      </c>
      <c r="AB832">
        <v>46</v>
      </c>
      <c r="AC832">
        <v>0.69279999999997699</v>
      </c>
      <c r="AD832">
        <v>-0.107513999999999</v>
      </c>
      <c r="AE832">
        <v>-8.8500000000010404E-2</v>
      </c>
      <c r="AF832">
        <v>9.7661885377157004E-2</v>
      </c>
      <c r="AG832">
        <v>-0.107513999999999</v>
      </c>
      <c r="AH832">
        <v>0.67523644232239299</v>
      </c>
      <c r="AI832">
        <v>98.955283519693296</v>
      </c>
      <c r="AJ832">
        <v>81.7701740668724</v>
      </c>
      <c r="AK832">
        <v>0.69068180596539797</v>
      </c>
      <c r="AL832">
        <v>83.067940771025107</v>
      </c>
      <c r="AM832">
        <v>84.817034148098998</v>
      </c>
      <c r="AN832">
        <v>0.99999994572913697</v>
      </c>
    </row>
    <row r="833" spans="1:40" x14ac:dyDescent="0.25">
      <c r="A833" t="str">
        <f>"20190312164450405"</f>
        <v>20190312164450405</v>
      </c>
      <c r="B833" t="str">
        <f>"1552380290392426"</f>
        <v>1552380290392426</v>
      </c>
      <c r="C833" t="s">
        <v>40</v>
      </c>
      <c r="D833">
        <v>4.5631760000000003</v>
      </c>
      <c r="E833">
        <v>0.51114479999999995</v>
      </c>
      <c r="F833" t="s">
        <v>41</v>
      </c>
      <c r="G833">
        <v>-237.2482</v>
      </c>
      <c r="H833">
        <v>0.98738769999999998</v>
      </c>
      <c r="I833">
        <v>367.53280000000001</v>
      </c>
      <c r="J833">
        <v>-238.0378</v>
      </c>
      <c r="K833">
        <v>1.109105</v>
      </c>
      <c r="L833">
        <v>367.63400000000001</v>
      </c>
      <c r="M833">
        <v>0.99966100000000002</v>
      </c>
      <c r="N833">
        <v>0</v>
      </c>
      <c r="O833">
        <v>1.6530599999999999E-2</v>
      </c>
      <c r="P833">
        <v>0.99215750000000003</v>
      </c>
      <c r="Q833">
        <v>0.10081329999999999</v>
      </c>
      <c r="R833">
        <v>-7.3895310000000006E-2</v>
      </c>
      <c r="S833">
        <v>3.0383149999999999</v>
      </c>
      <c r="T833">
        <v>-0.33659109999999998</v>
      </c>
      <c r="U833">
        <v>-0.26541140000000002</v>
      </c>
      <c r="V833">
        <v>9.0318469999999998E-2</v>
      </c>
      <c r="W833">
        <v>0.12070889999999999</v>
      </c>
      <c r="X833">
        <v>0.98857059999999997</v>
      </c>
      <c r="Y833">
        <v>0.10275819999999999</v>
      </c>
      <c r="Z833">
        <v>-7.4867509999999998E-3</v>
      </c>
      <c r="AA833">
        <v>0.99467819999999996</v>
      </c>
      <c r="AB833">
        <v>46</v>
      </c>
      <c r="AC833">
        <v>0.78960000000000696</v>
      </c>
      <c r="AD833">
        <v>-0.121717299999999</v>
      </c>
      <c r="AE833">
        <v>-0.10120000000000499</v>
      </c>
      <c r="AF833">
        <v>0.111631604135509</v>
      </c>
      <c r="AG833">
        <v>-0.121717299999999</v>
      </c>
      <c r="AH833">
        <v>0.76982165056822505</v>
      </c>
      <c r="AI833">
        <v>98.893211653643405</v>
      </c>
      <c r="AJ833">
        <v>81.749068627031605</v>
      </c>
      <c r="AK833">
        <v>0.78733861193564203</v>
      </c>
      <c r="AL833">
        <v>83.066982671152999</v>
      </c>
      <c r="AM833">
        <v>84.779795819919599</v>
      </c>
      <c r="AN833">
        <v>0.999999947873354</v>
      </c>
    </row>
    <row r="834" spans="1:40" x14ac:dyDescent="0.25">
      <c r="A834" t="str">
        <f>"20190312164450421"</f>
        <v>20190312164450421</v>
      </c>
      <c r="B834" t="str">
        <f>"1552380290411946"</f>
        <v>1552380290411946</v>
      </c>
      <c r="C834" t="s">
        <v>40</v>
      </c>
      <c r="D834">
        <v>4.5886959999999997</v>
      </c>
      <c r="E834">
        <v>0.51126490000000002</v>
      </c>
      <c r="F834" t="s">
        <v>41</v>
      </c>
      <c r="G834">
        <v>-237.23269999999999</v>
      </c>
      <c r="H834">
        <v>1.0201020000000001</v>
      </c>
      <c r="I834">
        <v>367.56270000000001</v>
      </c>
      <c r="J834">
        <v>-237.6994</v>
      </c>
      <c r="K834">
        <v>1.109118</v>
      </c>
      <c r="L834">
        <v>367.63959999999997</v>
      </c>
      <c r="M834">
        <v>0.99965720000000002</v>
      </c>
      <c r="N834">
        <v>0</v>
      </c>
      <c r="O834">
        <v>1.6476290000000001E-2</v>
      </c>
      <c r="P834">
        <v>0.99207690000000004</v>
      </c>
      <c r="Q834">
        <v>0.10015689999999999</v>
      </c>
      <c r="R834">
        <v>-7.584246E-2</v>
      </c>
      <c r="S834">
        <v>3.0378569999999998</v>
      </c>
      <c r="T834">
        <v>-0.33599210000000002</v>
      </c>
      <c r="U834">
        <v>-0.26852419999999999</v>
      </c>
      <c r="V834">
        <v>9.2210840000000002E-2</v>
      </c>
      <c r="W834">
        <v>0.1202795</v>
      </c>
      <c r="X834">
        <v>0.98844829999999995</v>
      </c>
      <c r="Y834">
        <v>0.1037255</v>
      </c>
      <c r="Z834">
        <v>-7.5215509999999996E-3</v>
      </c>
      <c r="AA834">
        <v>0.9945775</v>
      </c>
      <c r="AB834">
        <v>46</v>
      </c>
      <c r="AC834">
        <v>0.466700000000003</v>
      </c>
      <c r="AD834">
        <v>-8.9015999999999901E-2</v>
      </c>
      <c r="AE834">
        <v>-7.6899999999966398E-2</v>
      </c>
      <c r="AF834">
        <v>8.1687412710646806E-2</v>
      </c>
      <c r="AG834">
        <v>-8.9015999999999901E-2</v>
      </c>
      <c r="AH834">
        <v>0.44945060198035902</v>
      </c>
      <c r="AI834">
        <v>101.026638243384</v>
      </c>
      <c r="AJ834">
        <v>79.698963999000298</v>
      </c>
      <c r="AK834">
        <v>0.46540576411543</v>
      </c>
      <c r="AL834">
        <v>83.091766548213201</v>
      </c>
      <c r="AM834">
        <v>84.670388811485395</v>
      </c>
      <c r="AN834">
        <v>1.0000000194533201</v>
      </c>
    </row>
    <row r="835" spans="1:40" x14ac:dyDescent="0.25">
      <c r="A835" t="str">
        <f>"20190312164450444"</f>
        <v>20190312164450444</v>
      </c>
      <c r="B835" t="str">
        <f>"1552380290432442"</f>
        <v>1552380290432442</v>
      </c>
      <c r="C835" t="s">
        <v>40</v>
      </c>
      <c r="D835">
        <v>4.5277760000000002</v>
      </c>
      <c r="E835">
        <v>0.51160850000000002</v>
      </c>
      <c r="F835" t="s">
        <v>41</v>
      </c>
      <c r="G835">
        <v>-236.82470000000001</v>
      </c>
      <c r="H835">
        <v>1.0126470000000001</v>
      </c>
      <c r="I835">
        <v>367.5598</v>
      </c>
      <c r="J835">
        <v>-237.2457</v>
      </c>
      <c r="K835">
        <v>1.1091310000000001</v>
      </c>
      <c r="L835">
        <v>367.64699999999999</v>
      </c>
      <c r="M835">
        <v>0.9996526</v>
      </c>
      <c r="N835">
        <v>0</v>
      </c>
      <c r="O835">
        <v>1.6401570000000001E-2</v>
      </c>
      <c r="P835">
        <v>0.9919635</v>
      </c>
      <c r="Q835">
        <v>9.9949380000000004E-2</v>
      </c>
      <c r="R835">
        <v>-7.7581289999999997E-2</v>
      </c>
      <c r="S835">
        <v>3.0366970000000002</v>
      </c>
      <c r="T835">
        <v>-0.33519779999999999</v>
      </c>
      <c r="U835">
        <v>-0.27590940000000003</v>
      </c>
      <c r="V835">
        <v>9.3874070000000004E-2</v>
      </c>
      <c r="W835">
        <v>0.1203467</v>
      </c>
      <c r="X835">
        <v>0.98828349999999998</v>
      </c>
      <c r="Y835">
        <v>0.10607320000000001</v>
      </c>
      <c r="Z835">
        <v>-7.6266340000000002E-3</v>
      </c>
      <c r="AA835">
        <v>0.99432909999999997</v>
      </c>
      <c r="AB835">
        <v>46</v>
      </c>
      <c r="AC835">
        <v>0.42099999999999199</v>
      </c>
      <c r="AD835">
        <v>-9.6484E-2</v>
      </c>
      <c r="AE835">
        <v>-8.7199999999995698E-2</v>
      </c>
      <c r="AF835">
        <v>8.9583203953975593E-2</v>
      </c>
      <c r="AG835">
        <v>-9.6484E-2</v>
      </c>
      <c r="AH835">
        <v>0.39939831207982601</v>
      </c>
      <c r="AI835">
        <v>103.263468558501</v>
      </c>
      <c r="AJ835">
        <v>77.3580476548549</v>
      </c>
      <c r="AK835">
        <v>0.42053932560329399</v>
      </c>
      <c r="AL835">
        <v>83.087887774757704</v>
      </c>
      <c r="AM835">
        <v>84.573926536553799</v>
      </c>
      <c r="AN835">
        <v>0.99999997279575203</v>
      </c>
    </row>
    <row r="836" spans="1:40" x14ac:dyDescent="0.25">
      <c r="A836" t="str">
        <f>"20190312164450456"</f>
        <v>20190312164450456</v>
      </c>
      <c r="B836" t="str">
        <f>"1552380290452938"</f>
        <v>1552380290452938</v>
      </c>
      <c r="C836" t="s">
        <v>40</v>
      </c>
      <c r="D836">
        <v>4.500705</v>
      </c>
      <c r="E836">
        <v>0.51190909999999901</v>
      </c>
      <c r="F836" t="s">
        <v>41</v>
      </c>
      <c r="G836">
        <v>-236.4119</v>
      </c>
      <c r="H836">
        <v>1.018432</v>
      </c>
      <c r="I836">
        <v>367.56880000000001</v>
      </c>
      <c r="J836">
        <v>-236.9752</v>
      </c>
      <c r="K836">
        <v>1.1091409999999999</v>
      </c>
      <c r="L836">
        <v>367.65140000000002</v>
      </c>
      <c r="M836">
        <v>0.99965029999999999</v>
      </c>
      <c r="N836">
        <v>0</v>
      </c>
      <c r="O836">
        <v>1.635528E-2</v>
      </c>
      <c r="P836">
        <v>0.99188949999999998</v>
      </c>
      <c r="Q836">
        <v>9.9916920000000006E-2</v>
      </c>
      <c r="R836">
        <v>-7.8562389999999996E-2</v>
      </c>
      <c r="S836">
        <v>3.035355</v>
      </c>
      <c r="T836">
        <v>-0.33030739999999997</v>
      </c>
      <c r="U836">
        <v>-0.28408810000000001</v>
      </c>
      <c r="V836">
        <v>9.4808729999999994E-2</v>
      </c>
      <c r="W836">
        <v>0.12046080000000001</v>
      </c>
      <c r="X836">
        <v>0.98818039999999996</v>
      </c>
      <c r="Y836">
        <v>0.1087287</v>
      </c>
      <c r="Z836">
        <v>-7.657138E-3</v>
      </c>
      <c r="AA836">
        <v>0.99404199999999998</v>
      </c>
      <c r="AB836">
        <v>46</v>
      </c>
      <c r="AC836">
        <v>0.56329999999999802</v>
      </c>
      <c r="AD836">
        <v>-9.0708999999999901E-2</v>
      </c>
      <c r="AE836">
        <v>-8.2600000000013496E-2</v>
      </c>
      <c r="AF836">
        <v>8.9531093704292505E-2</v>
      </c>
      <c r="AG836">
        <v>-9.0708999999999901E-2</v>
      </c>
      <c r="AH836">
        <v>0.54796318436495695</v>
      </c>
      <c r="AI836">
        <v>99.278565576087203</v>
      </c>
      <c r="AJ836">
        <v>80.720501647011503</v>
      </c>
      <c r="AK836">
        <v>0.56259007353513701</v>
      </c>
      <c r="AL836">
        <v>83.0813026157509</v>
      </c>
      <c r="AM836">
        <v>84.519660668422503</v>
      </c>
      <c r="AN836">
        <v>1.0000000012825001</v>
      </c>
    </row>
    <row r="837" spans="1:40" x14ac:dyDescent="0.25">
      <c r="A837" t="str">
        <f>"20190312164450468"</f>
        <v>20190312164450468</v>
      </c>
      <c r="B837" t="str">
        <f>"1552380290462699"</f>
        <v>1552380290462699</v>
      </c>
      <c r="C837" t="s">
        <v>40</v>
      </c>
      <c r="D837">
        <v>4.5319710000000004</v>
      </c>
      <c r="E837">
        <v>0.51204490000000003</v>
      </c>
      <c r="F837" t="s">
        <v>41</v>
      </c>
      <c r="G837">
        <v>-236.0094</v>
      </c>
      <c r="H837">
        <v>1.0058309999999999</v>
      </c>
      <c r="I837">
        <v>367.55900000000003</v>
      </c>
      <c r="J837">
        <v>-236.72669999999999</v>
      </c>
      <c r="K837">
        <v>1.109151</v>
      </c>
      <c r="L837">
        <v>367.65539999999999</v>
      </c>
      <c r="M837">
        <v>0.99964819999999999</v>
      </c>
      <c r="N837">
        <v>0</v>
      </c>
      <c r="O837">
        <v>1.631235E-2</v>
      </c>
      <c r="P837">
        <v>0.99179600000000001</v>
      </c>
      <c r="Q837">
        <v>0.1001201</v>
      </c>
      <c r="R837">
        <v>-7.9478439999999997E-2</v>
      </c>
      <c r="S837">
        <v>3.034332</v>
      </c>
      <c r="T837">
        <v>-0.32484279999999999</v>
      </c>
      <c r="U837">
        <v>-0.28939819999999999</v>
      </c>
      <c r="V837">
        <v>9.5681210000000003E-2</v>
      </c>
      <c r="W837">
        <v>0.1207912</v>
      </c>
      <c r="X837">
        <v>0.98805589999999999</v>
      </c>
      <c r="Y837">
        <v>0.1104552</v>
      </c>
      <c r="Z837">
        <v>-7.6204630000000001E-3</v>
      </c>
      <c r="AA837">
        <v>0.99385190000000001</v>
      </c>
      <c r="AB837">
        <v>46</v>
      </c>
      <c r="AC837">
        <v>0.71729999999999405</v>
      </c>
      <c r="AD837">
        <v>-0.10332</v>
      </c>
      <c r="AE837">
        <v>-9.6399999999960004E-2</v>
      </c>
      <c r="AF837">
        <v>0.105931742186928</v>
      </c>
      <c r="AG837">
        <v>-0.10332</v>
      </c>
      <c r="AH837">
        <v>0.70133874277711905</v>
      </c>
      <c r="AI837">
        <v>98.287758688826599</v>
      </c>
      <c r="AJ837">
        <v>81.4108440255864</v>
      </c>
      <c r="AK837">
        <v>0.71677931647261395</v>
      </c>
      <c r="AL837">
        <v>83.062232379159994</v>
      </c>
      <c r="AM837">
        <v>84.468846409420195</v>
      </c>
      <c r="AN837">
        <v>0.99999993473465498</v>
      </c>
    </row>
    <row r="838" spans="1:40" x14ac:dyDescent="0.25">
      <c r="A838" t="str">
        <f>"20190312164450480"</f>
        <v>20190312164450480</v>
      </c>
      <c r="B838" t="str">
        <f>"1552380290472458"</f>
        <v>1552380290472458</v>
      </c>
      <c r="C838" t="s">
        <v>40</v>
      </c>
      <c r="D838">
        <v>4.5216969999999996</v>
      </c>
      <c r="E838">
        <v>0.51220670000000001</v>
      </c>
      <c r="F838" t="s">
        <v>41</v>
      </c>
      <c r="G838">
        <v>-235.99690000000001</v>
      </c>
      <c r="H838">
        <v>1.031881</v>
      </c>
      <c r="I838">
        <v>367.58449999999999</v>
      </c>
      <c r="J838">
        <v>-236.49610000000001</v>
      </c>
      <c r="K838">
        <v>1.109159</v>
      </c>
      <c r="L838">
        <v>367.65910000000002</v>
      </c>
      <c r="M838">
        <v>0.99964649999999999</v>
      </c>
      <c r="N838">
        <v>0</v>
      </c>
      <c r="O838">
        <v>1.6269949999999998E-2</v>
      </c>
      <c r="P838">
        <v>0.99165859999999995</v>
      </c>
      <c r="Q838">
        <v>0.1006267</v>
      </c>
      <c r="R838">
        <v>-8.0547389999999996E-2</v>
      </c>
      <c r="S838">
        <v>3.033722</v>
      </c>
      <c r="T838">
        <v>-0.32154919999999998</v>
      </c>
      <c r="U838">
        <v>-0.29373169999999998</v>
      </c>
      <c r="V838">
        <v>9.6706520000000004E-2</v>
      </c>
      <c r="W838">
        <v>0.1214051</v>
      </c>
      <c r="X838">
        <v>0.98788089999999995</v>
      </c>
      <c r="Y838">
        <v>0.11184529999999999</v>
      </c>
      <c r="Z838">
        <v>-7.6134519999999997E-3</v>
      </c>
      <c r="AA838">
        <v>0.99369649999999998</v>
      </c>
      <c r="AB838">
        <v>46</v>
      </c>
      <c r="AC838">
        <v>0.49920000000000098</v>
      </c>
      <c r="AD838">
        <v>-7.7277999999999902E-2</v>
      </c>
      <c r="AE838">
        <v>-7.4600000000032196E-2</v>
      </c>
      <c r="AF838">
        <v>8.0819412704962498E-2</v>
      </c>
      <c r="AG838">
        <v>-7.7277999999999902E-2</v>
      </c>
      <c r="AH838">
        <v>0.486515619936919</v>
      </c>
      <c r="AI838">
        <v>98.905402300393504</v>
      </c>
      <c r="AJ838">
        <v>80.568220068545102</v>
      </c>
      <c r="AK838">
        <v>0.49920047595788503</v>
      </c>
      <c r="AL838">
        <v>83.026798251269298</v>
      </c>
      <c r="AM838">
        <v>84.408964596052797</v>
      </c>
      <c r="AN838">
        <v>1.0000000109506599</v>
      </c>
    </row>
    <row r="839" spans="1:40" x14ac:dyDescent="0.25">
      <c r="A839" t="str">
        <f>"20190312164450491"</f>
        <v>20190312164450491</v>
      </c>
      <c r="B839" t="str">
        <f>"1552380290482218"</f>
        <v>1552380290482218</v>
      </c>
      <c r="C839" t="s">
        <v>40</v>
      </c>
      <c r="D839">
        <v>4.5173220000000001</v>
      </c>
      <c r="E839">
        <v>0.51234329999999995</v>
      </c>
      <c r="F839" t="s">
        <v>41</v>
      </c>
      <c r="G839">
        <v>-235.59790000000001</v>
      </c>
      <c r="H839">
        <v>1.0151939999999999</v>
      </c>
      <c r="I839">
        <v>367.57060000000001</v>
      </c>
      <c r="J839">
        <v>-236.24299999999999</v>
      </c>
      <c r="K839">
        <v>1.10917</v>
      </c>
      <c r="L839">
        <v>367.66320000000002</v>
      </c>
      <c r="M839">
        <v>0.99964459999999999</v>
      </c>
      <c r="N839">
        <v>0</v>
      </c>
      <c r="O839">
        <v>1.6221860000000001E-2</v>
      </c>
      <c r="P839">
        <v>0.99153749999999996</v>
      </c>
      <c r="Q839">
        <v>0.10088560000000001</v>
      </c>
      <c r="R839">
        <v>-8.1705970000000003E-2</v>
      </c>
      <c r="S839">
        <v>3.0332029999999999</v>
      </c>
      <c r="T839">
        <v>-0.31744090000000003</v>
      </c>
      <c r="U839">
        <v>-0.29827880000000001</v>
      </c>
      <c r="V839">
        <v>9.7816210000000001E-2</v>
      </c>
      <c r="W839">
        <v>0.1217838</v>
      </c>
      <c r="X839">
        <v>0.98772499999999996</v>
      </c>
      <c r="Y839">
        <v>0.1132996</v>
      </c>
      <c r="Z839">
        <v>-7.5881480000000003E-3</v>
      </c>
      <c r="AA839">
        <v>0.99353190000000002</v>
      </c>
      <c r="AB839">
        <v>46</v>
      </c>
      <c r="AC839">
        <v>0.64509999999998502</v>
      </c>
      <c r="AD839">
        <v>-9.3975999999999796E-2</v>
      </c>
      <c r="AE839">
        <v>-9.2600000000004401E-2</v>
      </c>
      <c r="AF839">
        <v>0.100955678277132</v>
      </c>
      <c r="AG839">
        <v>-9.3975999999999796E-2</v>
      </c>
      <c r="AH839">
        <v>0.63040444443001498</v>
      </c>
      <c r="AI839">
        <v>98.373634238017999</v>
      </c>
      <c r="AJ839">
        <v>80.901661868890002</v>
      </c>
      <c r="AK839">
        <v>0.64531643486704404</v>
      </c>
      <c r="AL839">
        <v>83.004937989165299</v>
      </c>
      <c r="AM839">
        <v>84.344335183828093</v>
      </c>
      <c r="AN839">
        <v>0.99999999025310204</v>
      </c>
    </row>
    <row r="840" spans="1:40" x14ac:dyDescent="0.25">
      <c r="A840" t="str">
        <f>"20190312164450502"</f>
        <v>20190312164450502</v>
      </c>
      <c r="B840" t="str">
        <f>"1552380290492955"</f>
        <v>1552380290492955</v>
      </c>
      <c r="C840" t="s">
        <v>40</v>
      </c>
      <c r="D840">
        <v>4.4486280000000002</v>
      </c>
      <c r="E840">
        <v>0.512488099999999</v>
      </c>
      <c r="F840" t="s">
        <v>41</v>
      </c>
      <c r="G840">
        <v>-235.19909999999999</v>
      </c>
      <c r="H840">
        <v>1.0010540000000001</v>
      </c>
      <c r="I840">
        <v>367.55860000000001</v>
      </c>
      <c r="J840">
        <v>-236.0171</v>
      </c>
      <c r="K840">
        <v>1.109178</v>
      </c>
      <c r="L840">
        <v>367.66680000000002</v>
      </c>
      <c r="M840">
        <v>0.99964299999999995</v>
      </c>
      <c r="N840">
        <v>0</v>
      </c>
      <c r="O840">
        <v>1.617505E-2</v>
      </c>
      <c r="P840">
        <v>0.99142189999999997</v>
      </c>
      <c r="Q840">
        <v>0.1011225</v>
      </c>
      <c r="R840">
        <v>-8.2806729999999995E-2</v>
      </c>
      <c r="S840">
        <v>3.0326689999999998</v>
      </c>
      <c r="T840">
        <v>-0.31435239999999998</v>
      </c>
      <c r="U840">
        <v>-0.30258180000000001</v>
      </c>
      <c r="V840">
        <v>9.8869849999999995E-2</v>
      </c>
      <c r="W840">
        <v>0.1221293</v>
      </c>
      <c r="X840">
        <v>0.98757740000000005</v>
      </c>
      <c r="Y840">
        <v>0.1146725</v>
      </c>
      <c r="Z840">
        <v>-7.5814680000000001E-3</v>
      </c>
      <c r="AA840">
        <v>0.99337439999999999</v>
      </c>
      <c r="AB840">
        <v>45</v>
      </c>
      <c r="AC840">
        <v>0.81800000000001205</v>
      </c>
      <c r="AD840">
        <v>-0.108123999999999</v>
      </c>
      <c r="AE840">
        <v>-0.10820000000001</v>
      </c>
      <c r="AF840">
        <v>0.119370272019891</v>
      </c>
      <c r="AG840">
        <v>-0.108123999999999</v>
      </c>
      <c r="AH840">
        <v>0.80236470623995204</v>
      </c>
      <c r="AI840">
        <v>97.592185287610306</v>
      </c>
      <c r="AJ840">
        <v>81.537996949373706</v>
      </c>
      <c r="AK840">
        <v>0.81836983267812802</v>
      </c>
      <c r="AL840">
        <v>82.9849932561917</v>
      </c>
      <c r="AM840">
        <v>84.282967103937693</v>
      </c>
      <c r="AN840">
        <v>0.99999996707413497</v>
      </c>
    </row>
    <row r="841" spans="1:40" x14ac:dyDescent="0.25">
      <c r="A841" t="str">
        <f>"20190312164450516"</f>
        <v>20190312164450516</v>
      </c>
      <c r="B841" t="str">
        <f>"1552380290512474"</f>
        <v>1552380290512474</v>
      </c>
      <c r="C841" t="s">
        <v>40</v>
      </c>
      <c r="D841">
        <v>4.7081480000000004</v>
      </c>
      <c r="E841">
        <v>0.51270249999999995</v>
      </c>
      <c r="F841" t="s">
        <v>41</v>
      </c>
      <c r="G841">
        <v>-235.18819999999999</v>
      </c>
      <c r="H841">
        <v>1.024143</v>
      </c>
      <c r="I841">
        <v>367.58229999999998</v>
      </c>
      <c r="J841">
        <v>-235.77529999999999</v>
      </c>
      <c r="K841">
        <v>1.109191</v>
      </c>
      <c r="L841">
        <v>367.67070000000001</v>
      </c>
      <c r="M841">
        <v>0.99964109999999995</v>
      </c>
      <c r="N841">
        <v>0</v>
      </c>
      <c r="O841">
        <v>1.6121190000000001E-2</v>
      </c>
      <c r="P841">
        <v>0.99129900000000004</v>
      </c>
      <c r="Q841">
        <v>0.10155599999999999</v>
      </c>
      <c r="R841">
        <v>-8.3742940000000002E-2</v>
      </c>
      <c r="S841">
        <v>3.0320279999999999</v>
      </c>
      <c r="T841">
        <v>-0.31140519999999999</v>
      </c>
      <c r="U841">
        <v>-0.3075562</v>
      </c>
      <c r="V841">
        <v>9.9752220000000003E-2</v>
      </c>
      <c r="W841">
        <v>0.1226858</v>
      </c>
      <c r="X841">
        <v>0.98741970000000001</v>
      </c>
      <c r="Y841">
        <v>0.11625779999999999</v>
      </c>
      <c r="Z841">
        <v>-7.5872119999999899E-3</v>
      </c>
      <c r="AA841">
        <v>0.99319009999999996</v>
      </c>
      <c r="AB841">
        <v>45</v>
      </c>
      <c r="AC841">
        <v>0.58709999999999196</v>
      </c>
      <c r="AD841">
        <v>-8.5047999999999999E-2</v>
      </c>
      <c r="AE841">
        <v>-8.8400000000035506E-2</v>
      </c>
      <c r="AF841">
        <v>9.5887848718939198E-2</v>
      </c>
      <c r="AG841">
        <v>-8.5047999999999999E-2</v>
      </c>
      <c r="AH841">
        <v>0.57382362484466198</v>
      </c>
      <c r="AI841">
        <v>98.316919946155807</v>
      </c>
      <c r="AJ841">
        <v>80.513335750899998</v>
      </c>
      <c r="AK841">
        <v>0.58796359943946697</v>
      </c>
      <c r="AL841">
        <v>82.952866702246297</v>
      </c>
      <c r="AM841">
        <v>84.231372637359001</v>
      </c>
      <c r="AN841">
        <v>0.99999998743232899</v>
      </c>
    </row>
    <row r="842" spans="1:40" x14ac:dyDescent="0.25">
      <c r="A842" t="str">
        <f>"20190312164450527"</f>
        <v>20190312164450527</v>
      </c>
      <c r="B842" t="str">
        <f>"1552380290522234"</f>
        <v>1552380290522234</v>
      </c>
      <c r="C842" t="s">
        <v>40</v>
      </c>
      <c r="D842">
        <v>4.7006180000000004</v>
      </c>
      <c r="E842">
        <v>0.51280729999999997</v>
      </c>
      <c r="F842" t="s">
        <v>41</v>
      </c>
      <c r="G842">
        <v>-234.7912</v>
      </c>
      <c r="H842">
        <v>1.0098529999999999</v>
      </c>
      <c r="I842">
        <v>367.56900000000002</v>
      </c>
      <c r="J842">
        <v>-235.53139999999999</v>
      </c>
      <c r="K842">
        <v>1.1092029999999999</v>
      </c>
      <c r="L842">
        <v>367.67450000000002</v>
      </c>
      <c r="M842">
        <v>0.9996391</v>
      </c>
      <c r="N842">
        <v>0</v>
      </c>
      <c r="O842">
        <v>1.606341E-2</v>
      </c>
      <c r="P842">
        <v>0.99117920000000004</v>
      </c>
      <c r="Q842">
        <v>0.10191450000000001</v>
      </c>
      <c r="R842">
        <v>-8.4718429999999997E-2</v>
      </c>
      <c r="S842">
        <v>3.0312960000000002</v>
      </c>
      <c r="T842">
        <v>-0.30614279999999999</v>
      </c>
      <c r="U842">
        <v>-0.31237789999999999</v>
      </c>
      <c r="V842">
        <v>0.10067039999999999</v>
      </c>
      <c r="W842">
        <v>0.1231718</v>
      </c>
      <c r="X842">
        <v>0.98726599999999998</v>
      </c>
      <c r="Y842">
        <v>0.1178032</v>
      </c>
      <c r="Z842">
        <v>-7.5326739999999996E-3</v>
      </c>
      <c r="AA842">
        <v>0.99300840000000001</v>
      </c>
      <c r="AB842">
        <v>45</v>
      </c>
      <c r="AC842">
        <v>0.74019999999998698</v>
      </c>
      <c r="AD842">
        <v>-9.9349999999999994E-2</v>
      </c>
      <c r="AE842">
        <v>-0.10550000000000601</v>
      </c>
      <c r="AF842">
        <v>0.11534273121486301</v>
      </c>
      <c r="AG842">
        <v>-9.9349999999999994E-2</v>
      </c>
      <c r="AH842">
        <v>0.72559788240327805</v>
      </c>
      <c r="AI842">
        <v>97.701037363249498</v>
      </c>
      <c r="AJ842">
        <v>80.967702431555196</v>
      </c>
      <c r="AK842">
        <v>0.74139507355540601</v>
      </c>
      <c r="AL842">
        <v>82.924808148245404</v>
      </c>
      <c r="AM842">
        <v>84.1777376499778</v>
      </c>
      <c r="AN842">
        <v>0.99999998825369896</v>
      </c>
    </row>
    <row r="843" spans="1:40" x14ac:dyDescent="0.25">
      <c r="A843" t="str">
        <f>"20190312164450539"</f>
        <v>20190312164450539</v>
      </c>
      <c r="B843" t="str">
        <f>"1552380290532970"</f>
        <v>1552380290532970</v>
      </c>
      <c r="C843" t="s">
        <v>40</v>
      </c>
      <c r="D843">
        <v>4.5298119999999997</v>
      </c>
      <c r="E843">
        <v>0.51288239999999996</v>
      </c>
      <c r="F843" t="s">
        <v>41</v>
      </c>
      <c r="G843">
        <v>-234.7799</v>
      </c>
      <c r="H843">
        <v>1.033701</v>
      </c>
      <c r="I843">
        <v>367.596</v>
      </c>
      <c r="J843">
        <v>-235.2979</v>
      </c>
      <c r="K843">
        <v>1.1092139999999999</v>
      </c>
      <c r="L843">
        <v>367.6782</v>
      </c>
      <c r="M843">
        <v>0.99963729999999995</v>
      </c>
      <c r="N843">
        <v>0</v>
      </c>
      <c r="O843">
        <v>1.5998990000000001E-2</v>
      </c>
      <c r="P843">
        <v>0.99103739999999996</v>
      </c>
      <c r="Q843">
        <v>0.1022207</v>
      </c>
      <c r="R843">
        <v>-8.6001560000000005E-2</v>
      </c>
      <c r="S843">
        <v>3.0310359999999998</v>
      </c>
      <c r="T843">
        <v>-0.3047106</v>
      </c>
      <c r="U843">
        <v>-0.31591799999999998</v>
      </c>
      <c r="V843">
        <v>0.10188999999999999</v>
      </c>
      <c r="W843">
        <v>0.1236048</v>
      </c>
      <c r="X843">
        <v>0.98708680000000004</v>
      </c>
      <c r="Y843">
        <v>0.1188965</v>
      </c>
      <c r="Z843">
        <v>-7.5460290000000001E-3</v>
      </c>
      <c r="AA843">
        <v>0.99287800000000004</v>
      </c>
      <c r="AB843">
        <v>45</v>
      </c>
      <c r="AC843">
        <v>0.51800000000000002</v>
      </c>
      <c r="AD843">
        <v>-7.55129999999999E-2</v>
      </c>
      <c r="AE843">
        <v>-8.2200000000000203E-2</v>
      </c>
      <c r="AF843">
        <v>8.8641427998817801E-2</v>
      </c>
      <c r="AG843">
        <v>-7.55129999999999E-2</v>
      </c>
      <c r="AH843">
        <v>0.50612662953511101</v>
      </c>
      <c r="AI843">
        <v>98.360399918046994</v>
      </c>
      <c r="AJ843">
        <v>80.066146252363694</v>
      </c>
      <c r="AK843">
        <v>0.51934928617572995</v>
      </c>
      <c r="AL843">
        <v>82.899808367574707</v>
      </c>
      <c r="AM843">
        <v>84.106633359931195</v>
      </c>
      <c r="AN843">
        <v>1.00000003470863</v>
      </c>
    </row>
    <row r="844" spans="1:40" x14ac:dyDescent="0.25">
      <c r="A844" t="str">
        <f>"20190312164450551"</f>
        <v>20190312164450551</v>
      </c>
      <c r="B844" t="str">
        <f>"1552380290542730"</f>
        <v>1552380290542730</v>
      </c>
      <c r="C844" t="s">
        <v>40</v>
      </c>
      <c r="D844">
        <v>4.5370169999999996</v>
      </c>
      <c r="E844">
        <v>0.51283939999999995</v>
      </c>
      <c r="F844" t="s">
        <v>41</v>
      </c>
      <c r="G844">
        <v>-234.3853</v>
      </c>
      <c r="H844">
        <v>1.018227</v>
      </c>
      <c r="I844">
        <v>367.58139999999997</v>
      </c>
      <c r="J844">
        <v>-235.04669999999999</v>
      </c>
      <c r="K844">
        <v>1.1092249999999999</v>
      </c>
      <c r="L844">
        <v>367.68220000000002</v>
      </c>
      <c r="M844">
        <v>0.9996353</v>
      </c>
      <c r="N844">
        <v>0</v>
      </c>
      <c r="O844">
        <v>1.5924839999999999E-2</v>
      </c>
      <c r="P844">
        <v>0.99092619999999998</v>
      </c>
      <c r="Q844">
        <v>0.1023332</v>
      </c>
      <c r="R844">
        <v>-8.7141090000000004E-2</v>
      </c>
      <c r="S844">
        <v>3.0305330000000001</v>
      </c>
      <c r="T844">
        <v>-0.30242799999999997</v>
      </c>
      <c r="U844">
        <v>-0.3203125</v>
      </c>
      <c r="V844">
        <v>0.102957199999999</v>
      </c>
      <c r="W844">
        <v>0.12385599999999999</v>
      </c>
      <c r="X844">
        <v>0.9869445</v>
      </c>
      <c r="Y844">
        <v>0.1202674</v>
      </c>
      <c r="Z844">
        <v>-7.5511390000000001E-3</v>
      </c>
      <c r="AA844">
        <v>0.99271279999999995</v>
      </c>
      <c r="AB844">
        <v>45</v>
      </c>
      <c r="AC844">
        <v>0.661399999999986</v>
      </c>
      <c r="AD844">
        <v>-9.0997999999999898E-2</v>
      </c>
      <c r="AE844">
        <v>-0.100800000000049</v>
      </c>
      <c r="AF844">
        <v>0.109300388636568</v>
      </c>
      <c r="AG844">
        <v>-9.0997999999999898E-2</v>
      </c>
      <c r="AH844">
        <v>0.64772775155502404</v>
      </c>
      <c r="AI844">
        <v>97.886964964986603</v>
      </c>
      <c r="AJ844">
        <v>80.421892679617997</v>
      </c>
      <c r="AK844">
        <v>0.66315793827310199</v>
      </c>
      <c r="AL844">
        <v>82.885303753155497</v>
      </c>
      <c r="AM844">
        <v>84.044494862675094</v>
      </c>
      <c r="AN844">
        <v>0.99999996992404405</v>
      </c>
    </row>
    <row r="845" spans="1:40" x14ac:dyDescent="0.25">
      <c r="A845" t="str">
        <f>"20190312164450564"</f>
        <v>20190312164450564</v>
      </c>
      <c r="B845" t="str">
        <f>"1552380290552490"</f>
        <v>1552380290552490</v>
      </c>
      <c r="C845" t="s">
        <v>40</v>
      </c>
      <c r="D845">
        <v>4.4957469999999997</v>
      </c>
      <c r="E845">
        <v>0.51286609999999999</v>
      </c>
      <c r="F845" t="s">
        <v>41</v>
      </c>
      <c r="G845">
        <v>-233.99170000000001</v>
      </c>
      <c r="H845">
        <v>1.004024</v>
      </c>
      <c r="I845">
        <v>367.56950000000001</v>
      </c>
      <c r="J845">
        <v>-234.80359999999999</v>
      </c>
      <c r="K845">
        <v>1.1092340000000001</v>
      </c>
      <c r="L845">
        <v>367.68599999999998</v>
      </c>
      <c r="M845">
        <v>0.99963340000000001</v>
      </c>
      <c r="N845">
        <v>0</v>
      </c>
      <c r="O845">
        <v>1.584027E-2</v>
      </c>
      <c r="P845">
        <v>0.99085760000000001</v>
      </c>
      <c r="Q845">
        <v>0.1020263</v>
      </c>
      <c r="R845">
        <v>-8.8271859999999994E-2</v>
      </c>
      <c r="S845">
        <v>3.0302730000000002</v>
      </c>
      <c r="T845">
        <v>-0.30230020000000002</v>
      </c>
      <c r="U845">
        <v>-0.3231812</v>
      </c>
      <c r="V845">
        <v>0.1040073</v>
      </c>
      <c r="W845">
        <v>0.123685199999999</v>
      </c>
      <c r="X845">
        <v>0.98685590000000001</v>
      </c>
      <c r="Y845">
        <v>0.1211183</v>
      </c>
      <c r="Z845">
        <v>-7.5820640000000003E-3</v>
      </c>
      <c r="AA845">
        <v>0.99260910000000002</v>
      </c>
      <c r="AB845">
        <v>45</v>
      </c>
      <c r="AC845">
        <v>0.81189999999997997</v>
      </c>
      <c r="AD845">
        <v>-0.10521</v>
      </c>
      <c r="AE845">
        <v>-0.116499999999973</v>
      </c>
      <c r="AF845">
        <v>0.127255398505836</v>
      </c>
      <c r="AG845">
        <v>-0.10521</v>
      </c>
      <c r="AH845">
        <v>0.79684143252603601</v>
      </c>
      <c r="AI845">
        <v>97.428413875344802</v>
      </c>
      <c r="AJ845">
        <v>80.926496048386099</v>
      </c>
      <c r="AK845">
        <v>0.81376860908923299</v>
      </c>
      <c r="AL845">
        <v>82.895166326236094</v>
      </c>
      <c r="AM845">
        <v>83.983659455678705</v>
      </c>
      <c r="AN845">
        <v>1.0000000572585599</v>
      </c>
    </row>
    <row r="846" spans="1:40" x14ac:dyDescent="0.25">
      <c r="A846" t="str">
        <f>"20190312164450578"</f>
        <v>20190312164450578</v>
      </c>
      <c r="B846" t="str">
        <f>"1552380290572010"</f>
        <v>1552380290572010</v>
      </c>
      <c r="C846" t="s">
        <v>40</v>
      </c>
      <c r="D846">
        <v>4.533639</v>
      </c>
      <c r="E846">
        <v>0.51295959999999996</v>
      </c>
      <c r="F846" t="s">
        <v>41</v>
      </c>
      <c r="G846">
        <v>-233.9811</v>
      </c>
      <c r="H846">
        <v>1.0268219999999999</v>
      </c>
      <c r="I846">
        <v>367.59719999999999</v>
      </c>
      <c r="J846">
        <v>-234.52019999999999</v>
      </c>
      <c r="K846">
        <v>1.109245</v>
      </c>
      <c r="L846">
        <v>367.69040000000001</v>
      </c>
      <c r="M846">
        <v>0.99963139999999995</v>
      </c>
      <c r="N846">
        <v>0</v>
      </c>
      <c r="O846">
        <v>1.5728289999999999E-2</v>
      </c>
      <c r="P846">
        <v>0.99073509999999998</v>
      </c>
      <c r="Q846">
        <v>0.101341</v>
      </c>
      <c r="R846">
        <v>-9.0410959999999999E-2</v>
      </c>
      <c r="S846">
        <v>3.0298609999999999</v>
      </c>
      <c r="T846">
        <v>-0.30376029999999998</v>
      </c>
      <c r="U846">
        <v>-0.32650759999999901</v>
      </c>
      <c r="V846">
        <v>0.10603849999999999</v>
      </c>
      <c r="W846">
        <v>0.12316000000000001</v>
      </c>
      <c r="X846">
        <v>0.98670539999999995</v>
      </c>
      <c r="Y846">
        <v>0.122088</v>
      </c>
      <c r="Z846">
        <v>-7.6562690000000003E-3</v>
      </c>
      <c r="AA846">
        <v>0.99248979999999998</v>
      </c>
      <c r="AB846">
        <v>45</v>
      </c>
      <c r="AC846">
        <v>0.53909999999999003</v>
      </c>
      <c r="AD846">
        <v>-8.2423000000000093E-2</v>
      </c>
      <c r="AE846">
        <v>-9.3200000000024305E-2</v>
      </c>
      <c r="AF846">
        <v>9.9413281392471298E-2</v>
      </c>
      <c r="AG846">
        <v>-8.2423000000000093E-2</v>
      </c>
      <c r="AH846">
        <v>0.52563667571566097</v>
      </c>
      <c r="AI846">
        <v>98.758949572543997</v>
      </c>
      <c r="AJ846">
        <v>79.290191430131799</v>
      </c>
      <c r="AK846">
        <v>0.54126746281633298</v>
      </c>
      <c r="AL846">
        <v>82.9254898485909</v>
      </c>
      <c r="AM846">
        <v>83.866122578834705</v>
      </c>
      <c r="AN846">
        <v>1.0000000477357001</v>
      </c>
    </row>
    <row r="847" spans="1:40" x14ac:dyDescent="0.25">
      <c r="A847" t="str">
        <f>"20190312164450593"</f>
        <v>20190312164450593</v>
      </c>
      <c r="B847" t="str">
        <f>"1552380290582278"</f>
        <v>1552380290582278</v>
      </c>
      <c r="C847" t="s">
        <v>40</v>
      </c>
      <c r="D847">
        <v>4.5301260000000001</v>
      </c>
      <c r="E847">
        <v>0.51294329999999999</v>
      </c>
      <c r="F847" t="s">
        <v>41</v>
      </c>
      <c r="G847">
        <v>-233.5881</v>
      </c>
      <c r="H847">
        <v>1.0151269999999999</v>
      </c>
      <c r="I847">
        <v>367.58769999999998</v>
      </c>
      <c r="J847">
        <v>-234.2278</v>
      </c>
      <c r="K847">
        <v>1.1092500000000001</v>
      </c>
      <c r="L847">
        <v>367.69490000000002</v>
      </c>
      <c r="M847">
        <v>0.99962949999999995</v>
      </c>
      <c r="N847">
        <v>0</v>
      </c>
      <c r="O847">
        <v>1.5598330000000001E-2</v>
      </c>
      <c r="P847">
        <v>0.99069910000000005</v>
      </c>
      <c r="Q847">
        <v>0.1007595</v>
      </c>
      <c r="R847">
        <v>-9.1450130000000004E-2</v>
      </c>
      <c r="S847">
        <v>3.029007</v>
      </c>
      <c r="T847">
        <v>-0.30615629999999999</v>
      </c>
      <c r="U847">
        <v>-0.33294679999999999</v>
      </c>
      <c r="V847">
        <v>0.1069548</v>
      </c>
      <c r="W847">
        <v>0.1227492</v>
      </c>
      <c r="X847">
        <v>0.98665760000000002</v>
      </c>
      <c r="Y847">
        <v>0.1240535</v>
      </c>
      <c r="Z847">
        <v>-7.8033590000000002E-3</v>
      </c>
      <c r="AA847">
        <v>0.99224480000000004</v>
      </c>
      <c r="AB847">
        <v>45</v>
      </c>
      <c r="AC847">
        <v>0.63970000000000404</v>
      </c>
      <c r="AD847">
        <v>-9.4122999999999901E-2</v>
      </c>
      <c r="AE847">
        <v>-0.107200000000034</v>
      </c>
      <c r="AF847">
        <v>0.11475128880103</v>
      </c>
      <c r="AG847">
        <v>-9.4122999999999901E-2</v>
      </c>
      <c r="AH847">
        <v>0.62479287968420505</v>
      </c>
      <c r="AI847">
        <v>98.428106419743898</v>
      </c>
      <c r="AJ847">
        <v>79.592873032510397</v>
      </c>
      <c r="AK847">
        <v>0.64217843308116396</v>
      </c>
      <c r="AL847">
        <v>82.949206272362602</v>
      </c>
      <c r="AM847">
        <v>83.813230387732702</v>
      </c>
      <c r="AN847">
        <v>0.99999995749071902</v>
      </c>
    </row>
    <row r="848" spans="1:40" x14ac:dyDescent="0.25">
      <c r="A848" t="str">
        <f>"20190312164450606"</f>
        <v>20190312164450606</v>
      </c>
      <c r="B848" t="str">
        <f>"1552380290602775"</f>
        <v>1552380290602775</v>
      </c>
      <c r="C848" t="s">
        <v>40</v>
      </c>
      <c r="D848">
        <v>4.5696159999999999</v>
      </c>
      <c r="E848">
        <v>0.5129589</v>
      </c>
      <c r="F848" t="s">
        <v>41</v>
      </c>
      <c r="G848">
        <v>-233.19659999999999</v>
      </c>
      <c r="H848">
        <v>1.00431</v>
      </c>
      <c r="I848">
        <v>367.58030000000002</v>
      </c>
      <c r="J848">
        <v>-233.9513</v>
      </c>
      <c r="K848">
        <v>1.109248</v>
      </c>
      <c r="L848">
        <v>367.69900000000001</v>
      </c>
      <c r="M848">
        <v>0.99962779999999996</v>
      </c>
      <c r="N848">
        <v>0</v>
      </c>
      <c r="O848">
        <v>1.545824E-2</v>
      </c>
      <c r="P848">
        <v>0.99060939999999997</v>
      </c>
      <c r="Q848">
        <v>0.10060620000000001</v>
      </c>
      <c r="R848">
        <v>-9.2582360000000002E-2</v>
      </c>
      <c r="S848">
        <v>3.0285030000000002</v>
      </c>
      <c r="T848">
        <v>-0.30829010000000001</v>
      </c>
      <c r="U848">
        <v>-0.33587650000000002</v>
      </c>
      <c r="V848">
        <v>0.1079538</v>
      </c>
      <c r="W848">
        <v>0.1227587</v>
      </c>
      <c r="X848">
        <v>0.98654759999999997</v>
      </c>
      <c r="Y848">
        <v>0.1248673</v>
      </c>
      <c r="Z848">
        <v>-7.8853580000000003E-3</v>
      </c>
      <c r="AA848">
        <v>0.99214210000000003</v>
      </c>
      <c r="AB848">
        <v>45</v>
      </c>
      <c r="AC848">
        <v>0.75470000000001303</v>
      </c>
      <c r="AD848">
        <v>-0.104937999999999</v>
      </c>
      <c r="AE848">
        <v>-0.11869999999998899</v>
      </c>
      <c r="AF848">
        <v>0.12794121717875001</v>
      </c>
      <c r="AG848">
        <v>-0.104937999999999</v>
      </c>
      <c r="AH848">
        <v>0.73883477900983896</v>
      </c>
      <c r="AI848">
        <v>97.966742265724506</v>
      </c>
      <c r="AJ848">
        <v>80.175732560019995</v>
      </c>
      <c r="AK848">
        <v>0.75713788015902195</v>
      </c>
      <c r="AL848">
        <v>82.948657720419703</v>
      </c>
      <c r="AM848">
        <v>83.755207176187398</v>
      </c>
      <c r="AN848">
        <v>0.99999994421294303</v>
      </c>
    </row>
    <row r="849" spans="1:40" x14ac:dyDescent="0.25">
      <c r="A849" t="str">
        <f>"20190312164450621"</f>
        <v>20190312164450621</v>
      </c>
      <c r="B849" t="str">
        <f>"1552380290612533"</f>
        <v>1552380290612533</v>
      </c>
      <c r="C849" t="s">
        <v>40</v>
      </c>
      <c r="D849">
        <v>4.7310990000000004</v>
      </c>
      <c r="E849">
        <v>0.51302049999999999</v>
      </c>
      <c r="F849" t="s">
        <v>41</v>
      </c>
      <c r="G849">
        <v>-233.1842</v>
      </c>
      <c r="H849">
        <v>1.0308139999999999</v>
      </c>
      <c r="I849">
        <v>367.613</v>
      </c>
      <c r="J849">
        <v>-233.65809999999999</v>
      </c>
      <c r="K849">
        <v>1.1092470000000001</v>
      </c>
      <c r="L849">
        <v>367.70339999999999</v>
      </c>
      <c r="M849">
        <v>0.99962600000000001</v>
      </c>
      <c r="N849">
        <v>0</v>
      </c>
      <c r="O849">
        <v>1.528525E-2</v>
      </c>
      <c r="P849">
        <v>0.99042079999999999</v>
      </c>
      <c r="Q849">
        <v>0.10019840000000001</v>
      </c>
      <c r="R849">
        <v>-9.5010499999999998E-2</v>
      </c>
      <c r="S849">
        <v>3.0282140000000002</v>
      </c>
      <c r="T849">
        <v>-0.30980489999999999</v>
      </c>
      <c r="U849">
        <v>-0.33901979999999998</v>
      </c>
      <c r="V849">
        <v>0.1102157</v>
      </c>
      <c r="W849">
        <v>0.12252680000000001</v>
      </c>
      <c r="X849">
        <v>0.98632629999999999</v>
      </c>
      <c r="Y849">
        <v>0.12571269999999901</v>
      </c>
      <c r="Z849">
        <v>-7.9496069999999992E-3</v>
      </c>
      <c r="AA849">
        <v>0.99203490000000005</v>
      </c>
      <c r="AB849">
        <v>45</v>
      </c>
      <c r="AC849">
        <v>0.473899999999986</v>
      </c>
      <c r="AD849">
        <v>-7.8432999999999906E-2</v>
      </c>
      <c r="AE849">
        <v>-9.0399999999931396E-2</v>
      </c>
      <c r="AF849">
        <v>9.5120904952574303E-2</v>
      </c>
      <c r="AG849">
        <v>-7.8432999999999906E-2</v>
      </c>
      <c r="AH849">
        <v>0.460296697419802</v>
      </c>
      <c r="AI849">
        <v>99.473700480006599</v>
      </c>
      <c r="AJ849">
        <v>78.324107263211403</v>
      </c>
      <c r="AK849">
        <v>0.476521533305237</v>
      </c>
      <c r="AL849">
        <v>82.962045675815503</v>
      </c>
      <c r="AM849">
        <v>83.624010957484103</v>
      </c>
      <c r="AN849">
        <v>0.99999994365820799</v>
      </c>
    </row>
    <row r="850" spans="1:40" x14ac:dyDescent="0.25">
      <c r="A850" t="str">
        <f>"20190312164450634"</f>
        <v>20190312164450634</v>
      </c>
      <c r="B850" t="str">
        <f>"1552380290622293"</f>
        <v>1552380290622293</v>
      </c>
      <c r="C850" t="s">
        <v>40</v>
      </c>
      <c r="D850">
        <v>4.5618470000000002</v>
      </c>
      <c r="E850">
        <v>0.51301370000000002</v>
      </c>
      <c r="F850" t="s">
        <v>41</v>
      </c>
      <c r="G850">
        <v>-232.7944</v>
      </c>
      <c r="H850">
        <v>1.0204899999999999</v>
      </c>
      <c r="I850">
        <v>367.6044</v>
      </c>
      <c r="J850">
        <v>-233.41759999999999</v>
      </c>
      <c r="K850">
        <v>1.1092500000000001</v>
      </c>
      <c r="L850">
        <v>367.70690000000002</v>
      </c>
      <c r="M850">
        <v>0.99962470000000003</v>
      </c>
      <c r="N850">
        <v>0</v>
      </c>
      <c r="O850">
        <v>1.5129989999999999E-2</v>
      </c>
      <c r="P850">
        <v>0.9903187</v>
      </c>
      <c r="Q850">
        <v>9.9933389999999997E-2</v>
      </c>
      <c r="R850">
        <v>-9.6344669999999993E-2</v>
      </c>
      <c r="S850">
        <v>3.0273439999999998</v>
      </c>
      <c r="T850">
        <v>-0.31132769999999999</v>
      </c>
      <c r="U850">
        <v>-0.34600829999999999</v>
      </c>
      <c r="V850">
        <v>0.1114015</v>
      </c>
      <c r="W850">
        <v>0.1224109</v>
      </c>
      <c r="X850">
        <v>0.98620750000000001</v>
      </c>
      <c r="Y850">
        <v>0.12783349999999999</v>
      </c>
      <c r="Z850">
        <v>-8.0822640000000005E-3</v>
      </c>
      <c r="AA850">
        <v>0.9917627</v>
      </c>
      <c r="AB850">
        <v>44</v>
      </c>
      <c r="AC850">
        <v>0.62319999999999698</v>
      </c>
      <c r="AD850">
        <v>-8.8760000000000103E-2</v>
      </c>
      <c r="AE850">
        <v>-0.10250000000002001</v>
      </c>
      <c r="AF850">
        <v>0.109752026739245</v>
      </c>
      <c r="AG850">
        <v>-8.8760000000000103E-2</v>
      </c>
      <c r="AH850">
        <v>0.60953845156476805</v>
      </c>
      <c r="AI850">
        <v>98.155738521802803</v>
      </c>
      <c r="AJ850">
        <v>79.792830005711295</v>
      </c>
      <c r="AK850">
        <v>0.62566841770169901</v>
      </c>
      <c r="AL850">
        <v>82.968736865726498</v>
      </c>
      <c r="AM850">
        <v>83.555216579515204</v>
      </c>
      <c r="AN850">
        <v>0.99999997784865402</v>
      </c>
    </row>
    <row r="851" spans="1:40" x14ac:dyDescent="0.25">
      <c r="A851" t="str">
        <f>"20190312164450646"</f>
        <v>20190312164450646</v>
      </c>
      <c r="B851" t="str">
        <f>"1552380290642790"</f>
        <v>1552380290642790</v>
      </c>
      <c r="C851" t="s">
        <v>40</v>
      </c>
      <c r="D851">
        <v>4.5877059999999998</v>
      </c>
      <c r="E851">
        <v>0.51294030000000002</v>
      </c>
      <c r="F851" t="s">
        <v>41</v>
      </c>
      <c r="G851">
        <v>-232.40880000000001</v>
      </c>
      <c r="H851">
        <v>1.0052449999999999</v>
      </c>
      <c r="I851">
        <v>367.59050000000002</v>
      </c>
      <c r="J851">
        <v>-233.17840000000001</v>
      </c>
      <c r="K851">
        <v>1.1092500000000001</v>
      </c>
      <c r="L851">
        <v>367.71039999999999</v>
      </c>
      <c r="M851">
        <v>0.9996237</v>
      </c>
      <c r="N851">
        <v>0</v>
      </c>
      <c r="O851">
        <v>1.496023E-2</v>
      </c>
      <c r="P851">
        <v>0.99024900000000005</v>
      </c>
      <c r="Q851">
        <v>9.95978E-2</v>
      </c>
      <c r="R851">
        <v>-9.7403020000000007E-2</v>
      </c>
      <c r="S851">
        <v>3.0268860000000002</v>
      </c>
      <c r="T851">
        <v>-0.31212570000000001</v>
      </c>
      <c r="U851">
        <v>-0.34896850000000001</v>
      </c>
      <c r="V851">
        <v>0.1122982</v>
      </c>
      <c r="W851">
        <v>0.1222263</v>
      </c>
      <c r="X851">
        <v>0.98612869999999997</v>
      </c>
      <c r="Y851">
        <v>0.1286321</v>
      </c>
      <c r="Z851">
        <v>-8.1271620000000003E-3</v>
      </c>
      <c r="AA851">
        <v>0.99165910000000002</v>
      </c>
      <c r="AB851">
        <v>44</v>
      </c>
      <c r="AC851">
        <v>0.76959999999999695</v>
      </c>
      <c r="AD851">
        <v>-0.104004999999999</v>
      </c>
      <c r="AE851">
        <v>-0.119899999999972</v>
      </c>
      <c r="AF851">
        <v>0.129101078552494</v>
      </c>
      <c r="AG851">
        <v>-0.104004999999999</v>
      </c>
      <c r="AH851">
        <v>0.75427061755605596</v>
      </c>
      <c r="AI851">
        <v>97.7397446097673</v>
      </c>
      <c r="AJ851">
        <v>80.287361987227797</v>
      </c>
      <c r="AK851">
        <v>0.77227475228497</v>
      </c>
      <c r="AL851">
        <v>82.979393730404695</v>
      </c>
      <c r="AM851">
        <v>83.503267847485205</v>
      </c>
      <c r="AN851">
        <v>0.99999998354930897</v>
      </c>
    </row>
    <row r="852" spans="1:40" x14ac:dyDescent="0.25">
      <c r="A852" t="str">
        <f>"20190312164450657"</f>
        <v>20190312164450657</v>
      </c>
      <c r="B852" t="str">
        <f>"1552380290652550"</f>
        <v>1552380290652550</v>
      </c>
      <c r="C852" t="s">
        <v>40</v>
      </c>
      <c r="D852">
        <v>4.6413149999999996</v>
      </c>
      <c r="E852">
        <v>0.51292780000000004</v>
      </c>
      <c r="F852" t="s">
        <v>41</v>
      </c>
      <c r="G852">
        <v>-232.398</v>
      </c>
      <c r="H852">
        <v>1.02844</v>
      </c>
      <c r="I852">
        <v>367.61970000000002</v>
      </c>
      <c r="J852">
        <v>-232.9648</v>
      </c>
      <c r="K852">
        <v>1.1092519999999999</v>
      </c>
      <c r="L852">
        <v>367.71350000000001</v>
      </c>
      <c r="M852">
        <v>0.99962260000000003</v>
      </c>
      <c r="N852">
        <v>0</v>
      </c>
      <c r="O852">
        <v>1.479361E-2</v>
      </c>
      <c r="P852">
        <v>0.99018320000000004</v>
      </c>
      <c r="Q852">
        <v>9.9197869999999994E-2</v>
      </c>
      <c r="R852">
        <v>-9.8474790000000006E-2</v>
      </c>
      <c r="S852">
        <v>3.0265499999999999</v>
      </c>
      <c r="T852">
        <v>-0.31351830000000003</v>
      </c>
      <c r="U852">
        <v>-0.3514099</v>
      </c>
      <c r="V852">
        <v>0.11321059999999999</v>
      </c>
      <c r="W852">
        <v>0.1219683</v>
      </c>
      <c r="X852">
        <v>0.9860563</v>
      </c>
      <c r="Y852">
        <v>0.1292595</v>
      </c>
      <c r="Z852">
        <v>-8.1788980000000004E-3</v>
      </c>
      <c r="AA852">
        <v>0.99157709999999999</v>
      </c>
      <c r="AB852">
        <v>44</v>
      </c>
      <c r="AC852">
        <v>0.56679999999999997</v>
      </c>
      <c r="AD852">
        <v>-8.0812000000000106E-2</v>
      </c>
      <c r="AE852">
        <v>-9.3799999999987393E-2</v>
      </c>
      <c r="AF852">
        <v>0.10019454634529899</v>
      </c>
      <c r="AG852">
        <v>-8.0812000000000106E-2</v>
      </c>
      <c r="AH852">
        <v>0.55438094916143799</v>
      </c>
      <c r="AI852">
        <v>98.163155743690297</v>
      </c>
      <c r="AJ852">
        <v>79.755390307329805</v>
      </c>
      <c r="AK852">
        <v>0.56912895134097397</v>
      </c>
      <c r="AL852">
        <v>82.994287354487895</v>
      </c>
      <c r="AM852">
        <v>83.450463278345495</v>
      </c>
      <c r="AN852">
        <v>0.999999966463469</v>
      </c>
    </row>
    <row r="853" spans="1:40" x14ac:dyDescent="0.25">
      <c r="A853" t="str">
        <f>"20190312164450668"</f>
        <v>20190312164450668</v>
      </c>
      <c r="B853" t="str">
        <f>"1552380290662309"</f>
        <v>1552380290662309</v>
      </c>
      <c r="C853" t="s">
        <v>40</v>
      </c>
      <c r="D853">
        <v>4.626614</v>
      </c>
      <c r="E853">
        <v>0.51289580000000001</v>
      </c>
      <c r="F853" t="s">
        <v>41</v>
      </c>
      <c r="G853">
        <v>-232.01570000000001</v>
      </c>
      <c r="H853">
        <v>1.0105379999999999</v>
      </c>
      <c r="I853">
        <v>367.60250000000002</v>
      </c>
      <c r="J853">
        <v>-232.74420000000001</v>
      </c>
      <c r="K853">
        <v>1.1092550000000001</v>
      </c>
      <c r="L853">
        <v>367.71660000000003</v>
      </c>
      <c r="M853">
        <v>0.9996216</v>
      </c>
      <c r="N853">
        <v>0</v>
      </c>
      <c r="O853">
        <v>1.4616000000000001E-2</v>
      </c>
      <c r="P853">
        <v>0.99009480000000005</v>
      </c>
      <c r="Q853">
        <v>9.8850579999999993E-2</v>
      </c>
      <c r="R853">
        <v>-9.9704730000000005E-2</v>
      </c>
      <c r="S853">
        <v>3.0260929999999999</v>
      </c>
      <c r="T853">
        <v>-0.31476490000000001</v>
      </c>
      <c r="U853">
        <v>-0.35397339999999999</v>
      </c>
      <c r="V853">
        <v>0.11427030000000001</v>
      </c>
      <c r="W853">
        <v>0.12176910000000001</v>
      </c>
      <c r="X853">
        <v>0.98595869999999997</v>
      </c>
      <c r="Y853">
        <v>0.12992049999999999</v>
      </c>
      <c r="Z853">
        <v>-8.2278769999999998E-3</v>
      </c>
      <c r="AA853">
        <v>0.99149030000000005</v>
      </c>
      <c r="AB853">
        <v>44</v>
      </c>
      <c r="AC853">
        <v>0.72849999999999604</v>
      </c>
      <c r="AD853">
        <v>-9.8716999999999902E-2</v>
      </c>
      <c r="AE853">
        <v>-0.114100000000007</v>
      </c>
      <c r="AF853">
        <v>0.122542185267652</v>
      </c>
      <c r="AG853">
        <v>-9.8716999999999902E-2</v>
      </c>
      <c r="AH853">
        <v>0.713958053600939</v>
      </c>
      <c r="AI853">
        <v>97.760152318224996</v>
      </c>
      <c r="AJ853">
        <v>80.260776519327607</v>
      </c>
      <c r="AK853">
        <v>0.73109352039312603</v>
      </c>
      <c r="AL853">
        <v>83.005786527132202</v>
      </c>
      <c r="AM853">
        <v>83.389048320994505</v>
      </c>
      <c r="AN853">
        <v>0.99999998664129397</v>
      </c>
    </row>
    <row r="854" spans="1:40" x14ac:dyDescent="0.25">
      <c r="A854" t="str">
        <f>"20190312164450679"</f>
        <v>20190312164450679</v>
      </c>
      <c r="B854" t="str">
        <f>"1552380290672070"</f>
        <v>1552380290672070</v>
      </c>
      <c r="C854" t="s">
        <v>40</v>
      </c>
      <c r="D854">
        <v>4.7315100000000001</v>
      </c>
      <c r="E854">
        <v>0.51294399999999996</v>
      </c>
      <c r="F854" t="s">
        <v>41</v>
      </c>
      <c r="G854">
        <v>-232.00559999999999</v>
      </c>
      <c r="H854">
        <v>1.032127</v>
      </c>
      <c r="I854">
        <v>367.62950000000001</v>
      </c>
      <c r="J854">
        <v>-232.53720000000001</v>
      </c>
      <c r="K854">
        <v>1.1092580000000001</v>
      </c>
      <c r="L854">
        <v>367.71940000000001</v>
      </c>
      <c r="M854">
        <v>0.99962070000000003</v>
      </c>
      <c r="N854">
        <v>0</v>
      </c>
      <c r="O854">
        <v>1.4433090000000001E-2</v>
      </c>
      <c r="P854">
        <v>0.99001839999999997</v>
      </c>
      <c r="Q854">
        <v>9.8297819999999994E-2</v>
      </c>
      <c r="R854">
        <v>-0.1010032</v>
      </c>
      <c r="S854">
        <v>3.025604</v>
      </c>
      <c r="T854">
        <v>-0.3159845</v>
      </c>
      <c r="U854">
        <v>-0.3571472</v>
      </c>
      <c r="V854">
        <v>0.1153926</v>
      </c>
      <c r="W854">
        <v>0.1213587</v>
      </c>
      <c r="X854">
        <v>0.98587860000000005</v>
      </c>
      <c r="Y854">
        <v>0.1307738</v>
      </c>
      <c r="Z854">
        <v>-8.2856979999999993E-3</v>
      </c>
      <c r="AA854">
        <v>0.99137759999999997</v>
      </c>
      <c r="AB854">
        <v>44</v>
      </c>
      <c r="AC854">
        <v>0.53160000000002505</v>
      </c>
      <c r="AD854">
        <v>-7.7131000000000005E-2</v>
      </c>
      <c r="AE854">
        <v>-8.9899999999999994E-2</v>
      </c>
      <c r="AF854">
        <v>9.5608606600440904E-2</v>
      </c>
      <c r="AG854">
        <v>-7.7131000000000005E-2</v>
      </c>
      <c r="AH854">
        <v>0.51961210438599603</v>
      </c>
      <c r="AI854">
        <v>98.305869515955706</v>
      </c>
      <c r="AJ854">
        <v>79.574193671920895</v>
      </c>
      <c r="AK854">
        <v>0.53393532926892995</v>
      </c>
      <c r="AL854">
        <v>83.029476503060494</v>
      </c>
      <c r="AM854">
        <v>83.324164884308402</v>
      </c>
      <c r="AN854">
        <v>1.0000000000692</v>
      </c>
    </row>
    <row r="855" spans="1:40" x14ac:dyDescent="0.25">
      <c r="A855" t="str">
        <f>"20190312164450690"</f>
        <v>20190312164450690</v>
      </c>
      <c r="B855" t="str">
        <f>"1552380290682336"</f>
        <v>1552380290682336</v>
      </c>
      <c r="C855" t="s">
        <v>40</v>
      </c>
      <c r="D855">
        <v>4.669257</v>
      </c>
      <c r="E855">
        <v>0.51291439999999999</v>
      </c>
      <c r="F855" t="s">
        <v>41</v>
      </c>
      <c r="G855">
        <v>-231.62569999999999</v>
      </c>
      <c r="H855">
        <v>1.0135700000000001</v>
      </c>
      <c r="I855">
        <v>367.61059999999998</v>
      </c>
      <c r="J855">
        <v>-232.31020000000001</v>
      </c>
      <c r="K855">
        <v>1.1092610000000001</v>
      </c>
      <c r="L855">
        <v>367.72250000000003</v>
      </c>
      <c r="M855">
        <v>0.99961960000000005</v>
      </c>
      <c r="N855">
        <v>0</v>
      </c>
      <c r="O855">
        <v>1.4229179999999999E-2</v>
      </c>
      <c r="P855">
        <v>0.9898901</v>
      </c>
      <c r="Q855">
        <v>9.8119070000000003E-2</v>
      </c>
      <c r="R855">
        <v>-0.10242130000000001</v>
      </c>
      <c r="S855">
        <v>3.0249630000000001</v>
      </c>
      <c r="T855">
        <v>-0.31754529999999997</v>
      </c>
      <c r="U855">
        <v>-0.36114499999999999</v>
      </c>
      <c r="V855">
        <v>0.1166143</v>
      </c>
      <c r="W855">
        <v>0.1213346</v>
      </c>
      <c r="X855">
        <v>0.9857378</v>
      </c>
      <c r="Y855">
        <v>0.1318752</v>
      </c>
      <c r="Z855">
        <v>-8.3636839999999997E-3</v>
      </c>
      <c r="AA855">
        <v>0.99123099999999997</v>
      </c>
      <c r="AB855">
        <v>44</v>
      </c>
      <c r="AC855">
        <v>0.68450000000001399</v>
      </c>
      <c r="AD855">
        <v>-9.5690999999999901E-2</v>
      </c>
      <c r="AE855">
        <v>-0.111900000000048</v>
      </c>
      <c r="AF855">
        <v>0.11935931435073401</v>
      </c>
      <c r="AG855">
        <v>-9.5690999999999901E-2</v>
      </c>
      <c r="AH855">
        <v>0.67008327885379604</v>
      </c>
      <c r="AI855">
        <v>98.002854829154103</v>
      </c>
      <c r="AJ855">
        <v>79.900057771646004</v>
      </c>
      <c r="AK855">
        <v>0.68732453324665399</v>
      </c>
      <c r="AL855">
        <v>83.030867577516304</v>
      </c>
      <c r="AM855">
        <v>83.253178916065295</v>
      </c>
      <c r="AN855">
        <v>0.99999999523524397</v>
      </c>
    </row>
    <row r="856" spans="1:40" x14ac:dyDescent="0.25">
      <c r="A856" t="str">
        <f>"20190312164450700"</f>
        <v>20190312164450700</v>
      </c>
      <c r="B856" t="str">
        <f>"1552380290692097"</f>
        <v>1552380290692097</v>
      </c>
      <c r="C856" t="s">
        <v>40</v>
      </c>
      <c r="D856">
        <v>4.712288</v>
      </c>
      <c r="E856">
        <v>0.5128374</v>
      </c>
      <c r="F856" t="s">
        <v>41</v>
      </c>
      <c r="G856">
        <v>-231.2466</v>
      </c>
      <c r="H856">
        <v>0.99738490000000002</v>
      </c>
      <c r="I856">
        <v>367.59410000000003</v>
      </c>
      <c r="J856">
        <v>-232.09530000000001</v>
      </c>
      <c r="K856">
        <v>1.109259</v>
      </c>
      <c r="L856">
        <v>367.72539999999998</v>
      </c>
      <c r="M856">
        <v>0.99961880000000003</v>
      </c>
      <c r="N856">
        <v>0</v>
      </c>
      <c r="O856">
        <v>1.4023620000000001E-2</v>
      </c>
      <c r="P856">
        <v>0.98975460000000004</v>
      </c>
      <c r="Q856">
        <v>9.7870260000000001E-2</v>
      </c>
      <c r="R856">
        <v>-0.10395890000000001</v>
      </c>
      <c r="S856">
        <v>3.0244140000000002</v>
      </c>
      <c r="T856">
        <v>-0.31820179999999998</v>
      </c>
      <c r="U856">
        <v>-0.36508180000000001</v>
      </c>
      <c r="V856">
        <v>0.1179523</v>
      </c>
      <c r="W856">
        <v>0.1212314</v>
      </c>
      <c r="X856">
        <v>0.98559129999999995</v>
      </c>
      <c r="Y856">
        <v>0.1329563</v>
      </c>
      <c r="Z856">
        <v>-8.4167579999999999E-3</v>
      </c>
      <c r="AA856">
        <v>0.99108620000000003</v>
      </c>
      <c r="AB856">
        <v>43</v>
      </c>
      <c r="AC856">
        <v>0.848700000000007</v>
      </c>
      <c r="AD856">
        <v>-0.111874099999999</v>
      </c>
      <c r="AE856">
        <v>-0.13129999999995301</v>
      </c>
      <c r="AF856">
        <v>0.14080288752908299</v>
      </c>
      <c r="AG856">
        <v>-0.111874099999999</v>
      </c>
      <c r="AH856">
        <v>0.83264479604620001</v>
      </c>
      <c r="AI856">
        <v>97.546549320543093</v>
      </c>
      <c r="AJ856">
        <v>80.401902471846299</v>
      </c>
      <c r="AK856">
        <v>0.85184424853969398</v>
      </c>
      <c r="AL856">
        <v>83.036824537530094</v>
      </c>
      <c r="AM856">
        <v>83.175488877031995</v>
      </c>
      <c r="AN856">
        <v>1.00000000402846</v>
      </c>
    </row>
    <row r="857" spans="1:40" x14ac:dyDescent="0.25">
      <c r="A857" t="str">
        <f>"20190312164450713"</f>
        <v>20190312164450713</v>
      </c>
      <c r="B857" t="str">
        <f>"1552380290702832"</f>
        <v>1552380290702832</v>
      </c>
      <c r="C857" t="s">
        <v>40</v>
      </c>
      <c r="D857">
        <v>4.7245809999999997</v>
      </c>
      <c r="E857">
        <v>0.51278469999999998</v>
      </c>
      <c r="F857" t="s">
        <v>41</v>
      </c>
      <c r="G857">
        <v>-231.23679999999999</v>
      </c>
      <c r="H857">
        <v>1.0187250000000001</v>
      </c>
      <c r="I857">
        <v>367.62079999999997</v>
      </c>
      <c r="J857">
        <v>-231.86660000000001</v>
      </c>
      <c r="K857">
        <v>1.1092660000000001</v>
      </c>
      <c r="L857">
        <v>367.72840000000002</v>
      </c>
      <c r="M857">
        <v>0.99961800000000001</v>
      </c>
      <c r="N857">
        <v>0</v>
      </c>
      <c r="O857">
        <v>1.3800120000000001E-2</v>
      </c>
      <c r="P857">
        <v>0.98953789999999997</v>
      </c>
      <c r="Q857">
        <v>9.8038429999999996E-2</v>
      </c>
      <c r="R857">
        <v>-0.10584730000000001</v>
      </c>
      <c r="S857">
        <v>3.023911</v>
      </c>
      <c r="T857">
        <v>-0.31900070000000003</v>
      </c>
      <c r="U857">
        <v>-0.3683167</v>
      </c>
      <c r="V857">
        <v>0.11962299999999999</v>
      </c>
      <c r="W857">
        <v>0.121549</v>
      </c>
      <c r="X857">
        <v>0.98535079999999997</v>
      </c>
      <c r="Y857">
        <v>0.13379179999999999</v>
      </c>
      <c r="Z857">
        <v>-8.4589769999999995E-3</v>
      </c>
      <c r="AA857">
        <v>0.9909734</v>
      </c>
      <c r="AB857">
        <v>43</v>
      </c>
      <c r="AC857">
        <v>0.62980000000001701</v>
      </c>
      <c r="AD857">
        <v>-9.0540999999999899E-2</v>
      </c>
      <c r="AE857">
        <v>-0.10760000000004701</v>
      </c>
      <c r="AF857">
        <v>0.11399440930370899</v>
      </c>
      <c r="AG857">
        <v>-9.0540999999999899E-2</v>
      </c>
      <c r="AH857">
        <v>0.615886911863197</v>
      </c>
      <c r="AI857">
        <v>98.225352359542995</v>
      </c>
      <c r="AJ857">
        <v>79.513804885032002</v>
      </c>
      <c r="AK857">
        <v>0.63285787206756505</v>
      </c>
      <c r="AL857">
        <v>83.018491869048702</v>
      </c>
      <c r="AM857">
        <v>83.078083363646201</v>
      </c>
      <c r="AN857">
        <v>1.0000000102953199</v>
      </c>
    </row>
    <row r="858" spans="1:40" x14ac:dyDescent="0.25">
      <c r="A858" t="str">
        <f>"20190312164450726"</f>
        <v>20190312164450726</v>
      </c>
      <c r="B858" t="str">
        <f>"1552380290722353"</f>
        <v>1552380290722353</v>
      </c>
      <c r="C858" t="s">
        <v>40</v>
      </c>
      <c r="D858">
        <v>4.6312989999999896</v>
      </c>
      <c r="E858">
        <v>0.51274690000000001</v>
      </c>
      <c r="F858" t="s">
        <v>41</v>
      </c>
      <c r="G858">
        <v>-230.8596</v>
      </c>
      <c r="H858">
        <v>1.003115</v>
      </c>
      <c r="I858">
        <v>367.60419999999999</v>
      </c>
      <c r="J858">
        <v>-231.62110000000001</v>
      </c>
      <c r="K858">
        <v>1.109275</v>
      </c>
      <c r="L858">
        <v>367.73149999999998</v>
      </c>
      <c r="M858">
        <v>0.99961719999999998</v>
      </c>
      <c r="N858">
        <v>0</v>
      </c>
      <c r="O858">
        <v>1.355291E-2</v>
      </c>
      <c r="P858">
        <v>0.98936239999999998</v>
      </c>
      <c r="Q858">
        <v>9.8226980000000005E-2</v>
      </c>
      <c r="R858">
        <v>-0.1073035</v>
      </c>
      <c r="S858">
        <v>3.0234529999999999</v>
      </c>
      <c r="T858">
        <v>-0.31873509999999999</v>
      </c>
      <c r="U858">
        <v>-0.37255860000000002</v>
      </c>
      <c r="V858">
        <v>0.1208386</v>
      </c>
      <c r="W858">
        <v>0.1218969</v>
      </c>
      <c r="X858">
        <v>0.98515949999999997</v>
      </c>
      <c r="Y858">
        <v>0.13493089999999999</v>
      </c>
      <c r="Z858">
        <v>-8.4862789999999994E-3</v>
      </c>
      <c r="AA858">
        <v>0.99081870000000005</v>
      </c>
      <c r="AB858">
        <v>43</v>
      </c>
      <c r="AC858">
        <v>0.76150000000001195</v>
      </c>
      <c r="AD858">
        <v>-0.10616</v>
      </c>
      <c r="AE858">
        <v>-0.127299999999991</v>
      </c>
      <c r="AF858">
        <v>0.13505836106688901</v>
      </c>
      <c r="AG858">
        <v>-0.10616</v>
      </c>
      <c r="AH858">
        <v>0.74560738517082104</v>
      </c>
      <c r="AI858">
        <v>97.975267771466207</v>
      </c>
      <c r="AJ858">
        <v>79.732843027097999</v>
      </c>
      <c r="AK858">
        <v>0.76514121527685497</v>
      </c>
      <c r="AL858">
        <v>82.998409481472095</v>
      </c>
      <c r="AM858">
        <v>83.007091902293197</v>
      </c>
      <c r="AN858">
        <v>1.0000000309599</v>
      </c>
    </row>
    <row r="859" spans="1:40" x14ac:dyDescent="0.25">
      <c r="A859" t="str">
        <f>"20190312164450738"</f>
        <v>20190312164450738</v>
      </c>
      <c r="B859" t="str">
        <f>"1552380290732113"</f>
        <v>1552380290732113</v>
      </c>
      <c r="C859" t="s">
        <v>40</v>
      </c>
      <c r="D859">
        <v>4.6587360000000002</v>
      </c>
      <c r="E859">
        <v>0.53481659999999998</v>
      </c>
      <c r="F859" t="s">
        <v>41</v>
      </c>
      <c r="G859">
        <v>-230.84809999999999</v>
      </c>
      <c r="H859">
        <v>1.027828</v>
      </c>
      <c r="I859">
        <v>367.6352</v>
      </c>
      <c r="J859">
        <v>-231.39420000000001</v>
      </c>
      <c r="K859">
        <v>1.109283</v>
      </c>
      <c r="L859">
        <v>367.73439999999999</v>
      </c>
      <c r="M859">
        <v>0.99961659999999997</v>
      </c>
      <c r="N859">
        <v>0</v>
      </c>
      <c r="O859">
        <v>1.331716E-2</v>
      </c>
      <c r="P859">
        <v>0.98902259999999997</v>
      </c>
      <c r="Q859">
        <v>9.8992380000000005E-2</v>
      </c>
      <c r="R859">
        <v>-0.10970249999999999</v>
      </c>
      <c r="S859">
        <v>3.0230709999999998</v>
      </c>
      <c r="T859">
        <v>-0.31858239999999999</v>
      </c>
      <c r="U859">
        <v>-0.37649539999999998</v>
      </c>
      <c r="V859">
        <v>0.1230057</v>
      </c>
      <c r="W859">
        <v>0.12279660000000001</v>
      </c>
      <c r="X859">
        <v>0.98477950000000003</v>
      </c>
      <c r="Y859">
        <v>0.1359795</v>
      </c>
      <c r="Z859">
        <v>-8.5128210000000003E-3</v>
      </c>
      <c r="AA859">
        <v>0.99067510000000003</v>
      </c>
      <c r="AB859">
        <v>43</v>
      </c>
      <c r="AC859">
        <v>0.54610000000002401</v>
      </c>
      <c r="AD859">
        <v>-8.1455E-2</v>
      </c>
      <c r="AE859">
        <v>-9.9199999999996097E-2</v>
      </c>
      <c r="AF859">
        <v>0.104221196226796</v>
      </c>
      <c r="AG859">
        <v>-8.1455E-2</v>
      </c>
      <c r="AH859">
        <v>0.53324540873450399</v>
      </c>
      <c r="AI859">
        <v>98.5261016743287</v>
      </c>
      <c r="AJ859">
        <v>78.941122032559605</v>
      </c>
      <c r="AK859">
        <v>0.54940662601061896</v>
      </c>
      <c r="AL859">
        <v>82.946470302347606</v>
      </c>
      <c r="AM859">
        <v>82.880239006959599</v>
      </c>
      <c r="AN859">
        <v>1.0000000354121401</v>
      </c>
    </row>
    <row r="860" spans="1:40" x14ac:dyDescent="0.25">
      <c r="A860" t="str">
        <f>"20190312164450749"</f>
        <v>20190312164450749</v>
      </c>
      <c r="B860" t="str">
        <f>"1552380290742850"</f>
        <v>1552380290742850</v>
      </c>
      <c r="C860" t="s">
        <v>40</v>
      </c>
      <c r="D860">
        <v>4.7064810000000001</v>
      </c>
      <c r="E860">
        <v>0.54207469999999902</v>
      </c>
      <c r="F860" t="s">
        <v>42</v>
      </c>
      <c r="G860">
        <v>-218.9802</v>
      </c>
      <c r="H860" s="1">
        <v>-1.453672E-6</v>
      </c>
      <c r="I860">
        <v>365.40499999999997</v>
      </c>
      <c r="J860">
        <v>-231.17490000000001</v>
      </c>
      <c r="K860">
        <v>1.1092930000000001</v>
      </c>
      <c r="L860">
        <v>367.7371</v>
      </c>
      <c r="M860">
        <v>0.99961630000000001</v>
      </c>
      <c r="N860">
        <v>0</v>
      </c>
      <c r="O860">
        <v>1.308643E-2</v>
      </c>
      <c r="P860">
        <v>0.98871609999999999</v>
      </c>
      <c r="Q860">
        <v>9.9619990000000005E-2</v>
      </c>
      <c r="R860">
        <v>-0.1118778</v>
      </c>
      <c r="S860">
        <v>2.9977109999999998</v>
      </c>
      <c r="T860">
        <v>-0.26786779999999999</v>
      </c>
      <c r="U860">
        <v>-0.5625</v>
      </c>
      <c r="V860">
        <v>0.1249541</v>
      </c>
      <c r="W860">
        <v>0.1235513</v>
      </c>
      <c r="X860">
        <v>0.98443970000000003</v>
      </c>
      <c r="Y860">
        <v>0.19646730000000001</v>
      </c>
      <c r="Z860">
        <v>-9.8427949999999997E-3</v>
      </c>
      <c r="AA860">
        <v>0.98046089999999997</v>
      </c>
      <c r="AB860">
        <v>43</v>
      </c>
      <c r="AC860">
        <v>12.194699999999999</v>
      </c>
      <c r="AD860">
        <v>-1.109294453672</v>
      </c>
      <c r="AE860">
        <v>-2.33210000000002</v>
      </c>
      <c r="AF860">
        <v>2.47180110686035</v>
      </c>
      <c r="AG860">
        <v>-1.109294453672</v>
      </c>
      <c r="AH860">
        <v>12.0668010654767</v>
      </c>
      <c r="AI860">
        <v>95.146140205875597</v>
      </c>
      <c r="AJ860">
        <v>78.423500420613394</v>
      </c>
      <c r="AK860">
        <v>12.3672156466447</v>
      </c>
      <c r="AL860">
        <v>82.902897028176099</v>
      </c>
      <c r="AM860">
        <v>82.766177633911198</v>
      </c>
      <c r="AN860">
        <v>0.99999998688729497</v>
      </c>
    </row>
    <row r="861" spans="1:40" x14ac:dyDescent="0.25">
      <c r="A861" t="str">
        <f>"20190312164450762"</f>
        <v>20190312164450762</v>
      </c>
      <c r="B861" t="str">
        <f>"1552380290752610"</f>
        <v>1552380290752610</v>
      </c>
      <c r="C861" t="s">
        <v>40</v>
      </c>
      <c r="D861">
        <v>4.686483</v>
      </c>
      <c r="E861">
        <v>0.54559369999999996</v>
      </c>
      <c r="F861" t="s">
        <v>42</v>
      </c>
      <c r="G861">
        <v>-218.41149999999999</v>
      </c>
      <c r="H861" s="1">
        <v>-1.7389119999999999E-6</v>
      </c>
      <c r="I861">
        <v>365.06029999999998</v>
      </c>
      <c r="J861">
        <v>-230.93969999999999</v>
      </c>
      <c r="K861">
        <v>1.109302</v>
      </c>
      <c r="L861">
        <v>367.73989999999998</v>
      </c>
      <c r="M861">
        <v>0.99961610000000001</v>
      </c>
      <c r="N861">
        <v>0</v>
      </c>
      <c r="O861">
        <v>1.282866E-2</v>
      </c>
      <c r="P861">
        <v>0.98840980000000001</v>
      </c>
      <c r="Q861">
        <v>0.1003153</v>
      </c>
      <c r="R861">
        <v>-0.1139426</v>
      </c>
      <c r="S861">
        <v>2.989487</v>
      </c>
      <c r="T861">
        <v>-0.25982090000000002</v>
      </c>
      <c r="U861">
        <v>-0.62695310000000004</v>
      </c>
      <c r="V861">
        <v>0.1267654</v>
      </c>
      <c r="W861">
        <v>0.1243737</v>
      </c>
      <c r="X861">
        <v>0.98410450000000005</v>
      </c>
      <c r="Y861">
        <v>0.2169661</v>
      </c>
      <c r="Z861">
        <v>-1.041162E-2</v>
      </c>
      <c r="AA861">
        <v>0.97612359999999998</v>
      </c>
      <c r="AB861">
        <v>43</v>
      </c>
      <c r="AC861">
        <v>12.528199999999901</v>
      </c>
      <c r="AD861">
        <v>-1.109303738912</v>
      </c>
      <c r="AE861">
        <v>-2.67959999999999</v>
      </c>
      <c r="AF861">
        <v>2.81901326158347</v>
      </c>
      <c r="AG861">
        <v>-1.109303738912</v>
      </c>
      <c r="AH861">
        <v>12.3998189089807</v>
      </c>
      <c r="AI861">
        <v>94.985593968678103</v>
      </c>
      <c r="AJ861">
        <v>77.191900008970094</v>
      </c>
      <c r="AK861">
        <v>12.764517207073</v>
      </c>
      <c r="AL861">
        <v>82.8554106280409</v>
      </c>
      <c r="AM861">
        <v>82.659980845653706</v>
      </c>
      <c r="AN861">
        <v>0.99999997540454899</v>
      </c>
    </row>
    <row r="862" spans="1:40" x14ac:dyDescent="0.25">
      <c r="A862" t="str">
        <f>"20190312164450776"</f>
        <v>20190312164450776</v>
      </c>
      <c r="B862" t="str">
        <f>"1552380290772129"</f>
        <v>1552380290772129</v>
      </c>
      <c r="C862" t="s">
        <v>40</v>
      </c>
      <c r="D862">
        <v>4.8723340000000004</v>
      </c>
      <c r="E862">
        <v>0.54712419999999995</v>
      </c>
      <c r="F862" t="s">
        <v>42</v>
      </c>
      <c r="G862">
        <v>-218.05719999999999</v>
      </c>
      <c r="H862" s="1">
        <v>-1.905529E-6</v>
      </c>
      <c r="I862">
        <v>364.88729999999998</v>
      </c>
      <c r="J862">
        <v>-230.69130000000001</v>
      </c>
      <c r="K862">
        <v>1.1093109999999999</v>
      </c>
      <c r="L862">
        <v>367.74279999999999</v>
      </c>
      <c r="M862">
        <v>0.99961639999999996</v>
      </c>
      <c r="N862">
        <v>0</v>
      </c>
      <c r="O862">
        <v>1.254911E-2</v>
      </c>
      <c r="P862">
        <v>0.98805050000000005</v>
      </c>
      <c r="Q862">
        <v>0.1012609</v>
      </c>
      <c r="R862">
        <v>-0.1162006</v>
      </c>
      <c r="S862">
        <v>2.9850620000000001</v>
      </c>
      <c r="T862">
        <v>-0.25703930000000003</v>
      </c>
      <c r="U862">
        <v>-0.66098020000000002</v>
      </c>
      <c r="V862">
        <v>0.12874849999999999</v>
      </c>
      <c r="W862">
        <v>0.125433399999999</v>
      </c>
      <c r="X862">
        <v>0.98371249999999999</v>
      </c>
      <c r="Y862">
        <v>0.22758400000000001</v>
      </c>
      <c r="Z862">
        <v>-1.0730389999999999E-2</v>
      </c>
      <c r="AA862">
        <v>0.97369930000000005</v>
      </c>
      <c r="AB862">
        <v>43</v>
      </c>
      <c r="AC862">
        <v>12.6341</v>
      </c>
      <c r="AD862">
        <v>-1.1093129055290001</v>
      </c>
      <c r="AE862">
        <v>-2.8555000000000001</v>
      </c>
      <c r="AF862">
        <v>2.9919251847228798</v>
      </c>
      <c r="AG862">
        <v>-1.1093129055290001</v>
      </c>
      <c r="AH862">
        <v>12.505535246872601</v>
      </c>
      <c r="AI862">
        <v>94.930758286852793</v>
      </c>
      <c r="AJ862">
        <v>76.545009630629707</v>
      </c>
      <c r="AK862">
        <v>12.9062234307378</v>
      </c>
      <c r="AL862">
        <v>82.794215222980995</v>
      </c>
      <c r="AM862">
        <v>82.543499206035804</v>
      </c>
      <c r="AN862">
        <v>0.99999999837202902</v>
      </c>
    </row>
    <row r="863" spans="1:40" x14ac:dyDescent="0.25">
      <c r="A863" t="str">
        <f>"20190312164450792"</f>
        <v>20190312164450792</v>
      </c>
      <c r="B863" t="str">
        <f>"1552380290782397"</f>
        <v>1552380290782397</v>
      </c>
      <c r="C863" t="s">
        <v>40</v>
      </c>
      <c r="D863">
        <v>4.7925409999999999</v>
      </c>
      <c r="E863">
        <v>0.54743560000000002</v>
      </c>
      <c r="F863" t="s">
        <v>42</v>
      </c>
      <c r="G863">
        <v>-217.89019999999999</v>
      </c>
      <c r="H863" s="1">
        <v>-1.9788539999999998E-6</v>
      </c>
      <c r="I863">
        <v>364.82530000000003</v>
      </c>
      <c r="J863">
        <v>-230.3827</v>
      </c>
      <c r="K863">
        <v>1.1093120000000001</v>
      </c>
      <c r="L863">
        <v>367.74619999999999</v>
      </c>
      <c r="M863">
        <v>0.9996176</v>
      </c>
      <c r="N863">
        <v>0</v>
      </c>
      <c r="O863">
        <v>1.218785E-2</v>
      </c>
      <c r="P863">
        <v>0.9872841</v>
      </c>
      <c r="Q863">
        <v>0.1031846</v>
      </c>
      <c r="R863">
        <v>-0.1209283</v>
      </c>
      <c r="S863">
        <v>2.9828190000000001</v>
      </c>
      <c r="T863">
        <v>-0.25848280000000001</v>
      </c>
      <c r="U863">
        <v>-0.67980959999999901</v>
      </c>
      <c r="V863">
        <v>0.13311829999999999</v>
      </c>
      <c r="W863">
        <v>0.12745319999999999</v>
      </c>
      <c r="X863">
        <v>0.98287089999999999</v>
      </c>
      <c r="Y863">
        <v>0.23320579999999999</v>
      </c>
      <c r="Z863">
        <v>-1.100018E-2</v>
      </c>
      <c r="AA863">
        <v>0.97236520000000004</v>
      </c>
      <c r="AB863">
        <v>42</v>
      </c>
      <c r="AC863">
        <v>12.4925</v>
      </c>
      <c r="AD863">
        <v>-1.1093139788540001</v>
      </c>
      <c r="AE863">
        <v>-2.9208999999999601</v>
      </c>
      <c r="AF863">
        <v>3.0501820787700402</v>
      </c>
      <c r="AG863">
        <v>-1.1093139788540001</v>
      </c>
      <c r="AH863">
        <v>12.363526023484701</v>
      </c>
      <c r="AI863">
        <v>94.978628946538507</v>
      </c>
      <c r="AJ863">
        <v>76.141410441762901</v>
      </c>
      <c r="AK863">
        <v>12.7824474945416</v>
      </c>
      <c r="AL863">
        <v>82.677552869203296</v>
      </c>
      <c r="AM863">
        <v>82.286894065436101</v>
      </c>
      <c r="AN863">
        <v>1.0000000030259699</v>
      </c>
    </row>
    <row r="864" spans="1:40" x14ac:dyDescent="0.25">
      <c r="A864" t="str">
        <f>"20190312164450806"</f>
        <v>20190312164450806</v>
      </c>
      <c r="B864" t="str">
        <f>"1552380290802893"</f>
        <v>1552380290802893</v>
      </c>
      <c r="C864" t="s">
        <v>40</v>
      </c>
      <c r="D864">
        <v>4.7165140000000001</v>
      </c>
      <c r="E864">
        <v>0.54826830000000004</v>
      </c>
      <c r="F864" t="s">
        <v>42</v>
      </c>
      <c r="G864">
        <v>-217.25810000000001</v>
      </c>
      <c r="H864" s="1">
        <v>-2.2326969999999999E-6</v>
      </c>
      <c r="I864">
        <v>364.67970000000003</v>
      </c>
      <c r="J864">
        <v>-230.09989999999999</v>
      </c>
      <c r="K864">
        <v>1.1092930000000001</v>
      </c>
      <c r="L864">
        <v>367.74939999999998</v>
      </c>
      <c r="M864">
        <v>0.99961979999999995</v>
      </c>
      <c r="N864">
        <v>0</v>
      </c>
      <c r="O864">
        <v>1.1836350000000001E-2</v>
      </c>
      <c r="P864">
        <v>0.98684700000000003</v>
      </c>
      <c r="Q864">
        <v>0.10414569999999999</v>
      </c>
      <c r="R864">
        <v>-0.12363929999999999</v>
      </c>
      <c r="S864">
        <v>2.9796909999999999</v>
      </c>
      <c r="T864">
        <v>-0.25184790000000001</v>
      </c>
      <c r="U864">
        <v>-0.69619750000000002</v>
      </c>
      <c r="V864">
        <v>0.13548569999999999</v>
      </c>
      <c r="W864">
        <v>0.1284662</v>
      </c>
      <c r="X864">
        <v>0.98241540000000005</v>
      </c>
      <c r="Y864">
        <v>0.23818739999999999</v>
      </c>
      <c r="Z864">
        <v>-1.0901310000000001E-2</v>
      </c>
      <c r="AA864">
        <v>0.97115799999999997</v>
      </c>
      <c r="AB864">
        <v>42</v>
      </c>
      <c r="AC864">
        <v>12.8417999999999</v>
      </c>
      <c r="AD864">
        <v>-1.109295232697</v>
      </c>
      <c r="AE864">
        <v>-3.0696999999999499</v>
      </c>
      <c r="AF864">
        <v>3.19895234208877</v>
      </c>
      <c r="AG864">
        <v>-1.109295232697</v>
      </c>
      <c r="AH864">
        <v>12.714807564381699</v>
      </c>
      <c r="AI864">
        <v>94.836143947258904</v>
      </c>
      <c r="AJ864">
        <v>75.877903515860694</v>
      </c>
      <c r="AK864">
        <v>13.1578935776019</v>
      </c>
      <c r="AL864">
        <v>82.619030976842794</v>
      </c>
      <c r="AM864">
        <v>82.1478240488686</v>
      </c>
      <c r="AN864">
        <v>0.99999997880204405</v>
      </c>
    </row>
    <row r="865" spans="1:40" x14ac:dyDescent="0.25">
      <c r="A865" t="str">
        <f>"20190312164450823"</f>
        <v>20190312164450823</v>
      </c>
      <c r="B865" t="str">
        <f>"1552380290812653"</f>
        <v>1552380290812653</v>
      </c>
      <c r="C865" t="s">
        <v>40</v>
      </c>
      <c r="D865">
        <v>4.7495989999999999</v>
      </c>
      <c r="E865">
        <v>0.54865659999999905</v>
      </c>
      <c r="F865" t="s">
        <v>42</v>
      </c>
      <c r="G865">
        <v>-216.3366</v>
      </c>
      <c r="H865" s="1">
        <v>-2.6046520000000002E-6</v>
      </c>
      <c r="I865">
        <v>364.46039999999999</v>
      </c>
      <c r="J865">
        <v>-229.79159999999999</v>
      </c>
      <c r="K865">
        <v>1.109262</v>
      </c>
      <c r="L865">
        <v>367.7525</v>
      </c>
      <c r="M865">
        <v>0.99962439999999997</v>
      </c>
      <c r="N865">
        <v>0</v>
      </c>
      <c r="O865">
        <v>1.14232E-2</v>
      </c>
      <c r="P865">
        <v>0.98599959999999998</v>
      </c>
      <c r="Q865">
        <v>0.1058973</v>
      </c>
      <c r="R865">
        <v>-0.12880359999999999</v>
      </c>
      <c r="S865">
        <v>2.9761959999999998</v>
      </c>
      <c r="T865">
        <v>-0.2398747</v>
      </c>
      <c r="U865">
        <v>-0.71121219999999996</v>
      </c>
      <c r="V865">
        <v>0.14024420000000001</v>
      </c>
      <c r="W865">
        <v>0.130193899999999</v>
      </c>
      <c r="X865">
        <v>0.98151980000000005</v>
      </c>
      <c r="Y865">
        <v>0.24274109999999999</v>
      </c>
      <c r="Z865">
        <v>-1.0538479999999999E-2</v>
      </c>
      <c r="AA865">
        <v>0.9700339</v>
      </c>
      <c r="AB865">
        <v>42</v>
      </c>
      <c r="AC865">
        <v>13.454999999999901</v>
      </c>
      <c r="AD865">
        <v>-1.1092646046520001</v>
      </c>
      <c r="AE865">
        <v>-3.2921</v>
      </c>
      <c r="AF865">
        <v>3.4236763648041699</v>
      </c>
      <c r="AG865">
        <v>-1.1092646046520001</v>
      </c>
      <c r="AH865">
        <v>13.331013588746501</v>
      </c>
      <c r="AI865">
        <v>94.607731500822894</v>
      </c>
      <c r="AJ865">
        <v>75.596557286188897</v>
      </c>
      <c r="AK865">
        <v>13.8082566284595</v>
      </c>
      <c r="AL865">
        <v>82.519202823658006</v>
      </c>
      <c r="AM865">
        <v>81.868348157697795</v>
      </c>
      <c r="AN865">
        <v>1.0000000025114399</v>
      </c>
    </row>
    <row r="866" spans="1:40" x14ac:dyDescent="0.25">
      <c r="A866" t="str">
        <f>"20190312164450835"</f>
        <v>20190312164450835</v>
      </c>
      <c r="B866" t="str">
        <f>"1552380290832173"</f>
        <v>1552380290832173</v>
      </c>
      <c r="C866" t="s">
        <v>40</v>
      </c>
      <c r="D866">
        <v>4.7912080000000001</v>
      </c>
      <c r="E866">
        <v>0.54926219999999903</v>
      </c>
      <c r="F866" t="s">
        <v>42</v>
      </c>
      <c r="G866">
        <v>-215.34469999999999</v>
      </c>
      <c r="H866" s="1">
        <v>-3.009073E-6</v>
      </c>
      <c r="I866">
        <v>364.209</v>
      </c>
      <c r="J866">
        <v>-229.56909999999999</v>
      </c>
      <c r="K866">
        <v>1.109227</v>
      </c>
      <c r="L866">
        <v>367.75479999999999</v>
      </c>
      <c r="M866">
        <v>0.99962879999999998</v>
      </c>
      <c r="N866">
        <v>0</v>
      </c>
      <c r="O866">
        <v>1.1101679999999999E-2</v>
      </c>
      <c r="P866">
        <v>0.98560329999999996</v>
      </c>
      <c r="Q866">
        <v>0.106319899999999</v>
      </c>
      <c r="R866">
        <v>-0.131462299999999</v>
      </c>
      <c r="S866">
        <v>2.9718779999999998</v>
      </c>
      <c r="T866">
        <v>-0.22818659999999999</v>
      </c>
      <c r="U866">
        <v>-0.72894289999999995</v>
      </c>
      <c r="V866">
        <v>0.1425902</v>
      </c>
      <c r="W866">
        <v>0.1305664</v>
      </c>
      <c r="X866">
        <v>0.98113220000000001</v>
      </c>
      <c r="Y866">
        <v>0.24826899999999999</v>
      </c>
      <c r="Z866">
        <v>-1.021819E-2</v>
      </c>
      <c r="AA866">
        <v>0.96863719999999998</v>
      </c>
      <c r="AB866">
        <v>42</v>
      </c>
      <c r="AC866">
        <v>14.224399999999999</v>
      </c>
      <c r="AD866">
        <v>-1.1092300090729901</v>
      </c>
      <c r="AE866">
        <v>-3.5457999999999799</v>
      </c>
      <c r="AF866">
        <v>3.6824619866880299</v>
      </c>
      <c r="AG866">
        <v>-1.1092300090729901</v>
      </c>
      <c r="AH866">
        <v>14.1034009016924</v>
      </c>
      <c r="AI866">
        <v>94.351738932538098</v>
      </c>
      <c r="AJ866">
        <v>75.366521564298296</v>
      </c>
      <c r="AK866">
        <v>14.618373182070799</v>
      </c>
      <c r="AL866">
        <v>82.497676166907596</v>
      </c>
      <c r="AM866">
        <v>81.730966280198203</v>
      </c>
      <c r="AN866">
        <v>0.99999997191091905</v>
      </c>
    </row>
    <row r="867" spans="1:40" x14ac:dyDescent="0.25">
      <c r="A867" t="str">
        <f>"20190312164450846"</f>
        <v>20190312164450846</v>
      </c>
      <c r="B867" t="str">
        <f>"1552380290842910"</f>
        <v>1552380290842910</v>
      </c>
      <c r="C867" t="s">
        <v>40</v>
      </c>
      <c r="D867">
        <v>4.989776</v>
      </c>
      <c r="E867">
        <v>0.54939879999999996</v>
      </c>
      <c r="F867" t="s">
        <v>42</v>
      </c>
      <c r="G867">
        <v>-214.46180000000001</v>
      </c>
      <c r="H867" s="1">
        <v>-3.371331E-6</v>
      </c>
      <c r="I867">
        <v>363.97669999999999</v>
      </c>
      <c r="J867">
        <v>-229.3426</v>
      </c>
      <c r="K867">
        <v>1.1091789999999999</v>
      </c>
      <c r="L867">
        <v>367.75700000000001</v>
      </c>
      <c r="M867">
        <v>0.99963400000000002</v>
      </c>
      <c r="N867">
        <v>0</v>
      </c>
      <c r="O867">
        <v>1.075475E-2</v>
      </c>
      <c r="P867">
        <v>0.98523680000000002</v>
      </c>
      <c r="Q867">
        <v>0.1064676</v>
      </c>
      <c r="R867">
        <v>-0.13406499999999999</v>
      </c>
      <c r="S867">
        <v>2.9683229999999998</v>
      </c>
      <c r="T867">
        <v>-0.21794379999999999</v>
      </c>
      <c r="U867">
        <v>-0.74230959999999901</v>
      </c>
      <c r="V867">
        <v>0.1448565</v>
      </c>
      <c r="W867">
        <v>0.13063169999999999</v>
      </c>
      <c r="X867">
        <v>0.98079150000000004</v>
      </c>
      <c r="Y867">
        <v>0.25236160000000002</v>
      </c>
      <c r="Z867">
        <v>-9.8895509999999999E-3</v>
      </c>
      <c r="AA867">
        <v>0.96758250000000001</v>
      </c>
      <c r="AB867">
        <v>42</v>
      </c>
      <c r="AC867">
        <v>14.880799999999899</v>
      </c>
      <c r="AD867">
        <v>-1.1091823713310001</v>
      </c>
      <c r="AE867">
        <v>-3.7802999999999498</v>
      </c>
      <c r="AF867">
        <v>3.9197125953346101</v>
      </c>
      <c r="AG867">
        <v>-1.1091823713310001</v>
      </c>
      <c r="AH867">
        <v>14.7622250523804</v>
      </c>
      <c r="AI867">
        <v>94.153538218063403</v>
      </c>
      <c r="AJ867">
        <v>75.129768752086903</v>
      </c>
      <c r="AK867">
        <v>15.313971426773101</v>
      </c>
      <c r="AL867">
        <v>82.493902692896896</v>
      </c>
      <c r="AM867">
        <v>81.598524307501705</v>
      </c>
      <c r="AN867">
        <v>1.0000000065546899</v>
      </c>
    </row>
    <row r="868" spans="1:40" x14ac:dyDescent="0.25">
      <c r="A868" t="str">
        <f>"20190312164450858"</f>
        <v>20190312164450858</v>
      </c>
      <c r="B868" t="str">
        <f>"1552380290852669"</f>
        <v>1552380290852669</v>
      </c>
      <c r="C868" t="s">
        <v>40</v>
      </c>
      <c r="D868">
        <v>4.8560049999999997</v>
      </c>
      <c r="E868">
        <v>0.54946169999999905</v>
      </c>
      <c r="F868" t="s">
        <v>42</v>
      </c>
      <c r="G868">
        <v>-213.97280000000001</v>
      </c>
      <c r="H868" s="1">
        <v>-3.5881539999999998E-6</v>
      </c>
      <c r="I868">
        <v>363.86520000000002</v>
      </c>
      <c r="J868">
        <v>-229.14099999999999</v>
      </c>
      <c r="K868">
        <v>1.109121</v>
      </c>
      <c r="L868">
        <v>367.75880000000001</v>
      </c>
      <c r="M868">
        <v>0.99964050000000004</v>
      </c>
      <c r="N868">
        <v>0</v>
      </c>
      <c r="O868">
        <v>1.040725E-2</v>
      </c>
      <c r="P868">
        <v>0.98493810000000004</v>
      </c>
      <c r="Q868">
        <v>0.1061188</v>
      </c>
      <c r="R868">
        <v>-0.13651259999999901</v>
      </c>
      <c r="S868">
        <v>2.965897</v>
      </c>
      <c r="T868">
        <v>-0.21403610000000001</v>
      </c>
      <c r="U868">
        <v>-0.75097659999999999</v>
      </c>
      <c r="V868">
        <v>0.14696919999999999</v>
      </c>
      <c r="W868">
        <v>0.13015090000000001</v>
      </c>
      <c r="X868">
        <v>0.98054110000000005</v>
      </c>
      <c r="Y868">
        <v>0.25488759999999999</v>
      </c>
      <c r="Z868">
        <v>-9.7819029999999998E-3</v>
      </c>
      <c r="AA868">
        <v>0.96692120000000004</v>
      </c>
      <c r="AB868">
        <v>42</v>
      </c>
      <c r="AC868">
        <v>15.168199999999899</v>
      </c>
      <c r="AD868">
        <v>-1.1091245881539999</v>
      </c>
      <c r="AE868">
        <v>-3.89359999999999</v>
      </c>
      <c r="AF868">
        <v>4.0310755819884001</v>
      </c>
      <c r="AG868">
        <v>-1.1091245881539999</v>
      </c>
      <c r="AH868">
        <v>15.051342678883501</v>
      </c>
      <c r="AI868">
        <v>94.071490905734507</v>
      </c>
      <c r="AJ868">
        <v>75.006817804735604</v>
      </c>
      <c r="AK868">
        <v>15.621224156157901</v>
      </c>
      <c r="AL868">
        <v>82.521687858983398</v>
      </c>
      <c r="AM868">
        <v>81.475632962199498</v>
      </c>
      <c r="AN868">
        <v>1.00000002565432</v>
      </c>
    </row>
    <row r="869" spans="1:40" x14ac:dyDescent="0.25">
      <c r="A869" t="str">
        <f>"20190312164450869"</f>
        <v>20190312164450869</v>
      </c>
      <c r="B869" t="str">
        <f>"1552380290862429"</f>
        <v>1552380290862429</v>
      </c>
      <c r="C869" t="s">
        <v>40</v>
      </c>
      <c r="D869">
        <v>4.8938079999999999</v>
      </c>
      <c r="E869">
        <v>0.54962330000000004</v>
      </c>
      <c r="F869" t="s">
        <v>42</v>
      </c>
      <c r="G869">
        <v>-213.9795</v>
      </c>
      <c r="H869" s="1">
        <v>-3.5828319999999999E-6</v>
      </c>
      <c r="I869">
        <v>363.87889999999999</v>
      </c>
      <c r="J869">
        <v>-228.9282</v>
      </c>
      <c r="K869">
        <v>1.109051</v>
      </c>
      <c r="L869">
        <v>367.76060000000001</v>
      </c>
      <c r="M869">
        <v>0.99964770000000003</v>
      </c>
      <c r="N869">
        <v>0</v>
      </c>
      <c r="O869">
        <v>1.0030239999999999E-2</v>
      </c>
      <c r="P869">
        <v>0.98462640000000001</v>
      </c>
      <c r="Q869">
        <v>0.1055614</v>
      </c>
      <c r="R869">
        <v>-0.1391695</v>
      </c>
      <c r="S869">
        <v>2.9641109999999999</v>
      </c>
      <c r="T869">
        <v>-0.21683620000000001</v>
      </c>
      <c r="U869">
        <v>-0.75851440000000003</v>
      </c>
      <c r="V869">
        <v>0.14926220000000001</v>
      </c>
      <c r="W869">
        <v>0.12943740000000001</v>
      </c>
      <c r="X869">
        <v>0.98028910000000002</v>
      </c>
      <c r="Y869">
        <v>0.25694860000000003</v>
      </c>
      <c r="Z869">
        <v>-9.9592380000000005E-3</v>
      </c>
      <c r="AA869">
        <v>0.9663737</v>
      </c>
      <c r="AB869">
        <v>42</v>
      </c>
      <c r="AC869">
        <v>14.948700000000001</v>
      </c>
      <c r="AD869">
        <v>-1.109054582832</v>
      </c>
      <c r="AE869">
        <v>-3.8817000000000199</v>
      </c>
      <c r="AF869">
        <v>4.0108069658065002</v>
      </c>
      <c r="AG869">
        <v>-1.109054582832</v>
      </c>
      <c r="AH869">
        <v>14.8325165667594</v>
      </c>
      <c r="AI869">
        <v>94.1284224960514</v>
      </c>
      <c r="AJ869">
        <v>74.8687258230688</v>
      </c>
      <c r="AK869">
        <v>15.4051978983672</v>
      </c>
      <c r="AL869">
        <v>82.562916832918901</v>
      </c>
      <c r="AM869">
        <v>81.342444314972795</v>
      </c>
      <c r="AN869">
        <v>0.99999998222320396</v>
      </c>
    </row>
    <row r="870" spans="1:40" x14ac:dyDescent="0.25">
      <c r="A870" t="str">
        <f>"20190312164450880"</f>
        <v>20190312164450880</v>
      </c>
      <c r="B870" t="str">
        <f>"1552380290872189"</f>
        <v>1552380290872189</v>
      </c>
      <c r="C870" t="s">
        <v>40</v>
      </c>
      <c r="D870">
        <v>5.2011370000000001</v>
      </c>
      <c r="E870">
        <v>0.54967959999999905</v>
      </c>
      <c r="F870" t="s">
        <v>42</v>
      </c>
      <c r="G870">
        <v>-214.04140000000001</v>
      </c>
      <c r="H870" s="1">
        <v>-3.5519299999999998E-6</v>
      </c>
      <c r="I870">
        <v>363.90350000000001</v>
      </c>
      <c r="J870">
        <v>-228.7218</v>
      </c>
      <c r="K870">
        <v>1.1089549999999999</v>
      </c>
      <c r="L870">
        <v>367.76229999999998</v>
      </c>
      <c r="M870">
        <v>0.99965729999999997</v>
      </c>
      <c r="N870">
        <v>0</v>
      </c>
      <c r="O870">
        <v>9.6063439999999993E-3</v>
      </c>
      <c r="P870">
        <v>0.9842514</v>
      </c>
      <c r="Q870">
        <v>0.105381</v>
      </c>
      <c r="R870">
        <v>-0.14193020000000001</v>
      </c>
      <c r="S870">
        <v>2.9620510000000002</v>
      </c>
      <c r="T870">
        <v>-0.22066859999999999</v>
      </c>
      <c r="U870">
        <v>-0.76745609999999997</v>
      </c>
      <c r="V870">
        <v>0.15161629999999901</v>
      </c>
      <c r="W870">
        <v>0.12900989999999901</v>
      </c>
      <c r="X870">
        <v>0.97998419999999997</v>
      </c>
      <c r="Y870">
        <v>0.25940560000000001</v>
      </c>
      <c r="Z870">
        <v>-1.0196719999999999E-2</v>
      </c>
      <c r="AA870">
        <v>0.96571459999999998</v>
      </c>
      <c r="AB870">
        <v>42</v>
      </c>
      <c r="AC870">
        <v>14.680399999999899</v>
      </c>
      <c r="AD870">
        <v>-1.10895855192999</v>
      </c>
      <c r="AE870">
        <v>-3.8587999999999698</v>
      </c>
      <c r="AF870">
        <v>3.9784535618661399</v>
      </c>
      <c r="AG870">
        <v>-1.10895855192999</v>
      </c>
      <c r="AH870">
        <v>14.564901770445299</v>
      </c>
      <c r="AI870">
        <v>94.2007345755475</v>
      </c>
      <c r="AJ870">
        <v>74.722154641886405</v>
      </c>
      <c r="AK870">
        <v>15.1391626385526</v>
      </c>
      <c r="AL870">
        <v>82.587618350036706</v>
      </c>
      <c r="AM870">
        <v>81.205325549273596</v>
      </c>
      <c r="AN870">
        <v>1.0000000444866599</v>
      </c>
    </row>
    <row r="871" spans="1:40" x14ac:dyDescent="0.25">
      <c r="A871" t="str">
        <f>"20190312164450892"</f>
        <v>20190312164450892</v>
      </c>
      <c r="B871" t="str">
        <f>"1552380290882317"</f>
        <v>1552380290882317</v>
      </c>
      <c r="C871" t="s">
        <v>40</v>
      </c>
      <c r="D871">
        <v>4.8586470000000004</v>
      </c>
      <c r="E871">
        <v>0.54961280000000001</v>
      </c>
      <c r="F871" t="s">
        <v>42</v>
      </c>
      <c r="G871">
        <v>-213.6782</v>
      </c>
      <c r="H871" s="1">
        <v>-3.7230230000000002E-6</v>
      </c>
      <c r="I871">
        <v>363.81720000000001</v>
      </c>
      <c r="J871">
        <v>-228.5164</v>
      </c>
      <c r="K871">
        <v>1.1088519999999999</v>
      </c>
      <c r="L871">
        <v>367.76389999999998</v>
      </c>
      <c r="M871">
        <v>0.99966750000000004</v>
      </c>
      <c r="N871">
        <v>0</v>
      </c>
      <c r="O871">
        <v>9.1697399999999991E-3</v>
      </c>
      <c r="P871">
        <v>0.98384470000000002</v>
      </c>
      <c r="Q871">
        <v>0.1053714</v>
      </c>
      <c r="R871">
        <v>-0.1447301</v>
      </c>
      <c r="S871">
        <v>2.9594420000000001</v>
      </c>
      <c r="T871">
        <v>-0.21815799999999999</v>
      </c>
      <c r="U871">
        <v>-0.77609249999999996</v>
      </c>
      <c r="V871">
        <v>0.15399789999999999</v>
      </c>
      <c r="W871">
        <v>0.1287248</v>
      </c>
      <c r="X871">
        <v>0.97965020000000003</v>
      </c>
      <c r="Y871">
        <v>0.26183869999999998</v>
      </c>
      <c r="Z871">
        <v>-1.0142399999999999E-2</v>
      </c>
      <c r="AA871">
        <v>0.96505839999999998</v>
      </c>
      <c r="AB871">
        <v>42</v>
      </c>
      <c r="AC871">
        <v>14.838200000000001</v>
      </c>
      <c r="AD871">
        <v>-1.1088557230229901</v>
      </c>
      <c r="AE871">
        <v>-3.9466999999999599</v>
      </c>
      <c r="AF871">
        <v>4.0614531870675199</v>
      </c>
      <c r="AG871">
        <v>-1.1088557230229901</v>
      </c>
      <c r="AH871">
        <v>14.724578151428</v>
      </c>
      <c r="AI871">
        <v>94.152131584050693</v>
      </c>
      <c r="AJ871">
        <v>74.579644545480406</v>
      </c>
      <c r="AK871">
        <v>15.314638903439199</v>
      </c>
      <c r="AL871">
        <v>82.6040901777302</v>
      </c>
      <c r="AM871">
        <v>81.066392370666094</v>
      </c>
      <c r="AN871">
        <v>0.99999997084974401</v>
      </c>
    </row>
    <row r="872" spans="1:40" x14ac:dyDescent="0.25">
      <c r="A872" t="str">
        <f>"20190312164450903"</f>
        <v>20190312164450903</v>
      </c>
      <c r="B872" t="str">
        <f>"1552380290892078"</f>
        <v>1552380290892078</v>
      </c>
      <c r="C872" t="s">
        <v>40</v>
      </c>
      <c r="D872">
        <v>4.8489810000000002</v>
      </c>
      <c r="E872">
        <v>0.54954639999999999</v>
      </c>
      <c r="F872" t="s">
        <v>42</v>
      </c>
      <c r="G872">
        <v>-213.37729999999999</v>
      </c>
      <c r="H872" s="1">
        <v>-3.8641059999999997E-6</v>
      </c>
      <c r="I872">
        <v>363.74979999999999</v>
      </c>
      <c r="J872">
        <v>-228.279</v>
      </c>
      <c r="K872">
        <v>1.108706</v>
      </c>
      <c r="L872">
        <v>367.76560000000001</v>
      </c>
      <c r="M872">
        <v>0.99968179999999995</v>
      </c>
      <c r="N872">
        <v>0</v>
      </c>
      <c r="O872">
        <v>8.6085390000000001E-3</v>
      </c>
      <c r="P872">
        <v>0.9833963</v>
      </c>
      <c r="Q872">
        <v>0.1057121</v>
      </c>
      <c r="R872">
        <v>-0.1475004</v>
      </c>
      <c r="S872">
        <v>2.9571230000000002</v>
      </c>
      <c r="T872">
        <v>-0.2165916</v>
      </c>
      <c r="U872">
        <v>-0.78408809999999995</v>
      </c>
      <c r="V872">
        <v>0.15623299999999901</v>
      </c>
      <c r="W872">
        <v>0.12864059999999999</v>
      </c>
      <c r="X872">
        <v>0.97930740000000005</v>
      </c>
      <c r="Y872">
        <v>0.26392719999999997</v>
      </c>
      <c r="Z872">
        <v>-1.010867E-2</v>
      </c>
      <c r="AA872">
        <v>0.96448959999999995</v>
      </c>
      <c r="AB872">
        <v>42</v>
      </c>
      <c r="AC872">
        <v>14.9017</v>
      </c>
      <c r="AD872">
        <v>-1.108709864106</v>
      </c>
      <c r="AE872">
        <v>-4.0158000000000103</v>
      </c>
      <c r="AF872">
        <v>4.1226926539801099</v>
      </c>
      <c r="AG872">
        <v>-1.108709864106</v>
      </c>
      <c r="AH872">
        <v>14.7902381360991</v>
      </c>
      <c r="AI872">
        <v>94.130129243483793</v>
      </c>
      <c r="AJ872">
        <v>74.424497972778298</v>
      </c>
      <c r="AK872">
        <v>15.394056528558901</v>
      </c>
      <c r="AL872">
        <v>82.608955658239694</v>
      </c>
      <c r="AM872">
        <v>80.935748464306599</v>
      </c>
      <c r="AN872">
        <v>1.00000006897605</v>
      </c>
    </row>
    <row r="873" spans="1:40" x14ac:dyDescent="0.25">
      <c r="A873" t="str">
        <f>"20190312164450916"</f>
        <v>20190312164450916</v>
      </c>
      <c r="B873" t="str">
        <f>"1552380290912573"</f>
        <v>1552380290912573</v>
      </c>
      <c r="C873" t="s">
        <v>40</v>
      </c>
      <c r="D873">
        <v>4.8668550000000002</v>
      </c>
      <c r="E873">
        <v>0.54934430000000001</v>
      </c>
      <c r="F873" t="s">
        <v>42</v>
      </c>
      <c r="G873">
        <v>-212.995</v>
      </c>
      <c r="H873" s="1">
        <v>-4.0420119999999999E-6</v>
      </c>
      <c r="I873">
        <v>363.6712</v>
      </c>
      <c r="J873">
        <v>-228.05889999999999</v>
      </c>
      <c r="K873">
        <v>1.108568</v>
      </c>
      <c r="L873">
        <v>367.76690000000002</v>
      </c>
      <c r="M873">
        <v>0.99969609999999998</v>
      </c>
      <c r="N873">
        <v>0</v>
      </c>
      <c r="O873">
        <v>8.0473030000000004E-3</v>
      </c>
      <c r="P873">
        <v>0.9829019</v>
      </c>
      <c r="Q873">
        <v>0.1063323</v>
      </c>
      <c r="R873">
        <v>-0.15032470000000001</v>
      </c>
      <c r="S873">
        <v>2.954987</v>
      </c>
      <c r="T873">
        <v>-0.2143563</v>
      </c>
      <c r="U873">
        <v>-0.79159550000000001</v>
      </c>
      <c r="V873">
        <v>0.158522</v>
      </c>
      <c r="W873">
        <v>0.12882460000000001</v>
      </c>
      <c r="X873">
        <v>0.97891519999999999</v>
      </c>
      <c r="Y873">
        <v>0.26585579999999998</v>
      </c>
      <c r="Z873">
        <v>-1.0037040000000001E-2</v>
      </c>
      <c r="AA873">
        <v>0.9639605</v>
      </c>
      <c r="AB873">
        <v>42</v>
      </c>
      <c r="AC873">
        <v>15.063899999999901</v>
      </c>
      <c r="AD873">
        <v>-1.108572042012</v>
      </c>
      <c r="AE873">
        <v>-4.0957000000000203</v>
      </c>
      <c r="AF873">
        <v>4.1956657073021502</v>
      </c>
      <c r="AG873">
        <v>-1.108572042012</v>
      </c>
      <c r="AH873">
        <v>14.955027078428801</v>
      </c>
      <c r="AI873">
        <v>94.082359990690804</v>
      </c>
      <c r="AJ873">
        <v>74.328419310988807</v>
      </c>
      <c r="AK873">
        <v>15.5719419988742</v>
      </c>
      <c r="AL873">
        <v>82.598324157712</v>
      </c>
      <c r="AM873">
        <v>80.801577884979196</v>
      </c>
      <c r="AN873">
        <v>0.99999998542009905</v>
      </c>
    </row>
    <row r="874" spans="1:40" x14ac:dyDescent="0.25">
      <c r="A874" t="str">
        <f>"20190312164450939"</f>
        <v>20190312164450939</v>
      </c>
      <c r="B874" t="str">
        <f>"1552380290932094"</f>
        <v>1552380290932094</v>
      </c>
      <c r="C874" t="s">
        <v>40</v>
      </c>
      <c r="D874">
        <v>4.9432600000000004</v>
      </c>
      <c r="E874">
        <v>0.54922649999999995</v>
      </c>
      <c r="F874" t="s">
        <v>42</v>
      </c>
      <c r="G874">
        <v>-212.5942</v>
      </c>
      <c r="H874" s="1">
        <v>-4.229288E-6</v>
      </c>
      <c r="I874">
        <v>363.5849</v>
      </c>
      <c r="J874">
        <v>-227.62350000000001</v>
      </c>
      <c r="K874">
        <v>1.1083019999999999</v>
      </c>
      <c r="L874">
        <v>367.76929999999999</v>
      </c>
      <c r="M874">
        <v>0.99972490000000003</v>
      </c>
      <c r="N874">
        <v>0</v>
      </c>
      <c r="O874">
        <v>6.8153939999999998E-3</v>
      </c>
      <c r="P874">
        <v>0.98179269999999996</v>
      </c>
      <c r="Q874">
        <v>0.1080221</v>
      </c>
      <c r="R874">
        <v>-0.15625220000000001</v>
      </c>
      <c r="S874">
        <v>2.9529719999999999</v>
      </c>
      <c r="T874">
        <v>-0.21168010000000001</v>
      </c>
      <c r="U874">
        <v>-0.79855350000000003</v>
      </c>
      <c r="V874">
        <v>0.16327549999999999</v>
      </c>
      <c r="W874">
        <v>0.1295868</v>
      </c>
      <c r="X874">
        <v>0.97803289999999998</v>
      </c>
      <c r="Y874">
        <v>0.2669667</v>
      </c>
      <c r="Z874">
        <v>-9.8679189999999993E-3</v>
      </c>
      <c r="AA874">
        <v>0.96365520000000005</v>
      </c>
      <c r="AB874">
        <v>41</v>
      </c>
      <c r="AC874">
        <v>15.029299999999999</v>
      </c>
      <c r="AD874">
        <v>-1.1083062292879999</v>
      </c>
      <c r="AE874">
        <v>-4.1843999999999797</v>
      </c>
      <c r="AF874">
        <v>4.26523327657475</v>
      </c>
      <c r="AG874">
        <v>-1.1083062292879999</v>
      </c>
      <c r="AH874">
        <v>14.925100833560499</v>
      </c>
      <c r="AI874">
        <v>94.083963053172695</v>
      </c>
      <c r="AJ874">
        <v>74.051343351838</v>
      </c>
      <c r="AK874">
        <v>15.562107585202799</v>
      </c>
      <c r="AL874">
        <v>82.554284199780597</v>
      </c>
      <c r="AM874">
        <v>80.522287705390895</v>
      </c>
      <c r="AN874">
        <v>0.99999999055845001</v>
      </c>
    </row>
    <row r="875" spans="1:40" x14ac:dyDescent="0.25">
      <c r="A875" t="str">
        <f>"20190312164450950"</f>
        <v>20190312164450950</v>
      </c>
      <c r="B875" t="str">
        <f>"1552380290942833"</f>
        <v>1552380290942833</v>
      </c>
      <c r="C875" t="s">
        <v>40</v>
      </c>
      <c r="D875">
        <v>4.9330350000000003</v>
      </c>
      <c r="E875">
        <v>0.54907569999999895</v>
      </c>
      <c r="F875" t="s">
        <v>42</v>
      </c>
      <c r="G875">
        <v>-211.81970000000001</v>
      </c>
      <c r="H875" s="1">
        <v>-4.5936709999999996E-6</v>
      </c>
      <c r="I875">
        <v>363.40379999999999</v>
      </c>
      <c r="J875">
        <v>-227.41579999999999</v>
      </c>
      <c r="K875">
        <v>1.1081780000000001</v>
      </c>
      <c r="L875">
        <v>367.77019999999999</v>
      </c>
      <c r="M875">
        <v>0.99973820000000002</v>
      </c>
      <c r="N875">
        <v>0</v>
      </c>
      <c r="O875">
        <v>6.1731420000000004E-3</v>
      </c>
      <c r="P875">
        <v>0.98127260000000005</v>
      </c>
      <c r="Q875">
        <v>0.1085584</v>
      </c>
      <c r="R875">
        <v>-0.15912000000000001</v>
      </c>
      <c r="S875">
        <v>2.9487610000000002</v>
      </c>
      <c r="T875">
        <v>-0.2067928</v>
      </c>
      <c r="U875">
        <v>-0.81451419999999997</v>
      </c>
      <c r="V875">
        <v>0.16553090000000001</v>
      </c>
      <c r="W875">
        <v>0.1296766</v>
      </c>
      <c r="X875">
        <v>0.97764180000000001</v>
      </c>
      <c r="Y875">
        <v>0.27156449999999999</v>
      </c>
      <c r="Z875">
        <v>-9.7610209999999999E-3</v>
      </c>
      <c r="AA875">
        <v>0.96237079999999997</v>
      </c>
      <c r="AB875">
        <v>41</v>
      </c>
      <c r="AC875">
        <v>15.5960999999999</v>
      </c>
      <c r="AD875">
        <v>-1.1081825936709999</v>
      </c>
      <c r="AE875">
        <v>-4.3663999999999898</v>
      </c>
      <c r="AF875">
        <v>4.4418211093624898</v>
      </c>
      <c r="AG875">
        <v>-1.1081825936709999</v>
      </c>
      <c r="AH875">
        <v>15.4962903288093</v>
      </c>
      <c r="AI875">
        <v>93.932579452114894</v>
      </c>
      <c r="AJ875">
        <v>74.005701024271104</v>
      </c>
      <c r="AK875">
        <v>16.158368029700299</v>
      </c>
      <c r="AL875">
        <v>82.549095283370306</v>
      </c>
      <c r="AM875">
        <v>80.3900199664333</v>
      </c>
      <c r="AN875">
        <v>0.99999999427480502</v>
      </c>
    </row>
    <row r="876" spans="1:40" x14ac:dyDescent="0.25">
      <c r="A876" t="str">
        <f>"20190312164450961"</f>
        <v>20190312164450961</v>
      </c>
      <c r="B876" t="str">
        <f>"1552380290952589"</f>
        <v>1552380290952589</v>
      </c>
      <c r="C876" t="s">
        <v>40</v>
      </c>
      <c r="D876">
        <v>4.9031089999999997</v>
      </c>
      <c r="E876">
        <v>0.54894209999999999</v>
      </c>
      <c r="F876" t="s">
        <v>42</v>
      </c>
      <c r="G876">
        <v>-211.49700000000001</v>
      </c>
      <c r="H876" s="1">
        <v>-4.7453269999999998E-6</v>
      </c>
      <c r="I876">
        <v>363.32929999999999</v>
      </c>
      <c r="J876">
        <v>-227.20089999999999</v>
      </c>
      <c r="K876">
        <v>1.108053</v>
      </c>
      <c r="L876">
        <v>367.77089999999998</v>
      </c>
      <c r="M876">
        <v>0.99975170000000002</v>
      </c>
      <c r="N876">
        <v>0</v>
      </c>
      <c r="O876">
        <v>5.4358519999999997E-3</v>
      </c>
      <c r="P876">
        <v>0.98078030000000005</v>
      </c>
      <c r="Q876">
        <v>0.1090993</v>
      </c>
      <c r="R876">
        <v>-0.16176389999999999</v>
      </c>
      <c r="S876">
        <v>2.946625</v>
      </c>
      <c r="T876">
        <v>-0.205127</v>
      </c>
      <c r="U876">
        <v>-0.82202149999999996</v>
      </c>
      <c r="V876">
        <v>0.16747239999999999</v>
      </c>
      <c r="W876">
        <v>0.1297632</v>
      </c>
      <c r="X876">
        <v>0.97729960000000005</v>
      </c>
      <c r="Y876">
        <v>0.27331719999999998</v>
      </c>
      <c r="Z876">
        <v>-9.6955489999999995E-3</v>
      </c>
      <c r="AA876">
        <v>0.96187509999999998</v>
      </c>
      <c r="AB876">
        <v>41</v>
      </c>
      <c r="AC876">
        <v>15.7038999999999</v>
      </c>
      <c r="AD876">
        <v>-1.108057745327</v>
      </c>
      <c r="AE876">
        <v>-4.4415999999999896</v>
      </c>
      <c r="AF876">
        <v>4.5061456531718997</v>
      </c>
      <c r="AG876">
        <v>-1.108057745327</v>
      </c>
      <c r="AH876">
        <v>15.6075696146069</v>
      </c>
      <c r="AI876">
        <v>93.902041409360095</v>
      </c>
      <c r="AJ876">
        <v>73.895756870812505</v>
      </c>
      <c r="AK876">
        <v>16.282793675821701</v>
      </c>
      <c r="AL876">
        <v>82.544091234282703</v>
      </c>
      <c r="AM876">
        <v>80.276104877912601</v>
      </c>
      <c r="AN876">
        <v>1.00000000049808</v>
      </c>
    </row>
    <row r="877" spans="1:40" x14ac:dyDescent="0.25">
      <c r="A877" t="str">
        <f>"20190312164450976"</f>
        <v>20190312164450976</v>
      </c>
      <c r="B877" t="str">
        <f>"1552380290972110"</f>
        <v>1552380290972110</v>
      </c>
      <c r="C877" t="s">
        <v>40</v>
      </c>
      <c r="D877">
        <v>4.9172359999999999</v>
      </c>
      <c r="E877">
        <v>0.5486221</v>
      </c>
      <c r="F877" t="s">
        <v>42</v>
      </c>
      <c r="G877">
        <v>-211.13159999999999</v>
      </c>
      <c r="H877" s="1">
        <v>-4.9165259999999997E-6</v>
      </c>
      <c r="I877">
        <v>363.24790000000002</v>
      </c>
      <c r="J877">
        <v>-226.95400000000001</v>
      </c>
      <c r="K877">
        <v>1.1079129999999999</v>
      </c>
      <c r="L877">
        <v>367.7715</v>
      </c>
      <c r="M877">
        <v>0.99976640000000006</v>
      </c>
      <c r="N877">
        <v>0</v>
      </c>
      <c r="O877">
        <v>4.5372119999999997E-3</v>
      </c>
      <c r="P877">
        <v>0.98025689999999999</v>
      </c>
      <c r="Q877">
        <v>0.1094479</v>
      </c>
      <c r="R877">
        <v>-0.16467609999999999</v>
      </c>
      <c r="S877">
        <v>2.9446870000000001</v>
      </c>
      <c r="T877">
        <v>-0.20304920000000001</v>
      </c>
      <c r="U877">
        <v>-0.82882690000000003</v>
      </c>
      <c r="V877">
        <v>0.16952790000000001</v>
      </c>
      <c r="W877">
        <v>0.12959999999999999</v>
      </c>
      <c r="X877">
        <v>0.97696680000000002</v>
      </c>
      <c r="Y877">
        <v>0.27468870000000001</v>
      </c>
      <c r="Z877">
        <v>-9.5862770000000007E-3</v>
      </c>
      <c r="AA877">
        <v>0.96148540000000005</v>
      </c>
      <c r="AB877">
        <v>41</v>
      </c>
      <c r="AC877">
        <v>15.8224</v>
      </c>
      <c r="AD877">
        <v>-1.107917916526</v>
      </c>
      <c r="AE877">
        <v>-4.5235999999999796</v>
      </c>
      <c r="AF877">
        <v>4.5746240460080996</v>
      </c>
      <c r="AG877">
        <v>-1.107917916526</v>
      </c>
      <c r="AH877">
        <v>15.730408136117299</v>
      </c>
      <c r="AI877">
        <v>93.869011782303403</v>
      </c>
      <c r="AJ877">
        <v>73.784825826694401</v>
      </c>
      <c r="AK877">
        <v>16.419513007422001</v>
      </c>
      <c r="AL877">
        <v>82.553521523644307</v>
      </c>
      <c r="AM877">
        <v>80.155790032235998</v>
      </c>
      <c r="AN877">
        <v>0.99999999859032496</v>
      </c>
    </row>
    <row r="878" spans="1:40" x14ac:dyDescent="0.25">
      <c r="A878" t="str">
        <f>"20190312164450993"</f>
        <v>20190312164450993</v>
      </c>
      <c r="B878" t="str">
        <f>"1552380290982845"</f>
        <v>1552380290982845</v>
      </c>
      <c r="C878" t="s">
        <v>40</v>
      </c>
      <c r="D878">
        <v>5.7614049999999999</v>
      </c>
      <c r="E878">
        <v>0.54844809999999999</v>
      </c>
      <c r="F878" t="s">
        <v>42</v>
      </c>
      <c r="G878">
        <v>-210.8192</v>
      </c>
      <c r="H878" s="1">
        <v>-5.060199E-6</v>
      </c>
      <c r="I878">
        <v>363.19319999999999</v>
      </c>
      <c r="J878">
        <v>-226.6371</v>
      </c>
      <c r="K878">
        <v>1.1077349999999999</v>
      </c>
      <c r="L878">
        <v>367.77190000000002</v>
      </c>
      <c r="M878">
        <v>0.99978350000000005</v>
      </c>
      <c r="N878">
        <v>0</v>
      </c>
      <c r="O878">
        <v>3.2932090000000001E-3</v>
      </c>
      <c r="P878">
        <v>0.97960760000000002</v>
      </c>
      <c r="Q878">
        <v>0.110094899999999</v>
      </c>
      <c r="R878">
        <v>-0.16807159999999999</v>
      </c>
      <c r="S878">
        <v>2.9427189999999999</v>
      </c>
      <c r="T878">
        <v>-0.20206579999999999</v>
      </c>
      <c r="U878">
        <v>-0.8349915</v>
      </c>
      <c r="V878">
        <v>0.17173859999999999</v>
      </c>
      <c r="W878">
        <v>0.12960859999999999</v>
      </c>
      <c r="X878">
        <v>0.97657950000000004</v>
      </c>
      <c r="Y878">
        <v>0.27553159999999999</v>
      </c>
      <c r="Z878">
        <v>-9.4880550000000004E-3</v>
      </c>
      <c r="AA878">
        <v>0.96124520000000002</v>
      </c>
      <c r="AB878">
        <v>41</v>
      </c>
      <c r="AC878">
        <v>15.8179</v>
      </c>
      <c r="AD878">
        <v>-1.107740060199</v>
      </c>
      <c r="AE878">
        <v>-4.57870000000002</v>
      </c>
      <c r="AF878">
        <v>4.60991722424487</v>
      </c>
      <c r="AG878">
        <v>-1.107740060199</v>
      </c>
      <c r="AH878">
        <v>15.7315447285843</v>
      </c>
      <c r="AI878">
        <v>93.865809110984003</v>
      </c>
      <c r="AJ878">
        <v>73.667488161701499</v>
      </c>
      <c r="AK878">
        <v>16.430457218312799</v>
      </c>
      <c r="AL878">
        <v>82.553024807985196</v>
      </c>
      <c r="AM878">
        <v>80.026103300336302</v>
      </c>
      <c r="AN878">
        <v>1.00000002787208</v>
      </c>
    </row>
    <row r="879" spans="1:40" x14ac:dyDescent="0.25">
      <c r="A879" t="str">
        <f>"20190312164451007"</f>
        <v>20190312164451007</v>
      </c>
      <c r="B879" t="str">
        <f>"1552380291002365"</f>
        <v>1552380291002365</v>
      </c>
      <c r="C879" t="s">
        <v>40</v>
      </c>
      <c r="D879">
        <v>4.9849050000000004</v>
      </c>
      <c r="E879">
        <v>0.54804019999999898</v>
      </c>
      <c r="F879" t="s">
        <v>42</v>
      </c>
      <c r="G879">
        <v>-210.3946</v>
      </c>
      <c r="H879" s="1">
        <v>-5.2569889999999997E-6</v>
      </c>
      <c r="I879">
        <v>363.11079999999998</v>
      </c>
      <c r="J879">
        <v>-226.3817</v>
      </c>
      <c r="K879">
        <v>1.1075889999999999</v>
      </c>
      <c r="L879">
        <v>367.77190000000002</v>
      </c>
      <c r="M879">
        <v>0.99979569999999995</v>
      </c>
      <c r="N879">
        <v>0</v>
      </c>
      <c r="O879">
        <v>2.213666E-3</v>
      </c>
      <c r="P879">
        <v>0.97878339999999997</v>
      </c>
      <c r="Q879">
        <v>0.1099098</v>
      </c>
      <c r="R879">
        <v>-0.17292449999999901</v>
      </c>
      <c r="S879">
        <v>2.9402010000000001</v>
      </c>
      <c r="T879">
        <v>-0.2005218</v>
      </c>
      <c r="U879">
        <v>-0.84375</v>
      </c>
      <c r="V879">
        <v>0.17556089999999999</v>
      </c>
      <c r="W879">
        <v>0.128913</v>
      </c>
      <c r="X879">
        <v>0.97599170000000002</v>
      </c>
      <c r="Y879">
        <v>0.27736440000000001</v>
      </c>
      <c r="Z879">
        <v>-9.4087660000000007E-3</v>
      </c>
      <c r="AA879">
        <v>0.96071879999999998</v>
      </c>
      <c r="AB879">
        <v>41</v>
      </c>
      <c r="AC879">
        <v>15.9870999999999</v>
      </c>
      <c r="AD879">
        <v>-1.1075942569889901</v>
      </c>
      <c r="AE879">
        <v>-4.6611000000000304</v>
      </c>
      <c r="AF879">
        <v>4.6758012323445701</v>
      </c>
      <c r="AG879">
        <v>-1.1075942569889901</v>
      </c>
      <c r="AH879">
        <v>15.9063747470321</v>
      </c>
      <c r="AI879">
        <v>93.821995568872495</v>
      </c>
      <c r="AJ879">
        <v>73.618895025096705</v>
      </c>
      <c r="AK879">
        <v>16.616336533530198</v>
      </c>
      <c r="AL879">
        <v>82.593216692357998</v>
      </c>
      <c r="AM879">
        <v>79.802713829368003</v>
      </c>
      <c r="AN879">
        <v>0.999999994823349</v>
      </c>
    </row>
    <row r="880" spans="1:40" x14ac:dyDescent="0.25">
      <c r="A880" t="str">
        <f>"20190312164451021"</f>
        <v>20190312164451021</v>
      </c>
      <c r="B880" t="str">
        <f>"1552380291012125"</f>
        <v>1552380291012125</v>
      </c>
      <c r="C880" t="s">
        <v>40</v>
      </c>
      <c r="D880">
        <v>4.9506550000000002</v>
      </c>
      <c r="E880">
        <v>0.54780479999999998</v>
      </c>
      <c r="F880" t="s">
        <v>42</v>
      </c>
      <c r="G880">
        <v>-210.41210000000001</v>
      </c>
      <c r="H880" s="1">
        <v>-5.2463790000000003E-6</v>
      </c>
      <c r="I880">
        <v>363.1284</v>
      </c>
      <c r="J880">
        <v>-226.10830000000001</v>
      </c>
      <c r="K880">
        <v>1.107445</v>
      </c>
      <c r="L880">
        <v>367.7715</v>
      </c>
      <c r="M880">
        <v>0.9998068</v>
      </c>
      <c r="N880">
        <v>0</v>
      </c>
      <c r="O880">
        <v>9.6924160000000001E-4</v>
      </c>
      <c r="P880">
        <v>0.97820720000000005</v>
      </c>
      <c r="Q880">
        <v>0.109974</v>
      </c>
      <c r="R880">
        <v>-0.17611589999999999</v>
      </c>
      <c r="S880">
        <v>2.9370419999999999</v>
      </c>
      <c r="T880">
        <v>-0.20370099999999999</v>
      </c>
      <c r="U880">
        <v>-0.85400390000000004</v>
      </c>
      <c r="V880">
        <v>0.17756649999999999</v>
      </c>
      <c r="W880">
        <v>0.12846939999999901</v>
      </c>
      <c r="X880">
        <v>0.97568730000000004</v>
      </c>
      <c r="Y880">
        <v>0.27951589999999998</v>
      </c>
      <c r="Z880">
        <v>-9.5514580000000005E-3</v>
      </c>
      <c r="AA880">
        <v>0.96009359999999999</v>
      </c>
      <c r="AB880">
        <v>41</v>
      </c>
      <c r="AC880">
        <v>15.696199999999999</v>
      </c>
      <c r="AD880">
        <v>-1.1074502463789999</v>
      </c>
      <c r="AE880">
        <v>-4.6430999999999996</v>
      </c>
      <c r="AF880">
        <v>4.6370878786360299</v>
      </c>
      <c r="AG880">
        <v>-1.1074502463789999</v>
      </c>
      <c r="AH880">
        <v>15.620190009443199</v>
      </c>
      <c r="AI880">
        <v>93.888239227901195</v>
      </c>
      <c r="AJ880">
        <v>73.465688116426094</v>
      </c>
      <c r="AK880">
        <v>16.331545118986998</v>
      </c>
      <c r="AL880">
        <v>82.618846092577499</v>
      </c>
      <c r="AM880">
        <v>79.685557979742299</v>
      </c>
      <c r="AN880">
        <v>0.999999978019949</v>
      </c>
    </row>
    <row r="881" spans="1:40" x14ac:dyDescent="0.25">
      <c r="A881" t="str">
        <f>"20190312164451034"</f>
        <v>20190312164451034</v>
      </c>
      <c r="B881" t="str">
        <f>"1552380291022863"</f>
        <v>1552380291022863</v>
      </c>
      <c r="C881" t="s">
        <v>40</v>
      </c>
      <c r="D881">
        <v>4.9334530000000001</v>
      </c>
      <c r="E881">
        <v>0.54757369999999905</v>
      </c>
      <c r="F881" t="s">
        <v>42</v>
      </c>
      <c r="G881">
        <v>-210.2688</v>
      </c>
      <c r="H881" s="1">
        <v>-5.3092679999999899E-6</v>
      </c>
      <c r="I881">
        <v>363.12020000000001</v>
      </c>
      <c r="J881">
        <v>-225.8655</v>
      </c>
      <c r="K881">
        <v>1.1073189999999999</v>
      </c>
      <c r="L881">
        <v>367.77089999999998</v>
      </c>
      <c r="M881">
        <v>0.9998146</v>
      </c>
      <c r="N881">
        <v>0</v>
      </c>
      <c r="O881">
        <v>-1.9218300000000001E-4</v>
      </c>
      <c r="P881">
        <v>0.97734560000000004</v>
      </c>
      <c r="Q881">
        <v>0.10972899999999999</v>
      </c>
      <c r="R881">
        <v>-0.18098449999999999</v>
      </c>
      <c r="S881">
        <v>2.9347379999999998</v>
      </c>
      <c r="T881">
        <v>-0.20518819999999999</v>
      </c>
      <c r="U881">
        <v>-0.86178589999999999</v>
      </c>
      <c r="V881">
        <v>0.18132780000000001</v>
      </c>
      <c r="W881">
        <v>0.12777620000000001</v>
      </c>
      <c r="X881">
        <v>0.97508640000000002</v>
      </c>
      <c r="Y881">
        <v>0.28093790000000002</v>
      </c>
      <c r="Z881">
        <v>-9.5939479999999997E-3</v>
      </c>
      <c r="AA881">
        <v>0.95967800000000003</v>
      </c>
      <c r="AB881">
        <v>41</v>
      </c>
      <c r="AC881">
        <v>15.596699999999901</v>
      </c>
      <c r="AD881">
        <v>-1.1073243092680001</v>
      </c>
      <c r="AE881">
        <v>-4.6506999999999703</v>
      </c>
      <c r="AF881">
        <v>4.62628668987632</v>
      </c>
      <c r="AG881">
        <v>-1.1073243092680001</v>
      </c>
      <c r="AH881">
        <v>15.525724524620401</v>
      </c>
      <c r="AI881">
        <v>93.910197242598102</v>
      </c>
      <c r="AJ881">
        <v>73.407228746407498</v>
      </c>
      <c r="AK881">
        <v>16.238128515232901</v>
      </c>
      <c r="AL881">
        <v>82.658893808234893</v>
      </c>
      <c r="AM881">
        <v>79.465565633047106</v>
      </c>
      <c r="AN881">
        <v>1.0000000079021201</v>
      </c>
    </row>
    <row r="882" spans="1:40" x14ac:dyDescent="0.25">
      <c r="A882" t="str">
        <f>"20190312164451047"</f>
        <v>20190312164451047</v>
      </c>
      <c r="B882" t="str">
        <f>"1552380291042381"</f>
        <v>1552380291042381</v>
      </c>
      <c r="C882" t="s">
        <v>40</v>
      </c>
      <c r="D882">
        <v>5.1511360000000002</v>
      </c>
      <c r="E882">
        <v>0.54733719999999997</v>
      </c>
      <c r="F882" t="s">
        <v>42</v>
      </c>
      <c r="G882">
        <v>-210.22380000000001</v>
      </c>
      <c r="H882" s="1">
        <v>-5.3314759999999999E-6</v>
      </c>
      <c r="I882">
        <v>363.10410000000002</v>
      </c>
      <c r="J882">
        <v>-225.6268</v>
      </c>
      <c r="K882">
        <v>1.107197</v>
      </c>
      <c r="L882">
        <v>367.77</v>
      </c>
      <c r="M882">
        <v>0.99982059999999995</v>
      </c>
      <c r="N882">
        <v>0</v>
      </c>
      <c r="O882">
        <v>-1.3884920000000001E-3</v>
      </c>
      <c r="P882">
        <v>0.97669700000000004</v>
      </c>
      <c r="Q882">
        <v>0.1099371</v>
      </c>
      <c r="R882">
        <v>-0.18432799999999999</v>
      </c>
      <c r="S882">
        <v>2.9309080000000001</v>
      </c>
      <c r="T882">
        <v>-0.20748659999999999</v>
      </c>
      <c r="U882">
        <v>-0.87445069999999903</v>
      </c>
      <c r="V882">
        <v>0.18353420000000001</v>
      </c>
      <c r="W882">
        <v>0.1275686</v>
      </c>
      <c r="X882">
        <v>0.97470069999999998</v>
      </c>
      <c r="Y882">
        <v>0.28392089999999998</v>
      </c>
      <c r="Z882">
        <v>-9.7279080000000004E-3</v>
      </c>
      <c r="AA882">
        <v>0.95879829999999999</v>
      </c>
      <c r="AB882">
        <v>41</v>
      </c>
      <c r="AC882">
        <v>15.402999999999899</v>
      </c>
      <c r="AD882">
        <v>-1.107202331476</v>
      </c>
      <c r="AE882">
        <v>-4.6658999999999597</v>
      </c>
      <c r="AF882">
        <v>4.6226269014525201</v>
      </c>
      <c r="AG882">
        <v>-1.107202331476</v>
      </c>
      <c r="AH882">
        <v>15.3368789138488</v>
      </c>
      <c r="AI882">
        <v>93.9540375497197</v>
      </c>
      <c r="AJ882">
        <v>73.226879550141504</v>
      </c>
      <c r="AK882">
        <v>16.056600863536399</v>
      </c>
      <c r="AL882">
        <v>82.670886515577493</v>
      </c>
      <c r="AM882">
        <v>79.336181476749502</v>
      </c>
      <c r="AN882">
        <v>1.00000000242804</v>
      </c>
    </row>
    <row r="883" spans="1:40" x14ac:dyDescent="0.25">
      <c r="A883" t="str">
        <f>"20190312164451058"</f>
        <v>20190312164451058</v>
      </c>
      <c r="B883" t="str">
        <f>"1552380291052141"</f>
        <v>1552380291052141</v>
      </c>
      <c r="C883" t="s">
        <v>40</v>
      </c>
      <c r="D883">
        <v>5.0065049999999998</v>
      </c>
      <c r="E883">
        <v>0.54722760000000004</v>
      </c>
      <c r="F883" t="s">
        <v>42</v>
      </c>
      <c r="G883">
        <v>-210.31100000000001</v>
      </c>
      <c r="H883" s="1">
        <v>-5.2842329999999996E-6</v>
      </c>
      <c r="I883">
        <v>363.15949999999998</v>
      </c>
      <c r="J883">
        <v>-225.41849999999999</v>
      </c>
      <c r="K883">
        <v>1.1070879999999901</v>
      </c>
      <c r="L883">
        <v>367.7688</v>
      </c>
      <c r="M883">
        <v>0.99982389999999999</v>
      </c>
      <c r="N883">
        <v>0</v>
      </c>
      <c r="O883">
        <v>-2.5046740000000001E-3</v>
      </c>
      <c r="P883">
        <v>0.97608010000000001</v>
      </c>
      <c r="Q883">
        <v>0.11010830000000001</v>
      </c>
      <c r="R883">
        <v>-0.18746779999999999</v>
      </c>
      <c r="S883">
        <v>2.9290470000000002</v>
      </c>
      <c r="T883">
        <v>-0.2117435</v>
      </c>
      <c r="U883">
        <v>-0.88171390000000005</v>
      </c>
      <c r="V883">
        <v>0.1856131</v>
      </c>
      <c r="W883">
        <v>0.12739780000000001</v>
      </c>
      <c r="X883">
        <v>0.97432929999999995</v>
      </c>
      <c r="Y883">
        <v>0.28517160000000003</v>
      </c>
      <c r="Z883">
        <v>-9.8949169999999996E-3</v>
      </c>
      <c r="AA883">
        <v>0.95842539999999998</v>
      </c>
      <c r="AB883">
        <v>41</v>
      </c>
      <c r="AC883">
        <v>15.1075</v>
      </c>
      <c r="AD883">
        <v>-1.1070932842329999</v>
      </c>
      <c r="AE883">
        <v>-4.6093000000000099</v>
      </c>
      <c r="AF883">
        <v>4.5490908664137404</v>
      </c>
      <c r="AG883">
        <v>-1.1070932842329999</v>
      </c>
      <c r="AH883">
        <v>15.045085926516901</v>
      </c>
      <c r="AI883">
        <v>94.029013983214</v>
      </c>
      <c r="AJ883">
        <v>73.176578467154997</v>
      </c>
      <c r="AK883">
        <v>15.756728524257801</v>
      </c>
      <c r="AL883">
        <v>82.680753147684996</v>
      </c>
      <c r="AM883">
        <v>79.214194574023296</v>
      </c>
      <c r="AN883">
        <v>1.0000000035874601</v>
      </c>
    </row>
    <row r="884" spans="1:40" x14ac:dyDescent="0.25">
      <c r="A884" t="str">
        <f>"20190312164451070"</f>
        <v>20190312164451070</v>
      </c>
      <c r="B884" t="str">
        <f>"1552380291062877"</f>
        <v>1552380291062877</v>
      </c>
      <c r="C884" t="s">
        <v>40</v>
      </c>
      <c r="D884">
        <v>5.2656029999999996</v>
      </c>
      <c r="E884">
        <v>0.54702379999999995</v>
      </c>
      <c r="F884" t="s">
        <v>42</v>
      </c>
      <c r="G884">
        <v>-210.35220000000001</v>
      </c>
      <c r="H884" s="1">
        <v>-5.261403E-6</v>
      </c>
      <c r="I884">
        <v>363.18849999999998</v>
      </c>
      <c r="J884">
        <v>-225.20259999999999</v>
      </c>
      <c r="K884">
        <v>1.1069789999999999</v>
      </c>
      <c r="L884">
        <v>367.76749999999998</v>
      </c>
      <c r="M884">
        <v>0.99982559999999998</v>
      </c>
      <c r="N884">
        <v>0</v>
      </c>
      <c r="O884">
        <v>-3.6825690000000001E-3</v>
      </c>
      <c r="P884">
        <v>0.97549870000000005</v>
      </c>
      <c r="Q884">
        <v>0.1097079</v>
      </c>
      <c r="R884">
        <v>-0.19070010000000001</v>
      </c>
      <c r="S884">
        <v>2.9269099999999999</v>
      </c>
      <c r="T884">
        <v>-0.2150726</v>
      </c>
      <c r="U884">
        <v>-0.88980099999999995</v>
      </c>
      <c r="V884">
        <v>0.187724</v>
      </c>
      <c r="W884">
        <v>0.1266515</v>
      </c>
      <c r="X884">
        <v>0.97402219999999995</v>
      </c>
      <c r="Y884">
        <v>0.28663889999999997</v>
      </c>
      <c r="Z884">
        <v>-1.002131E-2</v>
      </c>
      <c r="AA884">
        <v>0.95798629999999996</v>
      </c>
      <c r="AB884">
        <v>41</v>
      </c>
      <c r="AC884">
        <v>14.850399999999899</v>
      </c>
      <c r="AD884">
        <v>-1.1069842614030001</v>
      </c>
      <c r="AE884">
        <v>-4.5789999999999997</v>
      </c>
      <c r="AF884">
        <v>4.5014312368461296</v>
      </c>
      <c r="AG884">
        <v>-1.1069842614030001</v>
      </c>
      <c r="AH884">
        <v>14.792107288985999</v>
      </c>
      <c r="AI884">
        <v>94.095074116283996</v>
      </c>
      <c r="AJ884">
        <v>73.074310731064401</v>
      </c>
      <c r="AK884">
        <v>15.5014430097304</v>
      </c>
      <c r="AL884">
        <v>82.723862708772501</v>
      </c>
      <c r="AM884">
        <v>79.091101470527803</v>
      </c>
      <c r="AN884">
        <v>1.0000000743605399</v>
      </c>
    </row>
    <row r="885" spans="1:40" x14ac:dyDescent="0.25">
      <c r="A885" t="str">
        <f>"20190312164451082"</f>
        <v>20190312164451082</v>
      </c>
      <c r="B885" t="str">
        <f>"1552380291072637"</f>
        <v>1552380291072637</v>
      </c>
      <c r="C885" t="s">
        <v>40</v>
      </c>
      <c r="D885">
        <v>5.1710969999999996</v>
      </c>
      <c r="E885">
        <v>0.54702379999999995</v>
      </c>
      <c r="F885" t="s">
        <v>42</v>
      </c>
      <c r="G885">
        <v>-210.35470000000001</v>
      </c>
      <c r="H885" s="1">
        <v>-5.2560829999999997E-6</v>
      </c>
      <c r="I885">
        <v>363.2124</v>
      </c>
      <c r="J885">
        <v>-224.9803</v>
      </c>
      <c r="K885">
        <v>1.106868</v>
      </c>
      <c r="L885">
        <v>367.76560000000001</v>
      </c>
      <c r="M885">
        <v>0.99982510000000002</v>
      </c>
      <c r="N885">
        <v>0</v>
      </c>
      <c r="O885">
        <v>-4.9690309999999996E-3</v>
      </c>
      <c r="P885">
        <v>0.97493660000000004</v>
      </c>
      <c r="Q885">
        <v>0.10879419999999999</v>
      </c>
      <c r="R885">
        <v>-0.19406880000000001</v>
      </c>
      <c r="S885">
        <v>2.9244690000000002</v>
      </c>
      <c r="T885">
        <v>-0.21803210000000001</v>
      </c>
      <c r="U885">
        <v>-0.89715579999999995</v>
      </c>
      <c r="V885">
        <v>0.18986459999999999</v>
      </c>
      <c r="W885">
        <v>0.12540599999999999</v>
      </c>
      <c r="X885">
        <v>0.97376839999999998</v>
      </c>
      <c r="Y885">
        <v>0.28781299999999999</v>
      </c>
      <c r="Z885">
        <v>-1.011242E-2</v>
      </c>
      <c r="AA885">
        <v>0.95763330000000002</v>
      </c>
      <c r="AB885">
        <v>41</v>
      </c>
      <c r="AC885">
        <v>14.625599999999899</v>
      </c>
      <c r="AD885">
        <v>-1.1068732560829999</v>
      </c>
      <c r="AE885">
        <v>-4.5532000000000004</v>
      </c>
      <c r="AF885">
        <v>4.4571837723961298</v>
      </c>
      <c r="AG885">
        <v>-1.1068732560829999</v>
      </c>
      <c r="AH885">
        <v>14.5719607624464</v>
      </c>
      <c r="AI885">
        <v>94.154505929913995</v>
      </c>
      <c r="AJ885">
        <v>72.992491239651997</v>
      </c>
      <c r="AK885">
        <v>15.278537104324499</v>
      </c>
      <c r="AL885">
        <v>82.795798097657297</v>
      </c>
      <c r="AM885">
        <v>78.966938168461695</v>
      </c>
      <c r="AN885">
        <v>1.00000006400385</v>
      </c>
    </row>
    <row r="886" spans="1:40" x14ac:dyDescent="0.25">
      <c r="A886" t="str">
        <f>"20190312164451095"</f>
        <v>20190312164451095</v>
      </c>
      <c r="B886" t="str">
        <f>"1552380291082398"</f>
        <v>1552380291082398</v>
      </c>
      <c r="C886" t="s">
        <v>40</v>
      </c>
      <c r="D886">
        <v>5.0161720000000001</v>
      </c>
      <c r="E886">
        <v>0.53575819999999996</v>
      </c>
      <c r="F886" t="s">
        <v>42</v>
      </c>
      <c r="G886">
        <v>-210.3526</v>
      </c>
      <c r="H886" s="1">
        <v>-5.2545399999999997E-6</v>
      </c>
      <c r="I886">
        <v>363.22629999999998</v>
      </c>
      <c r="J886">
        <v>-224.75720000000001</v>
      </c>
      <c r="K886">
        <v>1.1067560000000001</v>
      </c>
      <c r="L886">
        <v>367.76350000000002</v>
      </c>
      <c r="M886">
        <v>0.9998224</v>
      </c>
      <c r="N886">
        <v>0</v>
      </c>
      <c r="O886">
        <v>-6.2980609999999998E-3</v>
      </c>
      <c r="P886">
        <v>0.97444459999999999</v>
      </c>
      <c r="Q886">
        <v>0.1079015</v>
      </c>
      <c r="R886">
        <v>-0.19701679999999999</v>
      </c>
      <c r="S886">
        <v>2.9213260000000001</v>
      </c>
      <c r="T886">
        <v>-0.2210541</v>
      </c>
      <c r="U886">
        <v>-0.90655520000000001</v>
      </c>
      <c r="V886">
        <v>0.19154299999999999</v>
      </c>
      <c r="W886">
        <v>0.12419719999999999</v>
      </c>
      <c r="X886">
        <v>0.97359450000000003</v>
      </c>
      <c r="Y886">
        <v>0.28961989999999999</v>
      </c>
      <c r="Z886">
        <v>-1.0226600000000001E-2</v>
      </c>
      <c r="AA886">
        <v>0.95708709999999997</v>
      </c>
      <c r="AB886">
        <v>41</v>
      </c>
      <c r="AC886">
        <v>14.4046</v>
      </c>
      <c r="AD886">
        <v>-1.1067612545400001</v>
      </c>
      <c r="AE886">
        <v>-4.5372000000000403</v>
      </c>
      <c r="AF886">
        <v>4.42262246382702</v>
      </c>
      <c r="AG886">
        <v>-1.1067612545400001</v>
      </c>
      <c r="AH886">
        <v>14.3557949937925</v>
      </c>
      <c r="AI886">
        <v>94.213824138428095</v>
      </c>
      <c r="AJ886">
        <v>72.877385340323997</v>
      </c>
      <c r="AK886">
        <v>15.0623158855435</v>
      </c>
      <c r="AL886">
        <v>82.865602229241702</v>
      </c>
      <c r="AM886">
        <v>78.869892124479605</v>
      </c>
      <c r="AN886">
        <v>0.99999995788354401</v>
      </c>
    </row>
    <row r="887" spans="1:40" x14ac:dyDescent="0.25">
      <c r="A887" t="str">
        <f>"20190312164451107"</f>
        <v>20190312164451107</v>
      </c>
      <c r="B887" t="str">
        <f>"1552380291102894"</f>
        <v>1552380291102894</v>
      </c>
      <c r="C887" t="s">
        <v>40</v>
      </c>
      <c r="D887">
        <v>4.9202640000000004</v>
      </c>
      <c r="E887">
        <v>0.53752469999999997</v>
      </c>
      <c r="F887" t="s">
        <v>42</v>
      </c>
      <c r="G887">
        <v>-215.3817</v>
      </c>
      <c r="H887" s="1">
        <v>-2.7522070000000001E-6</v>
      </c>
      <c r="I887">
        <v>365.1703</v>
      </c>
      <c r="J887">
        <v>-224.51130000000001</v>
      </c>
      <c r="K887">
        <v>1.1066339999999999</v>
      </c>
      <c r="L887">
        <v>367.76089999999999</v>
      </c>
      <c r="M887">
        <v>0.99981660000000006</v>
      </c>
      <c r="N887">
        <v>0</v>
      </c>
      <c r="O887">
        <v>-7.8066239999999999E-3</v>
      </c>
      <c r="P887">
        <v>0.97386039999999996</v>
      </c>
      <c r="Q887">
        <v>0.10701280000000001</v>
      </c>
      <c r="R887">
        <v>-0.20036100000000001</v>
      </c>
      <c r="S887">
        <v>2.9521790000000001</v>
      </c>
      <c r="T887">
        <v>-0.34849819999999998</v>
      </c>
      <c r="U887">
        <v>-0.81655880000000003</v>
      </c>
      <c r="V887">
        <v>0.19344600000000001</v>
      </c>
      <c r="W887">
        <v>0.1229749</v>
      </c>
      <c r="X887">
        <v>0.97337340000000006</v>
      </c>
      <c r="Y887">
        <v>0.25744260000000002</v>
      </c>
      <c r="Z887">
        <v>-1.3964900000000001E-2</v>
      </c>
      <c r="AA887">
        <v>0.96619270000000002</v>
      </c>
      <c r="AB887">
        <v>41</v>
      </c>
      <c r="AC887">
        <v>9.1295999999999999</v>
      </c>
      <c r="AD887">
        <v>-1.106636752207</v>
      </c>
      <c r="AE887">
        <v>-2.59059999999999</v>
      </c>
      <c r="AF887">
        <v>2.4854417949285099</v>
      </c>
      <c r="AG887">
        <v>-1.106636752207</v>
      </c>
      <c r="AH887">
        <v>9.0268023831114803</v>
      </c>
      <c r="AI887">
        <v>96.740859533649697</v>
      </c>
      <c r="AJ887">
        <v>74.605627441810697</v>
      </c>
      <c r="AK887">
        <v>9.4278962171345402</v>
      </c>
      <c r="AL887">
        <v>82.936176041398795</v>
      </c>
      <c r="AM887">
        <v>78.759626606402193</v>
      </c>
      <c r="AN887">
        <v>0.99999997838678401</v>
      </c>
    </row>
    <row r="888" spans="1:40" x14ac:dyDescent="0.25">
      <c r="A888" t="str">
        <f>"20190312164451120"</f>
        <v>20190312164451120</v>
      </c>
      <c r="B888" t="str">
        <f>"1552380291112653"</f>
        <v>1552380291112653</v>
      </c>
      <c r="C888" t="s">
        <v>40</v>
      </c>
      <c r="D888">
        <v>5.0432899999999998</v>
      </c>
      <c r="E888">
        <v>0.53761649999999905</v>
      </c>
      <c r="F888" t="s">
        <v>42</v>
      </c>
      <c r="G888">
        <v>-214.50319999999999</v>
      </c>
      <c r="H888" s="1">
        <v>-3.1780010000000001E-6</v>
      </c>
      <c r="I888">
        <v>364.8947</v>
      </c>
      <c r="J888">
        <v>-224.28550000000001</v>
      </c>
      <c r="K888">
        <v>1.1065290000000001</v>
      </c>
      <c r="L888">
        <v>367.75799999999998</v>
      </c>
      <c r="M888">
        <v>0.99980809999999998</v>
      </c>
      <c r="N888">
        <v>0</v>
      </c>
      <c r="O888">
        <v>-9.2630579999999994E-3</v>
      </c>
      <c r="P888">
        <v>0.9732828</v>
      </c>
      <c r="Q888">
        <v>0.106199</v>
      </c>
      <c r="R888">
        <v>-0.20357510000000001</v>
      </c>
      <c r="S888">
        <v>2.9428709999999998</v>
      </c>
      <c r="T888">
        <v>-0.32540239999999998</v>
      </c>
      <c r="U888">
        <v>-0.842804</v>
      </c>
      <c r="V888">
        <v>0.19526760000000001</v>
      </c>
      <c r="W888">
        <v>0.1218789</v>
      </c>
      <c r="X888">
        <v>0.97314750000000005</v>
      </c>
      <c r="Y888">
        <v>0.26496229999999998</v>
      </c>
      <c r="Z888">
        <v>-1.331807E-2</v>
      </c>
      <c r="AA888">
        <v>0.96416679999999999</v>
      </c>
      <c r="AB888">
        <v>41</v>
      </c>
      <c r="AC888">
        <v>9.78230000000001</v>
      </c>
      <c r="AD888">
        <v>-1.106532178001</v>
      </c>
      <c r="AE888">
        <v>-2.8633000000000299</v>
      </c>
      <c r="AF888">
        <v>2.74025444861311</v>
      </c>
      <c r="AG888">
        <v>-1.106532178001</v>
      </c>
      <c r="AH888">
        <v>9.6941569643731</v>
      </c>
      <c r="AI888">
        <v>96.268257129183695</v>
      </c>
      <c r="AJ888">
        <v>74.215955191718805</v>
      </c>
      <c r="AK888">
        <v>10.1345985196256</v>
      </c>
      <c r="AL888">
        <v>82.999448189571197</v>
      </c>
      <c r="AM888">
        <v>78.653947791518206</v>
      </c>
      <c r="AN888">
        <v>0.99999997931560902</v>
      </c>
    </row>
    <row r="889" spans="1:40" x14ac:dyDescent="0.25">
      <c r="A889" t="str">
        <f>"20190312164451132"</f>
        <v>20190312164451132</v>
      </c>
      <c r="B889" t="str">
        <f>"1552380291122414"</f>
        <v>1552380291122414</v>
      </c>
      <c r="C889" t="s">
        <v>40</v>
      </c>
      <c r="D889">
        <v>5.0886820000000004</v>
      </c>
      <c r="E889">
        <v>0.53827150000000001</v>
      </c>
      <c r="F889" t="s">
        <v>42</v>
      </c>
      <c r="G889">
        <v>-214.52610000000001</v>
      </c>
      <c r="H889" s="1">
        <v>-3.1621589999999999E-6</v>
      </c>
      <c r="I889">
        <v>364.92849999999999</v>
      </c>
      <c r="J889">
        <v>-224.06129999999999</v>
      </c>
      <c r="K889">
        <v>1.106427</v>
      </c>
      <c r="L889">
        <v>367.75490000000002</v>
      </c>
      <c r="M889">
        <v>0.99979709999999999</v>
      </c>
      <c r="N889">
        <v>0</v>
      </c>
      <c r="O889">
        <v>-1.0735659999999999E-2</v>
      </c>
      <c r="P889">
        <v>0.97268250000000001</v>
      </c>
      <c r="Q889">
        <v>0.10537920000000001</v>
      </c>
      <c r="R889">
        <v>-0.20684430000000001</v>
      </c>
      <c r="S889">
        <v>2.940445</v>
      </c>
      <c r="T889">
        <v>-0.3333914</v>
      </c>
      <c r="U889">
        <v>-0.852508499999999</v>
      </c>
      <c r="V889">
        <v>0.19712869999999999</v>
      </c>
      <c r="W889">
        <v>0.12078700000000001</v>
      </c>
      <c r="X889">
        <v>0.97290840000000001</v>
      </c>
      <c r="Y889">
        <v>0.26661790000000002</v>
      </c>
      <c r="Z889">
        <v>-1.3576499999999899E-2</v>
      </c>
      <c r="AA889">
        <v>0.96370670000000003</v>
      </c>
      <c r="AB889">
        <v>41</v>
      </c>
      <c r="AC889">
        <v>9.5351999999999695</v>
      </c>
      <c r="AD889">
        <v>-1.106430162159</v>
      </c>
      <c r="AE889">
        <v>-2.8264000000000302</v>
      </c>
      <c r="AF889">
        <v>2.6905546400004399</v>
      </c>
      <c r="AG889">
        <v>-1.106430162159</v>
      </c>
      <c r="AH889">
        <v>9.4480597374588999</v>
      </c>
      <c r="AI889">
        <v>96.426071575043196</v>
      </c>
      <c r="AJ889">
        <v>74.104464830642598</v>
      </c>
      <c r="AK889">
        <v>9.8858031933250103</v>
      </c>
      <c r="AL889">
        <v>83.062475176524003</v>
      </c>
      <c r="AM889">
        <v>78.545912367478905</v>
      </c>
      <c r="AN889">
        <v>0.99999998926162503</v>
      </c>
    </row>
    <row r="890" spans="1:40" x14ac:dyDescent="0.25">
      <c r="A890" t="str">
        <f>"20190312164451146"</f>
        <v>20190312164451146</v>
      </c>
      <c r="B890" t="str">
        <f>"1552380291142909"</f>
        <v>1552380291142909</v>
      </c>
      <c r="C890" t="s">
        <v>40</v>
      </c>
      <c r="D890">
        <v>5.1747509999999997</v>
      </c>
      <c r="E890">
        <v>0.53819910000000004</v>
      </c>
      <c r="F890" t="s">
        <v>42</v>
      </c>
      <c r="G890">
        <v>-214.36590000000001</v>
      </c>
      <c r="H890" s="1">
        <v>-3.2375139999999999E-6</v>
      </c>
      <c r="I890">
        <v>364.89120000000003</v>
      </c>
      <c r="J890">
        <v>-223.7945</v>
      </c>
      <c r="K890">
        <v>1.106301</v>
      </c>
      <c r="L890">
        <v>367.75060000000002</v>
      </c>
      <c r="M890">
        <v>0.99977990000000005</v>
      </c>
      <c r="N890">
        <v>0</v>
      </c>
      <c r="O890">
        <v>-1.2549289999999999E-2</v>
      </c>
      <c r="P890">
        <v>0.97169380000000005</v>
      </c>
      <c r="Q890">
        <v>0.104147</v>
      </c>
      <c r="R890">
        <v>-0.2120494</v>
      </c>
      <c r="S890">
        <v>2.9361269999999999</v>
      </c>
      <c r="T890">
        <v>-0.33506619999999998</v>
      </c>
      <c r="U890">
        <v>-0.86721800000000004</v>
      </c>
      <c r="V890">
        <v>0.20060069999999999</v>
      </c>
      <c r="W890">
        <v>0.119239</v>
      </c>
      <c r="X890">
        <v>0.97238950000000002</v>
      </c>
      <c r="Y890">
        <v>0.26967059999999998</v>
      </c>
      <c r="Z890">
        <v>-1.3622270000000001E-2</v>
      </c>
      <c r="AA890">
        <v>0.96285620000000005</v>
      </c>
      <c r="AB890">
        <v>41</v>
      </c>
      <c r="AC890">
        <v>9.4285999999999799</v>
      </c>
      <c r="AD890">
        <v>-1.106304237514</v>
      </c>
      <c r="AE890">
        <v>-2.8593999999999902</v>
      </c>
      <c r="AF890">
        <v>2.7067098439604602</v>
      </c>
      <c r="AG890">
        <v>-1.106304237514</v>
      </c>
      <c r="AH890">
        <v>9.3459133691676293</v>
      </c>
      <c r="AI890">
        <v>96.486709937091305</v>
      </c>
      <c r="AJ890">
        <v>73.848229498976593</v>
      </c>
      <c r="AK890">
        <v>9.7926648032759793</v>
      </c>
      <c r="AL890">
        <v>83.151814569060406</v>
      </c>
      <c r="AM890">
        <v>78.343595444249004</v>
      </c>
      <c r="AN890">
        <v>0.99999995983586898</v>
      </c>
    </row>
    <row r="891" spans="1:40" x14ac:dyDescent="0.25">
      <c r="A891" t="str">
        <f>"20190312164451158"</f>
        <v>20190312164451158</v>
      </c>
      <c r="B891" t="str">
        <f>"1552380291152670"</f>
        <v>1552380291152670</v>
      </c>
      <c r="C891" t="s">
        <v>40</v>
      </c>
      <c r="D891">
        <v>5.0177519999999998</v>
      </c>
      <c r="E891">
        <v>0.53817590000000004</v>
      </c>
      <c r="F891" t="s">
        <v>42</v>
      </c>
      <c r="G891">
        <v>-213.6951</v>
      </c>
      <c r="H891" s="1">
        <v>-3.5579010000000001E-6</v>
      </c>
      <c r="I891">
        <v>364.7072</v>
      </c>
      <c r="J891">
        <v>-223.5804</v>
      </c>
      <c r="K891">
        <v>1.1062149999999999</v>
      </c>
      <c r="L891">
        <v>367.74680000000001</v>
      </c>
      <c r="M891">
        <v>0.99976279999999995</v>
      </c>
      <c r="N891">
        <v>0</v>
      </c>
      <c r="O891">
        <v>-1.405764E-2</v>
      </c>
      <c r="P891">
        <v>0.97098660000000003</v>
      </c>
      <c r="Q891">
        <v>0.10371950000000001</v>
      </c>
      <c r="R891">
        <v>-0.21547069999999999</v>
      </c>
      <c r="S891">
        <v>2.929138</v>
      </c>
      <c r="T891">
        <v>-0.32086189999999998</v>
      </c>
      <c r="U891">
        <v>-0.88269039999999999</v>
      </c>
      <c r="V891">
        <v>0.20258229999999999</v>
      </c>
      <c r="W891">
        <v>0.1185837</v>
      </c>
      <c r="X891">
        <v>0.9720588</v>
      </c>
      <c r="Y891">
        <v>0.27361960000000002</v>
      </c>
      <c r="Z891">
        <v>-1.311814E-2</v>
      </c>
      <c r="AA891">
        <v>0.96174850000000001</v>
      </c>
      <c r="AB891">
        <v>41</v>
      </c>
      <c r="AC891">
        <v>9.8853000000000009</v>
      </c>
      <c r="AD891">
        <v>-1.106218557901</v>
      </c>
      <c r="AE891">
        <v>-3.0396000000000001</v>
      </c>
      <c r="AF891">
        <v>2.8675089239417</v>
      </c>
      <c r="AG891">
        <v>-1.106218557901</v>
      </c>
      <c r="AH891">
        <v>9.8147668426937198</v>
      </c>
      <c r="AI891">
        <v>96.174631139225994</v>
      </c>
      <c r="AJ891">
        <v>73.713605574412199</v>
      </c>
      <c r="AK891">
        <v>10.284744775791401</v>
      </c>
      <c r="AL891">
        <v>83.189629042574495</v>
      </c>
      <c r="AM891">
        <v>78.227753940898594</v>
      </c>
      <c r="AN891">
        <v>0.99999999641820903</v>
      </c>
    </row>
    <row r="892" spans="1:40" x14ac:dyDescent="0.25">
      <c r="A892" t="str">
        <f>"20190312164451170"</f>
        <v>20190312164451170</v>
      </c>
      <c r="B892" t="str">
        <f>"1552380291162429"</f>
        <v>1552380291162429</v>
      </c>
      <c r="C892" t="s">
        <v>40</v>
      </c>
      <c r="D892">
        <v>5.1816550000000001</v>
      </c>
      <c r="E892">
        <v>0.53814410000000001</v>
      </c>
      <c r="F892" t="s">
        <v>42</v>
      </c>
      <c r="G892">
        <v>-213.36369999999999</v>
      </c>
      <c r="H892" s="1">
        <v>-3.7139149999999999E-6</v>
      </c>
      <c r="I892">
        <v>364.62920000000003</v>
      </c>
      <c r="J892">
        <v>-223.37139999999999</v>
      </c>
      <c r="K892">
        <v>1.1061379999999901</v>
      </c>
      <c r="L892">
        <v>367.74290000000002</v>
      </c>
      <c r="M892">
        <v>0.9997433</v>
      </c>
      <c r="N892">
        <v>0</v>
      </c>
      <c r="O892">
        <v>-1.554588E-2</v>
      </c>
      <c r="P892">
        <v>0.97022030000000004</v>
      </c>
      <c r="Q892">
        <v>0.1035736</v>
      </c>
      <c r="R892">
        <v>-0.2189632</v>
      </c>
      <c r="S892">
        <v>2.9253999999999998</v>
      </c>
      <c r="T892">
        <v>-0.31674740000000001</v>
      </c>
      <c r="U892">
        <v>-0.89266970000000001</v>
      </c>
      <c r="V892">
        <v>0.20465820000000001</v>
      </c>
      <c r="W892">
        <v>0.1182182</v>
      </c>
      <c r="X892">
        <v>0.97166839999999999</v>
      </c>
      <c r="Y892">
        <v>0.27556370000000002</v>
      </c>
      <c r="Z892">
        <v>-1.290606E-2</v>
      </c>
      <c r="AA892">
        <v>0.96119619999999995</v>
      </c>
      <c r="AB892">
        <v>41</v>
      </c>
      <c r="AC892">
        <v>10.0077</v>
      </c>
      <c r="AD892">
        <v>-1.1061417139149901</v>
      </c>
      <c r="AE892">
        <v>-3.1136999999999899</v>
      </c>
      <c r="AF892">
        <v>2.9251424366224801</v>
      </c>
      <c r="AG892">
        <v>-1.1061417139149901</v>
      </c>
      <c r="AH892">
        <v>9.9441397916027299</v>
      </c>
      <c r="AI892">
        <v>96.0912315215799</v>
      </c>
      <c r="AJ892">
        <v>73.608362665477102</v>
      </c>
      <c r="AK892">
        <v>10.4242948903381</v>
      </c>
      <c r="AL892">
        <v>83.210719028243005</v>
      </c>
      <c r="AM892">
        <v>78.105897172142704</v>
      </c>
      <c r="AN892">
        <v>1.0000000005985199</v>
      </c>
    </row>
    <row r="893" spans="1:40" x14ac:dyDescent="0.25">
      <c r="A893" t="str">
        <f>"20190312164451192"</f>
        <v>20190312164451192</v>
      </c>
      <c r="B893" t="str">
        <f>"1552380291182925"</f>
        <v>1552380291182925</v>
      </c>
      <c r="C893" t="s">
        <v>40</v>
      </c>
      <c r="D893">
        <v>5.0941380000000001</v>
      </c>
      <c r="E893">
        <v>0.5379311</v>
      </c>
      <c r="F893" t="s">
        <v>42</v>
      </c>
      <c r="G893">
        <v>-213.03450000000001</v>
      </c>
      <c r="H893" s="1">
        <v>-3.869224E-6</v>
      </c>
      <c r="I893">
        <v>364.54989999999998</v>
      </c>
      <c r="J893">
        <v>-222.9562</v>
      </c>
      <c r="K893">
        <v>1.1059909999999999</v>
      </c>
      <c r="L893">
        <v>367.73379999999997</v>
      </c>
      <c r="M893">
        <v>0.99969549999999996</v>
      </c>
      <c r="N893">
        <v>0</v>
      </c>
      <c r="O893">
        <v>-1.8616839999999999E-2</v>
      </c>
      <c r="P893">
        <v>0.96861240000000004</v>
      </c>
      <c r="Q893">
        <v>0.10415290000000001</v>
      </c>
      <c r="R893">
        <v>-0.2257045</v>
      </c>
      <c r="S893">
        <v>2.921783</v>
      </c>
      <c r="T893">
        <v>-0.31265559999999998</v>
      </c>
      <c r="U893">
        <v>-0.90249630000000003</v>
      </c>
      <c r="V893">
        <v>0.208483</v>
      </c>
      <c r="W893">
        <v>0.1184033</v>
      </c>
      <c r="X893">
        <v>0.97083229999999998</v>
      </c>
      <c r="Y893">
        <v>0.27594639999999998</v>
      </c>
      <c r="Z893">
        <v>-1.244922E-2</v>
      </c>
      <c r="AA893">
        <v>0.96109239999999996</v>
      </c>
      <c r="AB893">
        <v>41</v>
      </c>
      <c r="AC893">
        <v>9.92169999999998</v>
      </c>
      <c r="AD893">
        <v>-1.105994869224</v>
      </c>
      <c r="AE893">
        <v>-3.1838999999999902</v>
      </c>
      <c r="AF893">
        <v>2.9652073125001799</v>
      </c>
      <c r="AG893">
        <v>-1.105994869224</v>
      </c>
      <c r="AH893">
        <v>9.8680887862200493</v>
      </c>
      <c r="AI893">
        <v>96.126492478851205</v>
      </c>
      <c r="AJ893">
        <v>73.275293648223098</v>
      </c>
      <c r="AK893">
        <v>10.363148910904201</v>
      </c>
      <c r="AL893">
        <v>83.200038075496593</v>
      </c>
      <c r="AM893">
        <v>77.879994191904004</v>
      </c>
      <c r="AN893">
        <v>0.99999992873158705</v>
      </c>
    </row>
    <row r="894" spans="1:40" x14ac:dyDescent="0.25">
      <c r="A894" t="str">
        <f>"20190312164451214"</f>
        <v>20190312164451214</v>
      </c>
      <c r="B894" t="str">
        <f>"1552380291202445"</f>
        <v>1552380291202445</v>
      </c>
      <c r="C894" t="s">
        <v>40</v>
      </c>
      <c r="D894">
        <v>5.0411109999999999</v>
      </c>
      <c r="E894">
        <v>0.53760600000000003</v>
      </c>
      <c r="F894" t="s">
        <v>42</v>
      </c>
      <c r="G894">
        <v>-212.2774</v>
      </c>
      <c r="H894" s="1">
        <v>-4.2277579999999997E-6</v>
      </c>
      <c r="I894">
        <v>364.3596</v>
      </c>
      <c r="J894">
        <v>-222.56829999999999</v>
      </c>
      <c r="K894">
        <v>1.1058619999999999</v>
      </c>
      <c r="L894">
        <v>367.7242</v>
      </c>
      <c r="M894">
        <v>0.99963970000000002</v>
      </c>
      <c r="N894">
        <v>0</v>
      </c>
      <c r="O894">
        <v>-2.1575960000000002E-2</v>
      </c>
      <c r="P894">
        <v>0.96703890000000003</v>
      </c>
      <c r="Q894">
        <v>0.10519389999999899</v>
      </c>
      <c r="R894">
        <v>-0.2318837</v>
      </c>
      <c r="S894">
        <v>2.9150390000000002</v>
      </c>
      <c r="T894">
        <v>-0.30190790000000001</v>
      </c>
      <c r="U894">
        <v>-0.9210815</v>
      </c>
      <c r="V894">
        <v>0.21185889999999999</v>
      </c>
      <c r="W894">
        <v>0.119113</v>
      </c>
      <c r="X894">
        <v>0.97001440000000005</v>
      </c>
      <c r="Y894">
        <v>0.2793947</v>
      </c>
      <c r="Z894">
        <v>-1.191471E-2</v>
      </c>
      <c r="AA894">
        <v>0.96010240000000002</v>
      </c>
      <c r="AB894">
        <v>41</v>
      </c>
      <c r="AC894">
        <v>10.290899999999899</v>
      </c>
      <c r="AD894">
        <v>-1.105866227758</v>
      </c>
      <c r="AE894">
        <v>-3.36459999999999</v>
      </c>
      <c r="AF894">
        <v>3.10931403364002</v>
      </c>
      <c r="AG894">
        <v>-1.105866227758</v>
      </c>
      <c r="AH894">
        <v>10.2541304698956</v>
      </c>
      <c r="AI894">
        <v>95.892383274496396</v>
      </c>
      <c r="AJ894">
        <v>73.131357446948797</v>
      </c>
      <c r="AK894">
        <v>10.7720919772868</v>
      </c>
      <c r="AL894">
        <v>83.159086059041798</v>
      </c>
      <c r="AM894">
        <v>77.679614659558396</v>
      </c>
      <c r="AN894">
        <v>1.00000001824278</v>
      </c>
    </row>
    <row r="895" spans="1:40" x14ac:dyDescent="0.25">
      <c r="A895" t="str">
        <f>"20190312164451226"</f>
        <v>20190312164451226</v>
      </c>
      <c r="B895" t="str">
        <f>"1552380291222942"</f>
        <v>1552380291222942</v>
      </c>
      <c r="C895" t="s">
        <v>40</v>
      </c>
      <c r="D895">
        <v>5.0598589999999897</v>
      </c>
      <c r="E895">
        <v>0.5373483</v>
      </c>
      <c r="F895" t="s">
        <v>42</v>
      </c>
      <c r="G895">
        <v>-211.5806</v>
      </c>
      <c r="H895" s="1">
        <v>-4.5577469999999998E-6</v>
      </c>
      <c r="I895">
        <v>364.18439999999998</v>
      </c>
      <c r="J895">
        <v>-222.3261</v>
      </c>
      <c r="K895">
        <v>1.1057870000000001</v>
      </c>
      <c r="L895">
        <v>367.7176</v>
      </c>
      <c r="M895">
        <v>0.99959949999999997</v>
      </c>
      <c r="N895">
        <v>0</v>
      </c>
      <c r="O895">
        <v>-2.3458719999999999E-2</v>
      </c>
      <c r="P895">
        <v>0.96610459999999998</v>
      </c>
      <c r="Q895">
        <v>0.1060265</v>
      </c>
      <c r="R895">
        <v>-0.23537359999999999</v>
      </c>
      <c r="S895">
        <v>2.9093629999999999</v>
      </c>
      <c r="T895">
        <v>-0.29281430000000003</v>
      </c>
      <c r="U895">
        <v>-0.93725590000000003</v>
      </c>
      <c r="V895">
        <v>0.21356610000000001</v>
      </c>
      <c r="W895">
        <v>0.1197588</v>
      </c>
      <c r="X895">
        <v>0.96956039999999999</v>
      </c>
      <c r="Y895">
        <v>0.28303089999999997</v>
      </c>
      <c r="Z895">
        <v>-1.1563479999999999E-2</v>
      </c>
      <c r="AA895">
        <v>0.95904109999999998</v>
      </c>
      <c r="AB895">
        <v>41</v>
      </c>
      <c r="AC895">
        <v>10.7454999999999</v>
      </c>
      <c r="AD895">
        <v>-1.1057915577470001</v>
      </c>
      <c r="AE895">
        <v>-3.5332000000000199</v>
      </c>
      <c r="AF895">
        <v>3.2490697448451402</v>
      </c>
      <c r="AG895">
        <v>-1.1057915577470001</v>
      </c>
      <c r="AH895">
        <v>10.7229606011961</v>
      </c>
      <c r="AI895">
        <v>95.636423084676693</v>
      </c>
      <c r="AJ895">
        <v>73.143129387864093</v>
      </c>
      <c r="AK895">
        <v>11.258823794289301</v>
      </c>
      <c r="AL895">
        <v>83.121817612155098</v>
      </c>
      <c r="AM895">
        <v>77.577768533743495</v>
      </c>
      <c r="AN895">
        <v>1.0000000092474</v>
      </c>
    </row>
    <row r="896" spans="1:40" x14ac:dyDescent="0.25">
      <c r="A896" t="str">
        <f>"20190312164451238"</f>
        <v>20190312164451238</v>
      </c>
      <c r="B896" t="str">
        <f>"1552380291232701"</f>
        <v>1552380291232701</v>
      </c>
      <c r="C896" t="s">
        <v>40</v>
      </c>
      <c r="D896">
        <v>5.0505040000000001</v>
      </c>
      <c r="E896">
        <v>0.53698279999999998</v>
      </c>
      <c r="F896" t="s">
        <v>42</v>
      </c>
      <c r="G896">
        <v>-211.04640000000001</v>
      </c>
      <c r="H896" s="1">
        <v>-4.8117750000000002E-6</v>
      </c>
      <c r="I896">
        <v>364.0444</v>
      </c>
      <c r="J896">
        <v>-222.1207</v>
      </c>
      <c r="K896">
        <v>1.105731</v>
      </c>
      <c r="L896">
        <v>367.7115</v>
      </c>
      <c r="M896">
        <v>0.99956149999999999</v>
      </c>
      <c r="N896">
        <v>0</v>
      </c>
      <c r="O896">
        <v>-2.508376E-2</v>
      </c>
      <c r="P896">
        <v>0.96519889999999997</v>
      </c>
      <c r="Q896">
        <v>0.106632</v>
      </c>
      <c r="R896">
        <v>-0.23879030000000001</v>
      </c>
      <c r="S896">
        <v>2.9059599999999999</v>
      </c>
      <c r="T896">
        <v>-0.28488039999999998</v>
      </c>
      <c r="U896">
        <v>-0.94631960000000004</v>
      </c>
      <c r="V896">
        <v>0.21544640000000001</v>
      </c>
      <c r="W896">
        <v>0.12021320000000001</v>
      </c>
      <c r="X896">
        <v>0.96908810000000001</v>
      </c>
      <c r="Y896">
        <v>0.28456910000000002</v>
      </c>
      <c r="Z896">
        <v>-1.117754E-2</v>
      </c>
      <c r="AA896">
        <v>0.95859030000000001</v>
      </c>
      <c r="AB896">
        <v>41</v>
      </c>
      <c r="AC896">
        <v>11.0742999999999</v>
      </c>
      <c r="AD896">
        <v>-1.105735811775</v>
      </c>
      <c r="AE896">
        <v>-3.6671</v>
      </c>
      <c r="AF896">
        <v>3.3579575281120002</v>
      </c>
      <c r="AG896">
        <v>-1.105735811775</v>
      </c>
      <c r="AH896">
        <v>11.0634137754758</v>
      </c>
      <c r="AI896">
        <v>95.462985413195995</v>
      </c>
      <c r="AJ896">
        <v>73.115953489782299</v>
      </c>
      <c r="AK896">
        <v>11.614544967988801</v>
      </c>
      <c r="AL896">
        <v>83.095593270527004</v>
      </c>
      <c r="AM896">
        <v>77.465925129894103</v>
      </c>
      <c r="AN896">
        <v>1.0000000551443999</v>
      </c>
    </row>
    <row r="897" spans="1:40" x14ac:dyDescent="0.25">
      <c r="A897" t="str">
        <f>"20190312164451250"</f>
        <v>20190312164451250</v>
      </c>
      <c r="B897" t="str">
        <f>"1552380291242462"</f>
        <v>1552380291242462</v>
      </c>
      <c r="C897" t="s">
        <v>40</v>
      </c>
      <c r="D897">
        <v>5.3083609999999997</v>
      </c>
      <c r="E897">
        <v>0.53662480000000001</v>
      </c>
      <c r="F897" t="s">
        <v>42</v>
      </c>
      <c r="G897">
        <v>-210.8869</v>
      </c>
      <c r="H897" s="1">
        <v>-4.8837749999999997E-6</v>
      </c>
      <c r="I897">
        <v>364.02429999999998</v>
      </c>
      <c r="J897">
        <v>-221.9051</v>
      </c>
      <c r="K897">
        <v>1.1056699999999999</v>
      </c>
      <c r="L897">
        <v>367.70499999999998</v>
      </c>
      <c r="M897">
        <v>0.99951880000000004</v>
      </c>
      <c r="N897">
        <v>0</v>
      </c>
      <c r="O897">
        <v>-2.6797990000000001E-2</v>
      </c>
      <c r="P897">
        <v>0.96434240000000004</v>
      </c>
      <c r="Q897">
        <v>0.1071131</v>
      </c>
      <c r="R897">
        <v>-0.24201410000000001</v>
      </c>
      <c r="S897">
        <v>2.9039459999999999</v>
      </c>
      <c r="T897">
        <v>-0.28583199999999997</v>
      </c>
      <c r="U897">
        <v>-0.95315550000000004</v>
      </c>
      <c r="V897">
        <v>0.21704689999999999</v>
      </c>
      <c r="W897">
        <v>0.1205446</v>
      </c>
      <c r="X897">
        <v>0.96868960000000004</v>
      </c>
      <c r="Y897">
        <v>0.28515699999999999</v>
      </c>
      <c r="Z897">
        <v>-1.108257E-2</v>
      </c>
      <c r="AA897">
        <v>0.95841679999999996</v>
      </c>
      <c r="AB897">
        <v>41</v>
      </c>
      <c r="AC897">
        <v>11.0182</v>
      </c>
      <c r="AD897">
        <v>-1.1056748837749999</v>
      </c>
      <c r="AE897">
        <v>-3.6806999999999999</v>
      </c>
      <c r="AF897">
        <v>3.3536945503885698</v>
      </c>
      <c r="AG897">
        <v>-1.1056748837749999</v>
      </c>
      <c r="AH897">
        <v>11.013119938087501</v>
      </c>
      <c r="AI897">
        <v>95.485964735726299</v>
      </c>
      <c r="AJ897">
        <v>73.063557533557798</v>
      </c>
      <c r="AK897">
        <v>11.5654050883061</v>
      </c>
      <c r="AL897">
        <v>83.076465623016702</v>
      </c>
      <c r="AM897">
        <v>77.370759667395006</v>
      </c>
      <c r="AN897">
        <v>0.99999994926846303</v>
      </c>
    </row>
    <row r="898" spans="1:40" x14ac:dyDescent="0.25">
      <c r="A898" t="str">
        <f>"20190312164451261"</f>
        <v>20190312164451261</v>
      </c>
      <c r="B898" t="str">
        <f>"1552380291252222"</f>
        <v>1552380291252222</v>
      </c>
      <c r="C898" t="s">
        <v>40</v>
      </c>
      <c r="D898">
        <v>5.3330289999999998</v>
      </c>
      <c r="E898">
        <v>0.53598080000000003</v>
      </c>
      <c r="F898" t="s">
        <v>42</v>
      </c>
      <c r="G898">
        <v>-210.70400000000001</v>
      </c>
      <c r="H898" s="1">
        <v>-4.9664189999999999E-6</v>
      </c>
      <c r="I898">
        <v>364.00069999999999</v>
      </c>
      <c r="J898">
        <v>-221.6902</v>
      </c>
      <c r="K898">
        <v>1.1056090000000001</v>
      </c>
      <c r="L898">
        <v>367.69779999999997</v>
      </c>
      <c r="M898">
        <v>0.99947189999999997</v>
      </c>
      <c r="N898">
        <v>0</v>
      </c>
      <c r="O898">
        <v>-2.8538939999999999E-2</v>
      </c>
      <c r="P898">
        <v>0.9634258</v>
      </c>
      <c r="Q898">
        <v>0.1074242</v>
      </c>
      <c r="R898">
        <v>-0.24550140000000001</v>
      </c>
      <c r="S898">
        <v>2.9018860000000002</v>
      </c>
      <c r="T898">
        <v>-0.28644609999999998</v>
      </c>
      <c r="U898">
        <v>-0.95965579999999995</v>
      </c>
      <c r="V898">
        <v>0.21888650000000001</v>
      </c>
      <c r="W898">
        <v>0.1207164</v>
      </c>
      <c r="X898">
        <v>0.96825419999999995</v>
      </c>
      <c r="Y898">
        <v>0.28562650000000001</v>
      </c>
      <c r="Z898">
        <v>-1.0965880000000001E-2</v>
      </c>
      <c r="AA898">
        <v>0.95827830000000003</v>
      </c>
      <c r="AB898">
        <v>41</v>
      </c>
      <c r="AC898">
        <v>10.986199999999901</v>
      </c>
      <c r="AD898">
        <v>-1.1056139664189999</v>
      </c>
      <c r="AE898">
        <v>-3.6970999999999701</v>
      </c>
      <c r="AF898">
        <v>3.3515309402742699</v>
      </c>
      <c r="AG898">
        <v>-1.1056139664189999</v>
      </c>
      <c r="AH898">
        <v>10.987291583384</v>
      </c>
      <c r="AI898">
        <v>95.497690029715201</v>
      </c>
      <c r="AJ898">
        <v>73.036352335176304</v>
      </c>
      <c r="AK898">
        <v>11.5401784312313</v>
      </c>
      <c r="AL898">
        <v>83.066549958655401</v>
      </c>
      <c r="AM898">
        <v>77.261656213403498</v>
      </c>
      <c r="AN898">
        <v>0.99999997246442396</v>
      </c>
    </row>
    <row r="899" spans="1:40" x14ac:dyDescent="0.25">
      <c r="A899" t="str">
        <f>"20190312164451272"</f>
        <v>20190312164451272</v>
      </c>
      <c r="B899" t="str">
        <f>"1552380291261982"</f>
        <v>1552380291261982</v>
      </c>
      <c r="C899" t="s">
        <v>40</v>
      </c>
      <c r="D899">
        <v>5.097594</v>
      </c>
      <c r="E899">
        <v>0.53564540000000005</v>
      </c>
      <c r="F899" t="s">
        <v>42</v>
      </c>
      <c r="G899">
        <v>-210.54640000000001</v>
      </c>
      <c r="H899" s="1">
        <v>-5.0359179999999996E-6</v>
      </c>
      <c r="I899">
        <v>363.99</v>
      </c>
      <c r="J899">
        <v>-221.48480000000001</v>
      </c>
      <c r="K899">
        <v>1.1055539999999999</v>
      </c>
      <c r="L899">
        <v>367.69080000000002</v>
      </c>
      <c r="M899">
        <v>0.99942410000000004</v>
      </c>
      <c r="N899">
        <v>0</v>
      </c>
      <c r="O899">
        <v>-3.0212869999999999E-2</v>
      </c>
      <c r="P899">
        <v>0.96254430000000002</v>
      </c>
      <c r="Q899">
        <v>0.1076145</v>
      </c>
      <c r="R899">
        <v>-0.24885350000000001</v>
      </c>
      <c r="S899">
        <v>2.9000849999999998</v>
      </c>
      <c r="T899">
        <v>-0.28772490000000001</v>
      </c>
      <c r="U899">
        <v>-0.96493530000000005</v>
      </c>
      <c r="V899">
        <v>0.22065480000000001</v>
      </c>
      <c r="W899">
        <v>0.1207775</v>
      </c>
      <c r="X899">
        <v>0.96784510000000001</v>
      </c>
      <c r="Y899">
        <v>0.2857672</v>
      </c>
      <c r="Z899">
        <v>-1.0863889999999999E-2</v>
      </c>
      <c r="AA899">
        <v>0.95823749999999996</v>
      </c>
      <c r="AB899">
        <v>41</v>
      </c>
      <c r="AC899">
        <v>10.9384</v>
      </c>
      <c r="AD899">
        <v>-1.1055590359180001</v>
      </c>
      <c r="AE899">
        <v>-3.7008000000000099</v>
      </c>
      <c r="AF899">
        <v>3.3379935607895401</v>
      </c>
      <c r="AG899">
        <v>-1.1055590359180001</v>
      </c>
      <c r="AH899">
        <v>10.9449073509281</v>
      </c>
      <c r="AI899">
        <v>95.518661288372002</v>
      </c>
      <c r="AJ899">
        <v>73.039267233271403</v>
      </c>
      <c r="AK899">
        <v>11.495888774434601</v>
      </c>
      <c r="AL899">
        <v>83.063023167276299</v>
      </c>
      <c r="AM899">
        <v>77.156898395974807</v>
      </c>
      <c r="AN899">
        <v>0.99999994143164805</v>
      </c>
    </row>
    <row r="900" spans="1:40" x14ac:dyDescent="0.25">
      <c r="A900" t="str">
        <f>"20190312164451285"</f>
        <v>20190312164451285</v>
      </c>
      <c r="B900" t="str">
        <f>"1552380291282478"</f>
        <v>1552380291282478</v>
      </c>
      <c r="C900" t="s">
        <v>40</v>
      </c>
      <c r="D900">
        <v>5.2684759999999997</v>
      </c>
      <c r="E900">
        <v>0.53519240000000001</v>
      </c>
      <c r="F900" t="s">
        <v>42</v>
      </c>
      <c r="G900">
        <v>-210.416</v>
      </c>
      <c r="H900" s="1">
        <v>-5.0934750000000004E-6</v>
      </c>
      <c r="I900">
        <v>363.98079999999999</v>
      </c>
      <c r="J900">
        <v>-221.25559999999999</v>
      </c>
      <c r="K900">
        <v>1.1054949999999999</v>
      </c>
      <c r="L900">
        <v>367.6825</v>
      </c>
      <c r="M900">
        <v>0.99936650000000005</v>
      </c>
      <c r="N900">
        <v>0</v>
      </c>
      <c r="O900">
        <v>-3.2100690000000001E-2</v>
      </c>
      <c r="P900">
        <v>0.96152729999999997</v>
      </c>
      <c r="Q900">
        <v>0.10798439999999999</v>
      </c>
      <c r="R900">
        <v>-0.2525963</v>
      </c>
      <c r="S900">
        <v>2.897964</v>
      </c>
      <c r="T900">
        <v>-0.28944920000000002</v>
      </c>
      <c r="U900">
        <v>-0.97131350000000005</v>
      </c>
      <c r="V900">
        <v>0.22261449999999999</v>
      </c>
      <c r="W900">
        <v>0.1210128</v>
      </c>
      <c r="X900">
        <v>0.96736690000000003</v>
      </c>
      <c r="Y900">
        <v>0.28605819999999998</v>
      </c>
      <c r="Z900">
        <v>-1.07641E-2</v>
      </c>
      <c r="AA900">
        <v>0.9581518</v>
      </c>
      <c r="AB900">
        <v>41</v>
      </c>
      <c r="AC900">
        <v>10.8395999999999</v>
      </c>
      <c r="AD900">
        <v>-1.1055000934749999</v>
      </c>
      <c r="AE900">
        <v>-3.70170000000001</v>
      </c>
      <c r="AF900">
        <v>3.3208581394916799</v>
      </c>
      <c r="AG900">
        <v>-1.1055000934749999</v>
      </c>
      <c r="AH900">
        <v>10.851768735643301</v>
      </c>
      <c r="AI900">
        <v>95.563831166875502</v>
      </c>
      <c r="AJ900">
        <v>72.984842117054697</v>
      </c>
      <c r="AK900">
        <v>11.402241618698801</v>
      </c>
      <c r="AL900">
        <v>83.049442377335694</v>
      </c>
      <c r="AM900">
        <v>77.040478975183902</v>
      </c>
      <c r="AN900">
        <v>1.0000000162948499</v>
      </c>
    </row>
    <row r="901" spans="1:40" x14ac:dyDescent="0.25">
      <c r="A901" t="str">
        <f>"20190312164451298"</f>
        <v>20190312164451298</v>
      </c>
      <c r="B901" t="str">
        <f>"1552380291292238"</f>
        <v>1552380291292238</v>
      </c>
      <c r="C901" t="s">
        <v>40</v>
      </c>
      <c r="D901">
        <v>5.27271</v>
      </c>
      <c r="E901">
        <v>0.53505499999999995</v>
      </c>
      <c r="F901" t="s">
        <v>42</v>
      </c>
      <c r="G901">
        <v>-210.02889999999999</v>
      </c>
      <c r="H901" s="1">
        <v>-5.276386E-6</v>
      </c>
      <c r="I901">
        <v>363.88580000000002</v>
      </c>
      <c r="J901">
        <v>-221.0249</v>
      </c>
      <c r="K901">
        <v>1.105445</v>
      </c>
      <c r="L901">
        <v>367.67360000000002</v>
      </c>
      <c r="M901">
        <v>0.99930419999999998</v>
      </c>
      <c r="N901">
        <v>0</v>
      </c>
      <c r="O901">
        <v>-3.401709E-2</v>
      </c>
      <c r="P901">
        <v>0.96061490000000005</v>
      </c>
      <c r="Q901">
        <v>0.1079007</v>
      </c>
      <c r="R901">
        <v>-0.25607809999999998</v>
      </c>
      <c r="S901">
        <v>2.8948670000000001</v>
      </c>
      <c r="T901">
        <v>-0.28505809999999998</v>
      </c>
      <c r="U901">
        <v>-0.97897339999999999</v>
      </c>
      <c r="V901">
        <v>0.2242799</v>
      </c>
      <c r="W901">
        <v>0.12080730000000001</v>
      </c>
      <c r="X901">
        <v>0.96700779999999997</v>
      </c>
      <c r="Y901">
        <v>0.28684510000000002</v>
      </c>
      <c r="Z901">
        <v>-1.0462920000000001E-2</v>
      </c>
      <c r="AA901">
        <v>0.95791979999999999</v>
      </c>
      <c r="AB901">
        <v>41</v>
      </c>
      <c r="AC901">
        <v>10.996</v>
      </c>
      <c r="AD901">
        <v>-1.1054502763859999</v>
      </c>
      <c r="AE901">
        <v>-3.7877999999999998</v>
      </c>
      <c r="AF901">
        <v>3.3809658108955301</v>
      </c>
      <c r="AG901">
        <v>-1.1054502763859999</v>
      </c>
      <c r="AH901">
        <v>11.0189473819642</v>
      </c>
      <c r="AI901">
        <v>95.478450739450196</v>
      </c>
      <c r="AJ901">
        <v>72.9423101186362</v>
      </c>
      <c r="AK901">
        <v>11.5788665911004</v>
      </c>
      <c r="AL901">
        <v>83.061303436461401</v>
      </c>
      <c r="AM901">
        <v>76.942154697773404</v>
      </c>
      <c r="AN901">
        <v>0.99999998126906897</v>
      </c>
    </row>
    <row r="902" spans="1:40" x14ac:dyDescent="0.25">
      <c r="A902" t="str">
        <f>"20190312164451310"</f>
        <v>20190312164451310</v>
      </c>
      <c r="B902" t="str">
        <f>"1552380291301998"</f>
        <v>1552380291301998</v>
      </c>
      <c r="C902" t="s">
        <v>40</v>
      </c>
      <c r="D902">
        <v>5.3592629999999897</v>
      </c>
      <c r="E902">
        <v>0.53496739999999998</v>
      </c>
      <c r="F902" t="s">
        <v>45</v>
      </c>
      <c r="G902">
        <v>-209.7653</v>
      </c>
      <c r="H902" s="1">
        <v>-6.1106600000000004E-6</v>
      </c>
      <c r="I902">
        <v>363.82749999999999</v>
      </c>
      <c r="J902">
        <v>-220.797</v>
      </c>
      <c r="K902">
        <v>1.1053980000000001</v>
      </c>
      <c r="L902">
        <v>367.66449999999998</v>
      </c>
      <c r="M902">
        <v>0.99923890000000004</v>
      </c>
      <c r="N902">
        <v>0</v>
      </c>
      <c r="O902">
        <v>-3.5919619999999999E-2</v>
      </c>
      <c r="P902">
        <v>0.95965180000000005</v>
      </c>
      <c r="Q902">
        <v>0.1076421</v>
      </c>
      <c r="R902">
        <v>-0.25977210000000001</v>
      </c>
      <c r="S902">
        <v>2.8915860000000002</v>
      </c>
      <c r="T902">
        <v>-0.28389059999999999</v>
      </c>
      <c r="U902">
        <v>-0.98770139999999995</v>
      </c>
      <c r="V902">
        <v>0.22617190000000001</v>
      </c>
      <c r="W902">
        <v>0.1204301</v>
      </c>
      <c r="X902">
        <v>0.96661410000000003</v>
      </c>
      <c r="Y902">
        <v>0.28795460000000001</v>
      </c>
      <c r="Z902">
        <v>-1.0298750000000001E-2</v>
      </c>
      <c r="AA902">
        <v>0.95758869999999896</v>
      </c>
      <c r="AB902">
        <v>41</v>
      </c>
      <c r="AC902">
        <v>11.031700000000001</v>
      </c>
      <c r="AD902">
        <v>-1.1054041106600001</v>
      </c>
      <c r="AE902">
        <v>-3.8369999999999802</v>
      </c>
      <c r="AF902">
        <v>3.4077003537812498</v>
      </c>
      <c r="AG902">
        <v>-1.1054041106600001</v>
      </c>
      <c r="AH902">
        <v>11.063325086006399</v>
      </c>
      <c r="AI902">
        <v>95.454575772914893</v>
      </c>
      <c r="AJ902">
        <v>72.880239480562594</v>
      </c>
      <c r="AK902">
        <v>11.6289080273121</v>
      </c>
      <c r="AL902">
        <v>83.083074332527005</v>
      </c>
      <c r="AM902">
        <v>76.830645993084005</v>
      </c>
      <c r="AN902">
        <v>0.99999997782721395</v>
      </c>
    </row>
    <row r="903" spans="1:40" x14ac:dyDescent="0.25">
      <c r="A903" t="str">
        <f>"20190312164451324"</f>
        <v>20190312164451324</v>
      </c>
      <c r="B903" t="str">
        <f>"1552380291322494"</f>
        <v>1552380291322494</v>
      </c>
      <c r="C903" t="s">
        <v>40</v>
      </c>
      <c r="D903">
        <v>5.1934490000000002</v>
      </c>
      <c r="E903">
        <v>0.53470410000000002</v>
      </c>
      <c r="F903" t="s">
        <v>45</v>
      </c>
      <c r="G903">
        <v>-209.5308</v>
      </c>
      <c r="H903" s="1">
        <v>-6.0406320000000003E-6</v>
      </c>
      <c r="I903">
        <v>363.77330000000001</v>
      </c>
      <c r="J903">
        <v>-220.5241</v>
      </c>
      <c r="K903">
        <v>1.105342</v>
      </c>
      <c r="L903">
        <v>367.65280000000001</v>
      </c>
      <c r="M903">
        <v>0.99915480000000001</v>
      </c>
      <c r="N903">
        <v>0</v>
      </c>
      <c r="O903">
        <v>-3.8215279999999997E-2</v>
      </c>
      <c r="P903">
        <v>0.95830769999999998</v>
      </c>
      <c r="Q903">
        <v>0.1068455</v>
      </c>
      <c r="R903">
        <v>-0.26501039999999998</v>
      </c>
      <c r="S903">
        <v>2.8879239999999999</v>
      </c>
      <c r="T903">
        <v>-0.28335389999999999</v>
      </c>
      <c r="U903">
        <v>-0.99743649999999995</v>
      </c>
      <c r="V903">
        <v>0.22923850000000001</v>
      </c>
      <c r="W903">
        <v>0.11949559999999999</v>
      </c>
      <c r="X903">
        <v>0.96600750000000002</v>
      </c>
      <c r="Y903">
        <v>0.289022</v>
      </c>
      <c r="Z903">
        <v>-1.0119380000000001E-2</v>
      </c>
      <c r="AA903">
        <v>0.95726900000000004</v>
      </c>
      <c r="AB903">
        <v>41</v>
      </c>
      <c r="AC903">
        <v>10.9933</v>
      </c>
      <c r="AD903">
        <v>-1.105348040632</v>
      </c>
      <c r="AE903">
        <v>-3.8795000000000002</v>
      </c>
      <c r="AF903">
        <v>3.4257075451410501</v>
      </c>
      <c r="AG903">
        <v>-1.105348040632</v>
      </c>
      <c r="AH903">
        <v>11.0343403168684</v>
      </c>
      <c r="AI903">
        <v>95.464797712922007</v>
      </c>
      <c r="AJ903">
        <v>72.752586751810099</v>
      </c>
      <c r="AK903">
        <v>11.6066331338693</v>
      </c>
      <c r="AL903">
        <v>83.137006799169001</v>
      </c>
      <c r="AM903">
        <v>76.650353071220707</v>
      </c>
      <c r="AN903">
        <v>0.99999998917892996</v>
      </c>
    </row>
    <row r="904" spans="1:40" x14ac:dyDescent="0.25">
      <c r="A904" t="str">
        <f>"20190312164451337"</f>
        <v>20190312164451337</v>
      </c>
      <c r="B904" t="str">
        <f>"1552380291332253"</f>
        <v>1552380291332253</v>
      </c>
      <c r="C904" t="s">
        <v>40</v>
      </c>
      <c r="D904">
        <v>5.144641</v>
      </c>
      <c r="E904">
        <v>0.53447239999999996</v>
      </c>
      <c r="F904" t="s">
        <v>45</v>
      </c>
      <c r="G904">
        <v>-209.27950000000001</v>
      </c>
      <c r="H904" s="1">
        <v>-5.9664619999999998E-6</v>
      </c>
      <c r="I904">
        <v>363.7097</v>
      </c>
      <c r="J904">
        <v>-220.31460000000001</v>
      </c>
      <c r="K904">
        <v>1.1053059999999999</v>
      </c>
      <c r="L904">
        <v>367.64339999999999</v>
      </c>
      <c r="M904">
        <v>0.99908629999999998</v>
      </c>
      <c r="N904">
        <v>0</v>
      </c>
      <c r="O904">
        <v>-3.9986010000000002E-2</v>
      </c>
      <c r="P904">
        <v>0.9575842</v>
      </c>
      <c r="Q904">
        <v>0.106146</v>
      </c>
      <c r="R904">
        <v>-0.2678914</v>
      </c>
      <c r="S904">
        <v>2.882568</v>
      </c>
      <c r="T904">
        <v>-0.28335739999999998</v>
      </c>
      <c r="U904">
        <v>-1.010834</v>
      </c>
      <c r="V904">
        <v>0.23043330000000001</v>
      </c>
      <c r="W904">
        <v>0.1187111</v>
      </c>
      <c r="X904">
        <v>0.96582000000000001</v>
      </c>
      <c r="Y904">
        <v>0.29183490000000001</v>
      </c>
      <c r="Z904">
        <v>-1.0095750000000001E-2</v>
      </c>
      <c r="AA904">
        <v>0.95641540000000003</v>
      </c>
      <c r="AB904">
        <v>41</v>
      </c>
      <c r="AC904">
        <v>11.0351</v>
      </c>
      <c r="AD904">
        <v>-1.1053119664619999</v>
      </c>
      <c r="AE904">
        <v>-3.93369999999998</v>
      </c>
      <c r="AF904">
        <v>3.4584676902432601</v>
      </c>
      <c r="AG904">
        <v>-1.1053119664619999</v>
      </c>
      <c r="AH904">
        <v>11.0849105698173</v>
      </c>
      <c r="AI904">
        <v>95.437479500282507</v>
      </c>
      <c r="AJ904">
        <v>72.672193189420796</v>
      </c>
      <c r="AK904">
        <v>11.6643883529531</v>
      </c>
      <c r="AL904">
        <v>83.182278011913994</v>
      </c>
      <c r="AM904">
        <v>76.580773342833595</v>
      </c>
      <c r="AN904">
        <v>1.0000000517060399</v>
      </c>
    </row>
    <row r="905" spans="1:40" x14ac:dyDescent="0.25">
      <c r="A905" t="str">
        <f>"20190312164451347"</f>
        <v>20190312164451347</v>
      </c>
      <c r="B905" t="str">
        <f>"1552380291342013"</f>
        <v>1552380291342013</v>
      </c>
      <c r="C905" t="s">
        <v>40</v>
      </c>
      <c r="D905">
        <v>5.1642570000000001</v>
      </c>
      <c r="E905">
        <v>0.5342228</v>
      </c>
      <c r="F905" t="s">
        <v>45</v>
      </c>
      <c r="G905">
        <v>-209.10249999999999</v>
      </c>
      <c r="H905" s="1">
        <v>-5.9116829999999998E-6</v>
      </c>
      <c r="I905">
        <v>363.68090000000001</v>
      </c>
      <c r="J905">
        <v>-220.09739999999999</v>
      </c>
      <c r="K905">
        <v>1.1052679999999999</v>
      </c>
      <c r="L905">
        <v>367.63350000000003</v>
      </c>
      <c r="M905">
        <v>0.99901189999999995</v>
      </c>
      <c r="N905">
        <v>0</v>
      </c>
      <c r="O905">
        <v>-4.1824899999999998E-2</v>
      </c>
      <c r="P905">
        <v>0.95678319999999994</v>
      </c>
      <c r="Q905">
        <v>0.10539179999999999</v>
      </c>
      <c r="R905">
        <v>-0.27103270000000002</v>
      </c>
      <c r="S905">
        <v>2.8796539999999999</v>
      </c>
      <c r="T905">
        <v>-0.28388190000000002</v>
      </c>
      <c r="U905">
        <v>-1.0177</v>
      </c>
      <c r="V905">
        <v>0.2318259</v>
      </c>
      <c r="W905">
        <v>0.11787060000000001</v>
      </c>
      <c r="X905">
        <v>0.96558960000000005</v>
      </c>
      <c r="Y905">
        <v>0.29240670000000002</v>
      </c>
      <c r="Z905">
        <v>-9.9725920000000006E-3</v>
      </c>
      <c r="AA905">
        <v>0.95624209999999998</v>
      </c>
      <c r="AB905">
        <v>41</v>
      </c>
      <c r="AC905">
        <v>10.994899999999999</v>
      </c>
      <c r="AD905">
        <v>-1.1052739116829999</v>
      </c>
      <c r="AE905">
        <v>-3.9526000000000101</v>
      </c>
      <c r="AF905">
        <v>3.4582799648322902</v>
      </c>
      <c r="AG905">
        <v>-1.1052739116829999</v>
      </c>
      <c r="AH905">
        <v>11.0517112512893</v>
      </c>
      <c r="AI905">
        <v>95.452108868610495</v>
      </c>
      <c r="AJ905">
        <v>72.624156320415395</v>
      </c>
      <c r="AK905">
        <v>11.6327835154309</v>
      </c>
      <c r="AL905">
        <v>83.230775270480706</v>
      </c>
      <c r="AM905">
        <v>76.499531698750303</v>
      </c>
      <c r="AN905">
        <v>1.0000000009416601</v>
      </c>
    </row>
    <row r="906" spans="1:40" x14ac:dyDescent="0.25">
      <c r="A906" t="str">
        <f>"20190312164451359"</f>
        <v>20190312164451359</v>
      </c>
      <c r="B906" t="str">
        <f>"1552380291352750"</f>
        <v>1552380291352750</v>
      </c>
      <c r="C906" t="s">
        <v>40</v>
      </c>
      <c r="D906">
        <v>5.2361750000000002</v>
      </c>
      <c r="E906">
        <v>0.5340028</v>
      </c>
      <c r="F906" t="s">
        <v>45</v>
      </c>
      <c r="G906">
        <v>-209.041</v>
      </c>
      <c r="H906" s="1">
        <v>-5.8891040000000002E-6</v>
      </c>
      <c r="I906">
        <v>363.69369999999998</v>
      </c>
      <c r="J906">
        <v>-219.8991</v>
      </c>
      <c r="K906">
        <v>1.10524</v>
      </c>
      <c r="L906">
        <v>367.62380000000002</v>
      </c>
      <c r="M906">
        <v>0.99894059999999996</v>
      </c>
      <c r="N906">
        <v>0</v>
      </c>
      <c r="O906">
        <v>-4.351228E-2</v>
      </c>
      <c r="P906">
        <v>0.95599509999999999</v>
      </c>
      <c r="Q906">
        <v>0.1044783</v>
      </c>
      <c r="R906">
        <v>-0.27415020000000001</v>
      </c>
      <c r="S906">
        <v>2.8768009999999999</v>
      </c>
      <c r="T906">
        <v>-0.2875839</v>
      </c>
      <c r="U906">
        <v>-1.0251159999999999</v>
      </c>
      <c r="V906">
        <v>0.23333860000000001</v>
      </c>
      <c r="W906">
        <v>0.11688419999999999</v>
      </c>
      <c r="X906">
        <v>0.96534509999999996</v>
      </c>
      <c r="Y906">
        <v>0.29325370000000001</v>
      </c>
      <c r="Z906">
        <v>-9.9857190000000005E-3</v>
      </c>
      <c r="AA906">
        <v>0.95598249999999996</v>
      </c>
      <c r="AB906">
        <v>41</v>
      </c>
      <c r="AC906">
        <v>10.8581</v>
      </c>
      <c r="AD906">
        <v>-1.105245889104</v>
      </c>
      <c r="AE906">
        <v>-3.9301000000000301</v>
      </c>
      <c r="AF906">
        <v>3.4225095295267001</v>
      </c>
      <c r="AG906">
        <v>-1.105245889104</v>
      </c>
      <c r="AH906">
        <v>10.918813132841301</v>
      </c>
      <c r="AI906">
        <v>95.517089910672496</v>
      </c>
      <c r="AJ906">
        <v>72.596364320201801</v>
      </c>
      <c r="AK906">
        <v>11.495895797413599</v>
      </c>
      <c r="AL906">
        <v>83.287685154697499</v>
      </c>
      <c r="AM906">
        <v>76.411380606469194</v>
      </c>
      <c r="AN906">
        <v>0.99999999027680497</v>
      </c>
    </row>
    <row r="907" spans="1:40" x14ac:dyDescent="0.25">
      <c r="A907" t="str">
        <f>"20190312164451370"</f>
        <v>20190312164451370</v>
      </c>
      <c r="B907" t="str">
        <f>"1552380291362510"</f>
        <v>1552380291362510</v>
      </c>
      <c r="C907" t="s">
        <v>40</v>
      </c>
      <c r="D907">
        <v>5.2118399999999996</v>
      </c>
      <c r="E907">
        <v>0.53385340000000003</v>
      </c>
      <c r="F907" t="s">
        <v>45</v>
      </c>
      <c r="G907">
        <v>-209.03389999999999</v>
      </c>
      <c r="H907" s="1">
        <v>-5.8822369999999997E-6</v>
      </c>
      <c r="I907">
        <v>363.72250000000003</v>
      </c>
      <c r="J907">
        <v>-219.70429999999999</v>
      </c>
      <c r="K907">
        <v>1.1052120000000001</v>
      </c>
      <c r="L907">
        <v>367.61419999999998</v>
      </c>
      <c r="M907">
        <v>0.99886770000000003</v>
      </c>
      <c r="N907">
        <v>0</v>
      </c>
      <c r="O907">
        <v>-4.516974E-2</v>
      </c>
      <c r="P907">
        <v>0.95513789999999998</v>
      </c>
      <c r="Q907">
        <v>0.10364379999999999</v>
      </c>
      <c r="R907">
        <v>-0.27743410000000002</v>
      </c>
      <c r="S907">
        <v>2.8740999999999999</v>
      </c>
      <c r="T907">
        <v>-0.29236420000000002</v>
      </c>
      <c r="U907">
        <v>-1.031982</v>
      </c>
      <c r="V907">
        <v>0.2350515</v>
      </c>
      <c r="W907">
        <v>0.11597590000000001</v>
      </c>
      <c r="X907">
        <v>0.96503910000000004</v>
      </c>
      <c r="Y907">
        <v>0.29394340000000002</v>
      </c>
      <c r="Z907">
        <v>-1.002756E-2</v>
      </c>
      <c r="AA907">
        <v>0.95577020000000001</v>
      </c>
      <c r="AB907">
        <v>41</v>
      </c>
      <c r="AC907">
        <v>10.670400000000001</v>
      </c>
      <c r="AD907">
        <v>-1.105217882237</v>
      </c>
      <c r="AE907">
        <v>-3.89169999999995</v>
      </c>
      <c r="AF907">
        <v>3.37374852605361</v>
      </c>
      <c r="AG907">
        <v>-1.105217882237</v>
      </c>
      <c r="AH907">
        <v>10.7336777760876</v>
      </c>
      <c r="AI907">
        <v>95.610129847913498</v>
      </c>
      <c r="AJ907">
        <v>72.551320451792606</v>
      </c>
      <c r="AK907">
        <v>11.3055528075871</v>
      </c>
      <c r="AL907">
        <v>83.340083616692198</v>
      </c>
      <c r="AM907">
        <v>76.311190512843993</v>
      </c>
      <c r="AN907">
        <v>1.00000004078093</v>
      </c>
    </row>
    <row r="908" spans="1:40" x14ac:dyDescent="0.25">
      <c r="A908" t="str">
        <f>"20190312164451383"</f>
        <v>20190312164451383</v>
      </c>
      <c r="B908" t="str">
        <f>"1552380291372270"</f>
        <v>1552380291372270</v>
      </c>
      <c r="C908" t="s">
        <v>40</v>
      </c>
      <c r="D908">
        <v>5.169467</v>
      </c>
      <c r="E908">
        <v>0.53360969999999996</v>
      </c>
      <c r="F908" t="s">
        <v>45</v>
      </c>
      <c r="G908">
        <v>-209.0128</v>
      </c>
      <c r="H908" s="1">
        <v>-5.8723849999999997E-6</v>
      </c>
      <c r="I908">
        <v>363.74029999999999</v>
      </c>
      <c r="J908">
        <v>-219.4727</v>
      </c>
      <c r="K908">
        <v>1.1051799999999901</v>
      </c>
      <c r="L908">
        <v>367.60219999999998</v>
      </c>
      <c r="M908">
        <v>0.99877689999999997</v>
      </c>
      <c r="N908">
        <v>0</v>
      </c>
      <c r="O908">
        <v>-4.7146260000000002E-2</v>
      </c>
      <c r="P908">
        <v>0.95416000000000001</v>
      </c>
      <c r="Q908">
        <v>0.10312590000000001</v>
      </c>
      <c r="R908">
        <v>-0.28096959999999999</v>
      </c>
      <c r="S908">
        <v>2.870987</v>
      </c>
      <c r="T908">
        <v>-0.29678179999999998</v>
      </c>
      <c r="U908">
        <v>-1.0402530000000001</v>
      </c>
      <c r="V908">
        <v>0.2367165</v>
      </c>
      <c r="W908">
        <v>0.1153819</v>
      </c>
      <c r="X908">
        <v>0.96470319999999998</v>
      </c>
      <c r="Y908">
        <v>0.2947883</v>
      </c>
      <c r="Z908">
        <v>-1.002957E-2</v>
      </c>
      <c r="AA908">
        <v>0.95550999999999997</v>
      </c>
      <c r="AB908">
        <v>41</v>
      </c>
      <c r="AC908">
        <v>10.459899999999999</v>
      </c>
      <c r="AD908">
        <v>-1.1051858723850001</v>
      </c>
      <c r="AE908">
        <v>-3.8618999999999901</v>
      </c>
      <c r="AF908">
        <v>3.3316722388906101</v>
      </c>
      <c r="AG908">
        <v>-1.1051858723850001</v>
      </c>
      <c r="AH908">
        <v>10.526937005009801</v>
      </c>
      <c r="AI908">
        <v>95.715875082233694</v>
      </c>
      <c r="AJ908">
        <v>72.437931787480807</v>
      </c>
      <c r="AK908">
        <v>11.096750804958999</v>
      </c>
      <c r="AL908">
        <v>83.374346889346896</v>
      </c>
      <c r="AM908">
        <v>76.213294440760293</v>
      </c>
      <c r="AN908">
        <v>0.99999997415504904</v>
      </c>
    </row>
    <row r="909" spans="1:40" x14ac:dyDescent="0.25">
      <c r="A909" t="str">
        <f>"20190312164451397"</f>
        <v>20190312164451397</v>
      </c>
      <c r="B909" t="str">
        <f>"1552380291392765"</f>
        <v>1552380291392765</v>
      </c>
      <c r="C909" t="s">
        <v>40</v>
      </c>
      <c r="D909">
        <v>5.2534859999999997</v>
      </c>
      <c r="E909">
        <v>0.53337060000000003</v>
      </c>
      <c r="F909" t="s">
        <v>45</v>
      </c>
      <c r="G909">
        <v>-208.887</v>
      </c>
      <c r="H909" s="1">
        <v>-5.831486E-6</v>
      </c>
      <c r="I909">
        <v>363.73259999999999</v>
      </c>
      <c r="J909">
        <v>-219.2132</v>
      </c>
      <c r="K909">
        <v>1.1051500000000001</v>
      </c>
      <c r="L909">
        <v>367.58819999999997</v>
      </c>
      <c r="M909">
        <v>0.99867059999999996</v>
      </c>
      <c r="N909">
        <v>0</v>
      </c>
      <c r="O909">
        <v>-4.9363789999999998E-2</v>
      </c>
      <c r="P909">
        <v>0.95307850000000005</v>
      </c>
      <c r="Q909">
        <v>0.1026509</v>
      </c>
      <c r="R909">
        <v>-0.28478829999999999</v>
      </c>
      <c r="S909">
        <v>2.8677980000000001</v>
      </c>
      <c r="T909">
        <v>-0.29940830000000002</v>
      </c>
      <c r="U909">
        <v>-1.0483089999999999</v>
      </c>
      <c r="V909">
        <v>0.23843900000000001</v>
      </c>
      <c r="W909">
        <v>0.11482829999999999</v>
      </c>
      <c r="X909">
        <v>0.96434500000000001</v>
      </c>
      <c r="Y909">
        <v>0.29536420000000002</v>
      </c>
      <c r="Z909">
        <v>-9.9302920000000003E-3</v>
      </c>
      <c r="AA909">
        <v>0.95533310000000005</v>
      </c>
      <c r="AB909">
        <v>41</v>
      </c>
      <c r="AC909">
        <v>10.3262</v>
      </c>
      <c r="AD909">
        <v>-1.1051558314859999</v>
      </c>
      <c r="AE909">
        <v>-3.8555999999999799</v>
      </c>
      <c r="AF909">
        <v>3.3078489778456799</v>
      </c>
      <c r="AG909">
        <v>-1.1051558314859999</v>
      </c>
      <c r="AH909">
        <v>10.399413487891501</v>
      </c>
      <c r="AI909">
        <v>95.782704234208595</v>
      </c>
      <c r="AJ909">
        <v>72.355155687039201</v>
      </c>
      <c r="AK909">
        <v>10.9686387106259</v>
      </c>
      <c r="AL909">
        <v>83.406278156348293</v>
      </c>
      <c r="AM909">
        <v>76.111884087894595</v>
      </c>
      <c r="AN909">
        <v>0.99999998711344396</v>
      </c>
    </row>
    <row r="910" spans="1:40" x14ac:dyDescent="0.25">
      <c r="A910" t="str">
        <f>"20190312164451419"</f>
        <v>20190312164451419</v>
      </c>
      <c r="B910" t="str">
        <f>"1552380291412285"</f>
        <v>1552380291412285</v>
      </c>
      <c r="C910" t="s">
        <v>40</v>
      </c>
      <c r="D910">
        <v>5.20099</v>
      </c>
      <c r="E910">
        <v>0.53299540000000001</v>
      </c>
      <c r="F910" t="s">
        <v>45</v>
      </c>
      <c r="G910">
        <v>-208.76439999999999</v>
      </c>
      <c r="H910" s="1">
        <v>-5.7906150000000003E-6</v>
      </c>
      <c r="I910">
        <v>363.73149999999998</v>
      </c>
      <c r="J910">
        <v>-218.87540000000001</v>
      </c>
      <c r="K910">
        <v>1.105108</v>
      </c>
      <c r="L910">
        <v>367.56909999999999</v>
      </c>
      <c r="M910">
        <v>0.99852430000000003</v>
      </c>
      <c r="N910">
        <v>0</v>
      </c>
      <c r="O910">
        <v>-5.2252989999999999E-2</v>
      </c>
      <c r="P910">
        <v>0.95132159999999999</v>
      </c>
      <c r="Q910">
        <v>0.1017631</v>
      </c>
      <c r="R910">
        <v>-0.29091509999999998</v>
      </c>
      <c r="S910">
        <v>2.864395</v>
      </c>
      <c r="T910">
        <v>-0.3029637</v>
      </c>
      <c r="U910">
        <v>-1.0572509999999999</v>
      </c>
      <c r="V910">
        <v>0.24185100000000001</v>
      </c>
      <c r="W910">
        <v>0.11383160000000001</v>
      </c>
      <c r="X910">
        <v>0.96361319999999995</v>
      </c>
      <c r="Y910">
        <v>0.29557860000000002</v>
      </c>
      <c r="Z910">
        <v>-9.771119E-3</v>
      </c>
      <c r="AA910">
        <v>0.95526840000000002</v>
      </c>
      <c r="AB910">
        <v>41</v>
      </c>
      <c r="AC910">
        <v>10.111000000000001</v>
      </c>
      <c r="AD910">
        <v>-1.1051137906149999</v>
      </c>
      <c r="AE910">
        <v>-3.8376000000000001</v>
      </c>
      <c r="AF910">
        <v>3.2698253148809</v>
      </c>
      <c r="AG910">
        <v>-1.1051137906149999</v>
      </c>
      <c r="AH910">
        <v>10.1913156987038</v>
      </c>
      <c r="AI910">
        <v>95.8950427621985</v>
      </c>
      <c r="AJ910">
        <v>72.211458967130099</v>
      </c>
      <c r="AK910">
        <v>10.759923315279201</v>
      </c>
      <c r="AL910">
        <v>83.463761675799702</v>
      </c>
      <c r="AM910">
        <v>75.910733907390295</v>
      </c>
      <c r="AN910">
        <v>0.99999996928689905</v>
      </c>
    </row>
    <row r="911" spans="1:40" x14ac:dyDescent="0.25">
      <c r="A911" t="str">
        <f>"20190312164451438"</f>
        <v>20190312164451438</v>
      </c>
      <c r="B911" t="str">
        <f>"1552380291432781"</f>
        <v>1552380291432781</v>
      </c>
      <c r="C911" t="s">
        <v>40</v>
      </c>
      <c r="D911">
        <v>5.1773160000000003</v>
      </c>
      <c r="E911">
        <v>0.52179179999999903</v>
      </c>
      <c r="F911" t="s">
        <v>45</v>
      </c>
      <c r="G911">
        <v>-208.636</v>
      </c>
      <c r="H911" s="1">
        <v>-5.7476779999999999E-6</v>
      </c>
      <c r="I911">
        <v>363.7312</v>
      </c>
      <c r="J911">
        <v>-218.4614</v>
      </c>
      <c r="K911">
        <v>1.105065</v>
      </c>
      <c r="L911">
        <v>367.5444</v>
      </c>
      <c r="M911">
        <v>0.99833329999999998</v>
      </c>
      <c r="N911">
        <v>0</v>
      </c>
      <c r="O911">
        <v>-5.5798590000000002E-2</v>
      </c>
      <c r="P911">
        <v>0.94925490000000001</v>
      </c>
      <c r="Q911">
        <v>0.1009323</v>
      </c>
      <c r="R911">
        <v>-0.297873</v>
      </c>
      <c r="S911">
        <v>2.8588260000000001</v>
      </c>
      <c r="T911">
        <v>-0.30854399999999998</v>
      </c>
      <c r="U911">
        <v>-1.0715330000000001</v>
      </c>
      <c r="V911">
        <v>0.2454817</v>
      </c>
      <c r="W911">
        <v>0.112885</v>
      </c>
      <c r="X911">
        <v>0.96280619999999995</v>
      </c>
      <c r="Y911">
        <v>0.29694860000000001</v>
      </c>
      <c r="Z911">
        <v>-9.6644420000000005E-3</v>
      </c>
      <c r="AA911">
        <v>0.95484460000000004</v>
      </c>
      <c r="AB911">
        <v>41</v>
      </c>
      <c r="AC911">
        <v>9.8254000000000001</v>
      </c>
      <c r="AD911">
        <v>-1.105070747678</v>
      </c>
      <c r="AE911">
        <v>-3.8131999999999899</v>
      </c>
      <c r="AF911">
        <v>3.22351618722668</v>
      </c>
      <c r="AG911">
        <v>-1.105070747678</v>
      </c>
      <c r="AH911">
        <v>9.9138919708367599</v>
      </c>
      <c r="AI911">
        <v>96.050990005420601</v>
      </c>
      <c r="AJ911">
        <v>71.987991138520101</v>
      </c>
      <c r="AK911">
        <v>10.4832004643671</v>
      </c>
      <c r="AL911">
        <v>83.518350147676699</v>
      </c>
      <c r="AM911">
        <v>75.696341298169301</v>
      </c>
      <c r="AN911">
        <v>1.0000000335091599</v>
      </c>
    </row>
    <row r="912" spans="1:40" x14ac:dyDescent="0.25">
      <c r="A912" t="str">
        <f>"20190312164451451"</f>
        <v>20190312164451451</v>
      </c>
      <c r="B912" t="str">
        <f>"1552380291442542"</f>
        <v>1552380291442542</v>
      </c>
      <c r="C912" t="s">
        <v>40</v>
      </c>
      <c r="D912">
        <v>5.3408740000000003</v>
      </c>
      <c r="E912">
        <v>0.52312049999999999</v>
      </c>
      <c r="F912" t="s">
        <v>45</v>
      </c>
      <c r="G912">
        <v>-209.62430000000001</v>
      </c>
      <c r="H912" s="1">
        <v>-5.9617050000000004E-6</v>
      </c>
      <c r="I912">
        <v>364.47910000000002</v>
      </c>
      <c r="J912">
        <v>-218.2302</v>
      </c>
      <c r="K912">
        <v>1.105043</v>
      </c>
      <c r="L912">
        <v>367.53</v>
      </c>
      <c r="M912">
        <v>0.99822100000000002</v>
      </c>
      <c r="N912">
        <v>0</v>
      </c>
      <c r="O912">
        <v>-5.7779379999999998E-2</v>
      </c>
      <c r="P912">
        <v>0.94813329999999996</v>
      </c>
      <c r="Q912">
        <v>0.10058300000000001</v>
      </c>
      <c r="R912">
        <v>-0.30153999999999997</v>
      </c>
      <c r="S912">
        <v>2.8847499999999999</v>
      </c>
      <c r="T912">
        <v>-0.36073630000000001</v>
      </c>
      <c r="U912">
        <v>-1.00061</v>
      </c>
      <c r="V912">
        <v>0.2472927</v>
      </c>
      <c r="W912">
        <v>0.1124785</v>
      </c>
      <c r="X912">
        <v>0.96239019999999997</v>
      </c>
      <c r="Y912">
        <v>0.27108929999999998</v>
      </c>
      <c r="Z912">
        <v>-9.4337780000000003E-3</v>
      </c>
      <c r="AA912">
        <v>0.96250800000000003</v>
      </c>
      <c r="AB912">
        <v>41</v>
      </c>
      <c r="AC912">
        <v>8.6058999999999894</v>
      </c>
      <c r="AD912">
        <v>-1.1050489617050001</v>
      </c>
      <c r="AE912">
        <v>-3.0508999999999502</v>
      </c>
      <c r="AF912">
        <v>2.5117149253206099</v>
      </c>
      <c r="AG912">
        <v>-1.1050489617050001</v>
      </c>
      <c r="AH912">
        <v>8.64124741883181</v>
      </c>
      <c r="AI912">
        <v>97.000785583801104</v>
      </c>
      <c r="AJ912">
        <v>73.792660083722595</v>
      </c>
      <c r="AK912">
        <v>9.0664768254990307</v>
      </c>
      <c r="AL912">
        <v>83.541789916452302</v>
      </c>
      <c r="AM912">
        <v>75.589226786781296</v>
      </c>
      <c r="AN912">
        <v>0.99999999474579004</v>
      </c>
    </row>
    <row r="913" spans="1:40" x14ac:dyDescent="0.25">
      <c r="A913" t="str">
        <f>"20190312164451471"</f>
        <v>20190312164451471</v>
      </c>
      <c r="B913" t="str">
        <f>"1552380291462062"</f>
        <v>1552380291462062</v>
      </c>
      <c r="C913" t="s">
        <v>40</v>
      </c>
      <c r="D913">
        <v>5.2370359999999998</v>
      </c>
      <c r="E913">
        <v>0.52309659999999902</v>
      </c>
      <c r="F913" t="s">
        <v>45</v>
      </c>
      <c r="G913">
        <v>-209.376</v>
      </c>
      <c r="H913" s="1">
        <v>-5.8929470000000002E-6</v>
      </c>
      <c r="I913">
        <v>364.38709999999998</v>
      </c>
      <c r="J913">
        <v>-217.85890000000001</v>
      </c>
      <c r="K913">
        <v>1.105005</v>
      </c>
      <c r="L913">
        <v>367.5059</v>
      </c>
      <c r="M913">
        <v>0.99803249999999999</v>
      </c>
      <c r="N913">
        <v>0</v>
      </c>
      <c r="O913">
        <v>-6.0960849999999997E-2</v>
      </c>
      <c r="P913">
        <v>0.94602160000000002</v>
      </c>
      <c r="Q913">
        <v>9.9502709999999994E-2</v>
      </c>
      <c r="R913">
        <v>-0.30845159999999899</v>
      </c>
      <c r="S913">
        <v>2.877335</v>
      </c>
      <c r="T913">
        <v>-0.35910589999999998</v>
      </c>
      <c r="U913">
        <v>-1.0213620000000001</v>
      </c>
      <c r="V913">
        <v>0.2512395</v>
      </c>
      <c r="W913">
        <v>0.1112995</v>
      </c>
      <c r="X913">
        <v>0.96150460000000004</v>
      </c>
      <c r="Y913">
        <v>0.27497329999999998</v>
      </c>
      <c r="Z913">
        <v>-9.2565549999999996E-3</v>
      </c>
      <c r="AA913">
        <v>0.96140729999999996</v>
      </c>
      <c r="AB913">
        <v>41</v>
      </c>
      <c r="AC913">
        <v>8.4829000000000292</v>
      </c>
      <c r="AD913">
        <v>-1.1050108929469999</v>
      </c>
      <c r="AE913">
        <v>-3.1188000000000198</v>
      </c>
      <c r="AF913">
        <v>2.5575871202455098</v>
      </c>
      <c r="AG913">
        <v>-1.1050108929469999</v>
      </c>
      <c r="AH913">
        <v>8.52976208395601</v>
      </c>
      <c r="AI913">
        <v>97.073647842027995</v>
      </c>
      <c r="AJ913">
        <v>73.309023191500302</v>
      </c>
      <c r="AK913">
        <v>8.9732459099297497</v>
      </c>
      <c r="AL913">
        <v>83.609768410355798</v>
      </c>
      <c r="AM913">
        <v>75.356129883073393</v>
      </c>
      <c r="AN913">
        <v>0.99999998044082905</v>
      </c>
    </row>
    <row r="914" spans="1:40" x14ac:dyDescent="0.25">
      <c r="A914" t="str">
        <f>"20190312164451496"</f>
        <v>20190312164451496</v>
      </c>
      <c r="B914" t="str">
        <f>"1552380291492318"</f>
        <v>1552380291492318</v>
      </c>
      <c r="C914" t="s">
        <v>40</v>
      </c>
      <c r="D914">
        <v>5.2241470000000003</v>
      </c>
      <c r="E914">
        <v>0.52243039999999996</v>
      </c>
      <c r="F914" t="s">
        <v>45</v>
      </c>
      <c r="G914">
        <v>-209.0119</v>
      </c>
      <c r="H914" s="1">
        <v>-5.7852739999999899E-6</v>
      </c>
      <c r="I914">
        <v>364.29629999999997</v>
      </c>
      <c r="J914">
        <v>-217.4178</v>
      </c>
      <c r="K914">
        <v>1.104973</v>
      </c>
      <c r="L914">
        <v>367.47550000000001</v>
      </c>
      <c r="M914">
        <v>0.99779499999999999</v>
      </c>
      <c r="N914">
        <v>0</v>
      </c>
      <c r="O914">
        <v>-6.4741729999999997E-2</v>
      </c>
      <c r="P914">
        <v>0.94354669999999896</v>
      </c>
      <c r="Q914">
        <v>9.8571039999999999E-2</v>
      </c>
      <c r="R914">
        <v>-0.31623370000000001</v>
      </c>
      <c r="S914">
        <v>2.8694609999999998</v>
      </c>
      <c r="T914">
        <v>-0.35840339999999998</v>
      </c>
      <c r="U914">
        <v>-1.0410159999999999</v>
      </c>
      <c r="V914">
        <v>0.25550850000000003</v>
      </c>
      <c r="W914">
        <v>0.1102645</v>
      </c>
      <c r="X914">
        <v>0.96049839999999997</v>
      </c>
      <c r="Y914">
        <v>0.27800200000000003</v>
      </c>
      <c r="Z914">
        <v>-8.9821469999999994E-3</v>
      </c>
      <c r="AA914">
        <v>0.96053849999999996</v>
      </c>
      <c r="AB914">
        <v>41</v>
      </c>
      <c r="AC914">
        <v>8.4059000000000008</v>
      </c>
      <c r="AD914">
        <v>-1.1049787852740001</v>
      </c>
      <c r="AE914">
        <v>-3.17920000000003</v>
      </c>
      <c r="AF914">
        <v>2.5891174339823602</v>
      </c>
      <c r="AG914">
        <v>-1.1049787852740001</v>
      </c>
      <c r="AH914">
        <v>8.4661243023876196</v>
      </c>
      <c r="AI914">
        <v>97.114382988698793</v>
      </c>
      <c r="AJ914">
        <v>72.995274820583106</v>
      </c>
      <c r="AK914">
        <v>8.9218702022801999</v>
      </c>
      <c r="AL914">
        <v>83.669437040718705</v>
      </c>
      <c r="AM914">
        <v>75.103362794433394</v>
      </c>
      <c r="AN914">
        <v>1.0000000149675199</v>
      </c>
    </row>
    <row r="915" spans="1:40" x14ac:dyDescent="0.25">
      <c r="A915" t="str">
        <f>"20190312164451507"</f>
        <v>20190312164451507</v>
      </c>
      <c r="B915" t="str">
        <f>"1552380291502078"</f>
        <v>1552380291502078</v>
      </c>
      <c r="C915" t="s">
        <v>40</v>
      </c>
      <c r="D915">
        <v>5.2162790000000001</v>
      </c>
      <c r="E915">
        <v>0.52197640000000001</v>
      </c>
      <c r="F915" t="s">
        <v>45</v>
      </c>
      <c r="G915">
        <v>-208.61510000000001</v>
      </c>
      <c r="H915" s="1">
        <v>-5.6640770000000001E-6</v>
      </c>
      <c r="I915">
        <v>364.22160000000002</v>
      </c>
      <c r="J915">
        <v>-217.1969</v>
      </c>
      <c r="K915">
        <v>1.1049639999999901</v>
      </c>
      <c r="L915">
        <v>367.45979999999997</v>
      </c>
      <c r="M915">
        <v>0.99767050000000002</v>
      </c>
      <c r="N915">
        <v>0</v>
      </c>
      <c r="O915">
        <v>-6.6635440000000004E-2</v>
      </c>
      <c r="P915">
        <v>0.94224940000000001</v>
      </c>
      <c r="Q915">
        <v>9.8063029999999995E-2</v>
      </c>
      <c r="R915">
        <v>-0.32023390000000002</v>
      </c>
      <c r="S915">
        <v>2.8624269999999998</v>
      </c>
      <c r="T915">
        <v>-0.3593113</v>
      </c>
      <c r="U915">
        <v>-1.0580750000000001</v>
      </c>
      <c r="V915">
        <v>0.25775579999999998</v>
      </c>
      <c r="W915">
        <v>0.1097062</v>
      </c>
      <c r="X915">
        <v>0.95996170000000003</v>
      </c>
      <c r="Y915">
        <v>0.28195579999999998</v>
      </c>
      <c r="Z915">
        <v>-9.0286659999999994E-3</v>
      </c>
      <c r="AA915">
        <v>0.95938489999999998</v>
      </c>
      <c r="AB915">
        <v>41</v>
      </c>
      <c r="AC915">
        <v>8.5817999999999799</v>
      </c>
      <c r="AD915">
        <v>-1.1049696640769999</v>
      </c>
      <c r="AE915">
        <v>-3.23819999999994</v>
      </c>
      <c r="AF915">
        <v>2.6210509833140998</v>
      </c>
      <c r="AG915">
        <v>-1.1049696640769999</v>
      </c>
      <c r="AH915">
        <v>8.6529505046297199</v>
      </c>
      <c r="AI915">
        <v>96.967838430811597</v>
      </c>
      <c r="AJ915">
        <v>73.148001031522796</v>
      </c>
      <c r="AK915">
        <v>9.1084805896062608</v>
      </c>
      <c r="AL915">
        <v>83.701620329720697</v>
      </c>
      <c r="AM915">
        <v>74.9702204736966</v>
      </c>
      <c r="AN915">
        <v>0.99999998410948399</v>
      </c>
    </row>
    <row r="916" spans="1:40" x14ac:dyDescent="0.25">
      <c r="A916" t="str">
        <f>"20190312164451520"</f>
        <v>20190312164451520</v>
      </c>
      <c r="B916" t="str">
        <f>"1552380291512814"</f>
        <v>1552380291512814</v>
      </c>
      <c r="C916" t="s">
        <v>40</v>
      </c>
      <c r="D916">
        <v>5.2834879999999904</v>
      </c>
      <c r="E916">
        <v>0.52183500000000005</v>
      </c>
      <c r="F916" t="s">
        <v>45</v>
      </c>
      <c r="G916">
        <v>-208.37950000000001</v>
      </c>
      <c r="H916" s="1">
        <v>-5.5931660000000004E-6</v>
      </c>
      <c r="I916">
        <v>364.17070000000001</v>
      </c>
      <c r="J916">
        <v>-216.97550000000001</v>
      </c>
      <c r="K916">
        <v>1.104949</v>
      </c>
      <c r="L916">
        <v>367.44349999999997</v>
      </c>
      <c r="M916">
        <v>0.99754209999999999</v>
      </c>
      <c r="N916">
        <v>0</v>
      </c>
      <c r="O916">
        <v>-6.853484E-2</v>
      </c>
      <c r="P916">
        <v>0.94084659999999998</v>
      </c>
      <c r="Q916">
        <v>9.7750000000000004E-2</v>
      </c>
      <c r="R916">
        <v>-0.32442670000000001</v>
      </c>
      <c r="S916">
        <v>2.8587340000000001</v>
      </c>
      <c r="T916">
        <v>-0.3582457</v>
      </c>
      <c r="U916">
        <v>-1.066376</v>
      </c>
      <c r="V916">
        <v>0.26020140000000003</v>
      </c>
      <c r="W916">
        <v>0.1093422</v>
      </c>
      <c r="X916">
        <v>0.95934330000000001</v>
      </c>
      <c r="Y916">
        <v>0.28299360000000001</v>
      </c>
      <c r="Z916">
        <v>-8.843732E-3</v>
      </c>
      <c r="AA916">
        <v>0.95908110000000002</v>
      </c>
      <c r="AB916">
        <v>41</v>
      </c>
      <c r="AC916">
        <v>8.5960000000000001</v>
      </c>
      <c r="AD916">
        <v>-1.1049545931660001</v>
      </c>
      <c r="AE916">
        <v>-3.2727999999999602</v>
      </c>
      <c r="AF916">
        <v>2.6378473313989499</v>
      </c>
      <c r="AG916">
        <v>-1.1049545931660001</v>
      </c>
      <c r="AH916">
        <v>8.6749183043751792</v>
      </c>
      <c r="AI916">
        <v>96.9480367809782</v>
      </c>
      <c r="AJ916">
        <v>73.086664346436805</v>
      </c>
      <c r="AK916">
        <v>9.1341869251899404</v>
      </c>
      <c r="AL916">
        <v>83.722602483896793</v>
      </c>
      <c r="AM916">
        <v>74.824831274533906</v>
      </c>
      <c r="AN916">
        <v>1.00000002625884</v>
      </c>
    </row>
    <row r="917" spans="1:40" x14ac:dyDescent="0.25">
      <c r="A917" t="str">
        <f>"20190312164451531"</f>
        <v>20190312164451531</v>
      </c>
      <c r="B917" t="str">
        <f>"1552380291522574"</f>
        <v>1552380291522574</v>
      </c>
      <c r="C917" t="s">
        <v>40</v>
      </c>
      <c r="D917">
        <v>5.2340799999999996</v>
      </c>
      <c r="E917">
        <v>0.52157900000000001</v>
      </c>
      <c r="F917" t="s">
        <v>45</v>
      </c>
      <c r="G917">
        <v>-208.2022</v>
      </c>
      <c r="H917" s="1">
        <v>-5.5396509999999998E-6</v>
      </c>
      <c r="I917">
        <v>364.13339999999999</v>
      </c>
      <c r="J917">
        <v>-216.7706</v>
      </c>
      <c r="K917">
        <v>1.1049359999999999</v>
      </c>
      <c r="L917">
        <v>367.42809999999997</v>
      </c>
      <c r="M917">
        <v>0.99742010000000003</v>
      </c>
      <c r="N917">
        <v>0</v>
      </c>
      <c r="O917">
        <v>-7.029241E-2</v>
      </c>
      <c r="P917">
        <v>0.93946940000000001</v>
      </c>
      <c r="Q917">
        <v>9.7330840000000002E-2</v>
      </c>
      <c r="R917">
        <v>-0.32851789999999997</v>
      </c>
      <c r="S917">
        <v>2.8545989999999999</v>
      </c>
      <c r="T917">
        <v>-0.35952220000000001</v>
      </c>
      <c r="U917">
        <v>-1.077026</v>
      </c>
      <c r="V917">
        <v>0.26268219999999998</v>
      </c>
      <c r="W917">
        <v>0.1088744</v>
      </c>
      <c r="X917">
        <v>0.95872020000000002</v>
      </c>
      <c r="Y917">
        <v>0.28488249999999998</v>
      </c>
      <c r="Z917">
        <v>-8.7847259999999996E-3</v>
      </c>
      <c r="AA917">
        <v>0.95852219999999999</v>
      </c>
      <c r="AB917">
        <v>41</v>
      </c>
      <c r="AC917">
        <v>8.5683999999999898</v>
      </c>
      <c r="AD917">
        <v>-1.1049415396510001</v>
      </c>
      <c r="AE917">
        <v>-3.29469999999997</v>
      </c>
      <c r="AF917">
        <v>2.6458594076034601</v>
      </c>
      <c r="AG917">
        <v>-1.1049415396510001</v>
      </c>
      <c r="AH917">
        <v>8.6534512974128006</v>
      </c>
      <c r="AI917">
        <v>96.961790482856799</v>
      </c>
      <c r="AJ917">
        <v>72.998584037991094</v>
      </c>
      <c r="AK917">
        <v>9.1161223756345695</v>
      </c>
      <c r="AL917">
        <v>83.749566247110906</v>
      </c>
      <c r="AM917">
        <v>74.677426407682006</v>
      </c>
      <c r="AN917">
        <v>0.99999999753011903</v>
      </c>
    </row>
    <row r="918" spans="1:40" x14ac:dyDescent="0.25">
      <c r="A918" t="str">
        <f>"20190312164451543"</f>
        <v>20190312164451543</v>
      </c>
      <c r="B918" t="str">
        <f>"1552380291532334"</f>
        <v>1552380291532334</v>
      </c>
      <c r="C918" t="s">
        <v>40</v>
      </c>
      <c r="D918">
        <v>5.2107799999999997</v>
      </c>
      <c r="E918">
        <v>0.52131249999999996</v>
      </c>
      <c r="F918" t="s">
        <v>45</v>
      </c>
      <c r="G918">
        <v>-208.02629999999999</v>
      </c>
      <c r="H918" s="1">
        <v>-5.4867819999999996E-6</v>
      </c>
      <c r="I918">
        <v>364.09500000000003</v>
      </c>
      <c r="J918">
        <v>-216.56</v>
      </c>
      <c r="K918">
        <v>1.104922</v>
      </c>
      <c r="L918">
        <v>367.41180000000003</v>
      </c>
      <c r="M918">
        <v>0.99729129999999999</v>
      </c>
      <c r="N918">
        <v>0</v>
      </c>
      <c r="O918">
        <v>-7.2099659999999996E-2</v>
      </c>
      <c r="P918">
        <v>0.9382395</v>
      </c>
      <c r="Q918">
        <v>9.6681199999999995E-2</v>
      </c>
      <c r="R918">
        <v>-0.33220450000000001</v>
      </c>
      <c r="S918">
        <v>2.8506469999999999</v>
      </c>
      <c r="T918">
        <v>-0.3602127</v>
      </c>
      <c r="U918">
        <v>-1.0866089999999999</v>
      </c>
      <c r="V918">
        <v>0.26470120000000003</v>
      </c>
      <c r="W918">
        <v>0.1081838</v>
      </c>
      <c r="X918">
        <v>0.95824299999999996</v>
      </c>
      <c r="Y918">
        <v>0.28639629999999999</v>
      </c>
      <c r="Z918">
        <v>-8.6821009999999994E-3</v>
      </c>
      <c r="AA918">
        <v>0.95807189999999998</v>
      </c>
      <c r="AB918">
        <v>40</v>
      </c>
      <c r="AC918">
        <v>8.5337000000000103</v>
      </c>
      <c r="AD918">
        <v>-1.104927486782</v>
      </c>
      <c r="AE918">
        <v>-3.3168000000000002</v>
      </c>
      <c r="AF918">
        <v>2.6541675773184399</v>
      </c>
      <c r="AG918">
        <v>-1.104927486782</v>
      </c>
      <c r="AH918">
        <v>8.6250327000955895</v>
      </c>
      <c r="AI918">
        <v>96.980594874010393</v>
      </c>
      <c r="AJ918">
        <v>72.895381569972898</v>
      </c>
      <c r="AK918">
        <v>9.0915707860222401</v>
      </c>
      <c r="AL918">
        <v>83.789370170941396</v>
      </c>
      <c r="AM918">
        <v>74.557931776595495</v>
      </c>
      <c r="AN918">
        <v>1.0000000534564299</v>
      </c>
    </row>
    <row r="919" spans="1:40" x14ac:dyDescent="0.25">
      <c r="A919" t="str">
        <f>"20190312164451554"</f>
        <v>20190312164451554</v>
      </c>
      <c r="B919" t="str">
        <f>"1552380291542094"</f>
        <v>1552380291542094</v>
      </c>
      <c r="C919" t="s">
        <v>40</v>
      </c>
      <c r="D919">
        <v>5.2421049999999996</v>
      </c>
      <c r="E919">
        <v>0.52105829999999997</v>
      </c>
      <c r="F919" t="s">
        <v>45</v>
      </c>
      <c r="G919">
        <v>-207.88339999999999</v>
      </c>
      <c r="H919" s="1">
        <v>-5.4420219999999898E-6</v>
      </c>
      <c r="I919">
        <v>364.07510000000002</v>
      </c>
      <c r="J919">
        <v>-216.35310000000001</v>
      </c>
      <c r="K919">
        <v>1.104908</v>
      </c>
      <c r="L919">
        <v>367.39550000000003</v>
      </c>
      <c r="M919">
        <v>0.99716159999999998</v>
      </c>
      <c r="N919">
        <v>0</v>
      </c>
      <c r="O919">
        <v>-7.3875330000000003E-2</v>
      </c>
      <c r="P919">
        <v>0.93696210000000002</v>
      </c>
      <c r="Q919">
        <v>9.5692979999999997E-2</v>
      </c>
      <c r="R919">
        <v>-0.33607340000000002</v>
      </c>
      <c r="S919">
        <v>2.8471679999999999</v>
      </c>
      <c r="T919">
        <v>-0.3625737</v>
      </c>
      <c r="U919">
        <v>-1.09491</v>
      </c>
      <c r="V919">
        <v>0.26693539999999999</v>
      </c>
      <c r="W919">
        <v>0.1071541</v>
      </c>
      <c r="X919">
        <v>0.9577388</v>
      </c>
      <c r="Y919">
        <v>0.28750029999999999</v>
      </c>
      <c r="Z919">
        <v>-8.5963459999999995E-3</v>
      </c>
      <c r="AA919">
        <v>0.95774199999999998</v>
      </c>
      <c r="AB919">
        <v>40</v>
      </c>
      <c r="AC919">
        <v>8.4697000000000102</v>
      </c>
      <c r="AD919">
        <v>-1.1049134420219999</v>
      </c>
      <c r="AE919">
        <v>-3.3203999999999998</v>
      </c>
      <c r="AF919">
        <v>2.6465174004592402</v>
      </c>
      <c r="AG919">
        <v>-1.1049134420219999</v>
      </c>
      <c r="AH919">
        <v>8.5655201766078992</v>
      </c>
      <c r="AI919">
        <v>97.026084787600496</v>
      </c>
      <c r="AJ919">
        <v>72.830245225791799</v>
      </c>
      <c r="AK919">
        <v>9.0328856940167004</v>
      </c>
      <c r="AL919">
        <v>83.848712638023002</v>
      </c>
      <c r="AM919">
        <v>74.426091532589993</v>
      </c>
      <c r="AN919">
        <v>1.0000000589727001</v>
      </c>
    </row>
    <row r="920" spans="1:40" x14ac:dyDescent="0.25">
      <c r="A920" t="str">
        <f>"20190312164451566"</f>
        <v>20190312164451566</v>
      </c>
      <c r="B920" t="str">
        <f>"1552380291562590"</f>
        <v>1552380291562590</v>
      </c>
      <c r="C920" t="s">
        <v>40</v>
      </c>
      <c r="D920">
        <v>5.2313210000000003</v>
      </c>
      <c r="E920">
        <v>0.52051349999999996</v>
      </c>
      <c r="F920" t="s">
        <v>45</v>
      </c>
      <c r="G920">
        <v>-207.7561</v>
      </c>
      <c r="H920" s="1">
        <v>-5.4023799999999996E-6</v>
      </c>
      <c r="I920">
        <v>364.05619999999999</v>
      </c>
      <c r="J920">
        <v>-216.14070000000001</v>
      </c>
      <c r="K920">
        <v>1.1048960000000001</v>
      </c>
      <c r="L920">
        <v>367.3784</v>
      </c>
      <c r="M920">
        <v>0.99702489999999999</v>
      </c>
      <c r="N920">
        <v>0</v>
      </c>
      <c r="O920">
        <v>-7.5698669999999996E-2</v>
      </c>
      <c r="P920">
        <v>0.93567239999999996</v>
      </c>
      <c r="Q920">
        <v>9.4772170000000003E-2</v>
      </c>
      <c r="R920">
        <v>-0.33990500000000001</v>
      </c>
      <c r="S920">
        <v>2.8430789999999999</v>
      </c>
      <c r="T920">
        <v>-0.36540210000000001</v>
      </c>
      <c r="U920">
        <v>-1.1043400000000001</v>
      </c>
      <c r="V920">
        <v>0.26909060000000001</v>
      </c>
      <c r="W920">
        <v>0.1061926</v>
      </c>
      <c r="X920">
        <v>0.95724260000000005</v>
      </c>
      <c r="Y920">
        <v>0.28895179999999998</v>
      </c>
      <c r="Z920">
        <v>-8.5361969999999902E-3</v>
      </c>
      <c r="AA920">
        <v>0.95730559999999998</v>
      </c>
      <c r="AB920">
        <v>40</v>
      </c>
      <c r="AC920">
        <v>8.3846000000000007</v>
      </c>
      <c r="AD920">
        <v>-1.1049014023799999</v>
      </c>
      <c r="AE920">
        <v>-3.3222</v>
      </c>
      <c r="AF920">
        <v>2.6382975534175701</v>
      </c>
      <c r="AG920">
        <v>-1.1049014023799999</v>
      </c>
      <c r="AH920">
        <v>8.4847033646465508</v>
      </c>
      <c r="AI920">
        <v>97.088335291759293</v>
      </c>
      <c r="AJ920">
        <v>72.727047425580494</v>
      </c>
      <c r="AK920">
        <v>8.9538601885105997</v>
      </c>
      <c r="AL920">
        <v>83.904118352829201</v>
      </c>
      <c r="AM920">
        <v>74.298788494777696</v>
      </c>
      <c r="AN920">
        <v>1.0000000072789399</v>
      </c>
    </row>
    <row r="921" spans="1:40" x14ac:dyDescent="0.25">
      <c r="A921" t="str">
        <f>"20190312164451578"</f>
        <v>20190312164451578</v>
      </c>
      <c r="B921" t="str">
        <f>"1552380291572350"</f>
        <v>1552380291572350</v>
      </c>
      <c r="C921" t="s">
        <v>40</v>
      </c>
      <c r="D921">
        <v>5.2020299999999997</v>
      </c>
      <c r="E921">
        <v>0.52036229999999895</v>
      </c>
      <c r="F921" t="s">
        <v>45</v>
      </c>
      <c r="G921">
        <v>-207.56800000000001</v>
      </c>
      <c r="H921" s="1">
        <v>-5.3447930000000001E-6</v>
      </c>
      <c r="I921">
        <v>364.02170000000001</v>
      </c>
      <c r="J921">
        <v>-215.92019999999999</v>
      </c>
      <c r="K921">
        <v>1.1048800000000001</v>
      </c>
      <c r="L921">
        <v>367.36020000000002</v>
      </c>
      <c r="M921">
        <v>0.99687950000000003</v>
      </c>
      <c r="N921">
        <v>0</v>
      </c>
      <c r="O921">
        <v>-7.7592930000000004E-2</v>
      </c>
      <c r="P921">
        <v>0.93439559999999999</v>
      </c>
      <c r="Q921">
        <v>9.3518909999999997E-2</v>
      </c>
      <c r="R921">
        <v>-0.34374270000000001</v>
      </c>
      <c r="S921">
        <v>2.8394170000000001</v>
      </c>
      <c r="T921">
        <v>-0.36596129999999999</v>
      </c>
      <c r="U921">
        <v>-1.1118159999999999</v>
      </c>
      <c r="V921">
        <v>0.27118179999999997</v>
      </c>
      <c r="W921">
        <v>0.10490140000000001</v>
      </c>
      <c r="X921">
        <v>0.9567947</v>
      </c>
      <c r="Y921">
        <v>0.28973959999999999</v>
      </c>
      <c r="Z921">
        <v>-8.3720870000000003E-3</v>
      </c>
      <c r="AA921">
        <v>0.9570689</v>
      </c>
      <c r="AB921">
        <v>40</v>
      </c>
      <c r="AC921">
        <v>8.3521999999999998</v>
      </c>
      <c r="AD921">
        <v>-1.1048853447929901</v>
      </c>
      <c r="AE921">
        <v>-3.33850000000001</v>
      </c>
      <c r="AF921">
        <v>2.6404510667205199</v>
      </c>
      <c r="AG921">
        <v>-1.1048853447929901</v>
      </c>
      <c r="AH921">
        <v>8.4584556179841499</v>
      </c>
      <c r="AI921">
        <v>97.107567513302399</v>
      </c>
      <c r="AJ921">
        <v>72.663356870350896</v>
      </c>
      <c r="AK921">
        <v>8.9296262465061496</v>
      </c>
      <c r="AL921">
        <v>83.978514086332297</v>
      </c>
      <c r="AM921">
        <v>74.175818960354405</v>
      </c>
      <c r="AN921">
        <v>0.99999998516064403</v>
      </c>
    </row>
    <row r="922" spans="1:40" x14ac:dyDescent="0.25">
      <c r="A922" t="str">
        <f>"20190312164451594"</f>
        <v>20190312164451594</v>
      </c>
      <c r="B922" t="str">
        <f>"1552380291592846"</f>
        <v>1552380291592846</v>
      </c>
      <c r="C922" t="s">
        <v>40</v>
      </c>
      <c r="D922">
        <v>5.2373310000000002</v>
      </c>
      <c r="E922">
        <v>0.52013750000000003</v>
      </c>
      <c r="F922" t="s">
        <v>45</v>
      </c>
      <c r="G922">
        <v>-207.43719999999999</v>
      </c>
      <c r="H922" s="1">
        <v>-5.3037630000000004E-6</v>
      </c>
      <c r="I922">
        <v>364.00420000000003</v>
      </c>
      <c r="J922">
        <v>-215.6302</v>
      </c>
      <c r="K922">
        <v>1.1048579999999999</v>
      </c>
      <c r="L922">
        <v>367.3356</v>
      </c>
      <c r="M922">
        <v>0.99668250000000003</v>
      </c>
      <c r="N922">
        <v>0</v>
      </c>
      <c r="O922">
        <v>-8.0086050000000006E-2</v>
      </c>
      <c r="P922">
        <v>0.93186780000000002</v>
      </c>
      <c r="Q922">
        <v>9.1663610000000006E-2</v>
      </c>
      <c r="R922">
        <v>-0.3510277</v>
      </c>
      <c r="S922">
        <v>2.834991</v>
      </c>
      <c r="T922">
        <v>-0.3692513</v>
      </c>
      <c r="U922">
        <v>-1.1215820000000001</v>
      </c>
      <c r="V922">
        <v>0.27623049999999999</v>
      </c>
      <c r="W922">
        <v>0.1029664</v>
      </c>
      <c r="X922">
        <v>0.95555979999999996</v>
      </c>
      <c r="Y922">
        <v>0.29069020000000001</v>
      </c>
      <c r="Z922">
        <v>-8.2049159999999996E-3</v>
      </c>
      <c r="AA922">
        <v>0.95678200000000002</v>
      </c>
      <c r="AB922">
        <v>40</v>
      </c>
      <c r="AC922">
        <v>8.1930000000000103</v>
      </c>
      <c r="AD922">
        <v>-1.10486330376299</v>
      </c>
      <c r="AE922">
        <v>-3.3313999999999702</v>
      </c>
      <c r="AF922">
        <v>2.62354125927537</v>
      </c>
      <c r="AG922">
        <v>-1.10486330376299</v>
      </c>
      <c r="AH922">
        <v>8.30391740552753</v>
      </c>
      <c r="AI922">
        <v>97.230587795023297</v>
      </c>
      <c r="AJ922">
        <v>72.466579514025199</v>
      </c>
      <c r="AK922">
        <v>8.77831054001539</v>
      </c>
      <c r="AL922">
        <v>84.089984935168999</v>
      </c>
      <c r="AM922">
        <v>73.876626771450006</v>
      </c>
      <c r="AN922">
        <v>0.99999995001762298</v>
      </c>
    </row>
    <row r="923" spans="1:40" x14ac:dyDescent="0.25">
      <c r="A923" t="str">
        <f>"20190312164451617"</f>
        <v>20190312164451617</v>
      </c>
      <c r="B923" t="str">
        <f>"1552380291612366"</f>
        <v>1552380291612366</v>
      </c>
      <c r="C923" t="s">
        <v>40</v>
      </c>
      <c r="D923">
        <v>5.2264920000000004</v>
      </c>
      <c r="E923">
        <v>0.51992439999999995</v>
      </c>
      <c r="F923" t="s">
        <v>45</v>
      </c>
      <c r="G923">
        <v>-207.262</v>
      </c>
      <c r="H923" s="1">
        <v>-5.25220299999999E-6</v>
      </c>
      <c r="I923">
        <v>363.95870000000002</v>
      </c>
      <c r="J923">
        <v>-215.23740000000001</v>
      </c>
      <c r="K923">
        <v>1.104846</v>
      </c>
      <c r="L923">
        <v>367.30099999999999</v>
      </c>
      <c r="M923">
        <v>0.99640510000000004</v>
      </c>
      <c r="N923">
        <v>0</v>
      </c>
      <c r="O923">
        <v>-8.3470959999999997E-2</v>
      </c>
      <c r="P923">
        <v>0.92875799999999997</v>
      </c>
      <c r="Q923">
        <v>9.0399999999999994E-2</v>
      </c>
      <c r="R923">
        <v>-0.35949490000000001</v>
      </c>
      <c r="S923">
        <v>2.826416</v>
      </c>
      <c r="T923">
        <v>-0.3731759</v>
      </c>
      <c r="U923">
        <v>-1.1405639999999999</v>
      </c>
      <c r="V923">
        <v>0.28166380000000002</v>
      </c>
      <c r="W923">
        <v>0.1016127</v>
      </c>
      <c r="X923">
        <v>0.95411760000000001</v>
      </c>
      <c r="Y923">
        <v>0.2939367</v>
      </c>
      <c r="Z923">
        <v>-8.0869289999999996E-3</v>
      </c>
      <c r="AA923">
        <v>0.95579069999999999</v>
      </c>
      <c r="AB923">
        <v>40</v>
      </c>
      <c r="AC923">
        <v>7.9753999999999996</v>
      </c>
      <c r="AD923">
        <v>-1.1048512522030001</v>
      </c>
      <c r="AE923">
        <v>-3.3422999999999599</v>
      </c>
      <c r="AF923">
        <v>2.6220465843731602</v>
      </c>
      <c r="AG923">
        <v>-1.1048512522030001</v>
      </c>
      <c r="AH923">
        <v>8.0944400297891796</v>
      </c>
      <c r="AI923">
        <v>97.398583565639996</v>
      </c>
      <c r="AJ923">
        <v>72.051211746817103</v>
      </c>
      <c r="AK923">
        <v>8.5799641010887004</v>
      </c>
      <c r="AL923">
        <v>84.167955607245901</v>
      </c>
      <c r="AM923">
        <v>73.552941975416104</v>
      </c>
      <c r="AN923">
        <v>1.0000000158307401</v>
      </c>
    </row>
    <row r="924" spans="1:40" x14ac:dyDescent="0.25">
      <c r="A924" t="str">
        <f>"20190312164451630"</f>
        <v>20190312164451630</v>
      </c>
      <c r="B924" t="str">
        <f>"1552380291622126"</f>
        <v>1552380291622126</v>
      </c>
      <c r="C924" t="s">
        <v>40</v>
      </c>
      <c r="D924">
        <v>5.8087010000000001</v>
      </c>
      <c r="E924">
        <v>0.51992439999999995</v>
      </c>
      <c r="F924" t="s">
        <v>45</v>
      </c>
      <c r="G924">
        <v>-206.9485</v>
      </c>
      <c r="H924" s="1">
        <v>-5.1347119999999996E-6</v>
      </c>
      <c r="I924">
        <v>363.87900000000002</v>
      </c>
      <c r="J924">
        <v>-214.9863</v>
      </c>
      <c r="K924">
        <v>1.104838</v>
      </c>
      <c r="L924">
        <v>367.27839999999998</v>
      </c>
      <c r="M924">
        <v>0.99622109999999997</v>
      </c>
      <c r="N924">
        <v>0</v>
      </c>
      <c r="O924">
        <v>-8.5639729999999997E-2</v>
      </c>
      <c r="P924">
        <v>0.92699719999999997</v>
      </c>
      <c r="Q924">
        <v>8.9601910000000007E-2</v>
      </c>
      <c r="R924">
        <v>-0.3642088</v>
      </c>
      <c r="S924">
        <v>2.8165439999999999</v>
      </c>
      <c r="T924">
        <v>-0.3754267</v>
      </c>
      <c r="U924">
        <v>-1.162811</v>
      </c>
      <c r="V924">
        <v>0.28442329999999999</v>
      </c>
      <c r="W924">
        <v>0.10076640000000001</v>
      </c>
      <c r="X924">
        <v>0.95338849999999997</v>
      </c>
      <c r="Y924">
        <v>0.2994347</v>
      </c>
      <c r="Z924">
        <v>-8.2278899999999999E-3</v>
      </c>
      <c r="AA924">
        <v>0.95408130000000002</v>
      </c>
      <c r="AB924">
        <v>40</v>
      </c>
      <c r="AC924">
        <v>8.0378000000000007</v>
      </c>
      <c r="AD924">
        <v>-1.104843134712</v>
      </c>
      <c r="AE924">
        <v>-3.3993999999999498</v>
      </c>
      <c r="AF924">
        <v>2.65591417424818</v>
      </c>
      <c r="AG924">
        <v>-1.104843134712</v>
      </c>
      <c r="AH924">
        <v>8.1684989781907795</v>
      </c>
      <c r="AI924">
        <v>97.329610472307493</v>
      </c>
      <c r="AJ924">
        <v>71.988530211574499</v>
      </c>
      <c r="AK924">
        <v>8.6601924926641498</v>
      </c>
      <c r="AL924">
        <v>84.216695434152996</v>
      </c>
      <c r="AM924">
        <v>73.388639724604204</v>
      </c>
      <c r="AN924">
        <v>1.0000000564420399</v>
      </c>
    </row>
    <row r="925" spans="1:40" x14ac:dyDescent="0.25">
      <c r="A925" t="str">
        <f>"20190312164451652"</f>
        <v>20190312164451652</v>
      </c>
      <c r="B925" t="str">
        <f>"1552380291642622"</f>
        <v>1552380291642622</v>
      </c>
      <c r="C925" t="s">
        <v>40</v>
      </c>
      <c r="D925">
        <v>5.2782780000000002</v>
      </c>
      <c r="E925">
        <v>0.51975379999999904</v>
      </c>
      <c r="F925" t="s">
        <v>45</v>
      </c>
      <c r="G925">
        <v>-206.76820000000001</v>
      </c>
      <c r="H925" s="1">
        <v>-5.0591219999999997E-6</v>
      </c>
      <c r="I925">
        <v>363.84089999999998</v>
      </c>
      <c r="J925">
        <v>-214.5822</v>
      </c>
      <c r="K925">
        <v>1.1048070000000001</v>
      </c>
      <c r="L925">
        <v>367.2405</v>
      </c>
      <c r="M925">
        <v>0.99591339999999995</v>
      </c>
      <c r="N925">
        <v>0</v>
      </c>
      <c r="O925">
        <v>-8.9150919999999995E-2</v>
      </c>
      <c r="P925">
        <v>0.92395130000000003</v>
      </c>
      <c r="Q925">
        <v>8.7946880000000005E-2</v>
      </c>
      <c r="R925">
        <v>-0.37226290000000001</v>
      </c>
      <c r="S925">
        <v>2.810867</v>
      </c>
      <c r="T925">
        <v>-0.37789250000000002</v>
      </c>
      <c r="U925">
        <v>-1.1757200000000001</v>
      </c>
      <c r="V925">
        <v>0.28933609999999998</v>
      </c>
      <c r="W925">
        <v>9.9025119999999994E-2</v>
      </c>
      <c r="X925">
        <v>0.95209169999999999</v>
      </c>
      <c r="Y925">
        <v>0.30048350000000001</v>
      </c>
      <c r="Z925">
        <v>-7.9117719999999992E-3</v>
      </c>
      <c r="AA925">
        <v>0.9537542</v>
      </c>
      <c r="AB925">
        <v>40</v>
      </c>
      <c r="AC925">
        <v>7.8139999999999903</v>
      </c>
      <c r="AD925">
        <v>-1.1048120591220001</v>
      </c>
      <c r="AE925">
        <v>-3.3996000000000199</v>
      </c>
      <c r="AF925">
        <v>2.6449039056071899</v>
      </c>
      <c r="AG925">
        <v>-1.1048120591220001</v>
      </c>
      <c r="AH925">
        <v>7.95231671731724</v>
      </c>
      <c r="AI925">
        <v>97.509959031115699</v>
      </c>
      <c r="AJ925">
        <v>71.603112366161696</v>
      </c>
      <c r="AK925">
        <v>8.45313359224855</v>
      </c>
      <c r="AL925">
        <v>84.316964553565299</v>
      </c>
      <c r="AM925">
        <v>73.096224838856998</v>
      </c>
      <c r="AN925">
        <v>0.99999997918155703</v>
      </c>
    </row>
    <row r="926" spans="1:40" x14ac:dyDescent="0.25">
      <c r="A926" t="str">
        <f>"20190312164451665"</f>
        <v>20190312164451665</v>
      </c>
      <c r="B926" t="str">
        <f>"1552380291652382"</f>
        <v>1552380291652382</v>
      </c>
      <c r="C926" t="s">
        <v>40</v>
      </c>
      <c r="D926">
        <v>5.2802030000000002</v>
      </c>
      <c r="E926">
        <v>0.51975379999999904</v>
      </c>
      <c r="F926" t="s">
        <v>45</v>
      </c>
      <c r="G926">
        <v>-206.48079999999999</v>
      </c>
      <c r="H926" s="1">
        <v>-4.9405990000000004E-6</v>
      </c>
      <c r="I926">
        <v>363.77170000000001</v>
      </c>
      <c r="J926">
        <v>-214.36060000000001</v>
      </c>
      <c r="K926">
        <v>1.104789</v>
      </c>
      <c r="L926">
        <v>367.2192</v>
      </c>
      <c r="M926">
        <v>0.99573789999999995</v>
      </c>
      <c r="N926">
        <v>0</v>
      </c>
      <c r="O926">
        <v>-9.1091539999999999E-2</v>
      </c>
      <c r="P926">
        <v>0.92234689999999997</v>
      </c>
      <c r="Q926">
        <v>8.7112259999999997E-2</v>
      </c>
      <c r="R926">
        <v>-0.3764151</v>
      </c>
      <c r="S926">
        <v>2.800217</v>
      </c>
      <c r="T926">
        <v>-0.3818705</v>
      </c>
      <c r="U926">
        <v>-1.1989749999999999</v>
      </c>
      <c r="V926">
        <v>0.29175250000000003</v>
      </c>
      <c r="W926">
        <v>9.8144899999999993E-2</v>
      </c>
      <c r="X926">
        <v>0.95144519999999999</v>
      </c>
      <c r="Y926">
        <v>0.30655349999999998</v>
      </c>
      <c r="Z926">
        <v>-8.1564329999999994E-3</v>
      </c>
      <c r="AA926">
        <v>0.95181850000000001</v>
      </c>
      <c r="AB926">
        <v>40</v>
      </c>
      <c r="AC926">
        <v>7.8798000000000101</v>
      </c>
      <c r="AD926">
        <v>-1.1047939405989999</v>
      </c>
      <c r="AE926">
        <v>-3.44749999999999</v>
      </c>
      <c r="AF926">
        <v>2.6712324027491099</v>
      </c>
      <c r="AG926">
        <v>-1.1047939405989999</v>
      </c>
      <c r="AH926">
        <v>8.0286360171436506</v>
      </c>
      <c r="AI926">
        <v>97.438993669365203</v>
      </c>
      <c r="AJ926">
        <v>71.597040044245702</v>
      </c>
      <c r="AK926">
        <v>8.5331734130074501</v>
      </c>
      <c r="AL926">
        <v>84.367644194055202</v>
      </c>
      <c r="AM926">
        <v>72.9522916159126</v>
      </c>
      <c r="AN926">
        <v>0.99999995562764898</v>
      </c>
    </row>
    <row r="927" spans="1:40" x14ac:dyDescent="0.25">
      <c r="A927" t="str">
        <f>"20190312164451676"</f>
        <v>20190312164451676</v>
      </c>
      <c r="B927" t="str">
        <f>"1552380291672878"</f>
        <v>1552380291672878</v>
      </c>
      <c r="C927" t="s">
        <v>40</v>
      </c>
      <c r="D927">
        <v>5.2353430000000003</v>
      </c>
      <c r="E927">
        <v>0.55284460000000002</v>
      </c>
      <c r="F927" t="s">
        <v>45</v>
      </c>
      <c r="G927">
        <v>-206.32900000000001</v>
      </c>
      <c r="H927" s="1">
        <v>-4.8775180000000004E-6</v>
      </c>
      <c r="I927">
        <v>363.7373</v>
      </c>
      <c r="J927">
        <v>-214.15170000000001</v>
      </c>
      <c r="K927">
        <v>1.1047739999999999</v>
      </c>
      <c r="L927">
        <v>367.1986</v>
      </c>
      <c r="M927">
        <v>0.99556679999999997</v>
      </c>
      <c r="N927">
        <v>0</v>
      </c>
      <c r="O927">
        <v>-9.294152E-2</v>
      </c>
      <c r="P927">
        <v>0.92064800000000002</v>
      </c>
      <c r="Q927">
        <v>8.62623E-2</v>
      </c>
      <c r="R927">
        <v>-0.38074429999999998</v>
      </c>
      <c r="S927">
        <v>2.7944339999999999</v>
      </c>
      <c r="T927">
        <v>-0.3843879</v>
      </c>
      <c r="U927">
        <v>-1.2114560000000001</v>
      </c>
      <c r="V927">
        <v>0.29444550000000003</v>
      </c>
      <c r="W927">
        <v>9.7242289999999995E-2</v>
      </c>
      <c r="X927">
        <v>0.950708</v>
      </c>
      <c r="Y927">
        <v>0.30905250000000001</v>
      </c>
      <c r="Z927">
        <v>-8.1433040000000005E-3</v>
      </c>
      <c r="AA927">
        <v>0.95101009999999997</v>
      </c>
      <c r="AB927">
        <v>40</v>
      </c>
      <c r="AC927">
        <v>7.8226999999999904</v>
      </c>
      <c r="AD927">
        <v>-1.1047788775180001</v>
      </c>
      <c r="AE927">
        <v>-3.4612999999999898</v>
      </c>
      <c r="AF927">
        <v>2.6745744574575099</v>
      </c>
      <c r="AG927">
        <v>-1.1047788775180001</v>
      </c>
      <c r="AH927">
        <v>7.9775030885607903</v>
      </c>
      <c r="AI927">
        <v>97.480362910002896</v>
      </c>
      <c r="AJ927">
        <v>71.465520369641396</v>
      </c>
      <c r="AK927">
        <v>8.4861322417630891</v>
      </c>
      <c r="AL927">
        <v>84.4196085262097</v>
      </c>
      <c r="AM927">
        <v>72.7916291703296</v>
      </c>
      <c r="AN927">
        <v>0.99999995834934596</v>
      </c>
    </row>
    <row r="928" spans="1:40" x14ac:dyDescent="0.25">
      <c r="A928" t="str">
        <f>"20190312164451689"</f>
        <v>20190312164451689</v>
      </c>
      <c r="B928" t="str">
        <f>"1552380291682638"</f>
        <v>1552380291682638</v>
      </c>
      <c r="C928" t="s">
        <v>40</v>
      </c>
      <c r="D928">
        <v>5.3719599999999996</v>
      </c>
      <c r="E928">
        <v>0.55256280000000002</v>
      </c>
      <c r="F928" t="s">
        <v>45</v>
      </c>
      <c r="G928">
        <v>-205.26650000000001</v>
      </c>
      <c r="H928" s="1">
        <v>-4.7004879999999998E-6</v>
      </c>
      <c r="I928">
        <v>362.30360000000002</v>
      </c>
      <c r="J928">
        <v>-213.9323</v>
      </c>
      <c r="K928">
        <v>1.1047480000000001</v>
      </c>
      <c r="L928">
        <v>367.17669999999998</v>
      </c>
      <c r="M928">
        <v>0.99538260000000001</v>
      </c>
      <c r="N928">
        <v>0</v>
      </c>
      <c r="O928">
        <v>-9.4896400000000006E-2</v>
      </c>
      <c r="P928">
        <v>0.91885689999999998</v>
      </c>
      <c r="Q928">
        <v>8.5449849999999994E-2</v>
      </c>
      <c r="R928">
        <v>-0.38522820000000002</v>
      </c>
      <c r="S928">
        <v>2.6793369999999999</v>
      </c>
      <c r="T928">
        <v>-0.33314629999999901</v>
      </c>
      <c r="U928">
        <v>-1.4760740000000001</v>
      </c>
      <c r="V928">
        <v>0.29720570000000002</v>
      </c>
      <c r="W928">
        <v>9.6372830000000007E-2</v>
      </c>
      <c r="X928">
        <v>0.94993740000000004</v>
      </c>
      <c r="Y928">
        <v>0.39547060000000001</v>
      </c>
      <c r="Z928">
        <v>-1.1980660000000001E-2</v>
      </c>
      <c r="AA928">
        <v>0.91840049999999995</v>
      </c>
      <c r="AB928">
        <v>40</v>
      </c>
      <c r="AC928">
        <v>8.6657999999999902</v>
      </c>
      <c r="AD928">
        <v>-1.104752700488</v>
      </c>
      <c r="AE928">
        <v>-4.87309999999996</v>
      </c>
      <c r="AF928">
        <v>3.9795273309580099</v>
      </c>
      <c r="AG928">
        <v>-1.104752700488</v>
      </c>
      <c r="AH928">
        <v>8.9783113917207196</v>
      </c>
      <c r="AI928">
        <v>96.418329953945303</v>
      </c>
      <c r="AJ928">
        <v>66.095266865404994</v>
      </c>
      <c r="AK928">
        <v>9.8826712863364694</v>
      </c>
      <c r="AL928">
        <v>84.469660275269106</v>
      </c>
      <c r="AM928">
        <v>72.626730744152695</v>
      </c>
      <c r="AN928">
        <v>1.0000000071967201</v>
      </c>
    </row>
    <row r="929" spans="1:40" x14ac:dyDescent="0.25">
      <c r="A929" t="str">
        <f>"20190312164451699"</f>
        <v>20190312164451699</v>
      </c>
      <c r="B929" t="str">
        <f>"1552380291692398"</f>
        <v>1552380291692398</v>
      </c>
      <c r="C929" t="s">
        <v>40</v>
      </c>
      <c r="D929">
        <v>5.4622359999999999</v>
      </c>
      <c r="E929">
        <v>0.55218389999999995</v>
      </c>
      <c r="F929" t="s">
        <v>45</v>
      </c>
      <c r="G929">
        <v>-204.4614</v>
      </c>
      <c r="H929" s="1">
        <v>-4.3960809999999998E-6</v>
      </c>
      <c r="I929">
        <v>361.89409999999998</v>
      </c>
      <c r="J929">
        <v>-213.7303</v>
      </c>
      <c r="K929">
        <v>1.1047119999999999</v>
      </c>
      <c r="L929">
        <v>367.15589999999997</v>
      </c>
      <c r="M929">
        <v>0.99520520000000001</v>
      </c>
      <c r="N929">
        <v>0</v>
      </c>
      <c r="O929">
        <v>-9.6738959999999999E-2</v>
      </c>
      <c r="P929">
        <v>0.91700230000000005</v>
      </c>
      <c r="Q929">
        <v>8.4836010000000003E-2</v>
      </c>
      <c r="R929">
        <v>-0.38975569999999998</v>
      </c>
      <c r="S929">
        <v>2.669632</v>
      </c>
      <c r="T929">
        <v>-0.31140489999999998</v>
      </c>
      <c r="U929">
        <v>-1.489044</v>
      </c>
      <c r="V929">
        <v>0.30013109999999998</v>
      </c>
      <c r="W929">
        <v>9.5693150000000005E-2</v>
      </c>
      <c r="X929">
        <v>0.94908599999999999</v>
      </c>
      <c r="Y929">
        <v>0.39879759999999997</v>
      </c>
      <c r="Z929">
        <v>-1.1210799999999899E-2</v>
      </c>
      <c r="AA929">
        <v>0.91697039999999996</v>
      </c>
      <c r="AB929">
        <v>40</v>
      </c>
      <c r="AC929">
        <v>9.2689000000000004</v>
      </c>
      <c r="AD929">
        <v>-1.104716396081</v>
      </c>
      <c r="AE929">
        <v>-5.2617999999999903</v>
      </c>
      <c r="AF929">
        <v>4.2942257843727001</v>
      </c>
      <c r="AG929">
        <v>-1.104716396081</v>
      </c>
      <c r="AH929">
        <v>9.6310254459770395</v>
      </c>
      <c r="AI929">
        <v>95.980610834074795</v>
      </c>
      <c r="AJ929">
        <v>65.969140692158106</v>
      </c>
      <c r="AK929">
        <v>10.6027083589052</v>
      </c>
      <c r="AL929">
        <v>84.5087841070834</v>
      </c>
      <c r="AM929">
        <v>72.451393336683495</v>
      </c>
      <c r="AN929">
        <v>1.00000004577006</v>
      </c>
    </row>
    <row r="930" spans="1:40" x14ac:dyDescent="0.25">
      <c r="A930" t="str">
        <f>"20190312164451710"</f>
        <v>20190312164451710</v>
      </c>
      <c r="B930" t="str">
        <f>"1552380291702158"</f>
        <v>1552380291702158</v>
      </c>
      <c r="C930" t="s">
        <v>40</v>
      </c>
      <c r="D930">
        <v>6.0416660000000002</v>
      </c>
      <c r="E930">
        <v>0.55183519999999997</v>
      </c>
      <c r="F930" t="s">
        <v>45</v>
      </c>
      <c r="G930">
        <v>-203.8227</v>
      </c>
      <c r="H930" s="1">
        <v>-4.1464319999999998E-6</v>
      </c>
      <c r="I930">
        <v>361.57060000000001</v>
      </c>
      <c r="J930">
        <v>-213.54079999999999</v>
      </c>
      <c r="K930">
        <v>1.104679</v>
      </c>
      <c r="L930">
        <v>367.13630000000001</v>
      </c>
      <c r="M930">
        <v>0.995035</v>
      </c>
      <c r="N930">
        <v>0</v>
      </c>
      <c r="O930">
        <v>-9.8475660000000007E-2</v>
      </c>
      <c r="P930">
        <v>0.91505590000000003</v>
      </c>
      <c r="Q930">
        <v>8.4564719999999996E-2</v>
      </c>
      <c r="R930">
        <v>-0.3943625</v>
      </c>
      <c r="S930">
        <v>2.6613159999999998</v>
      </c>
      <c r="T930">
        <v>-0.29674299999999998</v>
      </c>
      <c r="U930">
        <v>-1.500305</v>
      </c>
      <c r="V930">
        <v>0.30325159999999901</v>
      </c>
      <c r="W930">
        <v>9.5353300000000002E-2</v>
      </c>
      <c r="X930">
        <v>0.94812770000000002</v>
      </c>
      <c r="Y930">
        <v>0.40149770000000001</v>
      </c>
      <c r="Z930">
        <v>-1.066784E-2</v>
      </c>
      <c r="AA930">
        <v>0.91579790000000005</v>
      </c>
      <c r="AB930">
        <v>40</v>
      </c>
      <c r="AC930">
        <v>9.7180999999999909</v>
      </c>
      <c r="AD930">
        <v>-1.1046831464319999</v>
      </c>
      <c r="AE930">
        <v>-5.5656999999999899</v>
      </c>
      <c r="AF930">
        <v>4.5373972648222702</v>
      </c>
      <c r="AG930">
        <v>-1.1046831464319999</v>
      </c>
      <c r="AH930">
        <v>10.1205249493319</v>
      </c>
      <c r="AI930">
        <v>95.687938395101398</v>
      </c>
      <c r="AJ930">
        <v>65.851581503272001</v>
      </c>
      <c r="AK930">
        <v>11.146000360796499</v>
      </c>
      <c r="AL930">
        <v>84.528345057279196</v>
      </c>
      <c r="AM930">
        <v>72.263510978544005</v>
      </c>
      <c r="AN930">
        <v>0.99999996011536896</v>
      </c>
    </row>
    <row r="931" spans="1:40" x14ac:dyDescent="0.25">
      <c r="A931" t="str">
        <f>"20190312164451723"</f>
        <v>20190312164451723</v>
      </c>
      <c r="B931" t="str">
        <f>"1552380291712894"</f>
        <v>1552380291712894</v>
      </c>
      <c r="C931" t="s">
        <v>40</v>
      </c>
      <c r="D931">
        <v>5.209759</v>
      </c>
      <c r="E931">
        <v>0.55159530000000001</v>
      </c>
      <c r="F931" t="s">
        <v>45</v>
      </c>
      <c r="G931">
        <v>-203.32820000000001</v>
      </c>
      <c r="H931" s="1">
        <v>-3.9534089999999997E-6</v>
      </c>
      <c r="I931">
        <v>361.31880000000001</v>
      </c>
      <c r="J931">
        <v>-213.30439999999999</v>
      </c>
      <c r="K931">
        <v>1.1046309999999999</v>
      </c>
      <c r="L931">
        <v>367.11110000000002</v>
      </c>
      <c r="M931">
        <v>0.99481350000000002</v>
      </c>
      <c r="N931">
        <v>0</v>
      </c>
      <c r="O931">
        <v>-0.10068920000000001</v>
      </c>
      <c r="P931">
        <v>0.91300329999999996</v>
      </c>
      <c r="Q931">
        <v>8.4241460000000004E-2</v>
      </c>
      <c r="R931">
        <v>-0.39916000000000001</v>
      </c>
      <c r="S931">
        <v>2.6535639999999998</v>
      </c>
      <c r="T931">
        <v>-0.28703119999999999</v>
      </c>
      <c r="U931">
        <v>-1.511566</v>
      </c>
      <c r="V931">
        <v>0.30612549999999999</v>
      </c>
      <c r="W931">
        <v>9.4952209999999995E-2</v>
      </c>
      <c r="X931">
        <v>0.94724399999999997</v>
      </c>
      <c r="Y931">
        <v>0.40363149999999998</v>
      </c>
      <c r="Z931">
        <v>-1.0225669999999999E-2</v>
      </c>
      <c r="AA931">
        <v>0.91486449999999997</v>
      </c>
      <c r="AB931">
        <v>40</v>
      </c>
      <c r="AC931">
        <v>9.9761999999999702</v>
      </c>
      <c r="AD931">
        <v>-1.1046349534090001</v>
      </c>
      <c r="AE931">
        <v>-5.7923000000000098</v>
      </c>
      <c r="AF931">
        <v>4.7150231615438001</v>
      </c>
      <c r="AG931">
        <v>-1.1046349534090001</v>
      </c>
      <c r="AH931">
        <v>10.4132889032755</v>
      </c>
      <c r="AI931">
        <v>95.519634543463894</v>
      </c>
      <c r="AJ931">
        <v>65.6395031317101</v>
      </c>
      <c r="AK931">
        <v>11.484260863341101</v>
      </c>
      <c r="AL931">
        <v>84.551430621425297</v>
      </c>
      <c r="AM931">
        <v>72.0904687194937</v>
      </c>
      <c r="AN931">
        <v>0.999999969735066</v>
      </c>
    </row>
    <row r="932" spans="1:40" x14ac:dyDescent="0.25">
      <c r="A932" t="str">
        <f>"20190312164451735"</f>
        <v>20190312164451735</v>
      </c>
      <c r="B932" t="str">
        <f>"1552380291732414"</f>
        <v>1552380291732414</v>
      </c>
      <c r="C932" t="s">
        <v>40</v>
      </c>
      <c r="D932">
        <v>5.4854669999999999</v>
      </c>
      <c r="E932">
        <v>0.55139009999999999</v>
      </c>
      <c r="F932" t="s">
        <v>45</v>
      </c>
      <c r="G932">
        <v>-202.9308</v>
      </c>
      <c r="H932" s="1">
        <v>-3.7942250000000001E-6</v>
      </c>
      <c r="I932">
        <v>361.13479999999998</v>
      </c>
      <c r="J932">
        <v>-213.0985</v>
      </c>
      <c r="K932">
        <v>1.1045830000000001</v>
      </c>
      <c r="L932">
        <v>367.08870000000002</v>
      </c>
      <c r="M932">
        <v>0.99461279999999996</v>
      </c>
      <c r="N932">
        <v>0</v>
      </c>
      <c r="O932">
        <v>-0.1026528</v>
      </c>
      <c r="P932">
        <v>0.91108650000000002</v>
      </c>
      <c r="Q932">
        <v>8.4022579999999999E-2</v>
      </c>
      <c r="R932">
        <v>-0.40356150000000002</v>
      </c>
      <c r="S932">
        <v>2.6455380000000002</v>
      </c>
      <c r="T932">
        <v>-0.28170869999999998</v>
      </c>
      <c r="U932">
        <v>-1.5241089999999999</v>
      </c>
      <c r="V932">
        <v>0.30883569999999999</v>
      </c>
      <c r="W932">
        <v>9.4658839999999994E-2</v>
      </c>
      <c r="X932">
        <v>0.94639329999999999</v>
      </c>
      <c r="Y932">
        <v>0.40632360000000001</v>
      </c>
      <c r="Z932">
        <v>-9.9953430000000003E-3</v>
      </c>
      <c r="AA932">
        <v>0.9136746</v>
      </c>
      <c r="AB932">
        <v>40</v>
      </c>
      <c r="AC932">
        <v>10.1676999999999</v>
      </c>
      <c r="AD932">
        <v>-1.1045867942250001</v>
      </c>
      <c r="AE932">
        <v>-5.9539000000000302</v>
      </c>
      <c r="AF932">
        <v>4.83608734957705</v>
      </c>
      <c r="AG932">
        <v>-1.1045867942250001</v>
      </c>
      <c r="AH932">
        <v>10.6317862826692</v>
      </c>
      <c r="AI932">
        <v>95.402435051814294</v>
      </c>
      <c r="AJ932">
        <v>65.540606088479905</v>
      </c>
      <c r="AK932">
        <v>11.732123950890999</v>
      </c>
      <c r="AL932">
        <v>84.568315876532793</v>
      </c>
      <c r="AM932">
        <v>71.926987177322204</v>
      </c>
      <c r="AN932">
        <v>1.0000000319347599</v>
      </c>
    </row>
    <row r="933" spans="1:40" x14ac:dyDescent="0.25">
      <c r="A933" t="str">
        <f>"20190312164451750"</f>
        <v>20190312164451750</v>
      </c>
      <c r="B933" t="str">
        <f>"1552380291742174"</f>
        <v>1552380291742174</v>
      </c>
      <c r="C933" t="s">
        <v>40</v>
      </c>
      <c r="D933">
        <v>5.180237</v>
      </c>
      <c r="E933">
        <v>0.55097489999999905</v>
      </c>
      <c r="F933" t="s">
        <v>45</v>
      </c>
      <c r="G933">
        <v>-202.62549999999999</v>
      </c>
      <c r="H933" s="1">
        <v>-3.6718810000000001E-6</v>
      </c>
      <c r="I933">
        <v>360.99369999999999</v>
      </c>
      <c r="J933">
        <v>-212.83</v>
      </c>
      <c r="K933">
        <v>1.1045180000000001</v>
      </c>
      <c r="L933">
        <v>367.05889999999999</v>
      </c>
      <c r="M933">
        <v>0.99434069999999997</v>
      </c>
      <c r="N933">
        <v>0</v>
      </c>
      <c r="O933">
        <v>-0.10525569999999999</v>
      </c>
      <c r="P933">
        <v>0.90774569999999999</v>
      </c>
      <c r="Q933">
        <v>8.4441829999999996E-2</v>
      </c>
      <c r="R933">
        <v>-0.41093479999999999</v>
      </c>
      <c r="S933">
        <v>2.6383359999999998</v>
      </c>
      <c r="T933">
        <v>-0.27826450000000003</v>
      </c>
      <c r="U933">
        <v>-1.535431</v>
      </c>
      <c r="V933">
        <v>0.31405680000000002</v>
      </c>
      <c r="W933">
        <v>9.4949350000000002E-2</v>
      </c>
      <c r="X933">
        <v>0.94464429999999999</v>
      </c>
      <c r="Y933">
        <v>0.4079778</v>
      </c>
      <c r="Z933">
        <v>-9.7189249999999998E-3</v>
      </c>
      <c r="AA933">
        <v>0.91294010000000003</v>
      </c>
      <c r="AB933">
        <v>40</v>
      </c>
      <c r="AC933">
        <v>10.204499999999999</v>
      </c>
      <c r="AD933">
        <v>-1.104521671881</v>
      </c>
      <c r="AE933">
        <v>-6.0651999999999999</v>
      </c>
      <c r="AF933">
        <v>4.9147601723736702</v>
      </c>
      <c r="AG933">
        <v>-1.104521671881</v>
      </c>
      <c r="AH933">
        <v>10.6936892801906</v>
      </c>
      <c r="AI933">
        <v>95.361500018078004</v>
      </c>
      <c r="AJ933">
        <v>65.316751235098096</v>
      </c>
      <c r="AK933">
        <v>11.8207371215533</v>
      </c>
      <c r="AL933">
        <v>84.551595140201201</v>
      </c>
      <c r="AM933">
        <v>71.610078007933794</v>
      </c>
      <c r="AN933">
        <v>0.99999995310707501</v>
      </c>
    </row>
    <row r="934" spans="1:40" x14ac:dyDescent="0.25">
      <c r="A934" t="str">
        <f>"20190312164451761"</f>
        <v>20190312164451761</v>
      </c>
      <c r="B934" t="str">
        <f>"1552380291752910"</f>
        <v>1552380291752910</v>
      </c>
      <c r="C934" t="s">
        <v>40</v>
      </c>
      <c r="D934">
        <v>5.1580620000000001</v>
      </c>
      <c r="E934">
        <v>0.5505449</v>
      </c>
      <c r="F934" t="s">
        <v>45</v>
      </c>
      <c r="G934">
        <v>-202.2664</v>
      </c>
      <c r="H934" s="1">
        <v>-3.532312E-6</v>
      </c>
      <c r="I934">
        <v>360.8082</v>
      </c>
      <c r="J934">
        <v>-212.62459999999999</v>
      </c>
      <c r="K934">
        <v>1.1044590000000001</v>
      </c>
      <c r="L934">
        <v>367.03550000000001</v>
      </c>
      <c r="M934">
        <v>0.99412089999999997</v>
      </c>
      <c r="N934">
        <v>0</v>
      </c>
      <c r="O934">
        <v>-0.10731259999999999</v>
      </c>
      <c r="P934">
        <v>0.9055955</v>
      </c>
      <c r="Q934">
        <v>8.4640110000000005E-2</v>
      </c>
      <c r="R934">
        <v>-0.41561160000000003</v>
      </c>
      <c r="S934">
        <v>2.6267849999999999</v>
      </c>
      <c r="T934">
        <v>-0.27465400000000001</v>
      </c>
      <c r="U934">
        <v>-1.5543209999999901</v>
      </c>
      <c r="V934">
        <v>0.31699509999999997</v>
      </c>
      <c r="W934">
        <v>9.5056639999999998E-2</v>
      </c>
      <c r="X934">
        <v>0.94365160000000003</v>
      </c>
      <c r="Y934">
        <v>0.41272370000000003</v>
      </c>
      <c r="Z934">
        <v>-9.6486829999999999E-3</v>
      </c>
      <c r="AA934">
        <v>0.91080519999999998</v>
      </c>
      <c r="AB934">
        <v>40</v>
      </c>
      <c r="AC934">
        <v>10.358199999999901</v>
      </c>
      <c r="AD934">
        <v>-1.1044625323119901</v>
      </c>
      <c r="AE934">
        <v>-6.2273000000000103</v>
      </c>
      <c r="AF934">
        <v>5.0375824724266902</v>
      </c>
      <c r="AG934">
        <v>-1.1044625323119901</v>
      </c>
      <c r="AH934">
        <v>10.875885438161699</v>
      </c>
      <c r="AI934">
        <v>95.264750340497898</v>
      </c>
      <c r="AJ934">
        <v>65.146981561667303</v>
      </c>
      <c r="AK934">
        <v>12.0366921833118</v>
      </c>
      <c r="AL934">
        <v>84.545420202925101</v>
      </c>
      <c r="AM934">
        <v>71.431570876759395</v>
      </c>
      <c r="AN934">
        <v>1.0000000002073199</v>
      </c>
    </row>
    <row r="935" spans="1:40" x14ac:dyDescent="0.25">
      <c r="A935" t="str">
        <f>"20190312164451773"</f>
        <v>20190312164451773</v>
      </c>
      <c r="B935" t="str">
        <f>"1552380291762670"</f>
        <v>1552380291762670</v>
      </c>
      <c r="C935" t="s">
        <v>40</v>
      </c>
      <c r="D935">
        <v>5.1984399999999997</v>
      </c>
      <c r="E935">
        <v>0.55003919999999995</v>
      </c>
      <c r="F935" t="s">
        <v>45</v>
      </c>
      <c r="G935">
        <v>-201.99930000000001</v>
      </c>
      <c r="H935" s="1">
        <v>-3.4241800000000001E-6</v>
      </c>
      <c r="I935">
        <v>360.68979999999999</v>
      </c>
      <c r="J935">
        <v>-212.41929999999999</v>
      </c>
      <c r="K935">
        <v>1.1043940000000001</v>
      </c>
      <c r="L935">
        <v>367.01170000000002</v>
      </c>
      <c r="M935">
        <v>0.99389349999999999</v>
      </c>
      <c r="N935">
        <v>0</v>
      </c>
      <c r="O935">
        <v>-0.109399</v>
      </c>
      <c r="P935">
        <v>0.90344040000000003</v>
      </c>
      <c r="Q935">
        <v>8.4840949999999998E-2</v>
      </c>
      <c r="R935">
        <v>-0.42023559999999999</v>
      </c>
      <c r="S935">
        <v>2.6200709999999998</v>
      </c>
      <c r="T935">
        <v>-0.27234770000000003</v>
      </c>
      <c r="U935">
        <v>-1.564789</v>
      </c>
      <c r="V935">
        <v>0.319859</v>
      </c>
      <c r="W935">
        <v>9.5166280000000006E-2</v>
      </c>
      <c r="X935">
        <v>0.9426736</v>
      </c>
      <c r="Y935">
        <v>0.41454079999999899</v>
      </c>
      <c r="Z935">
        <v>-9.4715219999999996E-3</v>
      </c>
      <c r="AA935">
        <v>0.90998140000000005</v>
      </c>
      <c r="AB935">
        <v>40</v>
      </c>
      <c r="AC935">
        <v>10.4199999999999</v>
      </c>
      <c r="AD935">
        <v>-1.1043974241800001</v>
      </c>
      <c r="AE935">
        <v>-6.3219000000000198</v>
      </c>
      <c r="AF935">
        <v>5.1019988158210401</v>
      </c>
      <c r="AG935">
        <v>-1.1043974241800001</v>
      </c>
      <c r="AH935">
        <v>10.959140462956499</v>
      </c>
      <c r="AI935">
        <v>95.219990552192002</v>
      </c>
      <c r="AJ935">
        <v>65.035792279345998</v>
      </c>
      <c r="AK935">
        <v>12.138898025520501</v>
      </c>
      <c r="AL935">
        <v>84.539109456928401</v>
      </c>
      <c r="AM935">
        <v>71.257388803527505</v>
      </c>
      <c r="AN935">
        <v>0.99999995843349798</v>
      </c>
    </row>
    <row r="936" spans="1:40" x14ac:dyDescent="0.25">
      <c r="A936" t="str">
        <f>"20190312164451786"</f>
        <v>20190312164451786</v>
      </c>
      <c r="B936" t="str">
        <f>"1552380291782190"</f>
        <v>1552380291782190</v>
      </c>
      <c r="C936" t="s">
        <v>40</v>
      </c>
      <c r="D936">
        <v>5.2986329999999997</v>
      </c>
      <c r="E936">
        <v>0.54956019999999906</v>
      </c>
      <c r="F936" t="s">
        <v>45</v>
      </c>
      <c r="G936">
        <v>-201.76169999999999</v>
      </c>
      <c r="H936" s="1">
        <v>-3.3259790000000001E-6</v>
      </c>
      <c r="I936">
        <v>360.59339999999997</v>
      </c>
      <c r="J936">
        <v>-212.20140000000001</v>
      </c>
      <c r="K936">
        <v>1.10432</v>
      </c>
      <c r="L936">
        <v>366.98599999999999</v>
      </c>
      <c r="M936">
        <v>0.99364180000000002</v>
      </c>
      <c r="N936">
        <v>0</v>
      </c>
      <c r="O936">
        <v>-0.1116607</v>
      </c>
      <c r="P936">
        <v>0.90117910000000001</v>
      </c>
      <c r="Q936">
        <v>8.4937830000000006E-2</v>
      </c>
      <c r="R936">
        <v>-0.42504340000000002</v>
      </c>
      <c r="S936">
        <v>2.6138460000000001</v>
      </c>
      <c r="T936">
        <v>-0.27086090000000002</v>
      </c>
      <c r="U936">
        <v>-1.5741579999999999</v>
      </c>
      <c r="V936">
        <v>0.32275670000000001</v>
      </c>
      <c r="W936">
        <v>9.5164380000000007E-2</v>
      </c>
      <c r="X936">
        <v>0.94168569999999996</v>
      </c>
      <c r="Y936">
        <v>0.41583629999999999</v>
      </c>
      <c r="Z936">
        <v>-9.2819740000000001E-3</v>
      </c>
      <c r="AA936">
        <v>0.90939210000000004</v>
      </c>
      <c r="AB936">
        <v>40</v>
      </c>
      <c r="AC936">
        <v>10.4397</v>
      </c>
      <c r="AD936">
        <v>-1.104323325979</v>
      </c>
      <c r="AE936">
        <v>-6.3926000000000096</v>
      </c>
      <c r="AF936">
        <v>5.1449191090402104</v>
      </c>
      <c r="AG936">
        <v>-1.104323325979</v>
      </c>
      <c r="AH936">
        <v>10.998766871054</v>
      </c>
      <c r="AI936">
        <v>95.196531863785594</v>
      </c>
      <c r="AJ936">
        <v>64.931106418612202</v>
      </c>
      <c r="AK936">
        <v>12.1927271490288</v>
      </c>
      <c r="AL936">
        <v>84.539219328285995</v>
      </c>
      <c r="AM936">
        <v>71.081179574034607</v>
      </c>
      <c r="AN936">
        <v>1.00000005210008</v>
      </c>
    </row>
    <row r="937" spans="1:40" x14ac:dyDescent="0.25">
      <c r="A937" t="str">
        <f>"20190312164451807"</f>
        <v>20190312164451807</v>
      </c>
      <c r="B937" t="str">
        <f>"1552380291802686"</f>
        <v>1552380291802686</v>
      </c>
      <c r="C937" t="s">
        <v>40</v>
      </c>
      <c r="D937">
        <v>5.2564199999999897</v>
      </c>
      <c r="E937">
        <v>0.54135679999999997</v>
      </c>
      <c r="F937" t="s">
        <v>45</v>
      </c>
      <c r="G937">
        <v>-201.56</v>
      </c>
      <c r="H937" s="1">
        <v>-3.2404450000000001E-6</v>
      </c>
      <c r="I937">
        <v>360.52140000000003</v>
      </c>
      <c r="J937">
        <v>-211.8271</v>
      </c>
      <c r="K937">
        <v>1.1041749999999999</v>
      </c>
      <c r="L937">
        <v>366.94060000000002</v>
      </c>
      <c r="M937">
        <v>0.99318209999999996</v>
      </c>
      <c r="N937">
        <v>0</v>
      </c>
      <c r="O937">
        <v>-0.1156799</v>
      </c>
      <c r="P937">
        <v>0.89687790000000001</v>
      </c>
      <c r="Q937">
        <v>8.4575650000000002E-2</v>
      </c>
      <c r="R937">
        <v>-0.43411719999999998</v>
      </c>
      <c r="S937">
        <v>2.6073759999999999</v>
      </c>
      <c r="T937">
        <v>-0.27058389999999999</v>
      </c>
      <c r="U937">
        <v>-1.5839840000000001</v>
      </c>
      <c r="V937">
        <v>0.32847500000000002</v>
      </c>
      <c r="W937">
        <v>9.4610890000000003E-2</v>
      </c>
      <c r="X937">
        <v>0.93976219999999999</v>
      </c>
      <c r="Y937">
        <v>0.4156801</v>
      </c>
      <c r="Z937">
        <v>-8.9011739999999995E-3</v>
      </c>
      <c r="AA937">
        <v>0.90946729999999998</v>
      </c>
      <c r="AB937">
        <v>40</v>
      </c>
      <c r="AC937">
        <v>10.267099999999999</v>
      </c>
      <c r="AD937">
        <v>-1.104178240445</v>
      </c>
      <c r="AE937">
        <v>-6.4191999999999796</v>
      </c>
      <c r="AF937">
        <v>5.1454885391816303</v>
      </c>
      <c r="AG937">
        <v>-1.104178240445</v>
      </c>
      <c r="AH937">
        <v>10.850579741105699</v>
      </c>
      <c r="AI937">
        <v>95.253430514247398</v>
      </c>
      <c r="AJ937">
        <v>64.629072882750705</v>
      </c>
      <c r="AK937">
        <v>12.0594503445064</v>
      </c>
      <c r="AL937">
        <v>84.571075525967601</v>
      </c>
      <c r="AM937">
        <v>70.733951953075703</v>
      </c>
      <c r="AN937">
        <v>1.0000000193402101</v>
      </c>
    </row>
    <row r="938" spans="1:40" x14ac:dyDescent="0.25">
      <c r="A938" t="str">
        <f>"20190312164451820"</f>
        <v>20190312164451820</v>
      </c>
      <c r="B938" t="str">
        <f>"1552380291812446"</f>
        <v>1552380291812446</v>
      </c>
      <c r="C938" t="s">
        <v>40</v>
      </c>
      <c r="D938">
        <v>5.1585190000000001</v>
      </c>
      <c r="E938">
        <v>0.54146640000000001</v>
      </c>
      <c r="F938" t="s">
        <v>45</v>
      </c>
      <c r="G938">
        <v>-204.53110000000001</v>
      </c>
      <c r="H938" s="1">
        <v>-4.2542970000000002E-6</v>
      </c>
      <c r="I938">
        <v>362.69189999999998</v>
      </c>
      <c r="J938">
        <v>-211.58850000000001</v>
      </c>
      <c r="K938">
        <v>1.10408</v>
      </c>
      <c r="L938">
        <v>366.91059999999999</v>
      </c>
      <c r="M938">
        <v>0.99286719999999895</v>
      </c>
      <c r="N938">
        <v>0</v>
      </c>
      <c r="O938">
        <v>-0.11835080000000001</v>
      </c>
      <c r="P938">
        <v>0.89446569999999903</v>
      </c>
      <c r="Q938">
        <v>8.4127839999999995E-2</v>
      </c>
      <c r="R938">
        <v>-0.43915090000000001</v>
      </c>
      <c r="S938">
        <v>2.6387939999999999</v>
      </c>
      <c r="T938">
        <v>-0.39935920000000003</v>
      </c>
      <c r="U938">
        <v>-1.5366519999999999</v>
      </c>
      <c r="V938">
        <v>0.33124320000000002</v>
      </c>
      <c r="W938">
        <v>9.4045989999999996E-2</v>
      </c>
      <c r="X938">
        <v>0.93884679999999998</v>
      </c>
      <c r="Y938">
        <v>0.3950823</v>
      </c>
      <c r="Z938">
        <v>-1.121788E-2</v>
      </c>
      <c r="AA938">
        <v>0.91857730000000004</v>
      </c>
      <c r="AB938">
        <v>40</v>
      </c>
      <c r="AC938">
        <v>7.0574000000000003</v>
      </c>
      <c r="AD938">
        <v>-1.104084254297</v>
      </c>
      <c r="AE938">
        <v>-4.2187000000000099</v>
      </c>
      <c r="AF938">
        <v>3.29430736484092</v>
      </c>
      <c r="AG938">
        <v>-1.104084254297</v>
      </c>
      <c r="AH938">
        <v>7.3741609692476704</v>
      </c>
      <c r="AI938">
        <v>97.784220913638606</v>
      </c>
      <c r="AJ938">
        <v>65.927937871821698</v>
      </c>
      <c r="AK938">
        <v>8.1516693416138697</v>
      </c>
      <c r="AL938">
        <v>84.603586823949996</v>
      </c>
      <c r="AM938">
        <v>70.566178755901106</v>
      </c>
      <c r="AN938">
        <v>1.00000000982578</v>
      </c>
    </row>
    <row r="939" spans="1:40" x14ac:dyDescent="0.25">
      <c r="A939" t="str">
        <f>"20190312164451834"</f>
        <v>20190312164451834</v>
      </c>
      <c r="B939" t="str">
        <f>"1552380291822206"</f>
        <v>1552380291822206</v>
      </c>
      <c r="C939" t="s">
        <v>40</v>
      </c>
      <c r="D939">
        <v>5.1937670000000002</v>
      </c>
      <c r="E939">
        <v>0.54180090000000003</v>
      </c>
      <c r="F939" t="s">
        <v>45</v>
      </c>
      <c r="G939">
        <v>-204.18960000000001</v>
      </c>
      <c r="H939" s="1">
        <v>-4.1161110000000004E-6</v>
      </c>
      <c r="I939">
        <v>362.5401</v>
      </c>
      <c r="J939">
        <v>-211.3365</v>
      </c>
      <c r="K939">
        <v>1.103969</v>
      </c>
      <c r="L939">
        <v>366.87830000000002</v>
      </c>
      <c r="M939">
        <v>0.99251829999999996</v>
      </c>
      <c r="N939">
        <v>0</v>
      </c>
      <c r="O939">
        <v>-0.1212423</v>
      </c>
      <c r="P939">
        <v>0.89188190000000001</v>
      </c>
      <c r="Q939">
        <v>8.3827180000000001E-2</v>
      </c>
      <c r="R939">
        <v>-0.44443250000000001</v>
      </c>
      <c r="S939">
        <v>2.6285400000000001</v>
      </c>
      <c r="T939">
        <v>-0.3922368</v>
      </c>
      <c r="U939">
        <v>-1.552673</v>
      </c>
      <c r="V939">
        <v>0.33407979999999998</v>
      </c>
      <c r="W939">
        <v>9.3616350000000001E-2</v>
      </c>
      <c r="X939">
        <v>0.93788419999999895</v>
      </c>
      <c r="Y939">
        <v>0.3981999</v>
      </c>
      <c r="Z939">
        <v>-1.086761E-2</v>
      </c>
      <c r="AA939">
        <v>0.91723429999999995</v>
      </c>
      <c r="AB939">
        <v>40</v>
      </c>
      <c r="AC939">
        <v>7.14689999999998</v>
      </c>
      <c r="AD939">
        <v>-1.103973116111</v>
      </c>
      <c r="AE939">
        <v>-4.33820000000002</v>
      </c>
      <c r="AF939">
        <v>3.3806479898201198</v>
      </c>
      <c r="AG939">
        <v>-1.103973116111</v>
      </c>
      <c r="AH939">
        <v>7.4896038372136404</v>
      </c>
      <c r="AI939">
        <v>97.651784243743194</v>
      </c>
      <c r="AJ939">
        <v>65.706595165995793</v>
      </c>
      <c r="AK939">
        <v>8.29106163953543</v>
      </c>
      <c r="AL939">
        <v>84.628312702689897</v>
      </c>
      <c r="AM939">
        <v>70.393805577301805</v>
      </c>
      <c r="AN939">
        <v>1.00000005318249</v>
      </c>
    </row>
    <row r="940" spans="1:40" x14ac:dyDescent="0.25">
      <c r="A940" t="str">
        <f>"20190312164451845"</f>
        <v>20190312164451845</v>
      </c>
      <c r="B940" t="str">
        <f>"1552380291842702"</f>
        <v>1552380291842702</v>
      </c>
      <c r="C940" t="s">
        <v>40</v>
      </c>
      <c r="D940">
        <v>5.1650199999999904</v>
      </c>
      <c r="E940">
        <v>0.54123619999999995</v>
      </c>
      <c r="F940" t="s">
        <v>45</v>
      </c>
      <c r="G940">
        <v>-203.88210000000001</v>
      </c>
      <c r="H940" s="1">
        <v>-3.9915480000000003E-6</v>
      </c>
      <c r="I940">
        <v>362.40390000000002</v>
      </c>
      <c r="J940">
        <v>-211.12710000000001</v>
      </c>
      <c r="K940">
        <v>1.103874</v>
      </c>
      <c r="L940">
        <v>366.85090000000002</v>
      </c>
      <c r="M940">
        <v>0.99221349999999997</v>
      </c>
      <c r="N940">
        <v>0</v>
      </c>
      <c r="O940">
        <v>-0.1237111</v>
      </c>
      <c r="P940">
        <v>0.88962659999999905</v>
      </c>
      <c r="Q940">
        <v>8.3557030000000004E-2</v>
      </c>
      <c r="R940">
        <v>-0.44897989999999999</v>
      </c>
      <c r="S940">
        <v>2.617264</v>
      </c>
      <c r="T940">
        <v>-0.38760790000000001</v>
      </c>
      <c r="U940">
        <v>-1.5709839999999999</v>
      </c>
      <c r="V940">
        <v>0.33655220000000002</v>
      </c>
      <c r="W940">
        <v>9.3230859999999999E-2</v>
      </c>
      <c r="X940">
        <v>0.93703820000000004</v>
      </c>
      <c r="Y940">
        <v>0.40240949999999998</v>
      </c>
      <c r="Z940">
        <v>-1.072204E-2</v>
      </c>
      <c r="AA940">
        <v>0.91539700000000002</v>
      </c>
      <c r="AB940">
        <v>40</v>
      </c>
      <c r="AC940">
        <v>7.2450000000000001</v>
      </c>
      <c r="AD940">
        <v>-1.1038779915479999</v>
      </c>
      <c r="AE940">
        <v>-4.4470000000000001</v>
      </c>
      <c r="AF940">
        <v>3.45814095045806</v>
      </c>
      <c r="AG940">
        <v>-1.1038779915479999</v>
      </c>
      <c r="AH940">
        <v>7.6111947879194002</v>
      </c>
      <c r="AI940">
        <v>97.522012403244204</v>
      </c>
      <c r="AJ940">
        <v>65.565360737859706</v>
      </c>
      <c r="AK940">
        <v>8.4325305545316898</v>
      </c>
      <c r="AL940">
        <v>84.650496294730203</v>
      </c>
      <c r="AM940">
        <v>70.243440551747099</v>
      </c>
      <c r="AN940">
        <v>0.99999998242020904</v>
      </c>
    </row>
    <row r="941" spans="1:40" x14ac:dyDescent="0.25">
      <c r="A941" t="str">
        <f>"20190312164451858"</f>
        <v>20190312164451858</v>
      </c>
      <c r="B941" t="str">
        <f>"1552380291852462"</f>
        <v>1552380291852462</v>
      </c>
      <c r="C941" t="s">
        <v>40</v>
      </c>
      <c r="D941">
        <v>5.8553050000000004</v>
      </c>
      <c r="E941">
        <v>0.5416221</v>
      </c>
      <c r="F941" t="s">
        <v>45</v>
      </c>
      <c r="G941">
        <v>-203.53550000000001</v>
      </c>
      <c r="H941" s="1">
        <v>-3.8510050000000004E-6</v>
      </c>
      <c r="I941">
        <v>362.25119999999998</v>
      </c>
      <c r="J941">
        <v>-210.91120000000001</v>
      </c>
      <c r="K941">
        <v>1.1037669999999999</v>
      </c>
      <c r="L941">
        <v>366.8218</v>
      </c>
      <c r="M941">
        <v>0.99188200000000004</v>
      </c>
      <c r="N941">
        <v>0</v>
      </c>
      <c r="O941">
        <v>-0.1263415</v>
      </c>
      <c r="P941">
        <v>0.88714340000000003</v>
      </c>
      <c r="Q941">
        <v>8.3227519999999999E-2</v>
      </c>
      <c r="R941">
        <v>-0.45392700000000002</v>
      </c>
      <c r="S941">
        <v>2.6098330000000001</v>
      </c>
      <c r="T941">
        <v>-0.3794903</v>
      </c>
      <c r="U941">
        <v>-1.5812679999999999</v>
      </c>
      <c r="V941">
        <v>0.33930359999999998</v>
      </c>
      <c r="W941">
        <v>9.2774140000000005E-2</v>
      </c>
      <c r="X941">
        <v>0.9360908</v>
      </c>
      <c r="Y941">
        <v>0.40387220000000001</v>
      </c>
      <c r="Z941">
        <v>-1.027058E-2</v>
      </c>
      <c r="AA941">
        <v>0.91475779999999995</v>
      </c>
      <c r="AB941">
        <v>40</v>
      </c>
      <c r="AC941">
        <v>7.3756999999999904</v>
      </c>
      <c r="AD941">
        <v>-1.1037708510049999</v>
      </c>
      <c r="AE941">
        <v>-4.5706000000000104</v>
      </c>
      <c r="AF941">
        <v>3.54465628650191</v>
      </c>
      <c r="AG941">
        <v>-1.1037708510049999</v>
      </c>
      <c r="AH941">
        <v>7.7683986291698197</v>
      </c>
      <c r="AI941">
        <v>97.365439719861797</v>
      </c>
      <c r="AJ941">
        <v>65.473176703595499</v>
      </c>
      <c r="AK941">
        <v>8.6099312159071992</v>
      </c>
      <c r="AL941">
        <v>84.676778320218801</v>
      </c>
      <c r="AM941">
        <v>70.076005258390097</v>
      </c>
      <c r="AN941">
        <v>0.99999997993516898</v>
      </c>
    </row>
    <row r="942" spans="1:40" x14ac:dyDescent="0.25">
      <c r="A942" t="str">
        <f>"20190312164451872"</f>
        <v>20190312164451872</v>
      </c>
      <c r="B942" t="str">
        <f>"1552380291862222"</f>
        <v>1552380291862222</v>
      </c>
      <c r="C942" t="s">
        <v>40</v>
      </c>
      <c r="D942">
        <v>5.29061</v>
      </c>
      <c r="E942">
        <v>0.54079980000000005</v>
      </c>
      <c r="F942" t="s">
        <v>45</v>
      </c>
      <c r="G942">
        <v>-203.45339999999999</v>
      </c>
      <c r="H942" s="1">
        <v>-3.8130639999999998E-6</v>
      </c>
      <c r="I942">
        <v>362.23590000000002</v>
      </c>
      <c r="J942">
        <v>-210.64580000000001</v>
      </c>
      <c r="K942">
        <v>1.103626</v>
      </c>
      <c r="L942">
        <v>366.78539999999998</v>
      </c>
      <c r="M942">
        <v>0.99145510000000003</v>
      </c>
      <c r="N942">
        <v>0</v>
      </c>
      <c r="O942">
        <v>-0.12964790000000001</v>
      </c>
      <c r="P942">
        <v>0.88291459999999999</v>
      </c>
      <c r="Q942">
        <v>8.3539749999999996E-2</v>
      </c>
      <c r="R942">
        <v>-0.46204260000000003</v>
      </c>
      <c r="S942">
        <v>2.599777</v>
      </c>
      <c r="T942">
        <v>-0.38477289999999997</v>
      </c>
      <c r="U942">
        <v>-1.598633</v>
      </c>
      <c r="V942">
        <v>0.34480450000000001</v>
      </c>
      <c r="W942">
        <v>9.2887129999999998E-2</v>
      </c>
      <c r="X942">
        <v>0.93406739999999999</v>
      </c>
      <c r="Y942">
        <v>0.40677679999999999</v>
      </c>
      <c r="Z942">
        <v>-1.019103E-2</v>
      </c>
      <c r="AA942">
        <v>0.91347069999999997</v>
      </c>
      <c r="AB942">
        <v>40</v>
      </c>
      <c r="AC942">
        <v>7.1924000000000197</v>
      </c>
      <c r="AD942">
        <v>-1.1036298130640001</v>
      </c>
      <c r="AE942">
        <v>-4.5494999999999601</v>
      </c>
      <c r="AF942">
        <v>3.5193348990489901</v>
      </c>
      <c r="AG942">
        <v>-1.1036298130640001</v>
      </c>
      <c r="AH942">
        <v>7.5938758597731901</v>
      </c>
      <c r="AI942">
        <v>97.511652119424696</v>
      </c>
      <c r="AJ942">
        <v>65.134926460954205</v>
      </c>
      <c r="AK942">
        <v>8.4421956545435393</v>
      </c>
      <c r="AL942">
        <v>84.670276688094802</v>
      </c>
      <c r="AM942">
        <v>69.738725012459795</v>
      </c>
      <c r="AN942">
        <v>1.0000000349413201</v>
      </c>
    </row>
    <row r="943" spans="1:40" x14ac:dyDescent="0.25">
      <c r="A943" t="str">
        <f>"20190312164451884"</f>
        <v>20190312164451884</v>
      </c>
      <c r="B943" t="str">
        <f>"1552380291872958"</f>
        <v>1552380291872958</v>
      </c>
      <c r="C943" t="s">
        <v>40</v>
      </c>
      <c r="D943">
        <v>6.3420969999999999</v>
      </c>
      <c r="E943">
        <v>0.54026919999999901</v>
      </c>
      <c r="F943" t="s">
        <v>45</v>
      </c>
      <c r="G943">
        <v>-202.9742</v>
      </c>
      <c r="H943" s="1">
        <v>-3.6276560000000001E-6</v>
      </c>
      <c r="I943">
        <v>361.9846</v>
      </c>
      <c r="J943">
        <v>-210.4385</v>
      </c>
      <c r="K943">
        <v>1.1035140000000001</v>
      </c>
      <c r="L943">
        <v>366.75630000000001</v>
      </c>
      <c r="M943">
        <v>0.99110290000000001</v>
      </c>
      <c r="N943">
        <v>0</v>
      </c>
      <c r="O943">
        <v>-0.13231279999999901</v>
      </c>
      <c r="P943">
        <v>0.88028309999999999</v>
      </c>
      <c r="Q943">
        <v>8.3874950000000004E-2</v>
      </c>
      <c r="R943">
        <v>-0.4669759</v>
      </c>
      <c r="S943">
        <v>2.5861209999999999</v>
      </c>
      <c r="T943">
        <v>-0.37203930000000002</v>
      </c>
      <c r="U943">
        <v>-1.6183780000000001</v>
      </c>
      <c r="V943">
        <v>0.34755550000000002</v>
      </c>
      <c r="W943">
        <v>9.3086059999999998E-2</v>
      </c>
      <c r="X943">
        <v>0.93302739999999995</v>
      </c>
      <c r="Y943">
        <v>0.4116127</v>
      </c>
      <c r="Z943">
        <v>-9.8608020000000001E-3</v>
      </c>
      <c r="AA943">
        <v>0.91130549999999999</v>
      </c>
      <c r="AB943">
        <v>40</v>
      </c>
      <c r="AC943">
        <v>7.4642999999999997</v>
      </c>
      <c r="AD943">
        <v>-1.1035176276559999</v>
      </c>
      <c r="AE943">
        <v>-4.7717000000000098</v>
      </c>
      <c r="AF943">
        <v>3.6848401288674402</v>
      </c>
      <c r="AG943">
        <v>-1.1035176276559999</v>
      </c>
      <c r="AH943">
        <v>7.9073939394252504</v>
      </c>
      <c r="AI943">
        <v>97.209332480960796</v>
      </c>
      <c r="AJ943">
        <v>65.014513262718694</v>
      </c>
      <c r="AK943">
        <v>8.7933313848119301</v>
      </c>
      <c r="AL943">
        <v>84.658828971998503</v>
      </c>
      <c r="AM943">
        <v>69.569487028839802</v>
      </c>
      <c r="AN943">
        <v>0.99999998464866602</v>
      </c>
    </row>
    <row r="944" spans="1:40" x14ac:dyDescent="0.25">
      <c r="A944" t="str">
        <f>"20190312164451897"</f>
        <v>20190312164451897</v>
      </c>
      <c r="B944" t="str">
        <f>"1552380291892478"</f>
        <v>1552380291892478</v>
      </c>
      <c r="C944" t="s">
        <v>40</v>
      </c>
      <c r="D944">
        <v>5.3500019999999999</v>
      </c>
      <c r="E944">
        <v>0.53952339999999999</v>
      </c>
      <c r="F944" t="s">
        <v>45</v>
      </c>
      <c r="G944">
        <v>-202.60679999999999</v>
      </c>
      <c r="H944" s="1">
        <v>-3.4820689999999999E-6</v>
      </c>
      <c r="I944">
        <v>361.8073</v>
      </c>
      <c r="J944">
        <v>-210.2276</v>
      </c>
      <c r="K944">
        <v>1.1033959999999901</v>
      </c>
      <c r="L944">
        <v>366.726</v>
      </c>
      <c r="M944">
        <v>0.99072660000000001</v>
      </c>
      <c r="N944">
        <v>0</v>
      </c>
      <c r="O944">
        <v>-0.13510129999999901</v>
      </c>
      <c r="P944">
        <v>0.87758409999999998</v>
      </c>
      <c r="Q944">
        <v>8.4127999999999994E-2</v>
      </c>
      <c r="R944">
        <v>-0.47198390000000001</v>
      </c>
      <c r="S944">
        <v>2.5783079999999998</v>
      </c>
      <c r="T944">
        <v>-0.36329210000000001</v>
      </c>
      <c r="U944">
        <v>-1.6292719999999901</v>
      </c>
      <c r="V944">
        <v>0.35028019999999999</v>
      </c>
      <c r="W944">
        <v>9.3197619999999995E-2</v>
      </c>
      <c r="X944">
        <v>0.93199679999999996</v>
      </c>
      <c r="Y944">
        <v>0.41314679999999998</v>
      </c>
      <c r="Z944">
        <v>-9.3958970000000003E-3</v>
      </c>
      <c r="AA944">
        <v>0.91061599999999998</v>
      </c>
      <c r="AB944">
        <v>40</v>
      </c>
      <c r="AC944">
        <v>7.6208</v>
      </c>
      <c r="AD944">
        <v>-1.1033994820689901</v>
      </c>
      <c r="AE944">
        <v>-4.9187000000000003</v>
      </c>
      <c r="AF944">
        <v>3.7878523627815102</v>
      </c>
      <c r="AG944">
        <v>-1.1033994820689901</v>
      </c>
      <c r="AH944">
        <v>8.0957025999117604</v>
      </c>
      <c r="AI944">
        <v>97.037562251169206</v>
      </c>
      <c r="AJ944">
        <v>64.925843006221797</v>
      </c>
      <c r="AK944">
        <v>9.0058712252328892</v>
      </c>
      <c r="AL944">
        <v>84.652409363458702</v>
      </c>
      <c r="AM944">
        <v>69.401851206702702</v>
      </c>
      <c r="AN944">
        <v>1.0000000250479699</v>
      </c>
    </row>
    <row r="945" spans="1:40" x14ac:dyDescent="0.25">
      <c r="A945" t="str">
        <f>"20190312164451919"</f>
        <v>20190312164451919</v>
      </c>
      <c r="B945" t="str">
        <f>"1552380291912975"</f>
        <v>1552380291912975</v>
      </c>
      <c r="C945" t="s">
        <v>40</v>
      </c>
      <c r="D945">
        <v>5.3507769999999999</v>
      </c>
      <c r="E945">
        <v>0.53921779999999997</v>
      </c>
      <c r="F945" t="s">
        <v>45</v>
      </c>
      <c r="G945">
        <v>-202.15870000000001</v>
      </c>
      <c r="H945" s="1">
        <v>-3.307091E-6</v>
      </c>
      <c r="I945">
        <v>361.5795</v>
      </c>
      <c r="J945">
        <v>-209.8237</v>
      </c>
      <c r="K945">
        <v>1.103165</v>
      </c>
      <c r="L945">
        <v>366.66609999999997</v>
      </c>
      <c r="M945">
        <v>0.98995569999999999</v>
      </c>
      <c r="N945">
        <v>0</v>
      </c>
      <c r="O945">
        <v>-0.1406384</v>
      </c>
      <c r="P945">
        <v>0.87257980000000002</v>
      </c>
      <c r="Q945">
        <v>8.4550810000000004E-2</v>
      </c>
      <c r="R945">
        <v>-0.48109869999999999</v>
      </c>
      <c r="S945">
        <v>2.5704349999999998</v>
      </c>
      <c r="T945">
        <v>-0.35149819999999998</v>
      </c>
      <c r="U945">
        <v>-1.639465</v>
      </c>
      <c r="V945">
        <v>0.3548422</v>
      </c>
      <c r="W945">
        <v>9.3349080000000001E-2</v>
      </c>
      <c r="X945">
        <v>0.93025429999999998</v>
      </c>
      <c r="Y945">
        <v>0.41205170000000002</v>
      </c>
      <c r="Z945">
        <v>-8.3688219999999997E-3</v>
      </c>
      <c r="AA945">
        <v>0.91112199999999999</v>
      </c>
      <c r="AB945">
        <v>40</v>
      </c>
      <c r="AC945">
        <v>7.6649999999999903</v>
      </c>
      <c r="AD945">
        <v>-1.1031683070909999</v>
      </c>
      <c r="AE945">
        <v>-5.0865999999999696</v>
      </c>
      <c r="AF945">
        <v>3.9018170608562501</v>
      </c>
      <c r="AG945">
        <v>-1.1031683070909999</v>
      </c>
      <c r="AH945">
        <v>8.1865195202058096</v>
      </c>
      <c r="AI945">
        <v>96.935626271192803</v>
      </c>
      <c r="AJ945">
        <v>64.516836157234295</v>
      </c>
      <c r="AK945">
        <v>9.1356586267695992</v>
      </c>
      <c r="AL945">
        <v>84.643693482634504</v>
      </c>
      <c r="AM945">
        <v>69.120825528626199</v>
      </c>
      <c r="AN945">
        <v>1.0000000501530799</v>
      </c>
    </row>
    <row r="946" spans="1:40" x14ac:dyDescent="0.25">
      <c r="A946" t="str">
        <f>"20190312164451930"</f>
        <v>20190312164451930</v>
      </c>
      <c r="B946" t="str">
        <f>"1552380291922734"</f>
        <v>1552380291922734</v>
      </c>
      <c r="C946" t="s">
        <v>40</v>
      </c>
      <c r="D946">
        <v>5.6239549999999996</v>
      </c>
      <c r="E946">
        <v>0.53878839999999995</v>
      </c>
      <c r="F946" t="s">
        <v>45</v>
      </c>
      <c r="G946">
        <v>-201.67339999999999</v>
      </c>
      <c r="H946" s="1">
        <v>-3.113819E-6</v>
      </c>
      <c r="I946">
        <v>361.34980000000002</v>
      </c>
      <c r="J946">
        <v>-209.625</v>
      </c>
      <c r="K946">
        <v>1.1030450000000001</v>
      </c>
      <c r="L946">
        <v>366.63589999999999</v>
      </c>
      <c r="M946">
        <v>0.98955219999999999</v>
      </c>
      <c r="N946">
        <v>0</v>
      </c>
      <c r="O946">
        <v>-0.1434491</v>
      </c>
      <c r="P946">
        <v>0.86989050000000001</v>
      </c>
      <c r="Q946">
        <v>8.503753E-2</v>
      </c>
      <c r="R946">
        <v>-0.4858594</v>
      </c>
      <c r="S946">
        <v>2.5533139999999999</v>
      </c>
      <c r="T946">
        <v>-0.34560079999999999</v>
      </c>
      <c r="U946">
        <v>-1.665497</v>
      </c>
      <c r="V946">
        <v>0.35732619999999998</v>
      </c>
      <c r="W946">
        <v>9.3689469999999997E-2</v>
      </c>
      <c r="X946">
        <v>0.92926869999999995</v>
      </c>
      <c r="Y946">
        <v>0.41879369999999999</v>
      </c>
      <c r="Z946">
        <v>-8.3366729999999993E-3</v>
      </c>
      <c r="AA946">
        <v>0.90804309999999999</v>
      </c>
      <c r="AB946">
        <v>40</v>
      </c>
      <c r="AC946">
        <v>7.9516000000000098</v>
      </c>
      <c r="AD946">
        <v>-1.103048113819</v>
      </c>
      <c r="AE946">
        <v>-5.28609999999997</v>
      </c>
      <c r="AF946">
        <v>4.0367765130010902</v>
      </c>
      <c r="AG946">
        <v>-1.103048113819</v>
      </c>
      <c r="AH946">
        <v>8.5140860423946698</v>
      </c>
      <c r="AI946">
        <v>96.676895189346993</v>
      </c>
      <c r="AJ946">
        <v>64.633005570773307</v>
      </c>
      <c r="AK946">
        <v>9.4869352740817501</v>
      </c>
      <c r="AL946">
        <v>84.624104580544198</v>
      </c>
      <c r="AM946">
        <v>68.967045904669504</v>
      </c>
      <c r="AN946">
        <v>1.0000000233974999</v>
      </c>
    </row>
    <row r="947" spans="1:40" x14ac:dyDescent="0.25">
      <c r="A947" t="str">
        <f>"20190312164451951"</f>
        <v>20190312164451951</v>
      </c>
      <c r="B947" t="str">
        <f>"1552380291942254"</f>
        <v>1552380291942254</v>
      </c>
      <c r="C947" t="s">
        <v>40</v>
      </c>
      <c r="D947">
        <v>5.2734329999999998</v>
      </c>
      <c r="E947">
        <v>0.53789580000000004</v>
      </c>
      <c r="F947" t="s">
        <v>45</v>
      </c>
      <c r="G947">
        <v>-201.4049</v>
      </c>
      <c r="H947" s="1">
        <v>-3.007378E-6</v>
      </c>
      <c r="I947">
        <v>361.22030000000001</v>
      </c>
      <c r="J947">
        <v>-209.26329999999999</v>
      </c>
      <c r="K947">
        <v>1.1028</v>
      </c>
      <c r="L947">
        <v>366.57889999999998</v>
      </c>
      <c r="M947">
        <v>0.98876070000000005</v>
      </c>
      <c r="N947">
        <v>0</v>
      </c>
      <c r="O947">
        <v>-0.14880539999999901</v>
      </c>
      <c r="P947">
        <v>0.86469269999999998</v>
      </c>
      <c r="Q947">
        <v>8.567437E-2</v>
      </c>
      <c r="R947">
        <v>-0.4949403</v>
      </c>
      <c r="S947">
        <v>2.5454409999999998</v>
      </c>
      <c r="T947">
        <v>-0.34156789999999998</v>
      </c>
      <c r="U947">
        <v>-1.676971</v>
      </c>
      <c r="V947">
        <v>0.36209789999999997</v>
      </c>
      <c r="W947">
        <v>9.4038399999999994E-2</v>
      </c>
      <c r="X947">
        <v>0.9273844</v>
      </c>
      <c r="Y947">
        <v>0.41809930000000001</v>
      </c>
      <c r="Z947">
        <v>-7.5783930000000001E-3</v>
      </c>
      <c r="AA947">
        <v>0.90836969999999995</v>
      </c>
      <c r="AB947">
        <v>40</v>
      </c>
      <c r="AC947">
        <v>7.8583999999999801</v>
      </c>
      <c r="AD947">
        <v>-1.102803007378</v>
      </c>
      <c r="AE947">
        <v>-5.3585999999999601</v>
      </c>
      <c r="AF947">
        <v>4.0746571807808198</v>
      </c>
      <c r="AG947">
        <v>-1.102803007378</v>
      </c>
      <c r="AH947">
        <v>8.4547056078971305</v>
      </c>
      <c r="AI947">
        <v>96.701669522335493</v>
      </c>
      <c r="AJ947">
        <v>64.2687430131935</v>
      </c>
      <c r="AK947">
        <v>9.4499234139847896</v>
      </c>
      <c r="AL947">
        <v>84.604023406300101</v>
      </c>
      <c r="AM947">
        <v>68.671805133772196</v>
      </c>
      <c r="AN947">
        <v>0.99999996761116405</v>
      </c>
    </row>
    <row r="948" spans="1:40" x14ac:dyDescent="0.25">
      <c r="A948" t="str">
        <f>"20190312164451961"</f>
        <v>20190312164451961</v>
      </c>
      <c r="B948" t="str">
        <f>"1552380291952991"</f>
        <v>1552380291952991</v>
      </c>
      <c r="C948" t="s">
        <v>40</v>
      </c>
      <c r="D948">
        <v>5.302251</v>
      </c>
      <c r="E948">
        <v>0.53742400000000001</v>
      </c>
      <c r="F948" t="s">
        <v>45</v>
      </c>
      <c r="G948">
        <v>-200.93549999999999</v>
      </c>
      <c r="H948" s="1">
        <v>-2.8220319999999999E-6</v>
      </c>
      <c r="I948">
        <v>360.99110000000002</v>
      </c>
      <c r="J948">
        <v>-209.0598</v>
      </c>
      <c r="K948">
        <v>1.1026590000000001</v>
      </c>
      <c r="L948">
        <v>366.54579999999999</v>
      </c>
      <c r="M948">
        <v>0.98828340000000003</v>
      </c>
      <c r="N948">
        <v>0</v>
      </c>
      <c r="O948">
        <v>-0.1519422</v>
      </c>
      <c r="P948">
        <v>0.86186229999999997</v>
      </c>
      <c r="Q948">
        <v>8.5972729999999997E-2</v>
      </c>
      <c r="R948">
        <v>-0.49980249999999998</v>
      </c>
      <c r="S948">
        <v>2.5306700000000002</v>
      </c>
      <c r="T948">
        <v>-0.33512520000000001</v>
      </c>
      <c r="U948">
        <v>-1.698059</v>
      </c>
      <c r="V948">
        <v>0.36442079999999999</v>
      </c>
      <c r="W948">
        <v>9.4174640000000004E-2</v>
      </c>
      <c r="X948">
        <v>0.92646030000000001</v>
      </c>
      <c r="Y948">
        <v>0.42293009999999898</v>
      </c>
      <c r="Z948">
        <v>-7.3848719999999998E-3</v>
      </c>
      <c r="AA948">
        <v>0.90613220000000005</v>
      </c>
      <c r="AB948">
        <v>40</v>
      </c>
      <c r="AC948">
        <v>8.1242999999999999</v>
      </c>
      <c r="AD948">
        <v>-1.1026618220319999</v>
      </c>
      <c r="AE948">
        <v>-5.5546999999999596</v>
      </c>
      <c r="AF948">
        <v>4.2028811113809699</v>
      </c>
      <c r="AG948">
        <v>-1.1026618220319999</v>
      </c>
      <c r="AH948">
        <v>8.7640196346322696</v>
      </c>
      <c r="AI948">
        <v>96.472320572740202</v>
      </c>
      <c r="AJ948">
        <v>64.379445327229305</v>
      </c>
      <c r="AK948">
        <v>9.7820301004643095</v>
      </c>
      <c r="AL948">
        <v>84.596182997347896</v>
      </c>
      <c r="AM948">
        <v>68.527931036728006</v>
      </c>
      <c r="AN948">
        <v>1.00000003488392</v>
      </c>
    </row>
    <row r="949" spans="1:40" x14ac:dyDescent="0.25">
      <c r="A949" t="str">
        <f>"20190312164451973"</f>
        <v>20190312164451973</v>
      </c>
      <c r="B949" t="str">
        <f>"1552380291962750"</f>
        <v>1552380291962750</v>
      </c>
      <c r="C949" t="s">
        <v>40</v>
      </c>
      <c r="D949">
        <v>5.3739819999999998</v>
      </c>
      <c r="E949">
        <v>0.5370511</v>
      </c>
      <c r="F949" t="s">
        <v>45</v>
      </c>
      <c r="G949">
        <v>-200.69720000000001</v>
      </c>
      <c r="H949" s="1">
        <v>-2.7258389999999998E-6</v>
      </c>
      <c r="I949">
        <v>360.88389999999998</v>
      </c>
      <c r="J949">
        <v>-208.86660000000001</v>
      </c>
      <c r="K949">
        <v>1.10253</v>
      </c>
      <c r="L949">
        <v>366.51389999999998</v>
      </c>
      <c r="M949">
        <v>0.98781289999999999</v>
      </c>
      <c r="N949">
        <v>0</v>
      </c>
      <c r="O949">
        <v>-0.1549712</v>
      </c>
      <c r="P949">
        <v>0.85938609999999904</v>
      </c>
      <c r="Q949">
        <v>8.6219809999999994E-2</v>
      </c>
      <c r="R949">
        <v>-0.50400610000000001</v>
      </c>
      <c r="S949">
        <v>2.523285</v>
      </c>
      <c r="T949">
        <v>-0.33271129999999999</v>
      </c>
      <c r="U949">
        <v>-1.708405</v>
      </c>
      <c r="V949">
        <v>0.36614550000000001</v>
      </c>
      <c r="W949">
        <v>9.4276230000000003E-2</v>
      </c>
      <c r="X949">
        <v>0.92576970000000003</v>
      </c>
      <c r="Y949">
        <v>0.42396420000000001</v>
      </c>
      <c r="Z949">
        <v>-7.0559589999999997E-3</v>
      </c>
      <c r="AA949">
        <v>0.90565150000000005</v>
      </c>
      <c r="AB949">
        <v>40</v>
      </c>
      <c r="AC949">
        <v>8.1693999999999907</v>
      </c>
      <c r="AD949">
        <v>-1.1025327258390001</v>
      </c>
      <c r="AE949">
        <v>-5.6299999999999901</v>
      </c>
      <c r="AF949">
        <v>4.2434135528227204</v>
      </c>
      <c r="AG949">
        <v>-1.1025327258390001</v>
      </c>
      <c r="AH949">
        <v>8.8341713816411307</v>
      </c>
      <c r="AI949">
        <v>96.418672713366007</v>
      </c>
      <c r="AJ949">
        <v>64.343123140311903</v>
      </c>
      <c r="AK949">
        <v>9.8622878173389701</v>
      </c>
      <c r="AL949">
        <v>84.590336313184693</v>
      </c>
      <c r="AM949">
        <v>68.421011147128098</v>
      </c>
      <c r="AN949">
        <v>1.00000003607567</v>
      </c>
    </row>
    <row r="950" spans="1:40" x14ac:dyDescent="0.25">
      <c r="A950" t="str">
        <f>"20190312164451986"</f>
        <v>20190312164451986</v>
      </c>
      <c r="B950" t="str">
        <f>"1552380291982270"</f>
        <v>1552380291982270</v>
      </c>
      <c r="C950" t="s">
        <v>40</v>
      </c>
      <c r="D950">
        <v>5.3332509999999997</v>
      </c>
      <c r="E950">
        <v>0.53625069999999997</v>
      </c>
      <c r="F950" t="s">
        <v>45</v>
      </c>
      <c r="G950">
        <v>-200.4676</v>
      </c>
      <c r="H950" s="1">
        <v>-2.6233400000000002E-6</v>
      </c>
      <c r="I950">
        <v>360.77679999999998</v>
      </c>
      <c r="J950">
        <v>-208.6403</v>
      </c>
      <c r="K950">
        <v>1.102373</v>
      </c>
      <c r="L950">
        <v>366.47559999999999</v>
      </c>
      <c r="M950">
        <v>0.98723570000000005</v>
      </c>
      <c r="N950">
        <v>0</v>
      </c>
      <c r="O950">
        <v>-0.15860450000000001</v>
      </c>
      <c r="P950">
        <v>0.85658310000000004</v>
      </c>
      <c r="Q950">
        <v>8.6404199999999903E-2</v>
      </c>
      <c r="R950">
        <v>-0.5087237</v>
      </c>
      <c r="S950">
        <v>2.5160520000000002</v>
      </c>
      <c r="T950">
        <v>-0.33027770000000001</v>
      </c>
      <c r="U950">
        <v>-1.7186279999999901</v>
      </c>
      <c r="V950">
        <v>0.36787340000000002</v>
      </c>
      <c r="W950">
        <v>9.4294729999999993E-2</v>
      </c>
      <c r="X950">
        <v>0.92508250000000003</v>
      </c>
      <c r="Y950">
        <v>0.42439480000000002</v>
      </c>
      <c r="Z950">
        <v>-6.6250340000000001E-3</v>
      </c>
      <c r="AA950">
        <v>0.90545299999999995</v>
      </c>
      <c r="AB950">
        <v>40</v>
      </c>
      <c r="AC950">
        <v>8.1726999999999901</v>
      </c>
      <c r="AD950">
        <v>-1.1023756233399999</v>
      </c>
      <c r="AE950">
        <v>-5.6988000000000003</v>
      </c>
      <c r="AF950">
        <v>4.2779178664163799</v>
      </c>
      <c r="AG950">
        <v>-1.1023756233399999</v>
      </c>
      <c r="AH950">
        <v>8.8646609470193791</v>
      </c>
      <c r="AI950">
        <v>96.390323833401496</v>
      </c>
      <c r="AJ950">
        <v>64.238921526387699</v>
      </c>
      <c r="AK950">
        <v>9.9044448098997098</v>
      </c>
      <c r="AL950">
        <v>84.589271311098301</v>
      </c>
      <c r="AM950">
        <v>68.313990738855395</v>
      </c>
      <c r="AN950">
        <v>0.999999983169791</v>
      </c>
    </row>
    <row r="951" spans="1:40" x14ac:dyDescent="0.25">
      <c r="A951" t="str">
        <f>"20190312164452001"</f>
        <v>20190312164452001</v>
      </c>
      <c r="B951" t="str">
        <f>"1552380291993006"</f>
        <v>1552380291993006</v>
      </c>
      <c r="C951" t="s">
        <v>40</v>
      </c>
      <c r="D951">
        <v>5.1930360000000002</v>
      </c>
      <c r="E951">
        <v>0.53588789999999997</v>
      </c>
      <c r="F951" t="s">
        <v>45</v>
      </c>
      <c r="G951">
        <v>-200.16300000000001</v>
      </c>
      <c r="H951" s="1">
        <v>-2.4791710000000002E-6</v>
      </c>
      <c r="I951">
        <v>360.64109999999999</v>
      </c>
      <c r="J951">
        <v>-208.37960000000001</v>
      </c>
      <c r="K951">
        <v>1.1021829999999999</v>
      </c>
      <c r="L951">
        <v>366.43020000000001</v>
      </c>
      <c r="M951">
        <v>0.98652680000000004</v>
      </c>
      <c r="N951">
        <v>0</v>
      </c>
      <c r="O951">
        <v>-0.162955399999999</v>
      </c>
      <c r="P951">
        <v>0.85336979999999996</v>
      </c>
      <c r="Q951">
        <v>8.7010959999999998E-2</v>
      </c>
      <c r="R951">
        <v>-0.5139939</v>
      </c>
      <c r="S951">
        <v>2.50943</v>
      </c>
      <c r="T951">
        <v>-0.32632240000000001</v>
      </c>
      <c r="U951">
        <v>-1.72714199999999</v>
      </c>
      <c r="V951">
        <v>0.3695619</v>
      </c>
      <c r="W951">
        <v>9.4706299999999993E-2</v>
      </c>
      <c r="X951">
        <v>0.92436719999999895</v>
      </c>
      <c r="Y951">
        <v>0.42366769999999998</v>
      </c>
      <c r="Z951">
        <v>-6.0212570000000003E-3</v>
      </c>
      <c r="AA951">
        <v>0.90579770000000004</v>
      </c>
      <c r="AB951">
        <v>40</v>
      </c>
      <c r="AC951">
        <v>8.2166000000000192</v>
      </c>
      <c r="AD951">
        <v>-1.102185479171</v>
      </c>
      <c r="AE951">
        <v>-5.7891000000000101</v>
      </c>
      <c r="AF951">
        <v>4.3206681324650997</v>
      </c>
      <c r="AG951">
        <v>-1.102185479171</v>
      </c>
      <c r="AH951">
        <v>8.9426800671093396</v>
      </c>
      <c r="AI951">
        <v>96.332541080514105</v>
      </c>
      <c r="AJ951">
        <v>64.212425465849293</v>
      </c>
      <c r="AK951">
        <v>9.9927229884586293</v>
      </c>
      <c r="AL951">
        <v>84.565584177934994</v>
      </c>
      <c r="AM951">
        <v>68.208475472297906</v>
      </c>
      <c r="AN951">
        <v>1.0000000008135601</v>
      </c>
    </row>
    <row r="952" spans="1:40" x14ac:dyDescent="0.25">
      <c r="A952" t="str">
        <f>"20190312164452020"</f>
        <v>20190312164452020</v>
      </c>
      <c r="B952" t="str">
        <f>"1552380292012527"</f>
        <v>1552380292012527</v>
      </c>
      <c r="C952" t="s">
        <v>40</v>
      </c>
      <c r="D952">
        <v>5.264761</v>
      </c>
      <c r="E952">
        <v>0.53527329999999995</v>
      </c>
      <c r="F952" t="s">
        <v>45</v>
      </c>
      <c r="G952">
        <v>-199.85319999999999</v>
      </c>
      <c r="H952" s="1">
        <v>-1.017805E-5</v>
      </c>
      <c r="I952">
        <v>360.49459999999999</v>
      </c>
      <c r="J952">
        <v>-208.04570000000001</v>
      </c>
      <c r="K952">
        <v>1.1019239999999999</v>
      </c>
      <c r="L952">
        <v>366.37040000000002</v>
      </c>
      <c r="M952">
        <v>0.98555369999999998</v>
      </c>
      <c r="N952">
        <v>0</v>
      </c>
      <c r="O952">
        <v>-0.16873949999999999</v>
      </c>
      <c r="P952">
        <v>0.84784699999999902</v>
      </c>
      <c r="Q952">
        <v>8.9015360000000002E-2</v>
      </c>
      <c r="R952">
        <v>-0.52271619999999996</v>
      </c>
      <c r="S952">
        <v>2.5001370000000001</v>
      </c>
      <c r="T952">
        <v>-0.32318999999999998</v>
      </c>
      <c r="U952">
        <v>-1.7404790000000001</v>
      </c>
      <c r="V952">
        <v>0.37374679999999999</v>
      </c>
      <c r="W952">
        <v>9.6398460000000005E-2</v>
      </c>
      <c r="X952">
        <v>0.92250779999999999</v>
      </c>
      <c r="Y952">
        <v>0.42325030000000002</v>
      </c>
      <c r="Z952">
        <v>-5.3035360000000002E-3</v>
      </c>
      <c r="AA952">
        <v>0.90599730000000001</v>
      </c>
      <c r="AB952">
        <v>40</v>
      </c>
      <c r="AC952">
        <v>8.1925000000000203</v>
      </c>
      <c r="AD952">
        <v>-1.1019341780499901</v>
      </c>
      <c r="AE952">
        <v>-5.8758000000000203</v>
      </c>
      <c r="AF952">
        <v>4.3569332450601301</v>
      </c>
      <c r="AG952">
        <v>-1.1019341780499901</v>
      </c>
      <c r="AH952">
        <v>8.9595497590815594</v>
      </c>
      <c r="AI952">
        <v>96.311569337841803</v>
      </c>
      <c r="AJ952">
        <v>64.066840679123501</v>
      </c>
      <c r="AK952">
        <v>10.0235052810942</v>
      </c>
      <c r="AL952">
        <v>84.468184805032493</v>
      </c>
      <c r="AM952">
        <v>67.945055610348007</v>
      </c>
      <c r="AN952">
        <v>0.99999998733072504</v>
      </c>
    </row>
    <row r="953" spans="1:40" x14ac:dyDescent="0.25">
      <c r="A953" t="str">
        <f>"20190312164452033"</f>
        <v>20190312164452033</v>
      </c>
      <c r="B953" t="str">
        <f>"1552380292022286"</f>
        <v>1552380292022286</v>
      </c>
      <c r="C953" t="s">
        <v>40</v>
      </c>
      <c r="D953">
        <v>5.2195519999999904</v>
      </c>
      <c r="E953">
        <v>0.53483610000000004</v>
      </c>
      <c r="F953" t="s">
        <v>45</v>
      </c>
      <c r="G953">
        <v>-199.3331</v>
      </c>
      <c r="H953" s="1">
        <v>-1.003401E-5</v>
      </c>
      <c r="I953">
        <v>360.18759999999997</v>
      </c>
      <c r="J953">
        <v>-207.81229999999999</v>
      </c>
      <c r="K953">
        <v>1.101734</v>
      </c>
      <c r="L953">
        <v>366.32729999999998</v>
      </c>
      <c r="M953">
        <v>0.98482570000000003</v>
      </c>
      <c r="N953">
        <v>0</v>
      </c>
      <c r="O953">
        <v>-0.17293610000000001</v>
      </c>
      <c r="P953">
        <v>0.84410370000000001</v>
      </c>
      <c r="Q953">
        <v>8.9864250000000007E-2</v>
      </c>
      <c r="R953">
        <v>-0.52859590000000001</v>
      </c>
      <c r="S953">
        <v>2.4844360000000001</v>
      </c>
      <c r="T953">
        <v>-0.314220099999999</v>
      </c>
      <c r="U953">
        <v>-1.763031</v>
      </c>
      <c r="V953">
        <v>0.37630599999999997</v>
      </c>
      <c r="W953">
        <v>9.7024949999999999E-2</v>
      </c>
      <c r="X953">
        <v>0.92140109999999997</v>
      </c>
      <c r="Y953">
        <v>0.42763210000000001</v>
      </c>
      <c r="Z953">
        <v>-4.965957E-3</v>
      </c>
      <c r="AA953">
        <v>0.90393920000000005</v>
      </c>
      <c r="AB953">
        <v>40</v>
      </c>
      <c r="AC953">
        <v>8.4791999999999899</v>
      </c>
      <c r="AD953">
        <v>-1.10174403401</v>
      </c>
      <c r="AE953">
        <v>-6.1397000000000004</v>
      </c>
      <c r="AF953">
        <v>4.5304796720621603</v>
      </c>
      <c r="AG953">
        <v>-1.10174403401</v>
      </c>
      <c r="AH953">
        <v>9.3101862764556298</v>
      </c>
      <c r="AI953">
        <v>96.073864007963493</v>
      </c>
      <c r="AJ953">
        <v>64.051733882388405</v>
      </c>
      <c r="AK953">
        <v>10.4124278858366</v>
      </c>
      <c r="AL953">
        <v>84.432120682126893</v>
      </c>
      <c r="AM953">
        <v>67.784586926279104</v>
      </c>
      <c r="AN953">
        <v>1.00000001681985</v>
      </c>
    </row>
    <row r="954" spans="1:40" x14ac:dyDescent="0.25">
      <c r="A954" t="str">
        <f>"20190312164452047"</f>
        <v>20190312164452047</v>
      </c>
      <c r="B954" t="str">
        <f>"1552380292042782"</f>
        <v>1552380292042782</v>
      </c>
      <c r="C954" t="s">
        <v>40</v>
      </c>
      <c r="D954">
        <v>5.2399469999999999</v>
      </c>
      <c r="E954">
        <v>0.53411980000000003</v>
      </c>
      <c r="F954" t="s">
        <v>45</v>
      </c>
      <c r="G954">
        <v>-199.12090000000001</v>
      </c>
      <c r="H954" s="1">
        <v>-9.9753349999999999E-6</v>
      </c>
      <c r="I954">
        <v>360.08640000000003</v>
      </c>
      <c r="J954">
        <v>-207.55590000000001</v>
      </c>
      <c r="K954">
        <v>1.1015109999999999</v>
      </c>
      <c r="L954">
        <v>366.27870000000001</v>
      </c>
      <c r="M954">
        <v>0.98397820000000003</v>
      </c>
      <c r="N954">
        <v>0</v>
      </c>
      <c r="O954">
        <v>-0.1776932</v>
      </c>
      <c r="P954">
        <v>0.84008470000000002</v>
      </c>
      <c r="Q954">
        <v>9.0852719999999998E-2</v>
      </c>
      <c r="R954">
        <v>-0.53479309999999902</v>
      </c>
      <c r="S954">
        <v>2.4747159999999999</v>
      </c>
      <c r="T954">
        <v>-0.31369950000000002</v>
      </c>
      <c r="U954">
        <v>-1.7769779999999999</v>
      </c>
      <c r="V954">
        <v>0.37872499999999998</v>
      </c>
      <c r="W954">
        <v>9.7768110000000005E-2</v>
      </c>
      <c r="X954">
        <v>0.9203308</v>
      </c>
      <c r="Y954">
        <v>0.42833310000000002</v>
      </c>
      <c r="Z954">
        <v>-4.4903759999999999E-3</v>
      </c>
      <c r="AA954">
        <v>0.90360980000000002</v>
      </c>
      <c r="AB954">
        <v>40</v>
      </c>
      <c r="AC954">
        <v>8.4350000000000005</v>
      </c>
      <c r="AD954">
        <v>-1.1015209753349999</v>
      </c>
      <c r="AE954">
        <v>-6.1922999999999799</v>
      </c>
      <c r="AF954">
        <v>4.5443750035515</v>
      </c>
      <c r="AG954">
        <v>-1.1015209753349999</v>
      </c>
      <c r="AH954">
        <v>9.2981456368304194</v>
      </c>
      <c r="AI954">
        <v>96.075399059519398</v>
      </c>
      <c r="AJ954">
        <v>63.953393635555003</v>
      </c>
      <c r="AK954">
        <v>10.407699309439799</v>
      </c>
      <c r="AL954">
        <v>84.389337278182097</v>
      </c>
      <c r="AM954">
        <v>67.632361439298094</v>
      </c>
      <c r="AN954">
        <v>1.0000000051933</v>
      </c>
    </row>
    <row r="955" spans="1:40" x14ac:dyDescent="0.25">
      <c r="A955" t="str">
        <f>"20190312164452063"</f>
        <v>20190312164452063</v>
      </c>
      <c r="B955" t="str">
        <f>"1552380292052542"</f>
        <v>1552380292052542</v>
      </c>
      <c r="C955" t="s">
        <v>40</v>
      </c>
      <c r="D955">
        <v>5.2035729999999996</v>
      </c>
      <c r="E955">
        <v>0.53411980000000003</v>
      </c>
      <c r="F955" t="s">
        <v>45</v>
      </c>
      <c r="G955">
        <v>-198.89840000000001</v>
      </c>
      <c r="H955" s="1">
        <v>-9.9117129999999992E-6</v>
      </c>
      <c r="I955">
        <v>359.99380000000002</v>
      </c>
      <c r="J955">
        <v>-207.2894</v>
      </c>
      <c r="K955">
        <v>1.1012740000000001</v>
      </c>
      <c r="L955">
        <v>366.22640000000001</v>
      </c>
      <c r="M955">
        <v>0.98302909999999999</v>
      </c>
      <c r="N955">
        <v>0</v>
      </c>
      <c r="O955">
        <v>-0.1828688</v>
      </c>
      <c r="P955">
        <v>0.83440400000000003</v>
      </c>
      <c r="Q955">
        <v>9.1657840000000004E-2</v>
      </c>
      <c r="R955">
        <v>-0.54347849999999998</v>
      </c>
      <c r="S955">
        <v>2.465576</v>
      </c>
      <c r="T955">
        <v>-0.31370340000000002</v>
      </c>
      <c r="U955">
        <v>-1.7898860000000001</v>
      </c>
      <c r="V955">
        <v>0.3835191</v>
      </c>
      <c r="W955">
        <v>9.8253560000000004E-2</v>
      </c>
      <c r="X955">
        <v>0.91829150000000004</v>
      </c>
      <c r="Y955">
        <v>0.42829650000000002</v>
      </c>
      <c r="Z955">
        <v>-3.9344360000000004E-3</v>
      </c>
      <c r="AA955">
        <v>0.90362969999999998</v>
      </c>
      <c r="AB955">
        <v>40</v>
      </c>
      <c r="AC955">
        <v>8.3909999999999894</v>
      </c>
      <c r="AD955">
        <v>-1.101283911713</v>
      </c>
      <c r="AE955">
        <v>-6.2325999999999899</v>
      </c>
      <c r="AF955">
        <v>4.5424383295300101</v>
      </c>
      <c r="AG955">
        <v>-1.101283911713</v>
      </c>
      <c r="AH955">
        <v>9.2862579240962599</v>
      </c>
      <c r="AI955">
        <v>96.080825341473201</v>
      </c>
      <c r="AJ955">
        <v>63.934106405426803</v>
      </c>
      <c r="AK955">
        <v>10.3962088505676</v>
      </c>
      <c r="AL955">
        <v>84.361388282121993</v>
      </c>
      <c r="AM955">
        <v>67.332429374825693</v>
      </c>
      <c r="AN955">
        <v>0.999999970544866</v>
      </c>
    </row>
    <row r="956" spans="1:40" x14ac:dyDescent="0.25">
      <c r="A956" t="str">
        <f>"20190312164452087"</f>
        <v>20190312164452087</v>
      </c>
      <c r="B956" t="str">
        <f>"1552380292082798"</f>
        <v>1552380292082798</v>
      </c>
      <c r="C956" t="s">
        <v>40</v>
      </c>
      <c r="D956">
        <v>5.2603140000000002</v>
      </c>
      <c r="E956">
        <v>0.52339170000000002</v>
      </c>
      <c r="F956" t="s">
        <v>45</v>
      </c>
      <c r="G956">
        <v>-198.63390000000001</v>
      </c>
      <c r="H956" s="1">
        <v>-9.8478239999999998E-6</v>
      </c>
      <c r="I956">
        <v>359.80840000000001</v>
      </c>
      <c r="J956">
        <v>-206.85769999999999</v>
      </c>
      <c r="K956">
        <v>1.1008519999999999</v>
      </c>
      <c r="L956">
        <v>366.13869999999997</v>
      </c>
      <c r="M956">
        <v>0.98136190000000001</v>
      </c>
      <c r="N956">
        <v>0</v>
      </c>
      <c r="O956">
        <v>-0.1916109</v>
      </c>
      <c r="P956">
        <v>0.82700759999999995</v>
      </c>
      <c r="Q956">
        <v>9.1988500000000001E-2</v>
      </c>
      <c r="R956">
        <v>-0.55461439999999995</v>
      </c>
      <c r="S956">
        <v>2.44754</v>
      </c>
      <c r="T956">
        <v>-0.31141269999999999</v>
      </c>
      <c r="U956">
        <v>-1.814819</v>
      </c>
      <c r="V956">
        <v>0.38777129999999999</v>
      </c>
      <c r="W956">
        <v>9.8121650000000005E-2</v>
      </c>
      <c r="X956">
        <v>0.91651819999999895</v>
      </c>
      <c r="Y956">
        <v>0.42943700000000001</v>
      </c>
      <c r="Z956">
        <v>-3.0422299999999999E-3</v>
      </c>
      <c r="AA956">
        <v>0.90309170000000005</v>
      </c>
      <c r="AB956">
        <v>40</v>
      </c>
      <c r="AC956">
        <v>8.2237999999999793</v>
      </c>
      <c r="AD956">
        <v>-1.100861847824</v>
      </c>
      <c r="AE956">
        <v>-6.3302999999999603</v>
      </c>
      <c r="AF956">
        <v>4.5854457811779801</v>
      </c>
      <c r="AG956">
        <v>-1.100861847824</v>
      </c>
      <c r="AH956">
        <v>9.1811645227348109</v>
      </c>
      <c r="AI956">
        <v>96.122690418338493</v>
      </c>
      <c r="AJ956">
        <v>63.460598248103302</v>
      </c>
      <c r="AK956">
        <v>10.3214336123254</v>
      </c>
      <c r="AL956">
        <v>84.368983174535003</v>
      </c>
      <c r="AM956">
        <v>67.067178444122902</v>
      </c>
      <c r="AN956">
        <v>1.00000002511682</v>
      </c>
    </row>
    <row r="957" spans="1:40" x14ac:dyDescent="0.25">
      <c r="A957" t="str">
        <f>"20190312164452098"</f>
        <v>20190312164452098</v>
      </c>
      <c r="B957" t="str">
        <f>"1552380292092558"</f>
        <v>1552380292092558</v>
      </c>
      <c r="C957" t="s">
        <v>40</v>
      </c>
      <c r="D957">
        <v>5.2151389999999997</v>
      </c>
      <c r="E957">
        <v>0.52324170000000003</v>
      </c>
      <c r="F957" t="s">
        <v>45</v>
      </c>
      <c r="G957">
        <v>-199.13560000000001</v>
      </c>
      <c r="H957" s="1">
        <v>-9.9003250000000008E-6</v>
      </c>
      <c r="I957">
        <v>360.61149999999998</v>
      </c>
      <c r="J957">
        <v>-206.67490000000001</v>
      </c>
      <c r="K957">
        <v>1.1006640000000001</v>
      </c>
      <c r="L957">
        <v>366.09989999999999</v>
      </c>
      <c r="M957">
        <v>0.98058920000000005</v>
      </c>
      <c r="N957">
        <v>0</v>
      </c>
      <c r="O957">
        <v>-0.1955267</v>
      </c>
      <c r="P957">
        <v>0.82336529999999997</v>
      </c>
      <c r="Q957">
        <v>9.251007E-2</v>
      </c>
      <c r="R957">
        <v>-0.55992159999999902</v>
      </c>
      <c r="S957">
        <v>2.4775849999999999</v>
      </c>
      <c r="T957">
        <v>-0.35320570000000001</v>
      </c>
      <c r="U957">
        <v>-1.7733460000000001</v>
      </c>
      <c r="V957">
        <v>0.39007589999999998</v>
      </c>
      <c r="W957">
        <v>9.8424869999999998E-2</v>
      </c>
      <c r="X957">
        <v>0.91550710000000002</v>
      </c>
      <c r="Y957">
        <v>0.4103754</v>
      </c>
      <c r="Z957">
        <v>-1.7275529999999999E-3</v>
      </c>
      <c r="AA957">
        <v>0.91191509999999998</v>
      </c>
      <c r="AB957">
        <v>40</v>
      </c>
      <c r="AC957">
        <v>7.5392999999999901</v>
      </c>
      <c r="AD957">
        <v>-1.1006739003249999</v>
      </c>
      <c r="AE957">
        <v>-5.4884000000000102</v>
      </c>
      <c r="AF957">
        <v>3.8544536631459199</v>
      </c>
      <c r="AG957">
        <v>-1.1006739003249999</v>
      </c>
      <c r="AH957">
        <v>8.3506590655080899</v>
      </c>
      <c r="AI957">
        <v>96.824336511893094</v>
      </c>
      <c r="AJ957">
        <v>65.223143747407207</v>
      </c>
      <c r="AK957">
        <v>9.2629262603428</v>
      </c>
      <c r="AL957">
        <v>84.351525054940893</v>
      </c>
      <c r="AM957">
        <v>66.9222941761454</v>
      </c>
      <c r="AN957">
        <v>0.99999995647286699</v>
      </c>
    </row>
    <row r="958" spans="1:40" x14ac:dyDescent="0.25">
      <c r="A958" t="str">
        <f>"20190312164452110"</f>
        <v>20190312164452110</v>
      </c>
      <c r="B958" t="str">
        <f>"1552380292102318"</f>
        <v>1552380292102318</v>
      </c>
      <c r="C958" t="s">
        <v>40</v>
      </c>
      <c r="D958">
        <v>5.3979790000000003</v>
      </c>
      <c r="E958">
        <v>0.52324170000000003</v>
      </c>
      <c r="F958" t="s">
        <v>45</v>
      </c>
      <c r="G958">
        <v>-198.88740000000001</v>
      </c>
      <c r="H958" s="1">
        <v>-9.8366740000000007E-6</v>
      </c>
      <c r="I958">
        <v>360.4495</v>
      </c>
      <c r="J958">
        <v>-206.4776</v>
      </c>
      <c r="K958">
        <v>1.1004579999999999</v>
      </c>
      <c r="L958">
        <v>366.05770000000001</v>
      </c>
      <c r="M958">
        <v>0.97972939999999997</v>
      </c>
      <c r="N958">
        <v>0</v>
      </c>
      <c r="O958">
        <v>-0.1997883</v>
      </c>
      <c r="P958">
        <v>0.81965569999999899</v>
      </c>
      <c r="Q958">
        <v>9.2788850000000006E-2</v>
      </c>
      <c r="R958">
        <v>-0.56529209999999996</v>
      </c>
      <c r="S958">
        <v>2.4659879999999998</v>
      </c>
      <c r="T958">
        <v>-0.34853719999999999</v>
      </c>
      <c r="U958">
        <v>-1.7892459999999999</v>
      </c>
      <c r="V958">
        <v>0.39214369999999998</v>
      </c>
      <c r="W958">
        <v>9.8473740000000004E-2</v>
      </c>
      <c r="X958">
        <v>0.91461809999999999</v>
      </c>
      <c r="Y958">
        <v>0.4123501</v>
      </c>
      <c r="Z958">
        <v>-1.3244509999999999E-3</v>
      </c>
      <c r="AA958">
        <v>0.91102450000000001</v>
      </c>
      <c r="AB958">
        <v>40</v>
      </c>
      <c r="AC958">
        <v>7.5901999999999799</v>
      </c>
      <c r="AD958">
        <v>-1.1004678366739999</v>
      </c>
      <c r="AE958">
        <v>-5.6082000000000098</v>
      </c>
      <c r="AF958">
        <v>3.9251409839054499</v>
      </c>
      <c r="AG958">
        <v>-1.1004678366739999</v>
      </c>
      <c r="AH958">
        <v>8.4429125702587307</v>
      </c>
      <c r="AI958">
        <v>96.740723893372902</v>
      </c>
      <c r="AJ958">
        <v>65.066110881701704</v>
      </c>
      <c r="AK958">
        <v>9.3755284582854905</v>
      </c>
      <c r="AL958">
        <v>84.348711666741295</v>
      </c>
      <c r="AM958">
        <v>66.792703334114094</v>
      </c>
      <c r="AN958">
        <v>1.00000001388344</v>
      </c>
    </row>
    <row r="959" spans="1:40" x14ac:dyDescent="0.25">
      <c r="A959" t="str">
        <f>"20190312164452121"</f>
        <v>20190312164452121</v>
      </c>
      <c r="B959" t="str">
        <f>"1552380292112078"</f>
        <v>1552380292112078</v>
      </c>
      <c r="C959" t="s">
        <v>40</v>
      </c>
      <c r="D959">
        <v>5.350924</v>
      </c>
      <c r="E959">
        <v>0.54850549999999998</v>
      </c>
      <c r="F959" t="s">
        <v>45</v>
      </c>
      <c r="G959">
        <v>-198.7099</v>
      </c>
      <c r="H959" s="1">
        <v>-9.7908240000000002E-6</v>
      </c>
      <c r="I959">
        <v>360.34410000000003</v>
      </c>
      <c r="J959">
        <v>-206.25710000000001</v>
      </c>
      <c r="K959">
        <v>1.1002179999999999</v>
      </c>
      <c r="L959">
        <v>366.00869999999998</v>
      </c>
      <c r="M959">
        <v>0.97869910000000004</v>
      </c>
      <c r="N959">
        <v>0</v>
      </c>
      <c r="O959">
        <v>-0.2047735</v>
      </c>
      <c r="P959">
        <v>0.81552360000000002</v>
      </c>
      <c r="Q959">
        <v>9.3150410000000003E-2</v>
      </c>
      <c r="R959">
        <v>-0.57117830000000003</v>
      </c>
      <c r="S959">
        <v>2.454361</v>
      </c>
      <c r="T959">
        <v>-0.34771299999999999</v>
      </c>
      <c r="U959">
        <v>-1.805328</v>
      </c>
      <c r="V959">
        <v>0.39414749999999998</v>
      </c>
      <c r="W959">
        <v>9.857813E-2</v>
      </c>
      <c r="X959">
        <v>0.91374509999999998</v>
      </c>
      <c r="Y959">
        <v>0.41367480000000001</v>
      </c>
      <c r="Z959">
        <v>-8.1351769999999995E-4</v>
      </c>
      <c r="AA959">
        <v>0.91042440000000002</v>
      </c>
      <c r="AB959">
        <v>39</v>
      </c>
      <c r="AC959">
        <v>7.5472000000000001</v>
      </c>
      <c r="AD959">
        <v>-1.1002277908239999</v>
      </c>
      <c r="AE959">
        <v>-5.6645999999999503</v>
      </c>
      <c r="AF959">
        <v>3.94527272080196</v>
      </c>
      <c r="AG959">
        <v>-1.1002277908239999</v>
      </c>
      <c r="AH959">
        <v>8.4326880630622796</v>
      </c>
      <c r="AI959">
        <v>96.739810138266606</v>
      </c>
      <c r="AJ959">
        <v>64.927235785170595</v>
      </c>
      <c r="AK959">
        <v>9.3747483167346193</v>
      </c>
      <c r="AL959">
        <v>84.342701258702604</v>
      </c>
      <c r="AM959">
        <v>66.6668602632828</v>
      </c>
      <c r="AN959">
        <v>1.00000000362227</v>
      </c>
    </row>
    <row r="960" spans="1:40" x14ac:dyDescent="0.25">
      <c r="A960" t="str">
        <f>"20190312164452133"</f>
        <v>20190312164452133</v>
      </c>
      <c r="B960" t="str">
        <f>"1552380292122815"</f>
        <v>1552380292122815</v>
      </c>
      <c r="C960" t="s">
        <v>40</v>
      </c>
      <c r="D960">
        <v>5.9174959999999999</v>
      </c>
      <c r="E960">
        <v>0.54850549999999998</v>
      </c>
      <c r="F960" t="s">
        <v>45</v>
      </c>
      <c r="G960">
        <v>-196.7433</v>
      </c>
      <c r="H960" s="1">
        <v>-5.7361330000000003E-6</v>
      </c>
      <c r="I960">
        <v>357.79500000000002</v>
      </c>
      <c r="J960">
        <v>-206.06110000000001</v>
      </c>
      <c r="K960">
        <v>1.1000030000000001</v>
      </c>
      <c r="L960">
        <v>365.96449999999999</v>
      </c>
      <c r="M960">
        <v>0.97774170000000005</v>
      </c>
      <c r="N960">
        <v>0</v>
      </c>
      <c r="O960">
        <v>-0.2092957</v>
      </c>
      <c r="P960">
        <v>0.81164230000000004</v>
      </c>
      <c r="Q960">
        <v>9.3605919999999995E-2</v>
      </c>
      <c r="R960">
        <v>-0.57660659999999997</v>
      </c>
      <c r="S960">
        <v>2.3114620000000001</v>
      </c>
      <c r="T960">
        <v>-0.26730900000000002</v>
      </c>
      <c r="U960">
        <v>-1.9956050000000001</v>
      </c>
      <c r="V960">
        <v>0.3960938</v>
      </c>
      <c r="W960">
        <v>9.8797369999999995E-2</v>
      </c>
      <c r="X960">
        <v>0.91287940000000001</v>
      </c>
      <c r="Y960">
        <v>0.47958079999999997</v>
      </c>
      <c r="Z960">
        <v>-3.535505E-3</v>
      </c>
      <c r="AA960">
        <v>0.87749059999999901</v>
      </c>
      <c r="AB960">
        <v>39</v>
      </c>
      <c r="AC960">
        <v>9.3178000000000001</v>
      </c>
      <c r="AD960">
        <v>-1.100008736133</v>
      </c>
      <c r="AE960">
        <v>-8.1694999999999691</v>
      </c>
      <c r="AF960">
        <v>5.9909323593153596</v>
      </c>
      <c r="AG960">
        <v>-1.100008736133</v>
      </c>
      <c r="AH960">
        <v>10.736811640187</v>
      </c>
      <c r="AI960">
        <v>95.112468507883094</v>
      </c>
      <c r="AJ960">
        <v>60.839331391449498</v>
      </c>
      <c r="AK960">
        <v>12.344246188014701</v>
      </c>
      <c r="AL960">
        <v>84.3300781411169</v>
      </c>
      <c r="AM960">
        <v>66.544219566691595</v>
      </c>
      <c r="AN960">
        <v>1.0000000088308501</v>
      </c>
    </row>
    <row r="961" spans="1:40" x14ac:dyDescent="0.25">
      <c r="A961" t="str">
        <f>"20190312164452146"</f>
        <v>20190312164452146</v>
      </c>
      <c r="B961" t="str">
        <f>"1552380292142334"</f>
        <v>1552380292142334</v>
      </c>
      <c r="C961" t="s">
        <v>40</v>
      </c>
      <c r="D961">
        <v>5.3983150000000002</v>
      </c>
      <c r="E961">
        <v>0.57827729999999999</v>
      </c>
      <c r="F961" t="s">
        <v>45</v>
      </c>
      <c r="G961">
        <v>-196.55289999999999</v>
      </c>
      <c r="H961" s="1">
        <v>-5.6542539999999901E-6</v>
      </c>
      <c r="I961">
        <v>357.63920000000002</v>
      </c>
      <c r="J961">
        <v>-205.85140000000001</v>
      </c>
      <c r="K961">
        <v>1.099772</v>
      </c>
      <c r="L961">
        <v>365.916</v>
      </c>
      <c r="M961">
        <v>0.97666569999999997</v>
      </c>
      <c r="N961">
        <v>0</v>
      </c>
      <c r="O961">
        <v>-0.21425820000000001</v>
      </c>
      <c r="P961">
        <v>0.80742729999999996</v>
      </c>
      <c r="Q961">
        <v>9.4382320000000006E-2</v>
      </c>
      <c r="R961">
        <v>-0.58236860000000001</v>
      </c>
      <c r="S961">
        <v>2.2976529999999999</v>
      </c>
      <c r="T961">
        <v>-0.26581510000000003</v>
      </c>
      <c r="U961">
        <v>-2.0117799999999999</v>
      </c>
      <c r="V961">
        <v>0.39804889999999998</v>
      </c>
      <c r="W961">
        <v>9.9322149999999998E-2</v>
      </c>
      <c r="X961">
        <v>0.91197159999999999</v>
      </c>
      <c r="Y961">
        <v>0.4812574</v>
      </c>
      <c r="Z961">
        <v>-3.1468809999999998E-3</v>
      </c>
      <c r="AA961">
        <v>0.87657369999999901</v>
      </c>
      <c r="AB961">
        <v>39</v>
      </c>
      <c r="AC961">
        <v>9.2985000000000095</v>
      </c>
      <c r="AD961">
        <v>-1.0997776542540001</v>
      </c>
      <c r="AE961">
        <v>-8.2767999999999802</v>
      </c>
      <c r="AF961">
        <v>6.0448696497757499</v>
      </c>
      <c r="AG961">
        <v>-1.0997776542540001</v>
      </c>
      <c r="AH961">
        <v>10.7720043728379</v>
      </c>
      <c r="AI961">
        <v>95.087916767096601</v>
      </c>
      <c r="AJ961">
        <v>60.700393498045997</v>
      </c>
      <c r="AK961">
        <v>12.4010498821679</v>
      </c>
      <c r="AL961">
        <v>84.299861836325306</v>
      </c>
      <c r="AM961">
        <v>66.420140003837503</v>
      </c>
      <c r="AN961">
        <v>1.00000000773919</v>
      </c>
    </row>
    <row r="962" spans="1:40" x14ac:dyDescent="0.25">
      <c r="A962" t="str">
        <f>"20190312164452157"</f>
        <v>20190312164452157</v>
      </c>
      <c r="B962" t="str">
        <f>"1552380292153071"</f>
        <v>1552380292153071</v>
      </c>
      <c r="C962" t="s">
        <v>40</v>
      </c>
      <c r="D962">
        <v>5.5140169999999999</v>
      </c>
      <c r="E962">
        <v>0.5809936</v>
      </c>
      <c r="F962" t="s">
        <v>45</v>
      </c>
      <c r="G962">
        <v>-198.0001</v>
      </c>
      <c r="H962" s="1">
        <v>-5.9344789999999997E-6</v>
      </c>
      <c r="I962">
        <v>357.80110000000002</v>
      </c>
      <c r="J962">
        <v>-205.6532</v>
      </c>
      <c r="K962">
        <v>1.099548</v>
      </c>
      <c r="L962">
        <v>365.86869999999999</v>
      </c>
      <c r="M962">
        <v>0.97558690000000003</v>
      </c>
      <c r="N962">
        <v>0</v>
      </c>
      <c r="O962">
        <v>-0.21911620000000001</v>
      </c>
      <c r="P962">
        <v>0.80322380000000004</v>
      </c>
      <c r="Q962">
        <v>9.4966439999999999E-2</v>
      </c>
      <c r="R962">
        <v>-0.58805859999999999</v>
      </c>
      <c r="S962">
        <v>2.1487880000000001</v>
      </c>
      <c r="T962">
        <v>-0.30099379999999998</v>
      </c>
      <c r="U962">
        <v>-2.2209469999999998</v>
      </c>
      <c r="V962">
        <v>0.40003729999999998</v>
      </c>
      <c r="W962">
        <v>9.9660460000000006E-2</v>
      </c>
      <c r="X962">
        <v>0.91106419999999999</v>
      </c>
      <c r="Y962">
        <v>0.54735259999999997</v>
      </c>
      <c r="Z962">
        <v>-6.9592459999999997E-3</v>
      </c>
      <c r="AA962">
        <v>0.83687319999999998</v>
      </c>
      <c r="AB962">
        <v>39</v>
      </c>
      <c r="AC962">
        <v>7.6530999999999896</v>
      </c>
      <c r="AD962">
        <v>-1.099553934479</v>
      </c>
      <c r="AE962">
        <v>-8.0675999999999704</v>
      </c>
      <c r="AF962">
        <v>6.1344249007037801</v>
      </c>
      <c r="AG962">
        <v>-1.099553934479</v>
      </c>
      <c r="AH962">
        <v>9.1455950479027308</v>
      </c>
      <c r="AI962">
        <v>95.701904634715902</v>
      </c>
      <c r="AJ962">
        <v>56.148193268982901</v>
      </c>
      <c r="AK962">
        <v>11.067162983232199</v>
      </c>
      <c r="AL962">
        <v>84.280381475828506</v>
      </c>
      <c r="AM962">
        <v>66.294301527038897</v>
      </c>
      <c r="AN962">
        <v>1.00000001260017</v>
      </c>
    </row>
    <row r="963" spans="1:40" x14ac:dyDescent="0.25">
      <c r="A963" t="str">
        <f>"20190312164452169"</f>
        <v>20190312164452169</v>
      </c>
      <c r="B963" t="str">
        <f>"1552380292162830"</f>
        <v>1552380292162830</v>
      </c>
      <c r="C963" t="s">
        <v>40</v>
      </c>
      <c r="D963">
        <v>5.1514419999999896</v>
      </c>
      <c r="E963">
        <v>0.58030459999999995</v>
      </c>
      <c r="F963" t="s">
        <v>45</v>
      </c>
      <c r="G963">
        <v>-198.56469999999999</v>
      </c>
      <c r="H963" s="1">
        <v>-6.2089400000000002E-6</v>
      </c>
      <c r="I963">
        <v>358.35750000000002</v>
      </c>
      <c r="J963">
        <v>-205.44200000000001</v>
      </c>
      <c r="K963">
        <v>1.0993059999999999</v>
      </c>
      <c r="L963">
        <v>365.81779999999998</v>
      </c>
      <c r="M963">
        <v>0.97439350000000002</v>
      </c>
      <c r="N963">
        <v>0</v>
      </c>
      <c r="O963">
        <v>-0.2243618</v>
      </c>
      <c r="P963">
        <v>0.79863640000000002</v>
      </c>
      <c r="Q963">
        <v>9.5578250000000003E-2</v>
      </c>
      <c r="R963">
        <v>-0.59417589999999998</v>
      </c>
      <c r="S963">
        <v>2.1251980000000001</v>
      </c>
      <c r="T963">
        <v>-0.32966010000000001</v>
      </c>
      <c r="U963">
        <v>-2.2519529999999999</v>
      </c>
      <c r="V963">
        <v>0.40218369999999998</v>
      </c>
      <c r="W963">
        <v>0.10000489999999999</v>
      </c>
      <c r="X963">
        <v>0.91008089999999997</v>
      </c>
      <c r="Y963">
        <v>0.55295090000000002</v>
      </c>
      <c r="Z963">
        <v>-7.3872119999999998E-3</v>
      </c>
      <c r="AA963">
        <v>0.83318110000000001</v>
      </c>
      <c r="AB963">
        <v>39</v>
      </c>
      <c r="AC963">
        <v>6.8773000000000204</v>
      </c>
      <c r="AD963">
        <v>-1.09931220893999</v>
      </c>
      <c r="AE963">
        <v>-7.4602999999999602</v>
      </c>
      <c r="AF963">
        <v>5.6604483033614796</v>
      </c>
      <c r="AG963">
        <v>-1.09931220893999</v>
      </c>
      <c r="AH963">
        <v>8.27874276237198</v>
      </c>
      <c r="AI963">
        <v>96.255488294032006</v>
      </c>
      <c r="AJ963">
        <v>55.638301596182103</v>
      </c>
      <c r="AK963">
        <v>10.0889416716164</v>
      </c>
      <c r="AL963">
        <v>84.260547223980097</v>
      </c>
      <c r="AM963">
        <v>66.158366546474696</v>
      </c>
      <c r="AN963">
        <v>0.99999997655725403</v>
      </c>
    </row>
    <row r="964" spans="1:40" x14ac:dyDescent="0.25">
      <c r="A964" t="str">
        <f>"20190312164452180"</f>
        <v>20190312164452180</v>
      </c>
      <c r="B964" t="str">
        <f>"1552380292172590"</f>
        <v>1552380292172590</v>
      </c>
      <c r="C964" t="s">
        <v>40</v>
      </c>
      <c r="D964">
        <v>5.4539689999999998</v>
      </c>
      <c r="E964">
        <v>0.57959539999999998</v>
      </c>
      <c r="F964" t="s">
        <v>45</v>
      </c>
      <c r="G964">
        <v>-198.46969999999999</v>
      </c>
      <c r="H964" s="1">
        <v>-6.1896300000000004E-6</v>
      </c>
      <c r="I964">
        <v>358.3442</v>
      </c>
      <c r="J964">
        <v>-205.23939999999999</v>
      </c>
      <c r="K964">
        <v>1.0990660000000001</v>
      </c>
      <c r="L964">
        <v>365.767</v>
      </c>
      <c r="M964">
        <v>0.97316740000000002</v>
      </c>
      <c r="N964">
        <v>0</v>
      </c>
      <c r="O964">
        <v>-0.22961899999999999</v>
      </c>
      <c r="P964">
        <v>0.79393669999999905</v>
      </c>
      <c r="Q964">
        <v>9.5886620000000006E-2</v>
      </c>
      <c r="R964">
        <v>-0.60039169999999997</v>
      </c>
      <c r="S964">
        <v>2.1120000000000001</v>
      </c>
      <c r="T964">
        <v>-0.33299719999999999</v>
      </c>
      <c r="U964">
        <v>-2.263855</v>
      </c>
      <c r="V964">
        <v>0.40444960000000002</v>
      </c>
      <c r="W964">
        <v>0.1000457</v>
      </c>
      <c r="X964">
        <v>0.90907170000000004</v>
      </c>
      <c r="Y964">
        <v>0.55322649999999995</v>
      </c>
      <c r="Z964">
        <v>-6.8774169999999898E-3</v>
      </c>
      <c r="AA964">
        <v>0.83300249999999998</v>
      </c>
      <c r="AB964">
        <v>39</v>
      </c>
      <c r="AC964">
        <v>6.7697000000000003</v>
      </c>
      <c r="AD964">
        <v>-1.09907218963</v>
      </c>
      <c r="AE964">
        <v>-7.4227999999999899</v>
      </c>
      <c r="AF964">
        <v>5.6027424865143898</v>
      </c>
      <c r="AG964">
        <v>-1.09907218963</v>
      </c>
      <c r="AH964">
        <v>8.1952941541533004</v>
      </c>
      <c r="AI964">
        <v>96.317535048283005</v>
      </c>
      <c r="AJ964">
        <v>55.6413948773314</v>
      </c>
      <c r="AK964">
        <v>9.9880693490439292</v>
      </c>
      <c r="AL964">
        <v>84.258197841516207</v>
      </c>
      <c r="AM964">
        <v>66.015529246794003</v>
      </c>
      <c r="AN964">
        <v>0.99999998838477</v>
      </c>
    </row>
    <row r="965" spans="1:40" x14ac:dyDescent="0.25">
      <c r="A965" t="str">
        <f>"20190312164452194"</f>
        <v>20190312164452194</v>
      </c>
      <c r="B965" t="str">
        <f>"1552380292182351"</f>
        <v>1552380292182351</v>
      </c>
      <c r="C965" t="s">
        <v>40</v>
      </c>
      <c r="D965">
        <v>5.5353960000000004</v>
      </c>
      <c r="E965">
        <v>0.57888149999999905</v>
      </c>
      <c r="F965" t="s">
        <v>45</v>
      </c>
      <c r="G965">
        <v>-198.03970000000001</v>
      </c>
      <c r="H965" s="1">
        <v>-5.9881809999999901E-6</v>
      </c>
      <c r="I965">
        <v>357.94310000000002</v>
      </c>
      <c r="J965">
        <v>-205.02979999999999</v>
      </c>
      <c r="K965">
        <v>1.098819</v>
      </c>
      <c r="L965">
        <v>365.71359999999999</v>
      </c>
      <c r="M965">
        <v>0.97184579999999998</v>
      </c>
      <c r="N965">
        <v>0</v>
      </c>
      <c r="O965">
        <v>-0.2351483</v>
      </c>
      <c r="P965">
        <v>0.78915999999999997</v>
      </c>
      <c r="Q965">
        <v>9.5838469999999995E-2</v>
      </c>
      <c r="R965">
        <v>-0.6066648</v>
      </c>
      <c r="S965">
        <v>2.095367</v>
      </c>
      <c r="T965">
        <v>-0.31986520000000002</v>
      </c>
      <c r="U965">
        <v>-2.2770079999999999</v>
      </c>
      <c r="V965">
        <v>0.40654430000000003</v>
      </c>
      <c r="W965">
        <v>9.9724969999999996E-2</v>
      </c>
      <c r="X965">
        <v>0.90817219999999999</v>
      </c>
      <c r="Y965">
        <v>0.55433759999999999</v>
      </c>
      <c r="Z965">
        <v>-6.0724150000000003E-3</v>
      </c>
      <c r="AA965">
        <v>0.83226979999999995</v>
      </c>
      <c r="AB965">
        <v>39</v>
      </c>
      <c r="AC965">
        <v>6.9900999999999804</v>
      </c>
      <c r="AD965">
        <v>-1.0988249881809999</v>
      </c>
      <c r="AE965">
        <v>-7.77049999999997</v>
      </c>
      <c r="AF965">
        <v>5.8440780568492201</v>
      </c>
      <c r="AG965">
        <v>-1.0988249881809999</v>
      </c>
      <c r="AH965">
        <v>8.5272235073213505</v>
      </c>
      <c r="AI965">
        <v>96.067393066768801</v>
      </c>
      <c r="AJ965">
        <v>55.575459295384</v>
      </c>
      <c r="AK965">
        <v>10.395874442922601</v>
      </c>
      <c r="AL965">
        <v>84.276666983843</v>
      </c>
      <c r="AM965">
        <v>65.884270728956096</v>
      </c>
      <c r="AN965">
        <v>1.00000004117841</v>
      </c>
    </row>
    <row r="966" spans="1:40" x14ac:dyDescent="0.25">
      <c r="A966" t="str">
        <f>"20190312164452211"</f>
        <v>20190312164452211</v>
      </c>
      <c r="B966" t="str">
        <f>"1552380292202846"</f>
        <v>1552380292202846</v>
      </c>
      <c r="C966" t="s">
        <v>40</v>
      </c>
      <c r="D966">
        <v>6.6454029999999999</v>
      </c>
      <c r="E966">
        <v>0.57714009999999905</v>
      </c>
      <c r="F966" t="s">
        <v>45</v>
      </c>
      <c r="G966">
        <v>-197.7449</v>
      </c>
      <c r="H966" s="1">
        <v>-5.8595210000000003E-6</v>
      </c>
      <c r="I966">
        <v>357.69619999999998</v>
      </c>
      <c r="J966">
        <v>-204.72399999999999</v>
      </c>
      <c r="K966">
        <v>1.0984480000000001</v>
      </c>
      <c r="L966">
        <v>365.63319999999999</v>
      </c>
      <c r="M966">
        <v>0.96979400000000004</v>
      </c>
      <c r="N966">
        <v>0</v>
      </c>
      <c r="O966">
        <v>-0.24346880000000001</v>
      </c>
      <c r="P966">
        <v>0.78114139999999999</v>
      </c>
      <c r="Q966">
        <v>9.5637399999999997E-2</v>
      </c>
      <c r="R966">
        <v>-0.61698629999999999</v>
      </c>
      <c r="S966">
        <v>2.0799099999999999</v>
      </c>
      <c r="T966">
        <v>-0.31372640000000002</v>
      </c>
      <c r="U966">
        <v>-2.2890320000000002</v>
      </c>
      <c r="V966">
        <v>0.41077710000000001</v>
      </c>
      <c r="W966">
        <v>9.908728E-2</v>
      </c>
      <c r="X966">
        <v>0.90633540000000001</v>
      </c>
      <c r="Y966">
        <v>0.55256810000000001</v>
      </c>
      <c r="Z966">
        <v>-4.9403650000000004E-3</v>
      </c>
      <c r="AA966">
        <v>0.83345319999999901</v>
      </c>
      <c r="AB966">
        <v>39</v>
      </c>
      <c r="AC966">
        <v>6.9791000000000096</v>
      </c>
      <c r="AD966">
        <v>-1.0984538595209901</v>
      </c>
      <c r="AE966">
        <v>-7.93700000000001</v>
      </c>
      <c r="AF966">
        <v>5.9346248325685602</v>
      </c>
      <c r="AG966">
        <v>-1.0984538595209901</v>
      </c>
      <c r="AH966">
        <v>8.6086803201334092</v>
      </c>
      <c r="AI966">
        <v>95.997170200128593</v>
      </c>
      <c r="AJ966">
        <v>55.418519868727103</v>
      </c>
      <c r="AK966">
        <v>10.5135983202274</v>
      </c>
      <c r="AL966">
        <v>84.3133854847826</v>
      </c>
      <c r="AM966">
        <v>65.618608165042005</v>
      </c>
      <c r="AN966">
        <v>0.99999998611768404</v>
      </c>
    </row>
    <row r="967" spans="1:40" x14ac:dyDescent="0.25">
      <c r="A967" t="str">
        <f>"20190312164452225"</f>
        <v>20190312164452225</v>
      </c>
      <c r="B967" t="str">
        <f>"1552380292212608"</f>
        <v>1552380292212608</v>
      </c>
      <c r="C967" t="s">
        <v>40</v>
      </c>
      <c r="D967">
        <v>5.5057549999999997</v>
      </c>
      <c r="E967">
        <v>0.576470699999999</v>
      </c>
      <c r="F967" t="s">
        <v>45</v>
      </c>
      <c r="G967">
        <v>-197.34030000000001</v>
      </c>
      <c r="H967" s="1">
        <v>-5.6835629999999997E-6</v>
      </c>
      <c r="I967">
        <v>357.35930000000002</v>
      </c>
      <c r="J967">
        <v>-204.48660000000001</v>
      </c>
      <c r="K967">
        <v>1.0981609999999999</v>
      </c>
      <c r="L967">
        <v>365.56849999999997</v>
      </c>
      <c r="M967">
        <v>0.96808810000000001</v>
      </c>
      <c r="N967">
        <v>0</v>
      </c>
      <c r="O967">
        <v>-0.25016359999999999</v>
      </c>
      <c r="P967">
        <v>0.77562109999999995</v>
      </c>
      <c r="Q967">
        <v>9.581771E-2</v>
      </c>
      <c r="R967">
        <v>-0.62388429999999995</v>
      </c>
      <c r="S967">
        <v>2.05722</v>
      </c>
      <c r="T967">
        <v>-0.30604890000000001</v>
      </c>
      <c r="U967">
        <v>-2.305237</v>
      </c>
      <c r="V967">
        <v>0.4126262</v>
      </c>
      <c r="W967">
        <v>9.8969600000000005E-2</v>
      </c>
      <c r="X967">
        <v>0.90550790000000003</v>
      </c>
      <c r="Y967">
        <v>0.55437000000000003</v>
      </c>
      <c r="Z967">
        <v>-4.2251199999999997E-3</v>
      </c>
      <c r="AA967">
        <v>0.83225959999999999</v>
      </c>
      <c r="AB967">
        <v>39</v>
      </c>
      <c r="AC967">
        <v>7.1462999999999903</v>
      </c>
      <c r="AD967">
        <v>-1.098166683563</v>
      </c>
      <c r="AE967">
        <v>-8.2091999999999494</v>
      </c>
      <c r="AF967">
        <v>6.0980927343674303</v>
      </c>
      <c r="AG967">
        <v>-1.098166683563</v>
      </c>
      <c r="AH967">
        <v>8.8824676265330993</v>
      </c>
      <c r="AI967">
        <v>95.819768615282698</v>
      </c>
      <c r="AJ967">
        <v>55.529179691486597</v>
      </c>
      <c r="AK967">
        <v>10.8300940068976</v>
      </c>
      <c r="AL967">
        <v>84.320161208384803</v>
      </c>
      <c r="AM967">
        <v>65.501966071579702</v>
      </c>
      <c r="AN967">
        <v>0.99999995980650402</v>
      </c>
    </row>
    <row r="968" spans="1:40" x14ac:dyDescent="0.25">
      <c r="A968" t="str">
        <f>"20190312164452240"</f>
        <v>20190312164452240</v>
      </c>
      <c r="B968" t="str">
        <f>"1552380292232126"</f>
        <v>1552380292232126</v>
      </c>
      <c r="C968" t="s">
        <v>40</v>
      </c>
      <c r="D968">
        <v>5.5205609999999998</v>
      </c>
      <c r="E968">
        <v>0.57548889999999997</v>
      </c>
      <c r="F968" t="s">
        <v>45</v>
      </c>
      <c r="G968">
        <v>-197.0658</v>
      </c>
      <c r="H968" s="1">
        <v>-5.563156E-6</v>
      </c>
      <c r="I968">
        <v>357.12779999999998</v>
      </c>
      <c r="J968">
        <v>-204.21639999999999</v>
      </c>
      <c r="K968">
        <v>1.0978410000000001</v>
      </c>
      <c r="L968">
        <v>365.49259999999998</v>
      </c>
      <c r="M968">
        <v>0.96602719999999997</v>
      </c>
      <c r="N968">
        <v>0</v>
      </c>
      <c r="O968">
        <v>-0.25800380000000001</v>
      </c>
      <c r="P968">
        <v>0.76938450000000003</v>
      </c>
      <c r="Q968">
        <v>9.5906519999999995E-2</v>
      </c>
      <c r="R968">
        <v>-0.63154549999999998</v>
      </c>
      <c r="S968">
        <v>2.0393520000000001</v>
      </c>
      <c r="T968">
        <v>-0.30179240000000002</v>
      </c>
      <c r="U968">
        <v>-2.3196409999999998</v>
      </c>
      <c r="V968">
        <v>0.4143483</v>
      </c>
      <c r="W968">
        <v>9.8734740000000001E-2</v>
      </c>
      <c r="X968">
        <v>0.90474690000000002</v>
      </c>
      <c r="Y968">
        <v>0.55387659999999905</v>
      </c>
      <c r="Z968">
        <v>-3.3121090000000001E-3</v>
      </c>
      <c r="AA968">
        <v>0.83259219999999901</v>
      </c>
      <c r="AB968">
        <v>39</v>
      </c>
      <c r="AC968">
        <v>7.1505999999999901</v>
      </c>
      <c r="AD968">
        <v>-1.0978465631559999</v>
      </c>
      <c r="AE968">
        <v>-8.3648000000000007</v>
      </c>
      <c r="AF968">
        <v>6.1749884408443698</v>
      </c>
      <c r="AG968">
        <v>-1.0978465631559999</v>
      </c>
      <c r="AH968">
        <v>8.9774973061580106</v>
      </c>
      <c r="AI968">
        <v>95.753449294840905</v>
      </c>
      <c r="AJ968">
        <v>55.478655171219998</v>
      </c>
      <c r="AK968">
        <v>10.9513107527304</v>
      </c>
      <c r="AL968">
        <v>84.333684201261704</v>
      </c>
      <c r="AM968">
        <v>65.393569802101396</v>
      </c>
      <c r="AN968">
        <v>1.0000000078276801</v>
      </c>
    </row>
    <row r="969" spans="1:40" x14ac:dyDescent="0.25">
      <c r="A969" t="str">
        <f>"20190312164452253"</f>
        <v>20190312164452253</v>
      </c>
      <c r="B969" t="str">
        <f>"1552380292242863"</f>
        <v>1552380292242863</v>
      </c>
      <c r="C969" t="s">
        <v>40</v>
      </c>
      <c r="D969">
        <v>5.4379850000000003</v>
      </c>
      <c r="E969">
        <v>0.57506840000000004</v>
      </c>
      <c r="F969" t="s">
        <v>45</v>
      </c>
      <c r="G969">
        <v>-196.7852</v>
      </c>
      <c r="H969" s="1">
        <v>-5.4460979999999998E-6</v>
      </c>
      <c r="I969">
        <v>356.90899999999999</v>
      </c>
      <c r="J969">
        <v>-203.9984</v>
      </c>
      <c r="K969">
        <v>1.0975809999999999</v>
      </c>
      <c r="L969">
        <v>365.4298</v>
      </c>
      <c r="M969">
        <v>0.96427419999999997</v>
      </c>
      <c r="N969">
        <v>0</v>
      </c>
      <c r="O969">
        <v>-0.26447779999999999</v>
      </c>
      <c r="P969">
        <v>0.76320109999999997</v>
      </c>
      <c r="Q969">
        <v>9.5862820000000001E-2</v>
      </c>
      <c r="R969">
        <v>-0.63901070000000004</v>
      </c>
      <c r="S969">
        <v>2.0206149999999998</v>
      </c>
      <c r="T969">
        <v>-0.298512099999999</v>
      </c>
      <c r="U969">
        <v>-2.3339539999999999</v>
      </c>
      <c r="V969">
        <v>0.41715390000000002</v>
      </c>
      <c r="W969">
        <v>9.8380739999999994E-2</v>
      </c>
      <c r="X969">
        <v>0.90349539999999995</v>
      </c>
      <c r="Y969">
        <v>0.55468850000000003</v>
      </c>
      <c r="Z969">
        <v>-2.6514529999999998E-3</v>
      </c>
      <c r="AA969">
        <v>0.83205379999999995</v>
      </c>
      <c r="AB969">
        <v>39</v>
      </c>
      <c r="AC969">
        <v>7.2131999999999996</v>
      </c>
      <c r="AD969">
        <v>-1.0975864460979901</v>
      </c>
      <c r="AE969">
        <v>-8.5207999999999995</v>
      </c>
      <c r="AF969">
        <v>6.24897014291769</v>
      </c>
      <c r="AG969">
        <v>-1.0975864460979901</v>
      </c>
      <c r="AH969">
        <v>9.1219381387997096</v>
      </c>
      <c r="AI969">
        <v>95.668913965112793</v>
      </c>
      <c r="AJ969">
        <v>55.586964846814602</v>
      </c>
      <c r="AK969">
        <v>11.111439117496101</v>
      </c>
      <c r="AL969">
        <v>84.354066333882699</v>
      </c>
      <c r="AM969">
        <v>65.216703194279106</v>
      </c>
      <c r="AN969">
        <v>1.00000004205465</v>
      </c>
    </row>
    <row r="970" spans="1:40" x14ac:dyDescent="0.25">
      <c r="A970" t="str">
        <f>"20190312164452268"</f>
        <v>20190312164452268</v>
      </c>
      <c r="B970" t="str">
        <f>"1552380292262382"</f>
        <v>1552380292262382</v>
      </c>
      <c r="C970" t="s">
        <v>40</v>
      </c>
      <c r="D970">
        <v>5.4962650000000002</v>
      </c>
      <c r="E970">
        <v>0.57783869999999904</v>
      </c>
      <c r="F970" t="s">
        <v>45</v>
      </c>
      <c r="G970">
        <v>-196.59800000000001</v>
      </c>
      <c r="H970" s="1">
        <v>-5.356053E-6</v>
      </c>
      <c r="I970">
        <v>356.72739999999999</v>
      </c>
      <c r="J970">
        <v>-203.75399999999999</v>
      </c>
      <c r="K970">
        <v>1.0972930000000001</v>
      </c>
      <c r="L970">
        <v>365.35759999999999</v>
      </c>
      <c r="M970">
        <v>0.96220760000000005</v>
      </c>
      <c r="N970">
        <v>0</v>
      </c>
      <c r="O970">
        <v>-0.27189799999999997</v>
      </c>
      <c r="P970">
        <v>0.75716039999999996</v>
      </c>
      <c r="Q970">
        <v>9.6065780000000003E-2</v>
      </c>
      <c r="R970">
        <v>-0.64612650000000005</v>
      </c>
      <c r="S970">
        <v>1.9994350000000001</v>
      </c>
      <c r="T970">
        <v>-0.29654540000000001</v>
      </c>
      <c r="U970">
        <v>-2.3512270000000002</v>
      </c>
      <c r="V970">
        <v>0.41873389999999999</v>
      </c>
      <c r="W970">
        <v>9.828489E-2</v>
      </c>
      <c r="X970">
        <v>0.90277459999999998</v>
      </c>
      <c r="Y970">
        <v>0.55568739999999905</v>
      </c>
      <c r="Z970">
        <v>-1.9235280000000001E-3</v>
      </c>
      <c r="AA970">
        <v>0.83138909999999999</v>
      </c>
      <c r="AB970">
        <v>39</v>
      </c>
      <c r="AC970">
        <v>7.1560000000000299</v>
      </c>
      <c r="AD970">
        <v>-1.0972983560529901</v>
      </c>
      <c r="AE970">
        <v>-8.6302000000000003</v>
      </c>
      <c r="AF970">
        <v>6.2987268530198</v>
      </c>
      <c r="AG970">
        <v>-1.0972983560529901</v>
      </c>
      <c r="AH970">
        <v>9.1455326668360399</v>
      </c>
      <c r="AI970">
        <v>95.643289450130794</v>
      </c>
      <c r="AJ970">
        <v>55.443971945467602</v>
      </c>
      <c r="AK970">
        <v>11.1587988337147</v>
      </c>
      <c r="AL970">
        <v>84.359584576277001</v>
      </c>
      <c r="AM970">
        <v>65.116717367336506</v>
      </c>
      <c r="AN970">
        <v>0.99999998850834004</v>
      </c>
    </row>
    <row r="971" spans="1:40" x14ac:dyDescent="0.25">
      <c r="A971" t="str">
        <f>"20190312164452280"</f>
        <v>20190312164452280</v>
      </c>
      <c r="B971" t="str">
        <f>"1552380292272143"</f>
        <v>1552380292272143</v>
      </c>
      <c r="C971" t="s">
        <v>40</v>
      </c>
      <c r="D971">
        <v>5.2963239999999896</v>
      </c>
      <c r="E971">
        <v>0.57648129999999997</v>
      </c>
      <c r="F971" t="s">
        <v>45</v>
      </c>
      <c r="G971">
        <v>-198.91849999999999</v>
      </c>
      <c r="H971" s="1">
        <v>-6.6717869999999997E-6</v>
      </c>
      <c r="I971">
        <v>359.5752</v>
      </c>
      <c r="J971">
        <v>-203.5455</v>
      </c>
      <c r="K971">
        <v>1.097048</v>
      </c>
      <c r="L971">
        <v>365.29360000000003</v>
      </c>
      <c r="M971">
        <v>0.96033219999999997</v>
      </c>
      <c r="N971">
        <v>0</v>
      </c>
      <c r="O971">
        <v>-0.27844659999999999</v>
      </c>
      <c r="P971">
        <v>0.75175309999999995</v>
      </c>
      <c r="Q971">
        <v>9.6097290000000002E-2</v>
      </c>
      <c r="R971">
        <v>-0.65240529999999997</v>
      </c>
      <c r="S971">
        <v>1.989365</v>
      </c>
      <c r="T971">
        <v>-0.45143620000000001</v>
      </c>
      <c r="U971">
        <v>-2.3789370000000001</v>
      </c>
      <c r="V971">
        <v>0.42015809999999998</v>
      </c>
      <c r="W971">
        <v>9.806281E-2</v>
      </c>
      <c r="X971">
        <v>0.90213690000000002</v>
      </c>
      <c r="Y971">
        <v>0.55535999999999996</v>
      </c>
      <c r="Z971">
        <v>-1.845289E-3</v>
      </c>
      <c r="AA971">
        <v>0.83160800000000001</v>
      </c>
      <c r="AB971">
        <v>39</v>
      </c>
      <c r="AC971">
        <v>4.6269999999999998</v>
      </c>
      <c r="AD971">
        <v>-1.097054671787</v>
      </c>
      <c r="AE971">
        <v>-5.7184000000000301</v>
      </c>
      <c r="AF971">
        <v>4.1122076352868202</v>
      </c>
      <c r="AG971">
        <v>-1.097054671787</v>
      </c>
      <c r="AH971">
        <v>5.9050749013905302</v>
      </c>
      <c r="AI971">
        <v>98.668378036606299</v>
      </c>
      <c r="AJ971">
        <v>55.147212175548198</v>
      </c>
      <c r="AK971">
        <v>7.2789896400278797</v>
      </c>
      <c r="AL971">
        <v>84.372371020792698</v>
      </c>
      <c r="AM971">
        <v>65.026885029998894</v>
      </c>
      <c r="AN971">
        <v>1.00000006502115</v>
      </c>
    </row>
    <row r="972" spans="1:40" x14ac:dyDescent="0.25">
      <c r="A972" t="str">
        <f>"20190312164452292"</f>
        <v>20190312164452292</v>
      </c>
      <c r="B972" t="str">
        <f>"1552380292282878"</f>
        <v>1552380292282878</v>
      </c>
      <c r="C972" t="s">
        <v>40</v>
      </c>
      <c r="D972">
        <v>5.3787260000000003</v>
      </c>
      <c r="E972">
        <v>0.57739130000000005</v>
      </c>
      <c r="F972" t="s">
        <v>45</v>
      </c>
      <c r="G972">
        <v>-198.5472</v>
      </c>
      <c r="H972" s="1">
        <v>-6.5040940000000004E-6</v>
      </c>
      <c r="I972">
        <v>359.2475</v>
      </c>
      <c r="J972">
        <v>-203.34049999999999</v>
      </c>
      <c r="K972">
        <v>1.0968059999999999</v>
      </c>
      <c r="L972">
        <v>365.22980000000001</v>
      </c>
      <c r="M972">
        <v>0.95842059999999996</v>
      </c>
      <c r="N972">
        <v>0</v>
      </c>
      <c r="O972">
        <v>-0.28495540000000003</v>
      </c>
      <c r="P972">
        <v>0.74618459999999998</v>
      </c>
      <c r="Q972">
        <v>9.6165379999999995E-2</v>
      </c>
      <c r="R972">
        <v>-0.65875740000000005</v>
      </c>
      <c r="S972">
        <v>1.9739070000000001</v>
      </c>
      <c r="T972">
        <v>-0.43324279999999998</v>
      </c>
      <c r="U972">
        <v>-2.3876949999999999</v>
      </c>
      <c r="V972">
        <v>0.42175109999999899</v>
      </c>
      <c r="W972">
        <v>9.7872970000000004E-2</v>
      </c>
      <c r="X972">
        <v>0.90141389999999999</v>
      </c>
      <c r="Y972">
        <v>0.55469019999999902</v>
      </c>
      <c r="Z972">
        <v>-7.2754169999999997E-4</v>
      </c>
      <c r="AA972">
        <v>0.83205659999999904</v>
      </c>
      <c r="AB972">
        <v>39</v>
      </c>
      <c r="AC972">
        <v>4.7932999999999799</v>
      </c>
      <c r="AD972">
        <v>-1.096812504094</v>
      </c>
      <c r="AE972">
        <v>-5.9823000000000004</v>
      </c>
      <c r="AF972">
        <v>4.2805553339207902</v>
      </c>
      <c r="AG972">
        <v>-1.096812504094</v>
      </c>
      <c r="AH972">
        <v>6.1730385678149302</v>
      </c>
      <c r="AI972">
        <v>98.306989479956002</v>
      </c>
      <c r="AJ972">
        <v>55.261492899146901</v>
      </c>
      <c r="AK972">
        <v>7.59161094864755</v>
      </c>
      <c r="AL972">
        <v>84.383300620376104</v>
      </c>
      <c r="AM972">
        <v>64.926173405703594</v>
      </c>
      <c r="AN972">
        <v>1.00000006386051</v>
      </c>
    </row>
    <row r="973" spans="1:40" x14ac:dyDescent="0.25">
      <c r="A973" t="str">
        <f>"20190312164452304"</f>
        <v>20190312164452304</v>
      </c>
      <c r="B973" t="str">
        <f>"1552380292292639"</f>
        <v>1552380292292639</v>
      </c>
      <c r="C973" t="s">
        <v>40</v>
      </c>
      <c r="D973">
        <v>5.5102029999999997</v>
      </c>
      <c r="E973">
        <v>0.57851090000000005</v>
      </c>
      <c r="F973" t="s">
        <v>45</v>
      </c>
      <c r="G973">
        <v>-198.2296</v>
      </c>
      <c r="H973" s="1">
        <v>-6.3382550000000002E-6</v>
      </c>
      <c r="I973">
        <v>358.90019999999998</v>
      </c>
      <c r="J973">
        <v>-203.1421</v>
      </c>
      <c r="K973">
        <v>1.0965750000000001</v>
      </c>
      <c r="L973">
        <v>365.16609999999997</v>
      </c>
      <c r="M973">
        <v>0.95647879999999996</v>
      </c>
      <c r="N973">
        <v>0</v>
      </c>
      <c r="O973">
        <v>-0.29140379999999999</v>
      </c>
      <c r="P973">
        <v>0.7406528</v>
      </c>
      <c r="Q973">
        <v>9.6157469999999995E-2</v>
      </c>
      <c r="R973">
        <v>-0.66497189999999995</v>
      </c>
      <c r="S973">
        <v>1.9463200000000001</v>
      </c>
      <c r="T973">
        <v>-0.41768110000000003</v>
      </c>
      <c r="U973">
        <v>-2.4103699999999999</v>
      </c>
      <c r="V973">
        <v>0.42327039999999999</v>
      </c>
      <c r="W973">
        <v>9.7618150000000001E-2</v>
      </c>
      <c r="X973">
        <v>0.90072909999999995</v>
      </c>
      <c r="Y973">
        <v>0.55885989999999997</v>
      </c>
      <c r="Z973">
        <v>-1.089275E-4</v>
      </c>
      <c r="AA973">
        <v>0.829262099999999</v>
      </c>
      <c r="AB973">
        <v>39</v>
      </c>
      <c r="AC973">
        <v>4.9124999999999899</v>
      </c>
      <c r="AD973">
        <v>-1.096581338255</v>
      </c>
      <c r="AE973">
        <v>-6.2658999999999798</v>
      </c>
      <c r="AF973">
        <v>4.4772816767278902</v>
      </c>
      <c r="AG973">
        <v>-1.096581338255</v>
      </c>
      <c r="AH973">
        <v>6.4038944644911302</v>
      </c>
      <c r="AI973">
        <v>97.988633964575499</v>
      </c>
      <c r="AJ973">
        <v>55.040685206725797</v>
      </c>
      <c r="AK973">
        <v>7.8903996195701396</v>
      </c>
      <c r="AL973">
        <v>84.397970751187501</v>
      </c>
      <c r="AM973">
        <v>64.8302413155903</v>
      </c>
      <c r="AN973">
        <v>1.0000000231561901</v>
      </c>
    </row>
    <row r="974" spans="1:40" x14ac:dyDescent="0.25">
      <c r="A974" t="str">
        <f>"20190312164452320"</f>
        <v>20190312164452320</v>
      </c>
      <c r="B974" t="str">
        <f>"1552380292312162"</f>
        <v>1552380292312162</v>
      </c>
      <c r="C974" t="s">
        <v>40</v>
      </c>
      <c r="D974">
        <v>5.4694739999999999</v>
      </c>
      <c r="E974">
        <v>0.5799647</v>
      </c>
      <c r="F974" t="s">
        <v>45</v>
      </c>
      <c r="G974">
        <v>-197.96940000000001</v>
      </c>
      <c r="H974" s="1">
        <v>-6.1984709999999999E-6</v>
      </c>
      <c r="I974">
        <v>358.60399999999998</v>
      </c>
      <c r="J974">
        <v>-202.8604</v>
      </c>
      <c r="K974">
        <v>1.096249</v>
      </c>
      <c r="L974">
        <v>365.07319999999999</v>
      </c>
      <c r="M974">
        <v>0.95357760000000003</v>
      </c>
      <c r="N974">
        <v>0</v>
      </c>
      <c r="O974">
        <v>-0.30075849999999998</v>
      </c>
      <c r="P974">
        <v>0.73141880000000004</v>
      </c>
      <c r="Q974">
        <v>9.6465110000000007E-2</v>
      </c>
      <c r="R974">
        <v>-0.67507119999999998</v>
      </c>
      <c r="S974">
        <v>1.9183349999999999</v>
      </c>
      <c r="T974">
        <v>-0.40667930000000002</v>
      </c>
      <c r="U974">
        <v>-2.433624</v>
      </c>
      <c r="V974">
        <v>0.42690420000000001</v>
      </c>
      <c r="W974">
        <v>9.7526570000000007E-2</v>
      </c>
      <c r="X974">
        <v>0.89902249999999995</v>
      </c>
      <c r="Y974">
        <v>0.56065109999999996</v>
      </c>
      <c r="Z974">
        <v>1.0855089999999999E-3</v>
      </c>
      <c r="AA974">
        <v>0.82805139999999999</v>
      </c>
      <c r="AB974">
        <v>39</v>
      </c>
      <c r="AC974">
        <v>4.8909999999999902</v>
      </c>
      <c r="AD974">
        <v>-1.0962551984710001</v>
      </c>
      <c r="AE974">
        <v>-6.4691999999999403</v>
      </c>
      <c r="AF974">
        <v>4.6141164875476299</v>
      </c>
      <c r="AG974">
        <v>-1.0962551984710001</v>
      </c>
      <c r="AH974">
        <v>6.4917728136984003</v>
      </c>
      <c r="AI974">
        <v>97.837104724081897</v>
      </c>
      <c r="AJ974">
        <v>54.596166833984299</v>
      </c>
      <c r="AK974">
        <v>8.0395870967051</v>
      </c>
      <c r="AL974">
        <v>84.403243159654593</v>
      </c>
      <c r="AM974">
        <v>64.599119488738907</v>
      </c>
      <c r="AN974">
        <v>1.00000004166992</v>
      </c>
    </row>
    <row r="975" spans="1:40" x14ac:dyDescent="0.25">
      <c r="A975" t="str">
        <f>"20190312164452332"</f>
        <v>20190312164452332</v>
      </c>
      <c r="B975" t="str">
        <f>"1552380292322895"</f>
        <v>1552380292322895</v>
      </c>
      <c r="C975" t="s">
        <v>40</v>
      </c>
      <c r="D975">
        <v>5.4197189999999997</v>
      </c>
      <c r="E975">
        <v>0.5794724</v>
      </c>
      <c r="F975" t="s">
        <v>45</v>
      </c>
      <c r="G975">
        <v>-197.77680000000001</v>
      </c>
      <c r="H975" s="1">
        <v>-6.0965540000000002E-6</v>
      </c>
      <c r="I975">
        <v>358.3895</v>
      </c>
      <c r="J975">
        <v>-202.6651</v>
      </c>
      <c r="K975">
        <v>1.0960289999999999</v>
      </c>
      <c r="L975">
        <v>365.00720000000001</v>
      </c>
      <c r="M975">
        <v>0.95147150000000003</v>
      </c>
      <c r="N975">
        <v>0</v>
      </c>
      <c r="O975">
        <v>-0.30735440000000003</v>
      </c>
      <c r="P975">
        <v>0.72526740000000001</v>
      </c>
      <c r="Q975">
        <v>9.683986E-2</v>
      </c>
      <c r="R975">
        <v>-0.68162239999999996</v>
      </c>
      <c r="S975">
        <v>1.877167</v>
      </c>
      <c r="T975">
        <v>-0.4048001</v>
      </c>
      <c r="U975">
        <v>-2.4680179999999998</v>
      </c>
      <c r="V975">
        <v>0.42884430000000001</v>
      </c>
      <c r="W975">
        <v>9.7646150000000001E-2</v>
      </c>
      <c r="X975">
        <v>0.89808559999999904</v>
      </c>
      <c r="Y975">
        <v>0.56920280000000001</v>
      </c>
      <c r="Z975">
        <v>1.3190140000000001E-3</v>
      </c>
      <c r="AA975">
        <v>0.82219609999999999</v>
      </c>
      <c r="AB975">
        <v>39</v>
      </c>
      <c r="AC975">
        <v>4.8882999999999797</v>
      </c>
      <c r="AD975">
        <v>-1.096035096554</v>
      </c>
      <c r="AE975">
        <v>-6.6177000000000099</v>
      </c>
      <c r="AF975">
        <v>4.7110685242530401</v>
      </c>
      <c r="AG975">
        <v>-1.096035096554</v>
      </c>
      <c r="AH975">
        <v>6.5692583754833</v>
      </c>
      <c r="AI975">
        <v>97.721227569454598</v>
      </c>
      <c r="AJ975">
        <v>54.354233603475699</v>
      </c>
      <c r="AK975">
        <v>8.1578560404645195</v>
      </c>
      <c r="AL975">
        <v>84.396358495243106</v>
      </c>
      <c r="AM975">
        <v>64.475086895683205</v>
      </c>
      <c r="AN975">
        <v>0.99999997458983503</v>
      </c>
    </row>
    <row r="976" spans="1:40" x14ac:dyDescent="0.25">
      <c r="A976" t="str">
        <f>"20190312164452345"</f>
        <v>20190312164452345</v>
      </c>
      <c r="B976" t="str">
        <f>"1552380292342414"</f>
        <v>1552380292342414</v>
      </c>
      <c r="C976" t="s">
        <v>40</v>
      </c>
      <c r="D976">
        <v>5.3892550000000004</v>
      </c>
      <c r="E976">
        <v>0.57756479999999999</v>
      </c>
      <c r="F976" t="s">
        <v>45</v>
      </c>
      <c r="G976">
        <v>-197.66329999999999</v>
      </c>
      <c r="H976" s="1">
        <v>-6.0571440000000004E-6</v>
      </c>
      <c r="I976">
        <v>358.32470000000001</v>
      </c>
      <c r="J976">
        <v>-202.4494</v>
      </c>
      <c r="K976">
        <v>1.0957920000000001</v>
      </c>
      <c r="L976">
        <v>364.93239999999997</v>
      </c>
      <c r="M976">
        <v>0.94904049999999995</v>
      </c>
      <c r="N976">
        <v>0</v>
      </c>
      <c r="O976">
        <v>-0.31477870000000002</v>
      </c>
      <c r="P976">
        <v>0.71851160000000003</v>
      </c>
      <c r="Q976">
        <v>9.7224179999999993E-2</v>
      </c>
      <c r="R976">
        <v>-0.68868629999999997</v>
      </c>
      <c r="S976">
        <v>1.85791</v>
      </c>
      <c r="T976">
        <v>-0.40711809999999998</v>
      </c>
      <c r="U976">
        <v>-2.482208</v>
      </c>
      <c r="V976">
        <v>0.43070009999999997</v>
      </c>
      <c r="W976">
        <v>9.7763390000000006E-2</v>
      </c>
      <c r="X976">
        <v>0.89718430000000005</v>
      </c>
      <c r="Y976">
        <v>0.56915689999999997</v>
      </c>
      <c r="Z976">
        <v>2.4008559999999998E-3</v>
      </c>
      <c r="AA976">
        <v>0.82222549999999905</v>
      </c>
      <c r="AB976">
        <v>39</v>
      </c>
      <c r="AC976">
        <v>4.7861000000000002</v>
      </c>
      <c r="AD976">
        <v>-1.095798057144</v>
      </c>
      <c r="AE976">
        <v>-6.6076999999999604</v>
      </c>
      <c r="AF976">
        <v>4.6805475315441099</v>
      </c>
      <c r="AG976">
        <v>-1.095798057144</v>
      </c>
      <c r="AH976">
        <v>6.5056000109106096</v>
      </c>
      <c r="AI976">
        <v>97.785711719880695</v>
      </c>
      <c r="AJ976">
        <v>54.266328823042301</v>
      </c>
      <c r="AK976">
        <v>8.0889511111790195</v>
      </c>
      <c r="AL976">
        <v>84.389608774980303</v>
      </c>
      <c r="AM976">
        <v>64.356314159084704</v>
      </c>
      <c r="AN976">
        <v>0.99999996236539501</v>
      </c>
    </row>
    <row r="977" spans="1:40" x14ac:dyDescent="0.25">
      <c r="A977" t="str">
        <f>"20190312164452358"</f>
        <v>20190312164452358</v>
      </c>
      <c r="B977" t="str">
        <f>"1552380292352174"</f>
        <v>1552380292352174</v>
      </c>
      <c r="C977" t="s">
        <v>40</v>
      </c>
      <c r="D977">
        <v>5.3515490000000003</v>
      </c>
      <c r="E977">
        <v>0.57607509999999995</v>
      </c>
      <c r="F977" t="s">
        <v>45</v>
      </c>
      <c r="G977">
        <v>-197.41399999999999</v>
      </c>
      <c r="H977" s="1">
        <v>-5.9534819999999998E-6</v>
      </c>
      <c r="I977">
        <v>358.13130000000001</v>
      </c>
      <c r="J977">
        <v>-202.2473</v>
      </c>
      <c r="K977">
        <v>1.0955760000000001</v>
      </c>
      <c r="L977">
        <v>364.86020000000002</v>
      </c>
      <c r="M977">
        <v>0.94665889999999997</v>
      </c>
      <c r="N977">
        <v>0</v>
      </c>
      <c r="O977">
        <v>-0.32186769999999998</v>
      </c>
      <c r="P977">
        <v>0.71184769999999997</v>
      </c>
      <c r="Q977">
        <v>9.7449880000000003E-2</v>
      </c>
      <c r="R977">
        <v>-0.69554050000000001</v>
      </c>
      <c r="S977">
        <v>1.8432919999999999</v>
      </c>
      <c r="T977">
        <v>-0.4011362</v>
      </c>
      <c r="U977">
        <v>-2.489655</v>
      </c>
      <c r="V977">
        <v>0.43265710000000002</v>
      </c>
      <c r="W977">
        <v>9.7735370000000002E-2</v>
      </c>
      <c r="X977">
        <v>0.89624530000000002</v>
      </c>
      <c r="Y977">
        <v>0.56742340000000002</v>
      </c>
      <c r="Z977">
        <v>3.5194750000000002E-3</v>
      </c>
      <c r="AA977">
        <v>0.82341869999999995</v>
      </c>
      <c r="AB977">
        <v>39</v>
      </c>
      <c r="AC977">
        <v>4.8332999999999799</v>
      </c>
      <c r="AD977">
        <v>-1.0955819534819999</v>
      </c>
      <c r="AE977">
        <v>-6.7289000000000003</v>
      </c>
      <c r="AF977">
        <v>4.7321119425119198</v>
      </c>
      <c r="AG977">
        <v>-1.0955819534819999</v>
      </c>
      <c r="AH977">
        <v>6.6262307378619498</v>
      </c>
      <c r="AI977">
        <v>97.663211862220507</v>
      </c>
      <c r="AJ977">
        <v>54.467532910709402</v>
      </c>
      <c r="AK977">
        <v>8.2158454856847101</v>
      </c>
      <c r="AL977">
        <v>84.391222158125103</v>
      </c>
      <c r="AM977">
        <v>64.231348698103602</v>
      </c>
      <c r="AN977">
        <v>1.0000000032507601</v>
      </c>
    </row>
    <row r="978" spans="1:40" x14ac:dyDescent="0.25">
      <c r="A978" t="str">
        <f>"20190312164452369"</f>
        <v>20190312164452369</v>
      </c>
      <c r="B978" t="str">
        <f>"1552380292362910"</f>
        <v>1552380292362910</v>
      </c>
      <c r="C978" t="s">
        <v>40</v>
      </c>
      <c r="D978">
        <v>5.3272529999999998</v>
      </c>
      <c r="E978">
        <v>0.57599209999999901</v>
      </c>
      <c r="F978" t="s">
        <v>45</v>
      </c>
      <c r="G978">
        <v>-197.25200000000001</v>
      </c>
      <c r="H978" s="1">
        <v>-5.8939350000000003E-6</v>
      </c>
      <c r="I978">
        <v>358.02910000000003</v>
      </c>
      <c r="J978">
        <v>-202.04249999999999</v>
      </c>
      <c r="K978">
        <v>1.0953630000000001</v>
      </c>
      <c r="L978">
        <v>364.786</v>
      </c>
      <c r="M978">
        <v>0.94416369999999905</v>
      </c>
      <c r="N978">
        <v>0</v>
      </c>
      <c r="O978">
        <v>-0.3291133</v>
      </c>
      <c r="P978">
        <v>0.70515609999999995</v>
      </c>
      <c r="Q978">
        <v>9.7700369999999995E-2</v>
      </c>
      <c r="R978">
        <v>-0.70228880000000005</v>
      </c>
      <c r="S978">
        <v>1.8274539999999999</v>
      </c>
      <c r="T978">
        <v>-0.40079429999999999</v>
      </c>
      <c r="U978">
        <v>-2.4990230000000002</v>
      </c>
      <c r="V978">
        <v>0.43439620000000001</v>
      </c>
      <c r="W978">
        <v>9.7737740000000004E-2</v>
      </c>
      <c r="X978">
        <v>0.89540339999999996</v>
      </c>
      <c r="Y978">
        <v>0.56604869999999996</v>
      </c>
      <c r="Z978">
        <v>4.6643839999999997E-3</v>
      </c>
      <c r="AA978">
        <v>0.82435859999999905</v>
      </c>
      <c r="AB978">
        <v>39</v>
      </c>
      <c r="AC978">
        <v>4.7904999999999802</v>
      </c>
      <c r="AD978">
        <v>-1.0953688939349999</v>
      </c>
      <c r="AE978">
        <v>-6.7568999999999697</v>
      </c>
      <c r="AF978">
        <v>4.72101105745159</v>
      </c>
      <c r="AG978">
        <v>-1.0953688939349999</v>
      </c>
      <c r="AH978">
        <v>6.6316281499343104</v>
      </c>
      <c r="AI978">
        <v>97.663645814507007</v>
      </c>
      <c r="AJ978">
        <v>54.553194378797102</v>
      </c>
      <c r="AK978">
        <v>8.2137853841807704</v>
      </c>
      <c r="AL978">
        <v>84.391085619977503</v>
      </c>
      <c r="AM978">
        <v>64.120111169777203</v>
      </c>
      <c r="AN978">
        <v>0.99999998656315303</v>
      </c>
    </row>
    <row r="979" spans="1:40" x14ac:dyDescent="0.25">
      <c r="A979" t="str">
        <f>"20190312164452381"</f>
        <v>20190312164452381</v>
      </c>
      <c r="B979" t="str">
        <f>"1552380292372671"</f>
        <v>1552380292372671</v>
      </c>
      <c r="C979" t="s">
        <v>40</v>
      </c>
      <c r="D979">
        <v>5.4024830000000001</v>
      </c>
      <c r="E979">
        <v>0.57712779999999997</v>
      </c>
      <c r="F979" t="s">
        <v>45</v>
      </c>
      <c r="G979">
        <v>-197.08439999999999</v>
      </c>
      <c r="H979" s="1">
        <v>-5.8143730000000001E-6</v>
      </c>
      <c r="I979">
        <v>357.86950000000002</v>
      </c>
      <c r="J979">
        <v>-201.8468</v>
      </c>
      <c r="K979">
        <v>1.0951630000000001</v>
      </c>
      <c r="L979">
        <v>364.71260000000001</v>
      </c>
      <c r="M979">
        <v>0.94166510000000003</v>
      </c>
      <c r="N979">
        <v>0</v>
      </c>
      <c r="O979">
        <v>-0.33619369999999998</v>
      </c>
      <c r="P979">
        <v>0.69866189999999995</v>
      </c>
      <c r="Q979">
        <v>9.765298E-2</v>
      </c>
      <c r="R979">
        <v>-0.70875639999999995</v>
      </c>
      <c r="S979">
        <v>1.8037110000000001</v>
      </c>
      <c r="T979">
        <v>-0.398482</v>
      </c>
      <c r="U979">
        <v>-2.5161129999999998</v>
      </c>
      <c r="V979">
        <v>0.4359672</v>
      </c>
      <c r="W979">
        <v>9.7464380000000003E-2</v>
      </c>
      <c r="X979">
        <v>0.89466939999999995</v>
      </c>
      <c r="Y979">
        <v>0.56770679999999996</v>
      </c>
      <c r="Z979">
        <v>5.5117419999999896E-3</v>
      </c>
      <c r="AA979">
        <v>0.82321239999999996</v>
      </c>
      <c r="AB979">
        <v>39</v>
      </c>
      <c r="AC979">
        <v>4.7624000000000102</v>
      </c>
      <c r="AD979">
        <v>-1.0951688143729901</v>
      </c>
      <c r="AE979">
        <v>-6.84309999999999</v>
      </c>
      <c r="AF979">
        <v>4.7612452790543998</v>
      </c>
      <c r="AG979">
        <v>-1.0951688143729901</v>
      </c>
      <c r="AH979">
        <v>6.6709006162739399</v>
      </c>
      <c r="AI979">
        <v>97.611139610526394</v>
      </c>
      <c r="AJ979">
        <v>54.483277998165399</v>
      </c>
      <c r="AK979">
        <v>8.2686012342776003</v>
      </c>
      <c r="AL979">
        <v>84.406823319410904</v>
      </c>
      <c r="AM979">
        <v>64.020294940852295</v>
      </c>
      <c r="AN979">
        <v>1.0000000200704899</v>
      </c>
    </row>
    <row r="980" spans="1:40" x14ac:dyDescent="0.25">
      <c r="A980" t="str">
        <f>"20190312164452393"</f>
        <v>20190312164452393</v>
      </c>
      <c r="B980" t="str">
        <f>"1552380292382431"</f>
        <v>1552380292382431</v>
      </c>
      <c r="C980" t="s">
        <v>40</v>
      </c>
      <c r="D980">
        <v>5.2905239999999996</v>
      </c>
      <c r="E980">
        <v>0.57712779999999997</v>
      </c>
      <c r="F980" t="s">
        <v>45</v>
      </c>
      <c r="G980">
        <v>-196.9948</v>
      </c>
      <c r="H980" s="1">
        <v>-5.767612E-6</v>
      </c>
      <c r="I980">
        <v>357.77170000000001</v>
      </c>
      <c r="J980">
        <v>-201.6583</v>
      </c>
      <c r="K980">
        <v>1.0949679999999999</v>
      </c>
      <c r="L980">
        <v>364.64069999999998</v>
      </c>
      <c r="M980">
        <v>0.93918120000000005</v>
      </c>
      <c r="N980">
        <v>0</v>
      </c>
      <c r="O980">
        <v>-0.34306950000000003</v>
      </c>
      <c r="P980">
        <v>0.6922876</v>
      </c>
      <c r="Q980">
        <v>9.7703410000000004E-2</v>
      </c>
      <c r="R980">
        <v>-0.71497730000000004</v>
      </c>
      <c r="S980">
        <v>1.774597</v>
      </c>
      <c r="T980">
        <v>-0.4005494</v>
      </c>
      <c r="U980">
        <v>-2.5385740000000001</v>
      </c>
      <c r="V980">
        <v>0.43747750000000002</v>
      </c>
      <c r="W980">
        <v>9.7298300000000004E-2</v>
      </c>
      <c r="X980">
        <v>0.89394989999999996</v>
      </c>
      <c r="Y980">
        <v>0.57145080000000004</v>
      </c>
      <c r="Z980">
        <v>6.2202400000000001E-3</v>
      </c>
      <c r="AA980">
        <v>0.82061280000000003</v>
      </c>
      <c r="AB980">
        <v>39</v>
      </c>
      <c r="AC980">
        <v>4.6634999999999902</v>
      </c>
      <c r="AD980">
        <v>-1.0949737676119999</v>
      </c>
      <c r="AE980">
        <v>-6.8689999999999696</v>
      </c>
      <c r="AF980">
        <v>4.7689684466512396</v>
      </c>
      <c r="AG980">
        <v>-1.0949737676119999</v>
      </c>
      <c r="AH980">
        <v>6.6220496284388597</v>
      </c>
      <c r="AI980">
        <v>97.642238826446203</v>
      </c>
      <c r="AJ980">
        <v>54.239886638262099</v>
      </c>
      <c r="AK980">
        <v>8.2336850120963891</v>
      </c>
      <c r="AL980">
        <v>84.416384181017307</v>
      </c>
      <c r="AM980">
        <v>63.9239900173949</v>
      </c>
      <c r="AN980">
        <v>0.99999997294957399</v>
      </c>
    </row>
    <row r="981" spans="1:40" x14ac:dyDescent="0.25">
      <c r="A981" t="str">
        <f>"20190312164452409"</f>
        <v>20190312164452409</v>
      </c>
      <c r="B981" t="str">
        <f>"1552380292402745"</f>
        <v>1552380292402745</v>
      </c>
      <c r="C981" t="s">
        <v>40</v>
      </c>
      <c r="D981">
        <v>5.4001190000000001</v>
      </c>
      <c r="E981">
        <v>0.58025179999999998</v>
      </c>
      <c r="F981" t="s">
        <v>45</v>
      </c>
      <c r="G981">
        <v>-196.8655</v>
      </c>
      <c r="H981" s="1">
        <v>-5.706665E-6</v>
      </c>
      <c r="I981">
        <v>357.6499</v>
      </c>
      <c r="J981">
        <v>-201.39750000000001</v>
      </c>
      <c r="K981">
        <v>1.094711</v>
      </c>
      <c r="L981">
        <v>364.53899999999999</v>
      </c>
      <c r="M981">
        <v>0.93560399999999999</v>
      </c>
      <c r="N981">
        <v>0</v>
      </c>
      <c r="O981">
        <v>-0.35270610000000002</v>
      </c>
      <c r="P981">
        <v>0.68392379999999997</v>
      </c>
      <c r="Q981">
        <v>9.7324170000000002E-2</v>
      </c>
      <c r="R981">
        <v>-0.72303309999999998</v>
      </c>
      <c r="S981">
        <v>1.751511</v>
      </c>
      <c r="T981">
        <v>-0.40015279999999998</v>
      </c>
      <c r="U981">
        <v>-2.5547490000000002</v>
      </c>
      <c r="V981">
        <v>0.43878200000000001</v>
      </c>
      <c r="W981">
        <v>9.6657110000000004E-2</v>
      </c>
      <c r="X981">
        <v>0.89337999999999995</v>
      </c>
      <c r="Y981">
        <v>0.57056479999999998</v>
      </c>
      <c r="Z981">
        <v>7.6693969999999997E-3</v>
      </c>
      <c r="AA981">
        <v>0.82121679999999997</v>
      </c>
      <c r="AB981">
        <v>39</v>
      </c>
      <c r="AC981">
        <v>4.5320000000000098</v>
      </c>
      <c r="AD981">
        <v>-1.0947167066650001</v>
      </c>
      <c r="AE981">
        <v>-6.8890999999999796</v>
      </c>
      <c r="AF981">
        <v>4.7636417680733398</v>
      </c>
      <c r="AG981">
        <v>-1.0947167066650001</v>
      </c>
      <c r="AH981">
        <v>6.5552677737452996</v>
      </c>
      <c r="AI981">
        <v>97.693782931146202</v>
      </c>
      <c r="AJ981">
        <v>53.994503109437197</v>
      </c>
      <c r="AK981">
        <v>8.1769323800486493</v>
      </c>
      <c r="AL981">
        <v>84.4532959746155</v>
      </c>
      <c r="AM981">
        <v>63.842119208372402</v>
      </c>
      <c r="AN981">
        <v>1.0000000324187699</v>
      </c>
    </row>
    <row r="982" spans="1:40" x14ac:dyDescent="0.25">
      <c r="A982" t="str">
        <f>"20190312164452424"</f>
        <v>20190312164452424</v>
      </c>
      <c r="B982" t="str">
        <f>"1552380292412505"</f>
        <v>1552380292412505</v>
      </c>
      <c r="C982" t="s">
        <v>40</v>
      </c>
      <c r="D982">
        <v>5.3769600000000004</v>
      </c>
      <c r="E982">
        <v>0.58183050000000003</v>
      </c>
      <c r="F982" t="s">
        <v>45</v>
      </c>
      <c r="G982">
        <v>-196.76050000000001</v>
      </c>
      <c r="H982" s="1">
        <v>-5.6330080000000003E-6</v>
      </c>
      <c r="I982">
        <v>357.47890000000001</v>
      </c>
      <c r="J982">
        <v>-201.15170000000001</v>
      </c>
      <c r="K982">
        <v>1.094479</v>
      </c>
      <c r="L982">
        <v>364.43939999999998</v>
      </c>
      <c r="M982">
        <v>0.93205400000000005</v>
      </c>
      <c r="N982">
        <v>0</v>
      </c>
      <c r="O982">
        <v>-0.36198049999999998</v>
      </c>
      <c r="P982">
        <v>0.67497499999999999</v>
      </c>
      <c r="Q982">
        <v>9.6857769999999996E-2</v>
      </c>
      <c r="R982">
        <v>-0.73145579999999999</v>
      </c>
      <c r="S982">
        <v>1.7027589999999999</v>
      </c>
      <c r="T982">
        <v>-0.4019935</v>
      </c>
      <c r="U982">
        <v>-2.5925600000000002</v>
      </c>
      <c r="V982">
        <v>0.44099870000000002</v>
      </c>
      <c r="W982">
        <v>9.5912460000000005E-2</v>
      </c>
      <c r="X982">
        <v>0.8923681</v>
      </c>
      <c r="Y982">
        <v>0.57867500000000005</v>
      </c>
      <c r="Z982">
        <v>8.3789789999999999E-3</v>
      </c>
      <c r="AA982">
        <v>0.815515199999999</v>
      </c>
      <c r="AB982">
        <v>39</v>
      </c>
      <c r="AC982">
        <v>4.3911999999999898</v>
      </c>
      <c r="AD982">
        <v>-1.094484633008</v>
      </c>
      <c r="AE982">
        <v>-6.9604999999999597</v>
      </c>
      <c r="AF982">
        <v>4.8135025442205004</v>
      </c>
      <c r="AG982">
        <v>-1.094484633008</v>
      </c>
      <c r="AH982">
        <v>6.4982835824998899</v>
      </c>
      <c r="AI982">
        <v>97.707630260620704</v>
      </c>
      <c r="AJ982">
        <v>53.471377202807403</v>
      </c>
      <c r="AK982">
        <v>8.1606000314741305</v>
      </c>
      <c r="AL982">
        <v>84.496159919949207</v>
      </c>
      <c r="AM982">
        <v>63.701913698456202</v>
      </c>
      <c r="AN982">
        <v>0.99999993964127398</v>
      </c>
    </row>
    <row r="983" spans="1:40" x14ac:dyDescent="0.25">
      <c r="A983" t="str">
        <f>"20190312164452445"</f>
        <v>20190312164452445</v>
      </c>
      <c r="B983" t="str">
        <f>"1552380292442761"</f>
        <v>1552380292442761</v>
      </c>
      <c r="C983" t="s">
        <v>40</v>
      </c>
      <c r="D983">
        <v>5.4750230000000002</v>
      </c>
      <c r="E983">
        <v>0.58545859999999905</v>
      </c>
      <c r="F983" t="s">
        <v>45</v>
      </c>
      <c r="G983">
        <v>-196.64349999999999</v>
      </c>
      <c r="H983" s="1">
        <v>-5.5618459999999998E-6</v>
      </c>
      <c r="I983">
        <v>357.32089999999999</v>
      </c>
      <c r="J983">
        <v>-200.82079999999999</v>
      </c>
      <c r="K983">
        <v>1.094179</v>
      </c>
      <c r="L983">
        <v>364.30130000000003</v>
      </c>
      <c r="M983">
        <v>0.92703800000000003</v>
      </c>
      <c r="N983">
        <v>0</v>
      </c>
      <c r="O983">
        <v>-0.374637</v>
      </c>
      <c r="P983">
        <v>0.66350500000000001</v>
      </c>
      <c r="Q983">
        <v>9.6664280000000005E-2</v>
      </c>
      <c r="R983">
        <v>-0.74190119999999904</v>
      </c>
      <c r="S983">
        <v>1.6607209999999999</v>
      </c>
      <c r="T983">
        <v>-0.40318730000000003</v>
      </c>
      <c r="U983">
        <v>-2.6223139999999998</v>
      </c>
      <c r="V983">
        <v>0.44282880000000002</v>
      </c>
      <c r="W983">
        <v>9.5400269999999995E-2</v>
      </c>
      <c r="X983">
        <v>0.89151639999999999</v>
      </c>
      <c r="Y983">
        <v>0.58115509999999904</v>
      </c>
      <c r="Z983">
        <v>1.004027E-2</v>
      </c>
      <c r="AA983">
        <v>0.81373090000000003</v>
      </c>
      <c r="AB983">
        <v>39</v>
      </c>
      <c r="AC983">
        <v>4.1772999999999998</v>
      </c>
      <c r="AD983">
        <v>-1.094184561846</v>
      </c>
      <c r="AE983">
        <v>-6.9804000000000297</v>
      </c>
      <c r="AF983">
        <v>4.8195384278142601</v>
      </c>
      <c r="AG983">
        <v>-1.094184561846</v>
      </c>
      <c r="AH983">
        <v>6.3731339988733504</v>
      </c>
      <c r="AI983">
        <v>97.797540164761003</v>
      </c>
      <c r="AJ983">
        <v>52.902430432956599</v>
      </c>
      <c r="AK983">
        <v>8.0648637607932301</v>
      </c>
      <c r="AL983">
        <v>84.525641903574297</v>
      </c>
      <c r="AM983">
        <v>63.585759519230997</v>
      </c>
      <c r="AN983">
        <v>1.00000002454723</v>
      </c>
    </row>
    <row r="984" spans="1:40" x14ac:dyDescent="0.25">
      <c r="A984" t="str">
        <f>"20190312164452459"</f>
        <v>20190312164452459</v>
      </c>
      <c r="B984" t="str">
        <f>"1552380292452521"</f>
        <v>1552380292452521</v>
      </c>
      <c r="C984" t="s">
        <v>40</v>
      </c>
      <c r="D984">
        <v>5.3025219999999997</v>
      </c>
      <c r="E984">
        <v>0.58592349999999904</v>
      </c>
      <c r="F984" t="s">
        <v>45</v>
      </c>
      <c r="G984">
        <v>-196.45150000000001</v>
      </c>
      <c r="H984" s="1">
        <v>-5.4250459999999997E-6</v>
      </c>
      <c r="I984">
        <v>357.0018</v>
      </c>
      <c r="J984">
        <v>-200.59389999999999</v>
      </c>
      <c r="K984">
        <v>1.0939760000000001</v>
      </c>
      <c r="L984">
        <v>364.20330000000001</v>
      </c>
      <c r="M984">
        <v>0.92342150000000001</v>
      </c>
      <c r="N984">
        <v>0</v>
      </c>
      <c r="O984">
        <v>-0.38346269999999999</v>
      </c>
      <c r="P984">
        <v>0.65547919999999904</v>
      </c>
      <c r="Q984">
        <v>9.7028199999999995E-2</v>
      </c>
      <c r="R984">
        <v>-0.74895419999999902</v>
      </c>
      <c r="S984">
        <v>1.5968020000000001</v>
      </c>
      <c r="T984">
        <v>-0.3998835</v>
      </c>
      <c r="U984">
        <v>-2.667694</v>
      </c>
      <c r="V984">
        <v>0.443938</v>
      </c>
      <c r="W984">
        <v>9.5557409999999995E-2</v>
      </c>
      <c r="X984">
        <v>0.89094779999999996</v>
      </c>
      <c r="Y984">
        <v>0.59380010000000005</v>
      </c>
      <c r="Z984">
        <v>1.019977E-2</v>
      </c>
      <c r="AA984">
        <v>0.80454799999999904</v>
      </c>
      <c r="AB984">
        <v>39</v>
      </c>
      <c r="AC984">
        <v>4.1423999999999799</v>
      </c>
      <c r="AD984">
        <v>-1.093981425046</v>
      </c>
      <c r="AE984">
        <v>-7.2015000000000002</v>
      </c>
      <c r="AF984">
        <v>4.9759143763854201</v>
      </c>
      <c r="AG984">
        <v>-1.093981425046</v>
      </c>
      <c r="AH984">
        <v>6.4752306817163801</v>
      </c>
      <c r="AI984">
        <v>97.630089978150593</v>
      </c>
      <c r="AJ984">
        <v>52.459393376702799</v>
      </c>
      <c r="AK984">
        <v>8.2392433888619898</v>
      </c>
      <c r="AL984">
        <v>84.516597397684706</v>
      </c>
      <c r="AM984">
        <v>63.5140208001677</v>
      </c>
      <c r="AN984">
        <v>1.00000007438737</v>
      </c>
    </row>
    <row r="985" spans="1:40" x14ac:dyDescent="0.25">
      <c r="A985" t="str">
        <f>"20190312164452472"</f>
        <v>20190312164452472</v>
      </c>
      <c r="B985" t="str">
        <f>"1552380292462281"</f>
        <v>1552380292462281</v>
      </c>
      <c r="C985" t="s">
        <v>40</v>
      </c>
      <c r="D985">
        <v>5.4405219999999996</v>
      </c>
      <c r="E985">
        <v>0.58646549999999997</v>
      </c>
      <c r="F985" t="s">
        <v>45</v>
      </c>
      <c r="G985">
        <v>-196.2937</v>
      </c>
      <c r="H985" s="1">
        <v>-5.3381130000000003E-6</v>
      </c>
      <c r="I985">
        <v>356.81569999999999</v>
      </c>
      <c r="J985">
        <v>-200.3819</v>
      </c>
      <c r="K985">
        <v>1.093791</v>
      </c>
      <c r="L985">
        <v>364.11</v>
      </c>
      <c r="M985">
        <v>0.9199233</v>
      </c>
      <c r="N985">
        <v>0</v>
      </c>
      <c r="O985">
        <v>-0.39177899999999999</v>
      </c>
      <c r="P985">
        <v>0.64793319999999999</v>
      </c>
      <c r="Q985">
        <v>9.7111450000000002E-2</v>
      </c>
      <c r="R985">
        <v>-0.75548119999999996</v>
      </c>
      <c r="S985">
        <v>1.564575</v>
      </c>
      <c r="T985">
        <v>-0.39803620000000001</v>
      </c>
      <c r="U985">
        <v>-2.6879270000000002</v>
      </c>
      <c r="V985">
        <v>0.44487149999999998</v>
      </c>
      <c r="W985">
        <v>9.5453460000000004E-2</v>
      </c>
      <c r="X985">
        <v>0.89049310000000004</v>
      </c>
      <c r="Y985">
        <v>0.59643040000000003</v>
      </c>
      <c r="Z985">
        <v>1.114337E-2</v>
      </c>
      <c r="AA985">
        <v>0.80258739999999995</v>
      </c>
      <c r="AB985">
        <v>39</v>
      </c>
      <c r="AC985">
        <v>4.0881999999999996</v>
      </c>
      <c r="AD985">
        <v>-1.093796338113</v>
      </c>
      <c r="AE985">
        <v>-7.2943000000000202</v>
      </c>
      <c r="AF985">
        <v>5.0232139563922802</v>
      </c>
      <c r="AG985">
        <v>-1.093796338113</v>
      </c>
      <c r="AH985">
        <v>6.5080545681990403</v>
      </c>
      <c r="AI985">
        <v>97.578494993603798</v>
      </c>
      <c r="AJ985">
        <v>52.337399074200498</v>
      </c>
      <c r="AK985">
        <v>8.2936025431425193</v>
      </c>
      <c r="AL985">
        <v>84.522580167995002</v>
      </c>
      <c r="AM985">
        <v>63.454257138357299</v>
      </c>
      <c r="AN985">
        <v>0.99999998784291499</v>
      </c>
    </row>
    <row r="986" spans="1:40" x14ac:dyDescent="0.25">
      <c r="A986" t="str">
        <f>"20190312164452490"</f>
        <v>20190312164452490</v>
      </c>
      <c r="B986" t="str">
        <f>"1552380292482779"</f>
        <v>1552380292482779</v>
      </c>
      <c r="C986" t="s">
        <v>40</v>
      </c>
      <c r="D986">
        <v>5.4341710000000001</v>
      </c>
      <c r="E986">
        <v>0.58723829999999999</v>
      </c>
      <c r="F986" t="s">
        <v>45</v>
      </c>
      <c r="G986">
        <v>-196.20269999999999</v>
      </c>
      <c r="H986" s="1">
        <v>-5.2990990000000004E-6</v>
      </c>
      <c r="I986">
        <v>356.74169999999998</v>
      </c>
      <c r="J986">
        <v>-200.09780000000001</v>
      </c>
      <c r="K986">
        <v>1.0935520000000001</v>
      </c>
      <c r="L986">
        <v>363.98099999999999</v>
      </c>
      <c r="M986">
        <v>0.91502850000000002</v>
      </c>
      <c r="N986">
        <v>0</v>
      </c>
      <c r="O986">
        <v>-0.4030762</v>
      </c>
      <c r="P986">
        <v>0.63713830000000005</v>
      </c>
      <c r="Q986">
        <v>9.7100350000000002E-2</v>
      </c>
      <c r="R986">
        <v>-0.76460850000000002</v>
      </c>
      <c r="S986">
        <v>1.5349269999999999</v>
      </c>
      <c r="T986">
        <v>-0.40172639999999998</v>
      </c>
      <c r="U986">
        <v>-2.706207</v>
      </c>
      <c r="V986">
        <v>0.44660939999999999</v>
      </c>
      <c r="W986">
        <v>9.5176730000000001E-2</v>
      </c>
      <c r="X986">
        <v>0.88965239999999901</v>
      </c>
      <c r="Y986">
        <v>0.59558559999999905</v>
      </c>
      <c r="Z986">
        <v>1.297092E-2</v>
      </c>
      <c r="AA986">
        <v>0.80318710000000004</v>
      </c>
      <c r="AB986">
        <v>39</v>
      </c>
      <c r="AC986">
        <v>3.89510000000001</v>
      </c>
      <c r="AD986">
        <v>-1.0935572990989999</v>
      </c>
      <c r="AE986">
        <v>-7.2393000000000098</v>
      </c>
      <c r="AF986">
        <v>4.9668887718508303</v>
      </c>
      <c r="AG986">
        <v>-1.0935572990989999</v>
      </c>
      <c r="AH986">
        <v>6.3702095140530304</v>
      </c>
      <c r="AI986">
        <v>97.709798913019299</v>
      </c>
      <c r="AJ986">
        <v>52.056253844489902</v>
      </c>
      <c r="AK986">
        <v>8.1514060683591492</v>
      </c>
      <c r="AL986">
        <v>84.538508101070406</v>
      </c>
      <c r="AM986">
        <v>63.3431485670082</v>
      </c>
      <c r="AN986">
        <v>0.99999997946380603</v>
      </c>
    </row>
    <row r="987" spans="1:40" x14ac:dyDescent="0.25">
      <c r="A987" t="str">
        <f>"20190312164452501"</f>
        <v>20190312164452501</v>
      </c>
      <c r="B987" t="str">
        <f>"1552380292493046"</f>
        <v>1552380292493046</v>
      </c>
      <c r="C987" t="s">
        <v>40</v>
      </c>
      <c r="D987">
        <v>5.4450390000000004</v>
      </c>
      <c r="E987">
        <v>0.58760140000000005</v>
      </c>
      <c r="F987" t="s">
        <v>45</v>
      </c>
      <c r="G987">
        <v>-196.09970000000001</v>
      </c>
      <c r="H987" s="1">
        <v>-5.2583820000000003E-6</v>
      </c>
      <c r="I987">
        <v>356.66809999999998</v>
      </c>
      <c r="J987">
        <v>-199.90280000000001</v>
      </c>
      <c r="K987">
        <v>1.0933999999999999</v>
      </c>
      <c r="L987">
        <v>363.8895</v>
      </c>
      <c r="M987">
        <v>0.91151769999999999</v>
      </c>
      <c r="N987">
        <v>0</v>
      </c>
      <c r="O987">
        <v>-0.4109524</v>
      </c>
      <c r="P987">
        <v>0.62985440000000004</v>
      </c>
      <c r="Q987">
        <v>9.6955929999999996E-2</v>
      </c>
      <c r="R987">
        <v>-0.7706383</v>
      </c>
      <c r="S987">
        <v>1.4931490000000001</v>
      </c>
      <c r="T987">
        <v>-0.40840850000000001</v>
      </c>
      <c r="U987">
        <v>-2.7311709999999998</v>
      </c>
      <c r="V987">
        <v>0.4474263</v>
      </c>
      <c r="W987">
        <v>9.487342E-2</v>
      </c>
      <c r="X987">
        <v>0.88927429999999996</v>
      </c>
      <c r="Y987">
        <v>0.60115730000000001</v>
      </c>
      <c r="Z987">
        <v>1.389905E-2</v>
      </c>
      <c r="AA987">
        <v>0.79900979999999999</v>
      </c>
      <c r="AB987">
        <v>39</v>
      </c>
      <c r="AC987">
        <v>3.8031000000000001</v>
      </c>
      <c r="AD987">
        <v>-1.093405258382</v>
      </c>
      <c r="AE987">
        <v>-7.2214000000000098</v>
      </c>
      <c r="AF987">
        <v>4.9316654491074798</v>
      </c>
      <c r="AG987">
        <v>-1.093405258382</v>
      </c>
      <c r="AH987">
        <v>6.3216024902797603</v>
      </c>
      <c r="AI987">
        <v>97.765717057149402</v>
      </c>
      <c r="AJ987">
        <v>52.041173953178898</v>
      </c>
      <c r="AK987">
        <v>8.0919414979403506</v>
      </c>
      <c r="AL987">
        <v>84.555965703561895</v>
      </c>
      <c r="AM987">
        <v>63.2913657224125</v>
      </c>
      <c r="AN987">
        <v>1.00000002019733</v>
      </c>
    </row>
    <row r="988" spans="1:40" x14ac:dyDescent="0.25">
      <c r="A988" t="str">
        <f>"20190312164452514"</f>
        <v>20190312164452514</v>
      </c>
      <c r="B988" t="str">
        <f>"1552380292502805"</f>
        <v>1552380292502805</v>
      </c>
      <c r="C988" t="s">
        <v>40</v>
      </c>
      <c r="D988">
        <v>5.4408149999999997</v>
      </c>
      <c r="E988">
        <v>0.58772849999999999</v>
      </c>
      <c r="F988" t="s">
        <v>45</v>
      </c>
      <c r="G988">
        <v>-196.0103</v>
      </c>
      <c r="H988" s="1">
        <v>-5.2182770000000001E-6</v>
      </c>
      <c r="I988">
        <v>356.59140000000002</v>
      </c>
      <c r="J988">
        <v>-199.7124</v>
      </c>
      <c r="K988">
        <v>1.0932500000000001</v>
      </c>
      <c r="L988">
        <v>363.79860000000002</v>
      </c>
      <c r="M988">
        <v>0.9079912</v>
      </c>
      <c r="N988">
        <v>0</v>
      </c>
      <c r="O988">
        <v>-0.41868499999999997</v>
      </c>
      <c r="P988">
        <v>0.6227627</v>
      </c>
      <c r="Q988">
        <v>9.6957020000000005E-2</v>
      </c>
      <c r="R988">
        <v>-0.77637990000000001</v>
      </c>
      <c r="S988">
        <v>1.4652099999999999</v>
      </c>
      <c r="T988">
        <v>-0.4115703</v>
      </c>
      <c r="U988">
        <v>-2.7471009999999998</v>
      </c>
      <c r="V988">
        <v>0.44805459999999903</v>
      </c>
      <c r="W988">
        <v>9.4728140000000002E-2</v>
      </c>
      <c r="X988">
        <v>0.88897340000000002</v>
      </c>
      <c r="Y988">
        <v>0.60263500000000003</v>
      </c>
      <c r="Z988">
        <v>1.5051699999999999E-2</v>
      </c>
      <c r="AA988">
        <v>0.797875</v>
      </c>
      <c r="AB988">
        <v>39</v>
      </c>
      <c r="AC988">
        <v>3.7021000000000002</v>
      </c>
      <c r="AD988">
        <v>-1.0932552182769999</v>
      </c>
      <c r="AE988">
        <v>-7.2072000000000003</v>
      </c>
      <c r="AF988">
        <v>4.9053896873321303</v>
      </c>
      <c r="AG988">
        <v>-1.0932552182769999</v>
      </c>
      <c r="AH988">
        <v>6.2657596973834302</v>
      </c>
      <c r="AI988">
        <v>97.822661194922702</v>
      </c>
      <c r="AJ988">
        <v>51.943025227367897</v>
      </c>
      <c r="AK988">
        <v>8.0322972767589302</v>
      </c>
      <c r="AL988">
        <v>84.564327321536197</v>
      </c>
      <c r="AM988">
        <v>63.251278757407697</v>
      </c>
      <c r="AN988">
        <v>1.0000000254982799</v>
      </c>
    </row>
    <row r="989" spans="1:40" x14ac:dyDescent="0.25">
      <c r="A989" t="str">
        <f>"20190312164452528"</f>
        <v>20190312164452528</v>
      </c>
      <c r="B989" t="str">
        <f>"1552380292522324"</f>
        <v>1552380292522324</v>
      </c>
      <c r="C989" t="s">
        <v>40</v>
      </c>
      <c r="D989">
        <v>5.6658330000000001</v>
      </c>
      <c r="E989">
        <v>0.58810680000000004</v>
      </c>
      <c r="F989" t="s">
        <v>45</v>
      </c>
      <c r="G989">
        <v>-195.91849999999999</v>
      </c>
      <c r="H989" s="1">
        <v>-5.1644110000000001E-6</v>
      </c>
      <c r="I989">
        <v>356.51940000000002</v>
      </c>
      <c r="J989">
        <v>-199.49770000000001</v>
      </c>
      <c r="K989">
        <v>1.0930839999999999</v>
      </c>
      <c r="L989">
        <v>363.69409999999999</v>
      </c>
      <c r="M989">
        <v>0.90388829999999998</v>
      </c>
      <c r="N989">
        <v>0</v>
      </c>
      <c r="O989">
        <v>-0.42746849999999997</v>
      </c>
      <c r="P989">
        <v>0.61482809999999999</v>
      </c>
      <c r="Q989">
        <v>9.6876080000000003E-2</v>
      </c>
      <c r="R989">
        <v>-0.78268870000000001</v>
      </c>
      <c r="S989">
        <v>1.4392400000000001</v>
      </c>
      <c r="T989">
        <v>-0.41473149999999998</v>
      </c>
      <c r="U989">
        <v>-2.7614139999999998</v>
      </c>
      <c r="V989">
        <v>0.44852769999999997</v>
      </c>
      <c r="W989">
        <v>9.4497929999999994E-2</v>
      </c>
      <c r="X989">
        <v>0.88875930000000003</v>
      </c>
      <c r="Y989">
        <v>0.60253480000000004</v>
      </c>
      <c r="Z989">
        <v>1.6518080000000001E-2</v>
      </c>
      <c r="AA989">
        <v>0.79792169999999996</v>
      </c>
      <c r="AB989">
        <v>39</v>
      </c>
      <c r="AC989">
        <v>3.5792000000000099</v>
      </c>
      <c r="AD989">
        <v>-1.0930891644109999</v>
      </c>
      <c r="AE989">
        <v>-7.1746999999999703</v>
      </c>
      <c r="AF989">
        <v>4.8653403916203999</v>
      </c>
      <c r="AG989">
        <v>-1.0930891644109999</v>
      </c>
      <c r="AH989">
        <v>6.1879541623007697</v>
      </c>
      <c r="AI989">
        <v>97.905801485778795</v>
      </c>
      <c r="AJ989">
        <v>51.823448745677297</v>
      </c>
      <c r="AK989">
        <v>7.9471477752978297</v>
      </c>
      <c r="AL989">
        <v>84.577576814897597</v>
      </c>
      <c r="AM989">
        <v>63.221418081999502</v>
      </c>
      <c r="AN989">
        <v>1.0000000248890299</v>
      </c>
    </row>
    <row r="990" spans="1:40" x14ac:dyDescent="0.25">
      <c r="A990" t="str">
        <f>"20190312164452544"</f>
        <v>20190312164452544</v>
      </c>
      <c r="B990" t="str">
        <f>"1552380292532085"</f>
        <v>1552380292532085</v>
      </c>
      <c r="C990" t="s">
        <v>40</v>
      </c>
      <c r="D990">
        <v>5.3386800000000001</v>
      </c>
      <c r="E990">
        <v>0.58776850000000003</v>
      </c>
      <c r="F990" t="s">
        <v>45</v>
      </c>
      <c r="G990">
        <v>-195.8621</v>
      </c>
      <c r="H990" s="1">
        <v>-5.1580240000000002E-6</v>
      </c>
      <c r="I990">
        <v>356.53250000000003</v>
      </c>
      <c r="J990">
        <v>-199.23570000000001</v>
      </c>
      <c r="K990">
        <v>1.0928949999999999</v>
      </c>
      <c r="L990">
        <v>363.56229999999999</v>
      </c>
      <c r="M990">
        <v>0.89866630000000003</v>
      </c>
      <c r="N990">
        <v>0</v>
      </c>
      <c r="O990">
        <v>-0.43833899999999998</v>
      </c>
      <c r="P990">
        <v>0.60490449999999996</v>
      </c>
      <c r="Q990">
        <v>9.758936E-2</v>
      </c>
      <c r="R990">
        <v>-0.790296</v>
      </c>
      <c r="S990">
        <v>1.4100950000000001</v>
      </c>
      <c r="T990">
        <v>-0.42396309999999898</v>
      </c>
      <c r="U990">
        <v>-2.777679</v>
      </c>
      <c r="V990">
        <v>0.44901340000000001</v>
      </c>
      <c r="W990">
        <v>9.5039529999999997E-2</v>
      </c>
      <c r="X990">
        <v>0.88845620000000003</v>
      </c>
      <c r="Y990">
        <v>0.60147530000000005</v>
      </c>
      <c r="Z990">
        <v>1.8674159999999999E-2</v>
      </c>
      <c r="AA990">
        <v>0.79867310000000002</v>
      </c>
      <c r="AB990">
        <v>39</v>
      </c>
      <c r="AC990">
        <v>3.3736000000000099</v>
      </c>
      <c r="AD990">
        <v>-1.0929001580239901</v>
      </c>
      <c r="AE990">
        <v>-7.0297999999999599</v>
      </c>
      <c r="AF990">
        <v>4.7460493175662499</v>
      </c>
      <c r="AG990">
        <v>-1.0929001580239901</v>
      </c>
      <c r="AH990">
        <v>5.9961667056172203</v>
      </c>
      <c r="AI990">
        <v>98.133401053472497</v>
      </c>
      <c r="AJ990">
        <v>51.637895520356601</v>
      </c>
      <c r="AK990">
        <v>7.7248579301973201</v>
      </c>
      <c r="AL990">
        <v>84.546404895197</v>
      </c>
      <c r="AM990">
        <v>63.188601164624998</v>
      </c>
      <c r="AN990">
        <v>0.99999998248030997</v>
      </c>
    </row>
    <row r="991" spans="1:40" x14ac:dyDescent="0.25">
      <c r="A991" t="str">
        <f>"20190312164452558"</f>
        <v>20190312164452558</v>
      </c>
      <c r="B991" t="str">
        <f>"1552380292552581"</f>
        <v>1552380292552581</v>
      </c>
      <c r="C991" t="s">
        <v>40</v>
      </c>
      <c r="D991">
        <v>5.4074809999999998</v>
      </c>
      <c r="E991">
        <v>0.58701899999999996</v>
      </c>
      <c r="F991" t="s">
        <v>45</v>
      </c>
      <c r="G991">
        <v>-195.66309999999999</v>
      </c>
      <c r="H991" s="1">
        <v>-5.0082700000000004E-6</v>
      </c>
      <c r="I991">
        <v>356.30579999999998</v>
      </c>
      <c r="J991">
        <v>-199.02889999999999</v>
      </c>
      <c r="K991">
        <v>1.0927469999999999</v>
      </c>
      <c r="L991">
        <v>363.4554</v>
      </c>
      <c r="M991">
        <v>0.89438709999999899</v>
      </c>
      <c r="N991">
        <v>0</v>
      </c>
      <c r="O991">
        <v>-0.44700390000000001</v>
      </c>
      <c r="P991">
        <v>0.59678290000000001</v>
      </c>
      <c r="Q991">
        <v>9.8346959999999997E-2</v>
      </c>
      <c r="R991">
        <v>-0.79635330000000004</v>
      </c>
      <c r="S991">
        <v>1.3760220000000001</v>
      </c>
      <c r="T991">
        <v>-0.42093540000000002</v>
      </c>
      <c r="U991">
        <v>-2.794861</v>
      </c>
      <c r="V991">
        <v>0.44950069999999998</v>
      </c>
      <c r="W991">
        <v>9.5659930000000004E-2</v>
      </c>
      <c r="X991">
        <v>0.88814319999999902</v>
      </c>
      <c r="Y991">
        <v>0.60360019999999903</v>
      </c>
      <c r="Z991">
        <v>1.971999E-2</v>
      </c>
      <c r="AA991">
        <v>0.79704330000000001</v>
      </c>
      <c r="AB991">
        <v>38</v>
      </c>
      <c r="AC991">
        <v>3.3658000000000001</v>
      </c>
      <c r="AD991">
        <v>-1.09275200827</v>
      </c>
      <c r="AE991">
        <v>-7.1496000000000199</v>
      </c>
      <c r="AF991">
        <v>4.7988525465864198</v>
      </c>
      <c r="AG991">
        <v>-1.09275200827</v>
      </c>
      <c r="AH991">
        <v>6.0905654093528003</v>
      </c>
      <c r="AI991">
        <v>98.021761043567693</v>
      </c>
      <c r="AJ991">
        <v>51.764867407123198</v>
      </c>
      <c r="AK991">
        <v>7.8305861671436903</v>
      </c>
      <c r="AL991">
        <v>84.510696117227596</v>
      </c>
      <c r="AM991">
        <v>63.155441363315198</v>
      </c>
      <c r="AN991">
        <v>1.0000000226071599</v>
      </c>
    </row>
    <row r="992" spans="1:40" x14ac:dyDescent="0.25">
      <c r="A992" t="str">
        <f>"20190312164452570"</f>
        <v>20190312164452570</v>
      </c>
      <c r="B992" t="str">
        <f>"1552380292562341"</f>
        <v>1552380292562341</v>
      </c>
      <c r="C992" t="s">
        <v>40</v>
      </c>
      <c r="D992">
        <v>5.303776</v>
      </c>
      <c r="E992">
        <v>0.58701899999999996</v>
      </c>
      <c r="F992" t="s">
        <v>45</v>
      </c>
      <c r="G992">
        <v>-195.44</v>
      </c>
      <c r="H992" s="1">
        <v>-4.816569E-6</v>
      </c>
      <c r="I992">
        <v>356.00040000000001</v>
      </c>
      <c r="J992">
        <v>-198.84549999999999</v>
      </c>
      <c r="K992">
        <v>1.0926209999999901</v>
      </c>
      <c r="L992">
        <v>363.35930000000002</v>
      </c>
      <c r="M992">
        <v>0.89049009999999995</v>
      </c>
      <c r="N992">
        <v>0</v>
      </c>
      <c r="O992">
        <v>-0.45471630000000002</v>
      </c>
      <c r="P992">
        <v>0.58940360000000003</v>
      </c>
      <c r="Q992">
        <v>9.9323529999999993E-2</v>
      </c>
      <c r="R992">
        <v>-0.80170989999999998</v>
      </c>
      <c r="S992">
        <v>1.3507229999999999</v>
      </c>
      <c r="T992">
        <v>-0.41126679999999999</v>
      </c>
      <c r="U992">
        <v>-2.8057249999999998</v>
      </c>
      <c r="V992">
        <v>0.44998709999999997</v>
      </c>
      <c r="W992">
        <v>9.6512349999999997E-2</v>
      </c>
      <c r="X992">
        <v>0.88780460000000005</v>
      </c>
      <c r="Y992">
        <v>0.60386139999999999</v>
      </c>
      <c r="Z992">
        <v>2.044296E-2</v>
      </c>
      <c r="AA992">
        <v>0.79682710000000001</v>
      </c>
      <c r="AB992">
        <v>38</v>
      </c>
      <c r="AC992">
        <v>3.40549999999998</v>
      </c>
      <c r="AD992">
        <v>-1.0926258165689999</v>
      </c>
      <c r="AE992">
        <v>-7.3589000000000002</v>
      </c>
      <c r="AF992">
        <v>4.9158858898685196</v>
      </c>
      <c r="AG992">
        <v>-1.0926258165689999</v>
      </c>
      <c r="AH992">
        <v>6.2658385318573497</v>
      </c>
      <c r="AI992">
        <v>97.811875642389495</v>
      </c>
      <c r="AJ992">
        <v>51.8839164287646</v>
      </c>
      <c r="AK992">
        <v>8.0386875648049507</v>
      </c>
      <c r="AL992">
        <v>84.461628978377405</v>
      </c>
      <c r="AM992">
        <v>63.121657607779397</v>
      </c>
      <c r="AN992">
        <v>1.0000000158250399</v>
      </c>
    </row>
    <row r="993" spans="1:40" x14ac:dyDescent="0.25">
      <c r="A993" t="str">
        <f>"20190312164452582"</f>
        <v>20190312164452582</v>
      </c>
      <c r="B993" t="str">
        <f>"1552380292572100"</f>
        <v>1552380292572100</v>
      </c>
      <c r="C993" t="s">
        <v>40</v>
      </c>
      <c r="D993">
        <v>5.4488130000000004</v>
      </c>
      <c r="E993">
        <v>0.61263449999999997</v>
      </c>
      <c r="F993" t="s">
        <v>45</v>
      </c>
      <c r="G993">
        <v>-195.2953</v>
      </c>
      <c r="H993" s="1">
        <v>-4.6944110000000004E-6</v>
      </c>
      <c r="I993">
        <v>355.80709999999999</v>
      </c>
      <c r="J993">
        <v>-198.64070000000001</v>
      </c>
      <c r="K993">
        <v>1.092484</v>
      </c>
      <c r="L993">
        <v>363.2484</v>
      </c>
      <c r="M993">
        <v>0.88597819999999905</v>
      </c>
      <c r="N993">
        <v>0</v>
      </c>
      <c r="O993">
        <v>-0.46344459999999998</v>
      </c>
      <c r="P993">
        <v>0.58086959999999999</v>
      </c>
      <c r="Q993">
        <v>0.1000016</v>
      </c>
      <c r="R993">
        <v>-0.80783059999999995</v>
      </c>
      <c r="S993">
        <v>1.324951</v>
      </c>
      <c r="T993">
        <v>-0.40777020000000003</v>
      </c>
      <c r="U993">
        <v>-2.8184809999999998</v>
      </c>
      <c r="V993">
        <v>0.45066129999999999</v>
      </c>
      <c r="W993">
        <v>9.7052929999999996E-2</v>
      </c>
      <c r="X993">
        <v>0.88740359999999996</v>
      </c>
      <c r="Y993">
        <v>0.603468</v>
      </c>
      <c r="Z993">
        <v>2.1633599999999999E-2</v>
      </c>
      <c r="AA993">
        <v>0.79709370000000002</v>
      </c>
      <c r="AB993">
        <v>38</v>
      </c>
      <c r="AC993">
        <v>3.3454000000000099</v>
      </c>
      <c r="AD993">
        <v>-1.0924886944109999</v>
      </c>
      <c r="AE993">
        <v>-7.4413000000000098</v>
      </c>
      <c r="AF993">
        <v>4.95425027665173</v>
      </c>
      <c r="AG993">
        <v>-1.0924886944109999</v>
      </c>
      <c r="AH993">
        <v>6.3004514350243399</v>
      </c>
      <c r="AI993">
        <v>97.761893092649501</v>
      </c>
      <c r="AJ993">
        <v>51.8208761819957</v>
      </c>
      <c r="AK993">
        <v>8.0891171110461606</v>
      </c>
      <c r="AL993">
        <v>84.430509928281595</v>
      </c>
      <c r="AM993">
        <v>63.076602004487</v>
      </c>
      <c r="AN993">
        <v>1.00000001391611</v>
      </c>
    </row>
    <row r="994" spans="1:40" x14ac:dyDescent="0.25">
      <c r="A994" t="str">
        <f>"20190312164452596"</f>
        <v>20190312164452596</v>
      </c>
      <c r="B994" t="str">
        <f>"1552380292592596"</f>
        <v>1552380292592596</v>
      </c>
      <c r="C994" t="s">
        <v>40</v>
      </c>
      <c r="D994">
        <v>5.3320119999999998</v>
      </c>
      <c r="E994">
        <v>0.61935830000000003</v>
      </c>
      <c r="F994" t="s">
        <v>45</v>
      </c>
      <c r="G994">
        <v>-195.48089999999999</v>
      </c>
      <c r="H994" s="1">
        <v>-4.3373199999999997E-6</v>
      </c>
      <c r="I994">
        <v>354.9522</v>
      </c>
      <c r="J994">
        <v>-198.4513</v>
      </c>
      <c r="K994">
        <v>1.0923579999999999</v>
      </c>
      <c r="L994">
        <v>363.14389999999997</v>
      </c>
      <c r="M994">
        <v>0.88168489999999999</v>
      </c>
      <c r="N994">
        <v>0</v>
      </c>
      <c r="O994">
        <v>-0.47156009999999998</v>
      </c>
      <c r="P994">
        <v>0.57279029999999997</v>
      </c>
      <c r="Q994">
        <v>0.10050829999999999</v>
      </c>
      <c r="R994">
        <v>-0.81351719999999905</v>
      </c>
      <c r="S994">
        <v>1.124741</v>
      </c>
      <c r="T994">
        <v>-0.38887050000000001</v>
      </c>
      <c r="U994">
        <v>-2.953033</v>
      </c>
      <c r="V994">
        <v>0.451351</v>
      </c>
      <c r="W994">
        <v>9.7433080000000005E-2</v>
      </c>
      <c r="X994">
        <v>0.88701129999999995</v>
      </c>
      <c r="Y994">
        <v>0.65482119999999999</v>
      </c>
      <c r="Z994">
        <v>1.749738E-2</v>
      </c>
      <c r="AA994">
        <v>0.75558130000000001</v>
      </c>
      <c r="AB994">
        <v>38</v>
      </c>
      <c r="AC994">
        <v>2.9704000000000099</v>
      </c>
      <c r="AD994">
        <v>-1.09236233732</v>
      </c>
      <c r="AE994">
        <v>-8.19169999999996</v>
      </c>
      <c r="AF994">
        <v>5.7324512965424503</v>
      </c>
      <c r="AG994">
        <v>-1.09236233732</v>
      </c>
      <c r="AH994">
        <v>6.3823834818744896</v>
      </c>
      <c r="AI994">
        <v>97.256579390194503</v>
      </c>
      <c r="AJ994">
        <v>48.070839064308203</v>
      </c>
      <c r="AK994">
        <v>8.6480675444246398</v>
      </c>
      <c r="AL994">
        <v>84.408625075307995</v>
      </c>
      <c r="AM994">
        <v>63.030973512781301</v>
      </c>
      <c r="AN994">
        <v>0.99999998830348802</v>
      </c>
    </row>
    <row r="995" spans="1:40" x14ac:dyDescent="0.25">
      <c r="A995" t="str">
        <f>"20190312164452614"</f>
        <v>20190312164452614</v>
      </c>
      <c r="B995" t="str">
        <f>"1552380292602356"</f>
        <v>1552380292602356</v>
      </c>
      <c r="C995" t="s">
        <v>40</v>
      </c>
      <c r="D995">
        <v>5.3514169999999996</v>
      </c>
      <c r="E995">
        <v>0.61987449999999999</v>
      </c>
      <c r="F995" t="s">
        <v>45</v>
      </c>
      <c r="G995">
        <v>-195.60400000000001</v>
      </c>
      <c r="H995" s="1">
        <v>-4.412321E-6</v>
      </c>
      <c r="I995">
        <v>355.05459999999999</v>
      </c>
      <c r="J995">
        <v>-198.1703</v>
      </c>
      <c r="K995">
        <v>1.0921780000000001</v>
      </c>
      <c r="L995">
        <v>362.98500000000001</v>
      </c>
      <c r="M995">
        <v>0.87508490000000005</v>
      </c>
      <c r="N995">
        <v>0</v>
      </c>
      <c r="O995">
        <v>-0.4836954</v>
      </c>
      <c r="P995">
        <v>0.56032130000000002</v>
      </c>
      <c r="Q995">
        <v>0.1013701</v>
      </c>
      <c r="R995">
        <v>-0.82204869999999997</v>
      </c>
      <c r="S995">
        <v>1.0543370000000001</v>
      </c>
      <c r="T995">
        <v>-0.4044856</v>
      </c>
      <c r="U995">
        <v>-2.9953609999999999</v>
      </c>
      <c r="V995">
        <v>0.45260299999999998</v>
      </c>
      <c r="W995">
        <v>9.8100770000000004E-2</v>
      </c>
      <c r="X995">
        <v>0.88629950000000002</v>
      </c>
      <c r="Y995">
        <v>0.66348680000000004</v>
      </c>
      <c r="Z995">
        <v>1.9226400000000001E-2</v>
      </c>
      <c r="AA995">
        <v>0.74794090000000002</v>
      </c>
      <c r="AB995">
        <v>38</v>
      </c>
      <c r="AC995">
        <v>2.56629999999998</v>
      </c>
      <c r="AD995">
        <v>-1.092182412321</v>
      </c>
      <c r="AE995">
        <v>-7.9304000000000103</v>
      </c>
      <c r="AF995">
        <v>5.6030224386431797</v>
      </c>
      <c r="AG995">
        <v>-1.092182412321</v>
      </c>
      <c r="AH995">
        <v>5.97976745868504</v>
      </c>
      <c r="AI995">
        <v>97.591682454987705</v>
      </c>
      <c r="AJ995">
        <v>46.862961539591097</v>
      </c>
      <c r="AK995">
        <v>8.2670636703530302</v>
      </c>
      <c r="AL995">
        <v>84.370185282319795</v>
      </c>
      <c r="AM995">
        <v>62.948145112876098</v>
      </c>
      <c r="AN995">
        <v>1.0000000201919199</v>
      </c>
    </row>
    <row r="996" spans="1:40" x14ac:dyDescent="0.25">
      <c r="A996" t="str">
        <f>"20190312164452631"</f>
        <v>20190312164452631</v>
      </c>
      <c r="B996" t="str">
        <f>"1552380292622853"</f>
        <v>1552380292622853</v>
      </c>
      <c r="C996" t="s">
        <v>40</v>
      </c>
      <c r="D996">
        <v>5.3408490000000004</v>
      </c>
      <c r="E996">
        <v>0.61931349999999996</v>
      </c>
      <c r="F996" t="s">
        <v>45</v>
      </c>
      <c r="G996">
        <v>-195.43430000000001</v>
      </c>
      <c r="H996" s="1">
        <v>-4.2463770000000001E-6</v>
      </c>
      <c r="I996">
        <v>354.77910000000003</v>
      </c>
      <c r="J996">
        <v>-197.90860000000001</v>
      </c>
      <c r="K996">
        <v>1.09202</v>
      </c>
      <c r="L996">
        <v>362.83240000000001</v>
      </c>
      <c r="M996">
        <v>0.86868230000000002</v>
      </c>
      <c r="N996">
        <v>0</v>
      </c>
      <c r="O996">
        <v>-0.4951006</v>
      </c>
      <c r="P996">
        <v>0.54892390000000002</v>
      </c>
      <c r="Q996">
        <v>0.1015741</v>
      </c>
      <c r="R996">
        <v>-0.82967800000000003</v>
      </c>
      <c r="S996">
        <v>1.004929</v>
      </c>
      <c r="T996">
        <v>-0.40114899999999998</v>
      </c>
      <c r="U996">
        <v>-3.0139469999999999</v>
      </c>
      <c r="V996">
        <v>0.45326450000000001</v>
      </c>
      <c r="W996">
        <v>9.8155329999999999E-2</v>
      </c>
      <c r="X996">
        <v>0.8859553</v>
      </c>
      <c r="Y996">
        <v>0.66619090000000003</v>
      </c>
      <c r="Z996">
        <v>2.057173E-2</v>
      </c>
      <c r="AA996">
        <v>0.74549750000000004</v>
      </c>
      <c r="AB996">
        <v>38</v>
      </c>
      <c r="AC996">
        <v>2.4742999999999902</v>
      </c>
      <c r="AD996">
        <v>-1.092024246377</v>
      </c>
      <c r="AE996">
        <v>-8.0532999999999699</v>
      </c>
      <c r="AF996">
        <v>5.67613448517685</v>
      </c>
      <c r="AG996">
        <v>-1.092024246377</v>
      </c>
      <c r="AH996">
        <v>6.0359799017964599</v>
      </c>
      <c r="AI996">
        <v>97.508164893027697</v>
      </c>
      <c r="AJ996">
        <v>46.759813738206297</v>
      </c>
      <c r="AK996">
        <v>8.3572766511214596</v>
      </c>
      <c r="AL996">
        <v>84.367043863829494</v>
      </c>
      <c r="AM996">
        <v>62.905214066014203</v>
      </c>
      <c r="AN996">
        <v>0.99999998468287399</v>
      </c>
    </row>
    <row r="997" spans="1:40" x14ac:dyDescent="0.25">
      <c r="A997" t="str">
        <f>"20190312164452645"</f>
        <v>20190312164452645</v>
      </c>
      <c r="B997" t="str">
        <f>"1552380292642373"</f>
        <v>1552380292642373</v>
      </c>
      <c r="C997" t="s">
        <v>40</v>
      </c>
      <c r="D997">
        <v>5.364357</v>
      </c>
      <c r="E997">
        <v>0.61945380000000005</v>
      </c>
      <c r="F997" t="s">
        <v>45</v>
      </c>
      <c r="G997">
        <v>-195.238</v>
      </c>
      <c r="H997" s="1">
        <v>-4.0500610000000004E-6</v>
      </c>
      <c r="I997">
        <v>354.4622</v>
      </c>
      <c r="J997">
        <v>-197.6987</v>
      </c>
      <c r="K997">
        <v>1.0919000000000001</v>
      </c>
      <c r="L997">
        <v>362.70639999999997</v>
      </c>
      <c r="M997">
        <v>0.86335799999999996</v>
      </c>
      <c r="N997">
        <v>0</v>
      </c>
      <c r="O997">
        <v>-0.50432630000000001</v>
      </c>
      <c r="P997">
        <v>0.53809980000000002</v>
      </c>
      <c r="Q997">
        <v>0.1016826</v>
      </c>
      <c r="R997">
        <v>-0.83672569999999902</v>
      </c>
      <c r="S997">
        <v>0.96531679999999997</v>
      </c>
      <c r="T997">
        <v>-0.39472410000000002</v>
      </c>
      <c r="U997">
        <v>-3.0255130000000001</v>
      </c>
      <c r="V997">
        <v>0.45535740000000002</v>
      </c>
      <c r="W997">
        <v>9.8075129999999996E-2</v>
      </c>
      <c r="X997">
        <v>0.88489030000000002</v>
      </c>
      <c r="Y997">
        <v>0.66800419999999905</v>
      </c>
      <c r="Z997">
        <v>2.1496370000000001E-2</v>
      </c>
      <c r="AA997">
        <v>0.74384709999999998</v>
      </c>
      <c r="AB997">
        <v>38</v>
      </c>
      <c r="AC997">
        <v>2.4607000000000001</v>
      </c>
      <c r="AD997">
        <v>-1.091904050061</v>
      </c>
      <c r="AE997">
        <v>-8.2441999999999709</v>
      </c>
      <c r="AF997">
        <v>5.7843209649971596</v>
      </c>
      <c r="AG997">
        <v>-1.091904050061</v>
      </c>
      <c r="AH997">
        <v>6.18347778923878</v>
      </c>
      <c r="AI997">
        <v>97.348118832855306</v>
      </c>
      <c r="AJ997">
        <v>46.910253286216502</v>
      </c>
      <c r="AK997">
        <v>8.5373310261846296</v>
      </c>
      <c r="AL997">
        <v>84.371661169593196</v>
      </c>
      <c r="AM997">
        <v>62.770015488225702</v>
      </c>
      <c r="AN997">
        <v>0.999999967946683</v>
      </c>
    </row>
    <row r="998" spans="1:40" x14ac:dyDescent="0.25">
      <c r="A998" t="str">
        <f>"20190312164452668"</f>
        <v>20190312164452668</v>
      </c>
      <c r="B998" t="str">
        <f>"1552380292662868"</f>
        <v>1552380292662868</v>
      </c>
      <c r="C998" t="s">
        <v>40</v>
      </c>
      <c r="D998">
        <v>5.4842930000000001</v>
      </c>
      <c r="E998">
        <v>0.6186026</v>
      </c>
      <c r="F998" t="s">
        <v>45</v>
      </c>
      <c r="G998">
        <v>-195.21010000000001</v>
      </c>
      <c r="H998" s="1">
        <v>-4.0869559999999996E-6</v>
      </c>
      <c r="I998">
        <v>354.5478</v>
      </c>
      <c r="J998">
        <v>-197.36099999999999</v>
      </c>
      <c r="K998">
        <v>1.0917079999999999</v>
      </c>
      <c r="L998">
        <v>362.49790000000002</v>
      </c>
      <c r="M998">
        <v>0.85444949999999997</v>
      </c>
      <c r="N998">
        <v>0</v>
      </c>
      <c r="O998">
        <v>-0.51927479999999904</v>
      </c>
      <c r="P998">
        <v>0.52169359999999998</v>
      </c>
      <c r="Q998">
        <v>0.1017323</v>
      </c>
      <c r="R998">
        <v>-0.84704599999999997</v>
      </c>
      <c r="S998">
        <v>0.92687989999999998</v>
      </c>
      <c r="T998">
        <v>-0.40668009999999999</v>
      </c>
      <c r="U998">
        <v>-3.0386959999999998</v>
      </c>
      <c r="V998">
        <v>0.45724100000000001</v>
      </c>
      <c r="W998">
        <v>9.7899100000000003E-2</v>
      </c>
      <c r="X998">
        <v>0.883937999999999</v>
      </c>
      <c r="Y998">
        <v>0.66458669999999997</v>
      </c>
      <c r="Z998">
        <v>2.475668E-2</v>
      </c>
      <c r="AA998">
        <v>0.74680089999999999</v>
      </c>
      <c r="AB998">
        <v>38</v>
      </c>
      <c r="AC998">
        <v>2.1508999999999698</v>
      </c>
      <c r="AD998">
        <v>-1.091712086956</v>
      </c>
      <c r="AE998">
        <v>-7.9501000000000097</v>
      </c>
      <c r="AF998">
        <v>5.5787926347618697</v>
      </c>
      <c r="AG998">
        <v>-1.091712086956</v>
      </c>
      <c r="AH998">
        <v>5.8638935280979698</v>
      </c>
      <c r="AI998">
        <v>97.681919154014494</v>
      </c>
      <c r="AJ998">
        <v>46.427260938505803</v>
      </c>
      <c r="AK998">
        <v>8.1670073987567999</v>
      </c>
      <c r="AL998">
        <v>84.381795766847304</v>
      </c>
      <c r="AM998">
        <v>62.6485037134237</v>
      </c>
      <c r="AN998">
        <v>0.99999997685290398</v>
      </c>
    </row>
    <row r="999" spans="1:40" x14ac:dyDescent="0.25">
      <c r="A999" t="str">
        <f>"20190312164452681"</f>
        <v>20190312164452681</v>
      </c>
      <c r="B999" t="str">
        <f>"1552380292672628"</f>
        <v>1552380292672628</v>
      </c>
      <c r="C999" t="s">
        <v>40</v>
      </c>
      <c r="D999">
        <v>5.4943920000000004</v>
      </c>
      <c r="E999">
        <v>0.61826899999999996</v>
      </c>
      <c r="F999" t="s">
        <v>45</v>
      </c>
      <c r="G999">
        <v>-195.05369999999999</v>
      </c>
      <c r="H999" s="1">
        <v>-4.0084140000000004E-6</v>
      </c>
      <c r="I999">
        <v>354.4606</v>
      </c>
      <c r="J999">
        <v>-197.17490000000001</v>
      </c>
      <c r="K999">
        <v>1.0916129999999999</v>
      </c>
      <c r="L999">
        <v>362.37849999999997</v>
      </c>
      <c r="M999">
        <v>0.84932879999999999</v>
      </c>
      <c r="N999">
        <v>0</v>
      </c>
      <c r="O999">
        <v>-0.52760739999999995</v>
      </c>
      <c r="P999">
        <v>0.51278270000000004</v>
      </c>
      <c r="Q999">
        <v>0.1010682</v>
      </c>
      <c r="R999">
        <v>-0.8525488</v>
      </c>
      <c r="S999">
        <v>0.87612919999999905</v>
      </c>
      <c r="T999">
        <v>-0.4145451</v>
      </c>
      <c r="U999">
        <v>-3.0519099999999999</v>
      </c>
      <c r="V999">
        <v>0.45792640000000001</v>
      </c>
      <c r="W999">
        <v>9.7135020000000002E-2</v>
      </c>
      <c r="X999">
        <v>0.88366749999999905</v>
      </c>
      <c r="Y999">
        <v>0.66954709999999995</v>
      </c>
      <c r="Z999">
        <v>2.6158109999999998E-2</v>
      </c>
      <c r="AA999">
        <v>0.74230890000000005</v>
      </c>
      <c r="AB999">
        <v>38</v>
      </c>
      <c r="AC999">
        <v>2.1212000000000102</v>
      </c>
      <c r="AD999">
        <v>-1.091617008414</v>
      </c>
      <c r="AE999">
        <v>-7.9178999999999702</v>
      </c>
      <c r="AF999">
        <v>5.50880360214809</v>
      </c>
      <c r="AG999">
        <v>-1.091617008414</v>
      </c>
      <c r="AH999">
        <v>5.8757458686982904</v>
      </c>
      <c r="AI999">
        <v>97.718418721752499</v>
      </c>
      <c r="AJ999">
        <v>46.846095645552197</v>
      </c>
      <c r="AK999">
        <v>8.1279108221992402</v>
      </c>
      <c r="AL999">
        <v>84.425784253054402</v>
      </c>
      <c r="AM999">
        <v>62.606303128946301</v>
      </c>
      <c r="AN999">
        <v>1.0000000252418</v>
      </c>
    </row>
    <row r="1000" spans="1:40" x14ac:dyDescent="0.25">
      <c r="A1000" t="str">
        <f>"20190312164452694"</f>
        <v>20190312164452694</v>
      </c>
      <c r="B1000" t="str">
        <f>"1552380292682389"</f>
        <v>1552380292682389</v>
      </c>
      <c r="C1000" t="s">
        <v>40</v>
      </c>
      <c r="D1000">
        <v>5.4957799999999999</v>
      </c>
      <c r="E1000">
        <v>0.61771569999999998</v>
      </c>
      <c r="F1000" t="s">
        <v>45</v>
      </c>
      <c r="G1000">
        <v>-194.97479999999999</v>
      </c>
      <c r="H1000" s="1">
        <v>-3.978075E-6</v>
      </c>
      <c r="I1000">
        <v>354.43509999999998</v>
      </c>
      <c r="J1000">
        <v>-196.99299999999999</v>
      </c>
      <c r="K1000">
        <v>1.091518</v>
      </c>
      <c r="L1000">
        <v>362.26029999999997</v>
      </c>
      <c r="M1000">
        <v>0.84421100000000004</v>
      </c>
      <c r="N1000">
        <v>0</v>
      </c>
      <c r="O1000">
        <v>-0.53575719999999905</v>
      </c>
      <c r="P1000">
        <v>0.50445499999999999</v>
      </c>
      <c r="Q1000">
        <v>0.1006933</v>
      </c>
      <c r="R1000">
        <v>-0.85754660000000005</v>
      </c>
      <c r="S1000">
        <v>0.84727479999999999</v>
      </c>
      <c r="T1000">
        <v>-0.42039179999999998</v>
      </c>
      <c r="U1000">
        <v>-3.0590820000000001</v>
      </c>
      <c r="V1000">
        <v>0.45807039999999999</v>
      </c>
      <c r="W1000">
        <v>9.668939E-2</v>
      </c>
      <c r="X1000">
        <v>0.88364169999999997</v>
      </c>
      <c r="Y1000">
        <v>0.66935630000000002</v>
      </c>
      <c r="Z1000">
        <v>2.7878790000000001E-2</v>
      </c>
      <c r="AA1000">
        <v>0.74241829999999998</v>
      </c>
      <c r="AB1000">
        <v>38</v>
      </c>
      <c r="AC1000">
        <v>2.0182000000000002</v>
      </c>
      <c r="AD1000">
        <v>-1.0915219780750001</v>
      </c>
      <c r="AE1000">
        <v>-7.8251999999999899</v>
      </c>
      <c r="AF1000">
        <v>5.4266064965977296</v>
      </c>
      <c r="AG1000">
        <v>-1.0915219780750001</v>
      </c>
      <c r="AH1000">
        <v>5.7913421350053804</v>
      </c>
      <c r="AI1000">
        <v>97.8308909908435</v>
      </c>
      <c r="AJ1000">
        <v>46.862234723270497</v>
      </c>
      <c r="AK1000">
        <v>8.0111873041532498</v>
      </c>
      <c r="AL1000">
        <v>84.451437536937206</v>
      </c>
      <c r="AM1000">
        <v>62.598259885425698</v>
      </c>
      <c r="AN1000">
        <v>0.99999999173681098</v>
      </c>
    </row>
    <row r="1001" spans="1:40" x14ac:dyDescent="0.25">
      <c r="A1001" t="str">
        <f>"20190312164452707"</f>
        <v>20190312164452707</v>
      </c>
      <c r="B1001" t="str">
        <f>"1552380292702884"</f>
        <v>1552380292702884</v>
      </c>
      <c r="C1001" t="s">
        <v>40</v>
      </c>
      <c r="D1001">
        <v>5.4908429999999999</v>
      </c>
      <c r="E1001">
        <v>0.61632549999999997</v>
      </c>
      <c r="F1001" t="s">
        <v>45</v>
      </c>
      <c r="G1001">
        <v>-194.88220000000001</v>
      </c>
      <c r="H1001" s="1">
        <v>-3.9301519999999996E-6</v>
      </c>
      <c r="I1001">
        <v>354.38060000000002</v>
      </c>
      <c r="J1001">
        <v>-196.7852</v>
      </c>
      <c r="K1001">
        <v>1.0914159999999999</v>
      </c>
      <c r="L1001">
        <v>362.12240000000003</v>
      </c>
      <c r="M1001">
        <v>0.83820640000000002</v>
      </c>
      <c r="N1001">
        <v>0</v>
      </c>
      <c r="O1001">
        <v>-0.54510269999999905</v>
      </c>
      <c r="P1001">
        <v>0.49502049999999997</v>
      </c>
      <c r="Q1001">
        <v>0.1000264</v>
      </c>
      <c r="R1001">
        <v>-0.86310450000000005</v>
      </c>
      <c r="S1001">
        <v>0.82107540000000001</v>
      </c>
      <c r="T1001">
        <v>-0.42459920000000001</v>
      </c>
      <c r="U1001">
        <v>-3.0651549999999999</v>
      </c>
      <c r="V1001">
        <v>0.45800380000000002</v>
      </c>
      <c r="W1001">
        <v>9.5957050000000002E-2</v>
      </c>
      <c r="X1001">
        <v>0.88375609999999905</v>
      </c>
      <c r="Y1001">
        <v>0.66742669999999904</v>
      </c>
      <c r="Z1001">
        <v>2.987853E-2</v>
      </c>
      <c r="AA1001">
        <v>0.74407579999999995</v>
      </c>
      <c r="AB1001">
        <v>38</v>
      </c>
      <c r="AC1001">
        <v>1.90299999999999</v>
      </c>
      <c r="AD1001">
        <v>-1.091419930152</v>
      </c>
      <c r="AE1001">
        <v>-7.7418000000000102</v>
      </c>
      <c r="AF1001">
        <v>5.3523259045239504</v>
      </c>
      <c r="AG1001">
        <v>-1.091419930152</v>
      </c>
      <c r="AH1001">
        <v>5.7089780541715598</v>
      </c>
      <c r="AI1001">
        <v>97.939719008970798</v>
      </c>
      <c r="AJ1001">
        <v>46.846761100851097</v>
      </c>
      <c r="AK1001">
        <v>7.9013302978158997</v>
      </c>
      <c r="AL1001">
        <v>84.493593818429503</v>
      </c>
      <c r="AM1001">
        <v>62.604693955135701</v>
      </c>
      <c r="AN1001">
        <v>1.0000000402731699</v>
      </c>
    </row>
    <row r="1002" spans="1:40" x14ac:dyDescent="0.25">
      <c r="A1002" t="str">
        <f>"20190312164452724"</f>
        <v>20190312164452724</v>
      </c>
      <c r="B1002" t="str">
        <f>"1552380292712644"</f>
        <v>1552380292712644</v>
      </c>
      <c r="C1002" t="s">
        <v>40</v>
      </c>
      <c r="D1002">
        <v>5.4812640000000004</v>
      </c>
      <c r="E1002">
        <v>0.61561540000000003</v>
      </c>
      <c r="F1002" t="s">
        <v>45</v>
      </c>
      <c r="G1002">
        <v>-194.7664</v>
      </c>
      <c r="H1002" s="1">
        <v>-3.8879310000000003E-6</v>
      </c>
      <c r="I1002">
        <v>354.34780000000001</v>
      </c>
      <c r="J1002">
        <v>-196.55709999999999</v>
      </c>
      <c r="K1002">
        <v>1.091313</v>
      </c>
      <c r="L1002">
        <v>361.96629999999999</v>
      </c>
      <c r="M1002">
        <v>0.83139249999999998</v>
      </c>
      <c r="N1002">
        <v>0</v>
      </c>
      <c r="O1002">
        <v>-0.5554386</v>
      </c>
      <c r="P1002">
        <v>0.48461670000000001</v>
      </c>
      <c r="Q1002">
        <v>9.8561419999999997E-2</v>
      </c>
      <c r="R1002">
        <v>-0.86915609999999999</v>
      </c>
      <c r="S1002">
        <v>0.79684449999999996</v>
      </c>
      <c r="T1002">
        <v>-0.43079610000000002</v>
      </c>
      <c r="U1002">
        <v>-3.0687259999999998</v>
      </c>
      <c r="V1002">
        <v>0.45777869999999998</v>
      </c>
      <c r="W1002">
        <v>9.4435720000000001E-2</v>
      </c>
      <c r="X1002">
        <v>0.8840365</v>
      </c>
      <c r="Y1002">
        <v>0.66395389999999999</v>
      </c>
      <c r="Z1002">
        <v>3.2381109999999998E-2</v>
      </c>
      <c r="AA1002">
        <v>0.74707209999999902</v>
      </c>
      <c r="AB1002">
        <v>38</v>
      </c>
      <c r="AC1002">
        <v>1.79069999999998</v>
      </c>
      <c r="AD1002">
        <v>-1.091316887931</v>
      </c>
      <c r="AE1002">
        <v>-7.6184999999999796</v>
      </c>
      <c r="AF1002">
        <v>5.2382154660403701</v>
      </c>
      <c r="AG1002">
        <v>-1.091316887931</v>
      </c>
      <c r="AH1002">
        <v>5.6120423555549301</v>
      </c>
      <c r="AI1002">
        <v>98.090784826845294</v>
      </c>
      <c r="AJ1002">
        <v>46.973246585832896</v>
      </c>
      <c r="AK1002">
        <v>7.7540243241229598</v>
      </c>
      <c r="AL1002">
        <v>84.581156998140003</v>
      </c>
      <c r="AM1002">
        <v>62.6236217143449</v>
      </c>
      <c r="AN1002">
        <v>0.999999988358929</v>
      </c>
    </row>
    <row r="1003" spans="1:40" x14ac:dyDescent="0.25">
      <c r="A1003" t="str">
        <f>"20190312164452738"</f>
        <v>20190312164452738</v>
      </c>
      <c r="B1003" t="str">
        <f>"1552380292732165"</f>
        <v>1552380292732165</v>
      </c>
      <c r="C1003" t="s">
        <v>40</v>
      </c>
      <c r="D1003">
        <v>5.6608640000000001</v>
      </c>
      <c r="E1003">
        <v>0.61457030000000001</v>
      </c>
      <c r="F1003" t="s">
        <v>45</v>
      </c>
      <c r="G1003">
        <v>-194.64920000000001</v>
      </c>
      <c r="H1003" s="1">
        <v>-3.8258870000000004E-6</v>
      </c>
      <c r="I1003">
        <v>354.27609999999999</v>
      </c>
      <c r="J1003">
        <v>-196.35069999999999</v>
      </c>
      <c r="K1003">
        <v>1.0912230000000001</v>
      </c>
      <c r="L1003">
        <v>361.82170000000002</v>
      </c>
      <c r="M1003">
        <v>0.82504069999999996</v>
      </c>
      <c r="N1003">
        <v>0</v>
      </c>
      <c r="O1003">
        <v>-0.56482959999999904</v>
      </c>
      <c r="P1003">
        <v>0.47485899999999998</v>
      </c>
      <c r="Q1003">
        <v>9.815699E-2</v>
      </c>
      <c r="R1003">
        <v>-0.87457109999999905</v>
      </c>
      <c r="S1003">
        <v>0.76306149999999995</v>
      </c>
      <c r="T1003">
        <v>-0.4364692</v>
      </c>
      <c r="U1003">
        <v>-3.0756839999999999</v>
      </c>
      <c r="V1003">
        <v>0.45768829999999999</v>
      </c>
      <c r="W1003">
        <v>9.3977630000000006E-2</v>
      </c>
      <c r="X1003">
        <v>0.88413209999999998</v>
      </c>
      <c r="Y1003">
        <v>0.66361769999999998</v>
      </c>
      <c r="Z1003">
        <v>3.446163E-2</v>
      </c>
      <c r="AA1003">
        <v>0.74727769999999905</v>
      </c>
      <c r="AB1003">
        <v>38</v>
      </c>
      <c r="AC1003">
        <v>1.70149999999998</v>
      </c>
      <c r="AD1003">
        <v>-1.0912268258869999</v>
      </c>
      <c r="AE1003">
        <v>-7.5456000000000296</v>
      </c>
      <c r="AF1003">
        <v>5.1623520124522804</v>
      </c>
      <c r="AG1003">
        <v>-1.0912268258869999</v>
      </c>
      <c r="AH1003">
        <v>5.5559884744263401</v>
      </c>
      <c r="AI1003">
        <v>98.187701668246802</v>
      </c>
      <c r="AJ1003">
        <v>47.103271144680001</v>
      </c>
      <c r="AK1003">
        <v>7.6622230595280802</v>
      </c>
      <c r="AL1003">
        <v>84.607520786011193</v>
      </c>
      <c r="AM1003">
        <v>62.630771542154299</v>
      </c>
      <c r="AN1003">
        <v>0.99999997257385798</v>
      </c>
    </row>
    <row r="1004" spans="1:40" x14ac:dyDescent="0.25">
      <c r="A1004" t="str">
        <f>"20190312164452759"</f>
        <v>20190312164452759</v>
      </c>
      <c r="B1004" t="str">
        <f>"1552380292752661"</f>
        <v>1552380292752661</v>
      </c>
      <c r="C1004" t="s">
        <v>40</v>
      </c>
      <c r="D1004">
        <v>5.7548859999999999</v>
      </c>
      <c r="E1004">
        <v>0.61376560000000002</v>
      </c>
      <c r="F1004" t="s">
        <v>45</v>
      </c>
      <c r="G1004">
        <v>-194.53210000000001</v>
      </c>
      <c r="H1004" s="1">
        <v>-3.7669159999999999E-6</v>
      </c>
      <c r="I1004">
        <v>354.21050000000002</v>
      </c>
      <c r="J1004">
        <v>-196.05799999999999</v>
      </c>
      <c r="K1004">
        <v>1.0911040000000001</v>
      </c>
      <c r="L1004">
        <v>361.61079999999998</v>
      </c>
      <c r="M1004">
        <v>0.81572709999999904</v>
      </c>
      <c r="N1004">
        <v>0</v>
      </c>
      <c r="O1004">
        <v>-0.57819779999999998</v>
      </c>
      <c r="P1004">
        <v>0.46123140000000001</v>
      </c>
      <c r="Q1004">
        <v>9.7655370000000005E-2</v>
      </c>
      <c r="R1004">
        <v>-0.88188979999999995</v>
      </c>
      <c r="S1004">
        <v>0.73599239999999999</v>
      </c>
      <c r="T1004">
        <v>-0.44161669999999997</v>
      </c>
      <c r="U1004">
        <v>-3.0802</v>
      </c>
      <c r="V1004">
        <v>0.45704919999999999</v>
      </c>
      <c r="W1004">
        <v>9.3431700000000006E-2</v>
      </c>
      <c r="X1004">
        <v>0.88452050000000004</v>
      </c>
      <c r="Y1004">
        <v>0.65795119999999996</v>
      </c>
      <c r="Z1004">
        <v>3.7711019999999998E-2</v>
      </c>
      <c r="AA1004">
        <v>0.75211569999999905</v>
      </c>
      <c r="AB1004">
        <v>38</v>
      </c>
      <c r="AC1004">
        <v>1.5258999999999701</v>
      </c>
      <c r="AD1004">
        <v>-1.0911077669159901</v>
      </c>
      <c r="AE1004">
        <v>-7.4002999999999597</v>
      </c>
      <c r="AF1004">
        <v>5.0497670029383999</v>
      </c>
      <c r="AG1004">
        <v>-1.0911077669159901</v>
      </c>
      <c r="AH1004">
        <v>5.4114775064487803</v>
      </c>
      <c r="AI1004">
        <v>98.385825629858999</v>
      </c>
      <c r="AJ1004">
        <v>46.980283735514099</v>
      </c>
      <c r="AK1004">
        <v>7.4816276134134698</v>
      </c>
      <c r="AL1004">
        <v>84.638938572307396</v>
      </c>
      <c r="AM1004">
        <v>62.673708726160598</v>
      </c>
      <c r="AN1004">
        <v>0.99999998435288995</v>
      </c>
    </row>
    <row r="1005" spans="1:40" x14ac:dyDescent="0.25">
      <c r="A1005" t="str">
        <f>"20190312164452774"</f>
        <v>20190312164452774</v>
      </c>
      <c r="B1005" t="str">
        <f>"1552380292762421"</f>
        <v>1552380292762421</v>
      </c>
      <c r="C1005" t="s">
        <v>40</v>
      </c>
      <c r="D1005">
        <v>5.614484</v>
      </c>
      <c r="E1005">
        <v>0.59752229999999995</v>
      </c>
      <c r="F1005" t="s">
        <v>45</v>
      </c>
      <c r="G1005">
        <v>-194.3501</v>
      </c>
      <c r="H1005" s="1">
        <v>-3.6245129999999999E-6</v>
      </c>
      <c r="I1005">
        <v>354.00779999999997</v>
      </c>
      <c r="J1005">
        <v>-195.86410000000001</v>
      </c>
      <c r="K1005">
        <v>1.091037</v>
      </c>
      <c r="L1005">
        <v>361.46719999999999</v>
      </c>
      <c r="M1005">
        <v>0.80935389999999996</v>
      </c>
      <c r="N1005">
        <v>0</v>
      </c>
      <c r="O1005">
        <v>-0.58708490000000002</v>
      </c>
      <c r="P1005">
        <v>0.45229130000000001</v>
      </c>
      <c r="Q1005">
        <v>9.7413760000000002E-2</v>
      </c>
      <c r="R1005">
        <v>-0.886534499999999</v>
      </c>
      <c r="S1005">
        <v>0.69369510000000001</v>
      </c>
      <c r="T1005">
        <v>-0.44315979999999999</v>
      </c>
      <c r="U1005">
        <v>-3.0880130000000001</v>
      </c>
      <c r="V1005">
        <v>0.45634350000000001</v>
      </c>
      <c r="W1005">
        <v>9.3178170000000005E-2</v>
      </c>
      <c r="X1005">
        <v>0.88491149999999996</v>
      </c>
      <c r="Y1005">
        <v>0.65994560000000002</v>
      </c>
      <c r="Z1005">
        <v>3.9260440000000001E-2</v>
      </c>
      <c r="AA1005">
        <v>0.75028689999999998</v>
      </c>
      <c r="AB1005">
        <v>38</v>
      </c>
      <c r="AC1005">
        <v>1.51400000000001</v>
      </c>
      <c r="AD1005">
        <v>-1.091040624513</v>
      </c>
      <c r="AE1005">
        <v>-7.4594000000000102</v>
      </c>
      <c r="AF1005">
        <v>5.0454944164002198</v>
      </c>
      <c r="AG1005">
        <v>-1.091040624513</v>
      </c>
      <c r="AH1005">
        <v>5.4925864491885497</v>
      </c>
      <c r="AI1005">
        <v>98.322560194818095</v>
      </c>
      <c r="AJ1005">
        <v>47.429392372807001</v>
      </c>
      <c r="AK1005">
        <v>7.5376315545450598</v>
      </c>
      <c r="AL1005">
        <v>84.653528299255598</v>
      </c>
      <c r="AM1005">
        <v>62.720116238668702</v>
      </c>
      <c r="AN1005">
        <v>0.99999996209452302</v>
      </c>
    </row>
    <row r="1006" spans="1:40" x14ac:dyDescent="0.25">
      <c r="A1006" t="str">
        <f>"20190312164452793"</f>
        <v>20190312164452793</v>
      </c>
      <c r="B1006" t="str">
        <f>"1552380292782916"</f>
        <v>1552380292782916</v>
      </c>
      <c r="C1006" t="s">
        <v>40</v>
      </c>
      <c r="D1006">
        <v>5.6686439999999996</v>
      </c>
      <c r="E1006">
        <v>0.59771439999999998</v>
      </c>
      <c r="F1006" t="s">
        <v>45</v>
      </c>
      <c r="G1006">
        <v>-193.9426</v>
      </c>
      <c r="H1006" s="1">
        <v>-3.5160010000000001E-6</v>
      </c>
      <c r="I1006">
        <v>353.97160000000002</v>
      </c>
      <c r="J1006">
        <v>-195.59970000000001</v>
      </c>
      <c r="K1006">
        <v>1.090946</v>
      </c>
      <c r="L1006">
        <v>361.26609999999999</v>
      </c>
      <c r="M1006">
        <v>0.80038830000000005</v>
      </c>
      <c r="N1006">
        <v>0</v>
      </c>
      <c r="O1006">
        <v>-0.599249699999999</v>
      </c>
      <c r="P1006">
        <v>0.4404747</v>
      </c>
      <c r="Q1006">
        <v>9.6784439999999999E-2</v>
      </c>
      <c r="R1006">
        <v>-0.89253309999999997</v>
      </c>
      <c r="S1006">
        <v>0.77815249999999903</v>
      </c>
      <c r="T1006">
        <v>-0.44184479999999998</v>
      </c>
      <c r="U1006">
        <v>-3.0355219999999998</v>
      </c>
      <c r="V1006">
        <v>0.45476939999999999</v>
      </c>
      <c r="W1006">
        <v>9.2569499999999999E-2</v>
      </c>
      <c r="X1006">
        <v>0.8857853</v>
      </c>
      <c r="Y1006">
        <v>0.62574189999999996</v>
      </c>
      <c r="Z1006">
        <v>4.4537130000000001E-2</v>
      </c>
      <c r="AA1006">
        <v>0.77875760000000005</v>
      </c>
      <c r="AB1006">
        <v>38</v>
      </c>
      <c r="AC1006">
        <v>1.65710000000001</v>
      </c>
      <c r="AD1006">
        <v>-1.0909495160010001</v>
      </c>
      <c r="AE1006">
        <v>-7.29449999999997</v>
      </c>
      <c r="AF1006">
        <v>4.7451613395137802</v>
      </c>
      <c r="AG1006">
        <v>-1.0909495160010001</v>
      </c>
      <c r="AH1006">
        <v>5.5796647967869797</v>
      </c>
      <c r="AI1006">
        <v>98.471582618877207</v>
      </c>
      <c r="AJ1006">
        <v>49.620883197842197</v>
      </c>
      <c r="AK1006">
        <v>7.4053619917585998</v>
      </c>
      <c r="AL1006">
        <v>84.688553889362396</v>
      </c>
      <c r="AM1006">
        <v>62.823665883026202</v>
      </c>
      <c r="AN1006">
        <v>0.99999995860134905</v>
      </c>
    </row>
    <row r="1007" spans="1:40" x14ac:dyDescent="0.25">
      <c r="A1007" t="str">
        <f>"20190312164452816"</f>
        <v>20190312164452816</v>
      </c>
      <c r="B1007" t="str">
        <f>"1552380292812197"</f>
        <v>1552380292812197</v>
      </c>
      <c r="C1007" t="s">
        <v>40</v>
      </c>
      <c r="D1007">
        <v>5.4555689999999997</v>
      </c>
      <c r="E1007">
        <v>0.59864530000000005</v>
      </c>
      <c r="F1007" t="s">
        <v>45</v>
      </c>
      <c r="G1007">
        <v>-193.84010000000001</v>
      </c>
      <c r="H1007" s="1">
        <v>-3.5020519999999998E-6</v>
      </c>
      <c r="I1007">
        <v>353.98910000000001</v>
      </c>
      <c r="J1007">
        <v>-195.2962</v>
      </c>
      <c r="K1007">
        <v>1.090857</v>
      </c>
      <c r="L1007">
        <v>361.02690000000001</v>
      </c>
      <c r="M1007">
        <v>0.78968660000000002</v>
      </c>
      <c r="N1007">
        <v>0</v>
      </c>
      <c r="O1007">
        <v>-0.61328280000000002</v>
      </c>
      <c r="P1007">
        <v>0.42658819999999997</v>
      </c>
      <c r="Q1007">
        <v>9.6095319999999998E-2</v>
      </c>
      <c r="R1007">
        <v>-0.89932659999999998</v>
      </c>
      <c r="S1007">
        <v>0.73684689999999997</v>
      </c>
      <c r="T1007">
        <v>-0.45682119999999998</v>
      </c>
      <c r="U1007">
        <v>-3.0471189999999999</v>
      </c>
      <c r="V1007">
        <v>0.45291029999999999</v>
      </c>
      <c r="W1007">
        <v>9.1913789999999995E-2</v>
      </c>
      <c r="X1007">
        <v>0.88680550000000002</v>
      </c>
      <c r="Y1007">
        <v>0.62266560000000004</v>
      </c>
      <c r="Z1007">
        <v>4.8828829999999997E-2</v>
      </c>
      <c r="AA1007">
        <v>0.78096309999999902</v>
      </c>
      <c r="AB1007">
        <v>38</v>
      </c>
      <c r="AC1007">
        <v>1.45609999999999</v>
      </c>
      <c r="AD1007">
        <v>-1.0908605020519999</v>
      </c>
      <c r="AE1007">
        <v>-7.0377999999999998</v>
      </c>
      <c r="AF1007">
        <v>4.5602439753891097</v>
      </c>
      <c r="AG1007">
        <v>-1.0908605020519999</v>
      </c>
      <c r="AH1007">
        <v>5.3436756134184904</v>
      </c>
      <c r="AI1007">
        <v>98.826540014543298</v>
      </c>
      <c r="AJ1007">
        <v>49.522860997076201</v>
      </c>
      <c r="AK1007">
        <v>7.1091962141618597</v>
      </c>
      <c r="AL1007">
        <v>84.726284064746295</v>
      </c>
      <c r="AM1007">
        <v>62.945639113410799</v>
      </c>
      <c r="AN1007">
        <v>0.99999993973425005</v>
      </c>
    </row>
    <row r="1008" spans="1:40" x14ac:dyDescent="0.25">
      <c r="A1008" t="str">
        <f>"20190312164452839"</f>
        <v>20190312164452839</v>
      </c>
      <c r="B1008" t="str">
        <f>"1552380292832693"</f>
        <v>1552380292832693</v>
      </c>
      <c r="C1008" t="s">
        <v>40</v>
      </c>
      <c r="D1008">
        <v>5.5766850000000003</v>
      </c>
      <c r="E1008">
        <v>0.59929200000000005</v>
      </c>
      <c r="F1008" t="s">
        <v>45</v>
      </c>
      <c r="G1008">
        <v>-193.6241</v>
      </c>
      <c r="H1008" s="1">
        <v>-3.1996709999999999E-6</v>
      </c>
      <c r="I1008">
        <v>353.48340000000002</v>
      </c>
      <c r="J1008">
        <v>-194.9794</v>
      </c>
      <c r="K1008">
        <v>1.09077</v>
      </c>
      <c r="L1008">
        <v>360.7679</v>
      </c>
      <c r="M1008">
        <v>0.77804340000000005</v>
      </c>
      <c r="N1008">
        <v>0</v>
      </c>
      <c r="O1008">
        <v>-0.62798719999999997</v>
      </c>
      <c r="P1008">
        <v>0.41199039999999998</v>
      </c>
      <c r="Q1008">
        <v>9.5318990000000006E-2</v>
      </c>
      <c r="R1008">
        <v>-0.90618900000000002</v>
      </c>
      <c r="S1008">
        <v>0.6785736</v>
      </c>
      <c r="T1008">
        <v>-0.44268420000000003</v>
      </c>
      <c r="U1008">
        <v>-3.0612180000000002</v>
      </c>
      <c r="V1008">
        <v>0.45066079999999997</v>
      </c>
      <c r="W1008">
        <v>9.1193940000000001E-2</v>
      </c>
      <c r="X1008">
        <v>0.88802510000000001</v>
      </c>
      <c r="Y1008">
        <v>0.62304589999999904</v>
      </c>
      <c r="Z1008">
        <v>4.9925740000000003E-2</v>
      </c>
      <c r="AA1008">
        <v>0.78059040000000002</v>
      </c>
      <c r="AB1008">
        <v>38</v>
      </c>
      <c r="AC1008">
        <v>1.35529999999999</v>
      </c>
      <c r="AD1008">
        <v>-1.0907731996709999</v>
      </c>
      <c r="AE1008">
        <v>-7.28449999999998</v>
      </c>
      <c r="AF1008">
        <v>4.7150395455280103</v>
      </c>
      <c r="AG1008">
        <v>-1.0907731996709999</v>
      </c>
      <c r="AH1008">
        <v>5.5104251683550398</v>
      </c>
      <c r="AI1008">
        <v>98.553346731799493</v>
      </c>
      <c r="AJ1008">
        <v>49.447784190310003</v>
      </c>
      <c r="AK1008">
        <v>7.3339054824189098</v>
      </c>
      <c r="AL1008">
        <v>84.767702885559402</v>
      </c>
      <c r="AM1008">
        <v>63.0928189831955</v>
      </c>
      <c r="AN1008">
        <v>1.00000003478968</v>
      </c>
    </row>
    <row r="1009" spans="1:40" x14ac:dyDescent="0.25">
      <c r="A1009" t="str">
        <f>"20190312164452860"</f>
        <v>20190312164452860</v>
      </c>
      <c r="B1009" t="str">
        <f>"1552380292852213"</f>
        <v>1552380292852213</v>
      </c>
      <c r="C1009" t="s">
        <v>40</v>
      </c>
      <c r="D1009">
        <v>5.6290360000000002</v>
      </c>
      <c r="E1009">
        <v>0.59880659999999997</v>
      </c>
      <c r="F1009" t="s">
        <v>45</v>
      </c>
      <c r="G1009">
        <v>-193.4109</v>
      </c>
      <c r="H1009" s="1">
        <v>-2.907972E-6</v>
      </c>
      <c r="I1009">
        <v>352.99770000000001</v>
      </c>
      <c r="J1009">
        <v>-194.6944</v>
      </c>
      <c r="K1009">
        <v>1.0907</v>
      </c>
      <c r="L1009">
        <v>360.52640000000002</v>
      </c>
      <c r="M1009">
        <v>0.76713629999999999</v>
      </c>
      <c r="N1009">
        <v>0</v>
      </c>
      <c r="O1009">
        <v>-0.64126519999999898</v>
      </c>
      <c r="P1009">
        <v>0.39966030000000002</v>
      </c>
      <c r="Q1009">
        <v>9.4364459999999997E-2</v>
      </c>
      <c r="R1009">
        <v>-0.91179390000000005</v>
      </c>
      <c r="S1009">
        <v>0.62049869999999996</v>
      </c>
      <c r="T1009">
        <v>-0.43150440000000001</v>
      </c>
      <c r="U1009">
        <v>-3.0738530000000002</v>
      </c>
      <c r="V1009">
        <v>0.44749050000000001</v>
      </c>
      <c r="W1009">
        <v>9.0353920000000004E-2</v>
      </c>
      <c r="X1009">
        <v>0.88971250000000002</v>
      </c>
      <c r="Y1009">
        <v>0.62448870000000001</v>
      </c>
      <c r="Z1009">
        <v>5.089846E-2</v>
      </c>
      <c r="AA1009">
        <v>0.77937369999999995</v>
      </c>
      <c r="AB1009">
        <v>38</v>
      </c>
      <c r="AC1009">
        <v>1.2835000000000001</v>
      </c>
      <c r="AD1009">
        <v>-1.0907029079719901</v>
      </c>
      <c r="AE1009">
        <v>-7.5287000000000104</v>
      </c>
      <c r="AF1009">
        <v>4.8541683995588603</v>
      </c>
      <c r="AG1009">
        <v>-1.0907029079719901</v>
      </c>
      <c r="AH1009">
        <v>5.6971342030663399</v>
      </c>
      <c r="AI1009">
        <v>98.291062096020895</v>
      </c>
      <c r="AJ1009">
        <v>49.567778743425201</v>
      </c>
      <c r="AK1009">
        <v>7.5637240703559998</v>
      </c>
      <c r="AL1009">
        <v>84.816031599759896</v>
      </c>
      <c r="AM1009">
        <v>63.2993970917599</v>
      </c>
      <c r="AN1009">
        <v>0.99999995555293197</v>
      </c>
    </row>
    <row r="1010" spans="1:40" x14ac:dyDescent="0.25">
      <c r="A1010" t="str">
        <f>"20190312164452883"</f>
        <v>20190312164452883</v>
      </c>
      <c r="B1010" t="str">
        <f>"1552380292872708"</f>
        <v>1552380292872708</v>
      </c>
      <c r="C1010" t="s">
        <v>40</v>
      </c>
      <c r="D1010">
        <v>5.7883500000000003</v>
      </c>
      <c r="E1010">
        <v>0.59922280000000006</v>
      </c>
      <c r="F1010" t="s">
        <v>45</v>
      </c>
      <c r="G1010">
        <v>-193.23910000000001</v>
      </c>
      <c r="H1010" s="1">
        <v>-2.7532979999999999E-6</v>
      </c>
      <c r="I1010">
        <v>352.79820000000001</v>
      </c>
      <c r="J1010">
        <v>-194.41309999999999</v>
      </c>
      <c r="K1010">
        <v>1.090633</v>
      </c>
      <c r="L1010">
        <v>360.27969999999999</v>
      </c>
      <c r="M1010">
        <v>0.75594839999999996</v>
      </c>
      <c r="N1010">
        <v>0</v>
      </c>
      <c r="O1010">
        <v>-0.65441579999999999</v>
      </c>
      <c r="P1010">
        <v>0.38729970000000002</v>
      </c>
      <c r="Q1010">
        <v>9.3773700000000001E-2</v>
      </c>
      <c r="R1010">
        <v>-0.91717249999999995</v>
      </c>
      <c r="S1010">
        <v>0.58016969999999901</v>
      </c>
      <c r="T1010">
        <v>-0.4348127</v>
      </c>
      <c r="U1010">
        <v>-3.080902</v>
      </c>
      <c r="V1010">
        <v>0.44418089999999999</v>
      </c>
      <c r="W1010">
        <v>8.9888979999999993E-2</v>
      </c>
      <c r="X1010">
        <v>0.89141649999999995</v>
      </c>
      <c r="Y1010">
        <v>0.62123669999999998</v>
      </c>
      <c r="Z1010">
        <v>5.388511E-2</v>
      </c>
      <c r="AA1010">
        <v>0.78176809999999997</v>
      </c>
      <c r="AB1010">
        <v>38</v>
      </c>
      <c r="AC1010">
        <v>1.17399999999997</v>
      </c>
      <c r="AD1010">
        <v>-1.090635753298</v>
      </c>
      <c r="AE1010">
        <v>-7.4814999999999801</v>
      </c>
      <c r="AF1010">
        <v>4.78871308485291</v>
      </c>
      <c r="AG1010">
        <v>-1.090635753298</v>
      </c>
      <c r="AH1010">
        <v>5.6667794171002503</v>
      </c>
      <c r="AI1010">
        <v>98.362715502050193</v>
      </c>
      <c r="AJ1010">
        <v>49.800512035022798</v>
      </c>
      <c r="AK1010">
        <v>7.4989098085978103</v>
      </c>
      <c r="AL1010">
        <v>84.842779973373993</v>
      </c>
      <c r="AM1010">
        <v>63.513538951126598</v>
      </c>
      <c r="AN1010">
        <v>1.00000003856124</v>
      </c>
    </row>
    <row r="1011" spans="1:40" x14ac:dyDescent="0.25">
      <c r="A1011" t="str">
        <f>"20190312164452904"</f>
        <v>20190312164452904</v>
      </c>
      <c r="B1011" t="str">
        <f>"1552380292892229"</f>
        <v>1552380292892229</v>
      </c>
      <c r="C1011" t="s">
        <v>40</v>
      </c>
      <c r="D1011">
        <v>5.5861320000000001</v>
      </c>
      <c r="E1011">
        <v>0.59940599999999999</v>
      </c>
      <c r="F1011" t="s">
        <v>45</v>
      </c>
      <c r="G1011">
        <v>-193.0676</v>
      </c>
      <c r="H1011" s="1">
        <v>-2.508046E-6</v>
      </c>
      <c r="I1011">
        <v>352.46089999999998</v>
      </c>
      <c r="J1011">
        <v>-194.14330000000001</v>
      </c>
      <c r="K1011">
        <v>1.0905830000000001</v>
      </c>
      <c r="L1011">
        <v>360.03480000000002</v>
      </c>
      <c r="M1011">
        <v>0.7447975</v>
      </c>
      <c r="N1011">
        <v>0</v>
      </c>
      <c r="O1011">
        <v>-0.66707890000000003</v>
      </c>
      <c r="P1011">
        <v>0.37550879999999998</v>
      </c>
      <c r="Q1011">
        <v>9.430094E-2</v>
      </c>
      <c r="R1011">
        <v>-0.92200899999999997</v>
      </c>
      <c r="S1011">
        <v>0.53181460000000003</v>
      </c>
      <c r="T1011">
        <v>-0.4310756</v>
      </c>
      <c r="U1011">
        <v>-3.0903930000000002</v>
      </c>
      <c r="V1011">
        <v>0.44055549999999999</v>
      </c>
      <c r="W1011">
        <v>9.0561900000000001E-2</v>
      </c>
      <c r="X1011">
        <v>0.89314579999999999</v>
      </c>
      <c r="Y1011">
        <v>0.6203668</v>
      </c>
      <c r="Z1011">
        <v>5.573181E-2</v>
      </c>
      <c r="AA1011">
        <v>0.78232919999999995</v>
      </c>
      <c r="AB1011">
        <v>38</v>
      </c>
      <c r="AC1011">
        <v>1.0757000000000101</v>
      </c>
      <c r="AD1011">
        <v>-1.0905855080460001</v>
      </c>
      <c r="AE1011">
        <v>-7.5739000000000303</v>
      </c>
      <c r="AF1011">
        <v>4.8260561353078897</v>
      </c>
      <c r="AG1011">
        <v>-1.0905855080460001</v>
      </c>
      <c r="AH1011">
        <v>5.7377802581984296</v>
      </c>
      <c r="AI1011">
        <v>98.276161077047703</v>
      </c>
      <c r="AJ1011">
        <v>49.932755154204301</v>
      </c>
      <c r="AK1011">
        <v>7.5764316708378399</v>
      </c>
      <c r="AL1011">
        <v>84.804066468328401</v>
      </c>
      <c r="AM1011">
        <v>63.744595827462099</v>
      </c>
      <c r="AN1011">
        <v>1.00000001318475</v>
      </c>
    </row>
    <row r="1012" spans="1:40" x14ac:dyDescent="0.25">
      <c r="A1012" t="str">
        <f>"20190312164452918"</f>
        <v>20190312164452918</v>
      </c>
      <c r="B1012" t="str">
        <f>"1552380292912724"</f>
        <v>1552380292912724</v>
      </c>
      <c r="C1012" t="s">
        <v>40</v>
      </c>
      <c r="D1012">
        <v>5.616206</v>
      </c>
      <c r="E1012">
        <v>0.59930680000000003</v>
      </c>
      <c r="F1012" t="s">
        <v>45</v>
      </c>
      <c r="G1012">
        <v>-192.89940000000001</v>
      </c>
      <c r="H1012" s="1">
        <v>-2.2816599999999999E-6</v>
      </c>
      <c r="I1012">
        <v>352.154</v>
      </c>
      <c r="J1012">
        <v>-193.9682</v>
      </c>
      <c r="K1012">
        <v>1.090549</v>
      </c>
      <c r="L1012">
        <v>359.87099999999998</v>
      </c>
      <c r="M1012">
        <v>0.73731950000000002</v>
      </c>
      <c r="N1012">
        <v>0</v>
      </c>
      <c r="O1012">
        <v>-0.67533480000000001</v>
      </c>
      <c r="P1012">
        <v>0.36694090000000001</v>
      </c>
      <c r="Q1012">
        <v>9.4809370000000004E-2</v>
      </c>
      <c r="R1012">
        <v>-0.92540040000000001</v>
      </c>
      <c r="S1012">
        <v>0.48904419999999998</v>
      </c>
      <c r="T1012">
        <v>-0.42877939999999998</v>
      </c>
      <c r="U1012">
        <v>-3.0984500000000001</v>
      </c>
      <c r="V1012">
        <v>0.43887870000000001</v>
      </c>
      <c r="W1012">
        <v>9.1131740000000003E-2</v>
      </c>
      <c r="X1012">
        <v>0.89391299999999996</v>
      </c>
      <c r="Y1012">
        <v>0.62250969999999906</v>
      </c>
      <c r="Z1012">
        <v>5.6738179999999999E-2</v>
      </c>
      <c r="AA1012">
        <v>0.78055269999999899</v>
      </c>
      <c r="AB1012">
        <v>37</v>
      </c>
      <c r="AC1012">
        <v>1.06879999999998</v>
      </c>
      <c r="AD1012">
        <v>-1.09055128166</v>
      </c>
      <c r="AE1012">
        <v>-7.7169999999999801</v>
      </c>
      <c r="AF1012">
        <v>4.8733074912941303</v>
      </c>
      <c r="AG1012">
        <v>-1.09055128166</v>
      </c>
      <c r="AH1012">
        <v>5.8851357072585104</v>
      </c>
      <c r="AI1012">
        <v>98.122669689189706</v>
      </c>
      <c r="AJ1012">
        <v>50.372845771012599</v>
      </c>
      <c r="AK1012">
        <v>7.7183709612510203</v>
      </c>
      <c r="AL1012">
        <v>84.771281294513699</v>
      </c>
      <c r="AM1012">
        <v>63.850644471201697</v>
      </c>
      <c r="AN1012">
        <v>0.99999997945905805</v>
      </c>
    </row>
    <row r="1013" spans="1:40" x14ac:dyDescent="0.25">
      <c r="A1013" t="str">
        <f>"20190312164452939"</f>
        <v>20190312164452939</v>
      </c>
      <c r="B1013" t="str">
        <f>"1552380292932245"</f>
        <v>1552380292932245</v>
      </c>
      <c r="C1013" t="s">
        <v>40</v>
      </c>
      <c r="D1013">
        <v>5.6207390000000004</v>
      </c>
      <c r="E1013">
        <v>0.59887440000000003</v>
      </c>
      <c r="F1013" t="s">
        <v>45</v>
      </c>
      <c r="G1013">
        <v>-192.7911</v>
      </c>
      <c r="H1013" s="1">
        <v>-2.118059E-6</v>
      </c>
      <c r="I1013">
        <v>351.92630000000003</v>
      </c>
      <c r="J1013">
        <v>-193.71969999999999</v>
      </c>
      <c r="K1013">
        <v>1.0905049999999901</v>
      </c>
      <c r="L1013">
        <v>359.63240000000002</v>
      </c>
      <c r="M1013">
        <v>0.72638019999999903</v>
      </c>
      <c r="N1013">
        <v>0</v>
      </c>
      <c r="O1013">
        <v>-0.687087</v>
      </c>
      <c r="P1013">
        <v>0.35588690000000001</v>
      </c>
      <c r="Q1013">
        <v>9.5301800000000006E-2</v>
      </c>
      <c r="R1013">
        <v>-0.92965710000000001</v>
      </c>
      <c r="S1013">
        <v>0.45977780000000001</v>
      </c>
      <c r="T1013">
        <v>-0.42596889999999998</v>
      </c>
      <c r="U1013">
        <v>-3.10318</v>
      </c>
      <c r="V1013">
        <v>0.43516640000000001</v>
      </c>
      <c r="W1013">
        <v>9.178132E-2</v>
      </c>
      <c r="X1013">
        <v>0.89565969999999995</v>
      </c>
      <c r="Y1013">
        <v>0.61738309999999996</v>
      </c>
      <c r="Z1013">
        <v>5.88196E-2</v>
      </c>
      <c r="AA1013">
        <v>0.78446059999999995</v>
      </c>
      <c r="AB1013">
        <v>37</v>
      </c>
      <c r="AC1013">
        <v>0.92859999999998799</v>
      </c>
      <c r="AD1013">
        <v>-1.09050711805899</v>
      </c>
      <c r="AE1013">
        <v>-7.7060999999999904</v>
      </c>
      <c r="AF1013">
        <v>4.8642168926256204</v>
      </c>
      <c r="AG1013">
        <v>-1.09050711805899</v>
      </c>
      <c r="AH1013">
        <v>5.85455979350776</v>
      </c>
      <c r="AI1013">
        <v>98.153231112727198</v>
      </c>
      <c r="AJ1013">
        <v>50.278758117733702</v>
      </c>
      <c r="AK1013">
        <v>7.6893226053274297</v>
      </c>
      <c r="AL1013">
        <v>84.733906321860402</v>
      </c>
      <c r="AM1013">
        <v>64.086676263817196</v>
      </c>
      <c r="AN1013">
        <v>0.99999995229699501</v>
      </c>
    </row>
    <row r="1014" spans="1:40" x14ac:dyDescent="0.25">
      <c r="A1014" t="str">
        <f>"20190312164452962"</f>
        <v>20190312164452962</v>
      </c>
      <c r="B1014" t="str">
        <f>"1552380292952327"</f>
        <v>1552380292952327</v>
      </c>
      <c r="C1014" t="s">
        <v>40</v>
      </c>
      <c r="D1014">
        <v>5.6221940000000004</v>
      </c>
      <c r="E1014">
        <v>0.59802319999999998</v>
      </c>
      <c r="F1014" t="s">
        <v>45</v>
      </c>
      <c r="G1014">
        <v>-192.64080000000001</v>
      </c>
      <c r="H1014" s="1">
        <v>-1.9694480000000002E-6</v>
      </c>
      <c r="I1014">
        <v>351.74279999999999</v>
      </c>
      <c r="J1014">
        <v>-193.44479999999999</v>
      </c>
      <c r="K1014">
        <v>1.090452</v>
      </c>
      <c r="L1014">
        <v>359.35930000000002</v>
      </c>
      <c r="M1014">
        <v>0.71380200000000005</v>
      </c>
      <c r="N1014">
        <v>0</v>
      </c>
      <c r="O1014">
        <v>-0.70014480000000001</v>
      </c>
      <c r="P1014">
        <v>0.34322009999999997</v>
      </c>
      <c r="Q1014">
        <v>9.5757549999999997E-2</v>
      </c>
      <c r="R1014">
        <v>-0.93436149999999996</v>
      </c>
      <c r="S1014">
        <v>0.4250488</v>
      </c>
      <c r="T1014">
        <v>-0.42963990000000002</v>
      </c>
      <c r="U1014">
        <v>-3.1083370000000001</v>
      </c>
      <c r="V1014">
        <v>0.43108859999999899</v>
      </c>
      <c r="W1014">
        <v>9.2412809999999998E-2</v>
      </c>
      <c r="X1014">
        <v>0.89756480000000005</v>
      </c>
      <c r="Y1014">
        <v>0.6119464</v>
      </c>
      <c r="Z1014">
        <v>6.204929E-2</v>
      </c>
      <c r="AA1014">
        <v>0.78846149999999904</v>
      </c>
      <c r="AB1014">
        <v>37</v>
      </c>
      <c r="AC1014">
        <v>0.80399999999997296</v>
      </c>
      <c r="AD1014">
        <v>-1.090453969448</v>
      </c>
      <c r="AE1014">
        <v>-7.6165000000000296</v>
      </c>
      <c r="AF1014">
        <v>4.77759837302</v>
      </c>
      <c r="AG1014">
        <v>-1.090453969448</v>
      </c>
      <c r="AH1014">
        <v>5.7900147551585901</v>
      </c>
      <c r="AI1014">
        <v>98.265266390534507</v>
      </c>
      <c r="AJ1014">
        <v>50.472445482975402</v>
      </c>
      <c r="AK1014">
        <v>7.5854338661887004</v>
      </c>
      <c r="AL1014">
        <v>84.697570643252106</v>
      </c>
      <c r="AM1014">
        <v>64.345636454514704</v>
      </c>
      <c r="AN1014">
        <v>1.0000000393505399</v>
      </c>
    </row>
    <row r="1015" spans="1:40" x14ac:dyDescent="0.25">
      <c r="A1015" t="str">
        <f>"20190312164452987"</f>
        <v>20190312164452987</v>
      </c>
      <c r="B1015" t="str">
        <f>"1552380292982583"</f>
        <v>1552380292982583</v>
      </c>
      <c r="C1015" t="s">
        <v>40</v>
      </c>
      <c r="D1015">
        <v>5.861097</v>
      </c>
      <c r="E1015">
        <v>0.5906399</v>
      </c>
      <c r="F1015" t="s">
        <v>45</v>
      </c>
      <c r="G1015">
        <v>-192.46010000000001</v>
      </c>
      <c r="H1015" s="1">
        <v>-1.7449739999999999E-6</v>
      </c>
      <c r="I1015">
        <v>351.44479999999999</v>
      </c>
      <c r="J1015">
        <v>-193.14699999999999</v>
      </c>
      <c r="K1015">
        <v>1.0903959999999999</v>
      </c>
      <c r="L1015">
        <v>359.0523</v>
      </c>
      <c r="M1015">
        <v>0.69958009999999904</v>
      </c>
      <c r="N1015">
        <v>0</v>
      </c>
      <c r="O1015">
        <v>-0.71435479999999996</v>
      </c>
      <c r="P1015">
        <v>0.32866030000000002</v>
      </c>
      <c r="Q1015">
        <v>9.6432400000000001E-2</v>
      </c>
      <c r="R1015">
        <v>-0.93951229999999997</v>
      </c>
      <c r="S1015">
        <v>0.38723750000000001</v>
      </c>
      <c r="T1015">
        <v>-0.42883549999999998</v>
      </c>
      <c r="U1015">
        <v>-3.112457</v>
      </c>
      <c r="V1015">
        <v>0.42697459999999998</v>
      </c>
      <c r="W1015">
        <v>9.3265520000000005E-2</v>
      </c>
      <c r="X1015">
        <v>0.89944109999999999</v>
      </c>
      <c r="Y1015">
        <v>0.60566070000000005</v>
      </c>
      <c r="Z1015">
        <v>6.4950880000000003E-2</v>
      </c>
      <c r="AA1015">
        <v>0.79306779999999999</v>
      </c>
      <c r="AB1015">
        <v>37</v>
      </c>
      <c r="AC1015">
        <v>0.68690000000000795</v>
      </c>
      <c r="AD1015">
        <v>-1.0903977449740001</v>
      </c>
      <c r="AE1015">
        <v>-7.6075000000000097</v>
      </c>
      <c r="AF1015">
        <v>4.7355530096627403</v>
      </c>
      <c r="AG1015">
        <v>-1.0903977449740001</v>
      </c>
      <c r="AH1015">
        <v>5.7976936152144596</v>
      </c>
      <c r="AI1015">
        <v>98.287430822774795</v>
      </c>
      <c r="AJ1015">
        <v>50.758068872344303</v>
      </c>
      <c r="AK1015">
        <v>7.5648979375447496</v>
      </c>
      <c r="AL1015">
        <v>84.648501984164199</v>
      </c>
      <c r="AM1015">
        <v>64.605792807320896</v>
      </c>
      <c r="AN1015">
        <v>1.0000000293176099</v>
      </c>
    </row>
    <row r="1016" spans="1:40" x14ac:dyDescent="0.25">
      <c r="A1016" t="str">
        <f>"20190312164453006"</f>
        <v>20190312164453006</v>
      </c>
      <c r="B1016" t="str">
        <f>"1552380293003079"</f>
        <v>1552380293003079</v>
      </c>
      <c r="C1016" t="s">
        <v>40</v>
      </c>
      <c r="D1016">
        <v>5.8027290000000002</v>
      </c>
      <c r="E1016">
        <v>0.59677880000000005</v>
      </c>
      <c r="F1016" t="s">
        <v>42</v>
      </c>
      <c r="G1016">
        <v>-191.36449999999999</v>
      </c>
      <c r="H1016" s="1">
        <v>-2.2751980000000002E-6</v>
      </c>
      <c r="I1016">
        <v>344.04640000000001</v>
      </c>
      <c r="J1016">
        <v>-192.92609999999999</v>
      </c>
      <c r="K1016">
        <v>1.090363</v>
      </c>
      <c r="L1016">
        <v>358.81569999999999</v>
      </c>
      <c r="M1016">
        <v>0.68857119999999905</v>
      </c>
      <c r="N1016">
        <v>0</v>
      </c>
      <c r="O1016">
        <v>-0.72497180000000006</v>
      </c>
      <c r="P1016">
        <v>0.31890839999999998</v>
      </c>
      <c r="Q1016">
        <v>9.7256670000000003E-2</v>
      </c>
      <c r="R1016">
        <v>-0.94278249999999997</v>
      </c>
      <c r="S1016">
        <v>0.36680600000000002</v>
      </c>
      <c r="T1016">
        <v>-0.2243763</v>
      </c>
      <c r="U1016">
        <v>-3.0878299999999999</v>
      </c>
      <c r="V1016">
        <v>0.42251430000000001</v>
      </c>
      <c r="W1016">
        <v>9.4297130000000007E-2</v>
      </c>
      <c r="X1016">
        <v>0.90143759999999995</v>
      </c>
      <c r="Y1016">
        <v>0.59821639999999998</v>
      </c>
      <c r="Z1016">
        <v>3.5743749999999998E-2</v>
      </c>
      <c r="AA1016">
        <v>0.80053699999999905</v>
      </c>
      <c r="AB1016">
        <v>37</v>
      </c>
      <c r="AC1016">
        <v>1.5615999999999901</v>
      </c>
      <c r="AD1016">
        <v>-1.090365275198</v>
      </c>
      <c r="AE1016">
        <v>-14.7692999999999</v>
      </c>
      <c r="AF1016">
        <v>8.9904302463149808</v>
      </c>
      <c r="AG1016">
        <v>-1.090365275198</v>
      </c>
      <c r="AH1016">
        <v>11.721103860317999</v>
      </c>
      <c r="AI1016">
        <v>94.221515076483698</v>
      </c>
      <c r="AJ1016">
        <v>52.510736435518098</v>
      </c>
      <c r="AK1016">
        <v>14.812191200209901</v>
      </c>
      <c r="AL1016">
        <v>84.589133356135093</v>
      </c>
      <c r="AM1016">
        <v>64.886966857803301</v>
      </c>
      <c r="AN1016">
        <v>1.0000000145622401</v>
      </c>
    </row>
    <row r="1017" spans="1:40" x14ac:dyDescent="0.25">
      <c r="A1017" t="str">
        <f>"20190312164453029"</f>
        <v>20190312164453029</v>
      </c>
      <c r="B1017" t="str">
        <f>"1552380293022599"</f>
        <v>1552380293022599</v>
      </c>
      <c r="C1017" t="s">
        <v>40</v>
      </c>
      <c r="D1017">
        <v>5.7221739999999999</v>
      </c>
      <c r="E1017">
        <v>0.5973811</v>
      </c>
      <c r="F1017" t="s">
        <v>42</v>
      </c>
      <c r="G1017">
        <v>-191.77799999999999</v>
      </c>
      <c r="H1017" s="1">
        <v>-3.506131E-6</v>
      </c>
      <c r="I1017">
        <v>346.6592</v>
      </c>
      <c r="J1017">
        <v>-192.66480000000001</v>
      </c>
      <c r="K1017">
        <v>1.090319</v>
      </c>
      <c r="L1017">
        <v>358.52679999999998</v>
      </c>
      <c r="M1017">
        <v>0.67504629999999999</v>
      </c>
      <c r="N1017">
        <v>0</v>
      </c>
      <c r="O1017">
        <v>-0.73758080000000004</v>
      </c>
      <c r="P1017">
        <v>0.30557139999999999</v>
      </c>
      <c r="Q1017">
        <v>9.7930069999999994E-2</v>
      </c>
      <c r="R1017">
        <v>-0.94711959999999995</v>
      </c>
      <c r="S1017">
        <v>0.2938538</v>
      </c>
      <c r="T1017">
        <v>-0.27907670000000001</v>
      </c>
      <c r="U1017">
        <v>-3.1114199999999999</v>
      </c>
      <c r="V1017">
        <v>0.4185528</v>
      </c>
      <c r="W1017">
        <v>9.5150139999999994E-2</v>
      </c>
      <c r="X1017">
        <v>0.90319439999999995</v>
      </c>
      <c r="Y1017">
        <v>0.60259739999999995</v>
      </c>
      <c r="Z1017">
        <v>4.552353E-2</v>
      </c>
      <c r="AA1017">
        <v>0.79674590000000001</v>
      </c>
      <c r="AB1017">
        <v>37</v>
      </c>
      <c r="AC1017">
        <v>0.88680000000002202</v>
      </c>
      <c r="AD1017">
        <v>-1.090322506131</v>
      </c>
      <c r="AE1017">
        <v>-11.8675999999999</v>
      </c>
      <c r="AF1017">
        <v>7.2968992524699301</v>
      </c>
      <c r="AG1017">
        <v>-1.090322506131</v>
      </c>
      <c r="AH1017">
        <v>9.2754301049443502</v>
      </c>
      <c r="AI1017">
        <v>95.278429534623299</v>
      </c>
      <c r="AJ1017">
        <v>51.8081818329836</v>
      </c>
      <c r="AK1017">
        <v>11.851883626655299</v>
      </c>
      <c r="AL1017">
        <v>84.540038981832296</v>
      </c>
      <c r="AM1017">
        <v>65.136340111018896</v>
      </c>
      <c r="AN1017">
        <v>1.0000000598606</v>
      </c>
    </row>
    <row r="1018" spans="1:40" x14ac:dyDescent="0.25">
      <c r="A1018" t="str">
        <f>"20190312164453052"</f>
        <v>20190312164453052</v>
      </c>
      <c r="B1018" t="str">
        <f>"1552380293043095"</f>
        <v>1552380293043095</v>
      </c>
      <c r="C1018" t="s">
        <v>40</v>
      </c>
      <c r="D1018">
        <v>5.6135950000000001</v>
      </c>
      <c r="E1018">
        <v>0.59780659999999997</v>
      </c>
      <c r="F1018" t="s">
        <v>42</v>
      </c>
      <c r="G1018">
        <v>-191.76519999999999</v>
      </c>
      <c r="H1018" s="1">
        <v>-3.7180919999999998E-6</v>
      </c>
      <c r="I1018">
        <v>347.16129999999998</v>
      </c>
      <c r="J1018">
        <v>-192.4015</v>
      </c>
      <c r="K1018">
        <v>1.0902799999999999</v>
      </c>
      <c r="L1018">
        <v>358.22320000000002</v>
      </c>
      <c r="M1018">
        <v>0.66075869999999903</v>
      </c>
      <c r="N1018">
        <v>0</v>
      </c>
      <c r="O1018">
        <v>-0.75040689999999999</v>
      </c>
      <c r="P1018">
        <v>0.29184660000000001</v>
      </c>
      <c r="Q1018">
        <v>9.7784919999999997E-2</v>
      </c>
      <c r="R1018">
        <v>-0.95145369999999996</v>
      </c>
      <c r="S1018">
        <v>0.24685670000000001</v>
      </c>
      <c r="T1018">
        <v>-0.29919059999999997</v>
      </c>
      <c r="U1018">
        <v>-3.1187740000000002</v>
      </c>
      <c r="V1018">
        <v>0.41427510000000001</v>
      </c>
      <c r="W1018">
        <v>9.5205200000000004E-2</v>
      </c>
      <c r="X1018">
        <v>0.90515860000000004</v>
      </c>
      <c r="Y1018">
        <v>0.59935260000000001</v>
      </c>
      <c r="Z1018">
        <v>5.0548799999999998E-2</v>
      </c>
      <c r="AA1018">
        <v>0.79888749999999997</v>
      </c>
      <c r="AB1018">
        <v>37</v>
      </c>
      <c r="AC1018">
        <v>0.63630000000000497</v>
      </c>
      <c r="AD1018">
        <v>-1.090283718092</v>
      </c>
      <c r="AE1018">
        <v>-11.0619</v>
      </c>
      <c r="AF1018">
        <v>6.7672215300381904</v>
      </c>
      <c r="AG1018">
        <v>-1.090283718092</v>
      </c>
      <c r="AH1018">
        <v>8.6389741034508791</v>
      </c>
      <c r="AI1018">
        <v>95.673839658373794</v>
      </c>
      <c r="AJ1018">
        <v>51.927114759054703</v>
      </c>
      <c r="AK1018">
        <v>11.027958985353701</v>
      </c>
      <c r="AL1018">
        <v>84.536869506150396</v>
      </c>
      <c r="AM1018">
        <v>65.407267125071201</v>
      </c>
      <c r="AN1018">
        <v>0.99999998987050498</v>
      </c>
    </row>
    <row r="1019" spans="1:40" x14ac:dyDescent="0.25">
      <c r="A1019" t="str">
        <f>"20190312164453074"</f>
        <v>20190312164453074</v>
      </c>
      <c r="B1019" t="str">
        <f>"1552380293062615"</f>
        <v>1552380293062615</v>
      </c>
      <c r="C1019" t="s">
        <v>40</v>
      </c>
      <c r="D1019">
        <v>5.7846909999999996</v>
      </c>
      <c r="E1019">
        <v>0.597533599999999</v>
      </c>
      <c r="F1019" t="s">
        <v>42</v>
      </c>
      <c r="G1019">
        <v>-191.68610000000001</v>
      </c>
      <c r="H1019" s="1">
        <v>-3.5993469999999998E-6</v>
      </c>
      <c r="I1019">
        <v>346.93349999999998</v>
      </c>
      <c r="J1019">
        <v>-192.1721</v>
      </c>
      <c r="K1019">
        <v>1.0902449999999999</v>
      </c>
      <c r="L1019">
        <v>357.94900000000001</v>
      </c>
      <c r="M1019">
        <v>0.64777769999999901</v>
      </c>
      <c r="N1019">
        <v>0</v>
      </c>
      <c r="O1019">
        <v>-0.76164009999999904</v>
      </c>
      <c r="P1019">
        <v>0.280091799999999</v>
      </c>
      <c r="Q1019">
        <v>9.753125E-2</v>
      </c>
      <c r="R1019">
        <v>-0.95500620000000003</v>
      </c>
      <c r="S1019">
        <v>0.197937</v>
      </c>
      <c r="T1019">
        <v>-0.30163050000000002</v>
      </c>
      <c r="U1019">
        <v>-3.1233219999999999</v>
      </c>
      <c r="V1019">
        <v>0.4099045</v>
      </c>
      <c r="W1019">
        <v>9.5164860000000004E-2</v>
      </c>
      <c r="X1019">
        <v>0.90715049999999997</v>
      </c>
      <c r="Y1019">
        <v>0.59816259999999999</v>
      </c>
      <c r="Z1019">
        <v>5.2483189999999999E-2</v>
      </c>
      <c r="AA1019">
        <v>0.79965439999999999</v>
      </c>
      <c r="AB1019">
        <v>37</v>
      </c>
      <c r="AC1019">
        <v>0.48599999999999</v>
      </c>
      <c r="AD1019">
        <v>-1.0902485993469999</v>
      </c>
      <c r="AE1019">
        <v>-11.015499999999999</v>
      </c>
      <c r="AF1019">
        <v>6.70090041624377</v>
      </c>
      <c r="AG1019">
        <v>-1.0902485993469999</v>
      </c>
      <c r="AH1019">
        <v>8.6216297947284808</v>
      </c>
      <c r="AI1019">
        <v>95.701775659882699</v>
      </c>
      <c r="AJ1019">
        <v>52.144945375317803</v>
      </c>
      <c r="AK1019">
        <v>10.9737508953932</v>
      </c>
      <c r="AL1019">
        <v>84.539191632868807</v>
      </c>
      <c r="AM1019">
        <v>65.683720104045193</v>
      </c>
      <c r="AN1019">
        <v>1.00000003967465</v>
      </c>
    </row>
    <row r="1020" spans="1:40" x14ac:dyDescent="0.25">
      <c r="A1020" t="str">
        <f>"20190312164453093"</f>
        <v>20190312164453093</v>
      </c>
      <c r="B1020" t="str">
        <f>"1552380293082139"</f>
        <v>1552380293082139</v>
      </c>
      <c r="C1020" t="s">
        <v>40</v>
      </c>
      <c r="D1020">
        <v>5.4816690000000001</v>
      </c>
      <c r="E1020">
        <v>0.59696300000000002</v>
      </c>
      <c r="F1020" t="s">
        <v>42</v>
      </c>
      <c r="G1020">
        <v>-191.61519999999999</v>
      </c>
      <c r="H1020" s="1">
        <v>-3.6973359999999999E-6</v>
      </c>
      <c r="I1020">
        <v>347.20589999999999</v>
      </c>
      <c r="J1020">
        <v>-191.9616</v>
      </c>
      <c r="K1020">
        <v>1.090217</v>
      </c>
      <c r="L1020">
        <v>357.68880000000001</v>
      </c>
      <c r="M1020">
        <v>0.63539469999999898</v>
      </c>
      <c r="N1020">
        <v>0</v>
      </c>
      <c r="O1020">
        <v>-0.77200000000000002</v>
      </c>
      <c r="P1020">
        <v>0.26986850000000001</v>
      </c>
      <c r="Q1020">
        <v>9.7409270000000006E-2</v>
      </c>
      <c r="R1020">
        <v>-0.95795750000000002</v>
      </c>
      <c r="S1020">
        <v>0.1620636</v>
      </c>
      <c r="T1020">
        <v>-0.31725799999999998</v>
      </c>
      <c r="U1020">
        <v>-3.1261899999999998</v>
      </c>
      <c r="V1020">
        <v>0.40495419999999999</v>
      </c>
      <c r="W1020">
        <v>9.528971E-2</v>
      </c>
      <c r="X1020">
        <v>0.909358</v>
      </c>
      <c r="Y1020">
        <v>0.5944026</v>
      </c>
      <c r="Z1020">
        <v>5.6790559999999997E-2</v>
      </c>
      <c r="AA1020">
        <v>0.80215990000000004</v>
      </c>
      <c r="AB1020">
        <v>37</v>
      </c>
      <c r="AC1020">
        <v>0.34640000000001597</v>
      </c>
      <c r="AD1020">
        <v>-1.090220697336</v>
      </c>
      <c r="AE1020">
        <v>-10.482900000000001</v>
      </c>
      <c r="AF1020">
        <v>6.3259375825406696</v>
      </c>
      <c r="AG1020">
        <v>-1.090220697336</v>
      </c>
      <c r="AH1020">
        <v>8.2252364166857994</v>
      </c>
      <c r="AI1020">
        <v>95.997844633434795</v>
      </c>
      <c r="AJ1020">
        <v>52.436517028741598</v>
      </c>
      <c r="AK1020">
        <v>10.433627440994499</v>
      </c>
      <c r="AL1020">
        <v>84.532005394914705</v>
      </c>
      <c r="AM1020">
        <v>65.995691824723195</v>
      </c>
      <c r="AN1020">
        <v>1.0000000025467599</v>
      </c>
    </row>
    <row r="1021" spans="1:40" x14ac:dyDescent="0.25">
      <c r="A1021" t="str">
        <f>"20190312164453108"</f>
        <v>20190312164453108</v>
      </c>
      <c r="B1021" t="str">
        <f>"1552380293102632"</f>
        <v>1552380293102632</v>
      </c>
      <c r="C1021" t="s">
        <v>40</v>
      </c>
      <c r="D1021">
        <v>5.6205259999999999</v>
      </c>
      <c r="E1021">
        <v>0.59683319999999995</v>
      </c>
      <c r="F1021" t="s">
        <v>42</v>
      </c>
      <c r="G1021">
        <v>-191.51750000000001</v>
      </c>
      <c r="H1021" s="1">
        <v>-3.653674E-6</v>
      </c>
      <c r="I1021">
        <v>347.16469999999998</v>
      </c>
      <c r="J1021">
        <v>-191.8125</v>
      </c>
      <c r="K1021">
        <v>1.0901989999999999</v>
      </c>
      <c r="L1021">
        <v>357.49979999999999</v>
      </c>
      <c r="M1021">
        <v>0.62634799999999902</v>
      </c>
      <c r="N1021">
        <v>0</v>
      </c>
      <c r="O1021">
        <v>-0.77935759999999998</v>
      </c>
      <c r="P1021">
        <v>0.2612408</v>
      </c>
      <c r="Q1021">
        <v>9.7054539999999995E-2</v>
      </c>
      <c r="R1021">
        <v>-0.96038250000000003</v>
      </c>
      <c r="S1021">
        <v>0.13197329999999999</v>
      </c>
      <c r="T1021">
        <v>-0.32397310000000001</v>
      </c>
      <c r="U1021">
        <v>-3.12738</v>
      </c>
      <c r="V1021">
        <v>0.40253860000000002</v>
      </c>
      <c r="W1021">
        <v>9.5054719999999995E-2</v>
      </c>
      <c r="X1021">
        <v>0.9104544</v>
      </c>
      <c r="Y1021">
        <v>0.59274059999999995</v>
      </c>
      <c r="Z1021">
        <v>5.9123200000000001E-2</v>
      </c>
      <c r="AA1021">
        <v>0.8032205</v>
      </c>
      <c r="AB1021">
        <v>37</v>
      </c>
      <c r="AC1021">
        <v>0.29499999999998699</v>
      </c>
      <c r="AD1021">
        <v>-1.0902026536739999</v>
      </c>
      <c r="AE1021">
        <v>-10.335100000000001</v>
      </c>
      <c r="AF1021">
        <v>6.17570175122954</v>
      </c>
      <c r="AG1021">
        <v>-1.0902026536739999</v>
      </c>
      <c r="AH1021">
        <v>8.1500923111008508</v>
      </c>
      <c r="AI1021">
        <v>96.085591280203204</v>
      </c>
      <c r="AJ1021">
        <v>52.847107940944397</v>
      </c>
      <c r="AK1021">
        <v>10.2835712972528</v>
      </c>
      <c r="AL1021">
        <v>84.545530542561295</v>
      </c>
      <c r="AM1021">
        <v>66.148372305508104</v>
      </c>
      <c r="AN1021">
        <v>0.99999996938179803</v>
      </c>
    </row>
    <row r="1022" spans="1:40" x14ac:dyDescent="0.25">
      <c r="A1022" t="str">
        <f>"20190312164453128"</f>
        <v>20190312164453128</v>
      </c>
      <c r="B1022" t="str">
        <f>"1552380293122151"</f>
        <v>1552380293122151</v>
      </c>
      <c r="C1022" t="s">
        <v>40</v>
      </c>
      <c r="D1022">
        <v>5.5594970000000004</v>
      </c>
      <c r="E1022">
        <v>0.59643269999999904</v>
      </c>
      <c r="F1022" t="s">
        <v>42</v>
      </c>
      <c r="G1022">
        <v>-191.464</v>
      </c>
      <c r="H1022" s="1">
        <v>-3.572119E-6</v>
      </c>
      <c r="I1022">
        <v>347.00779999999997</v>
      </c>
      <c r="J1022">
        <v>-191.60769999999999</v>
      </c>
      <c r="K1022">
        <v>1.0901689999999999</v>
      </c>
      <c r="L1022">
        <v>357.23149999999998</v>
      </c>
      <c r="M1022">
        <v>0.61346020000000001</v>
      </c>
      <c r="N1022">
        <v>0</v>
      </c>
      <c r="O1022">
        <v>-0.78954119999999905</v>
      </c>
      <c r="P1022">
        <v>0.25071789999999999</v>
      </c>
      <c r="Q1022">
        <v>9.6428040000000007E-2</v>
      </c>
      <c r="R1022">
        <v>-0.96324569999999998</v>
      </c>
      <c r="S1022">
        <v>0.10392759999999999</v>
      </c>
      <c r="T1022">
        <v>-0.32506239999999997</v>
      </c>
      <c r="U1022">
        <v>-3.1283569999999998</v>
      </c>
      <c r="V1022">
        <v>0.3975532</v>
      </c>
      <c r="W1022">
        <v>9.4679730000000004E-2</v>
      </c>
      <c r="X1022">
        <v>0.91268130000000003</v>
      </c>
      <c r="Y1022">
        <v>0.58671609999999996</v>
      </c>
      <c r="Z1022">
        <v>6.1070779999999998E-2</v>
      </c>
      <c r="AA1022">
        <v>0.80748659999999906</v>
      </c>
      <c r="AB1022">
        <v>37</v>
      </c>
      <c r="AC1022">
        <v>0.14369999999996699</v>
      </c>
      <c r="AD1022">
        <v>-1.0901725721190001</v>
      </c>
      <c r="AE1022">
        <v>-10.223699999999999</v>
      </c>
      <c r="AF1022">
        <v>6.0900407740827101</v>
      </c>
      <c r="AG1022">
        <v>-1.0901725721190001</v>
      </c>
      <c r="AH1022">
        <v>8.0696386989361404</v>
      </c>
      <c r="AI1022">
        <v>96.154619924882795</v>
      </c>
      <c r="AJ1022">
        <v>52.958667820750499</v>
      </c>
      <c r="AK1022">
        <v>10.1683893315686</v>
      </c>
      <c r="AL1022">
        <v>84.567113267113498</v>
      </c>
      <c r="AM1022">
        <v>66.462627177586199</v>
      </c>
      <c r="AN1022">
        <v>0.99999997673640095</v>
      </c>
    </row>
    <row r="1023" spans="1:40" x14ac:dyDescent="0.25">
      <c r="A1023" t="str">
        <f>"20190312164453141"</f>
        <v>20190312164453141</v>
      </c>
      <c r="B1023" t="str">
        <f>"1552380293132889"</f>
        <v>1552380293132889</v>
      </c>
      <c r="C1023" t="s">
        <v>40</v>
      </c>
      <c r="D1023">
        <v>5.6879269999999904</v>
      </c>
      <c r="E1023">
        <v>0.59625969999999995</v>
      </c>
      <c r="F1023" t="s">
        <v>42</v>
      </c>
      <c r="G1023">
        <v>-191.37270000000001</v>
      </c>
      <c r="H1023" s="1">
        <v>-3.563837E-6</v>
      </c>
      <c r="I1023">
        <v>347.04509999999999</v>
      </c>
      <c r="J1023">
        <v>-191.47329999999999</v>
      </c>
      <c r="K1023">
        <v>1.090147</v>
      </c>
      <c r="L1023">
        <v>357.04930000000002</v>
      </c>
      <c r="M1023">
        <v>0.60467289999999996</v>
      </c>
      <c r="N1023">
        <v>0</v>
      </c>
      <c r="O1023">
        <v>-0.79629050000000001</v>
      </c>
      <c r="P1023">
        <v>0.2426161</v>
      </c>
      <c r="Q1023">
        <v>9.608688E-2</v>
      </c>
      <c r="R1023">
        <v>-0.96535249999999995</v>
      </c>
      <c r="S1023">
        <v>7.2204589999999999E-2</v>
      </c>
      <c r="T1023">
        <v>-0.33489560000000002</v>
      </c>
      <c r="U1023">
        <v>-3.1292110000000002</v>
      </c>
      <c r="V1023">
        <v>0.39511540000000001</v>
      </c>
      <c r="W1023">
        <v>9.4462309999999994E-2</v>
      </c>
      <c r="X1023">
        <v>0.91376179999999996</v>
      </c>
      <c r="Y1023">
        <v>0.58592080000000002</v>
      </c>
      <c r="Z1023">
        <v>6.3956070000000004E-2</v>
      </c>
      <c r="AA1023">
        <v>0.80784060000000002</v>
      </c>
      <c r="AB1023">
        <v>37</v>
      </c>
      <c r="AC1023">
        <v>0.10059999999998499</v>
      </c>
      <c r="AD1023">
        <v>-1.0901505638369999</v>
      </c>
      <c r="AE1023">
        <v>-10.004200000000001</v>
      </c>
      <c r="AF1023">
        <v>5.89998274246497</v>
      </c>
      <c r="AG1023">
        <v>-1.0901505638369999</v>
      </c>
      <c r="AH1023">
        <v>7.9340504037156396</v>
      </c>
      <c r="AI1023">
        <v>96.291876420110299</v>
      </c>
      <c r="AJ1023">
        <v>53.3644713689893</v>
      </c>
      <c r="AK1023">
        <v>9.9472297863233798</v>
      </c>
      <c r="AL1023">
        <v>84.579626547433605</v>
      </c>
      <c r="AM1023">
        <v>66.616091015200695</v>
      </c>
      <c r="AN1023">
        <v>0.99999996723346696</v>
      </c>
    </row>
    <row r="1024" spans="1:40" x14ac:dyDescent="0.25">
      <c r="A1024" t="str">
        <f>"20190312164453162"</f>
        <v>20190312164453162</v>
      </c>
      <c r="B1024" t="str">
        <f>"1552380293152411"</f>
        <v>1552380293152411</v>
      </c>
      <c r="C1024" t="s">
        <v>40</v>
      </c>
      <c r="D1024">
        <v>5.6827730000000001</v>
      </c>
      <c r="E1024">
        <v>0.59556100000000001</v>
      </c>
      <c r="F1024" t="s">
        <v>42</v>
      </c>
      <c r="G1024">
        <v>-191.321</v>
      </c>
      <c r="H1024" s="1">
        <v>-3.5275999999999999E-6</v>
      </c>
      <c r="I1024">
        <v>346.99270000000001</v>
      </c>
      <c r="J1024">
        <v>-191.27709999999999</v>
      </c>
      <c r="K1024">
        <v>1.0901209999999999</v>
      </c>
      <c r="L1024">
        <v>356.77690000000001</v>
      </c>
      <c r="M1024">
        <v>0.59147179999999999</v>
      </c>
      <c r="N1024">
        <v>0</v>
      </c>
      <c r="O1024">
        <v>-0.80614410000000003</v>
      </c>
      <c r="P1024">
        <v>0.23168920000000001</v>
      </c>
      <c r="Q1024">
        <v>9.5375520000000005E-2</v>
      </c>
      <c r="R1024">
        <v>-0.96810339999999995</v>
      </c>
      <c r="S1024">
        <v>4.7378539999999997E-2</v>
      </c>
      <c r="T1024">
        <v>-0.33924559999999998</v>
      </c>
      <c r="U1024">
        <v>-3.1295169999999999</v>
      </c>
      <c r="V1024">
        <v>0.3903993</v>
      </c>
      <c r="W1024">
        <v>9.3992350000000002E-2</v>
      </c>
      <c r="X1024">
        <v>0.91583499999999995</v>
      </c>
      <c r="Y1024">
        <v>0.57897200000000004</v>
      </c>
      <c r="Z1024">
        <v>6.6602980000000006E-2</v>
      </c>
      <c r="AA1024">
        <v>0.81262259999999997</v>
      </c>
      <c r="AB1024">
        <v>37</v>
      </c>
      <c r="AC1024">
        <v>-4.3900000000007801E-2</v>
      </c>
      <c r="AD1024">
        <v>-1.0901245276</v>
      </c>
      <c r="AE1024">
        <v>-9.7841999999999896</v>
      </c>
      <c r="AF1024">
        <v>5.7519194872551296</v>
      </c>
      <c r="AG1024">
        <v>-1.0901245276</v>
      </c>
      <c r="AH1024">
        <v>7.7662545805917196</v>
      </c>
      <c r="AI1024">
        <v>96.435689962890095</v>
      </c>
      <c r="AJ1024">
        <v>53.475249654619098</v>
      </c>
      <c r="AK1024">
        <v>9.7256187198605701</v>
      </c>
      <c r="AL1024">
        <v>84.606673581139503</v>
      </c>
      <c r="AM1024">
        <v>66.912568726774495</v>
      </c>
      <c r="AN1024">
        <v>0.99999996126200497</v>
      </c>
    </row>
    <row r="1025" spans="1:40" x14ac:dyDescent="0.25">
      <c r="A1025" t="str">
        <f>"20190312164453184"</f>
        <v>20190312164453184</v>
      </c>
      <c r="B1025" t="str">
        <f>"1552380293172903"</f>
        <v>1552380293172903</v>
      </c>
      <c r="C1025" t="s">
        <v>40</v>
      </c>
      <c r="D1025">
        <v>5.6578179999999998</v>
      </c>
      <c r="E1025">
        <v>0.59468840000000001</v>
      </c>
      <c r="F1025" t="s">
        <v>42</v>
      </c>
      <c r="G1025">
        <v>-191.2208</v>
      </c>
      <c r="H1025" s="1">
        <v>-3.484375E-6</v>
      </c>
      <c r="I1025">
        <v>346.95409999999998</v>
      </c>
      <c r="J1025">
        <v>-191.06030000000001</v>
      </c>
      <c r="K1025">
        <v>1.090082</v>
      </c>
      <c r="L1025">
        <v>356.46460000000002</v>
      </c>
      <c r="M1025">
        <v>0.57624449999999905</v>
      </c>
      <c r="N1025">
        <v>0</v>
      </c>
      <c r="O1025">
        <v>-0.81709739999999997</v>
      </c>
      <c r="P1025">
        <v>0.21908140000000001</v>
      </c>
      <c r="Q1025">
        <v>9.4600180000000006E-2</v>
      </c>
      <c r="R1025">
        <v>-0.97110969999999996</v>
      </c>
      <c r="S1025">
        <v>1.794434E-2</v>
      </c>
      <c r="T1025">
        <v>-0.34722609999999998</v>
      </c>
      <c r="U1025">
        <v>-3.1287539999999998</v>
      </c>
      <c r="V1025">
        <v>0.38513540000000002</v>
      </c>
      <c r="W1025">
        <v>9.3488180000000004E-2</v>
      </c>
      <c r="X1025">
        <v>0.91811259999999995</v>
      </c>
      <c r="Y1025">
        <v>0.57130119999999995</v>
      </c>
      <c r="Z1025">
        <v>7.0245790000000002E-2</v>
      </c>
      <c r="AA1025">
        <v>0.81772889999999998</v>
      </c>
      <c r="AB1025">
        <v>37</v>
      </c>
      <c r="AC1025">
        <v>-0.16049999999998399</v>
      </c>
      <c r="AD1025">
        <v>-1.0900854843750001</v>
      </c>
      <c r="AE1025">
        <v>-9.5105000000000306</v>
      </c>
      <c r="AF1025">
        <v>5.53958696318261</v>
      </c>
      <c r="AG1025">
        <v>-1.0900854843750001</v>
      </c>
      <c r="AH1025">
        <v>7.5800915286485404</v>
      </c>
      <c r="AI1025">
        <v>96.622844153494995</v>
      </c>
      <c r="AJ1025">
        <v>53.840389057255202</v>
      </c>
      <c r="AK1025">
        <v>9.4516187856153699</v>
      </c>
      <c r="AL1025">
        <v>84.635688532304201</v>
      </c>
      <c r="AM1025">
        <v>67.242631942187202</v>
      </c>
      <c r="AN1025">
        <v>1.0000000312058099</v>
      </c>
    </row>
    <row r="1026" spans="1:40" x14ac:dyDescent="0.25">
      <c r="A1026" t="str">
        <f>"20190312164453206"</f>
        <v>20190312164453206</v>
      </c>
      <c r="B1026" t="str">
        <f>"1552380293203159"</f>
        <v>1552380293203159</v>
      </c>
      <c r="C1026" t="s">
        <v>40</v>
      </c>
      <c r="D1026">
        <v>5.7923660000000003</v>
      </c>
      <c r="E1026">
        <v>0.59188249999999998</v>
      </c>
      <c r="F1026" t="s">
        <v>42</v>
      </c>
      <c r="G1026">
        <v>-191.11150000000001</v>
      </c>
      <c r="H1026" s="1">
        <v>-3.4111860000000001E-6</v>
      </c>
      <c r="I1026">
        <v>346.85129999999998</v>
      </c>
      <c r="J1026">
        <v>-190.8639</v>
      </c>
      <c r="K1026">
        <v>1.09005</v>
      </c>
      <c r="L1026">
        <v>356.17020000000002</v>
      </c>
      <c r="M1026">
        <v>0.56181809999999999</v>
      </c>
      <c r="N1026">
        <v>0</v>
      </c>
      <c r="O1026">
        <v>-0.8270824</v>
      </c>
      <c r="P1026">
        <v>0.2124578</v>
      </c>
      <c r="Q1026">
        <v>9.3567830000000005E-2</v>
      </c>
      <c r="R1026">
        <v>-0.97268060000000001</v>
      </c>
      <c r="S1026">
        <v>-1.6677859999999999E-2</v>
      </c>
      <c r="T1026">
        <v>-0.35464440000000003</v>
      </c>
      <c r="U1026">
        <v>-3.1275629999999999</v>
      </c>
      <c r="V1026">
        <v>0.37527240000000001</v>
      </c>
      <c r="W1026">
        <v>9.2965469999999994E-2</v>
      </c>
      <c r="X1026">
        <v>0.92224070000000002</v>
      </c>
      <c r="Y1026">
        <v>0.56594199999999995</v>
      </c>
      <c r="Z1026">
        <v>7.361587E-2</v>
      </c>
      <c r="AA1026">
        <v>0.82115179999999999</v>
      </c>
      <c r="AB1026">
        <v>37</v>
      </c>
      <c r="AC1026">
        <v>-0.24760000000000501</v>
      </c>
      <c r="AD1026">
        <v>-1.0900534111860001</v>
      </c>
      <c r="AE1026">
        <v>-9.3189000000000402</v>
      </c>
      <c r="AF1026">
        <v>5.3677230665435101</v>
      </c>
      <c r="AG1026">
        <v>-1.0900534111860001</v>
      </c>
      <c r="AH1026">
        <v>7.4674081563651296</v>
      </c>
      <c r="AI1026">
        <v>96.759721011302801</v>
      </c>
      <c r="AJ1026">
        <v>54.290660431795402</v>
      </c>
      <c r="AK1026">
        <v>9.2608235018323306</v>
      </c>
      <c r="AL1026">
        <v>84.665768073216995</v>
      </c>
      <c r="AM1026">
        <v>67.857917621082393</v>
      </c>
      <c r="AN1026">
        <v>0.99999993077528304</v>
      </c>
    </row>
    <row r="1027" spans="1:40" x14ac:dyDescent="0.25">
      <c r="A1027" t="str">
        <f>"20190312164453231"</f>
        <v>20190312164453231</v>
      </c>
      <c r="B1027" t="str">
        <f>"1552380293222680"</f>
        <v>1552380293222680</v>
      </c>
      <c r="C1027" t="s">
        <v>40</v>
      </c>
      <c r="D1027">
        <v>5.7374299999999998</v>
      </c>
      <c r="E1027">
        <v>0.56774089999999999</v>
      </c>
      <c r="F1027" t="s">
        <v>42</v>
      </c>
      <c r="G1027">
        <v>-190.92410000000001</v>
      </c>
      <c r="H1027" s="1">
        <v>-3.140269E-6</v>
      </c>
      <c r="I1027">
        <v>346.33600000000001</v>
      </c>
      <c r="J1027">
        <v>-190.6465</v>
      </c>
      <c r="K1027">
        <v>1.0900190000000001</v>
      </c>
      <c r="L1027">
        <v>355.83069999999998</v>
      </c>
      <c r="M1027">
        <v>0.54508049999999997</v>
      </c>
      <c r="N1027">
        <v>0</v>
      </c>
      <c r="O1027">
        <v>-0.83820689999999998</v>
      </c>
      <c r="P1027">
        <v>0.19745109999999999</v>
      </c>
      <c r="Q1027">
        <v>9.348658E-2</v>
      </c>
      <c r="R1027">
        <v>-0.97584530000000003</v>
      </c>
      <c r="S1027">
        <v>-1.9134519999999999E-2</v>
      </c>
      <c r="T1027">
        <v>-0.34602440000000001</v>
      </c>
      <c r="U1027">
        <v>-3.1217649999999999</v>
      </c>
      <c r="V1027">
        <v>0.37094199999999999</v>
      </c>
      <c r="W1027">
        <v>9.3113119999999994E-2</v>
      </c>
      <c r="X1027">
        <v>0.92397620000000003</v>
      </c>
      <c r="Y1027">
        <v>0.54997099999999999</v>
      </c>
      <c r="Z1027">
        <v>7.4404529999999997E-2</v>
      </c>
      <c r="AA1027">
        <v>0.83186280000000001</v>
      </c>
      <c r="AB1027">
        <v>37</v>
      </c>
      <c r="AC1027">
        <v>-0.27760000000000601</v>
      </c>
      <c r="AD1027">
        <v>-1.090022140269</v>
      </c>
      <c r="AE1027">
        <v>-9.4946999999999608</v>
      </c>
      <c r="AF1027">
        <v>5.3385628374466201</v>
      </c>
      <c r="AG1027">
        <v>-1.090022140269</v>
      </c>
      <c r="AH1027">
        <v>7.7068779559696603</v>
      </c>
      <c r="AI1027">
        <v>96.631737718278302</v>
      </c>
      <c r="AJ1027">
        <v>55.289611829281199</v>
      </c>
      <c r="AK1027">
        <v>9.4384516348738998</v>
      </c>
      <c r="AL1027">
        <v>84.657271970804501</v>
      </c>
      <c r="AM1027">
        <v>68.126378890305205</v>
      </c>
      <c r="AN1027">
        <v>1.0000000193232801</v>
      </c>
    </row>
    <row r="1028" spans="1:40" x14ac:dyDescent="0.25">
      <c r="A1028" t="str">
        <f>"20190312164453252"</f>
        <v>20190312164453252</v>
      </c>
      <c r="B1028" t="str">
        <f>"1552380293242199"</f>
        <v>1552380293242199</v>
      </c>
      <c r="C1028" t="s">
        <v>40</v>
      </c>
      <c r="D1028">
        <v>5.7993680000000003</v>
      </c>
      <c r="E1028">
        <v>0.56537309999999996</v>
      </c>
      <c r="F1028" t="s">
        <v>42</v>
      </c>
      <c r="G1028">
        <v>-190.17519999999999</v>
      </c>
      <c r="H1028" s="1">
        <v>-1.60341E-6</v>
      </c>
      <c r="I1028">
        <v>343.21800000000002</v>
      </c>
      <c r="J1028">
        <v>-190.44970000000001</v>
      </c>
      <c r="K1028">
        <v>1.089995</v>
      </c>
      <c r="L1028">
        <v>355.50869999999998</v>
      </c>
      <c r="M1028">
        <v>0.52913679999999996</v>
      </c>
      <c r="N1028">
        <v>0</v>
      </c>
      <c r="O1028">
        <v>-0.84836109999999898</v>
      </c>
      <c r="P1028">
        <v>0.18369669999999999</v>
      </c>
      <c r="Q1028">
        <v>9.2862799999999995E-2</v>
      </c>
      <c r="R1028">
        <v>-0.97858699999999998</v>
      </c>
      <c r="S1028">
        <v>0.11494450000000001</v>
      </c>
      <c r="T1028">
        <v>-0.26588070000000003</v>
      </c>
      <c r="U1028">
        <v>-3.076508</v>
      </c>
      <c r="V1028">
        <v>0.36648259999999999</v>
      </c>
      <c r="W1028">
        <v>9.2725230000000006E-2</v>
      </c>
      <c r="X1028">
        <v>0.92579290000000003</v>
      </c>
      <c r="Y1028">
        <v>0.49710680000000002</v>
      </c>
      <c r="Z1028">
        <v>6.0908619999999997E-2</v>
      </c>
      <c r="AA1028">
        <v>0.86554900000000001</v>
      </c>
      <c r="AB1028">
        <v>36</v>
      </c>
      <c r="AC1028">
        <v>0.27450000000001701</v>
      </c>
      <c r="AD1028">
        <v>-1.0899966034099999</v>
      </c>
      <c r="AE1028">
        <v>-12.2906999999999</v>
      </c>
      <c r="AF1028">
        <v>6.2226039110849101</v>
      </c>
      <c r="AG1028">
        <v>-1.0899966034099999</v>
      </c>
      <c r="AH1028">
        <v>10.491301170802201</v>
      </c>
      <c r="AI1028">
        <v>95.106361388484402</v>
      </c>
      <c r="AJ1028">
        <v>59.326959089341798</v>
      </c>
      <c r="AK1028">
        <v>12.2464808123057</v>
      </c>
      <c r="AL1028">
        <v>84.679592783939299</v>
      </c>
      <c r="AM1028">
        <v>68.403463740474095</v>
      </c>
      <c r="AN1028">
        <v>0.99999997903586102</v>
      </c>
    </row>
    <row r="1029" spans="1:40" x14ac:dyDescent="0.25">
      <c r="A1029" t="str">
        <f>"20190312164453274"</f>
        <v>20190312164453274</v>
      </c>
      <c r="B1029" t="str">
        <f>"1552380293262699"</f>
        <v>1552380293262699</v>
      </c>
      <c r="C1029" t="s">
        <v>40</v>
      </c>
      <c r="D1029">
        <v>5.7295790000000002</v>
      </c>
      <c r="E1029">
        <v>0.56425459999999905</v>
      </c>
      <c r="F1029" t="s">
        <v>42</v>
      </c>
      <c r="G1029">
        <v>-190.07660000000001</v>
      </c>
      <c r="H1029" s="1">
        <v>-1.4035399999999901E-6</v>
      </c>
      <c r="I1029">
        <v>342.81330000000003</v>
      </c>
      <c r="J1029">
        <v>-190.27379999999999</v>
      </c>
      <c r="K1029">
        <v>1.0899719999999999</v>
      </c>
      <c r="L1029">
        <v>355.20920000000001</v>
      </c>
      <c r="M1029">
        <v>0.51422619999999997</v>
      </c>
      <c r="N1029">
        <v>0</v>
      </c>
      <c r="O1029">
        <v>-0.85748029999999997</v>
      </c>
      <c r="P1029">
        <v>0.1713267</v>
      </c>
      <c r="Q1029">
        <v>9.2446819999999999E-2</v>
      </c>
      <c r="R1029">
        <v>-0.9808673</v>
      </c>
      <c r="S1029">
        <v>9.0332029999999994E-2</v>
      </c>
      <c r="T1029">
        <v>-0.26390249999999998</v>
      </c>
      <c r="U1029">
        <v>-3.0737299999999999</v>
      </c>
      <c r="V1029">
        <v>0.36198829999999999</v>
      </c>
      <c r="W1029">
        <v>9.2546710000000004E-2</v>
      </c>
      <c r="X1029">
        <v>0.92757730000000005</v>
      </c>
      <c r="Y1029">
        <v>0.48882310000000001</v>
      </c>
      <c r="Z1029">
        <v>6.1870649999999999E-2</v>
      </c>
      <c r="AA1029">
        <v>0.87018619999999902</v>
      </c>
      <c r="AB1029">
        <v>36</v>
      </c>
      <c r="AC1029">
        <v>0.19719999999998</v>
      </c>
      <c r="AD1029">
        <v>-1.0899734035399999</v>
      </c>
      <c r="AE1029">
        <v>-12.3958999999999</v>
      </c>
      <c r="AF1029">
        <v>6.15852527227816</v>
      </c>
      <c r="AG1029">
        <v>-1.0899734035399999</v>
      </c>
      <c r="AH1029">
        <v>10.649928435650001</v>
      </c>
      <c r="AI1029">
        <v>95.063106784895496</v>
      </c>
      <c r="AJ1029">
        <v>59.960528877185602</v>
      </c>
      <c r="AK1029">
        <v>12.350564814379201</v>
      </c>
      <c r="AL1029">
        <v>84.689865697468804</v>
      </c>
      <c r="AM1029">
        <v>68.6817170619763</v>
      </c>
      <c r="AN1029">
        <v>1.000000035172</v>
      </c>
    </row>
    <row r="1030" spans="1:40" x14ac:dyDescent="0.25">
      <c r="A1030" t="str">
        <f>"20190312164453298"</f>
        <v>20190312164453298</v>
      </c>
      <c r="B1030" t="str">
        <f>"1552380293292951"</f>
        <v>1552380293292951</v>
      </c>
      <c r="C1030" t="s">
        <v>40</v>
      </c>
      <c r="D1030">
        <v>5.6712490000000004</v>
      </c>
      <c r="E1030">
        <v>0.56332780000000005</v>
      </c>
      <c r="F1030" t="s">
        <v>42</v>
      </c>
      <c r="G1030">
        <v>-190.0249</v>
      </c>
      <c r="H1030" s="1">
        <v>-1.148718E-6</v>
      </c>
      <c r="I1030">
        <v>342.25139999999999</v>
      </c>
      <c r="J1030">
        <v>-190.0737</v>
      </c>
      <c r="K1030">
        <v>1.08996</v>
      </c>
      <c r="L1030">
        <v>354.8526</v>
      </c>
      <c r="M1030">
        <v>0.49639450000000002</v>
      </c>
      <c r="N1030">
        <v>0</v>
      </c>
      <c r="O1030">
        <v>-0.86792429999999998</v>
      </c>
      <c r="P1030">
        <v>0.15591350000000001</v>
      </c>
      <c r="Q1030">
        <v>9.3122510000000006E-2</v>
      </c>
      <c r="R1030">
        <v>-0.98337140000000001</v>
      </c>
      <c r="S1030">
        <v>5.9036249999999998E-2</v>
      </c>
      <c r="T1030">
        <v>-0.25845839999999998</v>
      </c>
      <c r="U1030">
        <v>-3.0726010000000001</v>
      </c>
      <c r="V1030">
        <v>0.35737029999999997</v>
      </c>
      <c r="W1030">
        <v>9.3467300000000003E-2</v>
      </c>
      <c r="X1030">
        <v>0.92927409999999999</v>
      </c>
      <c r="Y1030">
        <v>0.47962919999999998</v>
      </c>
      <c r="Z1030">
        <v>6.213693E-2</v>
      </c>
      <c r="AA1030">
        <v>0.87526839999999995</v>
      </c>
      <c r="AB1030">
        <v>36</v>
      </c>
      <c r="AC1030">
        <v>4.8799999999999899E-2</v>
      </c>
      <c r="AD1030">
        <v>-1.0899611487180001</v>
      </c>
      <c r="AE1030">
        <v>-12.6012</v>
      </c>
      <c r="AF1030">
        <v>6.1676002949511597</v>
      </c>
      <c r="AG1030">
        <v>-1.0899611487180001</v>
      </c>
      <c r="AH1030">
        <v>10.8813464213465</v>
      </c>
      <c r="AI1030">
        <v>94.9803499540796</v>
      </c>
      <c r="AJ1030">
        <v>60.4552236993962</v>
      </c>
      <c r="AK1030">
        <v>12.5551188224304</v>
      </c>
      <c r="AL1030">
        <v>84.636890016565403</v>
      </c>
      <c r="AM1030">
        <v>68.964788670038303</v>
      </c>
      <c r="AN1030">
        <v>1.00000001021109</v>
      </c>
    </row>
    <row r="1031" spans="1:40" x14ac:dyDescent="0.25">
      <c r="A1031" t="str">
        <f>"20190312164453320"</f>
        <v>20190312164453320</v>
      </c>
      <c r="B1031" t="str">
        <f>"1552380293312471"</f>
        <v>1552380293312471</v>
      </c>
      <c r="C1031" t="s">
        <v>40</v>
      </c>
      <c r="D1031">
        <v>6.1543559999999999</v>
      </c>
      <c r="E1031">
        <v>0.56233089999999997</v>
      </c>
      <c r="F1031" t="s">
        <v>42</v>
      </c>
      <c r="G1031">
        <v>-189.99770000000001</v>
      </c>
      <c r="H1031" s="1">
        <v>-8.7307999999999897E-7</v>
      </c>
      <c r="I1031">
        <v>341.62569999999999</v>
      </c>
      <c r="J1031">
        <v>-189.90880000000001</v>
      </c>
      <c r="K1031">
        <v>1.0899529999999999</v>
      </c>
      <c r="L1031">
        <v>354.54520000000002</v>
      </c>
      <c r="M1031">
        <v>0.48095480000000002</v>
      </c>
      <c r="N1031">
        <v>0</v>
      </c>
      <c r="O1031">
        <v>-0.87657419999999997</v>
      </c>
      <c r="P1031">
        <v>0.1426067</v>
      </c>
      <c r="Q1031">
        <v>9.3484239999999996E-2</v>
      </c>
      <c r="R1031">
        <v>-0.98535510000000004</v>
      </c>
      <c r="S1031">
        <v>1.7654420000000001E-2</v>
      </c>
      <c r="T1031">
        <v>-0.253135</v>
      </c>
      <c r="U1031">
        <v>-3.0718380000000001</v>
      </c>
      <c r="V1031">
        <v>0.35348210000000002</v>
      </c>
      <c r="W1031">
        <v>9.4034590000000001E-2</v>
      </c>
      <c r="X1031">
        <v>0.9307029</v>
      </c>
      <c r="Y1031">
        <v>0.47588839999999999</v>
      </c>
      <c r="Z1031">
        <v>6.2013070000000003E-2</v>
      </c>
      <c r="AA1031">
        <v>0.87731669999999995</v>
      </c>
      <c r="AB1031">
        <v>36</v>
      </c>
      <c r="AC1031">
        <v>-8.8899999999995302E-2</v>
      </c>
      <c r="AD1031">
        <v>-1.08995387308</v>
      </c>
      <c r="AE1031">
        <v>-12.919499999999999</v>
      </c>
      <c r="AF1031">
        <v>6.2480989526403699</v>
      </c>
      <c r="AG1031">
        <v>-1.08995387308</v>
      </c>
      <c r="AH1031">
        <v>11.204096164703101</v>
      </c>
      <c r="AI1031">
        <v>94.856383447528302</v>
      </c>
      <c r="AJ1031">
        <v>60.853251632580601</v>
      </c>
      <c r="AK1031">
        <v>12.874723718796499</v>
      </c>
      <c r="AL1031">
        <v>84.604242815520607</v>
      </c>
      <c r="AM1031">
        <v>69.203161638885504</v>
      </c>
      <c r="AN1031">
        <v>0.99999999360264402</v>
      </c>
    </row>
    <row r="1032" spans="1:40" x14ac:dyDescent="0.25">
      <c r="A1032" t="str">
        <f>"20190312164453341"</f>
        <v>20190312164453341</v>
      </c>
      <c r="B1032" t="str">
        <f>"1552380293332967"</f>
        <v>1552380293332967</v>
      </c>
      <c r="C1032" t="s">
        <v>40</v>
      </c>
      <c r="D1032">
        <v>7.9900080000000004</v>
      </c>
      <c r="E1032">
        <v>0.56111140000000004</v>
      </c>
      <c r="F1032" t="s">
        <v>42</v>
      </c>
      <c r="G1032">
        <v>-189.9658</v>
      </c>
      <c r="H1032" s="1">
        <v>-9.4995660000000002E-7</v>
      </c>
      <c r="I1032">
        <v>341.82470000000001</v>
      </c>
      <c r="J1032">
        <v>-189.74379999999999</v>
      </c>
      <c r="K1032">
        <v>1.0899449999999999</v>
      </c>
      <c r="L1032">
        <v>354.22390000000001</v>
      </c>
      <c r="M1032">
        <v>0.46475509999999898</v>
      </c>
      <c r="N1032">
        <v>0</v>
      </c>
      <c r="O1032">
        <v>-0.88526919999999898</v>
      </c>
      <c r="P1032">
        <v>0.12881419999999999</v>
      </c>
      <c r="Q1032">
        <v>9.3205499999999997E-2</v>
      </c>
      <c r="R1032">
        <v>-0.98727920000000002</v>
      </c>
      <c r="S1032">
        <v>-1.376343E-2</v>
      </c>
      <c r="T1032">
        <v>-0.26319019999999999</v>
      </c>
      <c r="U1032">
        <v>-3.0715940000000002</v>
      </c>
      <c r="V1032">
        <v>0.34938029999999998</v>
      </c>
      <c r="W1032">
        <v>9.3972410000000006E-2</v>
      </c>
      <c r="X1032">
        <v>0.93225670000000005</v>
      </c>
      <c r="Y1032">
        <v>0.46867180000000003</v>
      </c>
      <c r="Z1032">
        <v>6.5729629999999997E-2</v>
      </c>
      <c r="AA1032">
        <v>0.88092359999999903</v>
      </c>
      <c r="AB1032">
        <v>36</v>
      </c>
      <c r="AC1032">
        <v>-0.222000000000008</v>
      </c>
      <c r="AD1032">
        <v>-1.0899459499566</v>
      </c>
      <c r="AE1032">
        <v>-12.3992</v>
      </c>
      <c r="AF1032">
        <v>5.91433204029578</v>
      </c>
      <c r="AG1032">
        <v>-1.0899459499566</v>
      </c>
      <c r="AH1032">
        <v>10.7917286149071</v>
      </c>
      <c r="AI1032">
        <v>95.061444466602495</v>
      </c>
      <c r="AJ1032">
        <v>61.275361105050997</v>
      </c>
      <c r="AK1032">
        <v>12.354299338873901</v>
      </c>
      <c r="AL1032">
        <v>84.607821246547104</v>
      </c>
      <c r="AM1032">
        <v>69.455592172073096</v>
      </c>
      <c r="AN1032">
        <v>0.999999981282093</v>
      </c>
    </row>
    <row r="1033" spans="1:40" x14ac:dyDescent="0.25">
      <c r="A1033" t="str">
        <f>"20190312164453365"</f>
        <v>20190312164453365</v>
      </c>
      <c r="B1033" t="str">
        <f>"1552380293352488"</f>
        <v>1552380293352488</v>
      </c>
      <c r="C1033" t="s">
        <v>40</v>
      </c>
      <c r="D1033">
        <v>5.9337220000000004</v>
      </c>
      <c r="E1033">
        <v>0.56026390000000004</v>
      </c>
      <c r="F1033" t="s">
        <v>42</v>
      </c>
      <c r="G1033">
        <v>-189.93819999999999</v>
      </c>
      <c r="H1033" s="1">
        <v>-8.6383480000000002E-7</v>
      </c>
      <c r="I1033">
        <v>341.62090000000001</v>
      </c>
      <c r="J1033">
        <v>-189.57660000000001</v>
      </c>
      <c r="K1033">
        <v>1.089931</v>
      </c>
      <c r="L1033">
        <v>353.88290000000001</v>
      </c>
      <c r="M1033">
        <v>0.44748830000000001</v>
      </c>
      <c r="N1033">
        <v>0</v>
      </c>
      <c r="O1033">
        <v>-0.894121099999999</v>
      </c>
      <c r="P1033">
        <v>0.1151635</v>
      </c>
      <c r="Q1033">
        <v>9.196261E-2</v>
      </c>
      <c r="R1033">
        <v>-0.98908059999999998</v>
      </c>
      <c r="S1033">
        <v>-4.7363280000000001E-2</v>
      </c>
      <c r="T1033">
        <v>-0.26548899999999998</v>
      </c>
      <c r="U1033">
        <v>-3.069855</v>
      </c>
      <c r="V1033">
        <v>0.34415879999999999</v>
      </c>
      <c r="W1033">
        <v>9.3003450000000001E-2</v>
      </c>
      <c r="X1033">
        <v>0.93429390000000001</v>
      </c>
      <c r="Y1033">
        <v>0.4611596</v>
      </c>
      <c r="Z1033">
        <v>6.7634929999999996E-2</v>
      </c>
      <c r="AA1033">
        <v>0.88473570000000001</v>
      </c>
      <c r="AB1033">
        <v>36</v>
      </c>
      <c r="AC1033">
        <v>-0.36159999999998099</v>
      </c>
      <c r="AD1033">
        <v>-1.0899318638347999</v>
      </c>
      <c r="AE1033">
        <v>-12.262</v>
      </c>
      <c r="AF1033">
        <v>5.76577716945528</v>
      </c>
      <c r="AG1033">
        <v>-1.0899318638347999</v>
      </c>
      <c r="AH1033">
        <v>10.7189154861503</v>
      </c>
      <c r="AI1033">
        <v>95.117170752556802</v>
      </c>
      <c r="AJ1033">
        <v>61.723891452292797</v>
      </c>
      <c r="AK1033">
        <v>12.2199544612427</v>
      </c>
      <c r="AL1033">
        <v>84.663582915561193</v>
      </c>
      <c r="AM1033">
        <v>69.778096485686405</v>
      </c>
      <c r="AN1033">
        <v>1.0000000064532699</v>
      </c>
    </row>
    <row r="1034" spans="1:40" x14ac:dyDescent="0.25">
      <c r="A1034" t="str">
        <f>"20190312164453388"</f>
        <v>20190312164453388</v>
      </c>
      <c r="B1034" t="str">
        <f>"1552380293382743"</f>
        <v>1552380293382743</v>
      </c>
      <c r="C1034" t="s">
        <v>40</v>
      </c>
      <c r="D1034">
        <v>6.0078649999999998</v>
      </c>
      <c r="E1034">
        <v>0.55913290000000004</v>
      </c>
      <c r="F1034" t="s">
        <v>42</v>
      </c>
      <c r="G1034">
        <v>-189.92009999999999</v>
      </c>
      <c r="H1034" s="1">
        <v>-7.8525120000000003E-7</v>
      </c>
      <c r="I1034">
        <v>341.43020000000001</v>
      </c>
      <c r="J1034">
        <v>-189.41569999999999</v>
      </c>
      <c r="K1034">
        <v>1.089912</v>
      </c>
      <c r="L1034">
        <v>353.5378</v>
      </c>
      <c r="M1034">
        <v>0.42995139999999998</v>
      </c>
      <c r="N1034">
        <v>0</v>
      </c>
      <c r="O1034">
        <v>-0.90268459999999995</v>
      </c>
      <c r="P1034">
        <v>0.1007583</v>
      </c>
      <c r="Q1034">
        <v>9.0400159999999993E-2</v>
      </c>
      <c r="R1034">
        <v>-0.9907956</v>
      </c>
      <c r="S1034">
        <v>-8.4609989999999996E-2</v>
      </c>
      <c r="T1034">
        <v>-0.2685205</v>
      </c>
      <c r="U1034">
        <v>-3.0679020000000001</v>
      </c>
      <c r="V1034">
        <v>0.33950659999999999</v>
      </c>
      <c r="W1034">
        <v>9.1686359999999995E-2</v>
      </c>
      <c r="X1034">
        <v>0.93612439999999997</v>
      </c>
      <c r="Y1034">
        <v>0.4545747</v>
      </c>
      <c r="Z1034">
        <v>6.9692749999999998E-2</v>
      </c>
      <c r="AA1034">
        <v>0.88797789999999999</v>
      </c>
      <c r="AB1034">
        <v>36</v>
      </c>
      <c r="AC1034">
        <v>-0.50440000000000396</v>
      </c>
      <c r="AD1034">
        <v>-1.0899127852511901</v>
      </c>
      <c r="AE1034">
        <v>-12.1075999999999</v>
      </c>
      <c r="AF1034">
        <v>5.6164163285003603</v>
      </c>
      <c r="AG1034">
        <v>-1.0899127852511901</v>
      </c>
      <c r="AH1034">
        <v>10.6281214456342</v>
      </c>
      <c r="AI1034">
        <v>95.180753707776205</v>
      </c>
      <c r="AJ1034">
        <v>62.145848495990897</v>
      </c>
      <c r="AK1034">
        <v>12.070170161089299</v>
      </c>
      <c r="AL1034">
        <v>84.739370451487602</v>
      </c>
      <c r="AM1034">
        <v>70.065682942890902</v>
      </c>
      <c r="AN1034">
        <v>1.00000000616448</v>
      </c>
    </row>
    <row r="1035" spans="1:40" x14ac:dyDescent="0.25">
      <c r="A1035" t="str">
        <f>"20190312164453410"</f>
        <v>20190312164453410</v>
      </c>
      <c r="B1035" t="str">
        <f>"1552380293402264"</f>
        <v>1552380293402264</v>
      </c>
      <c r="C1035" t="s">
        <v>40</v>
      </c>
      <c r="D1035">
        <v>5.9037449999999998</v>
      </c>
      <c r="E1035">
        <v>0.55822479999999997</v>
      </c>
      <c r="F1035" t="s">
        <v>42</v>
      </c>
      <c r="G1035">
        <v>-189.8981</v>
      </c>
      <c r="H1035" s="1">
        <v>-7.319147E-7</v>
      </c>
      <c r="I1035">
        <v>341.29680000000002</v>
      </c>
      <c r="J1035">
        <v>-189.26949999999999</v>
      </c>
      <c r="K1035">
        <v>1.0899019999999999</v>
      </c>
      <c r="L1035">
        <v>353.20690000000002</v>
      </c>
      <c r="M1035">
        <v>0.41308220000000001</v>
      </c>
      <c r="N1035">
        <v>0</v>
      </c>
      <c r="O1035">
        <v>-0.91052759999999999</v>
      </c>
      <c r="P1035">
        <v>8.7140579999999995E-2</v>
      </c>
      <c r="Q1035">
        <v>8.9783500000000002E-2</v>
      </c>
      <c r="R1035">
        <v>-0.99214230000000003</v>
      </c>
      <c r="S1035">
        <v>-0.1207733</v>
      </c>
      <c r="T1035">
        <v>-0.27290679999999901</v>
      </c>
      <c r="U1035">
        <v>-3.0650629999999999</v>
      </c>
      <c r="V1035">
        <v>0.3349377</v>
      </c>
      <c r="W1035">
        <v>9.1308390000000003E-2</v>
      </c>
      <c r="X1035">
        <v>0.93780569999999996</v>
      </c>
      <c r="Y1035">
        <v>0.44847769999999998</v>
      </c>
      <c r="Z1035">
        <v>7.2045419999999999E-2</v>
      </c>
      <c r="AA1035">
        <v>0.8908857</v>
      </c>
      <c r="AB1035">
        <v>36</v>
      </c>
      <c r="AC1035">
        <v>-0.62860000000000504</v>
      </c>
      <c r="AD1035">
        <v>-1.0899027319146899</v>
      </c>
      <c r="AE1035">
        <v>-11.9101</v>
      </c>
      <c r="AF1035">
        <v>5.4475468159069296</v>
      </c>
      <c r="AG1035">
        <v>-1.0899027319146899</v>
      </c>
      <c r="AH1035">
        <v>10.4987384867585</v>
      </c>
      <c r="AI1035">
        <v>95.264752237262897</v>
      </c>
      <c r="AJ1035">
        <v>62.576270194086099</v>
      </c>
      <c r="AK1035">
        <v>11.878011790273501</v>
      </c>
      <c r="AL1035">
        <v>84.761117769752602</v>
      </c>
      <c r="AM1035">
        <v>70.345791621284107</v>
      </c>
      <c r="AN1035">
        <v>1.0000000079590801</v>
      </c>
    </row>
    <row r="1036" spans="1:40" x14ac:dyDescent="0.25">
      <c r="A1036" t="str">
        <f>"20190312164453433"</f>
        <v>20190312164453433</v>
      </c>
      <c r="B1036" t="str">
        <f>"1552380293422760"</f>
        <v>1552380293422760</v>
      </c>
      <c r="C1036" t="s">
        <v>40</v>
      </c>
      <c r="D1036">
        <v>5.6221489999999896</v>
      </c>
      <c r="E1036">
        <v>0.55728359999999899</v>
      </c>
      <c r="F1036" t="s">
        <v>42</v>
      </c>
      <c r="G1036">
        <v>-189.88669999999999</v>
      </c>
      <c r="H1036" s="1">
        <v>-6.07469E-7</v>
      </c>
      <c r="I1036">
        <v>341.00199999999899</v>
      </c>
      <c r="J1036">
        <v>-189.12610000000001</v>
      </c>
      <c r="K1036">
        <v>1.089901</v>
      </c>
      <c r="L1036">
        <v>352.86430000000001</v>
      </c>
      <c r="M1036">
        <v>0.39555849999999998</v>
      </c>
      <c r="N1036">
        <v>0</v>
      </c>
      <c r="O1036">
        <v>-0.91827570000000003</v>
      </c>
      <c r="P1036">
        <v>7.3109080000000007E-2</v>
      </c>
      <c r="Q1036">
        <v>8.9337109999999997E-2</v>
      </c>
      <c r="R1036">
        <v>-0.99331469999999999</v>
      </c>
      <c r="S1036">
        <v>-0.15484619999999999</v>
      </c>
      <c r="T1036">
        <v>-0.27344810000000003</v>
      </c>
      <c r="U1036">
        <v>-3.0621339999999999</v>
      </c>
      <c r="V1036">
        <v>0.33021200000000001</v>
      </c>
      <c r="W1036">
        <v>9.1108949999999994E-2</v>
      </c>
      <c r="X1036">
        <v>0.93949939999999998</v>
      </c>
      <c r="Y1036">
        <v>0.44126549999999998</v>
      </c>
      <c r="Z1036">
        <v>7.3424799999999998E-2</v>
      </c>
      <c r="AA1036">
        <v>0.89436769999999999</v>
      </c>
      <c r="AB1036">
        <v>36</v>
      </c>
      <c r="AC1036">
        <v>-0.76059999999998196</v>
      </c>
      <c r="AD1036">
        <v>-1.089901607469</v>
      </c>
      <c r="AE1036">
        <v>-11.862299999999999</v>
      </c>
      <c r="AF1036">
        <v>5.3465417216171902</v>
      </c>
      <c r="AG1036">
        <v>-1.089901607469</v>
      </c>
      <c r="AH1036">
        <v>10.5052854556703</v>
      </c>
      <c r="AI1036">
        <v>95.282664201282103</v>
      </c>
      <c r="AJ1036">
        <v>63.026715563193001</v>
      </c>
      <c r="AK1036">
        <v>11.8378383330773</v>
      </c>
      <c r="AL1036">
        <v>84.772592439989893</v>
      </c>
      <c r="AM1036">
        <v>70.634621375092095</v>
      </c>
      <c r="AN1036">
        <v>0.99999996415723003</v>
      </c>
    </row>
    <row r="1037" spans="1:40" x14ac:dyDescent="0.25">
      <c r="A1037" t="str">
        <f>"20190312164453456"</f>
        <v>20190312164453456</v>
      </c>
      <c r="B1037" t="str">
        <f>"1552380293453016"</f>
        <v>1552380293453016</v>
      </c>
      <c r="C1037" t="s">
        <v>40</v>
      </c>
      <c r="D1037">
        <v>5.6265510000000001</v>
      </c>
      <c r="E1037">
        <v>0.55656629999999996</v>
      </c>
      <c r="F1037" t="s">
        <v>42</v>
      </c>
      <c r="G1037">
        <v>-189.8853</v>
      </c>
      <c r="H1037" s="1">
        <v>-4.782241E-7</v>
      </c>
      <c r="I1037">
        <v>340.70010000000002</v>
      </c>
      <c r="J1037">
        <v>-188.98269999999999</v>
      </c>
      <c r="K1037">
        <v>1.089893</v>
      </c>
      <c r="L1037">
        <v>352.50170000000003</v>
      </c>
      <c r="M1037">
        <v>0.37694559999999999</v>
      </c>
      <c r="N1037">
        <v>0</v>
      </c>
      <c r="O1037">
        <v>-0.92607159999999999</v>
      </c>
      <c r="P1037">
        <v>5.8755439999999999E-2</v>
      </c>
      <c r="Q1037">
        <v>8.7874720000000003E-2</v>
      </c>
      <c r="R1037">
        <v>-0.99439750000000005</v>
      </c>
      <c r="S1037">
        <v>-0.190918</v>
      </c>
      <c r="T1037">
        <v>-0.27407209999999899</v>
      </c>
      <c r="U1037">
        <v>-3.0588679999999999</v>
      </c>
      <c r="V1037">
        <v>0.32479609999999998</v>
      </c>
      <c r="W1037">
        <v>8.9928400000000006E-2</v>
      </c>
      <c r="X1037">
        <v>0.94149910000000003</v>
      </c>
      <c r="Y1037">
        <v>0.4337027</v>
      </c>
      <c r="Z1037">
        <v>7.4847559999999994E-2</v>
      </c>
      <c r="AA1037">
        <v>0.89794200000000002</v>
      </c>
      <c r="AB1037">
        <v>36</v>
      </c>
      <c r="AC1037">
        <v>-0.90260000000000595</v>
      </c>
      <c r="AD1037">
        <v>-1.0898934782241001</v>
      </c>
      <c r="AE1037">
        <v>-11.801600000000001</v>
      </c>
      <c r="AF1037">
        <v>5.2407976488663897</v>
      </c>
      <c r="AG1037">
        <v>-1.0898934782241001</v>
      </c>
      <c r="AH1037">
        <v>10.501458570514</v>
      </c>
      <c r="AI1037">
        <v>95.305453411304299</v>
      </c>
      <c r="AJ1037">
        <v>63.478314691263201</v>
      </c>
      <c r="AK1037">
        <v>11.7870462754017</v>
      </c>
      <c r="AL1037">
        <v>84.840512452873497</v>
      </c>
      <c r="AM1037">
        <v>70.966712562763107</v>
      </c>
      <c r="AN1037">
        <v>1.0000000895012799</v>
      </c>
    </row>
    <row r="1038" spans="1:40" x14ac:dyDescent="0.25">
      <c r="A1038" t="str">
        <f>"20190312164453480"</f>
        <v>20190312164453480</v>
      </c>
      <c r="B1038" t="str">
        <f>"1552380293472536"</f>
        <v>1552380293472536</v>
      </c>
      <c r="C1038" t="s">
        <v>40</v>
      </c>
      <c r="D1038">
        <v>5.5605699999999896</v>
      </c>
      <c r="E1038">
        <v>0.55641319999999905</v>
      </c>
      <c r="F1038" t="s">
        <v>42</v>
      </c>
      <c r="G1038">
        <v>-189.88470000000001</v>
      </c>
      <c r="H1038" s="1">
        <v>-4.0635510000000001E-7</v>
      </c>
      <c r="I1038">
        <v>340.53230000000002</v>
      </c>
      <c r="J1038">
        <v>-188.85319999999999</v>
      </c>
      <c r="K1038">
        <v>1.089882</v>
      </c>
      <c r="L1038">
        <v>352.15460000000002</v>
      </c>
      <c r="M1038">
        <v>0.35907250000000002</v>
      </c>
      <c r="N1038">
        <v>0</v>
      </c>
      <c r="O1038">
        <v>-0.9331469</v>
      </c>
      <c r="P1038">
        <v>4.488147E-2</v>
      </c>
      <c r="Q1038">
        <v>8.5041729999999996E-2</v>
      </c>
      <c r="R1038">
        <v>-0.99536619999999998</v>
      </c>
      <c r="S1038">
        <v>-0.2302399</v>
      </c>
      <c r="T1038">
        <v>-0.27818739999999997</v>
      </c>
      <c r="U1038">
        <v>-3.0550839999999999</v>
      </c>
      <c r="V1038">
        <v>0.31978139999999999</v>
      </c>
      <c r="W1038">
        <v>8.7357439999999995E-2</v>
      </c>
      <c r="X1038">
        <v>0.94345559999999995</v>
      </c>
      <c r="Y1038">
        <v>0.42793599999999998</v>
      </c>
      <c r="Z1038">
        <v>7.710533E-2</v>
      </c>
      <c r="AA1038">
        <v>0.90051409999999998</v>
      </c>
      <c r="AB1038">
        <v>36</v>
      </c>
      <c r="AC1038">
        <v>-1.0315000000000201</v>
      </c>
      <c r="AD1038">
        <v>-1.0898824063551</v>
      </c>
      <c r="AE1038">
        <v>-11.6222999999999</v>
      </c>
      <c r="AF1038">
        <v>5.0921405042412102</v>
      </c>
      <c r="AG1038">
        <v>-1.0898824063551</v>
      </c>
      <c r="AH1038">
        <v>10.3859039794366</v>
      </c>
      <c r="AI1038">
        <v>95.382684882633299</v>
      </c>
      <c r="AJ1038">
        <v>63.881590266899799</v>
      </c>
      <c r="AK1038">
        <v>11.618293336144299</v>
      </c>
      <c r="AL1038">
        <v>84.988399189712297</v>
      </c>
      <c r="AM1038">
        <v>71.276067311854504</v>
      </c>
      <c r="AN1038">
        <v>0.99999996764033605</v>
      </c>
    </row>
    <row r="1039" spans="1:40" x14ac:dyDescent="0.25">
      <c r="A1039" t="str">
        <f>"20190312164453499"</f>
        <v>20190312164453499</v>
      </c>
      <c r="B1039" t="str">
        <f>"1552380293492056"</f>
        <v>1552380293492056</v>
      </c>
      <c r="C1039" t="s">
        <v>40</v>
      </c>
      <c r="D1039">
        <v>5.5710550000000003</v>
      </c>
      <c r="E1039">
        <v>0.55608419999999903</v>
      </c>
      <c r="F1039" t="s">
        <v>42</v>
      </c>
      <c r="G1039">
        <v>-189.874</v>
      </c>
      <c r="H1039" s="1">
        <v>-4.6713999999999999E-7</v>
      </c>
      <c r="I1039">
        <v>340.6696</v>
      </c>
      <c r="J1039">
        <v>-188.7457</v>
      </c>
      <c r="K1039">
        <v>1.0898749999999999</v>
      </c>
      <c r="L1039">
        <v>351.84989999999999</v>
      </c>
      <c r="M1039">
        <v>0.3433389</v>
      </c>
      <c r="N1039">
        <v>0</v>
      </c>
      <c r="O1039">
        <v>-0.93904989999999999</v>
      </c>
      <c r="P1039">
        <v>3.3935060000000003E-2</v>
      </c>
      <c r="Q1039">
        <v>8.2067500000000002E-2</v>
      </c>
      <c r="R1039">
        <v>-0.99604930000000003</v>
      </c>
      <c r="S1039">
        <v>-0.27117920000000001</v>
      </c>
      <c r="T1039">
        <v>-0.28952169999999999</v>
      </c>
      <c r="U1039">
        <v>-3.0509339999999998</v>
      </c>
      <c r="V1039">
        <v>0.31424279999999999</v>
      </c>
      <c r="W1039">
        <v>8.4669499999999995E-2</v>
      </c>
      <c r="X1039">
        <v>0.94555940000000005</v>
      </c>
      <c r="Y1039">
        <v>0.4248094</v>
      </c>
      <c r="Z1039">
        <v>8.1186419999999995E-2</v>
      </c>
      <c r="AA1039">
        <v>0.90163510000000002</v>
      </c>
      <c r="AB1039">
        <v>36</v>
      </c>
      <c r="AC1039">
        <v>-1.1283000000000201</v>
      </c>
      <c r="AD1039">
        <v>-1.0898754671399999</v>
      </c>
      <c r="AE1039">
        <v>-11.1802999999999</v>
      </c>
      <c r="AF1039">
        <v>4.8532518136124603</v>
      </c>
      <c r="AG1039">
        <v>-1.0898754671399999</v>
      </c>
      <c r="AH1039">
        <v>10.0187606276123</v>
      </c>
      <c r="AI1039">
        <v>95.591523516128007</v>
      </c>
      <c r="AJ1039">
        <v>64.153691857807502</v>
      </c>
      <c r="AK1039">
        <v>11.185591008686201</v>
      </c>
      <c r="AL1039">
        <v>85.142979995745605</v>
      </c>
      <c r="AM1039">
        <v>71.616529556940705</v>
      </c>
      <c r="AN1039">
        <v>1.0000000202552199</v>
      </c>
    </row>
    <row r="1040" spans="1:40" x14ac:dyDescent="0.25">
      <c r="A1040" t="str">
        <f>"20190312164453521"</f>
        <v>20190312164453521</v>
      </c>
      <c r="B1040" t="str">
        <f>"1552380293512552"</f>
        <v>1552380293512552</v>
      </c>
      <c r="C1040" t="s">
        <v>40</v>
      </c>
      <c r="D1040">
        <v>5.7483579999999996</v>
      </c>
      <c r="E1040">
        <v>0.55565739999999997</v>
      </c>
      <c r="F1040" t="s">
        <v>42</v>
      </c>
      <c r="G1040">
        <v>-189.8287</v>
      </c>
      <c r="H1040" s="1">
        <v>-5.4754839999999997E-7</v>
      </c>
      <c r="I1040">
        <v>340.8383</v>
      </c>
      <c r="J1040">
        <v>-188.6335</v>
      </c>
      <c r="K1040">
        <v>1.0898650000000001</v>
      </c>
      <c r="L1040">
        <v>351.51249999999999</v>
      </c>
      <c r="M1040">
        <v>0.32587129999999997</v>
      </c>
      <c r="N1040">
        <v>0</v>
      </c>
      <c r="O1040">
        <v>-0.94525309999999996</v>
      </c>
      <c r="P1040">
        <v>2.1728419999999998E-2</v>
      </c>
      <c r="Q1040">
        <v>7.9861940000000006E-2</v>
      </c>
      <c r="R1040">
        <v>-0.99656889999999998</v>
      </c>
      <c r="S1040">
        <v>-0.29966739999999997</v>
      </c>
      <c r="T1040">
        <v>-0.30157659999999997</v>
      </c>
      <c r="U1040">
        <v>-3.0469970000000002</v>
      </c>
      <c r="V1040">
        <v>0.308249</v>
      </c>
      <c r="W1040">
        <v>8.2773600000000003E-2</v>
      </c>
      <c r="X1040">
        <v>0.94769780000000003</v>
      </c>
      <c r="Y1040">
        <v>0.41643469999999999</v>
      </c>
      <c r="Z1040">
        <v>8.5713510000000007E-2</v>
      </c>
      <c r="AA1040">
        <v>0.90511620000000004</v>
      </c>
      <c r="AB1040">
        <v>36</v>
      </c>
      <c r="AC1040">
        <v>-1.19519999999999</v>
      </c>
      <c r="AD1040">
        <v>-1.08986554754839</v>
      </c>
      <c r="AE1040">
        <v>-10.6741999999999</v>
      </c>
      <c r="AF1040">
        <v>4.5619146389402401</v>
      </c>
      <c r="AG1040">
        <v>-1.08986554754839</v>
      </c>
      <c r="AH1040">
        <v>9.6029454352741297</v>
      </c>
      <c r="AI1040">
        <v>95.853138540656303</v>
      </c>
      <c r="AJ1040">
        <v>64.589772153160894</v>
      </c>
      <c r="AK1040">
        <v>10.687162070332899</v>
      </c>
      <c r="AL1040">
        <v>85.251989778371197</v>
      </c>
      <c r="AM1040">
        <v>71.982321204041995</v>
      </c>
      <c r="AN1040">
        <v>1.0000000174913899</v>
      </c>
    </row>
    <row r="1041" spans="1:40" x14ac:dyDescent="0.25">
      <c r="A1041" t="str">
        <f>"20190312164453542"</f>
        <v>20190312164453542</v>
      </c>
      <c r="B1041" t="str">
        <f>"1552380293532084"</f>
        <v>1552380293532084</v>
      </c>
      <c r="C1041" t="s">
        <v>40</v>
      </c>
      <c r="D1041">
        <v>5.7068789999999998</v>
      </c>
      <c r="E1041">
        <v>0.55497469999999904</v>
      </c>
      <c r="F1041" t="s">
        <v>42</v>
      </c>
      <c r="G1041">
        <v>-189.81309999999999</v>
      </c>
      <c r="H1041" s="1">
        <v>-5.1356179999999997E-7</v>
      </c>
      <c r="I1041">
        <v>340.75259999999997</v>
      </c>
      <c r="J1041">
        <v>-188.52889999999999</v>
      </c>
      <c r="K1041">
        <v>1.0898669999999999</v>
      </c>
      <c r="L1041">
        <v>351.17750000000001</v>
      </c>
      <c r="M1041">
        <v>0.3084848</v>
      </c>
      <c r="N1041">
        <v>0</v>
      </c>
      <c r="O1041">
        <v>-0.95106939999999995</v>
      </c>
      <c r="P1041">
        <v>9.4960159999999995E-3</v>
      </c>
      <c r="Q1041">
        <v>7.8411499999999995E-2</v>
      </c>
      <c r="R1041">
        <v>-0.99687610000000004</v>
      </c>
      <c r="S1041">
        <v>-0.33352659999999901</v>
      </c>
      <c r="T1041">
        <v>-0.30815009999999998</v>
      </c>
      <c r="U1041">
        <v>-3.0422669999999998</v>
      </c>
      <c r="V1041">
        <v>0.30246420000000002</v>
      </c>
      <c r="W1041">
        <v>8.1621650000000004E-2</v>
      </c>
      <c r="X1041">
        <v>0.94965960000000005</v>
      </c>
      <c r="Y1041">
        <v>0.40983540000000002</v>
      </c>
      <c r="Z1041">
        <v>8.8676060000000001E-2</v>
      </c>
      <c r="AA1041">
        <v>0.9078389</v>
      </c>
      <c r="AB1041">
        <v>35</v>
      </c>
      <c r="AC1041">
        <v>-1.28419999999999</v>
      </c>
      <c r="AD1041">
        <v>-1.0898675135617999</v>
      </c>
      <c r="AE1041">
        <v>-10.424899999999999</v>
      </c>
      <c r="AF1041">
        <v>4.3906903225073304</v>
      </c>
      <c r="AG1041">
        <v>-1.0898675135617999</v>
      </c>
      <c r="AH1041">
        <v>9.4186913641496002</v>
      </c>
      <c r="AI1041">
        <v>95.987147852214406</v>
      </c>
      <c r="AJ1041">
        <v>65.006583959915204</v>
      </c>
      <c r="AK1041">
        <v>10.448814273322199</v>
      </c>
      <c r="AL1041">
        <v>85.318215775834105</v>
      </c>
      <c r="AM1041">
        <v>72.333453309568498</v>
      </c>
      <c r="AN1041">
        <v>1.0000000209512601</v>
      </c>
    </row>
    <row r="1042" spans="1:40" x14ac:dyDescent="0.25">
      <c r="A1042" t="str">
        <f>"20190312164453566"</f>
        <v>20190312164453566</v>
      </c>
      <c r="B1042" t="str">
        <f>"1552380293562328"</f>
        <v>1552380293562328</v>
      </c>
      <c r="C1042" t="s">
        <v>40</v>
      </c>
      <c r="D1042">
        <v>5.7052809999999896</v>
      </c>
      <c r="E1042">
        <v>0.55382039999999999</v>
      </c>
      <c r="F1042" t="s">
        <v>42</v>
      </c>
      <c r="G1042">
        <v>-189.82329999999999</v>
      </c>
      <c r="H1042" s="1">
        <v>-3.8589810000000002E-7</v>
      </c>
      <c r="I1042">
        <v>340.45929999999998</v>
      </c>
      <c r="J1042">
        <v>-188.42760000000001</v>
      </c>
      <c r="K1042">
        <v>1.089879</v>
      </c>
      <c r="L1042">
        <v>350.83049999999997</v>
      </c>
      <c r="M1042">
        <v>0.29043819999999998</v>
      </c>
      <c r="N1042">
        <v>0</v>
      </c>
      <c r="O1042">
        <v>-0.9567348</v>
      </c>
      <c r="P1042">
        <v>-4.1557419999999996E-3</v>
      </c>
      <c r="Q1042">
        <v>7.8010019999999999E-2</v>
      </c>
      <c r="R1042">
        <v>-0.99694419999999995</v>
      </c>
      <c r="S1042">
        <v>-0.36680600000000002</v>
      </c>
      <c r="T1042">
        <v>-0.30883349999999998</v>
      </c>
      <c r="U1042">
        <v>-3.037201</v>
      </c>
      <c r="V1042">
        <v>0.29748590000000003</v>
      </c>
      <c r="W1042">
        <v>8.1477659999999993E-2</v>
      </c>
      <c r="X1042">
        <v>0.95124319999999896</v>
      </c>
      <c r="Y1042">
        <v>0.40254590000000001</v>
      </c>
      <c r="Z1042">
        <v>8.9983690000000005E-2</v>
      </c>
      <c r="AA1042">
        <v>0.91096639999999995</v>
      </c>
      <c r="AB1042">
        <v>35</v>
      </c>
      <c r="AC1042">
        <v>-1.39569999999997</v>
      </c>
      <c r="AD1042">
        <v>-1.0898793858981</v>
      </c>
      <c r="AE1042">
        <v>-10.3711999999999</v>
      </c>
      <c r="AF1042">
        <v>4.3015108868288099</v>
      </c>
      <c r="AG1042">
        <v>-1.0898793858981</v>
      </c>
      <c r="AH1042">
        <v>9.41643240510877</v>
      </c>
      <c r="AI1042">
        <v>96.009843583533097</v>
      </c>
      <c r="AJ1042">
        <v>65.4486537091218</v>
      </c>
      <c r="AK1042">
        <v>10.4096124916009</v>
      </c>
      <c r="AL1042">
        <v>85.326493490402697</v>
      </c>
      <c r="AM1042">
        <v>72.633772252156703</v>
      </c>
      <c r="AN1042">
        <v>1.0000000476620601</v>
      </c>
    </row>
    <row r="1043" spans="1:40" x14ac:dyDescent="0.25">
      <c r="A1043" t="str">
        <f>"20190312164453587"</f>
        <v>20190312164453587</v>
      </c>
      <c r="B1043" t="str">
        <f>"1552380293582824"</f>
        <v>1552380293582824</v>
      </c>
      <c r="C1043" t="s">
        <v>40</v>
      </c>
      <c r="D1043">
        <v>5.7101499999999996</v>
      </c>
      <c r="E1043">
        <v>0.53841700000000003</v>
      </c>
      <c r="F1043" t="s">
        <v>42</v>
      </c>
      <c r="G1043">
        <v>-189.83690000000001</v>
      </c>
      <c r="H1043" s="1">
        <v>-2.259886E-7</v>
      </c>
      <c r="I1043">
        <v>340.09210000000002</v>
      </c>
      <c r="J1043">
        <v>-188.33510000000001</v>
      </c>
      <c r="K1043">
        <v>1.089906</v>
      </c>
      <c r="L1043">
        <v>350.48970000000003</v>
      </c>
      <c r="M1043">
        <v>0.27267419999999998</v>
      </c>
      <c r="N1043">
        <v>0</v>
      </c>
      <c r="O1043">
        <v>-0.96194840000000004</v>
      </c>
      <c r="P1043">
        <v>-1.7015329999999999E-2</v>
      </c>
      <c r="Q1043">
        <v>7.8144989999999998E-2</v>
      </c>
      <c r="R1043">
        <v>-0.99679689999999999</v>
      </c>
      <c r="S1043">
        <v>-0.39788820000000003</v>
      </c>
      <c r="T1043">
        <v>-0.30769299999999999</v>
      </c>
      <c r="U1043">
        <v>-3.031647</v>
      </c>
      <c r="V1043">
        <v>0.29213630000000002</v>
      </c>
      <c r="W1043">
        <v>8.1886840000000002E-2</v>
      </c>
      <c r="X1043">
        <v>0.95286459999999995</v>
      </c>
      <c r="Y1043">
        <v>0.39497959999999999</v>
      </c>
      <c r="Z1043">
        <v>9.07139E-2</v>
      </c>
      <c r="AA1043">
        <v>0.91420020000000002</v>
      </c>
      <c r="AB1043">
        <v>35</v>
      </c>
      <c r="AC1043">
        <v>-1.5018</v>
      </c>
      <c r="AD1043">
        <v>-1.0899062259885901</v>
      </c>
      <c r="AE1043">
        <v>-10.397600000000001</v>
      </c>
      <c r="AF1043">
        <v>4.2348809249528196</v>
      </c>
      <c r="AG1043">
        <v>-1.0899062259885901</v>
      </c>
      <c r="AH1043">
        <v>9.4917487969815593</v>
      </c>
      <c r="AI1043">
        <v>95.986324384567894</v>
      </c>
      <c r="AJ1043">
        <v>65.955269817978206</v>
      </c>
      <c r="AK1043">
        <v>10.450617553761001</v>
      </c>
      <c r="AL1043">
        <v>85.302970419371505</v>
      </c>
      <c r="AM1043">
        <v>72.9551192794885</v>
      </c>
      <c r="AN1043">
        <v>1.0000000091380099</v>
      </c>
    </row>
    <row r="1044" spans="1:40" x14ac:dyDescent="0.25">
      <c r="A1044" t="str">
        <f>"20190312164453611"</f>
        <v>20190312164453611</v>
      </c>
      <c r="B1044" t="str">
        <f>"1552380293602344"</f>
        <v>1552380293602344</v>
      </c>
      <c r="C1044" t="s">
        <v>40</v>
      </c>
      <c r="D1044">
        <v>5.6567959999999999</v>
      </c>
      <c r="E1044">
        <v>0.53719749999999999</v>
      </c>
      <c r="F1044" t="s">
        <v>42</v>
      </c>
      <c r="G1044">
        <v>-189.5909</v>
      </c>
      <c r="H1044" s="1">
        <v>-3.8405559999999998E-6</v>
      </c>
      <c r="I1044">
        <v>338.41609999999997</v>
      </c>
      <c r="J1044">
        <v>-188.24369999999999</v>
      </c>
      <c r="K1044">
        <v>1.0899399999999999</v>
      </c>
      <c r="L1044">
        <v>350.12430000000001</v>
      </c>
      <c r="M1044">
        <v>0.253602299999999</v>
      </c>
      <c r="N1044">
        <v>0</v>
      </c>
      <c r="O1044">
        <v>-0.96715180000000001</v>
      </c>
      <c r="P1044">
        <v>-2.9717400000000001E-2</v>
      </c>
      <c r="Q1044">
        <v>7.7798199999999998E-2</v>
      </c>
      <c r="R1044">
        <v>-0.99652640000000003</v>
      </c>
      <c r="S1044">
        <v>-0.3147278</v>
      </c>
      <c r="T1044">
        <v>-0.27313850000000001</v>
      </c>
      <c r="U1044">
        <v>-3.0257260000000001</v>
      </c>
      <c r="V1044">
        <v>0.28541719999999998</v>
      </c>
      <c r="W1044">
        <v>8.1882070000000001E-2</v>
      </c>
      <c r="X1044">
        <v>0.9548991</v>
      </c>
      <c r="Y1044">
        <v>0.35195920000000003</v>
      </c>
      <c r="Z1044">
        <v>8.2383449999999997E-2</v>
      </c>
      <c r="AA1044">
        <v>0.93238279999999996</v>
      </c>
      <c r="AB1044">
        <v>35</v>
      </c>
      <c r="AC1044">
        <v>-1.3472000000000099</v>
      </c>
      <c r="AD1044">
        <v>-1.08994384055599</v>
      </c>
      <c r="AE1044">
        <v>-11.7082</v>
      </c>
      <c r="AF1044">
        <v>4.2365860210820099</v>
      </c>
      <c r="AG1044">
        <v>-1.08994384055599</v>
      </c>
      <c r="AH1044">
        <v>10.890473681158801</v>
      </c>
      <c r="AI1044">
        <v>95.328739302896906</v>
      </c>
      <c r="AJ1044">
        <v>68.743088553120501</v>
      </c>
      <c r="AK1044">
        <v>11.7362283417462</v>
      </c>
      <c r="AL1044">
        <v>85.303244463062498</v>
      </c>
      <c r="AM1044">
        <v>73.358712613877003</v>
      </c>
      <c r="AN1044">
        <v>0.99999997131206697</v>
      </c>
    </row>
    <row r="1045" spans="1:40" x14ac:dyDescent="0.25">
      <c r="A1045" t="str">
        <f>"20190312164453634"</f>
        <v>20190312164453634</v>
      </c>
      <c r="B1045" t="str">
        <f>"1552380293622840"</f>
        <v>1552380293622840</v>
      </c>
      <c r="C1045" t="s">
        <v>40</v>
      </c>
      <c r="D1045">
        <v>5.5967919999999998</v>
      </c>
      <c r="E1045">
        <v>0.53587569999999995</v>
      </c>
      <c r="F1045" t="s">
        <v>42</v>
      </c>
      <c r="G1045">
        <v>-189.63050000000001</v>
      </c>
      <c r="H1045" s="1">
        <v>-3.6258539999999999E-6</v>
      </c>
      <c r="I1045">
        <v>337.93189999999998</v>
      </c>
      <c r="J1045">
        <v>-188.15979999999999</v>
      </c>
      <c r="K1045">
        <v>1.089969</v>
      </c>
      <c r="L1045">
        <v>349.75630000000001</v>
      </c>
      <c r="M1045">
        <v>0.23436889999999999</v>
      </c>
      <c r="N1045">
        <v>0</v>
      </c>
      <c r="O1045">
        <v>-0.97199159999999996</v>
      </c>
      <c r="P1045">
        <v>-4.1526609999999999E-2</v>
      </c>
      <c r="Q1045">
        <v>7.7276629999999999E-2</v>
      </c>
      <c r="R1045">
        <v>-0.99614469999999999</v>
      </c>
      <c r="S1045">
        <v>-0.34365839999999998</v>
      </c>
      <c r="T1045">
        <v>-0.27009689999999997</v>
      </c>
      <c r="U1045">
        <v>-3.0213619999999999</v>
      </c>
      <c r="V1045">
        <v>0.27776240000000002</v>
      </c>
      <c r="W1045">
        <v>8.174758E-2</v>
      </c>
      <c r="X1045">
        <v>0.95716520000000005</v>
      </c>
      <c r="Y1045">
        <v>0.34234560000000003</v>
      </c>
      <c r="Z1045">
        <v>8.2351800000000003E-2</v>
      </c>
      <c r="AA1045">
        <v>0.93595819999999996</v>
      </c>
      <c r="AB1045">
        <v>35</v>
      </c>
      <c r="AC1045">
        <v>-1.4707000000000201</v>
      </c>
      <c r="AD1045">
        <v>-1.0899726258539999</v>
      </c>
      <c r="AE1045">
        <v>-11.824400000000001</v>
      </c>
      <c r="AF1045">
        <v>4.1665529361448499</v>
      </c>
      <c r="AG1045">
        <v>-1.0899726258539999</v>
      </c>
      <c r="AH1045">
        <v>11.057696144143399</v>
      </c>
      <c r="AI1045">
        <v>95.2700811298688</v>
      </c>
      <c r="AJ1045">
        <v>69.353531764729098</v>
      </c>
      <c r="AK1045">
        <v>11.8667960170811</v>
      </c>
      <c r="AL1045">
        <v>85.310975846239501</v>
      </c>
      <c r="AM1045">
        <v>73.817654565363497</v>
      </c>
      <c r="AN1045">
        <v>0.99999991889032402</v>
      </c>
    </row>
    <row r="1046" spans="1:40" x14ac:dyDescent="0.25">
      <c r="A1046" t="str">
        <f>"20190312164453657"</f>
        <v>20190312164453657</v>
      </c>
      <c r="B1046" t="str">
        <f>"1552380293652119"</f>
        <v>1552380293652119</v>
      </c>
      <c r="C1046" t="s">
        <v>40</v>
      </c>
      <c r="D1046">
        <v>5.8038369999999997</v>
      </c>
      <c r="E1046">
        <v>0.53470669999999898</v>
      </c>
      <c r="F1046" t="s">
        <v>42</v>
      </c>
      <c r="G1046">
        <v>-189.625</v>
      </c>
      <c r="H1046" s="1">
        <v>-3.5828260000000001E-6</v>
      </c>
      <c r="I1046">
        <v>337.82940000000002</v>
      </c>
      <c r="J1046">
        <v>-188.0855</v>
      </c>
      <c r="K1046">
        <v>1.089998</v>
      </c>
      <c r="L1046">
        <v>349.39839999999998</v>
      </c>
      <c r="M1046">
        <v>0.2156342</v>
      </c>
      <c r="N1046">
        <v>0</v>
      </c>
      <c r="O1046">
        <v>-0.9763191</v>
      </c>
      <c r="P1046">
        <v>-5.3360190000000002E-2</v>
      </c>
      <c r="Q1046">
        <v>7.7030100000000004E-2</v>
      </c>
      <c r="R1046">
        <v>-0.99560020000000005</v>
      </c>
      <c r="S1046">
        <v>-0.370697</v>
      </c>
      <c r="T1046">
        <v>-0.27576669999999998</v>
      </c>
      <c r="U1046">
        <v>-3.0175480000000001</v>
      </c>
      <c r="V1046">
        <v>0.27070559999999899</v>
      </c>
      <c r="W1046">
        <v>8.1854990000000002E-2</v>
      </c>
      <c r="X1046">
        <v>0.95917580000000002</v>
      </c>
      <c r="Y1046">
        <v>0.33264310000000002</v>
      </c>
      <c r="Z1046">
        <v>8.4875809999999996E-2</v>
      </c>
      <c r="AA1046">
        <v>0.93922559999999999</v>
      </c>
      <c r="AB1046">
        <v>35</v>
      </c>
      <c r="AC1046">
        <v>-1.5395000000000001</v>
      </c>
      <c r="AD1046">
        <v>-1.0900015828259999</v>
      </c>
      <c r="AE1046">
        <v>-11.5689999999999</v>
      </c>
      <c r="AF1046">
        <v>3.9637472549749999</v>
      </c>
      <c r="AG1046">
        <v>-1.0900015828259999</v>
      </c>
      <c r="AH1046">
        <v>10.869915085522599</v>
      </c>
      <c r="AI1046">
        <v>95.381881610559006</v>
      </c>
      <c r="AJ1046">
        <v>69.965463602512003</v>
      </c>
      <c r="AK1046">
        <v>11.621292945208699</v>
      </c>
      <c r="AL1046">
        <v>85.304801338623605</v>
      </c>
      <c r="AM1046">
        <v>74.239484649902295</v>
      </c>
      <c r="AN1046">
        <v>0.99999998828244996</v>
      </c>
    </row>
    <row r="1047" spans="1:40" x14ac:dyDescent="0.25">
      <c r="A1047" t="str">
        <f>"20190312164453679"</f>
        <v>20190312164453679</v>
      </c>
      <c r="B1047" t="str">
        <f>"1552380293672615"</f>
        <v>1552380293672615</v>
      </c>
      <c r="C1047" t="s">
        <v>40</v>
      </c>
      <c r="D1047">
        <v>5.7148279999999998</v>
      </c>
      <c r="E1047">
        <v>0.52904149999999905</v>
      </c>
      <c r="F1047" t="s">
        <v>42</v>
      </c>
      <c r="G1047">
        <v>-189.66480000000001</v>
      </c>
      <c r="H1047" s="1">
        <v>-3.4262790000000002E-6</v>
      </c>
      <c r="I1047">
        <v>337.48090000000002</v>
      </c>
      <c r="J1047">
        <v>-188.0188</v>
      </c>
      <c r="K1047">
        <v>1.090042</v>
      </c>
      <c r="L1047">
        <v>349.04349999999999</v>
      </c>
      <c r="M1047">
        <v>0.19703780000000001</v>
      </c>
      <c r="N1047">
        <v>0</v>
      </c>
      <c r="O1047">
        <v>-0.98024169999999999</v>
      </c>
      <c r="P1047">
        <v>-6.5629090000000001E-2</v>
      </c>
      <c r="Q1047">
        <v>7.8896289999999994E-2</v>
      </c>
      <c r="R1047">
        <v>-0.99472020000000005</v>
      </c>
      <c r="S1047">
        <v>-0.39930729999999998</v>
      </c>
      <c r="T1047">
        <v>-0.27559280000000003</v>
      </c>
      <c r="U1047">
        <v>-3.0131839999999999</v>
      </c>
      <c r="V1047">
        <v>0.26433509999999999</v>
      </c>
      <c r="W1047">
        <v>8.4039459999999996E-2</v>
      </c>
      <c r="X1047">
        <v>0.96076240000000002</v>
      </c>
      <c r="Y1047">
        <v>0.32364189999999998</v>
      </c>
      <c r="Z1047">
        <v>8.5570480000000004E-2</v>
      </c>
      <c r="AA1047">
        <v>0.94230230000000004</v>
      </c>
      <c r="AB1047">
        <v>35</v>
      </c>
      <c r="AC1047">
        <v>-1.6460000000000099</v>
      </c>
      <c r="AD1047">
        <v>-1.090045426279</v>
      </c>
      <c r="AE1047">
        <v>-11.5625999999999</v>
      </c>
      <c r="AF1047">
        <v>3.8587223945668199</v>
      </c>
      <c r="AG1047">
        <v>-1.090045426279</v>
      </c>
      <c r="AH1047">
        <v>10.9163909980334</v>
      </c>
      <c r="AI1047">
        <v>95.378284146861901</v>
      </c>
      <c r="AJ1047">
        <v>70.532533512295402</v>
      </c>
      <c r="AK1047">
        <v>11.629511166494799</v>
      </c>
      <c r="AL1047">
        <v>85.179207810794296</v>
      </c>
      <c r="AM1047">
        <v>74.616794229052402</v>
      </c>
      <c r="AN1047">
        <v>1.00000003259143</v>
      </c>
    </row>
    <row r="1048" spans="1:40" x14ac:dyDescent="0.25">
      <c r="A1048" t="str">
        <f>"20190312164453699"</f>
        <v>20190312164453699</v>
      </c>
      <c r="B1048" t="str">
        <f>"1552380293692136"</f>
        <v>1552380293692136</v>
      </c>
      <c r="C1048" t="s">
        <v>40</v>
      </c>
      <c r="D1048">
        <v>5.7178649999999998</v>
      </c>
      <c r="E1048">
        <v>0.52778979999999998</v>
      </c>
      <c r="F1048" t="s">
        <v>42</v>
      </c>
      <c r="G1048">
        <v>-189.27959999999999</v>
      </c>
      <c r="H1048" s="1">
        <v>-4.2233660000000004E-6</v>
      </c>
      <c r="I1048">
        <v>339.17970000000003</v>
      </c>
      <c r="J1048">
        <v>-187.96360000000001</v>
      </c>
      <c r="K1048">
        <v>1.0900890000000001</v>
      </c>
      <c r="L1048">
        <v>348.71609999999998</v>
      </c>
      <c r="M1048">
        <v>0.17986920000000001</v>
      </c>
      <c r="N1048">
        <v>0</v>
      </c>
      <c r="O1048">
        <v>-0.98353699999999999</v>
      </c>
      <c r="P1048">
        <v>-7.4874590000000005E-2</v>
      </c>
      <c r="Q1048">
        <v>8.126622E-2</v>
      </c>
      <c r="R1048">
        <v>-0.99387599999999998</v>
      </c>
      <c r="S1048">
        <v>-0.38562010000000002</v>
      </c>
      <c r="T1048">
        <v>-0.33339999999999997</v>
      </c>
      <c r="U1048">
        <v>-3.016937</v>
      </c>
      <c r="V1048">
        <v>0.2565192</v>
      </c>
      <c r="W1048">
        <v>8.6796429999999994E-2</v>
      </c>
      <c r="X1048">
        <v>0.96263399999999999</v>
      </c>
      <c r="Y1048">
        <v>0.30243700000000001</v>
      </c>
      <c r="Z1048">
        <v>0.1041536</v>
      </c>
      <c r="AA1048">
        <v>0.94746180000000002</v>
      </c>
      <c r="AB1048">
        <v>35</v>
      </c>
      <c r="AC1048">
        <v>-1.3159999999999701</v>
      </c>
      <c r="AD1048">
        <v>-1.0900932233659999</v>
      </c>
      <c r="AE1048">
        <v>-9.5363999999999507</v>
      </c>
      <c r="AF1048">
        <v>2.9719862703381001</v>
      </c>
      <c r="AG1048">
        <v>-1.0900932233659999</v>
      </c>
      <c r="AH1048">
        <v>9.0283117619026498</v>
      </c>
      <c r="AI1048">
        <v>96.5425248723935</v>
      </c>
      <c r="AJ1048">
        <v>71.779222142911195</v>
      </c>
      <c r="AK1048">
        <v>9.5672053859429802</v>
      </c>
      <c r="AL1048">
        <v>85.020665263467805</v>
      </c>
      <c r="AM1048">
        <v>75.078763411999802</v>
      </c>
      <c r="AN1048">
        <v>0.99999996909269195</v>
      </c>
    </row>
    <row r="1049" spans="1:40" x14ac:dyDescent="0.25">
      <c r="A1049" t="str">
        <f>"20190312164453722"</f>
        <v>20190312164453722</v>
      </c>
      <c r="B1049" t="str">
        <f>"1552380293712632"</f>
        <v>1552380293712632</v>
      </c>
      <c r="C1049" t="s">
        <v>40</v>
      </c>
      <c r="D1049">
        <v>5.7098120000000003</v>
      </c>
      <c r="E1049">
        <v>0.52793769999999995</v>
      </c>
      <c r="F1049" t="s">
        <v>42</v>
      </c>
      <c r="G1049">
        <v>-189.4211</v>
      </c>
      <c r="H1049" s="1">
        <v>-3.6368289999999998E-6</v>
      </c>
      <c r="I1049">
        <v>337.87090000000001</v>
      </c>
      <c r="J1049">
        <v>-187.9117</v>
      </c>
      <c r="K1049">
        <v>1.090136</v>
      </c>
      <c r="L1049">
        <v>348.37060000000002</v>
      </c>
      <c r="M1049">
        <v>0.16175039999999999</v>
      </c>
      <c r="N1049">
        <v>0</v>
      </c>
      <c r="O1049">
        <v>-0.98667910000000003</v>
      </c>
      <c r="P1049">
        <v>-8.7108679999999994E-2</v>
      </c>
      <c r="Q1049">
        <v>8.1368220000000005E-2</v>
      </c>
      <c r="R1049">
        <v>-0.99287049999999999</v>
      </c>
      <c r="S1049">
        <v>-0.40489199999999997</v>
      </c>
      <c r="T1049">
        <v>-0.30282779999999998</v>
      </c>
      <c r="U1049">
        <v>-3.0127869999999999</v>
      </c>
      <c r="V1049">
        <v>0.25065539999999997</v>
      </c>
      <c r="W1049">
        <v>8.7191179999999993E-2</v>
      </c>
      <c r="X1049">
        <v>0.9641419</v>
      </c>
      <c r="Y1049">
        <v>0.29113929999999999</v>
      </c>
      <c r="Z1049">
        <v>9.5436740000000006E-2</v>
      </c>
      <c r="AA1049">
        <v>0.95190850000000005</v>
      </c>
      <c r="AB1049">
        <v>35</v>
      </c>
      <c r="AC1049">
        <v>-1.5093999999999901</v>
      </c>
      <c r="AD1049">
        <v>-1.0901396368289999</v>
      </c>
      <c r="AE1049">
        <v>-10.499700000000001</v>
      </c>
      <c r="AF1049">
        <v>3.1547848551636699</v>
      </c>
      <c r="AG1049">
        <v>-1.0901396368289999</v>
      </c>
      <c r="AH1049">
        <v>10.0114755599405</v>
      </c>
      <c r="AI1049">
        <v>95.929180491662393</v>
      </c>
      <c r="AJ1049">
        <v>72.509481107017294</v>
      </c>
      <c r="AK1049">
        <v>10.5532324335931</v>
      </c>
      <c r="AL1049">
        <v>84.997961923157305</v>
      </c>
      <c r="AM1049">
        <v>75.426980246888505</v>
      </c>
      <c r="AN1049">
        <v>1.0000000173772801</v>
      </c>
    </row>
    <row r="1050" spans="1:40" x14ac:dyDescent="0.25">
      <c r="A1050" t="str">
        <f>"20190312164453746"</f>
        <v>20190312164453746</v>
      </c>
      <c r="B1050" t="str">
        <f>"1552380293742888"</f>
        <v>1552380293742888</v>
      </c>
      <c r="C1050" t="s">
        <v>40</v>
      </c>
      <c r="D1050">
        <v>5.6304349999999896</v>
      </c>
      <c r="E1050">
        <v>0.52658309999999997</v>
      </c>
      <c r="F1050" t="s">
        <v>42</v>
      </c>
      <c r="G1050">
        <v>-189.57419999999999</v>
      </c>
      <c r="H1050" s="1">
        <v>-3.2981580000000001E-6</v>
      </c>
      <c r="I1050">
        <v>337.14479999999998</v>
      </c>
      <c r="J1050">
        <v>-187.86199999999999</v>
      </c>
      <c r="K1050">
        <v>1.0901989999999999</v>
      </c>
      <c r="L1050">
        <v>347.99020000000002</v>
      </c>
      <c r="M1050">
        <v>0.14180680000000001</v>
      </c>
      <c r="N1050">
        <v>0</v>
      </c>
      <c r="O1050">
        <v>-0.98974280000000003</v>
      </c>
      <c r="P1050">
        <v>-9.6885139999999995E-2</v>
      </c>
      <c r="Q1050">
        <v>8.0416310000000005E-2</v>
      </c>
      <c r="R1050">
        <v>-0.99204190000000003</v>
      </c>
      <c r="S1050">
        <v>-0.44523620000000003</v>
      </c>
      <c r="T1050">
        <v>-0.2919563</v>
      </c>
      <c r="U1050">
        <v>-3.0064389999999999</v>
      </c>
      <c r="V1050">
        <v>0.24063480000000001</v>
      </c>
      <c r="W1050">
        <v>8.6731840000000004E-2</v>
      </c>
      <c r="X1050">
        <v>0.96673290000000001</v>
      </c>
      <c r="Y1050">
        <v>0.284663</v>
      </c>
      <c r="Z1050">
        <v>9.268469E-2</v>
      </c>
      <c r="AA1050">
        <v>0.9541366</v>
      </c>
      <c r="AB1050">
        <v>35</v>
      </c>
      <c r="AC1050">
        <v>-1.71219999999999</v>
      </c>
      <c r="AD1050">
        <v>-1.090202298158</v>
      </c>
      <c r="AE1050">
        <v>-10.8454</v>
      </c>
      <c r="AF1050">
        <v>3.20151053902278</v>
      </c>
      <c r="AG1050">
        <v>-1.090202298158</v>
      </c>
      <c r="AH1050">
        <v>10.3904896444594</v>
      </c>
      <c r="AI1050">
        <v>95.7259801065685</v>
      </c>
      <c r="AJ1050">
        <v>72.874924015745194</v>
      </c>
      <c r="AK1050">
        <v>10.927052934529099</v>
      </c>
      <c r="AL1050">
        <v>85.024380208234902</v>
      </c>
      <c r="AM1050">
        <v>76.022253754919603</v>
      </c>
      <c r="AN1050">
        <v>1.0000000094916099</v>
      </c>
    </row>
    <row r="1051" spans="1:40" x14ac:dyDescent="0.25">
      <c r="A1051" t="str">
        <f>"20190312164453767"</f>
        <v>20190312164453767</v>
      </c>
      <c r="B1051" t="str">
        <f>"1552380293762408"</f>
        <v>1552380293762408</v>
      </c>
      <c r="C1051" t="s">
        <v>40</v>
      </c>
      <c r="D1051">
        <v>5.702763</v>
      </c>
      <c r="E1051">
        <v>0.52585729999999997</v>
      </c>
      <c r="F1051" t="s">
        <v>42</v>
      </c>
      <c r="G1051">
        <v>-189.61160000000001</v>
      </c>
      <c r="H1051" s="1">
        <v>-3.112651E-6</v>
      </c>
      <c r="I1051">
        <v>336.7278</v>
      </c>
      <c r="J1051">
        <v>-187.82650000000001</v>
      </c>
      <c r="K1051">
        <v>1.0902529999999999</v>
      </c>
      <c r="L1051">
        <v>347.67039999999997</v>
      </c>
      <c r="M1051">
        <v>0.1250646</v>
      </c>
      <c r="N1051">
        <v>0</v>
      </c>
      <c r="O1051">
        <v>-0.99199769999999998</v>
      </c>
      <c r="P1051">
        <v>-0.1030881</v>
      </c>
      <c r="Q1051">
        <v>7.9375260000000003E-2</v>
      </c>
      <c r="R1051">
        <v>-0.9915001</v>
      </c>
      <c r="S1051">
        <v>-0.4663696</v>
      </c>
      <c r="T1051">
        <v>-0.29060209999999997</v>
      </c>
      <c r="U1051">
        <v>-3.002075</v>
      </c>
      <c r="V1051">
        <v>0.23028190000000001</v>
      </c>
      <c r="W1051">
        <v>8.6194060000000003E-2</v>
      </c>
      <c r="X1051">
        <v>0.96929909999999997</v>
      </c>
      <c r="Y1051">
        <v>0.27522429999999998</v>
      </c>
      <c r="Z1051">
        <v>9.279896E-2</v>
      </c>
      <c r="AA1051">
        <v>0.95689080000000004</v>
      </c>
      <c r="AB1051">
        <v>35</v>
      </c>
      <c r="AC1051">
        <v>-1.7850999999999999</v>
      </c>
      <c r="AD1051">
        <v>-1.090256112651</v>
      </c>
      <c r="AE1051">
        <v>-10.942599999999899</v>
      </c>
      <c r="AF1051">
        <v>3.1097469876720001</v>
      </c>
      <c r="AG1051">
        <v>-1.090256112651</v>
      </c>
      <c r="AH1051">
        <v>10.531537211587301</v>
      </c>
      <c r="AI1051">
        <v>95.670034625732001</v>
      </c>
      <c r="AJ1051">
        <v>73.549210056643005</v>
      </c>
      <c r="AK1051">
        <v>11.035055992497499</v>
      </c>
      <c r="AL1051">
        <v>85.055308298780801</v>
      </c>
      <c r="AM1051">
        <v>76.635676604091699</v>
      </c>
      <c r="AN1051">
        <v>0.99999995735385006</v>
      </c>
    </row>
    <row r="1052" spans="1:40" x14ac:dyDescent="0.25">
      <c r="A1052" t="str">
        <f>"20190312164453789"</f>
        <v>20190312164453789</v>
      </c>
      <c r="B1052" t="str">
        <f>"1552380293782904"</f>
        <v>1552380293782904</v>
      </c>
      <c r="C1052" t="s">
        <v>40</v>
      </c>
      <c r="D1052">
        <v>5.6285059999999998</v>
      </c>
      <c r="E1052">
        <v>0.52493869999999998</v>
      </c>
      <c r="F1052" t="s">
        <v>42</v>
      </c>
      <c r="G1052">
        <v>-189.62100000000001</v>
      </c>
      <c r="H1052" s="1">
        <v>-3.009273E-6</v>
      </c>
      <c r="I1052">
        <v>336.49079999999998</v>
      </c>
      <c r="J1052">
        <v>-187.79320000000001</v>
      </c>
      <c r="K1052">
        <v>1.0903240000000001</v>
      </c>
      <c r="L1052">
        <v>347.31380000000001</v>
      </c>
      <c r="M1052">
        <v>0.106424</v>
      </c>
      <c r="N1052">
        <v>0</v>
      </c>
      <c r="O1052">
        <v>-0.99417069999999996</v>
      </c>
      <c r="P1052">
        <v>-0.1098851</v>
      </c>
      <c r="Q1052">
        <v>7.8434050000000005E-2</v>
      </c>
      <c r="R1052">
        <v>-0.99084490000000003</v>
      </c>
      <c r="S1052">
        <v>-0.48141479999999998</v>
      </c>
      <c r="T1052">
        <v>-0.2924756</v>
      </c>
      <c r="U1052">
        <v>-2.9990839999999999</v>
      </c>
      <c r="V1052">
        <v>0.21866540000000001</v>
      </c>
      <c r="W1052">
        <v>8.5813070000000005E-2</v>
      </c>
      <c r="X1052">
        <v>0.97201930000000003</v>
      </c>
      <c r="Y1052">
        <v>0.26197229999999999</v>
      </c>
      <c r="Z1052">
        <v>9.394052E-2</v>
      </c>
      <c r="AA1052">
        <v>0.96049240000000002</v>
      </c>
      <c r="AB1052">
        <v>35</v>
      </c>
      <c r="AC1052">
        <v>-1.8277999999999599</v>
      </c>
      <c r="AD1052">
        <v>-1.090327009273</v>
      </c>
      <c r="AE1052">
        <v>-10.823</v>
      </c>
      <c r="AF1052">
        <v>2.9404011771842602</v>
      </c>
      <c r="AG1052">
        <v>-1.090327009273</v>
      </c>
      <c r="AH1052">
        <v>10.4637149759706</v>
      </c>
      <c r="AI1052">
        <v>95.728476032511793</v>
      </c>
      <c r="AJ1052">
        <v>74.3041433571575</v>
      </c>
      <c r="AK1052">
        <v>10.9235572579764</v>
      </c>
      <c r="AL1052">
        <v>85.0772187113472</v>
      </c>
      <c r="AM1052">
        <v>77.321801388073496</v>
      </c>
      <c r="AN1052">
        <v>0.99999997985623701</v>
      </c>
    </row>
    <row r="1053" spans="1:40" x14ac:dyDescent="0.25">
      <c r="A1053" t="str">
        <f>"20190312164453812"</f>
        <v>20190312164453812</v>
      </c>
      <c r="B1053" t="str">
        <f>"1552380293802424"</f>
        <v>1552380293802424</v>
      </c>
      <c r="C1053" t="s">
        <v>40</v>
      </c>
      <c r="D1053">
        <v>5.6031579999999996</v>
      </c>
      <c r="E1053">
        <v>0.52408650000000001</v>
      </c>
      <c r="F1053" t="s">
        <v>42</v>
      </c>
      <c r="G1053">
        <v>-189.61840000000001</v>
      </c>
      <c r="H1053" s="1">
        <v>-2.923284E-6</v>
      </c>
      <c r="I1053">
        <v>336.28919999999999</v>
      </c>
      <c r="J1053">
        <v>-187.767</v>
      </c>
      <c r="K1053">
        <v>1.090408</v>
      </c>
      <c r="L1053">
        <v>346.95089999999999</v>
      </c>
      <c r="M1053">
        <v>8.752646E-2</v>
      </c>
      <c r="N1053">
        <v>0</v>
      </c>
      <c r="O1053">
        <v>-0.99601309999999998</v>
      </c>
      <c r="P1053">
        <v>-0.1146469</v>
      </c>
      <c r="Q1053">
        <v>7.7245800000000003E-2</v>
      </c>
      <c r="R1053">
        <v>-0.99039860000000002</v>
      </c>
      <c r="S1053">
        <v>-0.49603269999999999</v>
      </c>
      <c r="T1053">
        <v>-0.29632579999999997</v>
      </c>
      <c r="U1053">
        <v>-2.996216</v>
      </c>
      <c r="V1053">
        <v>0.2047889</v>
      </c>
      <c r="W1053">
        <v>8.5284760000000001E-2</v>
      </c>
      <c r="X1053">
        <v>0.97508360000000005</v>
      </c>
      <c r="Y1053">
        <v>0.24830840000000001</v>
      </c>
      <c r="Z1053">
        <v>9.5664959999999993E-2</v>
      </c>
      <c r="AA1053">
        <v>0.96394559999999996</v>
      </c>
      <c r="AB1053">
        <v>35</v>
      </c>
      <c r="AC1053">
        <v>-1.8514000000000099</v>
      </c>
      <c r="AD1053">
        <v>-1.090410923284</v>
      </c>
      <c r="AE1053">
        <v>-10.6616999999999</v>
      </c>
      <c r="AF1053">
        <v>2.7496924397596301</v>
      </c>
      <c r="AG1053">
        <v>-1.090410923284</v>
      </c>
      <c r="AH1053">
        <v>10.3535724458152</v>
      </c>
      <c r="AI1053">
        <v>95.812052232353196</v>
      </c>
      <c r="AJ1053">
        <v>75.126774639663793</v>
      </c>
      <c r="AK1053">
        <v>10.767834828118</v>
      </c>
      <c r="AL1053">
        <v>85.107600149726096</v>
      </c>
      <c r="AM1053">
        <v>78.139019686627094</v>
      </c>
      <c r="AN1053">
        <v>1.0000000054202101</v>
      </c>
    </row>
    <row r="1054" spans="1:40" x14ac:dyDescent="0.25">
      <c r="A1054" t="str">
        <f>"20190312164453835"</f>
        <v>20190312164453835</v>
      </c>
      <c r="B1054" t="str">
        <f>"1552380293822920"</f>
        <v>1552380293822920</v>
      </c>
      <c r="C1054" t="s">
        <v>40</v>
      </c>
      <c r="D1054">
        <v>5.6421640000000002</v>
      </c>
      <c r="E1054">
        <v>0.51775039999999894</v>
      </c>
      <c r="F1054" t="s">
        <v>42</v>
      </c>
      <c r="G1054">
        <v>-189.58760000000001</v>
      </c>
      <c r="H1054" s="1">
        <v>-2.872424E-6</v>
      </c>
      <c r="I1054">
        <v>336.15800000000002</v>
      </c>
      <c r="J1054">
        <v>-187.74760000000001</v>
      </c>
      <c r="K1054">
        <v>1.0905020000000001</v>
      </c>
      <c r="L1054">
        <v>346.58679999999998</v>
      </c>
      <c r="M1054">
        <v>6.8630819999999995E-2</v>
      </c>
      <c r="N1054">
        <v>0</v>
      </c>
      <c r="O1054">
        <v>-0.9974942</v>
      </c>
      <c r="P1054">
        <v>-0.11926290000000001</v>
      </c>
      <c r="Q1054">
        <v>7.7355270000000004E-2</v>
      </c>
      <c r="R1054">
        <v>-0.98984470000000002</v>
      </c>
      <c r="S1054">
        <v>-0.50508120000000001</v>
      </c>
      <c r="T1054">
        <v>-0.30250480000000002</v>
      </c>
      <c r="U1054">
        <v>-2.994202</v>
      </c>
      <c r="V1054">
        <v>0.19080639999999999</v>
      </c>
      <c r="W1054">
        <v>8.6047739999999998E-2</v>
      </c>
      <c r="X1054">
        <v>0.97784899999999997</v>
      </c>
      <c r="Y1054">
        <v>0.2328201</v>
      </c>
      <c r="Z1054">
        <v>9.8094230000000004E-2</v>
      </c>
      <c r="AA1054">
        <v>0.96755999999999998</v>
      </c>
      <c r="AB1054">
        <v>35</v>
      </c>
      <c r="AC1054">
        <v>-1.84</v>
      </c>
      <c r="AD1054">
        <v>-1.0905048724240001</v>
      </c>
      <c r="AE1054">
        <v>-10.428799999999899</v>
      </c>
      <c r="AF1054">
        <v>2.5247304914260802</v>
      </c>
      <c r="AG1054">
        <v>-1.0905048724240001</v>
      </c>
      <c r="AH1054">
        <v>10.170059337700801</v>
      </c>
      <c r="AI1054">
        <v>95.941278480727803</v>
      </c>
      <c r="AJ1054">
        <v>76.058094468227594</v>
      </c>
      <c r="AK1054">
        <v>10.535348682576799</v>
      </c>
      <c r="AL1054">
        <v>85.063723199701997</v>
      </c>
      <c r="AM1054">
        <v>78.958687560511507</v>
      </c>
      <c r="AN1054">
        <v>0.99999998132053303</v>
      </c>
    </row>
    <row r="1055" spans="1:40" x14ac:dyDescent="0.25">
      <c r="A1055" t="str">
        <f>"20190312164453859"</f>
        <v>20190312164453859</v>
      </c>
      <c r="B1055" t="str">
        <f>"1552380293852200"</f>
        <v>1552380293852200</v>
      </c>
      <c r="C1055" t="s">
        <v>40</v>
      </c>
      <c r="D1055">
        <v>5.761749</v>
      </c>
      <c r="E1055">
        <v>0.51601189999999997</v>
      </c>
      <c r="F1055" t="s">
        <v>41</v>
      </c>
      <c r="G1055">
        <v>-187.8896</v>
      </c>
      <c r="H1055">
        <v>0.95983609999999997</v>
      </c>
      <c r="I1055">
        <v>345.66579999999999</v>
      </c>
      <c r="J1055">
        <v>-187.73490000000001</v>
      </c>
      <c r="K1055">
        <v>1.0906199999999999</v>
      </c>
      <c r="L1055">
        <v>346.21710000000002</v>
      </c>
      <c r="M1055">
        <v>4.9540269999999997E-2</v>
      </c>
      <c r="N1055">
        <v>0</v>
      </c>
      <c r="O1055">
        <v>-0.99862499999999998</v>
      </c>
      <c r="P1055">
        <v>-0.12553610000000001</v>
      </c>
      <c r="Q1055">
        <v>7.9078190000000007E-2</v>
      </c>
      <c r="R1055">
        <v>-0.98893249999999999</v>
      </c>
      <c r="S1055">
        <v>-0.46414179999999999</v>
      </c>
      <c r="T1055">
        <v>-0.42683280000000001</v>
      </c>
      <c r="U1055">
        <v>-3.0082399999999998</v>
      </c>
      <c r="V1055">
        <v>0.17832300000000001</v>
      </c>
      <c r="W1055">
        <v>8.8346380000000002E-2</v>
      </c>
      <c r="X1055">
        <v>0.97999789999999998</v>
      </c>
      <c r="Y1055">
        <v>0.19980100000000001</v>
      </c>
      <c r="Z1055">
        <v>0.13800319999999999</v>
      </c>
      <c r="AA1055">
        <v>0.97006939999999997</v>
      </c>
      <c r="AB1055">
        <v>35</v>
      </c>
      <c r="AC1055">
        <v>-0.15469999999999101</v>
      </c>
      <c r="AD1055">
        <v>-0.13078390000000001</v>
      </c>
      <c r="AE1055">
        <v>-0.55130000000002599</v>
      </c>
      <c r="AF1055">
        <v>0.17281016897196</v>
      </c>
      <c r="AG1055">
        <v>-0.13078390000000001</v>
      </c>
      <c r="AH1055">
        <v>0.51603659329658502</v>
      </c>
      <c r="AI1055">
        <v>103.51316641181801</v>
      </c>
      <c r="AJ1055">
        <v>71.485349004688402</v>
      </c>
      <c r="AK1055">
        <v>0.55969772969029696</v>
      </c>
      <c r="AL1055">
        <v>84.931517480418705</v>
      </c>
      <c r="AM1055">
        <v>79.6871420372579</v>
      </c>
      <c r="AN1055">
        <v>1.0000000295962499</v>
      </c>
    </row>
    <row r="1056" spans="1:40" x14ac:dyDescent="0.25">
      <c r="A1056" t="str">
        <f>"20190312164453880"</f>
        <v>20190312164453880</v>
      </c>
      <c r="B1056" t="str">
        <f>"1552380293872696"</f>
        <v>1552380293872696</v>
      </c>
      <c r="C1056" t="s">
        <v>40</v>
      </c>
      <c r="D1056">
        <v>5.7082280000000001</v>
      </c>
      <c r="E1056">
        <v>0.51571489999999998</v>
      </c>
      <c r="F1056" t="s">
        <v>41</v>
      </c>
      <c r="G1056">
        <v>-187.87190000000001</v>
      </c>
      <c r="H1056">
        <v>0.98358319999999999</v>
      </c>
      <c r="I1056">
        <v>345.34339999999997</v>
      </c>
      <c r="J1056">
        <v>-187.7294</v>
      </c>
      <c r="K1056">
        <v>1.0907480000000001</v>
      </c>
      <c r="L1056">
        <v>345.88029999999998</v>
      </c>
      <c r="M1056">
        <v>3.2272599999999999E-2</v>
      </c>
      <c r="N1056">
        <v>0</v>
      </c>
      <c r="O1056">
        <v>-0.99933309999999997</v>
      </c>
      <c r="P1056">
        <v>-0.13037499999999999</v>
      </c>
      <c r="Q1056">
        <v>8.0588439999999997E-2</v>
      </c>
      <c r="R1056">
        <v>-0.98818419999999896</v>
      </c>
      <c r="S1056">
        <v>-0.47096250000000001</v>
      </c>
      <c r="T1056">
        <v>-0.36775659999999999</v>
      </c>
      <c r="U1056">
        <v>-3.0032040000000002</v>
      </c>
      <c r="V1056">
        <v>0.1661926</v>
      </c>
      <c r="W1056">
        <v>9.041043E-2</v>
      </c>
      <c r="X1056">
        <v>0.98193989999999998</v>
      </c>
      <c r="Y1056">
        <v>0.18561739999999999</v>
      </c>
      <c r="Z1056">
        <v>0.11967419999999999</v>
      </c>
      <c r="AA1056">
        <v>0.97530729999999999</v>
      </c>
      <c r="AB1056">
        <v>35</v>
      </c>
      <c r="AC1056">
        <v>-0.14250000000001201</v>
      </c>
      <c r="AD1056">
        <v>-0.1071648</v>
      </c>
      <c r="AE1056">
        <v>-0.53690000000000204</v>
      </c>
      <c r="AF1056">
        <v>0.15402300250138301</v>
      </c>
      <c r="AG1056">
        <v>-0.1071648</v>
      </c>
      <c r="AH1056">
        <v>0.51293046051275504</v>
      </c>
      <c r="AI1056">
        <v>101.315436277324</v>
      </c>
      <c r="AJ1056">
        <v>73.286013736003397</v>
      </c>
      <c r="AK1056">
        <v>0.54617308335399295</v>
      </c>
      <c r="AL1056">
        <v>84.812780722823604</v>
      </c>
      <c r="AM1056">
        <v>80.393765983425496</v>
      </c>
      <c r="AN1056">
        <v>0.99999999667977701</v>
      </c>
    </row>
    <row r="1057" spans="1:40" x14ac:dyDescent="0.25">
      <c r="A1057" t="str">
        <f>"20190312164453901"</f>
        <v>20190312164453901</v>
      </c>
      <c r="B1057" t="str">
        <f>"1552380293892216"</f>
        <v>1552380293892216</v>
      </c>
      <c r="C1057" t="s">
        <v>40</v>
      </c>
      <c r="D1057">
        <v>5.6519490000000001</v>
      </c>
      <c r="E1057">
        <v>0.51546729999999996</v>
      </c>
      <c r="F1057" t="s">
        <v>41</v>
      </c>
      <c r="G1057">
        <v>-187.86609999999999</v>
      </c>
      <c r="H1057">
        <v>0.99213859999999998</v>
      </c>
      <c r="I1057">
        <v>345.02749999999997</v>
      </c>
      <c r="J1057">
        <v>-187.72989999999999</v>
      </c>
      <c r="K1057">
        <v>1.0909059999999999</v>
      </c>
      <c r="L1057">
        <v>345.5378</v>
      </c>
      <c r="M1057">
        <v>1.487895E-2</v>
      </c>
      <c r="N1057">
        <v>0</v>
      </c>
      <c r="O1057">
        <v>-0.99974430000000003</v>
      </c>
      <c r="P1057">
        <v>-0.1342421</v>
      </c>
      <c r="Q1057">
        <v>7.9164600000000002E-2</v>
      </c>
      <c r="R1057">
        <v>-0.98778180000000004</v>
      </c>
      <c r="S1057">
        <v>-0.4806976</v>
      </c>
      <c r="T1057">
        <v>-0.34677469999999999</v>
      </c>
      <c r="U1057">
        <v>-3.0007630000000001</v>
      </c>
      <c r="V1057">
        <v>0.15283279999999999</v>
      </c>
      <c r="W1057">
        <v>8.9588810000000005E-2</v>
      </c>
      <c r="X1057">
        <v>0.98418289999999997</v>
      </c>
      <c r="Y1057">
        <v>0.17183370000000001</v>
      </c>
      <c r="Z1057">
        <v>0.1132127</v>
      </c>
      <c r="AA1057">
        <v>0.978599</v>
      </c>
      <c r="AB1057">
        <v>34</v>
      </c>
      <c r="AC1057">
        <v>-0.13620000000000199</v>
      </c>
      <c r="AD1057">
        <v>-9.8767399999999797E-2</v>
      </c>
      <c r="AE1057">
        <v>-0.51030000000002895</v>
      </c>
      <c r="AF1057">
        <v>0.13892074440819399</v>
      </c>
      <c r="AG1057">
        <v>-9.8767399999999797E-2</v>
      </c>
      <c r="AH1057">
        <v>0.49104503737378002</v>
      </c>
      <c r="AI1057">
        <v>100.953653930275</v>
      </c>
      <c r="AJ1057">
        <v>74.203348496836298</v>
      </c>
      <c r="AK1057">
        <v>0.51978765016023998</v>
      </c>
      <c r="AL1057">
        <v>84.860047920241698</v>
      </c>
      <c r="AM1057">
        <v>81.173096495381301</v>
      </c>
      <c r="AN1057">
        <v>1.0000000001427301</v>
      </c>
    </row>
    <row r="1058" spans="1:40" x14ac:dyDescent="0.25">
      <c r="A1058" t="str">
        <f>"20190312164453924"</f>
        <v>20190312164453924</v>
      </c>
      <c r="B1058" t="str">
        <f>"1552380293912715"</f>
        <v>1552380293912715</v>
      </c>
      <c r="C1058" t="s">
        <v>40</v>
      </c>
      <c r="D1058">
        <v>5.5957359999999996</v>
      </c>
      <c r="E1058">
        <v>0.51382410000000001</v>
      </c>
      <c r="F1058" t="s">
        <v>41</v>
      </c>
      <c r="G1058">
        <v>-187.86529999999999</v>
      </c>
      <c r="H1058">
        <v>0.99637279999999995</v>
      </c>
      <c r="I1058">
        <v>344.71379999999999</v>
      </c>
      <c r="J1058">
        <v>-187.7363</v>
      </c>
      <c r="K1058">
        <v>1.0910949999999999</v>
      </c>
      <c r="L1058">
        <v>345.19330000000002</v>
      </c>
      <c r="M1058">
        <v>-2.3832469999999998E-3</v>
      </c>
      <c r="N1058">
        <v>0</v>
      </c>
      <c r="O1058">
        <v>-0.9998534</v>
      </c>
      <c r="P1058">
        <v>-0.13956859999999999</v>
      </c>
      <c r="Q1058">
        <v>7.7199840000000006E-2</v>
      </c>
      <c r="R1058">
        <v>-0.98719840000000003</v>
      </c>
      <c r="S1058">
        <v>-0.49252319999999999</v>
      </c>
      <c r="T1058">
        <v>-0.34373740000000003</v>
      </c>
      <c r="U1058">
        <v>-2.9977109999999998</v>
      </c>
      <c r="V1058">
        <v>0.14100550000000001</v>
      </c>
      <c r="W1058">
        <v>8.8146420000000003E-2</v>
      </c>
      <c r="X1058">
        <v>0.98607690000000003</v>
      </c>
      <c r="Y1058">
        <v>0.15874530000000001</v>
      </c>
      <c r="Z1058">
        <v>0.11245330000000001</v>
      </c>
      <c r="AA1058">
        <v>0.98089459999999995</v>
      </c>
      <c r="AB1058">
        <v>34</v>
      </c>
      <c r="AC1058">
        <v>-0.12899999999999001</v>
      </c>
      <c r="AD1058">
        <v>-9.4722200000000006E-2</v>
      </c>
      <c r="AE1058">
        <v>-0.47950000000003001</v>
      </c>
      <c r="AF1058">
        <v>0.12336739709988701</v>
      </c>
      <c r="AG1058">
        <v>-9.4722200000000006E-2</v>
      </c>
      <c r="AH1058">
        <v>0.46295916590110398</v>
      </c>
      <c r="AI1058">
        <v>101.18331019102</v>
      </c>
      <c r="AJ1058">
        <v>75.078795094088093</v>
      </c>
      <c r="AK1058">
        <v>0.488388164406025</v>
      </c>
      <c r="AL1058">
        <v>84.943019053689895</v>
      </c>
      <c r="AM1058">
        <v>81.862075500798596</v>
      </c>
      <c r="AN1058">
        <v>0.99999999755133795</v>
      </c>
    </row>
    <row r="1059" spans="1:40" x14ac:dyDescent="0.25">
      <c r="A1059" t="str">
        <f>"20190312164453946"</f>
        <v>20190312164453946</v>
      </c>
      <c r="B1059" t="str">
        <f>"1552380293942968"</f>
        <v>1552380293942968</v>
      </c>
      <c r="C1059" t="s">
        <v>40</v>
      </c>
      <c r="D1059">
        <v>5.5425719999999998</v>
      </c>
      <c r="E1059">
        <v>0.51163510000000001</v>
      </c>
      <c r="F1059" t="s">
        <v>41</v>
      </c>
      <c r="G1059">
        <v>-187.86779999999999</v>
      </c>
      <c r="H1059">
        <v>1.000351</v>
      </c>
      <c r="I1059">
        <v>344.40050000000002</v>
      </c>
      <c r="J1059">
        <v>-187.74879999999999</v>
      </c>
      <c r="K1059">
        <v>1.0913310000000001</v>
      </c>
      <c r="L1059">
        <v>344.84160000000003</v>
      </c>
      <c r="M1059">
        <v>-1.9692629999999999E-2</v>
      </c>
      <c r="N1059">
        <v>0</v>
      </c>
      <c r="O1059">
        <v>-0.99966370000000004</v>
      </c>
      <c r="P1059">
        <v>-0.1475059</v>
      </c>
      <c r="Q1059">
        <v>7.6539960000000004E-2</v>
      </c>
      <c r="R1059">
        <v>-0.98609539999999996</v>
      </c>
      <c r="S1059">
        <v>-0.49694820000000001</v>
      </c>
      <c r="T1059">
        <v>-0.34273389999999998</v>
      </c>
      <c r="U1059">
        <v>-2.995422</v>
      </c>
      <c r="V1059">
        <v>0.13177</v>
      </c>
      <c r="W1059">
        <v>8.7883740000000002E-2</v>
      </c>
      <c r="X1059">
        <v>0.9873769</v>
      </c>
      <c r="Y1059">
        <v>0.14316899999999999</v>
      </c>
      <c r="Z1059">
        <v>0.1123019</v>
      </c>
      <c r="AA1059">
        <v>0.98330609999999996</v>
      </c>
      <c r="AB1059">
        <v>34</v>
      </c>
      <c r="AC1059">
        <v>-0.118999999999999</v>
      </c>
      <c r="AD1059">
        <v>-9.0980000000000005E-2</v>
      </c>
      <c r="AE1059">
        <v>-0.44110000000000499</v>
      </c>
      <c r="AF1059">
        <v>0.106082477347272</v>
      </c>
      <c r="AG1059">
        <v>-9.0980000000000005E-2</v>
      </c>
      <c r="AH1059">
        <v>0.426447100083304</v>
      </c>
      <c r="AI1059">
        <v>101.696951787592</v>
      </c>
      <c r="AJ1059">
        <v>76.030707238929097</v>
      </c>
      <c r="AK1059">
        <v>0.44876272301695702</v>
      </c>
      <c r="AL1059">
        <v>84.958128226771507</v>
      </c>
      <c r="AM1059">
        <v>82.398529421801996</v>
      </c>
      <c r="AN1059">
        <v>1.00000001365499</v>
      </c>
    </row>
    <row r="1060" spans="1:40" x14ac:dyDescent="0.25">
      <c r="A1060" t="str">
        <f>"20190312164453969"</f>
        <v>20190312164453969</v>
      </c>
      <c r="B1060" t="str">
        <f>"1552380293962488"</f>
        <v>1552380293962488</v>
      </c>
      <c r="C1060" t="s">
        <v>40</v>
      </c>
      <c r="D1060">
        <v>5.5932250000000003</v>
      </c>
      <c r="E1060">
        <v>0.51086279999999995</v>
      </c>
      <c r="F1060" t="s">
        <v>41</v>
      </c>
      <c r="G1060">
        <v>-187.875</v>
      </c>
      <c r="H1060">
        <v>1.005673</v>
      </c>
      <c r="I1060">
        <v>344.0865</v>
      </c>
      <c r="J1060">
        <v>-187.76689999999999</v>
      </c>
      <c r="K1060">
        <v>1.0916429999999999</v>
      </c>
      <c r="L1060">
        <v>344.4948</v>
      </c>
      <c r="M1060">
        <v>-3.6363630000000001E-2</v>
      </c>
      <c r="N1060">
        <v>0</v>
      </c>
      <c r="O1060">
        <v>-0.99919809999999998</v>
      </c>
      <c r="P1060">
        <v>-0.15463950000000001</v>
      </c>
      <c r="Q1060">
        <v>7.6435810000000007E-2</v>
      </c>
      <c r="R1060">
        <v>-0.9850101</v>
      </c>
      <c r="S1060">
        <v>-0.50015259999999995</v>
      </c>
      <c r="T1060">
        <v>-0.33947440000000001</v>
      </c>
      <c r="U1060">
        <v>-2.9938660000000001</v>
      </c>
      <c r="V1060">
        <v>0.1223617</v>
      </c>
      <c r="W1060">
        <v>8.8173470000000004E-2</v>
      </c>
      <c r="X1060">
        <v>0.98856109999999997</v>
      </c>
      <c r="Y1060">
        <v>0.12777079999999999</v>
      </c>
      <c r="Z1060">
        <v>0.111334199999999</v>
      </c>
      <c r="AA1060">
        <v>0.98553500000000005</v>
      </c>
      <c r="AB1060">
        <v>34</v>
      </c>
      <c r="AC1060">
        <v>-0.108100000000007</v>
      </c>
      <c r="AD1060">
        <v>-8.5969999999999797E-2</v>
      </c>
      <c r="AE1060">
        <v>-0.408299999999997</v>
      </c>
      <c r="AF1060">
        <v>8.9472313505809906E-2</v>
      </c>
      <c r="AG1060">
        <v>-8.5969999999999797E-2</v>
      </c>
      <c r="AH1060">
        <v>0.39557285738915798</v>
      </c>
      <c r="AI1060">
        <v>101.968156672776</v>
      </c>
      <c r="AJ1060">
        <v>77.255054936937199</v>
      </c>
      <c r="AK1060">
        <v>0.41457691842058098</v>
      </c>
      <c r="AL1060">
        <v>84.941463144071406</v>
      </c>
      <c r="AM1060">
        <v>82.943956007249398</v>
      </c>
      <c r="AN1060">
        <v>0.99999999743597001</v>
      </c>
    </row>
    <row r="1061" spans="1:40" x14ac:dyDescent="0.25">
      <c r="A1061" t="str">
        <f>"20190312164453996"</f>
        <v>20190312164453996</v>
      </c>
      <c r="B1061" t="str">
        <f>"1552380293982984"</f>
        <v>1552380293982984</v>
      </c>
      <c r="C1061" t="s">
        <v>40</v>
      </c>
      <c r="D1061">
        <v>5.6254629999999999</v>
      </c>
      <c r="E1061">
        <v>0.51023220000000002</v>
      </c>
      <c r="F1061" t="s">
        <v>41</v>
      </c>
      <c r="G1061">
        <v>-187.89109999999999</v>
      </c>
      <c r="H1061">
        <v>1.0112939999999999</v>
      </c>
      <c r="I1061">
        <v>343.77300000000002</v>
      </c>
      <c r="J1061">
        <v>-187.7946</v>
      </c>
      <c r="K1061">
        <v>1.092101</v>
      </c>
      <c r="L1061">
        <v>344.10469999999998</v>
      </c>
      <c r="M1061">
        <v>-5.4458850000000003E-2</v>
      </c>
      <c r="N1061">
        <v>0</v>
      </c>
      <c r="O1061">
        <v>-0.99837739999999997</v>
      </c>
      <c r="P1061">
        <v>-0.1620415</v>
      </c>
      <c r="Q1061">
        <v>7.5667949999999998E-2</v>
      </c>
      <c r="R1061">
        <v>-0.98387860000000005</v>
      </c>
      <c r="S1061">
        <v>-0.5141907</v>
      </c>
      <c r="T1061">
        <v>-0.33271009999999901</v>
      </c>
      <c r="U1061">
        <v>-2.9907530000000002</v>
      </c>
      <c r="V1061">
        <v>0.1117388</v>
      </c>
      <c r="W1061">
        <v>8.7834819999999994E-2</v>
      </c>
      <c r="X1061">
        <v>0.98984819999999996</v>
      </c>
      <c r="Y1061">
        <v>0.1144974</v>
      </c>
      <c r="Z1061">
        <v>0.10916579999999999</v>
      </c>
      <c r="AA1061">
        <v>0.98740729999999999</v>
      </c>
      <c r="AB1061">
        <v>34</v>
      </c>
      <c r="AC1061">
        <v>-9.6499999999991801E-2</v>
      </c>
      <c r="AD1061">
        <v>-8.0806999999999796E-2</v>
      </c>
      <c r="AE1061">
        <v>-0.33169999999995498</v>
      </c>
      <c r="AF1061">
        <v>7.4228683250198699E-2</v>
      </c>
      <c r="AG1061">
        <v>-8.0806999999999796E-2</v>
      </c>
      <c r="AH1061">
        <v>0.31900844488927599</v>
      </c>
      <c r="AI1061">
        <v>103.859009964195</v>
      </c>
      <c r="AJ1061">
        <v>76.901176867702702</v>
      </c>
      <c r="AK1061">
        <v>0.33735153264322498</v>
      </c>
      <c r="AL1061">
        <v>84.9609418830089</v>
      </c>
      <c r="AM1061">
        <v>83.559443255187603</v>
      </c>
      <c r="AN1061">
        <v>0.99999998703655602</v>
      </c>
    </row>
    <row r="1062" spans="1:40" x14ac:dyDescent="0.25">
      <c r="A1062" t="str">
        <f>"20190312164454014"</f>
        <v>20190312164454014</v>
      </c>
      <c r="B1062" t="str">
        <f>"1552380294003480"</f>
        <v>1552380294003480</v>
      </c>
      <c r="C1062" t="s">
        <v>40</v>
      </c>
      <c r="D1062">
        <v>5.5414370000000002</v>
      </c>
      <c r="E1062">
        <v>0.5095634</v>
      </c>
      <c r="F1062" t="s">
        <v>41</v>
      </c>
      <c r="G1062">
        <v>-187.9623</v>
      </c>
      <c r="H1062">
        <v>0.98814460000000004</v>
      </c>
      <c r="I1062">
        <v>343.1662</v>
      </c>
      <c r="J1062">
        <v>-187.82140000000001</v>
      </c>
      <c r="K1062">
        <v>1.092511</v>
      </c>
      <c r="L1062">
        <v>343.7919</v>
      </c>
      <c r="M1062">
        <v>-6.8449679999999999E-2</v>
      </c>
      <c r="N1062">
        <v>0</v>
      </c>
      <c r="O1062">
        <v>-0.99751809999999996</v>
      </c>
      <c r="P1062">
        <v>-0.16646939999999999</v>
      </c>
      <c r="Q1062">
        <v>7.4383500000000005E-2</v>
      </c>
      <c r="R1062">
        <v>-0.98323709999999997</v>
      </c>
      <c r="S1062">
        <v>-0.53376769999999996</v>
      </c>
      <c r="T1062">
        <v>-0.33086759999999998</v>
      </c>
      <c r="U1062">
        <v>-2.986694</v>
      </c>
      <c r="V1062">
        <v>0.1021584</v>
      </c>
      <c r="W1062">
        <v>8.6922299999999994E-2</v>
      </c>
      <c r="X1062">
        <v>0.99096329999999999</v>
      </c>
      <c r="Y1062">
        <v>0.10708289999999999</v>
      </c>
      <c r="Z1062">
        <v>0.1085569</v>
      </c>
      <c r="AA1062">
        <v>0.98830600000000002</v>
      </c>
      <c r="AB1062">
        <v>34</v>
      </c>
      <c r="AC1062">
        <v>-0.14089999999998701</v>
      </c>
      <c r="AD1062">
        <v>-0.104366399999999</v>
      </c>
      <c r="AE1062">
        <v>-0.62569999999999404</v>
      </c>
      <c r="AF1062">
        <v>9.5213456858245699E-2</v>
      </c>
      <c r="AG1062">
        <v>-0.104366399999999</v>
      </c>
      <c r="AH1062">
        <v>0.61752627700588802</v>
      </c>
      <c r="AI1062">
        <v>99.482767139122998</v>
      </c>
      <c r="AJ1062">
        <v>81.234857927639894</v>
      </c>
      <c r="AK1062">
        <v>0.63347979494898599</v>
      </c>
      <c r="AL1062">
        <v>85.013426455258198</v>
      </c>
      <c r="AM1062">
        <v>84.114170350349696</v>
      </c>
      <c r="AN1062">
        <v>1.0000000434373599</v>
      </c>
    </row>
    <row r="1063" spans="1:40" x14ac:dyDescent="0.25">
      <c r="A1063" t="str">
        <f>"20190312164454038"</f>
        <v>20190312164454038</v>
      </c>
      <c r="B1063" t="str">
        <f>"1552380294032759"</f>
        <v>1552380294032759</v>
      </c>
      <c r="C1063" t="s">
        <v>40</v>
      </c>
      <c r="D1063">
        <v>5.6024279999999997</v>
      </c>
      <c r="E1063">
        <v>0.50861219999999996</v>
      </c>
      <c r="F1063" t="s">
        <v>41</v>
      </c>
      <c r="G1063">
        <v>-187.9922</v>
      </c>
      <c r="H1063">
        <v>0.98825469999999904</v>
      </c>
      <c r="I1063">
        <v>342.85750000000002</v>
      </c>
      <c r="J1063">
        <v>-187.86</v>
      </c>
      <c r="K1063">
        <v>1.093065</v>
      </c>
      <c r="L1063">
        <v>343.40980000000002</v>
      </c>
      <c r="M1063">
        <v>-8.4866349999999993E-2</v>
      </c>
      <c r="N1063">
        <v>0</v>
      </c>
      <c r="O1063">
        <v>-0.99625830000000004</v>
      </c>
      <c r="P1063">
        <v>-0.17502719999999999</v>
      </c>
      <c r="Q1063">
        <v>7.4403339999999998E-2</v>
      </c>
      <c r="R1063">
        <v>-0.98174850000000002</v>
      </c>
      <c r="S1063">
        <v>-0.54493709999999995</v>
      </c>
      <c r="T1063">
        <v>-0.33270369999999999</v>
      </c>
      <c r="U1063">
        <v>-2.9840390000000001</v>
      </c>
      <c r="V1063">
        <v>9.4342770000000006E-2</v>
      </c>
      <c r="W1063">
        <v>8.7218260000000006E-2</v>
      </c>
      <c r="X1063">
        <v>0.99171189999999998</v>
      </c>
      <c r="Y1063">
        <v>9.4426629999999998E-2</v>
      </c>
      <c r="Z1063">
        <v>0.1090749</v>
      </c>
      <c r="AA1063">
        <v>0.98953840000000004</v>
      </c>
      <c r="AB1063">
        <v>34</v>
      </c>
      <c r="AC1063">
        <v>-0.132199999999983</v>
      </c>
      <c r="AD1063">
        <v>-0.1048103</v>
      </c>
      <c r="AE1063">
        <v>-0.55230000000000201</v>
      </c>
      <c r="AF1063">
        <v>8.2050251607754102E-2</v>
      </c>
      <c r="AG1063">
        <v>-0.1048103</v>
      </c>
      <c r="AH1063">
        <v>0.54303140476433798</v>
      </c>
      <c r="AI1063">
        <v>100.804601831767</v>
      </c>
      <c r="AJ1063">
        <v>81.407790893098493</v>
      </c>
      <c r="AK1063">
        <v>0.55910692120140704</v>
      </c>
      <c r="AL1063">
        <v>84.996404522804298</v>
      </c>
      <c r="AM1063">
        <v>84.565736083078306</v>
      </c>
      <c r="AN1063">
        <v>1.0000000378651499</v>
      </c>
    </row>
    <row r="1064" spans="1:40" x14ac:dyDescent="0.25">
      <c r="A1064" t="str">
        <f>"20190312164454061"</f>
        <v>20190312164454061</v>
      </c>
      <c r="B1064" t="str">
        <f>"1552380294052280"</f>
        <v>1552380294052280</v>
      </c>
      <c r="C1064" t="s">
        <v>40</v>
      </c>
      <c r="D1064">
        <v>5.5820689999999997</v>
      </c>
      <c r="E1064">
        <v>0.50813240000000004</v>
      </c>
      <c r="F1064" t="s">
        <v>41</v>
      </c>
      <c r="G1064">
        <v>-188.02279999999999</v>
      </c>
      <c r="H1064">
        <v>0.99748000000000003</v>
      </c>
      <c r="I1064">
        <v>342.54469999999998</v>
      </c>
      <c r="J1064">
        <v>-187.8997</v>
      </c>
      <c r="K1064">
        <v>1.093615</v>
      </c>
      <c r="L1064">
        <v>343.06560000000002</v>
      </c>
      <c r="M1064">
        <v>-9.8953689999999997E-2</v>
      </c>
      <c r="N1064">
        <v>0</v>
      </c>
      <c r="O1064">
        <v>-0.99495999999999996</v>
      </c>
      <c r="P1064">
        <v>-0.18151049999999999</v>
      </c>
      <c r="Q1064">
        <v>7.2894109999999998E-2</v>
      </c>
      <c r="R1064">
        <v>-0.98068390000000005</v>
      </c>
      <c r="S1064">
        <v>-0.56085209999999996</v>
      </c>
      <c r="T1064">
        <v>-0.32927079999999997</v>
      </c>
      <c r="U1064">
        <v>-2.9807739999999998</v>
      </c>
      <c r="V1064">
        <v>8.6672529999999998E-2</v>
      </c>
      <c r="W1064">
        <v>8.5974099999999998E-2</v>
      </c>
      <c r="X1064">
        <v>0.99252019999999996</v>
      </c>
      <c r="Y1064">
        <v>8.5660990000000006E-2</v>
      </c>
      <c r="Z1064">
        <v>0.1078588</v>
      </c>
      <c r="AA1064">
        <v>0.99046889999999999</v>
      </c>
      <c r="AB1064">
        <v>34</v>
      </c>
      <c r="AC1064">
        <v>-0.12309999999999301</v>
      </c>
      <c r="AD1064">
        <v>-9.6134999999999998E-2</v>
      </c>
      <c r="AE1064">
        <v>-0.52090000000004</v>
      </c>
      <c r="AF1064">
        <v>6.8726850339241904E-2</v>
      </c>
      <c r="AG1064">
        <v>-9.6134999999999998E-2</v>
      </c>
      <c r="AH1064">
        <v>0.51394610388360096</v>
      </c>
      <c r="AI1064">
        <v>100.503506294811</v>
      </c>
      <c r="AJ1064">
        <v>82.383373778687897</v>
      </c>
      <c r="AK1064">
        <v>0.52735748395152704</v>
      </c>
      <c r="AL1064">
        <v>85.067958298523607</v>
      </c>
      <c r="AM1064">
        <v>85.009265824857707</v>
      </c>
      <c r="AN1064">
        <v>1.00000001036772</v>
      </c>
    </row>
    <row r="1065" spans="1:40" x14ac:dyDescent="0.25">
      <c r="A1065" t="str">
        <f>"20190312164454082"</f>
        <v>20190312164454082</v>
      </c>
      <c r="B1065" t="str">
        <f>"1552380294072776"</f>
        <v>1552380294072776</v>
      </c>
      <c r="C1065" t="s">
        <v>40</v>
      </c>
      <c r="D1065">
        <v>5.6021150000000004</v>
      </c>
      <c r="E1065">
        <v>0.50776579999999905</v>
      </c>
      <c r="F1065" t="s">
        <v>41</v>
      </c>
      <c r="G1065">
        <v>-188.0599</v>
      </c>
      <c r="H1065">
        <v>1.000912</v>
      </c>
      <c r="I1065">
        <v>342.23590000000002</v>
      </c>
      <c r="J1065">
        <v>-187.94239999999999</v>
      </c>
      <c r="K1065">
        <v>1.0942050000000001</v>
      </c>
      <c r="L1065">
        <v>342.73349999999999</v>
      </c>
      <c r="M1065">
        <v>-0.1118281</v>
      </c>
      <c r="N1065">
        <v>0</v>
      </c>
      <c r="O1065">
        <v>-0.99359770000000003</v>
      </c>
      <c r="P1065">
        <v>-0.18475169999999999</v>
      </c>
      <c r="Q1065">
        <v>7.012314E-2</v>
      </c>
      <c r="R1065">
        <v>-0.98028059999999995</v>
      </c>
      <c r="S1065">
        <v>-0.5744629</v>
      </c>
      <c r="T1065">
        <v>-0.33250469999999999</v>
      </c>
      <c r="U1065">
        <v>-2.977509</v>
      </c>
      <c r="V1065">
        <v>7.6850730000000006E-2</v>
      </c>
      <c r="W1065">
        <v>8.3530090000000001E-2</v>
      </c>
      <c r="X1065">
        <v>0.99353749999999996</v>
      </c>
      <c r="Y1065">
        <v>7.7304090000000006E-2</v>
      </c>
      <c r="Z1065">
        <v>0.1087902</v>
      </c>
      <c r="AA1065">
        <v>0.9910544</v>
      </c>
      <c r="AB1065">
        <v>34</v>
      </c>
      <c r="AC1065">
        <v>-0.117500000000006</v>
      </c>
      <c r="AD1065">
        <v>-9.3292999999999807E-2</v>
      </c>
      <c r="AE1065">
        <v>-0.49759999999997701</v>
      </c>
      <c r="AF1065">
        <v>5.9140886890002603E-2</v>
      </c>
      <c r="AG1065">
        <v>-9.3292999999999807E-2</v>
      </c>
      <c r="AH1065">
        <v>0.49126316189247099</v>
      </c>
      <c r="AI1065">
        <v>100.67737423372</v>
      </c>
      <c r="AJ1065">
        <v>83.135462166777103</v>
      </c>
      <c r="AK1065">
        <v>0.50352827386724197</v>
      </c>
      <c r="AL1065">
        <v>85.208495563192599</v>
      </c>
      <c r="AM1065">
        <v>85.576943791336902</v>
      </c>
      <c r="AN1065">
        <v>1.00000003727159</v>
      </c>
    </row>
    <row r="1066" spans="1:40" x14ac:dyDescent="0.25">
      <c r="A1066" t="str">
        <f>"20190312164454104"</f>
        <v>20190312164454104</v>
      </c>
      <c r="B1066" t="str">
        <f>"1552380294092296"</f>
        <v>1552380294092296</v>
      </c>
      <c r="C1066" t="s">
        <v>40</v>
      </c>
      <c r="D1066">
        <v>5.6291270000000004</v>
      </c>
      <c r="E1066">
        <v>0.50749509999999998</v>
      </c>
      <c r="F1066" t="s">
        <v>41</v>
      </c>
      <c r="G1066">
        <v>-188.1001</v>
      </c>
      <c r="H1066">
        <v>1.0026219999999999</v>
      </c>
      <c r="I1066">
        <v>341.92860000000002</v>
      </c>
      <c r="J1066">
        <v>-187.98990000000001</v>
      </c>
      <c r="K1066">
        <v>1.0948629999999999</v>
      </c>
      <c r="L1066">
        <v>342.39530000000002</v>
      </c>
      <c r="M1066">
        <v>-0.1241363</v>
      </c>
      <c r="N1066">
        <v>0</v>
      </c>
      <c r="O1066">
        <v>-0.9921373</v>
      </c>
      <c r="P1066">
        <v>-0.18668180000000001</v>
      </c>
      <c r="Q1066">
        <v>6.7544399999999893E-2</v>
      </c>
      <c r="R1066">
        <v>-0.98009579999999996</v>
      </c>
      <c r="S1066">
        <v>-0.58285520000000002</v>
      </c>
      <c r="T1066">
        <v>-0.33845419999999998</v>
      </c>
      <c r="U1066">
        <v>-2.9747309999999998</v>
      </c>
      <c r="V1066">
        <v>6.6238080000000005E-2</v>
      </c>
      <c r="W1066">
        <v>8.1279939999999995E-2</v>
      </c>
      <c r="X1066">
        <v>0.99448789999999998</v>
      </c>
      <c r="Y1066">
        <v>6.7768789999999995E-2</v>
      </c>
      <c r="Z1066">
        <v>0.110579399999999</v>
      </c>
      <c r="AA1066">
        <v>0.99155409999999999</v>
      </c>
      <c r="AB1066">
        <v>34</v>
      </c>
      <c r="AC1066">
        <v>-0.110199999999991</v>
      </c>
      <c r="AD1066">
        <v>-9.2241000000000004E-2</v>
      </c>
      <c r="AE1066">
        <v>-0.466700000000003</v>
      </c>
      <c r="AF1066">
        <v>4.95714666946276E-2</v>
      </c>
      <c r="AG1066">
        <v>-9.2241000000000004E-2</v>
      </c>
      <c r="AH1066">
        <v>0.45975940859578301</v>
      </c>
      <c r="AI1066">
        <v>101.280881508986</v>
      </c>
      <c r="AJ1066">
        <v>83.846116554408496</v>
      </c>
      <c r="AK1066">
        <v>0.47153414105831198</v>
      </c>
      <c r="AL1066">
        <v>85.337859709927997</v>
      </c>
      <c r="AM1066">
        <v>86.189430544471605</v>
      </c>
      <c r="AN1066">
        <v>1.00000004756744</v>
      </c>
    </row>
    <row r="1067" spans="1:40" x14ac:dyDescent="0.25">
      <c r="A1067" t="str">
        <f>"20190312164454126"</f>
        <v>20190312164454126</v>
      </c>
      <c r="B1067" t="str">
        <f>"1552380294122553"</f>
        <v>1552380294122553</v>
      </c>
      <c r="C1067" t="s">
        <v>40</v>
      </c>
      <c r="D1067">
        <v>5.5355660000000002</v>
      </c>
      <c r="E1067">
        <v>0.48112749999999999</v>
      </c>
      <c r="F1067" t="s">
        <v>41</v>
      </c>
      <c r="G1067">
        <v>-188.14349999999999</v>
      </c>
      <c r="H1067">
        <v>1.004934</v>
      </c>
      <c r="I1067">
        <v>341.62189999999998</v>
      </c>
      <c r="J1067">
        <v>-188.041</v>
      </c>
      <c r="K1067">
        <v>1.095567</v>
      </c>
      <c r="L1067">
        <v>342.05869999999999</v>
      </c>
      <c r="M1067">
        <v>-0.1355364</v>
      </c>
      <c r="N1067">
        <v>0</v>
      </c>
      <c r="O1067">
        <v>-0.99064680000000005</v>
      </c>
      <c r="P1067">
        <v>-0.1889296</v>
      </c>
      <c r="Q1067">
        <v>6.6513760000000005E-2</v>
      </c>
      <c r="R1067">
        <v>-0.97973560000000004</v>
      </c>
      <c r="S1067">
        <v>-0.58964539999999999</v>
      </c>
      <c r="T1067">
        <v>-0.34555780000000003</v>
      </c>
      <c r="U1067">
        <v>-2.9724729999999999</v>
      </c>
      <c r="V1067">
        <v>5.6890379999999997E-2</v>
      </c>
      <c r="W1067">
        <v>8.0505709999999994E-2</v>
      </c>
      <c r="X1067">
        <v>0.99512929999999999</v>
      </c>
      <c r="Y1067">
        <v>5.8568160000000001E-2</v>
      </c>
      <c r="Z1067">
        <v>0.112709</v>
      </c>
      <c r="AA1067">
        <v>0.99190040000000002</v>
      </c>
      <c r="AB1067">
        <v>34</v>
      </c>
      <c r="AC1067">
        <v>-0.102499999999992</v>
      </c>
      <c r="AD1067">
        <v>-9.0632999999999894E-2</v>
      </c>
      <c r="AE1067">
        <v>-0.43680000000000502</v>
      </c>
      <c r="AF1067">
        <v>4.0684095540103202E-2</v>
      </c>
      <c r="AG1067">
        <v>-9.0632999999999894E-2</v>
      </c>
      <c r="AH1067">
        <v>0.429150501196496</v>
      </c>
      <c r="AI1067">
        <v>101.87344087984501</v>
      </c>
      <c r="AJ1067">
        <v>84.584461276309696</v>
      </c>
      <c r="AK1067">
        <v>0.440499363218745</v>
      </c>
      <c r="AL1067">
        <v>85.382365474325695</v>
      </c>
      <c r="AM1067">
        <v>86.728028659897305</v>
      </c>
      <c r="AN1067">
        <v>1.00000000419881</v>
      </c>
    </row>
    <row r="1068" spans="1:40" x14ac:dyDescent="0.25">
      <c r="A1068" t="str">
        <f>"20190312164454147"</f>
        <v>20190312164454147</v>
      </c>
      <c r="B1068" t="str">
        <f>"1552380294143048"</f>
        <v>1552380294143048</v>
      </c>
      <c r="C1068" t="s">
        <v>40</v>
      </c>
      <c r="D1068">
        <v>5.585502</v>
      </c>
      <c r="E1068">
        <v>0.47987459999999998</v>
      </c>
      <c r="F1068" t="s">
        <v>41</v>
      </c>
      <c r="G1068">
        <v>-188.13839999999999</v>
      </c>
      <c r="H1068">
        <v>1.010157</v>
      </c>
      <c r="I1068">
        <v>341.30630000000002</v>
      </c>
      <c r="J1068">
        <v>-188.0934</v>
      </c>
      <c r="K1068">
        <v>1.0963130000000001</v>
      </c>
      <c r="L1068">
        <v>341.7355</v>
      </c>
      <c r="M1068">
        <v>-0.145649</v>
      </c>
      <c r="N1068">
        <v>0</v>
      </c>
      <c r="O1068">
        <v>-0.98921300000000001</v>
      </c>
      <c r="P1068">
        <v>-0.18978990000000001</v>
      </c>
      <c r="Q1068">
        <v>6.6780350000000002E-2</v>
      </c>
      <c r="R1068">
        <v>-0.97955150000000002</v>
      </c>
      <c r="S1068">
        <v>-0.38954159999999999</v>
      </c>
      <c r="T1068">
        <v>-0.341777</v>
      </c>
      <c r="U1068">
        <v>-3.010132</v>
      </c>
      <c r="V1068">
        <v>4.745489E-2</v>
      </c>
      <c r="W1068">
        <v>8.1007609999999994E-2</v>
      </c>
      <c r="X1068">
        <v>0.99558310000000005</v>
      </c>
      <c r="Y1068">
        <v>-1.8286409999999999E-2</v>
      </c>
      <c r="Z1068">
        <v>0.11056050000000001</v>
      </c>
      <c r="AA1068">
        <v>0.99370119999999895</v>
      </c>
      <c r="AB1068">
        <v>34</v>
      </c>
      <c r="AC1068">
        <v>-4.4999999999987397E-2</v>
      </c>
      <c r="AD1068">
        <v>-8.6155999999999899E-2</v>
      </c>
      <c r="AE1068">
        <v>-0.42919999999997999</v>
      </c>
      <c r="AF1068">
        <v>-1.7310229815152001E-2</v>
      </c>
      <c r="AG1068">
        <v>-8.6155999999999899E-2</v>
      </c>
      <c r="AH1068">
        <v>0.41465035280525198</v>
      </c>
      <c r="AI1068">
        <v>101.72796219026399</v>
      </c>
      <c r="AJ1068">
        <v>92.390514182014002</v>
      </c>
      <c r="AK1068">
        <v>0.42386013668871197</v>
      </c>
      <c r="AL1068">
        <v>85.353514258004495</v>
      </c>
      <c r="AM1068">
        <v>87.271037886543198</v>
      </c>
      <c r="AN1068">
        <v>0.99999995423421595</v>
      </c>
    </row>
    <row r="1069" spans="1:40" x14ac:dyDescent="0.25">
      <c r="A1069" t="str">
        <f>"20190312164454170"</f>
        <v>20190312164454170</v>
      </c>
      <c r="B1069" t="str">
        <f>"1552380294162569"</f>
        <v>1552380294162569</v>
      </c>
      <c r="C1069" t="s">
        <v>40</v>
      </c>
      <c r="D1069">
        <v>5.7832540000000003</v>
      </c>
      <c r="E1069">
        <v>0.47949750000000002</v>
      </c>
      <c r="F1069" t="s">
        <v>41</v>
      </c>
      <c r="G1069">
        <v>-188.18639999999999</v>
      </c>
      <c r="H1069">
        <v>1.0119849999999999</v>
      </c>
      <c r="I1069">
        <v>341.00080000000003</v>
      </c>
      <c r="J1069">
        <v>-188.1514</v>
      </c>
      <c r="K1069">
        <v>1.097135</v>
      </c>
      <c r="L1069">
        <v>341.39760000000001</v>
      </c>
      <c r="M1069">
        <v>-0.1553243</v>
      </c>
      <c r="N1069">
        <v>0</v>
      </c>
      <c r="O1069">
        <v>-0.98774209999999996</v>
      </c>
      <c r="P1069">
        <v>-0.18864600000000001</v>
      </c>
      <c r="Q1069">
        <v>6.6612199999999996E-2</v>
      </c>
      <c r="R1069">
        <v>-0.97978370000000004</v>
      </c>
      <c r="S1069">
        <v>-0.38066100000000003</v>
      </c>
      <c r="T1069">
        <v>-0.34570230000000002</v>
      </c>
      <c r="U1069">
        <v>-3.0124819999999999</v>
      </c>
      <c r="V1069">
        <v>3.6370939999999997E-2</v>
      </c>
      <c r="W1069">
        <v>8.1089359999999999E-2</v>
      </c>
      <c r="X1069">
        <v>0.99604300000000001</v>
      </c>
      <c r="Y1069">
        <v>-3.1065809999999999E-2</v>
      </c>
      <c r="Z1069">
        <v>0.1114821</v>
      </c>
      <c r="AA1069">
        <v>0.99328079999999996</v>
      </c>
      <c r="AB1069">
        <v>34</v>
      </c>
      <c r="AC1069">
        <v>-3.4999999999996499E-2</v>
      </c>
      <c r="AD1069">
        <v>-8.5149999999999795E-2</v>
      </c>
      <c r="AE1069">
        <v>-0.396799999999984</v>
      </c>
      <c r="AF1069">
        <v>-2.5882287581323202E-2</v>
      </c>
      <c r="AG1069">
        <v>-8.5149999999999795E-2</v>
      </c>
      <c r="AH1069">
        <v>0.38005387024582599</v>
      </c>
      <c r="AI1069">
        <v>102.60016132442701</v>
      </c>
      <c r="AJ1069">
        <v>93.895920462196003</v>
      </c>
      <c r="AK1069">
        <v>0.39033493258901802</v>
      </c>
      <c r="AL1069">
        <v>85.348815051608099</v>
      </c>
      <c r="AM1069">
        <v>87.908749029234201</v>
      </c>
      <c r="AN1069">
        <v>0.99999999371534598</v>
      </c>
    </row>
    <row r="1070" spans="1:40" x14ac:dyDescent="0.25">
      <c r="A1070" t="str">
        <f>"20190312164454192"</f>
        <v>20190312164454192</v>
      </c>
      <c r="B1070" t="str">
        <f>"1552380294183064"</f>
        <v>1552380294183064</v>
      </c>
      <c r="C1070" t="s">
        <v>40</v>
      </c>
      <c r="D1070">
        <v>5.4940429999999996</v>
      </c>
      <c r="E1070">
        <v>0.47941820000000002</v>
      </c>
      <c r="F1070" t="s">
        <v>41</v>
      </c>
      <c r="G1070">
        <v>-188.2756</v>
      </c>
      <c r="H1070">
        <v>0.98598859999999999</v>
      </c>
      <c r="I1070">
        <v>340.4033</v>
      </c>
      <c r="J1070">
        <v>-188.21369999999999</v>
      </c>
      <c r="K1070">
        <v>1.097993</v>
      </c>
      <c r="L1070">
        <v>341.053</v>
      </c>
      <c r="M1070">
        <v>-0.16422989999999901</v>
      </c>
      <c r="N1070">
        <v>0</v>
      </c>
      <c r="O1070">
        <v>-0.98630289999999998</v>
      </c>
      <c r="P1070">
        <v>-0.18576699999999999</v>
      </c>
      <c r="Q1070">
        <v>6.6106399999999996E-2</v>
      </c>
      <c r="R1070">
        <v>-0.98036780000000001</v>
      </c>
      <c r="S1070">
        <v>-0.37606810000000002</v>
      </c>
      <c r="T1070">
        <v>-0.33675769999999999</v>
      </c>
      <c r="U1070">
        <v>-3.012451</v>
      </c>
      <c r="V1070">
        <v>2.426232E-2</v>
      </c>
      <c r="W1070">
        <v>8.0820840000000005E-2</v>
      </c>
      <c r="X1070">
        <v>0.99643329999999997</v>
      </c>
      <c r="Y1070">
        <v>-4.15296E-2</v>
      </c>
      <c r="Z1070">
        <v>0.1083856</v>
      </c>
      <c r="AA1070">
        <v>0.99324109999999999</v>
      </c>
      <c r="AB1070">
        <v>34</v>
      </c>
      <c r="AC1070">
        <v>-6.1900000000008497E-2</v>
      </c>
      <c r="AD1070">
        <v>-0.112004399999999</v>
      </c>
      <c r="AE1070">
        <v>-0.64970000000005201</v>
      </c>
      <c r="AF1070">
        <v>-4.4347253077032099E-2</v>
      </c>
      <c r="AG1070">
        <v>-0.112004399999999</v>
      </c>
      <c r="AH1070">
        <v>0.63241719424370002</v>
      </c>
      <c r="AI1070">
        <v>100.01913769576799</v>
      </c>
      <c r="AJ1070">
        <v>94.011209533113202</v>
      </c>
      <c r="AK1070">
        <v>0.64378814220977398</v>
      </c>
      <c r="AL1070">
        <v>85.364250783661802</v>
      </c>
      <c r="AM1070">
        <v>88.605171156426906</v>
      </c>
      <c r="AN1070">
        <v>0.99999999484948798</v>
      </c>
    </row>
    <row r="1071" spans="1:40" x14ac:dyDescent="0.25">
      <c r="A1071" t="str">
        <f>"20190312164454215"</f>
        <v>20190312164454215</v>
      </c>
      <c r="B1071" t="str">
        <f>"1552380294212345"</f>
        <v>1552380294212345</v>
      </c>
      <c r="C1071" t="s">
        <v>40</v>
      </c>
      <c r="D1071">
        <v>5.5437609999999999</v>
      </c>
      <c r="E1071">
        <v>0.47948180000000001</v>
      </c>
      <c r="F1071" t="s">
        <v>41</v>
      </c>
      <c r="G1071">
        <v>-188.3312</v>
      </c>
      <c r="H1071">
        <v>0.99297769999999996</v>
      </c>
      <c r="I1071">
        <v>340.09620000000001</v>
      </c>
      <c r="J1071">
        <v>-188.27629999999999</v>
      </c>
      <c r="K1071">
        <v>1.0987769999999999</v>
      </c>
      <c r="L1071">
        <v>340.72050000000002</v>
      </c>
      <c r="M1071">
        <v>-0.17209849999999999</v>
      </c>
      <c r="N1071">
        <v>0</v>
      </c>
      <c r="O1071">
        <v>-0.98496229999999996</v>
      </c>
      <c r="P1071">
        <v>-0.1812416</v>
      </c>
      <c r="Q1071">
        <v>6.66712E-2</v>
      </c>
      <c r="R1071">
        <v>-0.98117639999999995</v>
      </c>
      <c r="S1071">
        <v>-0.36981199999999997</v>
      </c>
      <c r="T1071">
        <v>-0.33064519999999997</v>
      </c>
      <c r="U1071">
        <v>-3.0122680000000002</v>
      </c>
      <c r="V1071">
        <v>1.156773E-2</v>
      </c>
      <c r="W1071">
        <v>8.1597890000000006E-2</v>
      </c>
      <c r="X1071">
        <v>0.99659819999999999</v>
      </c>
      <c r="Y1071">
        <v>-5.1499709999999997E-2</v>
      </c>
      <c r="Z1071">
        <v>0.1062186</v>
      </c>
      <c r="AA1071">
        <v>0.99300829999999995</v>
      </c>
      <c r="AB1071">
        <v>34</v>
      </c>
      <c r="AC1071">
        <v>-5.4900000000003502E-2</v>
      </c>
      <c r="AD1071">
        <v>-0.1057993</v>
      </c>
      <c r="AE1071">
        <v>-0.62430000000000496</v>
      </c>
      <c r="AF1071">
        <v>-5.1893901152327303E-2</v>
      </c>
      <c r="AG1071">
        <v>-0.1057993</v>
      </c>
      <c r="AH1071">
        <v>0.60712967673006701</v>
      </c>
      <c r="AI1071">
        <v>99.849973767969104</v>
      </c>
      <c r="AJ1071">
        <v>94.885434517870095</v>
      </c>
      <c r="AK1071">
        <v>0.61846011449700899</v>
      </c>
      <c r="AL1071">
        <v>85.319581582051995</v>
      </c>
      <c r="AM1071">
        <v>89.334985408390594</v>
      </c>
      <c r="AN1071">
        <v>1.0000000001365199</v>
      </c>
    </row>
    <row r="1072" spans="1:40" x14ac:dyDescent="0.25">
      <c r="A1072" t="str">
        <f>"20190312164454237"</f>
        <v>20190312164454237</v>
      </c>
      <c r="B1072" t="str">
        <f>"1552380294232841"</f>
        <v>1552380294232841</v>
      </c>
      <c r="C1072" t="s">
        <v>40</v>
      </c>
      <c r="D1072">
        <v>5.4785430000000002</v>
      </c>
      <c r="E1072">
        <v>0.47940630000000001</v>
      </c>
      <c r="F1072" t="s">
        <v>42</v>
      </c>
      <c r="G1072">
        <v>-189.50640000000001</v>
      </c>
      <c r="H1072" s="1">
        <v>-4.2754869999999998E-7</v>
      </c>
      <c r="I1072">
        <v>330.42529999999999</v>
      </c>
      <c r="J1072">
        <v>-188.3434</v>
      </c>
      <c r="K1072">
        <v>1.0995569999999999</v>
      </c>
      <c r="L1072">
        <v>340.37720000000002</v>
      </c>
      <c r="M1072">
        <v>-0.17947669999999999</v>
      </c>
      <c r="N1072">
        <v>0</v>
      </c>
      <c r="O1072">
        <v>-0.98364640000000003</v>
      </c>
      <c r="P1072">
        <v>-0.1705313</v>
      </c>
      <c r="Q1072">
        <v>6.9138889999999995E-2</v>
      </c>
      <c r="R1072">
        <v>-0.98292360000000001</v>
      </c>
      <c r="S1072">
        <v>-0.3600006</v>
      </c>
      <c r="T1072">
        <v>-0.3215594</v>
      </c>
      <c r="U1072">
        <v>-3.0129090000000001</v>
      </c>
      <c r="V1072">
        <v>-6.8531570000000003E-3</v>
      </c>
      <c r="W1072">
        <v>8.4356390000000003E-2</v>
      </c>
      <c r="X1072">
        <v>0.99641210000000002</v>
      </c>
      <c r="Y1072">
        <v>-6.2155849999999999E-2</v>
      </c>
      <c r="Z1072">
        <v>0.103091</v>
      </c>
      <c r="AA1072">
        <v>0.99272800000000005</v>
      </c>
      <c r="AB1072">
        <v>34</v>
      </c>
      <c r="AC1072">
        <v>-1.16300000000001</v>
      </c>
      <c r="AD1072">
        <v>-1.0995574275486999</v>
      </c>
      <c r="AE1072">
        <v>-9.9519000000000197</v>
      </c>
      <c r="AF1072">
        <v>-0.63458431739212895</v>
      </c>
      <c r="AG1072">
        <v>-1.0995574275486999</v>
      </c>
      <c r="AH1072">
        <v>9.8800365402585992</v>
      </c>
      <c r="AI1072">
        <v>96.337410863532895</v>
      </c>
      <c r="AJ1072">
        <v>93.6749994209395</v>
      </c>
      <c r="AK1072">
        <v>9.9612672802812892</v>
      </c>
      <c r="AL1072">
        <v>85.160984286590207</v>
      </c>
      <c r="AM1072">
        <v>90.394064645664699</v>
      </c>
      <c r="AN1072">
        <v>1.0000000196605501</v>
      </c>
    </row>
    <row r="1073" spans="1:40" x14ac:dyDescent="0.25">
      <c r="A1073" t="str">
        <f>"20190312164454272"</f>
        <v>20190312164454272</v>
      </c>
      <c r="B1073" t="str">
        <f>"1552380294263096"</f>
        <v>1552380294263096</v>
      </c>
      <c r="C1073" t="s">
        <v>40</v>
      </c>
      <c r="D1073">
        <v>5.5656470000000002</v>
      </c>
      <c r="E1073">
        <v>0.47927199999999998</v>
      </c>
      <c r="F1073" t="s">
        <v>42</v>
      </c>
      <c r="G1073">
        <v>-189.51499999999999</v>
      </c>
      <c r="H1073" s="1">
        <v>-1.438514E-7</v>
      </c>
      <c r="I1073">
        <v>329.69159999999999</v>
      </c>
      <c r="J1073">
        <v>-188.44829999999999</v>
      </c>
      <c r="K1073">
        <v>1.100757</v>
      </c>
      <c r="L1073">
        <v>339.86160000000001</v>
      </c>
      <c r="M1073">
        <v>-0.18915029999999999</v>
      </c>
      <c r="N1073">
        <v>0</v>
      </c>
      <c r="O1073">
        <v>-0.98183489999999995</v>
      </c>
      <c r="P1073">
        <v>-0.16372579999999901</v>
      </c>
      <c r="Q1073">
        <v>7.1384740000000002E-2</v>
      </c>
      <c r="R1073">
        <v>-0.98391989999999996</v>
      </c>
      <c r="S1073">
        <v>-0.33073429999999998</v>
      </c>
      <c r="T1073">
        <v>-0.31041340000000001</v>
      </c>
      <c r="U1073">
        <v>-3.016632</v>
      </c>
      <c r="V1073">
        <v>-2.373395E-2</v>
      </c>
      <c r="W1073">
        <v>8.6716150000000006E-2</v>
      </c>
      <c r="X1073">
        <v>0.99595029999999996</v>
      </c>
      <c r="Y1073">
        <v>-8.1573619999999999E-2</v>
      </c>
      <c r="Z1073">
        <v>9.9140339999999993E-2</v>
      </c>
      <c r="AA1073">
        <v>0.9917243</v>
      </c>
      <c r="AB1073">
        <v>34</v>
      </c>
      <c r="AC1073">
        <v>-1.06669999999999</v>
      </c>
      <c r="AD1073">
        <v>-1.1007571438514001</v>
      </c>
      <c r="AE1073">
        <v>-10.17</v>
      </c>
      <c r="AF1073">
        <v>-0.86639339896150702</v>
      </c>
      <c r="AG1073">
        <v>-1.1007571438514001</v>
      </c>
      <c r="AH1073">
        <v>10.071457582766</v>
      </c>
      <c r="AI1073">
        <v>96.214597240987999</v>
      </c>
      <c r="AJ1073">
        <v>94.916743644392497</v>
      </c>
      <c r="AK1073">
        <v>10.168409986470801</v>
      </c>
      <c r="AL1073">
        <v>85.025282509327297</v>
      </c>
      <c r="AM1073">
        <v>91.365126189035905</v>
      </c>
      <c r="AN1073">
        <v>0.999999995561757</v>
      </c>
    </row>
    <row r="1074" spans="1:40" x14ac:dyDescent="0.25">
      <c r="A1074" t="str">
        <f>"20190312164454294"</f>
        <v>20190312164454294</v>
      </c>
      <c r="B1074" t="str">
        <f>"1552380294282616"</f>
        <v>1552380294282616</v>
      </c>
      <c r="C1074" t="s">
        <v>40</v>
      </c>
      <c r="D1074">
        <v>5.5786150000000001</v>
      </c>
      <c r="E1074">
        <v>0.47939870000000001</v>
      </c>
      <c r="F1074" t="s">
        <v>42</v>
      </c>
      <c r="G1074">
        <v>-189.57669999999999</v>
      </c>
      <c r="H1074" s="1">
        <v>-4.0020169999999998E-6</v>
      </c>
      <c r="I1074">
        <v>328.78660000000002</v>
      </c>
      <c r="J1074">
        <v>-188.51669999999999</v>
      </c>
      <c r="K1074">
        <v>1.101564</v>
      </c>
      <c r="L1074">
        <v>339.53559999999999</v>
      </c>
      <c r="M1074">
        <v>-0.19432969999999999</v>
      </c>
      <c r="N1074">
        <v>0</v>
      </c>
      <c r="O1074">
        <v>-0.98082449999999999</v>
      </c>
      <c r="P1074">
        <v>-0.15728320000000001</v>
      </c>
      <c r="Q1074">
        <v>7.1170720000000007E-2</v>
      </c>
      <c r="R1074">
        <v>-0.98498609999999998</v>
      </c>
      <c r="S1074">
        <v>-0.30766300000000002</v>
      </c>
      <c r="T1074">
        <v>-0.30012939999999999</v>
      </c>
      <c r="U1074">
        <v>-3.0196839999999998</v>
      </c>
      <c r="V1074">
        <v>-3.5689199999999997E-2</v>
      </c>
      <c r="W1074">
        <v>8.6546079999999997E-2</v>
      </c>
      <c r="X1074">
        <v>0.99560839999999995</v>
      </c>
      <c r="Y1074">
        <v>-9.4393149999999995E-2</v>
      </c>
      <c r="Z1074">
        <v>9.5625109999999999E-2</v>
      </c>
      <c r="AA1074">
        <v>0.99093169999999997</v>
      </c>
      <c r="AB1074">
        <v>34</v>
      </c>
      <c r="AC1074">
        <v>-1.06</v>
      </c>
      <c r="AD1074">
        <v>-1.101568002017</v>
      </c>
      <c r="AE1074">
        <v>-10.748999999999899</v>
      </c>
      <c r="AF1074">
        <v>-1.0384894808216001</v>
      </c>
      <c r="AG1074">
        <v>-1.101568002017</v>
      </c>
      <c r="AH1074">
        <v>10.6393882430038</v>
      </c>
      <c r="AI1074">
        <v>95.883395751336295</v>
      </c>
      <c r="AJ1074">
        <v>95.574867078462503</v>
      </c>
      <c r="AK1074">
        <v>10.7465573394558</v>
      </c>
      <c r="AL1074">
        <v>85.035063669471398</v>
      </c>
      <c r="AM1074">
        <v>92.052981221147903</v>
      </c>
      <c r="AN1074">
        <v>1.0000000145552801</v>
      </c>
    </row>
    <row r="1075" spans="1:40" x14ac:dyDescent="0.25">
      <c r="A1075" t="str">
        <f>"20190312164454315"</f>
        <v>20190312164454315</v>
      </c>
      <c r="B1075" t="str">
        <f>"1552380294312872"</f>
        <v>1552380294312872</v>
      </c>
      <c r="C1075" t="s">
        <v>40</v>
      </c>
      <c r="D1075">
        <v>5.5801089999999904</v>
      </c>
      <c r="E1075">
        <v>0.47958820000000002</v>
      </c>
      <c r="F1075" t="s">
        <v>42</v>
      </c>
      <c r="G1075">
        <v>-189.58320000000001</v>
      </c>
      <c r="H1075" s="1">
        <v>-3.8241850000000004E-6</v>
      </c>
      <c r="I1075">
        <v>328.37470000000002</v>
      </c>
      <c r="J1075">
        <v>-188.5849</v>
      </c>
      <c r="K1075">
        <v>1.102352</v>
      </c>
      <c r="L1075">
        <v>339.2165</v>
      </c>
      <c r="M1075">
        <v>-0.19881209999999999</v>
      </c>
      <c r="N1075">
        <v>0</v>
      </c>
      <c r="O1075">
        <v>-0.9799272</v>
      </c>
      <c r="P1075">
        <v>-0.14980750000000001</v>
      </c>
      <c r="Q1075">
        <v>7.3010130000000006E-2</v>
      </c>
      <c r="R1075">
        <v>-0.98601609999999995</v>
      </c>
      <c r="S1075">
        <v>-0.28869630000000002</v>
      </c>
      <c r="T1075">
        <v>-0.29818889999999998</v>
      </c>
      <c r="U1075">
        <v>-3.0211790000000001</v>
      </c>
      <c r="V1075">
        <v>-4.7909189999999997E-2</v>
      </c>
      <c r="W1075">
        <v>8.8395769999999999E-2</v>
      </c>
      <c r="X1075">
        <v>0.99493259999999994</v>
      </c>
      <c r="Y1075">
        <v>-0.1051417</v>
      </c>
      <c r="Z1075">
        <v>9.4810549999999993E-2</v>
      </c>
      <c r="AA1075">
        <v>0.98992740000000001</v>
      </c>
      <c r="AB1075">
        <v>34</v>
      </c>
      <c r="AC1075">
        <v>-0.99829999999999997</v>
      </c>
      <c r="AD1075">
        <v>-1.102355824185</v>
      </c>
      <c r="AE1075">
        <v>-10.8417999999999</v>
      </c>
      <c r="AF1075">
        <v>-1.1654003788071901</v>
      </c>
      <c r="AG1075">
        <v>-1.102355824185</v>
      </c>
      <c r="AH1075">
        <v>10.713989098198001</v>
      </c>
      <c r="AI1075">
        <v>95.840248385945202</v>
      </c>
      <c r="AJ1075">
        <v>96.207868214202406</v>
      </c>
      <c r="AK1075">
        <v>10.833416303380201</v>
      </c>
      <c r="AL1075">
        <v>84.928676328749106</v>
      </c>
      <c r="AM1075">
        <v>92.756845739449901</v>
      </c>
      <c r="AN1075">
        <v>0.99999999059155398</v>
      </c>
    </row>
    <row r="1076" spans="1:40" x14ac:dyDescent="0.25">
      <c r="A1076" t="str">
        <f>"20190312164454337"</f>
        <v>20190312164454337</v>
      </c>
      <c r="B1076" t="str">
        <f>"1552380294332392"</f>
        <v>1552380294332392</v>
      </c>
      <c r="C1076" t="s">
        <v>40</v>
      </c>
      <c r="D1076">
        <v>5.7187830000000002</v>
      </c>
      <c r="E1076">
        <v>0.47977599999999998</v>
      </c>
      <c r="F1076" t="s">
        <v>42</v>
      </c>
      <c r="G1076">
        <v>-189.60300000000001</v>
      </c>
      <c r="H1076" s="1">
        <v>-3.5628340000000001E-6</v>
      </c>
      <c r="I1076">
        <v>327.77370000000002</v>
      </c>
      <c r="J1076">
        <v>-188.6541</v>
      </c>
      <c r="K1076">
        <v>1.103183</v>
      </c>
      <c r="L1076">
        <v>338.89690000000002</v>
      </c>
      <c r="M1076">
        <v>-0.2026075</v>
      </c>
      <c r="N1076">
        <v>0</v>
      </c>
      <c r="O1076">
        <v>-0.97915099999999999</v>
      </c>
      <c r="P1076">
        <v>-0.14174779999999901</v>
      </c>
      <c r="Q1076">
        <v>7.5059840000000003E-2</v>
      </c>
      <c r="R1076">
        <v>-0.98705319999999996</v>
      </c>
      <c r="S1076">
        <v>-0.2689819</v>
      </c>
      <c r="T1076">
        <v>-0.29124929999999999</v>
      </c>
      <c r="U1076">
        <v>-3.0232540000000001</v>
      </c>
      <c r="V1076">
        <v>-6.0013999999999998E-2</v>
      </c>
      <c r="W1076">
        <v>9.0409000000000003E-2</v>
      </c>
      <c r="X1076">
        <v>0.99409479999999995</v>
      </c>
      <c r="Y1076">
        <v>-0.1154336</v>
      </c>
      <c r="Z1076">
        <v>9.2422560000000001E-2</v>
      </c>
      <c r="AA1076">
        <v>0.98900619999999995</v>
      </c>
      <c r="AB1076">
        <v>34</v>
      </c>
      <c r="AC1076">
        <v>-0.94889999999997998</v>
      </c>
      <c r="AD1076">
        <v>-1.1031865628340001</v>
      </c>
      <c r="AE1076">
        <v>-11.123199999999899</v>
      </c>
      <c r="AF1076">
        <v>-1.3118579928668399</v>
      </c>
      <c r="AG1076">
        <v>-1.1031865628340001</v>
      </c>
      <c r="AH1076">
        <v>10.977530335100001</v>
      </c>
      <c r="AI1076">
        <v>95.698394561220994</v>
      </c>
      <c r="AJ1076">
        <v>96.814752407380695</v>
      </c>
      <c r="AK1076">
        <v>11.110542932004201</v>
      </c>
      <c r="AL1076">
        <v>84.812862850986804</v>
      </c>
      <c r="AM1076">
        <v>93.454781825220607</v>
      </c>
      <c r="AN1076">
        <v>0.99999996943201896</v>
      </c>
    </row>
    <row r="1077" spans="1:40" x14ac:dyDescent="0.25">
      <c r="A1077" t="str">
        <f>"20190312164454358"</f>
        <v>20190312164454358</v>
      </c>
      <c r="B1077" t="str">
        <f>"1552380294352889"</f>
        <v>1552380294352889</v>
      </c>
      <c r="C1077" t="s">
        <v>40</v>
      </c>
      <c r="D1077">
        <v>5.5576290000000004</v>
      </c>
      <c r="E1077">
        <v>0.48000379999999998</v>
      </c>
      <c r="F1077" t="s">
        <v>42</v>
      </c>
      <c r="G1077">
        <v>-189.61349999999999</v>
      </c>
      <c r="H1077" s="1">
        <v>-3.3055229999999999E-6</v>
      </c>
      <c r="I1077">
        <v>327.1782</v>
      </c>
      <c r="J1077">
        <v>-188.7244</v>
      </c>
      <c r="K1077">
        <v>1.1040319999999999</v>
      </c>
      <c r="L1077">
        <v>338.57459999999998</v>
      </c>
      <c r="M1077">
        <v>-0.20569209999999999</v>
      </c>
      <c r="N1077">
        <v>0</v>
      </c>
      <c r="O1077">
        <v>-0.97850870000000001</v>
      </c>
      <c r="P1077">
        <v>-0.1347062</v>
      </c>
      <c r="Q1077">
        <v>7.5293890000000002E-2</v>
      </c>
      <c r="R1077">
        <v>-0.98802069999999997</v>
      </c>
      <c r="S1077">
        <v>-0.2476807</v>
      </c>
      <c r="T1077">
        <v>-0.28481079999999998</v>
      </c>
      <c r="U1077">
        <v>-3.0254210000000001</v>
      </c>
      <c r="V1077">
        <v>-7.0417750000000001E-2</v>
      </c>
      <c r="W1077">
        <v>9.0542910000000004E-2</v>
      </c>
      <c r="X1077">
        <v>0.9933999</v>
      </c>
      <c r="Y1077">
        <v>-0.12551590000000001</v>
      </c>
      <c r="Z1077">
        <v>9.0212260000000002E-2</v>
      </c>
      <c r="AA1077">
        <v>0.98798160000000002</v>
      </c>
      <c r="AB1077">
        <v>34</v>
      </c>
      <c r="AC1077">
        <v>-0.88909999999998401</v>
      </c>
      <c r="AD1077">
        <v>-1.1040353055230001</v>
      </c>
      <c r="AE1077">
        <v>-11.3963999999999</v>
      </c>
      <c r="AF1077">
        <v>-1.46068776248572</v>
      </c>
      <c r="AG1077">
        <v>-1.1040353055230001</v>
      </c>
      <c r="AH1077">
        <v>11.2307936416533</v>
      </c>
      <c r="AI1077">
        <v>95.567786483895205</v>
      </c>
      <c r="AJ1077">
        <v>97.410346604720104</v>
      </c>
      <c r="AK1077">
        <v>11.3790697562111</v>
      </c>
      <c r="AL1077">
        <v>84.805159037541799</v>
      </c>
      <c r="AM1077">
        <v>94.054663653544694</v>
      </c>
      <c r="AN1077">
        <v>1.00000001969317</v>
      </c>
    </row>
    <row r="1078" spans="1:40" x14ac:dyDescent="0.25">
      <c r="A1078" t="str">
        <f>"20190312164454382"</f>
        <v>20190312164454382</v>
      </c>
      <c r="B1078" t="str">
        <f>"1552380294372408"</f>
        <v>1552380294372408</v>
      </c>
      <c r="C1078" t="s">
        <v>40</v>
      </c>
      <c r="D1078">
        <v>5.5548729999999997</v>
      </c>
      <c r="E1078">
        <v>0.48029569999999999</v>
      </c>
      <c r="F1078" t="s">
        <v>42</v>
      </c>
      <c r="G1078">
        <v>-189.61359999999999</v>
      </c>
      <c r="H1078" s="1">
        <v>-3.1321329999999999E-6</v>
      </c>
      <c r="I1078">
        <v>326.77409999999998</v>
      </c>
      <c r="J1078">
        <v>-188.79949999999999</v>
      </c>
      <c r="K1078">
        <v>1.1049260000000001</v>
      </c>
      <c r="L1078">
        <v>338.23239999999998</v>
      </c>
      <c r="M1078">
        <v>-0.20816560000000001</v>
      </c>
      <c r="N1078">
        <v>0</v>
      </c>
      <c r="O1078">
        <v>-0.97798680000000004</v>
      </c>
      <c r="P1078">
        <v>-0.12817999999999999</v>
      </c>
      <c r="Q1078">
        <v>7.6041449999999997E-2</v>
      </c>
      <c r="R1078">
        <v>-0.98883169999999998</v>
      </c>
      <c r="S1078">
        <v>-0.2280731</v>
      </c>
      <c r="T1078">
        <v>-0.28318880000000002</v>
      </c>
      <c r="U1078">
        <v>-3.0268860000000002</v>
      </c>
      <c r="V1078">
        <v>-7.9668539999999996E-2</v>
      </c>
      <c r="W1078">
        <v>9.1130320000000001E-2</v>
      </c>
      <c r="X1078">
        <v>0.9926471</v>
      </c>
      <c r="Y1078">
        <v>-0.1344137</v>
      </c>
      <c r="Z1078">
        <v>8.9554880000000003E-2</v>
      </c>
      <c r="AA1078">
        <v>0.98687020000000003</v>
      </c>
      <c r="AB1078">
        <v>34</v>
      </c>
      <c r="AC1078">
        <v>-0.81409999999999605</v>
      </c>
      <c r="AD1078">
        <v>-1.1049291321329999</v>
      </c>
      <c r="AE1078">
        <v>-11.458299999999999</v>
      </c>
      <c r="AF1078">
        <v>-1.5746420522361699</v>
      </c>
      <c r="AG1078">
        <v>-1.1049291321329999</v>
      </c>
      <c r="AH1078">
        <v>11.2724281757007</v>
      </c>
      <c r="AI1078">
        <v>95.544781138867606</v>
      </c>
      <c r="AJ1078">
        <v>97.952172250260105</v>
      </c>
      <c r="AK1078">
        <v>11.435383813236699</v>
      </c>
      <c r="AL1078">
        <v>84.771363303069904</v>
      </c>
      <c r="AM1078">
        <v>94.588647634732894</v>
      </c>
      <c r="AN1078">
        <v>1.00000003831372</v>
      </c>
    </row>
    <row r="1079" spans="1:40" x14ac:dyDescent="0.25">
      <c r="A1079" t="str">
        <f>"20190312164454404"</f>
        <v>20190312164454404</v>
      </c>
      <c r="B1079" t="str">
        <f>"1552380294392904"</f>
        <v>1552380294392904</v>
      </c>
      <c r="C1079" t="s">
        <v>40</v>
      </c>
      <c r="D1079">
        <v>5.6387879999999999</v>
      </c>
      <c r="E1079">
        <v>0.48061870000000001</v>
      </c>
      <c r="F1079" t="s">
        <v>42</v>
      </c>
      <c r="G1079">
        <v>-189.6234</v>
      </c>
      <c r="H1079" s="1">
        <v>-2.929627E-6</v>
      </c>
      <c r="I1079">
        <v>326.30610000000001</v>
      </c>
      <c r="J1079">
        <v>-188.87180000000001</v>
      </c>
      <c r="K1079">
        <v>1.105764</v>
      </c>
      <c r="L1079">
        <v>337.90269999999998</v>
      </c>
      <c r="M1079">
        <v>-0.2097919</v>
      </c>
      <c r="N1079">
        <v>0</v>
      </c>
      <c r="O1079">
        <v>-0.97764030000000002</v>
      </c>
      <c r="P1079">
        <v>-0.1218814</v>
      </c>
      <c r="Q1079">
        <v>7.7660870000000007E-2</v>
      </c>
      <c r="R1079">
        <v>-0.98950179999999999</v>
      </c>
      <c r="S1079">
        <v>-0.20921329999999999</v>
      </c>
      <c r="T1079">
        <v>-0.28056239999999999</v>
      </c>
      <c r="U1079">
        <v>-3.0283199999999999</v>
      </c>
      <c r="V1079">
        <v>-8.7786859999999994E-2</v>
      </c>
      <c r="W1079">
        <v>9.25676E-2</v>
      </c>
      <c r="X1079">
        <v>0.99182899999999996</v>
      </c>
      <c r="Y1079">
        <v>-0.1422002</v>
      </c>
      <c r="Z1079">
        <v>8.8610789999999995E-2</v>
      </c>
      <c r="AA1079">
        <v>0.98586370000000001</v>
      </c>
      <c r="AB1079">
        <v>34</v>
      </c>
      <c r="AC1079">
        <v>-0.75159999999999605</v>
      </c>
      <c r="AD1079">
        <v>-1.1057669296269901</v>
      </c>
      <c r="AE1079">
        <v>-11.596599999999899</v>
      </c>
      <c r="AF1079">
        <v>-1.6830157135964501</v>
      </c>
      <c r="AG1079">
        <v>-1.1057669296269901</v>
      </c>
      <c r="AH1079">
        <v>11.393018330513099</v>
      </c>
      <c r="AI1079">
        <v>95.484417501657703</v>
      </c>
      <c r="AJ1079">
        <v>98.403155461986103</v>
      </c>
      <c r="AK1079">
        <v>11.569620956378699</v>
      </c>
      <c r="AL1079">
        <v>84.688663597364993</v>
      </c>
      <c r="AM1079">
        <v>95.058072899161203</v>
      </c>
      <c r="AN1079">
        <v>1.0000000292997</v>
      </c>
    </row>
    <row r="1080" spans="1:40" x14ac:dyDescent="0.25">
      <c r="A1080" t="str">
        <f>"20190312164454429"</f>
        <v>20190312164454429</v>
      </c>
      <c r="B1080" t="str">
        <f>"1552380294422185"</f>
        <v>1552380294422185</v>
      </c>
      <c r="C1080" t="s">
        <v>40</v>
      </c>
      <c r="D1080">
        <v>5.5312479999999997</v>
      </c>
      <c r="E1080">
        <v>0.48107119999999998</v>
      </c>
      <c r="F1080" t="s">
        <v>42</v>
      </c>
      <c r="G1080">
        <v>-189.64150000000001</v>
      </c>
      <c r="H1080" s="1">
        <v>-2.7173869999999999E-6</v>
      </c>
      <c r="I1080">
        <v>325.81880000000001</v>
      </c>
      <c r="J1080">
        <v>-188.95099999999999</v>
      </c>
      <c r="K1080">
        <v>1.1066069999999999</v>
      </c>
      <c r="L1080">
        <v>337.5412</v>
      </c>
      <c r="M1080">
        <v>-0.2107937</v>
      </c>
      <c r="N1080">
        <v>0</v>
      </c>
      <c r="O1080">
        <v>-0.97742600000000002</v>
      </c>
      <c r="P1080">
        <v>-0.11529440000000001</v>
      </c>
      <c r="Q1080">
        <v>8.0060480000000003E-2</v>
      </c>
      <c r="R1080">
        <v>-0.99009979999999997</v>
      </c>
      <c r="S1080">
        <v>-0.19297790000000001</v>
      </c>
      <c r="T1080">
        <v>-0.27724490000000002</v>
      </c>
      <c r="U1080">
        <v>-3.0297550000000002</v>
      </c>
      <c r="V1080">
        <v>-9.554145E-2</v>
      </c>
      <c r="W1080">
        <v>9.4747629999999999E-2</v>
      </c>
      <c r="X1080">
        <v>0.99090599999999995</v>
      </c>
      <c r="Y1080">
        <v>-0.1484964</v>
      </c>
      <c r="Z1080">
        <v>8.7473930000000005E-2</v>
      </c>
      <c r="AA1080">
        <v>0.98503660000000004</v>
      </c>
      <c r="AB1080">
        <v>34</v>
      </c>
      <c r="AC1080">
        <v>-0.69050000000001399</v>
      </c>
      <c r="AD1080">
        <v>-1.106609717387</v>
      </c>
      <c r="AE1080">
        <v>-11.722399999999899</v>
      </c>
      <c r="AF1080">
        <v>-1.7804670777163201</v>
      </c>
      <c r="AG1080">
        <v>-1.106609717387</v>
      </c>
      <c r="AH1080">
        <v>11.502367696709999</v>
      </c>
      <c r="AI1080">
        <v>95.431062837588797</v>
      </c>
      <c r="AJ1080">
        <v>98.799058589306199</v>
      </c>
      <c r="AK1080">
        <v>11.6918394922169</v>
      </c>
      <c r="AL1080">
        <v>84.563205395832398</v>
      </c>
      <c r="AM1080">
        <v>95.507336202347503</v>
      </c>
      <c r="AN1080">
        <v>0.99999999144735896</v>
      </c>
    </row>
    <row r="1081" spans="1:40" x14ac:dyDescent="0.25">
      <c r="A1081" t="str">
        <f>"20190312164454450"</f>
        <v>20190312164454450</v>
      </c>
      <c r="B1081" t="str">
        <f>"1552380294442682"</f>
        <v>1552380294442682</v>
      </c>
      <c r="C1081" t="s">
        <v>40</v>
      </c>
      <c r="D1081">
        <v>5.5933380000000001</v>
      </c>
      <c r="E1081">
        <v>0.489485</v>
      </c>
      <c r="F1081" t="s">
        <v>42</v>
      </c>
      <c r="G1081">
        <v>-189.6841</v>
      </c>
      <c r="H1081" s="1">
        <v>-2.4140600000000001E-6</v>
      </c>
      <c r="I1081">
        <v>325.12939999999998</v>
      </c>
      <c r="J1081">
        <v>-189.01910000000001</v>
      </c>
      <c r="K1081">
        <v>1.1072770000000001</v>
      </c>
      <c r="L1081">
        <v>337.22809999999998</v>
      </c>
      <c r="M1081">
        <v>-0.2109753</v>
      </c>
      <c r="N1081">
        <v>0</v>
      </c>
      <c r="O1081">
        <v>-0.97738740000000002</v>
      </c>
      <c r="P1081">
        <v>-0.1093903</v>
      </c>
      <c r="Q1081">
        <v>8.1670430000000002E-2</v>
      </c>
      <c r="R1081">
        <v>-0.99063809999999997</v>
      </c>
      <c r="S1081">
        <v>-0.1790466</v>
      </c>
      <c r="T1081">
        <v>-0.27023909999999901</v>
      </c>
      <c r="U1081">
        <v>-3.0310060000000001</v>
      </c>
      <c r="V1081">
        <v>-0.1017523</v>
      </c>
      <c r="W1081">
        <v>9.6164479999999997E-2</v>
      </c>
      <c r="X1081">
        <v>0.99015089999999994</v>
      </c>
      <c r="Y1081">
        <v>-0.153202799999999</v>
      </c>
      <c r="Z1081">
        <v>8.5220309999999994E-2</v>
      </c>
      <c r="AA1081">
        <v>0.98451330000000004</v>
      </c>
      <c r="AB1081">
        <v>34</v>
      </c>
      <c r="AC1081">
        <v>-0.66499999999999204</v>
      </c>
      <c r="AD1081">
        <v>-1.10727941406</v>
      </c>
      <c r="AE1081">
        <v>-12.098699999999999</v>
      </c>
      <c r="AF1081">
        <v>-1.8869997428341101</v>
      </c>
      <c r="AG1081">
        <v>-1.10727941406</v>
      </c>
      <c r="AH1081">
        <v>11.867528835063601</v>
      </c>
      <c r="AI1081">
        <v>95.2646933209775</v>
      </c>
      <c r="AJ1081">
        <v>99.034697652404404</v>
      </c>
      <c r="AK1081">
        <v>12.0675215508953</v>
      </c>
      <c r="AL1081">
        <v>84.481653356139503</v>
      </c>
      <c r="AM1081">
        <v>95.867372196368393</v>
      </c>
      <c r="AN1081">
        <v>0.99999997126988405</v>
      </c>
    </row>
    <row r="1082" spans="1:40" x14ac:dyDescent="0.25">
      <c r="A1082" t="str">
        <f>"20190312164454476"</f>
        <v>20190312164454476</v>
      </c>
      <c r="B1082" t="str">
        <f>"1552380294462201"</f>
        <v>1552380294462201</v>
      </c>
      <c r="C1082" t="s">
        <v>40</v>
      </c>
      <c r="D1082">
        <v>5.5454749999999997</v>
      </c>
      <c r="E1082">
        <v>0.48962240000000001</v>
      </c>
      <c r="F1082" t="s">
        <v>42</v>
      </c>
      <c r="G1082">
        <v>-190.0641</v>
      </c>
      <c r="H1082" s="1">
        <v>-1.721166E-6</v>
      </c>
      <c r="I1082">
        <v>323.56139999999999</v>
      </c>
      <c r="J1082">
        <v>-189.0949</v>
      </c>
      <c r="K1082">
        <v>1.1079479999999999</v>
      </c>
      <c r="L1082">
        <v>336.8775</v>
      </c>
      <c r="M1082">
        <v>-0.2105448</v>
      </c>
      <c r="N1082">
        <v>0</v>
      </c>
      <c r="O1082">
        <v>-0.97748109999999999</v>
      </c>
      <c r="P1082">
        <v>-0.1034014</v>
      </c>
      <c r="Q1082">
        <v>8.1284720000000005E-2</v>
      </c>
      <c r="R1082">
        <v>-0.99131290000000005</v>
      </c>
      <c r="S1082">
        <v>-0.23115540000000001</v>
      </c>
      <c r="T1082">
        <v>-0.24492249999999999</v>
      </c>
      <c r="U1082">
        <v>-3.02298</v>
      </c>
      <c r="V1082">
        <v>-0.1074649</v>
      </c>
      <c r="W1082">
        <v>9.5566419999999999E-2</v>
      </c>
      <c r="X1082">
        <v>0.98960510000000002</v>
      </c>
      <c r="Y1082">
        <v>-0.13565070000000001</v>
      </c>
      <c r="Z1082">
        <v>7.756528E-2</v>
      </c>
      <c r="AA1082">
        <v>0.98771580000000003</v>
      </c>
      <c r="AB1082">
        <v>34</v>
      </c>
      <c r="AC1082">
        <v>-0.96919999999999995</v>
      </c>
      <c r="AD1082">
        <v>-1.1079497211660001</v>
      </c>
      <c r="AE1082">
        <v>-13.3161</v>
      </c>
      <c r="AF1082">
        <v>-1.8437512719004701</v>
      </c>
      <c r="AG1082">
        <v>-1.1079497211660001</v>
      </c>
      <c r="AH1082">
        <v>13.131202278060799</v>
      </c>
      <c r="AI1082">
        <v>94.776295202674504</v>
      </c>
      <c r="AJ1082">
        <v>97.992645193567498</v>
      </c>
      <c r="AK1082">
        <v>13.3062182683367</v>
      </c>
      <c r="AL1082">
        <v>84.516078103212706</v>
      </c>
      <c r="AM1082">
        <v>96.197675800098693</v>
      </c>
      <c r="AN1082">
        <v>0.99999994965481598</v>
      </c>
    </row>
    <row r="1083" spans="1:40" x14ac:dyDescent="0.25">
      <c r="A1083" t="str">
        <f>"20190312164454495"</f>
        <v>20190312164454495</v>
      </c>
      <c r="B1083" t="str">
        <f>"1552380294482697"</f>
        <v>1552380294482697</v>
      </c>
      <c r="C1083" t="s">
        <v>40</v>
      </c>
      <c r="D1083">
        <v>5.7402280000000001</v>
      </c>
      <c r="E1083">
        <v>0.48988799999999999</v>
      </c>
      <c r="F1083" t="s">
        <v>42</v>
      </c>
      <c r="G1083">
        <v>-190.06370000000001</v>
      </c>
      <c r="H1083" s="1">
        <v>-1.5966300000000001E-6</v>
      </c>
      <c r="I1083">
        <v>323.27140000000003</v>
      </c>
      <c r="J1083">
        <v>-189.16290000000001</v>
      </c>
      <c r="K1083">
        <v>1.1084620000000001</v>
      </c>
      <c r="L1083">
        <v>336.55950000000001</v>
      </c>
      <c r="M1083">
        <v>-0.20974590000000001</v>
      </c>
      <c r="N1083">
        <v>0</v>
      </c>
      <c r="O1083">
        <v>-0.97765340000000001</v>
      </c>
      <c r="P1083">
        <v>-9.7452109999999995E-2</v>
      </c>
      <c r="Q1083">
        <v>7.8263219999999994E-2</v>
      </c>
      <c r="R1083">
        <v>-0.9921586</v>
      </c>
      <c r="S1083">
        <v>-0.215332</v>
      </c>
      <c r="T1083">
        <v>-0.2462443</v>
      </c>
      <c r="U1083">
        <v>-3.023987</v>
      </c>
      <c r="V1083">
        <v>-0.11276989999999899</v>
      </c>
      <c r="W1083">
        <v>9.2365820000000001E-2</v>
      </c>
      <c r="X1083">
        <v>0.9893187</v>
      </c>
      <c r="Y1083">
        <v>-0.14000699999999999</v>
      </c>
      <c r="Z1083">
        <v>7.7966010000000002E-2</v>
      </c>
      <c r="AA1083">
        <v>0.98707619999999896</v>
      </c>
      <c r="AB1083">
        <v>34</v>
      </c>
      <c r="AC1083">
        <v>-0.90080000000000304</v>
      </c>
      <c r="AD1083">
        <v>-1.1084635966299901</v>
      </c>
      <c r="AE1083">
        <v>-13.288099999999901</v>
      </c>
      <c r="AF1083">
        <v>-1.89352955344596</v>
      </c>
      <c r="AG1083">
        <v>-1.1084635966299901</v>
      </c>
      <c r="AH1083">
        <v>13.0907411368733</v>
      </c>
      <c r="AI1083">
        <v>94.790378426619498</v>
      </c>
      <c r="AJ1083">
        <v>98.230547814702405</v>
      </c>
      <c r="AK1083">
        <v>13.2733435587065</v>
      </c>
      <c r="AL1083">
        <v>84.700274288061394</v>
      </c>
      <c r="AM1083">
        <v>96.502931322798304</v>
      </c>
      <c r="AN1083">
        <v>0.99999999260998595</v>
      </c>
    </row>
    <row r="1084" spans="1:40" x14ac:dyDescent="0.25">
      <c r="A1084" t="str">
        <f>"20190312164454515"</f>
        <v>20190312164454515</v>
      </c>
      <c r="B1084" t="str">
        <f>"1552380294512444"</f>
        <v>1552380294512444</v>
      </c>
      <c r="C1084" t="s">
        <v>40</v>
      </c>
      <c r="D1084">
        <v>5.6990030000000003</v>
      </c>
      <c r="E1084">
        <v>0.48943110000000001</v>
      </c>
      <c r="F1084" t="s">
        <v>42</v>
      </c>
      <c r="G1084">
        <v>-190.02510000000001</v>
      </c>
      <c r="H1084" s="1">
        <v>-1.699638E-6</v>
      </c>
      <c r="I1084">
        <v>323.53550000000001</v>
      </c>
      <c r="J1084">
        <v>-189.22499999999999</v>
      </c>
      <c r="K1084">
        <v>1.10887</v>
      </c>
      <c r="L1084">
        <v>336.267</v>
      </c>
      <c r="M1084">
        <v>-0.20871519999999999</v>
      </c>
      <c r="N1084">
        <v>0</v>
      </c>
      <c r="O1084">
        <v>-0.97787460000000004</v>
      </c>
      <c r="P1084">
        <v>-9.2386389999999999E-2</v>
      </c>
      <c r="Q1084">
        <v>7.5726020000000005E-2</v>
      </c>
      <c r="R1084">
        <v>-0.99283969999999999</v>
      </c>
      <c r="S1084">
        <v>-0.20019529999999999</v>
      </c>
      <c r="T1084">
        <v>-0.2573993</v>
      </c>
      <c r="U1084">
        <v>-3.0243530000000001</v>
      </c>
      <c r="V1084">
        <v>-0.1169133</v>
      </c>
      <c r="W1084">
        <v>8.9673370000000002E-2</v>
      </c>
      <c r="X1084">
        <v>0.9890854</v>
      </c>
      <c r="Y1084">
        <v>-0.1439059</v>
      </c>
      <c r="Z1084">
        <v>8.1481219999999993E-2</v>
      </c>
      <c r="AA1084">
        <v>0.98623110000000003</v>
      </c>
      <c r="AB1084">
        <v>34</v>
      </c>
      <c r="AC1084">
        <v>-0.80010000000001402</v>
      </c>
      <c r="AD1084">
        <v>-1.1088716996379999</v>
      </c>
      <c r="AE1084">
        <v>-12.731499999999899</v>
      </c>
      <c r="AF1084">
        <v>-1.86098530059509</v>
      </c>
      <c r="AG1084">
        <v>-1.1088716996379999</v>
      </c>
      <c r="AH1084">
        <v>12.523433529711401</v>
      </c>
      <c r="AI1084">
        <v>95.005308831749005</v>
      </c>
      <c r="AJ1084">
        <v>98.452314333082299</v>
      </c>
      <c r="AK1084">
        <v>12.7094158051575</v>
      </c>
      <c r="AL1084">
        <v>84.855183309585698</v>
      </c>
      <c r="AM1084">
        <v>96.741278055940299</v>
      </c>
      <c r="AN1084">
        <v>0.99999998074860297</v>
      </c>
    </row>
    <row r="1085" spans="1:40" x14ac:dyDescent="0.25">
      <c r="A1085" t="str">
        <f>"20190312164454537"</f>
        <v>20190312164454537</v>
      </c>
      <c r="B1085" t="str">
        <f>"1552380294532939"</f>
        <v>1552380294532939</v>
      </c>
      <c r="C1085" t="s">
        <v>40</v>
      </c>
      <c r="D1085">
        <v>5.606509</v>
      </c>
      <c r="E1085">
        <v>0.48961870000000002</v>
      </c>
      <c r="F1085" t="s">
        <v>42</v>
      </c>
      <c r="G1085">
        <v>-189.9794</v>
      </c>
      <c r="H1085" s="1">
        <v>-1.7665130000000001E-6</v>
      </c>
      <c r="I1085">
        <v>323.71969999999999</v>
      </c>
      <c r="J1085">
        <v>-189.29349999999999</v>
      </c>
      <c r="K1085">
        <v>1.1092690000000001</v>
      </c>
      <c r="L1085">
        <v>335.9409</v>
      </c>
      <c r="M1085">
        <v>-0.2072717</v>
      </c>
      <c r="N1085">
        <v>0</v>
      </c>
      <c r="O1085">
        <v>-0.97818210000000005</v>
      </c>
      <c r="P1085">
        <v>-8.6949949999999998E-2</v>
      </c>
      <c r="Q1085">
        <v>7.4789229999999998E-2</v>
      </c>
      <c r="R1085">
        <v>-0.99340170000000005</v>
      </c>
      <c r="S1085">
        <v>-0.18186949999999999</v>
      </c>
      <c r="T1085">
        <v>-0.26734760000000002</v>
      </c>
      <c r="U1085">
        <v>-3.0251459999999999</v>
      </c>
      <c r="V1085">
        <v>-0.1209723</v>
      </c>
      <c r="W1085">
        <v>8.8573410000000005E-2</v>
      </c>
      <c r="X1085">
        <v>0.98869629999999997</v>
      </c>
      <c r="Y1085">
        <v>-0.14842669999999999</v>
      </c>
      <c r="Z1085">
        <v>8.4611099999999995E-2</v>
      </c>
      <c r="AA1085">
        <v>0.98529710000000004</v>
      </c>
      <c r="AB1085">
        <v>34</v>
      </c>
      <c r="AC1085">
        <v>-0.68590000000000295</v>
      </c>
      <c r="AD1085">
        <v>-1.1092707665129999</v>
      </c>
      <c r="AE1085">
        <v>-12.2212</v>
      </c>
      <c r="AF1085">
        <v>-1.8471881366259599</v>
      </c>
      <c r="AG1085">
        <v>-1.1092707665129999</v>
      </c>
      <c r="AH1085">
        <v>11.9993795173691</v>
      </c>
      <c r="AI1085">
        <v>95.220491677880702</v>
      </c>
      <c r="AJ1085">
        <v>98.751431895841904</v>
      </c>
      <c r="AK1085">
        <v>12.191295847750901</v>
      </c>
      <c r="AL1085">
        <v>84.918458070364693</v>
      </c>
      <c r="AM1085">
        <v>96.975773051100106</v>
      </c>
      <c r="AN1085">
        <v>0.99999995998000302</v>
      </c>
    </row>
    <row r="1086" spans="1:40" x14ac:dyDescent="0.25">
      <c r="A1086" t="str">
        <f>"20190312164454560"</f>
        <v>20190312164454560</v>
      </c>
      <c r="B1086" t="str">
        <f>"1552380294552458"</f>
        <v>1552380294552458</v>
      </c>
      <c r="C1086" t="s">
        <v>40</v>
      </c>
      <c r="D1086">
        <v>5.6437229999999996</v>
      </c>
      <c r="E1086">
        <v>0.4896645</v>
      </c>
      <c r="F1086" t="s">
        <v>42</v>
      </c>
      <c r="G1086">
        <v>-190.0069</v>
      </c>
      <c r="H1086" s="1">
        <v>-1.5221039999999999E-6</v>
      </c>
      <c r="I1086">
        <v>323.13290000000001</v>
      </c>
      <c r="J1086">
        <v>-189.3623</v>
      </c>
      <c r="K1086">
        <v>1.1096250000000001</v>
      </c>
      <c r="L1086">
        <v>335.60930000000002</v>
      </c>
      <c r="M1086">
        <v>-0.20555609999999999</v>
      </c>
      <c r="N1086">
        <v>0</v>
      </c>
      <c r="O1086">
        <v>-0.97854450000000004</v>
      </c>
      <c r="P1086">
        <v>-8.1338389999999997E-2</v>
      </c>
      <c r="Q1086">
        <v>7.3006070000000006E-2</v>
      </c>
      <c r="R1086">
        <v>-0.99400920000000004</v>
      </c>
      <c r="S1086">
        <v>-0.16848750000000001</v>
      </c>
      <c r="T1086">
        <v>-0.26197359999999997</v>
      </c>
      <c r="U1086">
        <v>-3.0248409999999999</v>
      </c>
      <c r="V1086">
        <v>-0.12492549999999999</v>
      </c>
      <c r="W1086">
        <v>8.66392E-2</v>
      </c>
      <c r="X1086">
        <v>0.98837609999999998</v>
      </c>
      <c r="Y1086">
        <v>-0.1510225</v>
      </c>
      <c r="Z1086">
        <v>8.2970909999999995E-2</v>
      </c>
      <c r="AA1086">
        <v>0.98504219999999998</v>
      </c>
      <c r="AB1086">
        <v>34</v>
      </c>
      <c r="AC1086">
        <v>-0.64459999999999695</v>
      </c>
      <c r="AD1086">
        <v>-1.109626522104</v>
      </c>
      <c r="AE1086">
        <v>-12.4764</v>
      </c>
      <c r="AF1086">
        <v>-1.9188832819702999</v>
      </c>
      <c r="AG1086">
        <v>-1.109626522104</v>
      </c>
      <c r="AH1086">
        <v>12.245825725389301</v>
      </c>
      <c r="AI1086">
        <v>95.115497264519306</v>
      </c>
      <c r="AJ1086">
        <v>98.905654304988303</v>
      </c>
      <c r="AK1086">
        <v>12.4448234927213</v>
      </c>
      <c r="AL1086">
        <v>85.029708213766995</v>
      </c>
      <c r="AM1086">
        <v>97.203683791419095</v>
      </c>
      <c r="AN1086">
        <v>1.00000002328904</v>
      </c>
    </row>
    <row r="1087" spans="1:40" x14ac:dyDescent="0.25">
      <c r="A1087" t="str">
        <f>"20190312164454583"</f>
        <v>20190312164454583</v>
      </c>
      <c r="B1087" t="str">
        <f>"1552380294572955"</f>
        <v>1552380294572955</v>
      </c>
      <c r="C1087" t="s">
        <v>40</v>
      </c>
      <c r="D1087">
        <v>5.6871879999999999</v>
      </c>
      <c r="E1087">
        <v>0.49025839999999998</v>
      </c>
      <c r="F1087" t="s">
        <v>42</v>
      </c>
      <c r="G1087">
        <v>-190.01410000000001</v>
      </c>
      <c r="H1087" s="1">
        <v>-1.367452E-6</v>
      </c>
      <c r="I1087">
        <v>322.7679</v>
      </c>
      <c r="J1087">
        <v>-189.43100000000001</v>
      </c>
      <c r="K1087">
        <v>1.109915</v>
      </c>
      <c r="L1087">
        <v>335.27390000000003</v>
      </c>
      <c r="M1087">
        <v>-0.20364180000000001</v>
      </c>
      <c r="N1087">
        <v>0</v>
      </c>
      <c r="O1087">
        <v>-0.97894539999999997</v>
      </c>
      <c r="P1087">
        <v>-7.5742889999999993E-2</v>
      </c>
      <c r="Q1087">
        <v>7.093091E-2</v>
      </c>
      <c r="R1087">
        <v>-0.99460179999999998</v>
      </c>
      <c r="S1087">
        <v>-0.15351870000000001</v>
      </c>
      <c r="T1087">
        <v>-0.26137100000000002</v>
      </c>
      <c r="U1087">
        <v>-3.02475</v>
      </c>
      <c r="V1087">
        <v>-0.12864449999999999</v>
      </c>
      <c r="W1087">
        <v>8.4428600000000006E-2</v>
      </c>
      <c r="X1087">
        <v>0.98809029999999998</v>
      </c>
      <c r="Y1087">
        <v>-0.15394669999999999</v>
      </c>
      <c r="Z1087">
        <v>8.2826209999999997E-2</v>
      </c>
      <c r="AA1087">
        <v>0.98460159999999997</v>
      </c>
      <c r="AB1087">
        <v>34</v>
      </c>
      <c r="AC1087">
        <v>-0.58310000000003004</v>
      </c>
      <c r="AD1087">
        <v>-1.1099163674519901</v>
      </c>
      <c r="AE1087">
        <v>-12.506</v>
      </c>
      <c r="AF1087">
        <v>-1.96070452169656</v>
      </c>
      <c r="AG1087">
        <v>-1.1099163674519901</v>
      </c>
      <c r="AH1087">
        <v>12.266238067847601</v>
      </c>
      <c r="AI1087">
        <v>95.105886735836705</v>
      </c>
      <c r="AJ1087">
        <v>99.081652600901606</v>
      </c>
      <c r="AK1087">
        <v>12.471442294348</v>
      </c>
      <c r="AL1087">
        <v>85.156832140004397</v>
      </c>
      <c r="AM1087">
        <v>97.417903606206494</v>
      </c>
      <c r="AN1087">
        <v>1.0000000184161399</v>
      </c>
    </row>
    <row r="1088" spans="1:40" x14ac:dyDescent="0.25">
      <c r="A1088" t="str">
        <f>"20190312164454605"</f>
        <v>20190312164454605</v>
      </c>
      <c r="B1088" t="str">
        <f>"1552380294592478"</f>
        <v>1552380294592478</v>
      </c>
      <c r="C1088" t="s">
        <v>40</v>
      </c>
      <c r="D1088">
        <v>5.6464730000000003</v>
      </c>
      <c r="E1088">
        <v>0.49060989999999999</v>
      </c>
      <c r="F1088" t="s">
        <v>42</v>
      </c>
      <c r="G1088">
        <v>-190.03790000000001</v>
      </c>
      <c r="H1088" s="1">
        <v>-1.2418379999999999E-6</v>
      </c>
      <c r="I1088">
        <v>322.46030000000002</v>
      </c>
      <c r="J1088">
        <v>-189.49549999999999</v>
      </c>
      <c r="K1088">
        <v>1.110133</v>
      </c>
      <c r="L1088">
        <v>334.95530000000002</v>
      </c>
      <c r="M1088">
        <v>-0.2017089</v>
      </c>
      <c r="N1088">
        <v>0</v>
      </c>
      <c r="O1088">
        <v>-0.97934560000000004</v>
      </c>
      <c r="P1088">
        <v>-7.0913459999999998E-2</v>
      </c>
      <c r="Q1088">
        <v>6.845503E-2</v>
      </c>
      <c r="R1088">
        <v>-0.99513099999999999</v>
      </c>
      <c r="S1088">
        <v>-0.14323429999999901</v>
      </c>
      <c r="T1088">
        <v>-0.26194630000000002</v>
      </c>
      <c r="U1088">
        <v>-3.0240779999999998</v>
      </c>
      <c r="V1088">
        <v>-0.13156479999999901</v>
      </c>
      <c r="W1088">
        <v>8.1846440000000006E-2</v>
      </c>
      <c r="X1088">
        <v>0.987923</v>
      </c>
      <c r="Y1088">
        <v>-0.1553262</v>
      </c>
      <c r="Z1088">
        <v>8.3074229999999999E-2</v>
      </c>
      <c r="AA1088">
        <v>0.98436400000000002</v>
      </c>
      <c r="AB1088">
        <v>33</v>
      </c>
      <c r="AC1088">
        <v>-0.54240000000001398</v>
      </c>
      <c r="AD1088">
        <v>-1.110134241838</v>
      </c>
      <c r="AE1088">
        <v>-12.494999999999999</v>
      </c>
      <c r="AF1088">
        <v>-1.9737991376586499</v>
      </c>
      <c r="AG1088">
        <v>-1.110134241838</v>
      </c>
      <c r="AH1088">
        <v>12.251015065629799</v>
      </c>
      <c r="AI1088">
        <v>95.112187399645904</v>
      </c>
      <c r="AJ1088">
        <v>99.1524506786876</v>
      </c>
      <c r="AK1088">
        <v>12.4585573486264</v>
      </c>
      <c r="AL1088">
        <v>85.305292899057306</v>
      </c>
      <c r="AM1088">
        <v>97.585624643719598</v>
      </c>
      <c r="AN1088">
        <v>0.999999995134356</v>
      </c>
    </row>
    <row r="1089" spans="1:40" x14ac:dyDescent="0.25">
      <c r="A1089" t="str">
        <f>"20190312164454627"</f>
        <v>20190312164454627</v>
      </c>
      <c r="B1089" t="str">
        <f>"1552380294622262"</f>
        <v>1552380294622262</v>
      </c>
      <c r="C1089" t="s">
        <v>40</v>
      </c>
      <c r="D1089">
        <v>5.5908049999999996</v>
      </c>
      <c r="E1089">
        <v>0.49100709999999997</v>
      </c>
      <c r="F1089" t="s">
        <v>42</v>
      </c>
      <c r="G1089">
        <v>-190.05080000000001</v>
      </c>
      <c r="H1089" s="1">
        <v>-1.206469E-6</v>
      </c>
      <c r="I1089">
        <v>322.36989999999997</v>
      </c>
      <c r="J1089">
        <v>-189.55789999999999</v>
      </c>
      <c r="K1089">
        <v>1.1102810000000001</v>
      </c>
      <c r="L1089">
        <v>334.64319999999998</v>
      </c>
      <c r="M1089">
        <v>-0.19974549999999999</v>
      </c>
      <c r="N1089">
        <v>0</v>
      </c>
      <c r="O1089">
        <v>-0.97974819999999996</v>
      </c>
      <c r="P1089">
        <v>-6.7389779999999996E-2</v>
      </c>
      <c r="Q1089">
        <v>6.7128729999999998E-2</v>
      </c>
      <c r="R1089">
        <v>-0.99546579999999996</v>
      </c>
      <c r="S1089">
        <v>-0.13340759999999999</v>
      </c>
      <c r="T1089">
        <v>-0.26669979999999999</v>
      </c>
      <c r="U1089">
        <v>-3.0235289999999999</v>
      </c>
      <c r="V1089">
        <v>-0.133127</v>
      </c>
      <c r="W1089">
        <v>8.0440600000000001E-2</v>
      </c>
      <c r="X1089">
        <v>0.98782919999999996</v>
      </c>
      <c r="Y1089">
        <v>-0.1565357</v>
      </c>
      <c r="Z1089">
        <v>8.4635940000000007E-2</v>
      </c>
      <c r="AA1089">
        <v>0.98403929999999995</v>
      </c>
      <c r="AB1089">
        <v>33</v>
      </c>
      <c r="AC1089">
        <v>-0.49290000000001999</v>
      </c>
      <c r="AD1089">
        <v>-1.1102822064690001</v>
      </c>
      <c r="AE1089">
        <v>-12.273300000000001</v>
      </c>
      <c r="AF1089">
        <v>-1.95285508403458</v>
      </c>
      <c r="AG1089">
        <v>-1.1102822064690001</v>
      </c>
      <c r="AH1089">
        <v>12.026123107417</v>
      </c>
      <c r="AI1089">
        <v>95.206918448181796</v>
      </c>
      <c r="AJ1089">
        <v>99.223434520386405</v>
      </c>
      <c r="AK1089">
        <v>12.234132848387301</v>
      </c>
      <c r="AL1089">
        <v>85.386108159851702</v>
      </c>
      <c r="AM1089">
        <v>97.675349054168606</v>
      </c>
      <c r="AN1089">
        <v>1.000000008315</v>
      </c>
    </row>
    <row r="1090" spans="1:40" x14ac:dyDescent="0.25">
      <c r="A1090" t="str">
        <f>"20190312164454648"</f>
        <v>20190312164454648</v>
      </c>
      <c r="B1090" t="str">
        <f>"1552380294642758"</f>
        <v>1552380294642758</v>
      </c>
      <c r="C1090" t="s">
        <v>40</v>
      </c>
      <c r="D1090">
        <v>5.5829649999999997</v>
      </c>
      <c r="E1090">
        <v>0.49106420000000001</v>
      </c>
      <c r="F1090" t="s">
        <v>42</v>
      </c>
      <c r="G1090">
        <v>-190.08240000000001</v>
      </c>
      <c r="H1090" s="1">
        <v>-1.1257859999999999E-6</v>
      </c>
      <c r="I1090">
        <v>322.16219999999998</v>
      </c>
      <c r="J1090">
        <v>-189.62049999999999</v>
      </c>
      <c r="K1090">
        <v>1.110384</v>
      </c>
      <c r="L1090">
        <v>334.32639999999998</v>
      </c>
      <c r="M1090">
        <v>-0.19771159999999999</v>
      </c>
      <c r="N1090">
        <v>0</v>
      </c>
      <c r="O1090">
        <v>-0.98016099999999995</v>
      </c>
      <c r="P1090">
        <v>-6.445149E-2</v>
      </c>
      <c r="Q1090">
        <v>6.7300399999999996E-2</v>
      </c>
      <c r="R1090">
        <v>-0.99564889999999995</v>
      </c>
      <c r="S1090">
        <v>-0.1270599</v>
      </c>
      <c r="T1090">
        <v>-0.26893679999999998</v>
      </c>
      <c r="U1090">
        <v>-3.023193</v>
      </c>
      <c r="V1090">
        <v>-0.13401270000000001</v>
      </c>
      <c r="W1090">
        <v>8.0551830000000005E-2</v>
      </c>
      <c r="X1090">
        <v>0.98770029999999998</v>
      </c>
      <c r="Y1090">
        <v>-0.15654589999999999</v>
      </c>
      <c r="Z1090">
        <v>8.5407869999999997E-2</v>
      </c>
      <c r="AA1090">
        <v>0.98397100000000004</v>
      </c>
      <c r="AB1090">
        <v>33</v>
      </c>
      <c r="AC1090">
        <v>-0.46190000000001402</v>
      </c>
      <c r="AD1090">
        <v>-1.110385125786</v>
      </c>
      <c r="AE1090">
        <v>-12.1641999999999</v>
      </c>
      <c r="AF1090">
        <v>-1.9363454533458599</v>
      </c>
      <c r="AG1090">
        <v>-1.110385125786</v>
      </c>
      <c r="AH1090">
        <v>11.916216182925099</v>
      </c>
      <c r="AI1090">
        <v>95.255067367615695</v>
      </c>
      <c r="AJ1090">
        <v>99.229700378890698</v>
      </c>
      <c r="AK1090">
        <v>12.1234729743777</v>
      </c>
      <c r="AL1090">
        <v>85.379714094295096</v>
      </c>
      <c r="AM1090">
        <v>97.726794855556903</v>
      </c>
      <c r="AN1090">
        <v>0.99999994184886198</v>
      </c>
    </row>
    <row r="1091" spans="1:40" x14ac:dyDescent="0.25">
      <c r="A1091" t="str">
        <f>"20190312164454673"</f>
        <v>20190312164454673</v>
      </c>
      <c r="B1091" t="str">
        <f>"1552380294662278"</f>
        <v>1552380294662278</v>
      </c>
      <c r="C1091" t="s">
        <v>40</v>
      </c>
      <c r="D1091">
        <v>5.6471780000000003</v>
      </c>
      <c r="E1091">
        <v>0.4911954</v>
      </c>
      <c r="F1091" t="s">
        <v>42</v>
      </c>
      <c r="G1091">
        <v>-190.11269999999999</v>
      </c>
      <c r="H1091" s="1">
        <v>-1.0184249999999999E-6</v>
      </c>
      <c r="I1091">
        <v>321.89319999999998</v>
      </c>
      <c r="J1091">
        <v>-189.69069999999999</v>
      </c>
      <c r="K1091">
        <v>1.110468</v>
      </c>
      <c r="L1091">
        <v>333.96620000000001</v>
      </c>
      <c r="M1091">
        <v>-0.1953801</v>
      </c>
      <c r="N1091">
        <v>0</v>
      </c>
      <c r="O1091">
        <v>-0.98062890000000003</v>
      </c>
      <c r="P1091">
        <v>-6.1828220000000003E-2</v>
      </c>
      <c r="Q1091">
        <v>6.7850259999999996E-2</v>
      </c>
      <c r="R1091">
        <v>-0.99577819999999995</v>
      </c>
      <c r="S1091">
        <v>-0.11972049999999999</v>
      </c>
      <c r="T1091">
        <v>-0.27003189999999999</v>
      </c>
      <c r="U1091">
        <v>-3.0236209999999999</v>
      </c>
      <c r="V1091">
        <v>-0.13427610000000001</v>
      </c>
      <c r="W1091">
        <v>8.1053710000000001E-2</v>
      </c>
      <c r="X1091">
        <v>0.98762349999999999</v>
      </c>
      <c r="Y1091">
        <v>-0.15658859999999999</v>
      </c>
      <c r="Z1091">
        <v>8.5806759999999996E-2</v>
      </c>
      <c r="AA1091">
        <v>0.98392950000000001</v>
      </c>
      <c r="AB1091">
        <v>33</v>
      </c>
      <c r="AC1091">
        <v>-0.42199999999999599</v>
      </c>
      <c r="AD1091">
        <v>-1.1104690184249999</v>
      </c>
      <c r="AE1091">
        <v>-12.073</v>
      </c>
      <c r="AF1091">
        <v>-1.92888789876107</v>
      </c>
      <c r="AG1091">
        <v>-1.1104690184249999</v>
      </c>
      <c r="AH1091">
        <v>11.822835230845801</v>
      </c>
      <c r="AI1091">
        <v>95.296191300967905</v>
      </c>
      <c r="AJ1091">
        <v>99.266130431676004</v>
      </c>
      <c r="AK1091">
        <v>12.030510498835699</v>
      </c>
      <c r="AL1091">
        <v>85.350864311065493</v>
      </c>
      <c r="AM1091">
        <v>97.742392479320898</v>
      </c>
      <c r="AN1091">
        <v>0.99999997634411097</v>
      </c>
    </row>
    <row r="1092" spans="1:40" x14ac:dyDescent="0.25">
      <c r="A1092" t="str">
        <f>"20190312164454696"</f>
        <v>20190312164454696</v>
      </c>
      <c r="B1092" t="str">
        <f>"1552380294692534"</f>
        <v>1552380294692534</v>
      </c>
      <c r="C1092" t="s">
        <v>40</v>
      </c>
      <c r="D1092">
        <v>5.7056110000000002</v>
      </c>
      <c r="E1092">
        <v>0.49287350000000002</v>
      </c>
      <c r="F1092" t="s">
        <v>42</v>
      </c>
      <c r="G1092">
        <v>-190.16059999999999</v>
      </c>
      <c r="H1092" s="1">
        <v>-8.5310029999999996E-7</v>
      </c>
      <c r="I1092">
        <v>321.47809999999998</v>
      </c>
      <c r="J1092">
        <v>-189.75630000000001</v>
      </c>
      <c r="K1092">
        <v>1.1105149999999999</v>
      </c>
      <c r="L1092">
        <v>333.62549999999999</v>
      </c>
      <c r="M1092">
        <v>-0.19317870000000001</v>
      </c>
      <c r="N1092">
        <v>0</v>
      </c>
      <c r="O1092">
        <v>-0.98106530000000003</v>
      </c>
      <c r="P1092">
        <v>-6.0249539999999997E-2</v>
      </c>
      <c r="Q1092">
        <v>6.7259239999999998E-2</v>
      </c>
      <c r="R1092">
        <v>-0.99591540000000001</v>
      </c>
      <c r="S1092">
        <v>-0.11378480000000001</v>
      </c>
      <c r="T1092">
        <v>-0.26889859999999999</v>
      </c>
      <c r="U1092">
        <v>-3.023987</v>
      </c>
      <c r="V1092">
        <v>-0.13363900000000001</v>
      </c>
      <c r="W1092">
        <v>8.0435370000000006E-2</v>
      </c>
      <c r="X1092">
        <v>0.98776050000000004</v>
      </c>
      <c r="Y1092">
        <v>-0.1563039</v>
      </c>
      <c r="Z1092">
        <v>8.550191E-2</v>
      </c>
      <c r="AA1092">
        <v>0.98400129999999997</v>
      </c>
      <c r="AB1092">
        <v>33</v>
      </c>
      <c r="AC1092">
        <v>-0.40429999999997701</v>
      </c>
      <c r="AD1092">
        <v>-1.1105158531003001</v>
      </c>
      <c r="AE1092">
        <v>-12.147399999999999</v>
      </c>
      <c r="AF1092">
        <v>-1.93401641206567</v>
      </c>
      <c r="AG1092">
        <v>-1.1105158531003001</v>
      </c>
      <c r="AH1092">
        <v>11.8973283297968</v>
      </c>
      <c r="AI1092">
        <v>95.263927958511701</v>
      </c>
      <c r="AJ1092">
        <v>99.233173202364497</v>
      </c>
      <c r="AK1092">
        <v>12.1045481670781</v>
      </c>
      <c r="AL1092">
        <v>85.386408836705996</v>
      </c>
      <c r="AM1092">
        <v>97.705043606974399</v>
      </c>
      <c r="AN1092">
        <v>1.00000001821414</v>
      </c>
    </row>
    <row r="1093" spans="1:40" x14ac:dyDescent="0.25">
      <c r="A1093" t="str">
        <f>"20190312164454717"</f>
        <v>20190312164454717</v>
      </c>
      <c r="B1093" t="str">
        <f>"1552380294712565"</f>
        <v>1552380294712565</v>
      </c>
      <c r="C1093" t="s">
        <v>40</v>
      </c>
      <c r="D1093">
        <v>5.6962599999999997</v>
      </c>
      <c r="E1093">
        <v>0.52946859999999996</v>
      </c>
      <c r="F1093" t="s">
        <v>42</v>
      </c>
      <c r="G1093">
        <v>-190.24930000000001</v>
      </c>
      <c r="H1093" s="1">
        <v>-8.7827159999999896E-7</v>
      </c>
      <c r="I1093">
        <v>321.48180000000002</v>
      </c>
      <c r="J1093">
        <v>-189.81389999999999</v>
      </c>
      <c r="K1093">
        <v>1.1105529999999999</v>
      </c>
      <c r="L1093">
        <v>333.32310000000001</v>
      </c>
      <c r="M1093">
        <v>-0.19123609999999999</v>
      </c>
      <c r="N1093">
        <v>0</v>
      </c>
      <c r="O1093">
        <v>-0.98144580000000003</v>
      </c>
      <c r="P1093">
        <v>-6.0512530000000002E-2</v>
      </c>
      <c r="Q1093">
        <v>6.6319680000000006E-2</v>
      </c>
      <c r="R1093">
        <v>-0.99596189999999996</v>
      </c>
      <c r="S1093">
        <v>-0.1227417</v>
      </c>
      <c r="T1093">
        <v>-0.27650380000000002</v>
      </c>
      <c r="U1093">
        <v>-3.0236209999999999</v>
      </c>
      <c r="V1093">
        <v>-0.13143450000000001</v>
      </c>
      <c r="W1093">
        <v>7.948761E-2</v>
      </c>
      <c r="X1093">
        <v>0.98813300000000004</v>
      </c>
      <c r="Y1093">
        <v>-0.15144070000000001</v>
      </c>
      <c r="Z1093">
        <v>8.7992639999999997E-2</v>
      </c>
      <c r="AA1093">
        <v>0.98454200000000003</v>
      </c>
      <c r="AB1093">
        <v>33</v>
      </c>
      <c r="AC1093">
        <v>-0.435400000000015</v>
      </c>
      <c r="AD1093">
        <v>-1.1105538782716</v>
      </c>
      <c r="AE1093">
        <v>-11.841299999999899</v>
      </c>
      <c r="AF1093">
        <v>-1.8213410344450001</v>
      </c>
      <c r="AG1093">
        <v>-1.1105538782716</v>
      </c>
      <c r="AH1093">
        <v>11.604057055746599</v>
      </c>
      <c r="AI1093">
        <v>95.401055279246407</v>
      </c>
      <c r="AJ1093">
        <v>98.920212301321698</v>
      </c>
      <c r="AK1093">
        <v>11.7985063984099</v>
      </c>
      <c r="AL1093">
        <v>85.440886145982105</v>
      </c>
      <c r="AM1093">
        <v>97.576607475126806</v>
      </c>
      <c r="AN1093">
        <v>1.00000006681137</v>
      </c>
    </row>
    <row r="1094" spans="1:40" x14ac:dyDescent="0.25">
      <c r="A1094" t="str">
        <f>"20190312164454737"</f>
        <v>20190312164454737</v>
      </c>
      <c r="B1094" t="str">
        <f>"1552380294733061"</f>
        <v>1552380294733061</v>
      </c>
      <c r="C1094" t="s">
        <v>40</v>
      </c>
      <c r="D1094">
        <v>5.6876550000000003</v>
      </c>
      <c r="E1094">
        <v>0.52998420000000002</v>
      </c>
      <c r="F1094" t="s">
        <v>42</v>
      </c>
      <c r="G1094">
        <v>-192.34950000000001</v>
      </c>
      <c r="H1094" s="1">
        <v>-3.1802469999999999E-6</v>
      </c>
      <c r="I1094">
        <v>314.99689999999998</v>
      </c>
      <c r="J1094">
        <v>-189.87119999999999</v>
      </c>
      <c r="K1094">
        <v>1.110574</v>
      </c>
      <c r="L1094">
        <v>333.01870000000002</v>
      </c>
      <c r="M1094">
        <v>-0.18929199999999999</v>
      </c>
      <c r="N1094">
        <v>0</v>
      </c>
      <c r="O1094">
        <v>-0.98182270000000005</v>
      </c>
      <c r="P1094">
        <v>-6.2154830000000001E-2</v>
      </c>
      <c r="Q1094">
        <v>6.7163849999999997E-2</v>
      </c>
      <c r="R1094">
        <v>-0.99580440000000003</v>
      </c>
      <c r="S1094">
        <v>-0.41494750000000002</v>
      </c>
      <c r="T1094">
        <v>-0.1817386</v>
      </c>
      <c r="U1094">
        <v>-2.9990230000000002</v>
      </c>
      <c r="V1094">
        <v>-0.12784119999999999</v>
      </c>
      <c r="W1094">
        <v>8.0335089999999998E-2</v>
      </c>
      <c r="X1094">
        <v>0.98853579999999996</v>
      </c>
      <c r="Y1094">
        <v>-5.3185980000000001E-2</v>
      </c>
      <c r="Z1094">
        <v>5.8535810000000001E-2</v>
      </c>
      <c r="AA1094">
        <v>0.99686750000000002</v>
      </c>
      <c r="AB1094">
        <v>33</v>
      </c>
      <c r="AC1094">
        <v>-2.4783000000000102</v>
      </c>
      <c r="AD1094">
        <v>-1.1105771802469999</v>
      </c>
      <c r="AE1094">
        <v>-18.021799999999999</v>
      </c>
      <c r="AF1094">
        <v>-0.97459328098665399</v>
      </c>
      <c r="AG1094">
        <v>-1.1105771802469999</v>
      </c>
      <c r="AH1094">
        <v>18.097634462115</v>
      </c>
      <c r="AI1094">
        <v>93.506533968556596</v>
      </c>
      <c r="AJ1094">
        <v>93.082513142686096</v>
      </c>
      <c r="AK1094">
        <v>18.157851934107299</v>
      </c>
      <c r="AL1094">
        <v>85.392173320392502</v>
      </c>
      <c r="AM1094">
        <v>97.368808968874603</v>
      </c>
      <c r="AN1094">
        <v>1.00000006349219</v>
      </c>
    </row>
    <row r="1095" spans="1:40" x14ac:dyDescent="0.25">
      <c r="A1095" t="str">
        <f>"20190312164454763"</f>
        <v>20190312164454763</v>
      </c>
      <c r="B1095" t="str">
        <f>"1552380294752581"</f>
        <v>1552380294752581</v>
      </c>
      <c r="C1095" t="s">
        <v>40</v>
      </c>
      <c r="D1095">
        <v>5.6017929999999998</v>
      </c>
      <c r="E1095">
        <v>0.53100099999999995</v>
      </c>
      <c r="F1095" t="s">
        <v>42</v>
      </c>
      <c r="G1095">
        <v>-192.49279999999999</v>
      </c>
      <c r="H1095" s="1">
        <v>-2.9668379999999999E-6</v>
      </c>
      <c r="I1095">
        <v>314.46480000000003</v>
      </c>
      <c r="J1095">
        <v>-189.93729999999999</v>
      </c>
      <c r="K1095">
        <v>1.110598</v>
      </c>
      <c r="L1095">
        <v>332.66329999999999</v>
      </c>
      <c r="M1095">
        <v>-0.18703210000000001</v>
      </c>
      <c r="N1095">
        <v>0</v>
      </c>
      <c r="O1095">
        <v>-0.98225600000000002</v>
      </c>
      <c r="P1095">
        <v>-6.3972630000000003E-2</v>
      </c>
      <c r="Q1095">
        <v>6.8661620000000007E-2</v>
      </c>
      <c r="R1095">
        <v>-0.99558709999999995</v>
      </c>
      <c r="S1095">
        <v>-0.42364499999999999</v>
      </c>
      <c r="T1095">
        <v>-0.17946790000000001</v>
      </c>
      <c r="U1095">
        <v>-2.998291</v>
      </c>
      <c r="V1095">
        <v>-0.1237475</v>
      </c>
      <c r="W1095">
        <v>8.1839309999999998E-2</v>
      </c>
      <c r="X1095">
        <v>0.98893319999999996</v>
      </c>
      <c r="Y1095">
        <v>-4.8012180000000002E-2</v>
      </c>
      <c r="Z1095">
        <v>5.7855709999999998E-2</v>
      </c>
      <c r="AA1095">
        <v>0.9971698</v>
      </c>
      <c r="AB1095">
        <v>33</v>
      </c>
      <c r="AC1095">
        <v>-2.5554999999999901</v>
      </c>
      <c r="AD1095">
        <v>-1.1106009668379999</v>
      </c>
      <c r="AE1095">
        <v>-18.1984999999999</v>
      </c>
      <c r="AF1095">
        <v>-0.890382392313808</v>
      </c>
      <c r="AG1095">
        <v>-1.1106009668379999</v>
      </c>
      <c r="AH1095">
        <v>18.288515022412</v>
      </c>
      <c r="AI1095">
        <v>93.471014319887999</v>
      </c>
      <c r="AJ1095">
        <v>92.787263152820699</v>
      </c>
      <c r="AK1095">
        <v>18.343827218905901</v>
      </c>
      <c r="AL1095">
        <v>85.305702793557899</v>
      </c>
      <c r="AM1095">
        <v>97.132480646476495</v>
      </c>
      <c r="AN1095">
        <v>0.99999999523988303</v>
      </c>
    </row>
    <row r="1096" spans="1:40" x14ac:dyDescent="0.25">
      <c r="A1096" t="str">
        <f>"20190312164454783"</f>
        <v>20190312164454783</v>
      </c>
      <c r="B1096" t="str">
        <f>"1552380294773077"</f>
        <v>1552380294773077</v>
      </c>
      <c r="C1096" t="s">
        <v>40</v>
      </c>
      <c r="D1096">
        <v>6.763217</v>
      </c>
      <c r="E1096">
        <v>0.53125069999999996</v>
      </c>
      <c r="F1096" t="s">
        <v>42</v>
      </c>
      <c r="G1096">
        <v>-192.73740000000001</v>
      </c>
      <c r="H1096" s="1">
        <v>-2.5706119999999999E-6</v>
      </c>
      <c r="I1096">
        <v>313.4889</v>
      </c>
      <c r="J1096">
        <v>-189.9933</v>
      </c>
      <c r="K1096">
        <v>1.110614</v>
      </c>
      <c r="L1096">
        <v>332.35860000000002</v>
      </c>
      <c r="M1096">
        <v>-0.1850975</v>
      </c>
      <c r="N1096">
        <v>0</v>
      </c>
      <c r="O1096">
        <v>-0.98262240000000001</v>
      </c>
      <c r="P1096">
        <v>-6.5566669999999994E-2</v>
      </c>
      <c r="Q1096">
        <v>6.9207149999999995E-2</v>
      </c>
      <c r="R1096">
        <v>-0.99544569999999999</v>
      </c>
      <c r="S1096">
        <v>-0.43768309999999999</v>
      </c>
      <c r="T1096">
        <v>-0.17359849999999999</v>
      </c>
      <c r="U1096">
        <v>-2.9971619999999999</v>
      </c>
      <c r="V1096">
        <v>-0.1202097</v>
      </c>
      <c r="W1096">
        <v>8.2394850000000006E-2</v>
      </c>
      <c r="X1096">
        <v>0.98932339999999996</v>
      </c>
      <c r="Y1096">
        <v>-4.1400720000000002E-2</v>
      </c>
      <c r="Z1096">
        <v>5.6012310000000003E-2</v>
      </c>
      <c r="AA1096">
        <v>0.99757130000000005</v>
      </c>
      <c r="AB1096">
        <v>33</v>
      </c>
      <c r="AC1096">
        <v>-2.7441</v>
      </c>
      <c r="AD1096">
        <v>-1.1106165706119999</v>
      </c>
      <c r="AE1096">
        <v>-18.869700000000002</v>
      </c>
      <c r="AF1096">
        <v>-0.79370410162995397</v>
      </c>
      <c r="AG1096">
        <v>-1.1106165706119999</v>
      </c>
      <c r="AH1096">
        <v>18.987133937472802</v>
      </c>
      <c r="AI1096">
        <v>93.344679740678899</v>
      </c>
      <c r="AJ1096">
        <v>92.3936964119073</v>
      </c>
      <c r="AK1096">
        <v>19.036141692249402</v>
      </c>
      <c r="AL1096">
        <v>85.273765026827704</v>
      </c>
      <c r="AM1096">
        <v>96.927876156041705</v>
      </c>
      <c r="AN1096">
        <v>1.00000003653408</v>
      </c>
    </row>
    <row r="1097" spans="1:40" x14ac:dyDescent="0.25">
      <c r="A1097" t="str">
        <f>"20190312164454806"</f>
        <v>20190312164454806</v>
      </c>
      <c r="B1097" t="str">
        <f>"1552380294802357"</f>
        <v>1552380294802357</v>
      </c>
      <c r="C1097" t="s">
        <v>40</v>
      </c>
      <c r="D1097">
        <v>5.6476329999999999</v>
      </c>
      <c r="E1097">
        <v>0.53081969999999901</v>
      </c>
      <c r="F1097" t="s">
        <v>42</v>
      </c>
      <c r="G1097">
        <v>-192.85550000000001</v>
      </c>
      <c r="H1097" s="1">
        <v>-2.4140219999999999E-6</v>
      </c>
      <c r="I1097">
        <v>313.09120000000001</v>
      </c>
      <c r="J1097">
        <v>-190.05330000000001</v>
      </c>
      <c r="K1097">
        <v>1.110636</v>
      </c>
      <c r="L1097">
        <v>332.02839999999998</v>
      </c>
      <c r="M1097">
        <v>-0.18299670000000001</v>
      </c>
      <c r="N1097">
        <v>0</v>
      </c>
      <c r="O1097">
        <v>-0.983016</v>
      </c>
      <c r="P1097">
        <v>-6.7816319999999999E-2</v>
      </c>
      <c r="Q1097">
        <v>6.8698490000000001E-2</v>
      </c>
      <c r="R1097">
        <v>-0.99533020000000005</v>
      </c>
      <c r="S1097">
        <v>-0.44511410000000001</v>
      </c>
      <c r="T1097">
        <v>-0.17272209999999999</v>
      </c>
      <c r="U1097">
        <v>-2.9964599999999999</v>
      </c>
      <c r="V1097">
        <v>-0.11585959999999999</v>
      </c>
      <c r="W1097">
        <v>8.1896339999999998E-2</v>
      </c>
      <c r="X1097">
        <v>0.98988359999999997</v>
      </c>
      <c r="Y1097">
        <v>-3.680775E-2</v>
      </c>
      <c r="Z1097">
        <v>5.577211E-2</v>
      </c>
      <c r="AA1097">
        <v>0.99776480000000001</v>
      </c>
      <c r="AB1097">
        <v>33</v>
      </c>
      <c r="AC1097">
        <v>-2.8021999999999898</v>
      </c>
      <c r="AD1097">
        <v>-1.110638414022</v>
      </c>
      <c r="AE1097">
        <v>-18.937199999999901</v>
      </c>
      <c r="AF1097">
        <v>-0.70852099075174502</v>
      </c>
      <c r="AG1097">
        <v>-1.110638414022</v>
      </c>
      <c r="AH1097">
        <v>19.066022959868999</v>
      </c>
      <c r="AI1097">
        <v>93.331545171397096</v>
      </c>
      <c r="AJ1097">
        <v>92.128214732139</v>
      </c>
      <c r="AK1097">
        <v>19.111482181853098</v>
      </c>
      <c r="AL1097">
        <v>85.302424229649503</v>
      </c>
      <c r="AM1097">
        <v>96.675734221033196</v>
      </c>
      <c r="AN1097">
        <v>0.99999999948325702</v>
      </c>
    </row>
    <row r="1098" spans="1:40" x14ac:dyDescent="0.25">
      <c r="A1098" t="str">
        <f>"20190312164454826"</f>
        <v>20190312164454826</v>
      </c>
      <c r="B1098" t="str">
        <f>"1552380294822853"</f>
        <v>1552380294822853</v>
      </c>
      <c r="C1098" t="s">
        <v>40</v>
      </c>
      <c r="D1098">
        <v>5.6376169999999997</v>
      </c>
      <c r="E1098">
        <v>0.53048839999999997</v>
      </c>
      <c r="F1098" t="s">
        <v>42</v>
      </c>
      <c r="G1098">
        <v>-192.90639999999999</v>
      </c>
      <c r="H1098" s="1">
        <v>-2.3889059999999999E-6</v>
      </c>
      <c r="I1098">
        <v>313.00940000000003</v>
      </c>
      <c r="J1098">
        <v>-190.10820000000001</v>
      </c>
      <c r="K1098">
        <v>1.110649</v>
      </c>
      <c r="L1098">
        <v>331.72289999999998</v>
      </c>
      <c r="M1098">
        <v>-0.18104870000000001</v>
      </c>
      <c r="N1098">
        <v>0</v>
      </c>
      <c r="O1098">
        <v>-0.9833769</v>
      </c>
      <c r="P1098">
        <v>-7.0867879999999994E-2</v>
      </c>
      <c r="Q1098">
        <v>6.9037580000000001E-2</v>
      </c>
      <c r="R1098">
        <v>-0.99509420000000004</v>
      </c>
      <c r="S1098">
        <v>-0.44935609999999998</v>
      </c>
      <c r="T1098">
        <v>-0.1749281</v>
      </c>
      <c r="U1098">
        <v>-2.9955440000000002</v>
      </c>
      <c r="V1098">
        <v>-0.11085540000000001</v>
      </c>
      <c r="W1098">
        <v>8.2247059999999997E-2</v>
      </c>
      <c r="X1098">
        <v>0.99042739999999996</v>
      </c>
      <c r="Y1098">
        <v>-3.3407390000000002E-2</v>
      </c>
      <c r="Z1098">
        <v>5.6527899999999999E-2</v>
      </c>
      <c r="AA1098">
        <v>0.99784200000000001</v>
      </c>
      <c r="AB1098">
        <v>33</v>
      </c>
      <c r="AC1098">
        <v>-2.7981999999999698</v>
      </c>
      <c r="AD1098">
        <v>-1.1106513889059999</v>
      </c>
      <c r="AE1098">
        <v>-18.7134999999999</v>
      </c>
      <c r="AF1098">
        <v>-0.63424522334187905</v>
      </c>
      <c r="AG1098">
        <v>-1.1106513889059999</v>
      </c>
      <c r="AH1098">
        <v>18.8459103629027</v>
      </c>
      <c r="AI1098">
        <v>93.370823448372207</v>
      </c>
      <c r="AJ1098">
        <v>91.927519741702497</v>
      </c>
      <c r="AK1098">
        <v>18.889260200377802</v>
      </c>
      <c r="AL1098">
        <v>85.282261277739394</v>
      </c>
      <c r="AM1098">
        <v>96.386354930228705</v>
      </c>
      <c r="AN1098">
        <v>0.99999996662928103</v>
      </c>
    </row>
    <row r="1099" spans="1:40" x14ac:dyDescent="0.25">
      <c r="A1099" t="str">
        <f>"20190312164454850"</f>
        <v>20190312164454850</v>
      </c>
      <c r="B1099" t="str">
        <f>"1552380294842373"</f>
        <v>1552380294842373</v>
      </c>
      <c r="C1099" t="s">
        <v>40</v>
      </c>
      <c r="D1099">
        <v>5.7661720000000001</v>
      </c>
      <c r="E1099">
        <v>0.52996069999999995</v>
      </c>
      <c r="F1099" t="s">
        <v>42</v>
      </c>
      <c r="G1099">
        <v>-192.9967</v>
      </c>
      <c r="H1099" s="1">
        <v>-2.306803E-6</v>
      </c>
      <c r="I1099">
        <v>312.78489999999999</v>
      </c>
      <c r="J1099">
        <v>-190.16720000000001</v>
      </c>
      <c r="K1099">
        <v>1.1106609999999999</v>
      </c>
      <c r="L1099">
        <v>331.39049999999997</v>
      </c>
      <c r="M1099">
        <v>-0.17892259999999999</v>
      </c>
      <c r="N1099">
        <v>0</v>
      </c>
      <c r="O1099">
        <v>-0.98376629999999998</v>
      </c>
      <c r="P1099">
        <v>-7.4628189999999997E-2</v>
      </c>
      <c r="Q1099">
        <v>7.0126309999999997E-2</v>
      </c>
      <c r="R1099">
        <v>-0.99474280000000004</v>
      </c>
      <c r="S1099">
        <v>-0.45672610000000002</v>
      </c>
      <c r="T1099">
        <v>-0.17561749999999901</v>
      </c>
      <c r="U1099">
        <v>-2.994507</v>
      </c>
      <c r="V1099">
        <v>-0.10495549999999999</v>
      </c>
      <c r="W1099">
        <v>8.3352380000000004E-2</v>
      </c>
      <c r="X1099">
        <v>0.99097760000000001</v>
      </c>
      <c r="Y1099">
        <v>-2.8797179999999999E-2</v>
      </c>
      <c r="Z1099">
        <v>5.6796970000000002E-2</v>
      </c>
      <c r="AA1099">
        <v>0.99797029999999998</v>
      </c>
      <c r="AB1099">
        <v>33</v>
      </c>
      <c r="AC1099">
        <v>-2.8294999999999901</v>
      </c>
      <c r="AD1099">
        <v>-1.1106633068030001</v>
      </c>
      <c r="AE1099">
        <v>-18.6055999999999</v>
      </c>
      <c r="AF1099">
        <v>-0.54355438166598802</v>
      </c>
      <c r="AG1099">
        <v>-1.1106633068030001</v>
      </c>
      <c r="AH1099">
        <v>18.746323749342899</v>
      </c>
      <c r="AI1099">
        <v>93.389217980367704</v>
      </c>
      <c r="AJ1099">
        <v>91.660840234851506</v>
      </c>
      <c r="AK1099">
        <v>18.787061464265399</v>
      </c>
      <c r="AL1099">
        <v>85.2187127615435</v>
      </c>
      <c r="AM1099">
        <v>96.045719398331102</v>
      </c>
      <c r="AN1099">
        <v>0.99999993996683501</v>
      </c>
    </row>
    <row r="1100" spans="1:40" x14ac:dyDescent="0.25">
      <c r="A1100" t="str">
        <f>"20190312164454873"</f>
        <v>20190312164454873</v>
      </c>
      <c r="B1100" t="str">
        <f>"1552380294862869"</f>
        <v>1552380294862869</v>
      </c>
      <c r="C1100" t="s">
        <v>40</v>
      </c>
      <c r="D1100">
        <v>5.7694359999999998</v>
      </c>
      <c r="E1100">
        <v>0.529671</v>
      </c>
      <c r="F1100" t="s">
        <v>42</v>
      </c>
      <c r="G1100">
        <v>-193.10890000000001</v>
      </c>
      <c r="H1100" s="1">
        <v>-2.1613739999999999E-6</v>
      </c>
      <c r="I1100">
        <v>312.41410000000002</v>
      </c>
      <c r="J1100">
        <v>-190.2269</v>
      </c>
      <c r="K1100">
        <v>1.1106720000000001</v>
      </c>
      <c r="L1100">
        <v>331.04930000000002</v>
      </c>
      <c r="M1100">
        <v>-0.17672570000000001</v>
      </c>
      <c r="N1100">
        <v>0</v>
      </c>
      <c r="O1100">
        <v>-0.98416360000000003</v>
      </c>
      <c r="P1100">
        <v>-7.8602790000000006E-2</v>
      </c>
      <c r="Q1100">
        <v>7.1677829999999998E-2</v>
      </c>
      <c r="R1100">
        <v>-0.99432609999999999</v>
      </c>
      <c r="S1100">
        <v>-0.46403499999999998</v>
      </c>
      <c r="T1100">
        <v>-0.17519999999999999</v>
      </c>
      <c r="U1100">
        <v>-2.9934080000000001</v>
      </c>
      <c r="V1100">
        <v>-9.8763379999999998E-2</v>
      </c>
      <c r="W1100">
        <v>8.492131E-2</v>
      </c>
      <c r="X1100">
        <v>0.99148080000000005</v>
      </c>
      <c r="Y1100">
        <v>-2.4129189999999998E-2</v>
      </c>
      <c r="Z1100">
        <v>5.6710509999999999E-2</v>
      </c>
      <c r="AA1100">
        <v>0.99809899999999996</v>
      </c>
      <c r="AB1100">
        <v>33</v>
      </c>
      <c r="AC1100">
        <v>-2.8820000000000001</v>
      </c>
      <c r="AD1100">
        <v>-1.1106741613740001</v>
      </c>
      <c r="AE1100">
        <v>-18.635200000000001</v>
      </c>
      <c r="AF1100">
        <v>-0.45542270303183902</v>
      </c>
      <c r="AG1100">
        <v>-1.1106741613740001</v>
      </c>
      <c r="AH1100">
        <v>18.786026162751099</v>
      </c>
      <c r="AI1100">
        <v>93.382531421290395</v>
      </c>
      <c r="AJ1100">
        <v>91.388728437500802</v>
      </c>
      <c r="AK1100">
        <v>18.8243402518853</v>
      </c>
      <c r="AL1100">
        <v>85.128500122754403</v>
      </c>
      <c r="AM1100">
        <v>95.688581325272196</v>
      </c>
      <c r="AN1100">
        <v>1.0000000054448901</v>
      </c>
    </row>
    <row r="1101" spans="1:40" x14ac:dyDescent="0.25">
      <c r="A1101" t="str">
        <f>"20190312164454896"</f>
        <v>20190312164454896</v>
      </c>
      <c r="B1101" t="str">
        <f>"1552380294893125"</f>
        <v>1552380294893125</v>
      </c>
      <c r="C1101" t="s">
        <v>40</v>
      </c>
      <c r="D1101">
        <v>5.638458</v>
      </c>
      <c r="E1101">
        <v>0.52927539999999995</v>
      </c>
      <c r="F1101" t="s">
        <v>42</v>
      </c>
      <c r="G1101">
        <v>-193.2869</v>
      </c>
      <c r="H1101" s="1">
        <v>-1.872077E-6</v>
      </c>
      <c r="I1101">
        <v>311.70179999999999</v>
      </c>
      <c r="J1101">
        <v>-190.28370000000001</v>
      </c>
      <c r="K1101">
        <v>1.1106830000000001</v>
      </c>
      <c r="L1101">
        <v>330.72059999999999</v>
      </c>
      <c r="M1101">
        <v>-0.17459479999999999</v>
      </c>
      <c r="N1101">
        <v>0</v>
      </c>
      <c r="O1101">
        <v>-0.98454379999999997</v>
      </c>
      <c r="P1101">
        <v>-8.3237829999999999E-2</v>
      </c>
      <c r="Q1101">
        <v>7.1965520000000005E-2</v>
      </c>
      <c r="R1101">
        <v>-0.99392789999999998</v>
      </c>
      <c r="S1101">
        <v>-0.47323609999999999</v>
      </c>
      <c r="T1101">
        <v>-0.17176459999999999</v>
      </c>
      <c r="U1101">
        <v>-2.9920650000000002</v>
      </c>
      <c r="V1101">
        <v>-9.1984289999999996E-2</v>
      </c>
      <c r="W1101">
        <v>8.5232509999999997E-2</v>
      </c>
      <c r="X1101">
        <v>0.99210600000000004</v>
      </c>
      <c r="Y1101">
        <v>-1.8891600000000001E-2</v>
      </c>
      <c r="Z1101">
        <v>5.5649160000000003E-2</v>
      </c>
      <c r="AA1101">
        <v>0.99827160000000004</v>
      </c>
      <c r="AB1101">
        <v>33</v>
      </c>
      <c r="AC1101">
        <v>-3.0031999999999899</v>
      </c>
      <c r="AD1101">
        <v>-1.110684872077</v>
      </c>
      <c r="AE1101">
        <v>-19.018799999999999</v>
      </c>
      <c r="AF1101">
        <v>-0.36262958409965002</v>
      </c>
      <c r="AG1101">
        <v>-1.110684872077</v>
      </c>
      <c r="AH1101">
        <v>19.1871697220149</v>
      </c>
      <c r="AI1101">
        <v>93.312384982042104</v>
      </c>
      <c r="AJ1101">
        <v>91.082737667932093</v>
      </c>
      <c r="AK1101">
        <v>19.222710605992301</v>
      </c>
      <c r="AL1101">
        <v>85.110604781708005</v>
      </c>
      <c r="AM1101">
        <v>95.297102630009704</v>
      </c>
      <c r="AN1101">
        <v>1.0000000028018501</v>
      </c>
    </row>
    <row r="1102" spans="1:40" x14ac:dyDescent="0.25">
      <c r="A1102" t="str">
        <f>"20190312164454917"</f>
        <v>20190312164454917</v>
      </c>
      <c r="B1102" t="str">
        <f>"1552380294912645"</f>
        <v>1552380294912645</v>
      </c>
      <c r="C1102" t="s">
        <v>40</v>
      </c>
      <c r="D1102">
        <v>5.8182689999999999</v>
      </c>
      <c r="E1102">
        <v>0.5287423</v>
      </c>
      <c r="F1102" t="s">
        <v>42</v>
      </c>
      <c r="G1102">
        <v>-193.3997</v>
      </c>
      <c r="H1102" s="1">
        <v>-1.7812119999999999E-6</v>
      </c>
      <c r="I1102">
        <v>311.4461</v>
      </c>
      <c r="J1102">
        <v>-190.3365</v>
      </c>
      <c r="K1102">
        <v>1.1106860000000001</v>
      </c>
      <c r="L1102">
        <v>330.41039999999998</v>
      </c>
      <c r="M1102">
        <v>-0.1725624</v>
      </c>
      <c r="N1102">
        <v>0</v>
      </c>
      <c r="O1102">
        <v>-0.98490230000000001</v>
      </c>
      <c r="P1102">
        <v>-8.8387359999999998E-2</v>
      </c>
      <c r="Q1102">
        <v>7.1355050000000003E-2</v>
      </c>
      <c r="R1102">
        <v>-0.99352739999999995</v>
      </c>
      <c r="S1102">
        <v>-0.48344419999999999</v>
      </c>
      <c r="T1102">
        <v>-0.17231659999999999</v>
      </c>
      <c r="U1102">
        <v>-2.990326</v>
      </c>
      <c r="V1102">
        <v>-8.4792619999999999E-2</v>
      </c>
      <c r="W1102">
        <v>8.4649539999999995E-2</v>
      </c>
      <c r="X1102">
        <v>0.99279640000000002</v>
      </c>
      <c r="Y1102">
        <v>-1.341735E-2</v>
      </c>
      <c r="Z1102">
        <v>5.5877610000000001E-2</v>
      </c>
      <c r="AA1102">
        <v>0.99834750000000005</v>
      </c>
      <c r="AB1102">
        <v>33</v>
      </c>
      <c r="AC1102">
        <v>-3.0631999999999899</v>
      </c>
      <c r="AD1102">
        <v>-1.110687781212</v>
      </c>
      <c r="AE1102">
        <v>-18.964299999999898</v>
      </c>
      <c r="AF1102">
        <v>-0.25474504854040703</v>
      </c>
      <c r="AG1102">
        <v>-1.110687781212</v>
      </c>
      <c r="AH1102">
        <v>19.144399593646501</v>
      </c>
      <c r="AI1102">
        <v>93.320075522386404</v>
      </c>
      <c r="AJ1102">
        <v>90.762361582211398</v>
      </c>
      <c r="AK1102">
        <v>19.178283504743099</v>
      </c>
      <c r="AL1102">
        <v>85.144127701916702</v>
      </c>
      <c r="AM1102">
        <v>94.881663381053002</v>
      </c>
      <c r="AN1102">
        <v>1.0000000124408099</v>
      </c>
    </row>
    <row r="1103" spans="1:40" x14ac:dyDescent="0.25">
      <c r="A1103" t="str">
        <f>"20190312164454938"</f>
        <v>20190312164454938</v>
      </c>
      <c r="B1103" t="str">
        <f>"1552380294933141"</f>
        <v>1552380294933141</v>
      </c>
      <c r="C1103" t="s">
        <v>40</v>
      </c>
      <c r="D1103">
        <v>5.8220000000000001</v>
      </c>
      <c r="E1103">
        <v>0.52824079999999995</v>
      </c>
      <c r="F1103" t="s">
        <v>42</v>
      </c>
      <c r="G1103">
        <v>-193.43369999999999</v>
      </c>
      <c r="H1103" s="1">
        <v>-1.8846130000000001E-6</v>
      </c>
      <c r="I1103">
        <v>311.64569999999998</v>
      </c>
      <c r="J1103">
        <v>-190.39019999999999</v>
      </c>
      <c r="K1103">
        <v>1.1107</v>
      </c>
      <c r="L1103">
        <v>330.09190000000001</v>
      </c>
      <c r="M1103">
        <v>-0.17043989999999901</v>
      </c>
      <c r="N1103">
        <v>0</v>
      </c>
      <c r="O1103">
        <v>-0.98527209999999998</v>
      </c>
      <c r="P1103">
        <v>-9.3689400000000006E-2</v>
      </c>
      <c r="Q1103">
        <v>7.0923600000000003E-2</v>
      </c>
      <c r="R1103">
        <v>-0.99307219999999996</v>
      </c>
      <c r="S1103">
        <v>-0.49324040000000002</v>
      </c>
      <c r="T1103">
        <v>-0.17688139999999999</v>
      </c>
      <c r="U1103">
        <v>-2.9883419999999998</v>
      </c>
      <c r="V1103">
        <v>-7.7351069999999994E-2</v>
      </c>
      <c r="W1103">
        <v>8.4246139999999997E-2</v>
      </c>
      <c r="X1103">
        <v>0.99343820000000005</v>
      </c>
      <c r="Y1103">
        <v>-7.9849059999999999E-3</v>
      </c>
      <c r="Z1103">
        <v>5.7409500000000002E-2</v>
      </c>
      <c r="AA1103">
        <v>0.99831879999999995</v>
      </c>
      <c r="AB1103">
        <v>33</v>
      </c>
      <c r="AC1103">
        <v>-3.0434999999999901</v>
      </c>
      <c r="AD1103">
        <v>-1.1107018846129999</v>
      </c>
      <c r="AE1103">
        <v>-18.446200000000001</v>
      </c>
      <c r="AF1103">
        <v>-0.144795528790508</v>
      </c>
      <c r="AG1103">
        <v>-1.1107018846129999</v>
      </c>
      <c r="AH1103">
        <v>18.6292754846836</v>
      </c>
      <c r="AI1103">
        <v>93.411907784082501</v>
      </c>
      <c r="AJ1103">
        <v>90.445320895275998</v>
      </c>
      <c r="AK1103">
        <v>18.662918568805701</v>
      </c>
      <c r="AL1103">
        <v>85.1673237562119</v>
      </c>
      <c r="AM1103">
        <v>94.452180513224405</v>
      </c>
      <c r="AN1103">
        <v>1.00000002867714</v>
      </c>
    </row>
    <row r="1104" spans="1:40" x14ac:dyDescent="0.25">
      <c r="A1104" t="str">
        <f>"20190312164454962"</f>
        <v>20190312164454962</v>
      </c>
      <c r="B1104" t="str">
        <f>"1552380294952661"</f>
        <v>1552380294952661</v>
      </c>
      <c r="C1104" t="s">
        <v>40</v>
      </c>
      <c r="D1104">
        <v>5.8177099999999999</v>
      </c>
      <c r="E1104">
        <v>0.52001169999999997</v>
      </c>
      <c r="F1104" t="s">
        <v>42</v>
      </c>
      <c r="G1104">
        <v>-193.4863</v>
      </c>
      <c r="H1104" s="1">
        <v>-1.934775E-6</v>
      </c>
      <c r="I1104">
        <v>311.72219999999999</v>
      </c>
      <c r="J1104">
        <v>-190.44659999999999</v>
      </c>
      <c r="K1104">
        <v>1.1107359999999999</v>
      </c>
      <c r="L1104">
        <v>329.75189999999998</v>
      </c>
      <c r="M1104">
        <v>-0.16811719999999999</v>
      </c>
      <c r="N1104">
        <v>0</v>
      </c>
      <c r="O1104">
        <v>-0.98567119999999997</v>
      </c>
      <c r="P1104">
        <v>-9.8596989999999995E-2</v>
      </c>
      <c r="Q1104">
        <v>7.0438189999999998E-2</v>
      </c>
      <c r="R1104">
        <v>-0.99263140000000005</v>
      </c>
      <c r="S1104">
        <v>-0.5033417</v>
      </c>
      <c r="T1104">
        <v>-0.18056549999999999</v>
      </c>
      <c r="U1104">
        <v>-2.9863279999999999</v>
      </c>
      <c r="V1104">
        <v>-7.0100750000000003E-2</v>
      </c>
      <c r="W1104">
        <v>8.3785730000000003E-2</v>
      </c>
      <c r="X1104">
        <v>0.99401499999999998</v>
      </c>
      <c r="Y1104">
        <v>-2.2465950000000001E-3</v>
      </c>
      <c r="Z1104">
        <v>5.8660339999999998E-2</v>
      </c>
      <c r="AA1104">
        <v>0.99827549999999998</v>
      </c>
      <c r="AB1104">
        <v>33</v>
      </c>
      <c r="AC1104">
        <v>-3.0397000000000101</v>
      </c>
      <c r="AD1104">
        <v>-1.1107379347749999</v>
      </c>
      <c r="AE1104">
        <v>-18.029699999999899</v>
      </c>
      <c r="AF1104">
        <v>-3.4832689584042897E-2</v>
      </c>
      <c r="AG1104">
        <v>-1.1107379347749999</v>
      </c>
      <c r="AH1104">
        <v>18.216881166386401</v>
      </c>
      <c r="AI1104">
        <v>93.489169692438495</v>
      </c>
      <c r="AJ1104">
        <v>90.109555727555502</v>
      </c>
      <c r="AK1104">
        <v>18.2507455054925</v>
      </c>
      <c r="AL1104">
        <v>85.1937967268329</v>
      </c>
      <c r="AM1104">
        <v>94.033981686899196</v>
      </c>
      <c r="AN1104">
        <v>0.99999999196359701</v>
      </c>
    </row>
    <row r="1105" spans="1:40" x14ac:dyDescent="0.25">
      <c r="A1105" t="str">
        <f>"20190312164454986"</f>
        <v>20190312164454986</v>
      </c>
      <c r="B1105" t="str">
        <f>"1552380294982918"</f>
        <v>1552380294982918</v>
      </c>
      <c r="C1105" t="s">
        <v>40</v>
      </c>
      <c r="D1105">
        <v>5.822133</v>
      </c>
      <c r="E1105">
        <v>0.51381650000000001</v>
      </c>
      <c r="F1105" t="s">
        <v>42</v>
      </c>
      <c r="G1105">
        <v>-192.87459999999999</v>
      </c>
      <c r="H1105" s="1">
        <v>-2.684304E-6</v>
      </c>
      <c r="I1105">
        <v>313.65219999999999</v>
      </c>
      <c r="J1105">
        <v>-190.5025</v>
      </c>
      <c r="K1105">
        <v>1.1107880000000001</v>
      </c>
      <c r="L1105">
        <v>329.40929999999997</v>
      </c>
      <c r="M1105">
        <v>-0.1656947</v>
      </c>
      <c r="N1105">
        <v>0</v>
      </c>
      <c r="O1105">
        <v>-0.9860816</v>
      </c>
      <c r="P1105">
        <v>-0.1036262</v>
      </c>
      <c r="Q1105">
        <v>7.0587460000000005E-2</v>
      </c>
      <c r="R1105">
        <v>-0.99210880000000001</v>
      </c>
      <c r="S1105">
        <v>-0.45124819999999999</v>
      </c>
      <c r="T1105">
        <v>-0.20642759999999999</v>
      </c>
      <c r="U1105">
        <v>-2.9920960000000001</v>
      </c>
      <c r="V1105">
        <v>-6.2620839999999997E-2</v>
      </c>
      <c r="W1105">
        <v>8.3960590000000002E-2</v>
      </c>
      <c r="X1105">
        <v>0.99449949999999998</v>
      </c>
      <c r="Y1105">
        <v>-1.7132080000000001E-2</v>
      </c>
      <c r="Z1105">
        <v>6.702574E-2</v>
      </c>
      <c r="AA1105">
        <v>0.99760409999999999</v>
      </c>
      <c r="AB1105">
        <v>33</v>
      </c>
      <c r="AC1105">
        <v>-2.3720999999999801</v>
      </c>
      <c r="AD1105">
        <v>-1.1107906843040001</v>
      </c>
      <c r="AE1105">
        <v>-15.7570999999999</v>
      </c>
      <c r="AF1105">
        <v>-0.27049495869245499</v>
      </c>
      <c r="AG1105">
        <v>-1.1107906843040001</v>
      </c>
      <c r="AH1105">
        <v>15.855284634317201</v>
      </c>
      <c r="AI1105">
        <v>94.006902860058403</v>
      </c>
      <c r="AJ1105">
        <v>90.977384924822502</v>
      </c>
      <c r="AK1105">
        <v>15.896448480784301</v>
      </c>
      <c r="AL1105">
        <v>85.183742612999794</v>
      </c>
      <c r="AM1105">
        <v>93.602997516112097</v>
      </c>
      <c r="AN1105">
        <v>1.00000000288785</v>
      </c>
    </row>
    <row r="1106" spans="1:40" x14ac:dyDescent="0.25">
      <c r="A1106" t="str">
        <f>"20190312164455006"</f>
        <v>20190312164455006</v>
      </c>
      <c r="B1106" t="str">
        <f>"1552380295002437"</f>
        <v>1552380295002437</v>
      </c>
      <c r="C1106" t="s">
        <v>40</v>
      </c>
      <c r="D1106">
        <v>5.771617</v>
      </c>
      <c r="E1106">
        <v>0.51264969999999999</v>
      </c>
      <c r="F1106" t="s">
        <v>42</v>
      </c>
      <c r="G1106">
        <v>-192.6979</v>
      </c>
      <c r="H1106" s="1">
        <v>-2.6068659999999999E-6</v>
      </c>
      <c r="I1106">
        <v>313.58780000000002</v>
      </c>
      <c r="J1106">
        <v>-190.54920000000001</v>
      </c>
      <c r="K1106">
        <v>1.1108499999999999</v>
      </c>
      <c r="L1106">
        <v>329.11849999999998</v>
      </c>
      <c r="M1106">
        <v>-0.163547</v>
      </c>
      <c r="N1106">
        <v>0</v>
      </c>
      <c r="O1106">
        <v>-0.98643990000000004</v>
      </c>
      <c r="P1106">
        <v>-0.1090013</v>
      </c>
      <c r="Q1106">
        <v>7.0361240000000005E-2</v>
      </c>
      <c r="R1106">
        <v>-0.99154830000000005</v>
      </c>
      <c r="S1106">
        <v>-0.41563420000000001</v>
      </c>
      <c r="T1106">
        <v>-0.21029929999999999</v>
      </c>
      <c r="U1106">
        <v>-2.9953919999999998</v>
      </c>
      <c r="V1106">
        <v>-5.5070519999999998E-2</v>
      </c>
      <c r="W1106">
        <v>8.3762909999999996E-2</v>
      </c>
      <c r="X1106">
        <v>0.99496280000000004</v>
      </c>
      <c r="Y1106">
        <v>-2.6745270000000002E-2</v>
      </c>
      <c r="Z1106">
        <v>6.8289779999999994E-2</v>
      </c>
      <c r="AA1106">
        <v>0.9973069</v>
      </c>
      <c r="AB1106">
        <v>33</v>
      </c>
      <c r="AC1106">
        <v>-2.1486999999999901</v>
      </c>
      <c r="AD1106">
        <v>-1.1108526068659901</v>
      </c>
      <c r="AE1106">
        <v>-15.5306999999999</v>
      </c>
      <c r="AF1106">
        <v>-0.41837544445150598</v>
      </c>
      <c r="AG1106">
        <v>-1.1108526068659901</v>
      </c>
      <c r="AH1106">
        <v>15.5947102942618</v>
      </c>
      <c r="AI1106">
        <v>94.072987824428395</v>
      </c>
      <c r="AJ1106">
        <v>91.536764596664995</v>
      </c>
      <c r="AK1106">
        <v>15.6398216322519</v>
      </c>
      <c r="AL1106">
        <v>85.1951087728375</v>
      </c>
      <c r="AM1106">
        <v>93.168050237983095</v>
      </c>
      <c r="AN1106">
        <v>0.99999998032428905</v>
      </c>
    </row>
    <row r="1107" spans="1:40" x14ac:dyDescent="0.25">
      <c r="A1107" t="str">
        <f>"20190312164455030"</f>
        <v>20190312164455030</v>
      </c>
      <c r="B1107" t="str">
        <f>"1552380295022933"</f>
        <v>1552380295022933</v>
      </c>
      <c r="C1107" t="s">
        <v>40</v>
      </c>
      <c r="D1107">
        <v>5.7970139999999999</v>
      </c>
      <c r="E1107">
        <v>0.51234880000000005</v>
      </c>
      <c r="F1107" t="s">
        <v>42</v>
      </c>
      <c r="G1107">
        <v>-192.7269</v>
      </c>
      <c r="H1107" s="1">
        <v>-2.6319050000000001E-6</v>
      </c>
      <c r="I1107">
        <v>313.62450000000001</v>
      </c>
      <c r="J1107">
        <v>-190.60310000000001</v>
      </c>
      <c r="K1107">
        <v>1.1109469999999999</v>
      </c>
      <c r="L1107">
        <v>328.77679999999998</v>
      </c>
      <c r="M1107">
        <v>-0.1609022</v>
      </c>
      <c r="N1107">
        <v>0</v>
      </c>
      <c r="O1107">
        <v>-0.98687480000000005</v>
      </c>
      <c r="P1107">
        <v>-0.113857</v>
      </c>
      <c r="Q1107">
        <v>7.0686189999999996E-2</v>
      </c>
      <c r="R1107">
        <v>-0.99097950000000001</v>
      </c>
      <c r="S1107">
        <v>-0.42088320000000001</v>
      </c>
      <c r="T1107">
        <v>-0.214695</v>
      </c>
      <c r="U1107">
        <v>-2.9945369999999998</v>
      </c>
      <c r="V1107">
        <v>-4.7537360000000001E-2</v>
      </c>
      <c r="W1107">
        <v>8.4115480000000006E-2</v>
      </c>
      <c r="X1107">
        <v>0.99532149999999997</v>
      </c>
      <c r="Y1107">
        <v>-2.23263E-2</v>
      </c>
      <c r="Z1107">
        <v>6.9771410000000006E-2</v>
      </c>
      <c r="AA1107">
        <v>0.99731309999999995</v>
      </c>
      <c r="AB1107">
        <v>33</v>
      </c>
      <c r="AC1107">
        <v>-2.1237999999999801</v>
      </c>
      <c r="AD1107">
        <v>-1.1109496319049901</v>
      </c>
      <c r="AE1107">
        <v>-15.152299999999901</v>
      </c>
      <c r="AF1107">
        <v>-0.340351610523281</v>
      </c>
      <c r="AG1107">
        <v>-1.1109496319049901</v>
      </c>
      <c r="AH1107">
        <v>15.2163677854382</v>
      </c>
      <c r="AI1107">
        <v>94.174725134286803</v>
      </c>
      <c r="AJ1107">
        <v>91.281347821788401</v>
      </c>
      <c r="AK1107">
        <v>15.2606650210643</v>
      </c>
      <c r="AL1107">
        <v>85.1748367999636</v>
      </c>
      <c r="AM1107">
        <v>92.734414888622993</v>
      </c>
      <c r="AN1107">
        <v>1.0000000514668199</v>
      </c>
    </row>
    <row r="1108" spans="1:40" x14ac:dyDescent="0.25">
      <c r="A1108" t="str">
        <f>"20190312164455051"</f>
        <v>20190312164455051</v>
      </c>
      <c r="B1108" t="str">
        <f>"1552380295042453"</f>
        <v>1552380295042453</v>
      </c>
      <c r="C1108" t="s">
        <v>40</v>
      </c>
      <c r="D1108">
        <v>5.7043509999999999</v>
      </c>
      <c r="E1108">
        <v>0.51139939999999995</v>
      </c>
      <c r="F1108" t="s">
        <v>41</v>
      </c>
      <c r="G1108">
        <v>-190.74809999999999</v>
      </c>
      <c r="H1108">
        <v>1.036351</v>
      </c>
      <c r="I1108">
        <v>327.77300000000002</v>
      </c>
      <c r="J1108">
        <v>-190.65049999999999</v>
      </c>
      <c r="K1108">
        <v>1.111049</v>
      </c>
      <c r="L1108">
        <v>328.47109999999998</v>
      </c>
      <c r="M1108">
        <v>-0.15840679999999999</v>
      </c>
      <c r="N1108">
        <v>0</v>
      </c>
      <c r="O1108">
        <v>-0.98727849999999995</v>
      </c>
      <c r="P1108">
        <v>-0.11899750000000001</v>
      </c>
      <c r="Q1108">
        <v>7.1637270000000003E-2</v>
      </c>
      <c r="R1108">
        <v>-0.99030700000000005</v>
      </c>
      <c r="S1108">
        <v>-0.4319153</v>
      </c>
      <c r="T1108">
        <v>-0.2226696</v>
      </c>
      <c r="U1108">
        <v>-2.9935909999999999</v>
      </c>
      <c r="V1108">
        <v>-3.9860199999999998E-2</v>
      </c>
      <c r="W1108">
        <v>8.5098519999999997E-2</v>
      </c>
      <c r="X1108">
        <v>0.99557490000000004</v>
      </c>
      <c r="Y1108">
        <v>-1.6179780000000001E-2</v>
      </c>
      <c r="Z1108">
        <v>7.2402129999999995E-2</v>
      </c>
      <c r="AA1108">
        <v>0.99724429999999997</v>
      </c>
      <c r="AB1108">
        <v>33</v>
      </c>
      <c r="AC1108">
        <v>-9.7599999999999895E-2</v>
      </c>
      <c r="AD1108">
        <v>-7.4697999999999903E-2</v>
      </c>
      <c r="AE1108">
        <v>-0.69809999999995398</v>
      </c>
      <c r="AF1108">
        <v>-1.4068755396465901E-2</v>
      </c>
      <c r="AG1108">
        <v>-7.4697999999999903E-2</v>
      </c>
      <c r="AH1108">
        <v>0.69691969654775798</v>
      </c>
      <c r="AI1108">
        <v>96.116545311977603</v>
      </c>
      <c r="AJ1108">
        <v>91.156475905038405</v>
      </c>
      <c r="AK1108">
        <v>0.70105262606927299</v>
      </c>
      <c r="AL1108">
        <v>85.118309762573205</v>
      </c>
      <c r="AM1108">
        <v>92.292747725941496</v>
      </c>
      <c r="AN1108">
        <v>0.99999998758011999</v>
      </c>
    </row>
    <row r="1109" spans="1:40" x14ac:dyDescent="0.25">
      <c r="A1109" t="str">
        <f>"20190312164455077"</f>
        <v>20190312164455077</v>
      </c>
      <c r="B1109" t="str">
        <f>"1552380295072709"</f>
        <v>1552380295072709</v>
      </c>
      <c r="C1109" t="s">
        <v>40</v>
      </c>
      <c r="D1109">
        <v>5.7835349999999996</v>
      </c>
      <c r="E1109">
        <v>0.51014859999999995</v>
      </c>
      <c r="F1109" t="s">
        <v>41</v>
      </c>
      <c r="G1109">
        <v>-190.7945</v>
      </c>
      <c r="H1109">
        <v>1.0385869999999999</v>
      </c>
      <c r="I1109">
        <v>327.48939999999999</v>
      </c>
      <c r="J1109">
        <v>-190.70750000000001</v>
      </c>
      <c r="K1109">
        <v>1.111159</v>
      </c>
      <c r="L1109">
        <v>328.09429999999998</v>
      </c>
      <c r="M1109">
        <v>-0.1551884</v>
      </c>
      <c r="N1109">
        <v>0</v>
      </c>
      <c r="O1109">
        <v>-0.98778960000000005</v>
      </c>
      <c r="P1109">
        <v>-0.1232557</v>
      </c>
      <c r="Q1109">
        <v>7.2887880000000002E-2</v>
      </c>
      <c r="R1109">
        <v>-0.98969450000000003</v>
      </c>
      <c r="S1109">
        <v>-0.4389343</v>
      </c>
      <c r="T1109">
        <v>-0.22108459999999999</v>
      </c>
      <c r="U1109">
        <v>-2.9926149999999998</v>
      </c>
      <c r="V1109">
        <v>-3.234062E-2</v>
      </c>
      <c r="W1109">
        <v>8.6381230000000003E-2</v>
      </c>
      <c r="X1109">
        <v>0.99573710000000004</v>
      </c>
      <c r="Y1109">
        <v>-1.0579440000000001E-2</v>
      </c>
      <c r="Z1109">
        <v>7.1959200000000001E-2</v>
      </c>
      <c r="AA1109">
        <v>0.99735149999999995</v>
      </c>
      <c r="AB1109">
        <v>33</v>
      </c>
      <c r="AC1109">
        <v>-8.6999999999989003E-2</v>
      </c>
      <c r="AD1109">
        <v>-7.2571999999999803E-2</v>
      </c>
      <c r="AE1109">
        <v>-0.604899999999986</v>
      </c>
      <c r="AF1109">
        <v>-7.8261511465208804E-3</v>
      </c>
      <c r="AG1109">
        <v>-7.2571999999999803E-2</v>
      </c>
      <c r="AH1109">
        <v>0.60257536132675704</v>
      </c>
      <c r="AI1109">
        <v>96.866846784598593</v>
      </c>
      <c r="AJ1109">
        <v>90.744106461904707</v>
      </c>
      <c r="AK1109">
        <v>0.60698023847884897</v>
      </c>
      <c r="AL1109">
        <v>85.044544323717204</v>
      </c>
      <c r="AM1109">
        <v>91.860259983289893</v>
      </c>
      <c r="AN1109">
        <v>1.0000000024573501</v>
      </c>
    </row>
    <row r="1110" spans="1:40" x14ac:dyDescent="0.25">
      <c r="A1110" t="str">
        <f>"20190312164455098"</f>
        <v>20190312164455098</v>
      </c>
      <c r="B1110" t="str">
        <f>"1552380295092228"</f>
        <v>1552380295092228</v>
      </c>
      <c r="C1110" t="s">
        <v>40</v>
      </c>
      <c r="D1110">
        <v>5.6486839999999896</v>
      </c>
      <c r="E1110">
        <v>0.5093799</v>
      </c>
      <c r="F1110" t="s">
        <v>42</v>
      </c>
      <c r="G1110">
        <v>-192.89840000000001</v>
      </c>
      <c r="H1110" s="1">
        <v>-2.4972110000000001E-6</v>
      </c>
      <c r="I1110">
        <v>313.24299999999999</v>
      </c>
      <c r="J1110">
        <v>-190.751</v>
      </c>
      <c r="K1110">
        <v>1.11124</v>
      </c>
      <c r="L1110">
        <v>327.80029999999999</v>
      </c>
      <c r="M1110">
        <v>-0.15257270000000001</v>
      </c>
      <c r="N1110">
        <v>0</v>
      </c>
      <c r="O1110">
        <v>-0.98819710000000005</v>
      </c>
      <c r="P1110">
        <v>-0.1281369</v>
      </c>
      <c r="Q1110">
        <v>7.3978100000000005E-2</v>
      </c>
      <c r="R1110">
        <v>-0.98899360000000003</v>
      </c>
      <c r="S1110">
        <v>-0.4414978</v>
      </c>
      <c r="T1110">
        <v>-0.22391140000000001</v>
      </c>
      <c r="U1110">
        <v>-2.9927060000000001</v>
      </c>
      <c r="V1110">
        <v>-2.4793619999999999E-2</v>
      </c>
      <c r="W1110">
        <v>8.7509920000000005E-2</v>
      </c>
      <c r="X1110">
        <v>0.99585500000000005</v>
      </c>
      <c r="Y1110">
        <v>-7.1103269999999996E-3</v>
      </c>
      <c r="Z1110">
        <v>7.2913850000000002E-2</v>
      </c>
      <c r="AA1110">
        <v>0.99731289999999995</v>
      </c>
      <c r="AB1110">
        <v>33</v>
      </c>
      <c r="AC1110">
        <v>-2.14740000000003</v>
      </c>
      <c r="AD1110">
        <v>-1.111242497211</v>
      </c>
      <c r="AE1110">
        <v>-14.5572999999999</v>
      </c>
      <c r="AF1110">
        <v>-9.8440014742795498E-2</v>
      </c>
      <c r="AG1110">
        <v>-1.111242497211</v>
      </c>
      <c r="AH1110">
        <v>14.631058325236101</v>
      </c>
      <c r="AI1110">
        <v>94.343231099763699</v>
      </c>
      <c r="AJ1110">
        <v>90.385489015898798</v>
      </c>
      <c r="AK1110">
        <v>14.6735277980645</v>
      </c>
      <c r="AL1110">
        <v>84.9796290305311</v>
      </c>
      <c r="AM1110">
        <v>91.426187928819104</v>
      </c>
      <c r="AN1110">
        <v>0.99999994535805403</v>
      </c>
    </row>
    <row r="1111" spans="1:40" x14ac:dyDescent="0.25">
      <c r="A1111" t="str">
        <f>"20190312164455117"</f>
        <v>20190312164455117</v>
      </c>
      <c r="B1111" t="str">
        <f>"1552380295112725"</f>
        <v>1552380295112725</v>
      </c>
      <c r="C1111" t="s">
        <v>40</v>
      </c>
      <c r="D1111">
        <v>5.7739279999999997</v>
      </c>
      <c r="E1111">
        <v>0.50906039999999997</v>
      </c>
      <c r="F1111" t="s">
        <v>42</v>
      </c>
      <c r="G1111">
        <v>-193.0136</v>
      </c>
      <c r="H1111" s="1">
        <v>-2.2960440000000001E-6</v>
      </c>
      <c r="I1111">
        <v>312.75259999999997</v>
      </c>
      <c r="J1111">
        <v>-190.79329999999999</v>
      </c>
      <c r="K1111">
        <v>1.111321</v>
      </c>
      <c r="L1111">
        <v>327.50940000000003</v>
      </c>
      <c r="M1111">
        <v>-0.149896</v>
      </c>
      <c r="N1111">
        <v>0</v>
      </c>
      <c r="O1111">
        <v>-0.98860650000000005</v>
      </c>
      <c r="P1111">
        <v>-0.13323840000000001</v>
      </c>
      <c r="Q1111">
        <v>7.5212139999999997E-2</v>
      </c>
      <c r="R1111">
        <v>-0.98822600000000005</v>
      </c>
      <c r="S1111">
        <v>-0.44982909999999998</v>
      </c>
      <c r="T1111">
        <v>-0.2209264</v>
      </c>
      <c r="U1111">
        <v>-2.991638</v>
      </c>
      <c r="V1111">
        <v>-1.695866E-2</v>
      </c>
      <c r="W1111">
        <v>8.8786660000000003E-2</v>
      </c>
      <c r="X1111">
        <v>0.99590630000000002</v>
      </c>
      <c r="Y1111">
        <v>-1.623598E-3</v>
      </c>
      <c r="Z1111">
        <v>7.2003360000000002E-2</v>
      </c>
      <c r="AA1111">
        <v>0.99740309999999999</v>
      </c>
      <c r="AB1111">
        <v>33</v>
      </c>
      <c r="AC1111">
        <v>-2.2202999999999999</v>
      </c>
      <c r="AD1111">
        <v>-1.111323296044</v>
      </c>
      <c r="AE1111">
        <v>-14.7568</v>
      </c>
      <c r="AF1111">
        <v>-1.68902086726796E-2</v>
      </c>
      <c r="AG1111">
        <v>-1.111323296044</v>
      </c>
      <c r="AH1111">
        <v>14.8405832617043</v>
      </c>
      <c r="AI1111">
        <v>94.282545440390095</v>
      </c>
      <c r="AJ1111">
        <v>90.065208842343907</v>
      </c>
      <c r="AK1111">
        <v>14.8821448822089</v>
      </c>
      <c r="AL1111">
        <v>84.906191685836603</v>
      </c>
      <c r="AM1111">
        <v>90.975559392139999</v>
      </c>
      <c r="AN1111">
        <v>1.00000001276132</v>
      </c>
    </row>
    <row r="1112" spans="1:40" x14ac:dyDescent="0.25">
      <c r="A1112" t="str">
        <f>"20190312164455141"</f>
        <v>20190312164455141</v>
      </c>
      <c r="B1112" t="str">
        <f>"1552380295133221"</f>
        <v>1552380295133221</v>
      </c>
      <c r="C1112" t="s">
        <v>40</v>
      </c>
      <c r="D1112">
        <v>5.7188480000000004</v>
      </c>
      <c r="E1112">
        <v>0.50934009999999996</v>
      </c>
      <c r="F1112" t="s">
        <v>42</v>
      </c>
      <c r="G1112">
        <v>-193.14240000000001</v>
      </c>
      <c r="H1112" s="1">
        <v>-2.1132259999999998E-6</v>
      </c>
      <c r="I1112">
        <v>312.29340000000002</v>
      </c>
      <c r="J1112">
        <v>-190.8408</v>
      </c>
      <c r="K1112">
        <v>1.11141</v>
      </c>
      <c r="L1112">
        <v>327.17439999999999</v>
      </c>
      <c r="M1112">
        <v>-0.14671529999999999</v>
      </c>
      <c r="N1112">
        <v>0</v>
      </c>
      <c r="O1112">
        <v>-0.9890835</v>
      </c>
      <c r="P1112">
        <v>-0.1369097</v>
      </c>
      <c r="Q1112">
        <v>7.6060899999999904E-2</v>
      </c>
      <c r="R1112">
        <v>-0.98765890000000001</v>
      </c>
      <c r="S1112">
        <v>-0.46162409999999998</v>
      </c>
      <c r="T1112">
        <v>-0.21838669999999999</v>
      </c>
      <c r="U1112">
        <v>-2.9901119999999999</v>
      </c>
      <c r="V1112">
        <v>-1.0059800000000001E-2</v>
      </c>
      <c r="W1112">
        <v>8.9675270000000001E-2</v>
      </c>
      <c r="X1112">
        <v>0.99592020000000003</v>
      </c>
      <c r="Y1112">
        <v>5.5214549999999998E-3</v>
      </c>
      <c r="Z1112">
        <v>7.1245840000000005E-2</v>
      </c>
      <c r="AA1112">
        <v>0.99744350000000004</v>
      </c>
      <c r="AB1112">
        <v>33</v>
      </c>
      <c r="AC1112">
        <v>-2.3016000000000001</v>
      </c>
      <c r="AD1112">
        <v>-1.111412113226</v>
      </c>
      <c r="AE1112">
        <v>-14.880999999999901</v>
      </c>
      <c r="AF1112">
        <v>9.2707935735577299E-2</v>
      </c>
      <c r="AG1112">
        <v>-1.111412113226</v>
      </c>
      <c r="AH1112">
        <v>14.9760641445068</v>
      </c>
      <c r="AI1112">
        <v>94.244205261231301</v>
      </c>
      <c r="AJ1112">
        <v>89.645320322866496</v>
      </c>
      <c r="AK1112">
        <v>15.017534048809599</v>
      </c>
      <c r="AL1112">
        <v>84.855073844469601</v>
      </c>
      <c r="AM1112">
        <v>90.578725565607698</v>
      </c>
      <c r="AN1112">
        <v>0.999999949196825</v>
      </c>
    </row>
    <row r="1113" spans="1:40" x14ac:dyDescent="0.25">
      <c r="A1113" t="str">
        <f>"20190312164455162"</f>
        <v>20190312164455162</v>
      </c>
      <c r="B1113" t="str">
        <f>"1552380295152741"</f>
        <v>1552380295152741</v>
      </c>
      <c r="C1113" t="s">
        <v>40</v>
      </c>
      <c r="D1113">
        <v>5.8296380000000001</v>
      </c>
      <c r="E1113">
        <v>0.50989759999999995</v>
      </c>
      <c r="F1113" t="s">
        <v>42</v>
      </c>
      <c r="G1113">
        <v>-193.2465</v>
      </c>
      <c r="H1113" s="1">
        <v>-2.013083E-6</v>
      </c>
      <c r="I1113">
        <v>312.02289999999999</v>
      </c>
      <c r="J1113">
        <v>-190.8852</v>
      </c>
      <c r="K1113">
        <v>1.1114820000000001</v>
      </c>
      <c r="L1113">
        <v>326.85399999999998</v>
      </c>
      <c r="M1113">
        <v>-0.14359340000000001</v>
      </c>
      <c r="N1113">
        <v>0</v>
      </c>
      <c r="O1113">
        <v>-0.98954169999999997</v>
      </c>
      <c r="P1113">
        <v>-0.14057030000000001</v>
      </c>
      <c r="Q1113">
        <v>7.6896679999999995E-2</v>
      </c>
      <c r="R1113">
        <v>-0.98708019999999996</v>
      </c>
      <c r="S1113">
        <v>-0.47451779999999999</v>
      </c>
      <c r="T1113">
        <v>-0.21922530000000001</v>
      </c>
      <c r="U1113">
        <v>-2.9886170000000001</v>
      </c>
      <c r="V1113">
        <v>-3.228992E-3</v>
      </c>
      <c r="W1113">
        <v>9.0552880000000002E-2</v>
      </c>
      <c r="X1113">
        <v>0.99588639999999995</v>
      </c>
      <c r="Y1113">
        <v>1.294871E-2</v>
      </c>
      <c r="Z1113">
        <v>7.1576829999999994E-2</v>
      </c>
      <c r="AA1113">
        <v>0.99735110000000005</v>
      </c>
      <c r="AB1113">
        <v>33</v>
      </c>
      <c r="AC1113">
        <v>-2.3613</v>
      </c>
      <c r="AD1113">
        <v>-1.1114840130829999</v>
      </c>
      <c r="AE1113">
        <v>-14.831099999999999</v>
      </c>
      <c r="AF1113">
        <v>0.20584866367864199</v>
      </c>
      <c r="AG1113">
        <v>-1.1114840130829999</v>
      </c>
      <c r="AH1113">
        <v>14.934666098449</v>
      </c>
      <c r="AI1113">
        <v>94.255879595945402</v>
      </c>
      <c r="AJ1113">
        <v>89.210326312736697</v>
      </c>
      <c r="AK1113">
        <v>14.9773836785948</v>
      </c>
      <c r="AL1113">
        <v>84.804585267273893</v>
      </c>
      <c r="AM1113">
        <v>90.185771153592995</v>
      </c>
      <c r="AN1113">
        <v>0.99999998608529495</v>
      </c>
    </row>
    <row r="1114" spans="1:40" x14ac:dyDescent="0.25">
      <c r="A1114" t="str">
        <f>"20190312164455184"</f>
        <v>20190312164455184</v>
      </c>
      <c r="B1114" t="str">
        <f>"1552380295172261"</f>
        <v>1552380295172261</v>
      </c>
      <c r="C1114" t="s">
        <v>40</v>
      </c>
      <c r="D1114">
        <v>5.6834740000000004</v>
      </c>
      <c r="E1114">
        <v>0.51030699999999996</v>
      </c>
      <c r="F1114" t="s">
        <v>42</v>
      </c>
      <c r="G1114">
        <v>-193.45830000000001</v>
      </c>
      <c r="H1114" s="1">
        <v>-1.6610540000000001E-6</v>
      </c>
      <c r="I1114">
        <v>311.15899999999999</v>
      </c>
      <c r="J1114">
        <v>-190.92840000000001</v>
      </c>
      <c r="K1114">
        <v>1.1115429999999999</v>
      </c>
      <c r="L1114">
        <v>326.53399999999999</v>
      </c>
      <c r="M1114">
        <v>-0.1404088</v>
      </c>
      <c r="N1114">
        <v>0</v>
      </c>
      <c r="O1114">
        <v>-0.98999859999999995</v>
      </c>
      <c r="P1114">
        <v>-0.1438931</v>
      </c>
      <c r="Q1114">
        <v>7.686345E-2</v>
      </c>
      <c r="R1114">
        <v>-0.98660389999999998</v>
      </c>
      <c r="S1114">
        <v>-0.48954769999999997</v>
      </c>
      <c r="T1114">
        <v>-0.2114646</v>
      </c>
      <c r="U1114">
        <v>-2.9860530000000001</v>
      </c>
      <c r="V1114">
        <v>3.3215419999999998E-3</v>
      </c>
      <c r="W1114">
        <v>9.0562379999999998E-2</v>
      </c>
      <c r="X1114">
        <v>0.99588529999999997</v>
      </c>
      <c r="Y1114">
        <v>2.1218939999999999E-2</v>
      </c>
      <c r="Z1114">
        <v>6.9129380000000004E-2</v>
      </c>
      <c r="AA1114">
        <v>0.99738199999999999</v>
      </c>
      <c r="AB1114">
        <v>33</v>
      </c>
      <c r="AC1114">
        <v>-2.5298999999999898</v>
      </c>
      <c r="AD1114">
        <v>-1.1115446610539901</v>
      </c>
      <c r="AE1114">
        <v>-15.375</v>
      </c>
      <c r="AF1114">
        <v>0.34409364616583199</v>
      </c>
      <c r="AG1114">
        <v>-1.1115446610539901</v>
      </c>
      <c r="AH1114">
        <v>15.499041605938199</v>
      </c>
      <c r="AI1114">
        <v>94.101050811383203</v>
      </c>
      <c r="AJ1114">
        <v>88.728187454328705</v>
      </c>
      <c r="AK1114">
        <v>15.542658159834</v>
      </c>
      <c r="AL1114">
        <v>84.804039065713894</v>
      </c>
      <c r="AM1114">
        <v>89.808904065147203</v>
      </c>
      <c r="AN1114">
        <v>1.0000000540342999</v>
      </c>
    </row>
    <row r="1115" spans="1:40" x14ac:dyDescent="0.25">
      <c r="A1115" t="str">
        <f>"20190312164455208"</f>
        <v>20190312164455208</v>
      </c>
      <c r="B1115" t="str">
        <f>"1552380295202517"</f>
        <v>1552380295202517</v>
      </c>
      <c r="C1115" t="s">
        <v>40</v>
      </c>
      <c r="D1115">
        <v>5.9842149999999998</v>
      </c>
      <c r="E1115">
        <v>0.51044940000000005</v>
      </c>
      <c r="F1115" t="s">
        <v>42</v>
      </c>
      <c r="G1115">
        <v>-193.59100000000001</v>
      </c>
      <c r="H1115" s="1">
        <v>-1.4864310000000001E-6</v>
      </c>
      <c r="I1115">
        <v>310.71480000000003</v>
      </c>
      <c r="J1115">
        <v>-190.97110000000001</v>
      </c>
      <c r="K1115">
        <v>1.111599</v>
      </c>
      <c r="L1115">
        <v>326.20979999999997</v>
      </c>
      <c r="M1115">
        <v>-0.137126</v>
      </c>
      <c r="N1115">
        <v>0</v>
      </c>
      <c r="O1115">
        <v>-0.99045870000000003</v>
      </c>
      <c r="P1115">
        <v>-0.1468305</v>
      </c>
      <c r="Q1115">
        <v>7.7094170000000004E-2</v>
      </c>
      <c r="R1115">
        <v>-0.98615299999999995</v>
      </c>
      <c r="S1115">
        <v>-0.5022278</v>
      </c>
      <c r="T1115">
        <v>-0.2096604</v>
      </c>
      <c r="U1115">
        <v>-2.9838260000000001</v>
      </c>
      <c r="V1115">
        <v>9.5841239999999994E-3</v>
      </c>
      <c r="W1115">
        <v>9.083447E-2</v>
      </c>
      <c r="X1115">
        <v>0.99581989999999998</v>
      </c>
      <c r="Y1115">
        <v>2.878232E-2</v>
      </c>
      <c r="Z1115">
        <v>6.8610270000000001E-2</v>
      </c>
      <c r="AA1115">
        <v>0.99722829999999996</v>
      </c>
      <c r="AB1115">
        <v>33</v>
      </c>
      <c r="AC1115">
        <v>-2.6198999999999701</v>
      </c>
      <c r="AD1115">
        <v>-1.1116004864309901</v>
      </c>
      <c r="AE1115">
        <v>-15.4949999999999</v>
      </c>
      <c r="AF1115">
        <v>0.46783875754083099</v>
      </c>
      <c r="AG1115">
        <v>-1.1116004864309901</v>
      </c>
      <c r="AH1115">
        <v>15.629687822092199</v>
      </c>
      <c r="AI1115">
        <v>94.066273526575003</v>
      </c>
      <c r="AJ1115">
        <v>88.285494541605502</v>
      </c>
      <c r="AK1115">
        <v>15.676149723722</v>
      </c>
      <c r="AL1115">
        <v>84.788384732860095</v>
      </c>
      <c r="AM1115">
        <v>89.4485821166042</v>
      </c>
      <c r="AN1115">
        <v>1.0000000148045101</v>
      </c>
    </row>
    <row r="1116" spans="1:40" x14ac:dyDescent="0.25">
      <c r="A1116" t="str">
        <f>"20190312164455230"</f>
        <v>20190312164455230</v>
      </c>
      <c r="B1116" t="str">
        <f>"1552380295223013"</f>
        <v>1552380295223013</v>
      </c>
      <c r="C1116" t="s">
        <v>40</v>
      </c>
      <c r="D1116">
        <v>5.6141920000000001</v>
      </c>
      <c r="E1116">
        <v>0.51035129999999995</v>
      </c>
      <c r="F1116" t="s">
        <v>42</v>
      </c>
      <c r="G1116">
        <v>-193.69929999999999</v>
      </c>
      <c r="H1116" s="1">
        <v>-1.3194429999999999E-6</v>
      </c>
      <c r="I1116">
        <v>310.30070000000001</v>
      </c>
      <c r="J1116">
        <v>-191.01220000000001</v>
      </c>
      <c r="K1116">
        <v>1.1116469999999901</v>
      </c>
      <c r="L1116">
        <v>325.88850000000002</v>
      </c>
      <c r="M1116">
        <v>-0.13382359999999999</v>
      </c>
      <c r="N1116">
        <v>0</v>
      </c>
      <c r="O1116">
        <v>-0.99091039999999997</v>
      </c>
      <c r="P1116">
        <v>-0.14961959999999999</v>
      </c>
      <c r="Q1116">
        <v>7.7174610000000005E-2</v>
      </c>
      <c r="R1116">
        <v>-0.98572760000000004</v>
      </c>
      <c r="S1116">
        <v>-0.51141359999999902</v>
      </c>
      <c r="T1116">
        <v>-0.2083738</v>
      </c>
      <c r="U1116">
        <v>-2.9822389999999999</v>
      </c>
      <c r="V1116">
        <v>1.5717060000000001E-2</v>
      </c>
      <c r="W1116">
        <v>9.0956990000000001E-2</v>
      </c>
      <c r="X1116">
        <v>0.99573080000000003</v>
      </c>
      <c r="Y1116">
        <v>3.5190470000000001E-2</v>
      </c>
      <c r="Z1116">
        <v>6.8249009999999999E-2</v>
      </c>
      <c r="AA1116">
        <v>0.99704749999999998</v>
      </c>
      <c r="AB1116">
        <v>33</v>
      </c>
      <c r="AC1116">
        <v>-2.6870999999999801</v>
      </c>
      <c r="AD1116">
        <v>-1.11164831944299</v>
      </c>
      <c r="AE1116">
        <v>-15.5878</v>
      </c>
      <c r="AF1116">
        <v>0.57387954010129705</v>
      </c>
      <c r="AG1116">
        <v>-1.11164831944299</v>
      </c>
      <c r="AH1116">
        <v>15.729505534182</v>
      </c>
      <c r="AI1116">
        <v>94.039853282223405</v>
      </c>
      <c r="AJ1116">
        <v>87.910532031698196</v>
      </c>
      <c r="AK1116">
        <v>15.7791775470881</v>
      </c>
      <c r="AL1116">
        <v>84.781335664625004</v>
      </c>
      <c r="AM1116">
        <v>89.095692904531703</v>
      </c>
      <c r="AN1116">
        <v>1.0000000130367701</v>
      </c>
    </row>
    <row r="1117" spans="1:40" x14ac:dyDescent="0.25">
      <c r="A1117" t="str">
        <f>"20190312164455253"</f>
        <v>20190312164455253</v>
      </c>
      <c r="B1117" t="str">
        <f>"1552380295242533"</f>
        <v>1552380295242533</v>
      </c>
      <c r="C1117" t="s">
        <v>40</v>
      </c>
      <c r="D1117">
        <v>5.6777490000000004</v>
      </c>
      <c r="E1117">
        <v>0.51029420000000003</v>
      </c>
      <c r="F1117" t="s">
        <v>41</v>
      </c>
      <c r="G1117">
        <v>-191.18350000000001</v>
      </c>
      <c r="H1117">
        <v>1.042824</v>
      </c>
      <c r="I1117">
        <v>324.90190000000001</v>
      </c>
      <c r="J1117">
        <v>-191.05330000000001</v>
      </c>
      <c r="K1117">
        <v>1.1116889999999999</v>
      </c>
      <c r="L1117">
        <v>325.55759999999998</v>
      </c>
      <c r="M1117">
        <v>-0.1303763</v>
      </c>
      <c r="N1117">
        <v>0</v>
      </c>
      <c r="O1117">
        <v>-0.99136970000000002</v>
      </c>
      <c r="P1117">
        <v>-0.15172629999999901</v>
      </c>
      <c r="Q1117">
        <v>7.7571020000000004E-2</v>
      </c>
      <c r="R1117">
        <v>-0.98537390000000002</v>
      </c>
      <c r="S1117">
        <v>-0.51747129999999997</v>
      </c>
      <c r="T1117">
        <v>-0.2079734</v>
      </c>
      <c r="U1117">
        <v>-2.9811709999999998</v>
      </c>
      <c r="V1117">
        <v>2.1306829999999999E-2</v>
      </c>
      <c r="W1117">
        <v>9.1391959999999994E-2</v>
      </c>
      <c r="X1117">
        <v>0.99558709999999995</v>
      </c>
      <c r="Y1117">
        <v>4.0693779999999999E-2</v>
      </c>
      <c r="Z1117">
        <v>6.8170889999999998E-2</v>
      </c>
      <c r="AA1117">
        <v>0.99684340000000005</v>
      </c>
      <c r="AB1117">
        <v>33</v>
      </c>
      <c r="AC1117">
        <v>-0.13020000000000201</v>
      </c>
      <c r="AD1117">
        <v>-6.8864999999999899E-2</v>
      </c>
      <c r="AE1117">
        <v>-0.65569999999996698</v>
      </c>
      <c r="AF1117">
        <v>4.3134953283064E-2</v>
      </c>
      <c r="AG1117">
        <v>-6.8864999999999899E-2</v>
      </c>
      <c r="AH1117">
        <v>0.660074236741922</v>
      </c>
      <c r="AI1117">
        <v>95.943487833667604</v>
      </c>
      <c r="AJ1117">
        <v>86.2611149512298</v>
      </c>
      <c r="AK1117">
        <v>0.66505714824379103</v>
      </c>
      <c r="AL1117">
        <v>84.756309796626795</v>
      </c>
      <c r="AM1117">
        <v>88.773984611718703</v>
      </c>
      <c r="AN1117">
        <v>1.0000000725218401</v>
      </c>
    </row>
    <row r="1118" spans="1:40" x14ac:dyDescent="0.25">
      <c r="A1118" t="str">
        <f>"20190312164455276"</f>
        <v>20190312164455276</v>
      </c>
      <c r="B1118" t="str">
        <f>"1552380295272789"</f>
        <v>1552380295272789</v>
      </c>
      <c r="C1118" t="s">
        <v>40</v>
      </c>
      <c r="D1118">
        <v>5.7735269999999996</v>
      </c>
      <c r="E1118">
        <v>0.50991909999999996</v>
      </c>
      <c r="F1118" t="s">
        <v>41</v>
      </c>
      <c r="G1118">
        <v>-191.21870000000001</v>
      </c>
      <c r="H1118">
        <v>1.044354</v>
      </c>
      <c r="I1118">
        <v>324.613</v>
      </c>
      <c r="J1118">
        <v>-191.09360000000001</v>
      </c>
      <c r="K1118">
        <v>1.1117239999999999</v>
      </c>
      <c r="L1118">
        <v>325.22320000000002</v>
      </c>
      <c r="M1118">
        <v>-0.12686120000000001</v>
      </c>
      <c r="N1118">
        <v>0</v>
      </c>
      <c r="O1118">
        <v>-0.99182559999999997</v>
      </c>
      <c r="P1118">
        <v>-0.1531882</v>
      </c>
      <c r="Q1118">
        <v>7.7574480000000001E-2</v>
      </c>
      <c r="R1118">
        <v>-0.98514780000000002</v>
      </c>
      <c r="S1118">
        <v>-0.52182010000000001</v>
      </c>
      <c r="T1118">
        <v>-0.21258469999999999</v>
      </c>
      <c r="U1118">
        <v>-2.980988</v>
      </c>
      <c r="V1118">
        <v>2.631083E-2</v>
      </c>
      <c r="W1118">
        <v>9.143279E-2</v>
      </c>
      <c r="X1118">
        <v>0.9954636</v>
      </c>
      <c r="Y1118">
        <v>4.5638570000000003E-2</v>
      </c>
      <c r="Z1118">
        <v>6.9711079999999995E-2</v>
      </c>
      <c r="AA1118">
        <v>0.99652269999999998</v>
      </c>
      <c r="AB1118">
        <v>33</v>
      </c>
      <c r="AC1118">
        <v>-0.12510000000000299</v>
      </c>
      <c r="AD1118">
        <v>-6.7369999999999902E-2</v>
      </c>
      <c r="AE1118">
        <v>-0.61020000000001995</v>
      </c>
      <c r="AF1118">
        <v>4.6131429621808502E-2</v>
      </c>
      <c r="AG1118">
        <v>-6.7369999999999902E-2</v>
      </c>
      <c r="AH1118">
        <v>0.61395874398088701</v>
      </c>
      <c r="AI1118">
        <v>96.244578483019694</v>
      </c>
      <c r="AJ1118">
        <v>85.703002951700498</v>
      </c>
      <c r="AK1118">
        <v>0.61936432332637703</v>
      </c>
      <c r="AL1118">
        <v>84.753960176356401</v>
      </c>
      <c r="AM1118">
        <v>88.485983190695293</v>
      </c>
      <c r="AN1118">
        <v>0.99999999689371599</v>
      </c>
    </row>
    <row r="1119" spans="1:40" x14ac:dyDescent="0.25">
      <c r="A1119" t="str">
        <f>"20190312164455298"</f>
        <v>20190312164455298</v>
      </c>
      <c r="B1119" t="str">
        <f>"1552380295292311"</f>
        <v>1552380295292311</v>
      </c>
      <c r="C1119" t="s">
        <v>40</v>
      </c>
      <c r="D1119">
        <v>5.7677959999999997</v>
      </c>
      <c r="E1119">
        <v>0.50950699999999904</v>
      </c>
      <c r="F1119" t="s">
        <v>41</v>
      </c>
      <c r="G1119">
        <v>-191.2516</v>
      </c>
      <c r="H1119">
        <v>1.0474289999999999</v>
      </c>
      <c r="I1119">
        <v>324.32209999999998</v>
      </c>
      <c r="J1119">
        <v>-191.1302</v>
      </c>
      <c r="K1119">
        <v>1.1117520000000001</v>
      </c>
      <c r="L1119">
        <v>324.91059999999999</v>
      </c>
      <c r="M1119">
        <v>-0.1235469</v>
      </c>
      <c r="N1119">
        <v>0</v>
      </c>
      <c r="O1119">
        <v>-0.99224380000000001</v>
      </c>
      <c r="P1119">
        <v>-0.15768260000000001</v>
      </c>
      <c r="Q1119">
        <v>7.8512719999999994E-2</v>
      </c>
      <c r="R1119">
        <v>-0.98436400000000002</v>
      </c>
      <c r="S1119">
        <v>-0.52220149999999999</v>
      </c>
      <c r="T1119">
        <v>-0.21291769999999999</v>
      </c>
      <c r="U1119">
        <v>-2.980804</v>
      </c>
      <c r="V1119">
        <v>3.4183829999999998E-2</v>
      </c>
      <c r="W1119">
        <v>9.2431340000000001E-2</v>
      </c>
      <c r="X1119">
        <v>0.99513209999999996</v>
      </c>
      <c r="Y1119">
        <v>4.9108150000000003E-2</v>
      </c>
      <c r="Z1119">
        <v>6.9861419999999994E-2</v>
      </c>
      <c r="AA1119">
        <v>0.99634719999999999</v>
      </c>
      <c r="AB1119">
        <v>33</v>
      </c>
      <c r="AC1119">
        <v>-0.121399999999994</v>
      </c>
      <c r="AD1119">
        <v>-6.4322999999999894E-2</v>
      </c>
      <c r="AE1119">
        <v>-0.58850000000001002</v>
      </c>
      <c r="AF1119">
        <v>4.7214521586599299E-2</v>
      </c>
      <c r="AG1119">
        <v>-6.4322999999999894E-2</v>
      </c>
      <c r="AH1119">
        <v>0.59220451795556095</v>
      </c>
      <c r="AI1119">
        <v>96.179492353348394</v>
      </c>
      <c r="AJ1119">
        <v>85.441637507157495</v>
      </c>
      <c r="AK1119">
        <v>0.59755573000736095</v>
      </c>
      <c r="AL1119">
        <v>84.696504135136394</v>
      </c>
      <c r="AM1119">
        <v>88.032603554082399</v>
      </c>
      <c r="AN1119">
        <v>0.99999999164903697</v>
      </c>
    </row>
    <row r="1120" spans="1:40" x14ac:dyDescent="0.25">
      <c r="A1120" t="str">
        <f>"20190312164455330"</f>
        <v>20190312164455330</v>
      </c>
      <c r="B1120" t="str">
        <f>"1552380295322566"</f>
        <v>1552380295322566</v>
      </c>
      <c r="C1120" t="s">
        <v>40</v>
      </c>
      <c r="D1120">
        <v>5.7184670000000004</v>
      </c>
      <c r="E1120">
        <v>0.50905250000000002</v>
      </c>
      <c r="F1120" t="s">
        <v>41</v>
      </c>
      <c r="G1120">
        <v>-191.2869</v>
      </c>
      <c r="H1120">
        <v>1.0498719999999999</v>
      </c>
      <c r="I1120">
        <v>324.03250000000003</v>
      </c>
      <c r="J1120">
        <v>-191.1832</v>
      </c>
      <c r="K1120">
        <v>1.1117919999999999</v>
      </c>
      <c r="L1120">
        <v>324.44170000000003</v>
      </c>
      <c r="M1120">
        <v>-0.1185238</v>
      </c>
      <c r="N1120">
        <v>0</v>
      </c>
      <c r="O1120">
        <v>-0.99285610000000002</v>
      </c>
      <c r="P1120">
        <v>-0.16038939999999999</v>
      </c>
      <c r="Q1120">
        <v>7.9388639999999996E-2</v>
      </c>
      <c r="R1120">
        <v>-0.98385590000000001</v>
      </c>
      <c r="S1120">
        <v>-0.53117369999999997</v>
      </c>
      <c r="T1120">
        <v>-0.21017749999999999</v>
      </c>
      <c r="U1120">
        <v>-2.9793400000000001</v>
      </c>
      <c r="V1120">
        <v>4.1957550000000003E-2</v>
      </c>
      <c r="W1120">
        <v>9.3372810000000001E-2</v>
      </c>
      <c r="X1120">
        <v>0.99474669999999998</v>
      </c>
      <c r="Y1120">
        <v>5.7164310000000003E-2</v>
      </c>
      <c r="Z1120">
        <v>6.9030930000000004E-2</v>
      </c>
      <c r="AA1120">
        <v>0.99597539999999996</v>
      </c>
      <c r="AB1120">
        <v>33</v>
      </c>
      <c r="AC1120">
        <v>-0.103700000000003</v>
      </c>
      <c r="AD1120">
        <v>-6.1920000000000197E-2</v>
      </c>
      <c r="AE1120">
        <v>-0.40919999999999801</v>
      </c>
      <c r="AF1120">
        <v>5.33172176748066E-2</v>
      </c>
      <c r="AG1120">
        <v>-6.1920000000000197E-2</v>
      </c>
      <c r="AH1120">
        <v>0.40979018864036099</v>
      </c>
      <c r="AI1120">
        <v>98.521731609083105</v>
      </c>
      <c r="AJ1120">
        <v>82.586970427986998</v>
      </c>
      <c r="AK1120">
        <v>0.41785740487214701</v>
      </c>
      <c r="AL1120">
        <v>84.6423273910262</v>
      </c>
      <c r="AM1120">
        <v>87.584745519748296</v>
      </c>
      <c r="AN1120">
        <v>0.99999995740509295</v>
      </c>
    </row>
    <row r="1121" spans="1:40" x14ac:dyDescent="0.25">
      <c r="A1121" t="str">
        <f>"20190312164455352"</f>
        <v>20190312164455352</v>
      </c>
      <c r="B1121" t="str">
        <f>"1552380295343061"</f>
        <v>1552380295343061</v>
      </c>
      <c r="C1121" t="s">
        <v>40</v>
      </c>
      <c r="D1121">
        <v>5.6732589999999998</v>
      </c>
      <c r="E1121">
        <v>0.50880369999999997</v>
      </c>
      <c r="F1121" t="s">
        <v>41</v>
      </c>
      <c r="G1121">
        <v>-191.35900000000001</v>
      </c>
      <c r="H1121">
        <v>1.043696</v>
      </c>
      <c r="I1121">
        <v>323.4631</v>
      </c>
      <c r="J1121">
        <v>-191.2175</v>
      </c>
      <c r="K1121">
        <v>1.1118300000000001</v>
      </c>
      <c r="L1121">
        <v>324.1241</v>
      </c>
      <c r="M1121">
        <v>-0.1150839</v>
      </c>
      <c r="N1121">
        <v>0</v>
      </c>
      <c r="O1121">
        <v>-0.99326060000000005</v>
      </c>
      <c r="P1121">
        <v>-0.162210299999999</v>
      </c>
      <c r="Q1121">
        <v>8.0755930000000004E-2</v>
      </c>
      <c r="R1121">
        <v>-0.9834463</v>
      </c>
      <c r="S1121">
        <v>-0.53433229999999998</v>
      </c>
      <c r="T1121">
        <v>-0.2077909</v>
      </c>
      <c r="U1121">
        <v>-2.978882</v>
      </c>
      <c r="V1121">
        <v>4.7246700000000003E-2</v>
      </c>
      <c r="W1121">
        <v>9.4786549999999997E-2</v>
      </c>
      <c r="X1121">
        <v>0.99437580000000003</v>
      </c>
      <c r="Y1121">
        <v>6.1680970000000002E-2</v>
      </c>
      <c r="Z1121">
        <v>6.8287120000000007E-2</v>
      </c>
      <c r="AA1121">
        <v>0.99575720000000001</v>
      </c>
      <c r="AB1121">
        <v>33</v>
      </c>
      <c r="AC1121">
        <v>-0.14150000000000701</v>
      </c>
      <c r="AD1121">
        <v>-6.8133999999999903E-2</v>
      </c>
      <c r="AE1121">
        <v>-0.66100000000000103</v>
      </c>
      <c r="AF1121">
        <v>6.3833506985797997E-2</v>
      </c>
      <c r="AG1121">
        <v>-6.8133999999999903E-2</v>
      </c>
      <c r="AH1121">
        <v>0.66612584646000605</v>
      </c>
      <c r="AI1121">
        <v>95.813681274577405</v>
      </c>
      <c r="AJ1121">
        <v>84.526174649733093</v>
      </c>
      <c r="AK1121">
        <v>0.67263705063887502</v>
      </c>
      <c r="AL1121">
        <v>84.560965333972604</v>
      </c>
      <c r="AM1121">
        <v>87.279698329656995</v>
      </c>
      <c r="AN1121">
        <v>0.99999998617371599</v>
      </c>
    </row>
    <row r="1122" spans="1:40" x14ac:dyDescent="0.25">
      <c r="A1122" t="str">
        <f>"20190312164455376"</f>
        <v>20190312164455376</v>
      </c>
      <c r="B1122" t="str">
        <f>"1552380295373318"</f>
        <v>1552380295373318</v>
      </c>
      <c r="C1122" t="s">
        <v>40</v>
      </c>
      <c r="D1122">
        <v>5.6522579999999998</v>
      </c>
      <c r="E1122">
        <v>0.50153549999999902</v>
      </c>
      <c r="F1122" t="s">
        <v>41</v>
      </c>
      <c r="G1122">
        <v>-191.38890000000001</v>
      </c>
      <c r="H1122">
        <v>1.04654</v>
      </c>
      <c r="I1122">
        <v>323.17410000000001</v>
      </c>
      <c r="J1122">
        <v>-191.25229999999999</v>
      </c>
      <c r="K1122">
        <v>1.111861</v>
      </c>
      <c r="L1122">
        <v>323.79129999999998</v>
      </c>
      <c r="M1122">
        <v>-0.1114536</v>
      </c>
      <c r="N1122">
        <v>0</v>
      </c>
      <c r="O1122">
        <v>-0.99367450000000002</v>
      </c>
      <c r="P1122">
        <v>-0.1636165</v>
      </c>
      <c r="Q1122">
        <v>8.184247E-2</v>
      </c>
      <c r="R1122">
        <v>-0.98312350000000004</v>
      </c>
      <c r="S1122">
        <v>-0.53701779999999999</v>
      </c>
      <c r="T1122">
        <v>-0.20502049999999999</v>
      </c>
      <c r="U1122">
        <v>-2.9787599999999999</v>
      </c>
      <c r="V1122">
        <v>5.2303860000000001E-2</v>
      </c>
      <c r="W1122">
        <v>9.5918610000000001E-2</v>
      </c>
      <c r="X1122">
        <v>0.99401399999999995</v>
      </c>
      <c r="Y1122">
        <v>6.6214969999999998E-2</v>
      </c>
      <c r="Z1122">
        <v>6.7410460000000005E-2</v>
      </c>
      <c r="AA1122">
        <v>0.99552569999999996</v>
      </c>
      <c r="AB1122">
        <v>32</v>
      </c>
      <c r="AC1122">
        <v>-0.13660000000001499</v>
      </c>
      <c r="AD1122">
        <v>-6.5320999999999907E-2</v>
      </c>
      <c r="AE1122">
        <v>-0.617199999999968</v>
      </c>
      <c r="AF1122">
        <v>6.6245740642995599E-2</v>
      </c>
      <c r="AG1122">
        <v>-6.5320999999999907E-2</v>
      </c>
      <c r="AH1122">
        <v>0.62193890188325895</v>
      </c>
      <c r="AI1122">
        <v>95.962198391349006</v>
      </c>
      <c r="AJ1122">
        <v>83.920071507162803</v>
      </c>
      <c r="AK1122">
        <v>0.62885875112786105</v>
      </c>
      <c r="AL1122">
        <v>84.495805991711805</v>
      </c>
      <c r="AM1122">
        <v>86.987940576257699</v>
      </c>
      <c r="AN1122">
        <v>0.99999995285561405</v>
      </c>
    </row>
    <row r="1123" spans="1:40" x14ac:dyDescent="0.25">
      <c r="A1123" t="str">
        <f>"20190312164455396"</f>
        <v>20190312164455396</v>
      </c>
      <c r="B1123" t="str">
        <f>"1552380295392837"</f>
        <v>1552380295392837</v>
      </c>
      <c r="C1123" t="s">
        <v>40</v>
      </c>
      <c r="D1123">
        <v>5.6813149999999997</v>
      </c>
      <c r="E1123">
        <v>0.50110650000000001</v>
      </c>
      <c r="F1123" t="s">
        <v>41</v>
      </c>
      <c r="G1123">
        <v>-191.39599999999999</v>
      </c>
      <c r="H1123">
        <v>1.0258769999999999</v>
      </c>
      <c r="I1123">
        <v>322.89449999999999</v>
      </c>
      <c r="J1123">
        <v>-191.2826</v>
      </c>
      <c r="K1123">
        <v>1.111883</v>
      </c>
      <c r="L1123">
        <v>323.49090000000001</v>
      </c>
      <c r="M1123">
        <v>-0.1081559</v>
      </c>
      <c r="N1123">
        <v>0</v>
      </c>
      <c r="O1123">
        <v>-0.99403859999999999</v>
      </c>
      <c r="P1123">
        <v>-0.16509209999999999</v>
      </c>
      <c r="Q1123">
        <v>8.2725580000000007E-2</v>
      </c>
      <c r="R1123">
        <v>-0.98280290000000003</v>
      </c>
      <c r="S1123">
        <v>-0.47981259999999998</v>
      </c>
      <c r="T1123">
        <v>-0.2874485</v>
      </c>
      <c r="U1123">
        <v>-2.9955750000000001</v>
      </c>
      <c r="V1123">
        <v>5.7096250000000001E-2</v>
      </c>
      <c r="W1123">
        <v>9.6843639999999995E-2</v>
      </c>
      <c r="X1123">
        <v>0.9936606</v>
      </c>
      <c r="Y1123">
        <v>4.9720510000000002E-2</v>
      </c>
      <c r="Z1123">
        <v>9.4030909999999995E-2</v>
      </c>
      <c r="AA1123">
        <v>0.99432690000000001</v>
      </c>
      <c r="AB1123">
        <v>32</v>
      </c>
      <c r="AC1123">
        <v>-0.113399999999984</v>
      </c>
      <c r="AD1123">
        <v>-8.6005999999999805E-2</v>
      </c>
      <c r="AE1123">
        <v>-0.59640000000001603</v>
      </c>
      <c r="AF1123">
        <v>4.7275526195209E-2</v>
      </c>
      <c r="AG1123">
        <v>-8.6005999999999805E-2</v>
      </c>
      <c r="AH1123">
        <v>0.59325984190546899</v>
      </c>
      <c r="AI1123">
        <v>98.223100336204894</v>
      </c>
      <c r="AJ1123">
        <v>85.443857529763093</v>
      </c>
      <c r="AK1123">
        <v>0.6013229144401</v>
      </c>
      <c r="AL1123">
        <v>84.442558206461996</v>
      </c>
      <c r="AM1123">
        <v>86.711371176878401</v>
      </c>
      <c r="AN1123">
        <v>1.0000000301824301</v>
      </c>
    </row>
    <row r="1124" spans="1:40" x14ac:dyDescent="0.25">
      <c r="A1124" t="str">
        <f>"20190312164455421"</f>
        <v>20190312164455421</v>
      </c>
      <c r="B1124" t="str">
        <f>"1552380295412358"</f>
        <v>1552380295412358</v>
      </c>
      <c r="C1124" t="s">
        <v>40</v>
      </c>
      <c r="D1124">
        <v>5.6864650000000001</v>
      </c>
      <c r="E1124">
        <v>0.50023689999999998</v>
      </c>
      <c r="F1124" t="s">
        <v>41</v>
      </c>
      <c r="G1124">
        <v>-191.4248</v>
      </c>
      <c r="H1124">
        <v>1.0305150000000001</v>
      </c>
      <c r="I1124">
        <v>322.60509999999999</v>
      </c>
      <c r="J1124">
        <v>-191.31620000000001</v>
      </c>
      <c r="K1124">
        <v>1.111901</v>
      </c>
      <c r="L1124">
        <v>323.14609999999999</v>
      </c>
      <c r="M1124">
        <v>-0.1043482</v>
      </c>
      <c r="N1124">
        <v>0</v>
      </c>
      <c r="O1124">
        <v>-0.99444560000000004</v>
      </c>
      <c r="P1124">
        <v>-0.1659649</v>
      </c>
      <c r="Q1124">
        <v>8.3281969999999997E-2</v>
      </c>
      <c r="R1124">
        <v>-0.98260860000000005</v>
      </c>
      <c r="S1124">
        <v>-0.48065190000000002</v>
      </c>
      <c r="T1124">
        <v>-0.27503060000000001</v>
      </c>
      <c r="U1124">
        <v>-2.994904</v>
      </c>
      <c r="V1124">
        <v>6.1786019999999997E-2</v>
      </c>
      <c r="W1124">
        <v>9.7441609999999998E-2</v>
      </c>
      <c r="X1124">
        <v>0.99332149999999997</v>
      </c>
      <c r="Y1124">
        <v>5.3910090000000001E-2</v>
      </c>
      <c r="Z1124">
        <v>9.0065779999999998E-2</v>
      </c>
      <c r="AA1124">
        <v>0.99447569999999996</v>
      </c>
      <c r="AB1124">
        <v>32</v>
      </c>
      <c r="AC1124">
        <v>-0.10859999999999501</v>
      </c>
      <c r="AD1124">
        <v>-8.1385999999999903E-2</v>
      </c>
      <c r="AE1124">
        <v>-0.54099999999999604</v>
      </c>
      <c r="AF1124">
        <v>5.0451748625245998E-2</v>
      </c>
      <c r="AG1124">
        <v>-8.1385999999999903E-2</v>
      </c>
      <c r="AH1124">
        <v>0.53768233736357895</v>
      </c>
      <c r="AI1124">
        <v>98.570125896416897</v>
      </c>
      <c r="AJ1124">
        <v>84.639524058027305</v>
      </c>
      <c r="AK1124">
        <v>0.54614224873022399</v>
      </c>
      <c r="AL1124">
        <v>84.408134020722997</v>
      </c>
      <c r="AM1124">
        <v>86.440706049415198</v>
      </c>
      <c r="AN1124">
        <v>0.99999999099454095</v>
      </c>
    </row>
    <row r="1125" spans="1:40" x14ac:dyDescent="0.25">
      <c r="A1125" t="str">
        <f>"20190312164455443"</f>
        <v>20190312164455443</v>
      </c>
      <c r="B1125" t="str">
        <f>"1552380295432853"</f>
        <v>1552380295432853</v>
      </c>
      <c r="C1125" t="s">
        <v>40</v>
      </c>
      <c r="D1125">
        <v>5.6476579999999998</v>
      </c>
      <c r="E1125">
        <v>0.49991809999999998</v>
      </c>
      <c r="F1125" t="s">
        <v>41</v>
      </c>
      <c r="G1125">
        <v>-191.44820000000001</v>
      </c>
      <c r="H1125">
        <v>1.035658</v>
      </c>
      <c r="I1125">
        <v>322.315</v>
      </c>
      <c r="J1125">
        <v>-191.34639999999999</v>
      </c>
      <c r="K1125">
        <v>1.1119129999999999</v>
      </c>
      <c r="L1125">
        <v>322.8229</v>
      </c>
      <c r="M1125">
        <v>-0.1007671</v>
      </c>
      <c r="N1125">
        <v>0</v>
      </c>
      <c r="O1125">
        <v>-0.99481459999999999</v>
      </c>
      <c r="P1125">
        <v>-0.16757149999999901</v>
      </c>
      <c r="Q1125">
        <v>8.3827159999999998E-2</v>
      </c>
      <c r="R1125">
        <v>-0.98228970000000004</v>
      </c>
      <c r="S1125">
        <v>-0.47506710000000002</v>
      </c>
      <c r="T1125">
        <v>-0.27543459999999997</v>
      </c>
      <c r="U1125">
        <v>-2.9961549999999999</v>
      </c>
      <c r="V1125">
        <v>6.6990389999999997E-2</v>
      </c>
      <c r="W1125">
        <v>9.8029580000000005E-2</v>
      </c>
      <c r="X1125">
        <v>0.99292619999999998</v>
      </c>
      <c r="Y1125">
        <v>5.5630520000000003E-2</v>
      </c>
      <c r="Z1125">
        <v>9.0218900000000005E-2</v>
      </c>
      <c r="AA1125">
        <v>0.994367</v>
      </c>
      <c r="AB1125">
        <v>32</v>
      </c>
      <c r="AC1125">
        <v>-0.101800000000025</v>
      </c>
      <c r="AD1125">
        <v>-7.6254999999999906E-2</v>
      </c>
      <c r="AE1125">
        <v>-0.50790000000000601</v>
      </c>
      <c r="AF1125">
        <v>4.9034654229398601E-2</v>
      </c>
      <c r="AG1125">
        <v>-7.6254999999999906E-2</v>
      </c>
      <c r="AH1125">
        <v>0.50463749686101</v>
      </c>
      <c r="AI1125">
        <v>98.553185372858195</v>
      </c>
      <c r="AJ1125">
        <v>84.450102330685894</v>
      </c>
      <c r="AK1125">
        <v>0.51271651580433997</v>
      </c>
      <c r="AL1125">
        <v>84.374283667941498</v>
      </c>
      <c r="AM1125">
        <v>86.140238127492495</v>
      </c>
      <c r="AN1125">
        <v>0.99999997477688296</v>
      </c>
    </row>
    <row r="1126" spans="1:40" x14ac:dyDescent="0.25">
      <c r="A1126" t="str">
        <f>"20190312164455467"</f>
        <v>20190312164455467</v>
      </c>
      <c r="B1126" t="str">
        <f>"1552380295463110"</f>
        <v>1552380295463110</v>
      </c>
      <c r="C1126" t="s">
        <v>40</v>
      </c>
      <c r="D1126">
        <v>5.657267</v>
      </c>
      <c r="E1126">
        <v>0.49978450000000002</v>
      </c>
      <c r="F1126" t="s">
        <v>41</v>
      </c>
      <c r="G1126">
        <v>-191.47280000000001</v>
      </c>
      <c r="H1126">
        <v>1.037358</v>
      </c>
      <c r="I1126">
        <v>322.02710000000002</v>
      </c>
      <c r="J1126">
        <v>-191.37629999999999</v>
      </c>
      <c r="K1126">
        <v>1.111917</v>
      </c>
      <c r="L1126">
        <v>322.4905</v>
      </c>
      <c r="M1126">
        <v>-9.7073670000000001E-2</v>
      </c>
      <c r="N1126">
        <v>0</v>
      </c>
      <c r="O1126">
        <v>-0.99518200000000001</v>
      </c>
      <c r="P1126">
        <v>-0.16889419999999999</v>
      </c>
      <c r="Q1126">
        <v>8.3646689999999996E-2</v>
      </c>
      <c r="R1126">
        <v>-0.98207849999999997</v>
      </c>
      <c r="S1126">
        <v>-0.4754486</v>
      </c>
      <c r="T1126">
        <v>-0.28099370000000001</v>
      </c>
      <c r="U1126">
        <v>-2.996918</v>
      </c>
      <c r="V1126">
        <v>7.2017059999999994E-2</v>
      </c>
      <c r="W1126">
        <v>9.7890060000000001E-2</v>
      </c>
      <c r="X1126">
        <v>0.99258800000000003</v>
      </c>
      <c r="Y1126">
        <v>5.9394549999999997E-2</v>
      </c>
      <c r="Z1126">
        <v>9.2041239999999996E-2</v>
      </c>
      <c r="AA1126">
        <v>0.99398229999999999</v>
      </c>
      <c r="AB1126">
        <v>32</v>
      </c>
      <c r="AC1126">
        <v>-9.6500000000020195E-2</v>
      </c>
      <c r="AD1126">
        <v>-7.4559E-2</v>
      </c>
      <c r="AE1126">
        <v>-0.463399999999978</v>
      </c>
      <c r="AF1126">
        <v>4.9819860155221003E-2</v>
      </c>
      <c r="AG1126">
        <v>-7.4559E-2</v>
      </c>
      <c r="AH1126">
        <v>0.45918646487378301</v>
      </c>
      <c r="AI1126">
        <v>99.169847118825302</v>
      </c>
      <c r="AJ1126">
        <v>83.807862253539298</v>
      </c>
      <c r="AK1126">
        <v>0.46786031298900199</v>
      </c>
      <c r="AL1126">
        <v>84.382315952337805</v>
      </c>
      <c r="AM1126">
        <v>85.850185717623404</v>
      </c>
      <c r="AN1126">
        <v>0.99999992926092096</v>
      </c>
    </row>
    <row r="1127" spans="1:40" x14ac:dyDescent="0.25">
      <c r="A1127" t="str">
        <f>"20190312164455488"</f>
        <v>20190312164455488</v>
      </c>
      <c r="B1127" t="str">
        <f>"1552380295482629"</f>
        <v>1552380295482629</v>
      </c>
      <c r="C1127" t="s">
        <v>40</v>
      </c>
      <c r="D1127">
        <v>5.6327439999999998</v>
      </c>
      <c r="E1127">
        <v>0.49953649999999999</v>
      </c>
      <c r="F1127" t="s">
        <v>41</v>
      </c>
      <c r="G1127">
        <v>-191.4958</v>
      </c>
      <c r="H1127">
        <v>1.0396240000000001</v>
      </c>
      <c r="I1127">
        <v>321.73899999999998</v>
      </c>
      <c r="J1127">
        <v>-191.40360000000001</v>
      </c>
      <c r="K1127">
        <v>1.1119220000000001</v>
      </c>
      <c r="L1127">
        <v>322.17439999999999</v>
      </c>
      <c r="M1127">
        <v>-9.3556459999999994E-2</v>
      </c>
      <c r="N1127">
        <v>0</v>
      </c>
      <c r="O1127">
        <v>-0.99551840000000003</v>
      </c>
      <c r="P1127">
        <v>-0.170292</v>
      </c>
      <c r="Q1127">
        <v>8.3369189999999996E-2</v>
      </c>
      <c r="R1127">
        <v>-0.98186059999999997</v>
      </c>
      <c r="S1127">
        <v>-0.47619630000000002</v>
      </c>
      <c r="T1127">
        <v>-0.28867690000000001</v>
      </c>
      <c r="U1127">
        <v>-2.9974059999999998</v>
      </c>
      <c r="V1127">
        <v>7.6942029999999995E-2</v>
      </c>
      <c r="W1127">
        <v>9.7650429999999996E-2</v>
      </c>
      <c r="X1127">
        <v>0.99224199999999996</v>
      </c>
      <c r="Y1127">
        <v>6.3101290000000004E-2</v>
      </c>
      <c r="Z1127">
        <v>9.4555589999999995E-2</v>
      </c>
      <c r="AA1127">
        <v>0.99351769999999995</v>
      </c>
      <c r="AB1127">
        <v>32</v>
      </c>
      <c r="AC1127">
        <v>-9.2199999999991095E-2</v>
      </c>
      <c r="AD1127">
        <v>-7.2297999999999904E-2</v>
      </c>
      <c r="AE1127">
        <v>-0.43539999999995799</v>
      </c>
      <c r="AF1127">
        <v>4.9744459153782498E-2</v>
      </c>
      <c r="AG1127">
        <v>-7.2297999999999904E-2</v>
      </c>
      <c r="AH1127">
        <v>0.43074958002414199</v>
      </c>
      <c r="AI1127">
        <v>99.466084864568401</v>
      </c>
      <c r="AJ1127">
        <v>83.412465484969999</v>
      </c>
      <c r="AK1127">
        <v>0.43959835385437601</v>
      </c>
      <c r="AL1127">
        <v>84.396111866423198</v>
      </c>
      <c r="AM1127">
        <v>85.565951350064793</v>
      </c>
      <c r="AN1127">
        <v>0.99999993451184999</v>
      </c>
    </row>
    <row r="1128" spans="1:40" x14ac:dyDescent="0.25">
      <c r="A1128" t="str">
        <f>"20190312164455511"</f>
        <v>20190312164455511</v>
      </c>
      <c r="B1128" t="str">
        <f>"1552380295503125"</f>
        <v>1552380295503125</v>
      </c>
      <c r="C1128" t="s">
        <v>40</v>
      </c>
      <c r="D1128">
        <v>5.6505179999999999</v>
      </c>
      <c r="E1128">
        <v>0.49926300000000001</v>
      </c>
      <c r="F1128" t="s">
        <v>41</v>
      </c>
      <c r="G1128">
        <v>-191.5187</v>
      </c>
      <c r="H1128">
        <v>1.041685</v>
      </c>
      <c r="I1128">
        <v>321.45119999999997</v>
      </c>
      <c r="J1128">
        <v>-191.43049999999999</v>
      </c>
      <c r="K1128">
        <v>1.111917</v>
      </c>
      <c r="L1128">
        <v>321.84800000000001</v>
      </c>
      <c r="M1128">
        <v>-8.9922619999999995E-2</v>
      </c>
      <c r="N1128">
        <v>0</v>
      </c>
      <c r="O1128">
        <v>-0.99585310000000005</v>
      </c>
      <c r="P1128">
        <v>-0.17139160000000001</v>
      </c>
      <c r="Q1128">
        <v>8.2671079999999994E-2</v>
      </c>
      <c r="R1128">
        <v>-0.98172859999999995</v>
      </c>
      <c r="S1128">
        <v>-0.47706599999999999</v>
      </c>
      <c r="T1128">
        <v>-0.29127059999999999</v>
      </c>
      <c r="U1128">
        <v>-2.9974669999999999</v>
      </c>
      <c r="V1128">
        <v>8.1679539999999995E-2</v>
      </c>
      <c r="W1128">
        <v>9.6988389999999994E-2</v>
      </c>
      <c r="X1128">
        <v>0.99192829999999999</v>
      </c>
      <c r="Y1128">
        <v>6.7008090000000006E-2</v>
      </c>
      <c r="Z1128">
        <v>9.5429100000000003E-2</v>
      </c>
      <c r="AA1128">
        <v>0.99317829999999996</v>
      </c>
      <c r="AB1128">
        <v>32</v>
      </c>
      <c r="AC1128">
        <v>-8.82000000000005E-2</v>
      </c>
      <c r="AD1128">
        <v>-7.0232000000000003E-2</v>
      </c>
      <c r="AE1128">
        <v>-0.39680000000004101</v>
      </c>
      <c r="AF1128">
        <v>5.0646000649242198E-2</v>
      </c>
      <c r="AG1128">
        <v>-7.0232000000000003E-2</v>
      </c>
      <c r="AH1128">
        <v>0.39143861914079098</v>
      </c>
      <c r="AI1128">
        <v>100.089442936918</v>
      </c>
      <c r="AJ1128">
        <v>82.627782931272904</v>
      </c>
      <c r="AK1128">
        <v>0.40090116457876801</v>
      </c>
      <c r="AL1128">
        <v>84.434225380318594</v>
      </c>
      <c r="AM1128">
        <v>85.292645347889106</v>
      </c>
      <c r="AN1128">
        <v>1.0000000236951401</v>
      </c>
    </row>
    <row r="1129" spans="1:40" x14ac:dyDescent="0.25">
      <c r="A1129" t="str">
        <f>"20190312164455532"</f>
        <v>20190312164455532</v>
      </c>
      <c r="B1129" t="str">
        <f>"1552380295522646"</f>
        <v>1552380295522646</v>
      </c>
      <c r="C1129" t="s">
        <v>40</v>
      </c>
      <c r="D1129">
        <v>5.6589090000000004</v>
      </c>
      <c r="E1129">
        <v>0.49883759999999999</v>
      </c>
      <c r="F1129" t="s">
        <v>41</v>
      </c>
      <c r="G1129">
        <v>-191.58250000000001</v>
      </c>
      <c r="H1129">
        <v>1.0171889999999999</v>
      </c>
      <c r="I1129">
        <v>320.8922</v>
      </c>
      <c r="J1129">
        <v>-191.45400000000001</v>
      </c>
      <c r="K1129">
        <v>1.111909</v>
      </c>
      <c r="L1129">
        <v>321.54930000000002</v>
      </c>
      <c r="M1129">
        <v>-8.6597579999999993E-2</v>
      </c>
      <c r="N1129">
        <v>0</v>
      </c>
      <c r="O1129">
        <v>-0.99614800000000003</v>
      </c>
      <c r="P1129">
        <v>-0.17284379999999999</v>
      </c>
      <c r="Q1129">
        <v>8.2479250000000004E-2</v>
      </c>
      <c r="R1129">
        <v>-0.98149010000000003</v>
      </c>
      <c r="S1129">
        <v>-0.47669980000000001</v>
      </c>
      <c r="T1129">
        <v>-0.29721560000000002</v>
      </c>
      <c r="U1129">
        <v>-2.99762</v>
      </c>
      <c r="V1129">
        <v>8.6463750000000006E-2</v>
      </c>
      <c r="W1129">
        <v>9.6830360000000004E-2</v>
      </c>
      <c r="X1129">
        <v>0.99153820000000004</v>
      </c>
      <c r="Y1129">
        <v>7.0182659999999994E-2</v>
      </c>
      <c r="Z1129">
        <v>9.7386840000000002E-2</v>
      </c>
      <c r="AA1129">
        <v>0.99276889999999995</v>
      </c>
      <c r="AB1129">
        <v>32</v>
      </c>
      <c r="AC1129">
        <v>-0.128500000000002</v>
      </c>
      <c r="AD1129">
        <v>-9.4720000000000096E-2</v>
      </c>
      <c r="AE1129">
        <v>-0.65710000000001401</v>
      </c>
      <c r="AF1129">
        <v>6.9713301565000205E-2</v>
      </c>
      <c r="AG1129">
        <v>-9.4720000000000096E-2</v>
      </c>
      <c r="AH1129">
        <v>0.65269718101002805</v>
      </c>
      <c r="AI1129">
        <v>98.211110349095193</v>
      </c>
      <c r="AJ1129">
        <v>83.903463432723399</v>
      </c>
      <c r="AK1129">
        <v>0.66320843851200295</v>
      </c>
      <c r="AL1129">
        <v>84.443322799788106</v>
      </c>
      <c r="AM1129">
        <v>85.016321133656206</v>
      </c>
      <c r="AN1129">
        <v>1.00000005037051</v>
      </c>
    </row>
    <row r="1130" spans="1:40" x14ac:dyDescent="0.25">
      <c r="A1130" t="str">
        <f>"20190312164455555"</f>
        <v>20190312164455555</v>
      </c>
      <c r="B1130" t="str">
        <f>"1552380295552902"</f>
        <v>1552380295552902</v>
      </c>
      <c r="C1130" t="s">
        <v>40</v>
      </c>
      <c r="D1130">
        <v>5.7114779999999996</v>
      </c>
      <c r="E1130">
        <v>0.4991121</v>
      </c>
      <c r="F1130" t="s">
        <v>41</v>
      </c>
      <c r="G1130">
        <v>-191.60400000000001</v>
      </c>
      <c r="H1130">
        <v>1.01799</v>
      </c>
      <c r="I1130">
        <v>320.60559999999998</v>
      </c>
      <c r="J1130">
        <v>-191.4794</v>
      </c>
      <c r="K1130">
        <v>1.1118969999999999</v>
      </c>
      <c r="L1130">
        <v>321.21199999999999</v>
      </c>
      <c r="M1130">
        <v>-8.2843440000000004E-2</v>
      </c>
      <c r="N1130">
        <v>0</v>
      </c>
      <c r="O1130">
        <v>-0.9964672</v>
      </c>
      <c r="P1130">
        <v>-0.17398820000000001</v>
      </c>
      <c r="Q1130">
        <v>8.2261929999999997E-2</v>
      </c>
      <c r="R1130">
        <v>-0.98130609999999996</v>
      </c>
      <c r="S1130">
        <v>-0.47625729999999999</v>
      </c>
      <c r="T1130">
        <v>-0.29851909999999998</v>
      </c>
      <c r="U1130">
        <v>-2.9978030000000002</v>
      </c>
      <c r="V1130">
        <v>9.1361830000000005E-2</v>
      </c>
      <c r="W1130">
        <v>9.6646689999999993E-2</v>
      </c>
      <c r="X1130">
        <v>0.99111680000000002</v>
      </c>
      <c r="Y1130">
        <v>7.3781700000000006E-2</v>
      </c>
      <c r="Z1130">
        <v>9.7839190000000006E-2</v>
      </c>
      <c r="AA1130">
        <v>0.99246350000000005</v>
      </c>
      <c r="AB1130">
        <v>32</v>
      </c>
      <c r="AC1130">
        <v>-0.124600000000015</v>
      </c>
      <c r="AD1130">
        <v>-9.3906999999999893E-2</v>
      </c>
      <c r="AE1130">
        <v>-0.60640000000000704</v>
      </c>
      <c r="AF1130">
        <v>7.2267692410922998E-2</v>
      </c>
      <c r="AG1130">
        <v>-9.3906999999999893E-2</v>
      </c>
      <c r="AH1130">
        <v>0.60081365050799895</v>
      </c>
      <c r="AI1130">
        <v>98.820868950906402</v>
      </c>
      <c r="AJ1130">
        <v>83.141240330248706</v>
      </c>
      <c r="AK1130">
        <v>0.612387284855056</v>
      </c>
      <c r="AL1130">
        <v>84.453895841243806</v>
      </c>
      <c r="AM1130">
        <v>84.733319372276895</v>
      </c>
      <c r="AN1130">
        <v>1.0000000389555701</v>
      </c>
    </row>
    <row r="1131" spans="1:40" x14ac:dyDescent="0.25">
      <c r="A1131" t="str">
        <f>"20190312164455576"</f>
        <v>20190312164455576</v>
      </c>
      <c r="B1131" t="str">
        <f>"1552380295572421"</f>
        <v>1552380295572421</v>
      </c>
      <c r="C1131" t="s">
        <v>40</v>
      </c>
      <c r="D1131">
        <v>5.7115119999999999</v>
      </c>
      <c r="E1131">
        <v>0.49916660000000002</v>
      </c>
      <c r="F1131" t="s">
        <v>41</v>
      </c>
      <c r="G1131">
        <v>-191.62270000000001</v>
      </c>
      <c r="H1131">
        <v>1.0225630000000001</v>
      </c>
      <c r="I1131">
        <v>320.31709999999998</v>
      </c>
      <c r="J1131">
        <v>-191.4999</v>
      </c>
      <c r="K1131">
        <v>1.1118939999999999</v>
      </c>
      <c r="L1131">
        <v>320.92720000000003</v>
      </c>
      <c r="M1131">
        <v>-7.9673599999999997E-2</v>
      </c>
      <c r="N1131">
        <v>0</v>
      </c>
      <c r="O1131">
        <v>-0.99672539999999998</v>
      </c>
      <c r="P1131">
        <v>-0.17663419999999999</v>
      </c>
      <c r="Q1131">
        <v>8.1971119999999995E-2</v>
      </c>
      <c r="R1131">
        <v>-0.9808576</v>
      </c>
      <c r="S1131">
        <v>-0.47961429999999999</v>
      </c>
      <c r="T1131">
        <v>-0.29948209999999997</v>
      </c>
      <c r="U1131">
        <v>-2.997223</v>
      </c>
      <c r="V1131">
        <v>9.7193669999999996E-2</v>
      </c>
      <c r="W1131">
        <v>9.6394199999999999E-2</v>
      </c>
      <c r="X1131">
        <v>0.99058650000000004</v>
      </c>
      <c r="Y1131">
        <v>7.8061420000000006E-2</v>
      </c>
      <c r="Z1131">
        <v>9.8183759999999995E-2</v>
      </c>
      <c r="AA1131">
        <v>0.99210200000000004</v>
      </c>
      <c r="AB1131">
        <v>32</v>
      </c>
      <c r="AC1131">
        <v>-0.122800000000012</v>
      </c>
      <c r="AD1131">
        <v>-8.9331000000000202E-2</v>
      </c>
      <c r="AE1131">
        <v>-0.61010000000004505</v>
      </c>
      <c r="AF1131">
        <v>7.2306239645410803E-2</v>
      </c>
      <c r="AG1131">
        <v>-8.9331000000000202E-2</v>
      </c>
      <c r="AH1131">
        <v>0.60546978229671999</v>
      </c>
      <c r="AI1131">
        <v>98.334488613814401</v>
      </c>
      <c r="AJ1131">
        <v>83.189891774690594</v>
      </c>
      <c r="AK1131">
        <v>0.61628068047529805</v>
      </c>
      <c r="AL1131">
        <v>84.468430278416406</v>
      </c>
      <c r="AM1131">
        <v>84.396229548031798</v>
      </c>
      <c r="AN1131">
        <v>1.00000003263197</v>
      </c>
    </row>
    <row r="1132" spans="1:40" x14ac:dyDescent="0.25">
      <c r="A1132" t="str">
        <f>"20190312164455598"</f>
        <v>20190312164455598</v>
      </c>
      <c r="B1132" t="str">
        <f>"1552380295592918"</f>
        <v>1552380295592918</v>
      </c>
      <c r="C1132" t="s">
        <v>40</v>
      </c>
      <c r="D1132">
        <v>5.6876059999999997</v>
      </c>
      <c r="E1132">
        <v>0.49917220000000001</v>
      </c>
      <c r="F1132" t="s">
        <v>41</v>
      </c>
      <c r="G1132">
        <v>-191.6454</v>
      </c>
      <c r="H1132">
        <v>1.022823</v>
      </c>
      <c r="I1132">
        <v>320.03140000000002</v>
      </c>
      <c r="J1132">
        <v>-191.52269999999999</v>
      </c>
      <c r="K1132">
        <v>1.111888</v>
      </c>
      <c r="L1132">
        <v>320.5942</v>
      </c>
      <c r="M1132">
        <v>-7.5968190000000005E-2</v>
      </c>
      <c r="N1132">
        <v>0</v>
      </c>
      <c r="O1132">
        <v>-0.99701459999999997</v>
      </c>
      <c r="P1132">
        <v>-0.1786063</v>
      </c>
      <c r="Q1132">
        <v>8.2136589999999995E-2</v>
      </c>
      <c r="R1132">
        <v>-0.98048619999999997</v>
      </c>
      <c r="S1132">
        <v>-0.48620609999999997</v>
      </c>
      <c r="T1132">
        <v>-0.29801689999999997</v>
      </c>
      <c r="U1132">
        <v>-2.995911</v>
      </c>
      <c r="V1132">
        <v>0.1028737</v>
      </c>
      <c r="W1132">
        <v>9.6594940000000004E-2</v>
      </c>
      <c r="X1132">
        <v>0.98999320000000002</v>
      </c>
      <c r="Y1132">
        <v>8.3967979999999998E-2</v>
      </c>
      <c r="Z1132">
        <v>9.7751889999999994E-2</v>
      </c>
      <c r="AA1132">
        <v>0.99166220000000005</v>
      </c>
      <c r="AB1132">
        <v>32</v>
      </c>
      <c r="AC1132">
        <v>-0.122700000000008</v>
      </c>
      <c r="AD1132">
        <v>-8.9064999999999894E-2</v>
      </c>
      <c r="AE1132">
        <v>-0.56279999999998098</v>
      </c>
      <c r="AF1132">
        <v>7.7728079536010797E-2</v>
      </c>
      <c r="AG1132">
        <v>-8.9064999999999894E-2</v>
      </c>
      <c r="AH1132">
        <v>0.55717471936649798</v>
      </c>
      <c r="AI1132">
        <v>98.996286179326503</v>
      </c>
      <c r="AJ1132">
        <v>82.058266180344205</v>
      </c>
      <c r="AK1132">
        <v>0.56957694517465596</v>
      </c>
      <c r="AL1132">
        <v>84.456874943298502</v>
      </c>
      <c r="AM1132">
        <v>84.067484615091104</v>
      </c>
      <c r="AN1132">
        <v>1.00000005831576</v>
      </c>
    </row>
    <row r="1133" spans="1:40" x14ac:dyDescent="0.25">
      <c r="A1133" t="str">
        <f>"20190312164455621"</f>
        <v>20190312164455621</v>
      </c>
      <c r="B1133" t="str">
        <f>"1552380295612437"</f>
        <v>1552380295612437</v>
      </c>
      <c r="C1133" t="s">
        <v>40</v>
      </c>
      <c r="D1133">
        <v>5.6256069999999996</v>
      </c>
      <c r="E1133">
        <v>0.49911050000000001</v>
      </c>
      <c r="F1133" t="s">
        <v>41</v>
      </c>
      <c r="G1133">
        <v>-191.66210000000001</v>
      </c>
      <c r="H1133">
        <v>1.0279199999999999</v>
      </c>
      <c r="I1133">
        <v>319.74299999999999</v>
      </c>
      <c r="J1133">
        <v>-191.5429</v>
      </c>
      <c r="K1133">
        <v>1.111885</v>
      </c>
      <c r="L1133">
        <v>320.28210000000001</v>
      </c>
      <c r="M1133">
        <v>-7.2493829999999995E-2</v>
      </c>
      <c r="N1133">
        <v>0</v>
      </c>
      <c r="O1133">
        <v>-0.99727330000000003</v>
      </c>
      <c r="P1133">
        <v>-0.18092150000000001</v>
      </c>
      <c r="Q1133">
        <v>8.2752809999999996E-2</v>
      </c>
      <c r="R1133">
        <v>-0.9800101</v>
      </c>
      <c r="S1133">
        <v>-0.49046329999999999</v>
      </c>
      <c r="T1133">
        <v>-0.29549160000000002</v>
      </c>
      <c r="U1133">
        <v>-2.9951479999999999</v>
      </c>
      <c r="V1133">
        <v>0.1086667</v>
      </c>
      <c r="W1133">
        <v>9.7246100000000002E-2</v>
      </c>
      <c r="X1133">
        <v>0.98931029999999998</v>
      </c>
      <c r="Y1133">
        <v>8.8864470000000001E-2</v>
      </c>
      <c r="Z1133">
        <v>9.6961599999999995E-2</v>
      </c>
      <c r="AA1133">
        <v>0.991313</v>
      </c>
      <c r="AB1133">
        <v>32</v>
      </c>
      <c r="AC1133">
        <v>-0.119200000000006</v>
      </c>
      <c r="AD1133">
        <v>-8.3964999999999804E-2</v>
      </c>
      <c r="AE1133">
        <v>-0.53910000000001901</v>
      </c>
      <c r="AF1133">
        <v>7.7997279100778499E-2</v>
      </c>
      <c r="AG1133">
        <v>-8.3964999999999804E-2</v>
      </c>
      <c r="AH1133">
        <v>0.53397390101012598</v>
      </c>
      <c r="AI1133">
        <v>98.843985952457302</v>
      </c>
      <c r="AJ1133">
        <v>81.689608180060304</v>
      </c>
      <c r="AK1133">
        <v>0.546133521890111</v>
      </c>
      <c r="AL1133">
        <v>84.419389773768202</v>
      </c>
      <c r="AM1133">
        <v>83.731710372852206</v>
      </c>
      <c r="AN1133">
        <v>1.00000006267009</v>
      </c>
    </row>
    <row r="1134" spans="1:40" x14ac:dyDescent="0.25">
      <c r="A1134" t="str">
        <f>"20190312164455643"</f>
        <v>20190312164455643</v>
      </c>
      <c r="B1134" t="str">
        <f>"1552380295632933"</f>
        <v>1552380295632933</v>
      </c>
      <c r="C1134" t="s">
        <v>40</v>
      </c>
      <c r="D1134">
        <v>5.6712199999999999</v>
      </c>
      <c r="E1134">
        <v>0.49901459999999997</v>
      </c>
      <c r="F1134" t="s">
        <v>41</v>
      </c>
      <c r="G1134">
        <v>-191.6799</v>
      </c>
      <c r="H1134">
        <v>1.031191</v>
      </c>
      <c r="I1134">
        <v>319.45580000000001</v>
      </c>
      <c r="J1134">
        <v>-191.5626</v>
      </c>
      <c r="K1134">
        <v>1.1118889999999999</v>
      </c>
      <c r="L1134">
        <v>319.96120000000002</v>
      </c>
      <c r="M1134">
        <v>-6.8922979999999995E-2</v>
      </c>
      <c r="N1134">
        <v>0</v>
      </c>
      <c r="O1134">
        <v>-0.99752629999999998</v>
      </c>
      <c r="P1134">
        <v>-0.18389259999999999</v>
      </c>
      <c r="Q1134">
        <v>8.4317970000000006E-2</v>
      </c>
      <c r="R1134">
        <v>-0.9793231</v>
      </c>
      <c r="S1134">
        <v>-0.49604799999999899</v>
      </c>
      <c r="T1134">
        <v>-0.29271839999999999</v>
      </c>
      <c r="U1134">
        <v>-2.9943240000000002</v>
      </c>
      <c r="V1134">
        <v>0.11521289999999999</v>
      </c>
      <c r="W1134">
        <v>9.8847640000000001E-2</v>
      </c>
      <c r="X1134">
        <v>0.98841040000000002</v>
      </c>
      <c r="Y1134">
        <v>9.4286549999999997E-2</v>
      </c>
      <c r="Z1134">
        <v>9.6084009999999997E-2</v>
      </c>
      <c r="AA1134">
        <v>0.99089749999999999</v>
      </c>
      <c r="AB1134">
        <v>32</v>
      </c>
      <c r="AC1134">
        <v>-0.1173</v>
      </c>
      <c r="AD1134">
        <v>-8.0697999999999895E-2</v>
      </c>
      <c r="AE1134">
        <v>-0.50540000000000795</v>
      </c>
      <c r="AF1134">
        <v>8.0242784304906306E-2</v>
      </c>
      <c r="AG1134">
        <v>-8.0697999999999895E-2</v>
      </c>
      <c r="AH1134">
        <v>0.50018300494313295</v>
      </c>
      <c r="AI1134">
        <v>99.0511687977788</v>
      </c>
      <c r="AJ1134">
        <v>80.885878384166702</v>
      </c>
      <c r="AK1134">
        <v>0.51296599309403201</v>
      </c>
      <c r="AL1134">
        <v>84.327183627303597</v>
      </c>
      <c r="AM1134">
        <v>83.3513881135557</v>
      </c>
      <c r="AN1134">
        <v>0.99999999354406899</v>
      </c>
    </row>
    <row r="1135" spans="1:40" x14ac:dyDescent="0.25">
      <c r="A1135" t="str">
        <f>"20190312164455666"</f>
        <v>20190312164455666</v>
      </c>
      <c r="B1135" t="str">
        <f>"1552380295662214"</f>
        <v>1552380295662214</v>
      </c>
      <c r="C1135" t="s">
        <v>40</v>
      </c>
      <c r="D1135">
        <v>5.8352510000000004</v>
      </c>
      <c r="E1135">
        <v>0.49893389999999999</v>
      </c>
      <c r="F1135" t="s">
        <v>41</v>
      </c>
      <c r="G1135">
        <v>-191.69569999999999</v>
      </c>
      <c r="H1135">
        <v>1.035779</v>
      </c>
      <c r="I1135">
        <v>319.16809999999998</v>
      </c>
      <c r="J1135">
        <v>-191.58109999999999</v>
      </c>
      <c r="K1135">
        <v>1.1118920000000001</v>
      </c>
      <c r="L1135">
        <v>319.6397</v>
      </c>
      <c r="M1135">
        <v>-6.5343079999999998E-2</v>
      </c>
      <c r="N1135">
        <v>0</v>
      </c>
      <c r="O1135">
        <v>-0.99776730000000002</v>
      </c>
      <c r="P1135">
        <v>-0.186727</v>
      </c>
      <c r="Q1135">
        <v>8.4138299999999999E-2</v>
      </c>
      <c r="R1135">
        <v>-0.97880239999999996</v>
      </c>
      <c r="S1135">
        <v>-0.50241089999999999</v>
      </c>
      <c r="T1135">
        <v>-0.28731990000000002</v>
      </c>
      <c r="U1135">
        <v>-2.993744</v>
      </c>
      <c r="V1135">
        <v>0.12162820000000001</v>
      </c>
      <c r="W1135">
        <v>9.8705319999999999E-2</v>
      </c>
      <c r="X1135">
        <v>0.98765570000000003</v>
      </c>
      <c r="Y1135">
        <v>9.9965010000000007E-2</v>
      </c>
      <c r="Z1135">
        <v>9.4337439999999995E-2</v>
      </c>
      <c r="AA1135">
        <v>0.99050870000000002</v>
      </c>
      <c r="AB1135">
        <v>32</v>
      </c>
      <c r="AC1135">
        <v>-0.114599999999995</v>
      </c>
      <c r="AD1135">
        <v>-7.6113000000000097E-2</v>
      </c>
      <c r="AE1135">
        <v>-0.471600000000023</v>
      </c>
      <c r="AF1135">
        <v>8.1531015240696197E-2</v>
      </c>
      <c r="AG1135">
        <v>-7.6113000000000097E-2</v>
      </c>
      <c r="AH1135">
        <v>0.46660464388145001</v>
      </c>
      <c r="AI1135">
        <v>99.128619690437603</v>
      </c>
      <c r="AJ1135">
        <v>80.088624059187396</v>
      </c>
      <c r="AK1135">
        <v>0.47975034018425999</v>
      </c>
      <c r="AL1135">
        <v>84.335377905230501</v>
      </c>
      <c r="AM1135">
        <v>82.979465171761206</v>
      </c>
      <c r="AN1135">
        <v>0.99999997048701506</v>
      </c>
    </row>
    <row r="1136" spans="1:40" x14ac:dyDescent="0.25">
      <c r="A1136" t="str">
        <f>"20190312164455688"</f>
        <v>20190312164455688</v>
      </c>
      <c r="B1136" t="str">
        <f>"1552380295682710"</f>
        <v>1552380295682710</v>
      </c>
      <c r="C1136" t="s">
        <v>40</v>
      </c>
      <c r="D1136">
        <v>5.6528400000000003</v>
      </c>
      <c r="E1136">
        <v>0.4988186</v>
      </c>
      <c r="F1136" t="s">
        <v>41</v>
      </c>
      <c r="G1136">
        <v>-191.71029999999999</v>
      </c>
      <c r="H1136">
        <v>1.039131</v>
      </c>
      <c r="I1136">
        <v>318.8811</v>
      </c>
      <c r="J1136">
        <v>-191.5985</v>
      </c>
      <c r="K1136">
        <v>1.1118889999999999</v>
      </c>
      <c r="L1136">
        <v>319.31849999999997</v>
      </c>
      <c r="M1136">
        <v>-6.1766179999999997E-2</v>
      </c>
      <c r="N1136">
        <v>0</v>
      </c>
      <c r="O1136">
        <v>-0.99799510000000002</v>
      </c>
      <c r="P1136">
        <v>-0.18969330000000001</v>
      </c>
      <c r="Q1136">
        <v>8.3794530000000006E-2</v>
      </c>
      <c r="R1136">
        <v>-0.97826139999999995</v>
      </c>
      <c r="S1136">
        <v>-0.50852969999999997</v>
      </c>
      <c r="T1136">
        <v>-0.28754030000000003</v>
      </c>
      <c r="U1136">
        <v>-2.9926759999999999</v>
      </c>
      <c r="V1136">
        <v>0.1281698</v>
      </c>
      <c r="W1136">
        <v>9.8398299999999994E-2</v>
      </c>
      <c r="X1136">
        <v>0.98685880000000004</v>
      </c>
      <c r="Y1136">
        <v>0.1055551</v>
      </c>
      <c r="Z1136">
        <v>9.4431119999999993E-2</v>
      </c>
      <c r="AA1136">
        <v>0.98991969999999996</v>
      </c>
      <c r="AB1136">
        <v>32</v>
      </c>
      <c r="AC1136">
        <v>-0.11179999999998801</v>
      </c>
      <c r="AD1136">
        <v>-7.2757999999999795E-2</v>
      </c>
      <c r="AE1136">
        <v>-0.43739999999996798</v>
      </c>
      <c r="AF1136">
        <v>8.2426540719881106E-2</v>
      </c>
      <c r="AG1136">
        <v>-7.2757999999999795E-2</v>
      </c>
      <c r="AH1136">
        <v>0.43224420939960201</v>
      </c>
      <c r="AI1136">
        <v>99.388717852627906</v>
      </c>
      <c r="AJ1136">
        <v>79.203639063538702</v>
      </c>
      <c r="AK1136">
        <v>0.44600775524483099</v>
      </c>
      <c r="AL1136">
        <v>84.353055116557698</v>
      </c>
      <c r="AM1136">
        <v>82.600044524929203</v>
      </c>
      <c r="AN1136">
        <v>1.0000000071061801</v>
      </c>
    </row>
    <row r="1137" spans="1:40" x14ac:dyDescent="0.25">
      <c r="A1137" t="str">
        <f>"20190312164455712"</f>
        <v>20190312164455712</v>
      </c>
      <c r="B1137" t="str">
        <f>"1552380295702230"</f>
        <v>1552380295702230</v>
      </c>
      <c r="C1137" t="s">
        <v>40</v>
      </c>
      <c r="D1137">
        <v>5.629524</v>
      </c>
      <c r="E1137">
        <v>0.49873709999999999</v>
      </c>
      <c r="F1137" t="s">
        <v>41</v>
      </c>
      <c r="G1137">
        <v>-191.72329999999999</v>
      </c>
      <c r="H1137">
        <v>1.0421149999999999</v>
      </c>
      <c r="I1137">
        <v>318.59449999999998</v>
      </c>
      <c r="J1137">
        <v>-191.61529999999999</v>
      </c>
      <c r="K1137">
        <v>1.1118749999999999</v>
      </c>
      <c r="L1137">
        <v>318.98399999999998</v>
      </c>
      <c r="M1137">
        <v>-5.8047620000000001E-2</v>
      </c>
      <c r="N1137">
        <v>0</v>
      </c>
      <c r="O1137">
        <v>-0.99821819999999895</v>
      </c>
      <c r="P1137">
        <v>-0.19231719999999999</v>
      </c>
      <c r="Q1137">
        <v>8.3304520000000007E-2</v>
      </c>
      <c r="R1137">
        <v>-0.97779079999999996</v>
      </c>
      <c r="S1137">
        <v>-0.51545719999999995</v>
      </c>
      <c r="T1137">
        <v>-0.28828979999999998</v>
      </c>
      <c r="U1137">
        <v>-2.9913940000000001</v>
      </c>
      <c r="V1137">
        <v>0.1345026</v>
      </c>
      <c r="W1137">
        <v>9.7942280000000007E-2</v>
      </c>
      <c r="X1137">
        <v>0.98606099999999997</v>
      </c>
      <c r="Y1137">
        <v>0.11155080000000001</v>
      </c>
      <c r="Z1137">
        <v>9.4697009999999998E-2</v>
      </c>
      <c r="AA1137">
        <v>0.98923649999999996</v>
      </c>
      <c r="AB1137">
        <v>32</v>
      </c>
      <c r="AC1137">
        <v>-0.108000000000004</v>
      </c>
      <c r="AD1137">
        <v>-6.9760000000000003E-2</v>
      </c>
      <c r="AE1137">
        <v>-0.38950000000005403</v>
      </c>
      <c r="AF1137">
        <v>8.2741514788135795E-2</v>
      </c>
      <c r="AG1137">
        <v>-6.9760000000000003E-2</v>
      </c>
      <c r="AH1137">
        <v>0.38368398446616298</v>
      </c>
      <c r="AI1137">
        <v>100.07797634777801</v>
      </c>
      <c r="AJ1137">
        <v>77.830518726793201</v>
      </c>
      <c r="AK1137">
        <v>0.398655259347304</v>
      </c>
      <c r="AL1137">
        <v>84.379309736183799</v>
      </c>
      <c r="AM1137">
        <v>82.232567234464597</v>
      </c>
      <c r="AN1137">
        <v>0.99999996766967802</v>
      </c>
    </row>
    <row r="1138" spans="1:40" x14ac:dyDescent="0.25">
      <c r="A1138" t="str">
        <f>"20190312164455733"</f>
        <v>20190312164455733</v>
      </c>
      <c r="B1138" t="str">
        <f>"1552380295722725"</f>
        <v>1552380295722725</v>
      </c>
      <c r="C1138" t="s">
        <v>40</v>
      </c>
      <c r="D1138">
        <v>5.6034550000000003</v>
      </c>
      <c r="E1138">
        <v>0.49862610000000002</v>
      </c>
      <c r="F1138" t="s">
        <v>41</v>
      </c>
      <c r="G1138">
        <v>-191.78059999999999</v>
      </c>
      <c r="H1138">
        <v>1.02021299999999</v>
      </c>
      <c r="I1138">
        <v>318.03719999999998</v>
      </c>
      <c r="J1138">
        <v>-191.62960000000001</v>
      </c>
      <c r="K1138">
        <v>1.111855</v>
      </c>
      <c r="L1138">
        <v>318.67899999999997</v>
      </c>
      <c r="M1138">
        <v>-5.4672400000000003E-2</v>
      </c>
      <c r="N1138">
        <v>0</v>
      </c>
      <c r="O1138">
        <v>-0.99840879999999999</v>
      </c>
      <c r="P1138">
        <v>-0.1964371</v>
      </c>
      <c r="Q1138">
        <v>8.3115090000000003E-2</v>
      </c>
      <c r="R1138">
        <v>-0.97698739999999995</v>
      </c>
      <c r="S1138">
        <v>-0.52191160000000003</v>
      </c>
      <c r="T1138">
        <v>-0.28960130000000001</v>
      </c>
      <c r="U1138">
        <v>-2.9902039999999999</v>
      </c>
      <c r="V1138">
        <v>0.14200209999999999</v>
      </c>
      <c r="W1138">
        <v>9.778945E-2</v>
      </c>
      <c r="X1138">
        <v>0.98502420000000002</v>
      </c>
      <c r="Y1138">
        <v>0.1170403</v>
      </c>
      <c r="Z1138">
        <v>9.5140589999999997E-2</v>
      </c>
      <c r="AA1138">
        <v>0.98855950000000004</v>
      </c>
      <c r="AB1138">
        <v>32</v>
      </c>
      <c r="AC1138">
        <v>-0.15099999999998201</v>
      </c>
      <c r="AD1138">
        <v>-9.1642000000000196E-2</v>
      </c>
      <c r="AE1138">
        <v>-0.641800000000046</v>
      </c>
      <c r="AF1138">
        <v>0.113489482243918</v>
      </c>
      <c r="AG1138">
        <v>-9.1642000000000196E-2</v>
      </c>
      <c r="AH1138">
        <v>0.63679381910269195</v>
      </c>
      <c r="AI1138">
        <v>98.063945950333505</v>
      </c>
      <c r="AJ1138">
        <v>79.894835017279902</v>
      </c>
      <c r="AK1138">
        <v>0.65328744576287701</v>
      </c>
      <c r="AL1138">
        <v>84.388108803649502</v>
      </c>
      <c r="AM1138">
        <v>81.7966981472307</v>
      </c>
      <c r="AN1138">
        <v>1.0000000237606701</v>
      </c>
    </row>
    <row r="1139" spans="1:40" x14ac:dyDescent="0.25">
      <c r="A1139" t="str">
        <f>"20190312164455755"</f>
        <v>20190312164455755</v>
      </c>
      <c r="B1139" t="str">
        <f>"1552380295752982"</f>
        <v>1552380295752982</v>
      </c>
      <c r="C1139" t="s">
        <v>40</v>
      </c>
      <c r="D1139">
        <v>5.6677879999999998</v>
      </c>
      <c r="E1139">
        <v>0.49461690000000003</v>
      </c>
      <c r="F1139" t="s">
        <v>41</v>
      </c>
      <c r="G1139">
        <v>-191.79480000000001</v>
      </c>
      <c r="H1139">
        <v>1.02189</v>
      </c>
      <c r="I1139">
        <v>317.75189999999998</v>
      </c>
      <c r="J1139">
        <v>-191.64320000000001</v>
      </c>
      <c r="K1139">
        <v>1.1118189999999999</v>
      </c>
      <c r="L1139">
        <v>318.36559999999997</v>
      </c>
      <c r="M1139">
        <v>-5.1224739999999998E-2</v>
      </c>
      <c r="N1139">
        <v>0</v>
      </c>
      <c r="O1139">
        <v>-0.99859169999999997</v>
      </c>
      <c r="P1139">
        <v>-0.19926199999999999</v>
      </c>
      <c r="Q1139">
        <v>8.3329529999999999E-2</v>
      </c>
      <c r="R1139">
        <v>-0.97639690000000001</v>
      </c>
      <c r="S1139">
        <v>-0.53143309999999999</v>
      </c>
      <c r="T1139">
        <v>-0.29041040000000001</v>
      </c>
      <c r="U1139">
        <v>-2.9885250000000001</v>
      </c>
      <c r="V1139">
        <v>0.14826139999999999</v>
      </c>
      <c r="W1139">
        <v>9.8028169999999998E-2</v>
      </c>
      <c r="X1139">
        <v>0.9840778</v>
      </c>
      <c r="Y1139">
        <v>0.1236107</v>
      </c>
      <c r="Z1139">
        <v>9.5418269999999999E-2</v>
      </c>
      <c r="AA1139">
        <v>0.98773259999999996</v>
      </c>
      <c r="AB1139">
        <v>32</v>
      </c>
      <c r="AC1139">
        <v>-0.15160000000000101</v>
      </c>
      <c r="AD1139">
        <v>-8.9929000000000106E-2</v>
      </c>
      <c r="AE1139">
        <v>-0.61369999999999403</v>
      </c>
      <c r="AF1139">
        <v>0.117581720989633</v>
      </c>
      <c r="AG1139">
        <v>-8.9929000000000106E-2</v>
      </c>
      <c r="AH1139">
        <v>0.60834892901920901</v>
      </c>
      <c r="AI1139">
        <v>98.258163382242003</v>
      </c>
      <c r="AJ1139">
        <v>79.060756661879594</v>
      </c>
      <c r="AK1139">
        <v>0.62609991661930697</v>
      </c>
      <c r="AL1139">
        <v>84.374365217744199</v>
      </c>
      <c r="AM1139">
        <v>81.432241294158302</v>
      </c>
      <c r="AN1139">
        <v>1.0000000406481699</v>
      </c>
    </row>
    <row r="1140" spans="1:40" x14ac:dyDescent="0.25">
      <c r="A1140" t="str">
        <f>"20190312164455777"</f>
        <v>20190312164455777</v>
      </c>
      <c r="B1140" t="str">
        <f>"1552380295772502"</f>
        <v>1552380295772502</v>
      </c>
      <c r="C1140" t="s">
        <v>40</v>
      </c>
      <c r="D1140">
        <v>5.6142789999999998</v>
      </c>
      <c r="E1140">
        <v>0.49470330000000001</v>
      </c>
      <c r="F1140" t="s">
        <v>41</v>
      </c>
      <c r="G1140">
        <v>-191.79140000000001</v>
      </c>
      <c r="H1140">
        <v>1.0030920000000001</v>
      </c>
      <c r="I1140">
        <v>317.47620000000001</v>
      </c>
      <c r="J1140">
        <v>-191.65539999999999</v>
      </c>
      <c r="K1140">
        <v>1.1117900000000001</v>
      </c>
      <c r="L1140">
        <v>318.06130000000002</v>
      </c>
      <c r="M1140">
        <v>-4.7913730000000002E-2</v>
      </c>
      <c r="N1140">
        <v>0</v>
      </c>
      <c r="O1140">
        <v>-0.99875590000000003</v>
      </c>
      <c r="P1140">
        <v>-0.20146130000000001</v>
      </c>
      <c r="Q1140">
        <v>8.2802959999999995E-2</v>
      </c>
      <c r="R1140">
        <v>-0.97599020000000003</v>
      </c>
      <c r="S1140">
        <v>-0.5</v>
      </c>
      <c r="T1140">
        <v>-0.36707529999999999</v>
      </c>
      <c r="U1140">
        <v>-3.00177</v>
      </c>
      <c r="V1140">
        <v>0.15375440000000001</v>
      </c>
      <c r="W1140">
        <v>9.7518499999999994E-2</v>
      </c>
      <c r="X1140">
        <v>0.98328519999999997</v>
      </c>
      <c r="Y1140">
        <v>0.1156623</v>
      </c>
      <c r="Z1140">
        <v>0.1199539</v>
      </c>
      <c r="AA1140">
        <v>0.98601890000000003</v>
      </c>
      <c r="AB1140">
        <v>32</v>
      </c>
      <c r="AC1140">
        <v>-0.13600000000002399</v>
      </c>
      <c r="AD1140">
        <v>-0.108697999999999</v>
      </c>
      <c r="AE1140">
        <v>-0.58510000000001094</v>
      </c>
      <c r="AF1140">
        <v>0.104388675391742</v>
      </c>
      <c r="AG1140">
        <v>-0.108697999999999</v>
      </c>
      <c r="AH1140">
        <v>0.572208407533913</v>
      </c>
      <c r="AI1140">
        <v>100.58522110609699</v>
      </c>
      <c r="AJ1140">
        <v>79.661156928013</v>
      </c>
      <c r="AK1140">
        <v>0.59172182012035002</v>
      </c>
      <c r="AL1140">
        <v>84.403707679726296</v>
      </c>
      <c r="AM1140">
        <v>81.112737789615494</v>
      </c>
      <c r="AN1140">
        <v>1.0000000289503199</v>
      </c>
    </row>
    <row r="1141" spans="1:40" x14ac:dyDescent="0.25">
      <c r="A1141" t="str">
        <f>"20190312164455799"</f>
        <v>20190312164455799</v>
      </c>
      <c r="B1141" t="str">
        <f>"1552380295792998"</f>
        <v>1552380295792998</v>
      </c>
      <c r="C1141" t="s">
        <v>40</v>
      </c>
      <c r="D1141">
        <v>5.643974</v>
      </c>
      <c r="E1141">
        <v>0.49404219999999999</v>
      </c>
      <c r="F1141" t="s">
        <v>41</v>
      </c>
      <c r="G1141">
        <v>-191.80350000000001</v>
      </c>
      <c r="H1141">
        <v>1.0081340000000001</v>
      </c>
      <c r="I1141">
        <v>317.18959999999998</v>
      </c>
      <c r="J1141">
        <v>-191.66730000000001</v>
      </c>
      <c r="K1141">
        <v>1.1117319999999999</v>
      </c>
      <c r="L1141">
        <v>317.73829999999998</v>
      </c>
      <c r="M1141">
        <v>-4.4462920000000003E-2</v>
      </c>
      <c r="N1141">
        <v>0</v>
      </c>
      <c r="O1141">
        <v>-0.99891569999999996</v>
      </c>
      <c r="P1141">
        <v>-0.20375960000000001</v>
      </c>
      <c r="Q1141">
        <v>8.1617969999999998E-2</v>
      </c>
      <c r="R1141">
        <v>-0.97561310000000001</v>
      </c>
      <c r="S1141">
        <v>-0.50889589999999996</v>
      </c>
      <c r="T1141">
        <v>-0.356881</v>
      </c>
      <c r="U1141">
        <v>-2.9990230000000002</v>
      </c>
      <c r="V1141">
        <v>0.1594875</v>
      </c>
      <c r="W1141">
        <v>9.6341510000000005E-2</v>
      </c>
      <c r="X1141">
        <v>0.98248769999999996</v>
      </c>
      <c r="Y1141">
        <v>0.1221462</v>
      </c>
      <c r="Z1141">
        <v>0.1167271</v>
      </c>
      <c r="AA1141">
        <v>0.98562419999999995</v>
      </c>
      <c r="AB1141">
        <v>32</v>
      </c>
      <c r="AC1141">
        <v>-0.13620000000000199</v>
      </c>
      <c r="AD1141">
        <v>-0.103597999999999</v>
      </c>
      <c r="AE1141">
        <v>-0.54869999999999597</v>
      </c>
      <c r="AF1141">
        <v>0.108038345257272</v>
      </c>
      <c r="AG1141">
        <v>-0.103597999999999</v>
      </c>
      <c r="AH1141">
        <v>0.53620841289475296</v>
      </c>
      <c r="AI1141">
        <v>100.724701562845</v>
      </c>
      <c r="AJ1141">
        <v>78.608238802128994</v>
      </c>
      <c r="AK1141">
        <v>0.55670844407916098</v>
      </c>
      <c r="AL1141">
        <v>84.4714632111302</v>
      </c>
      <c r="AM1141">
        <v>80.779588271247405</v>
      </c>
      <c r="AN1141">
        <v>1.0000000149283099</v>
      </c>
    </row>
    <row r="1142" spans="1:40" x14ac:dyDescent="0.25">
      <c r="A1142" t="str">
        <f>"20190312164455822"</f>
        <v>20190312164455822</v>
      </c>
      <c r="B1142" t="str">
        <f>"1552380295812518"</f>
        <v>1552380295812518</v>
      </c>
      <c r="C1142" t="s">
        <v>40</v>
      </c>
      <c r="D1142">
        <v>5.6405110000000001</v>
      </c>
      <c r="E1142">
        <v>0.49385089999999998</v>
      </c>
      <c r="F1142" t="s">
        <v>41</v>
      </c>
      <c r="G1142">
        <v>-191.80879999999999</v>
      </c>
      <c r="H1142">
        <v>1.0093299999999901</v>
      </c>
      <c r="I1142">
        <v>316.9049</v>
      </c>
      <c r="J1142">
        <v>-191.678</v>
      </c>
      <c r="K1142">
        <v>1.1116569999999999</v>
      </c>
      <c r="L1142">
        <v>317.41860000000003</v>
      </c>
      <c r="M1142">
        <v>-4.1141949999999997E-2</v>
      </c>
      <c r="N1142">
        <v>0</v>
      </c>
      <c r="O1142">
        <v>-0.999058</v>
      </c>
      <c r="P1142">
        <v>-0.2035169</v>
      </c>
      <c r="Q1142">
        <v>8.0153779999999994E-2</v>
      </c>
      <c r="R1142">
        <v>-0.97578500000000001</v>
      </c>
      <c r="S1142">
        <v>-0.50921629999999996</v>
      </c>
      <c r="T1142">
        <v>-0.36865170000000003</v>
      </c>
      <c r="U1142">
        <v>-2.9994809999999998</v>
      </c>
      <c r="V1142">
        <v>0.16253380000000001</v>
      </c>
      <c r="W1142">
        <v>9.4856309999999999E-2</v>
      </c>
      <c r="X1142">
        <v>0.98213289999999998</v>
      </c>
      <c r="Y1142">
        <v>0.12544659999999999</v>
      </c>
      <c r="Z1142">
        <v>0.12050329999999999</v>
      </c>
      <c r="AA1142">
        <v>0.98475489999999999</v>
      </c>
      <c r="AB1142">
        <v>32</v>
      </c>
      <c r="AC1142">
        <v>-0.13079999999999301</v>
      </c>
      <c r="AD1142">
        <v>-0.102327</v>
      </c>
      <c r="AE1142">
        <v>-0.51370000000002802</v>
      </c>
      <c r="AF1142">
        <v>0.105616975801662</v>
      </c>
      <c r="AG1142">
        <v>-0.102327</v>
      </c>
      <c r="AH1142">
        <v>0.50001471777036599</v>
      </c>
      <c r="AI1142">
        <v>101.32259622791901</v>
      </c>
      <c r="AJ1142">
        <v>78.072864708037699</v>
      </c>
      <c r="AK1142">
        <v>0.52119140293511002</v>
      </c>
      <c r="AL1142">
        <v>84.556950335067697</v>
      </c>
      <c r="AM1142">
        <v>80.603250639293705</v>
      </c>
      <c r="AN1142">
        <v>0.99999999447583299</v>
      </c>
    </row>
    <row r="1143" spans="1:40" x14ac:dyDescent="0.25">
      <c r="A1143" t="str">
        <f>"20190312164455844"</f>
        <v>20190312164455844</v>
      </c>
      <c r="B1143" t="str">
        <f>"1552380295833013"</f>
        <v>1552380295833013</v>
      </c>
      <c r="C1143" t="s">
        <v>40</v>
      </c>
      <c r="D1143">
        <v>5.7699369999999996</v>
      </c>
      <c r="E1143">
        <v>0.4938342</v>
      </c>
      <c r="F1143" t="s">
        <v>41</v>
      </c>
      <c r="G1143">
        <v>-191.8133</v>
      </c>
      <c r="H1143">
        <v>1.0140880000000001</v>
      </c>
      <c r="I1143">
        <v>316.61860000000001</v>
      </c>
      <c r="J1143">
        <v>-191.68790000000001</v>
      </c>
      <c r="K1143">
        <v>1.111556</v>
      </c>
      <c r="L1143">
        <v>317.09910000000002</v>
      </c>
      <c r="M1143">
        <v>-3.7949530000000002E-2</v>
      </c>
      <c r="N1143">
        <v>0</v>
      </c>
      <c r="O1143">
        <v>-0.99918470000000004</v>
      </c>
      <c r="P1143">
        <v>-0.20623230000000001</v>
      </c>
      <c r="Q1143">
        <v>7.9837859999999997E-2</v>
      </c>
      <c r="R1143">
        <v>-0.97524080000000002</v>
      </c>
      <c r="S1143">
        <v>-0.50660709999999998</v>
      </c>
      <c r="T1143">
        <v>-0.36596390000000001</v>
      </c>
      <c r="U1143">
        <v>-2.99884</v>
      </c>
      <c r="V1143">
        <v>0.1684331</v>
      </c>
      <c r="W1143">
        <v>9.4514529999999999E-2</v>
      </c>
      <c r="X1143">
        <v>0.98117140000000003</v>
      </c>
      <c r="Y1143">
        <v>0.12783430000000001</v>
      </c>
      <c r="Z1143">
        <v>0.119675</v>
      </c>
      <c r="AA1143">
        <v>0.98454870000000005</v>
      </c>
      <c r="AB1143">
        <v>32</v>
      </c>
      <c r="AC1143">
        <v>-0.125399999999984</v>
      </c>
      <c r="AD1143">
        <v>-9.7468000000000096E-2</v>
      </c>
      <c r="AE1143">
        <v>-0.48050000000000598</v>
      </c>
      <c r="AF1143">
        <v>0.103101384725638</v>
      </c>
      <c r="AG1143">
        <v>-9.7468000000000096E-2</v>
      </c>
      <c r="AH1143">
        <v>0.46692569529920702</v>
      </c>
      <c r="AI1143">
        <v>101.521006714883</v>
      </c>
      <c r="AJ1143">
        <v>77.5483778825147</v>
      </c>
      <c r="AK1143">
        <v>0.488005646982688</v>
      </c>
      <c r="AL1143">
        <v>84.576621352659203</v>
      </c>
      <c r="AM1143">
        <v>80.259244663377004</v>
      </c>
      <c r="AN1143">
        <v>1.0000000108673399</v>
      </c>
    </row>
    <row r="1144" spans="1:40" x14ac:dyDescent="0.25">
      <c r="A1144" t="str">
        <f>"20190312164455867"</f>
        <v>20190312164455867</v>
      </c>
      <c r="B1144" t="str">
        <f>"1552380295862294"</f>
        <v>1552380295862294</v>
      </c>
      <c r="C1144" t="s">
        <v>40</v>
      </c>
      <c r="D1144">
        <v>5.826676</v>
      </c>
      <c r="E1144">
        <v>0.49373470000000003</v>
      </c>
      <c r="F1144" t="s">
        <v>41</v>
      </c>
      <c r="G1144">
        <v>-191.8194</v>
      </c>
      <c r="H1144">
        <v>1.0188740000000001</v>
      </c>
      <c r="I1144">
        <v>316.33240000000001</v>
      </c>
      <c r="J1144">
        <v>-191.69649999999999</v>
      </c>
      <c r="K1144">
        <v>1.111437</v>
      </c>
      <c r="L1144">
        <v>316.79160000000002</v>
      </c>
      <c r="M1144">
        <v>-3.502653E-2</v>
      </c>
      <c r="N1144">
        <v>0</v>
      </c>
      <c r="O1144">
        <v>-0.99929159999999995</v>
      </c>
      <c r="P1144">
        <v>-0.20866680000000001</v>
      </c>
      <c r="Q1144">
        <v>7.9529130000000003E-2</v>
      </c>
      <c r="R1144">
        <v>-0.97474780000000005</v>
      </c>
      <c r="S1144">
        <v>-0.51371769999999894</v>
      </c>
      <c r="T1144">
        <v>-0.3624984</v>
      </c>
      <c r="U1144">
        <v>-2.997223</v>
      </c>
      <c r="V1144">
        <v>0.17378489999999999</v>
      </c>
      <c r="W1144">
        <v>9.4160859999999999E-2</v>
      </c>
      <c r="X1144">
        <v>0.98027169999999997</v>
      </c>
      <c r="Y1144">
        <v>0.13311300000000001</v>
      </c>
      <c r="Z1144">
        <v>0.1185745</v>
      </c>
      <c r="AA1144">
        <v>0.98398220000000003</v>
      </c>
      <c r="AB1144">
        <v>32</v>
      </c>
      <c r="AC1144">
        <v>-0.122900000000015</v>
      </c>
      <c r="AD1144">
        <v>-9.2562999999999895E-2</v>
      </c>
      <c r="AE1144">
        <v>-0.45920000000000899</v>
      </c>
      <c r="AF1144">
        <v>0.102839570463631</v>
      </c>
      <c r="AG1144">
        <v>-9.2562999999999895E-2</v>
      </c>
      <c r="AH1144">
        <v>0.446301252369673</v>
      </c>
      <c r="AI1144">
        <v>101.425808497804</v>
      </c>
      <c r="AJ1144">
        <v>77.024036682691801</v>
      </c>
      <c r="AK1144">
        <v>0.46725656131175097</v>
      </c>
      <c r="AL1144">
        <v>84.596976043907702</v>
      </c>
      <c r="AM1144">
        <v>79.946918965288006</v>
      </c>
      <c r="AN1144">
        <v>1.0000000324224101</v>
      </c>
    </row>
    <row r="1145" spans="1:40" x14ac:dyDescent="0.25">
      <c r="A1145" t="str">
        <f>"20190312164455890"</f>
        <v>20190312164455890</v>
      </c>
      <c r="B1145" t="str">
        <f>"1552380295882789"</f>
        <v>1552380295882789</v>
      </c>
      <c r="C1145" t="s">
        <v>40</v>
      </c>
      <c r="D1145">
        <v>5.6729250000000002</v>
      </c>
      <c r="E1145">
        <v>0.49379600000000001</v>
      </c>
      <c r="F1145" t="s">
        <v>41</v>
      </c>
      <c r="G1145">
        <v>-191.8263</v>
      </c>
      <c r="H1145">
        <v>1.0240180000000001</v>
      </c>
      <c r="I1145">
        <v>316.04640000000001</v>
      </c>
      <c r="J1145">
        <v>-191.70500000000001</v>
      </c>
      <c r="K1145">
        <v>1.1112799999999901</v>
      </c>
      <c r="L1145">
        <v>316.45729999999998</v>
      </c>
      <c r="M1145">
        <v>-3.2054199999999998E-2</v>
      </c>
      <c r="N1145">
        <v>0</v>
      </c>
      <c r="O1145">
        <v>-0.99939219999999895</v>
      </c>
      <c r="P1145">
        <v>-0.21085470000000001</v>
      </c>
      <c r="Q1145">
        <v>7.9940360000000002E-2</v>
      </c>
      <c r="R1145">
        <v>-0.97424379999999999</v>
      </c>
      <c r="S1145">
        <v>-0.52073670000000005</v>
      </c>
      <c r="T1145">
        <v>-0.35152519999999998</v>
      </c>
      <c r="U1145">
        <v>-2.994904</v>
      </c>
      <c r="V1145">
        <v>0.1789384</v>
      </c>
      <c r="W1145">
        <v>9.4494599999999998E-2</v>
      </c>
      <c r="X1145">
        <v>0.97931190000000001</v>
      </c>
      <c r="Y1145">
        <v>0.13849520000000001</v>
      </c>
      <c r="Z1145">
        <v>0.11507240000000001</v>
      </c>
      <c r="AA1145">
        <v>0.98365519999999995</v>
      </c>
      <c r="AB1145">
        <v>32</v>
      </c>
      <c r="AC1145">
        <v>-0.12129999999999</v>
      </c>
      <c r="AD1145">
        <v>-8.7261999999999701E-2</v>
      </c>
      <c r="AE1145">
        <v>-0.41089999999996901</v>
      </c>
      <c r="AF1145">
        <v>0.103760840824915</v>
      </c>
      <c r="AG1145">
        <v>-8.7261999999999701E-2</v>
      </c>
      <c r="AH1145">
        <v>0.39806371897787701</v>
      </c>
      <c r="AI1145">
        <v>101.97650434336499</v>
      </c>
      <c r="AJ1145">
        <v>75.390159574020302</v>
      </c>
      <c r="AK1145">
        <v>0.42051836238051699</v>
      </c>
      <c r="AL1145">
        <v>84.577768272003098</v>
      </c>
      <c r="AM1145">
        <v>79.645227803974507</v>
      </c>
      <c r="AN1145">
        <v>0.99999998895266395</v>
      </c>
    </row>
    <row r="1146" spans="1:40" x14ac:dyDescent="0.25">
      <c r="A1146" t="str">
        <f>"20190312164455914"</f>
        <v>20190312164455914</v>
      </c>
      <c r="B1146" t="str">
        <f>"1552380295902310"</f>
        <v>1552380295902310</v>
      </c>
      <c r="C1146" t="s">
        <v>40</v>
      </c>
      <c r="D1146">
        <v>5.6465529999999999</v>
      </c>
      <c r="E1146">
        <v>0.4945774</v>
      </c>
      <c r="F1146" t="s">
        <v>41</v>
      </c>
      <c r="G1146">
        <v>-191.87530000000001</v>
      </c>
      <c r="H1146">
        <v>1.000205</v>
      </c>
      <c r="I1146">
        <v>315.4914</v>
      </c>
      <c r="J1146">
        <v>-191.71270000000001</v>
      </c>
      <c r="K1146">
        <v>1.11111</v>
      </c>
      <c r="L1146">
        <v>316.12889999999999</v>
      </c>
      <c r="M1146">
        <v>-2.9368390000000001E-2</v>
      </c>
      <c r="N1146">
        <v>0</v>
      </c>
      <c r="O1146">
        <v>-0.99947490000000005</v>
      </c>
      <c r="P1146">
        <v>-0.2135476</v>
      </c>
      <c r="Q1146">
        <v>8.0211210000000005E-2</v>
      </c>
      <c r="R1146">
        <v>-0.97363460000000002</v>
      </c>
      <c r="S1146">
        <v>-0.52711490000000005</v>
      </c>
      <c r="T1146">
        <v>-0.344437099999999</v>
      </c>
      <c r="U1146">
        <v>-2.9935299999999998</v>
      </c>
      <c r="V1146">
        <v>0.18431939999999999</v>
      </c>
      <c r="W1146">
        <v>9.4670229999999994E-2</v>
      </c>
      <c r="X1146">
        <v>0.97829639999999995</v>
      </c>
      <c r="Y1146">
        <v>0.14330979999999999</v>
      </c>
      <c r="Z1146">
        <v>0.11278729999999999</v>
      </c>
      <c r="AA1146">
        <v>0.9832301</v>
      </c>
      <c r="AB1146">
        <v>32</v>
      </c>
      <c r="AC1146">
        <v>-0.162599999999997</v>
      </c>
      <c r="AD1146">
        <v>-0.110905</v>
      </c>
      <c r="AE1146">
        <v>-0.63749999999998797</v>
      </c>
      <c r="AF1146">
        <v>0.139832211727171</v>
      </c>
      <c r="AG1146">
        <v>-0.110905</v>
      </c>
      <c r="AH1146">
        <v>0.62426142022238296</v>
      </c>
      <c r="AI1146">
        <v>99.835159086464003</v>
      </c>
      <c r="AJ1146">
        <v>77.374368188638698</v>
      </c>
      <c r="AK1146">
        <v>0.64927289119412601</v>
      </c>
      <c r="AL1146">
        <v>84.567659996045805</v>
      </c>
      <c r="AM1146">
        <v>79.330065223404503</v>
      </c>
      <c r="AN1146">
        <v>0.99999996995878504</v>
      </c>
    </row>
    <row r="1147" spans="1:40" x14ac:dyDescent="0.25">
      <c r="A1147" t="str">
        <f>"20190312164455956"</f>
        <v>20190312164455956</v>
      </c>
      <c r="B1147" t="str">
        <f>"1552380295953061"</f>
        <v>1552380295953061</v>
      </c>
      <c r="C1147" t="s">
        <v>40</v>
      </c>
      <c r="D1147">
        <v>5.5842660000000004</v>
      </c>
      <c r="E1147">
        <v>0.49656250000000002</v>
      </c>
      <c r="F1147" t="s">
        <v>41</v>
      </c>
      <c r="G1147">
        <v>-191.8792</v>
      </c>
      <c r="H1147">
        <v>1.005258</v>
      </c>
      <c r="I1147">
        <v>315.2056</v>
      </c>
      <c r="J1147">
        <v>-191.7252</v>
      </c>
      <c r="K1147">
        <v>1.110798</v>
      </c>
      <c r="L1147">
        <v>315.51220000000001</v>
      </c>
      <c r="M1147">
        <v>-2.4859719999999998E-2</v>
      </c>
      <c r="N1147">
        <v>0</v>
      </c>
      <c r="O1147">
        <v>-0.99959830000000005</v>
      </c>
      <c r="P1147">
        <v>-0.2195038</v>
      </c>
      <c r="Q1147">
        <v>8.1253220000000001E-2</v>
      </c>
      <c r="R1147">
        <v>-0.97222220000000004</v>
      </c>
      <c r="S1147">
        <v>-0.53958130000000004</v>
      </c>
      <c r="T1147">
        <v>-0.3429297</v>
      </c>
      <c r="U1147">
        <v>-2.9911500000000002</v>
      </c>
      <c r="V1147">
        <v>0.1947893</v>
      </c>
      <c r="W1147">
        <v>9.5517050000000006E-2</v>
      </c>
      <c r="X1147">
        <v>0.97618320000000003</v>
      </c>
      <c r="Y1147">
        <v>0.15188299999999999</v>
      </c>
      <c r="Z1147">
        <v>0.1122949</v>
      </c>
      <c r="AA1147">
        <v>0.9819987</v>
      </c>
      <c r="AB1147">
        <v>32</v>
      </c>
      <c r="AC1147">
        <v>-0.153999999999996</v>
      </c>
      <c r="AD1147">
        <v>-0.105539999999999</v>
      </c>
      <c r="AE1147">
        <v>-0.30660000000000298</v>
      </c>
      <c r="AF1147">
        <v>0.13368075251956299</v>
      </c>
      <c r="AG1147">
        <v>-0.105539999999999</v>
      </c>
      <c r="AH1147">
        <v>0.28350826595149398</v>
      </c>
      <c r="AI1147">
        <v>108.608908486476</v>
      </c>
      <c r="AJ1147">
        <v>64.755030361669697</v>
      </c>
      <c r="AK1147">
        <v>0.33073580401435199</v>
      </c>
      <c r="AL1147">
        <v>84.518920122340006</v>
      </c>
      <c r="AM1147">
        <v>78.715315930716997</v>
      </c>
      <c r="AN1147">
        <v>1.00000000909871</v>
      </c>
    </row>
    <row r="1148" spans="1:40" x14ac:dyDescent="0.25">
      <c r="A1148" t="str">
        <f>"20190312164455978"</f>
        <v>20190312164455978</v>
      </c>
      <c r="B1148" t="str">
        <f>"1552380295972582"</f>
        <v>1552380295972582</v>
      </c>
      <c r="C1148" t="s">
        <v>40</v>
      </c>
      <c r="D1148">
        <v>5.6113609999999996</v>
      </c>
      <c r="E1148">
        <v>0.49738199999999999</v>
      </c>
      <c r="F1148" t="s">
        <v>41</v>
      </c>
      <c r="G1148">
        <v>-191.8929</v>
      </c>
      <c r="H1148">
        <v>1.011385</v>
      </c>
      <c r="I1148">
        <v>314.63619999999997</v>
      </c>
      <c r="J1148">
        <v>-191.73070000000001</v>
      </c>
      <c r="K1148">
        <v>1.110633</v>
      </c>
      <c r="L1148">
        <v>315.20909999999998</v>
      </c>
      <c r="M1148">
        <v>-2.2943689999999999E-2</v>
      </c>
      <c r="N1148">
        <v>0</v>
      </c>
      <c r="O1148">
        <v>-0.99964489999999995</v>
      </c>
      <c r="P1148">
        <v>-0.2228781</v>
      </c>
      <c r="Q1148">
        <v>8.1409830000000002E-2</v>
      </c>
      <c r="R1148">
        <v>-0.971441</v>
      </c>
      <c r="S1148">
        <v>-0.57101440000000003</v>
      </c>
      <c r="T1148">
        <v>-0.33883819999999998</v>
      </c>
      <c r="U1148">
        <v>-2.985077</v>
      </c>
      <c r="V1148">
        <v>0.20008960000000001</v>
      </c>
      <c r="W1148">
        <v>9.5552650000000003E-2</v>
      </c>
      <c r="X1148">
        <v>0.9751071</v>
      </c>
      <c r="Y1148">
        <v>0.16413639999999999</v>
      </c>
      <c r="Z1148">
        <v>0.1109845</v>
      </c>
      <c r="AA1148">
        <v>0.98017430000000005</v>
      </c>
      <c r="AB1148">
        <v>32</v>
      </c>
      <c r="AC1148">
        <v>-0.162199999999984</v>
      </c>
      <c r="AD1148">
        <v>-9.9248000000000003E-2</v>
      </c>
      <c r="AE1148">
        <v>-0.57290000000000396</v>
      </c>
      <c r="AF1148">
        <v>0.14498339124860399</v>
      </c>
      <c r="AG1148">
        <v>-9.9248000000000003E-2</v>
      </c>
      <c r="AH1148">
        <v>0.56088713676420898</v>
      </c>
      <c r="AI1148">
        <v>99.721388208805195</v>
      </c>
      <c r="AJ1148">
        <v>75.506883083766695</v>
      </c>
      <c r="AK1148">
        <v>0.58776247705131601</v>
      </c>
      <c r="AL1148">
        <v>84.516871007054505</v>
      </c>
      <c r="AM1148">
        <v>78.404011222230196</v>
      </c>
      <c r="AN1148">
        <v>1.0000000067102901</v>
      </c>
    </row>
    <row r="1149" spans="1:40" x14ac:dyDescent="0.25">
      <c r="A1149" t="str">
        <f>"20190312164456001"</f>
        <v>20190312164456001</v>
      </c>
      <c r="B1149" t="str">
        <f>"1552380295993078"</f>
        <v>1552380295993078</v>
      </c>
      <c r="C1149" t="s">
        <v>40</v>
      </c>
      <c r="D1149">
        <v>5.5959599999999998</v>
      </c>
      <c r="E1149">
        <v>0.4978805</v>
      </c>
      <c r="F1149" t="s">
        <v>41</v>
      </c>
      <c r="G1149">
        <v>-191.89959999999999</v>
      </c>
      <c r="H1149">
        <v>1.014302</v>
      </c>
      <c r="I1149">
        <v>314.35160000000002</v>
      </c>
      <c r="J1149">
        <v>-191.7362</v>
      </c>
      <c r="K1149">
        <v>1.110425</v>
      </c>
      <c r="L1149">
        <v>314.87849999999997</v>
      </c>
      <c r="M1149">
        <v>-2.110592E-2</v>
      </c>
      <c r="N1149">
        <v>0</v>
      </c>
      <c r="O1149">
        <v>-0.99968659999999998</v>
      </c>
      <c r="P1149">
        <v>-0.226273</v>
      </c>
      <c r="Q1149">
        <v>8.1445760000000006E-2</v>
      </c>
      <c r="R1149">
        <v>-0.97065310000000005</v>
      </c>
      <c r="S1149">
        <v>-0.586731</v>
      </c>
      <c r="T1149">
        <v>-0.33513100000000001</v>
      </c>
      <c r="U1149">
        <v>-2.9816590000000001</v>
      </c>
      <c r="V1149">
        <v>0.20534040000000001</v>
      </c>
      <c r="W1149">
        <v>9.5432100000000006E-2</v>
      </c>
      <c r="X1149">
        <v>0.97402670000000002</v>
      </c>
      <c r="Y1149">
        <v>0.17115710000000001</v>
      </c>
      <c r="Z1149">
        <v>0.1097938</v>
      </c>
      <c r="AA1149">
        <v>0.97910699999999995</v>
      </c>
      <c r="AB1149">
        <v>32</v>
      </c>
      <c r="AC1149">
        <v>-0.16339999999999499</v>
      </c>
      <c r="AD1149">
        <v>-9.6122999999999903E-2</v>
      </c>
      <c r="AE1149">
        <v>-0.52689999999995496</v>
      </c>
      <c r="AF1149">
        <v>0.14775582687153299</v>
      </c>
      <c r="AG1149">
        <v>-9.6122999999999903E-2</v>
      </c>
      <c r="AH1149">
        <v>0.51460750329650995</v>
      </c>
      <c r="AI1149">
        <v>100.17816975059699</v>
      </c>
      <c r="AJ1149">
        <v>73.979991916159307</v>
      </c>
      <c r="AK1149">
        <v>0.54395983119395697</v>
      </c>
      <c r="AL1149">
        <v>84.523809624471198</v>
      </c>
      <c r="AM1149">
        <v>78.095450337320997</v>
      </c>
      <c r="AN1149">
        <v>0.99999998894772901</v>
      </c>
    </row>
    <row r="1150" spans="1:40" x14ac:dyDescent="0.25">
      <c r="A1150" t="str">
        <f>"20190312164456024"</f>
        <v>20190312164456024</v>
      </c>
      <c r="B1150" t="str">
        <f>"1552380296012592"</f>
        <v>1552380296012592</v>
      </c>
      <c r="C1150" t="s">
        <v>40</v>
      </c>
      <c r="D1150">
        <v>5.6169190000000002</v>
      </c>
      <c r="E1150">
        <v>0.49833240000000001</v>
      </c>
      <c r="F1150" t="s">
        <v>41</v>
      </c>
      <c r="G1150">
        <v>-191.8997</v>
      </c>
      <c r="H1150">
        <v>1.0189060000000001</v>
      </c>
      <c r="I1150">
        <v>314.06630000000001</v>
      </c>
      <c r="J1150">
        <v>-191.74109999999999</v>
      </c>
      <c r="K1150">
        <v>1.1102000000000001</v>
      </c>
      <c r="L1150">
        <v>314.56360000000001</v>
      </c>
      <c r="M1150">
        <v>-1.961185E-2</v>
      </c>
      <c r="N1150">
        <v>0</v>
      </c>
      <c r="O1150">
        <v>-0.99971790000000005</v>
      </c>
      <c r="P1150">
        <v>-0.2292563</v>
      </c>
      <c r="Q1150">
        <v>8.0680089999999996E-2</v>
      </c>
      <c r="R1150">
        <v>-0.97001669999999995</v>
      </c>
      <c r="S1150">
        <v>-0.59925839999999997</v>
      </c>
      <c r="T1150">
        <v>-0.33584890000000001</v>
      </c>
      <c r="U1150">
        <v>-2.9792480000000001</v>
      </c>
      <c r="V1150">
        <v>0.2098449</v>
      </c>
      <c r="W1150">
        <v>9.4496010000000005E-2</v>
      </c>
      <c r="X1150">
        <v>0.97315759999999996</v>
      </c>
      <c r="Y1150">
        <v>0.17673179999999999</v>
      </c>
      <c r="Z1150">
        <v>0.11001859999999999</v>
      </c>
      <c r="AA1150">
        <v>0.97809089999999999</v>
      </c>
      <c r="AB1150">
        <v>32</v>
      </c>
      <c r="AC1150">
        <v>-0.15860000000000599</v>
      </c>
      <c r="AD1150">
        <v>-9.1294000000000194E-2</v>
      </c>
      <c r="AE1150">
        <v>-0.49729999999999502</v>
      </c>
      <c r="AF1150">
        <v>0.14439849006845401</v>
      </c>
      <c r="AG1150">
        <v>-9.1294000000000194E-2</v>
      </c>
      <c r="AH1150">
        <v>0.48546468213412203</v>
      </c>
      <c r="AI1150">
        <v>100.21785954512799</v>
      </c>
      <c r="AJ1150">
        <v>73.435213325936999</v>
      </c>
      <c r="AK1150">
        <v>0.51464694302952396</v>
      </c>
      <c r="AL1150">
        <v>84.577687433173196</v>
      </c>
      <c r="AM1150">
        <v>77.831458133379002</v>
      </c>
      <c r="AN1150">
        <v>1.00000004619984</v>
      </c>
    </row>
    <row r="1151" spans="1:40" x14ac:dyDescent="0.25">
      <c r="A1151" t="str">
        <f>"20190312164456047"</f>
        <v>20190312164456047</v>
      </c>
      <c r="B1151" t="str">
        <f>"1552380296042845"</f>
        <v>1552380296042845</v>
      </c>
      <c r="C1151" t="s">
        <v>40</v>
      </c>
      <c r="D1151">
        <v>6.1539919999999997</v>
      </c>
      <c r="E1151">
        <v>0.49921219999999999</v>
      </c>
      <c r="F1151" t="s">
        <v>41</v>
      </c>
      <c r="G1151">
        <v>-191.90199999999999</v>
      </c>
      <c r="H1151">
        <v>1.022138</v>
      </c>
      <c r="I1151">
        <v>313.78160000000003</v>
      </c>
      <c r="J1151">
        <v>-191.74600000000001</v>
      </c>
      <c r="K1151">
        <v>1.1099479999999999</v>
      </c>
      <c r="L1151">
        <v>314.24009999999998</v>
      </c>
      <c r="M1151">
        <v>-1.834742E-2</v>
      </c>
      <c r="N1151">
        <v>0</v>
      </c>
      <c r="O1151">
        <v>-0.99974280000000004</v>
      </c>
      <c r="P1151">
        <v>-0.23217479999999999</v>
      </c>
      <c r="Q1151">
        <v>8.0293829999999997E-2</v>
      </c>
      <c r="R1151">
        <v>-0.96935459999999996</v>
      </c>
      <c r="S1151">
        <v>-0.61131289999999905</v>
      </c>
      <c r="T1151">
        <v>-0.33542939999999999</v>
      </c>
      <c r="U1151">
        <v>-2.9761660000000001</v>
      </c>
      <c r="V1151">
        <v>0.21406220000000001</v>
      </c>
      <c r="W1151">
        <v>9.3914499999999998E-2</v>
      </c>
      <c r="X1151">
        <v>0.97229489999999996</v>
      </c>
      <c r="Y1151">
        <v>0.18197659999999999</v>
      </c>
      <c r="Z1151">
        <v>0.1099006</v>
      </c>
      <c r="AA1151">
        <v>0.97714190000000001</v>
      </c>
      <c r="AB1151">
        <v>32</v>
      </c>
      <c r="AC1151">
        <v>-0.156000000000034</v>
      </c>
      <c r="AD1151">
        <v>-8.7809999999999902E-2</v>
      </c>
      <c r="AE1151">
        <v>-0.458499999999958</v>
      </c>
      <c r="AF1151">
        <v>0.14286433977333701</v>
      </c>
      <c r="AG1151">
        <v>-8.7809999999999902E-2</v>
      </c>
      <c r="AH1151">
        <v>0.44660411362834201</v>
      </c>
      <c r="AI1151">
        <v>100.60685906975</v>
      </c>
      <c r="AJ1151">
        <v>72.261028220083205</v>
      </c>
      <c r="AK1151">
        <v>0.47704931609701301</v>
      </c>
      <c r="AL1151">
        <v>84.611153899752296</v>
      </c>
      <c r="AM1151">
        <v>77.583739028516106</v>
      </c>
      <c r="AN1151">
        <v>0.99999996567254901</v>
      </c>
    </row>
    <row r="1152" spans="1:40" x14ac:dyDescent="0.25">
      <c r="A1152" t="str">
        <f>"20190312164456067"</f>
        <v>20190312164456067</v>
      </c>
      <c r="B1152" t="str">
        <f>"1552380296062365"</f>
        <v>1552380296062365</v>
      </c>
      <c r="C1152" t="s">
        <v>40</v>
      </c>
      <c r="D1152">
        <v>5.6707859999999997</v>
      </c>
      <c r="E1152">
        <v>0.49959890000000001</v>
      </c>
      <c r="F1152" t="s">
        <v>41</v>
      </c>
      <c r="G1152">
        <v>-191.90299999999999</v>
      </c>
      <c r="H1152">
        <v>1.0261670000000001</v>
      </c>
      <c r="I1152">
        <v>313.49669999999998</v>
      </c>
      <c r="J1152">
        <v>-191.75030000000001</v>
      </c>
      <c r="K1152">
        <v>1.1097170000000001</v>
      </c>
      <c r="L1152">
        <v>313.95249999999999</v>
      </c>
      <c r="M1152">
        <v>-1.748456E-2</v>
      </c>
      <c r="N1152">
        <v>0</v>
      </c>
      <c r="O1152">
        <v>-0.99975939999999996</v>
      </c>
      <c r="P1152">
        <v>-0.2355718</v>
      </c>
      <c r="Q1152">
        <v>8.0111970000000005E-2</v>
      </c>
      <c r="R1152">
        <v>-0.96854960000000001</v>
      </c>
      <c r="S1152">
        <v>-0.62777709999999998</v>
      </c>
      <c r="T1152">
        <v>-0.33497490000000002</v>
      </c>
      <c r="U1152">
        <v>-2.9721980000000001</v>
      </c>
      <c r="V1152">
        <v>0.2183631</v>
      </c>
      <c r="W1152">
        <v>9.3547050000000007E-2</v>
      </c>
      <c r="X1152">
        <v>0.9713735</v>
      </c>
      <c r="Y1152">
        <v>0.18826870000000001</v>
      </c>
      <c r="Z1152">
        <v>0.10977149999999999</v>
      </c>
      <c r="AA1152">
        <v>0.97596369999999999</v>
      </c>
      <c r="AB1152">
        <v>32</v>
      </c>
      <c r="AC1152">
        <v>-0.15269999999998099</v>
      </c>
      <c r="AD1152">
        <v>-8.3549999999999999E-2</v>
      </c>
      <c r="AE1152">
        <v>-0.45580000000000997</v>
      </c>
      <c r="AF1152">
        <v>0.140463130969957</v>
      </c>
      <c r="AG1152">
        <v>-8.3549999999999999E-2</v>
      </c>
      <c r="AH1152">
        <v>0.44495834301888698</v>
      </c>
      <c r="AI1152">
        <v>100.151817699299</v>
      </c>
      <c r="AJ1152">
        <v>72.480289828409397</v>
      </c>
      <c r="AK1152">
        <v>0.47402364992054602</v>
      </c>
      <c r="AL1152">
        <v>84.632300435664007</v>
      </c>
      <c r="AM1152">
        <v>77.330617325900505</v>
      </c>
      <c r="AN1152">
        <v>0.99999998525378098</v>
      </c>
    </row>
    <row r="1153" spans="1:40" x14ac:dyDescent="0.25">
      <c r="A1153" t="str">
        <f>"20190312164456092"</f>
        <v>20190312164456092</v>
      </c>
      <c r="B1153" t="str">
        <f>"1552380296082861"</f>
        <v>1552380296082861</v>
      </c>
      <c r="C1153" t="s">
        <v>40</v>
      </c>
      <c r="D1153">
        <v>5.6847019999999997</v>
      </c>
      <c r="E1153">
        <v>0.49987690000000001</v>
      </c>
      <c r="F1153" t="s">
        <v>41</v>
      </c>
      <c r="G1153">
        <v>-191.91030000000001</v>
      </c>
      <c r="H1153">
        <v>1.027039</v>
      </c>
      <c r="I1153">
        <v>313.21289999999999</v>
      </c>
      <c r="J1153">
        <v>-191.75540000000001</v>
      </c>
      <c r="K1153">
        <v>1.109434</v>
      </c>
      <c r="L1153">
        <v>313.6078</v>
      </c>
      <c r="M1153">
        <v>-1.6792709999999999E-2</v>
      </c>
      <c r="N1153">
        <v>0</v>
      </c>
      <c r="O1153">
        <v>-0.99977240000000001</v>
      </c>
      <c r="P1153">
        <v>-0.23931379999999999</v>
      </c>
      <c r="Q1153">
        <v>7.9991499999999993E-2</v>
      </c>
      <c r="R1153">
        <v>-0.96764170000000005</v>
      </c>
      <c r="S1153">
        <v>-0.64140319999999995</v>
      </c>
      <c r="T1153">
        <v>-0.33211000000000002</v>
      </c>
      <c r="U1153">
        <v>-2.9689030000000001</v>
      </c>
      <c r="V1153">
        <v>0.22285430000000001</v>
      </c>
      <c r="W1153">
        <v>9.3190980000000007E-2</v>
      </c>
      <c r="X1153">
        <v>0.97038729999999995</v>
      </c>
      <c r="Y1153">
        <v>0.19346940000000001</v>
      </c>
      <c r="Z1153">
        <v>0.1088562</v>
      </c>
      <c r="AA1153">
        <v>0.97504869999999999</v>
      </c>
      <c r="AB1153">
        <v>32</v>
      </c>
      <c r="AC1153">
        <v>-0.15489999999999701</v>
      </c>
      <c r="AD1153">
        <v>-8.2394999999999996E-2</v>
      </c>
      <c r="AE1153">
        <v>-0.39490000000000602</v>
      </c>
      <c r="AF1153">
        <v>0.14285632900201001</v>
      </c>
      <c r="AG1153">
        <v>-8.2394999999999996E-2</v>
      </c>
      <c r="AH1153">
        <v>0.38299572160121997</v>
      </c>
      <c r="AI1153">
        <v>101.396272731012</v>
      </c>
      <c r="AJ1153">
        <v>69.544625809321005</v>
      </c>
      <c r="AK1153">
        <v>0.416992313509218</v>
      </c>
      <c r="AL1153">
        <v>84.652791630421703</v>
      </c>
      <c r="AM1153">
        <v>77.066010546277894</v>
      </c>
      <c r="AN1153">
        <v>1.00000005489156</v>
      </c>
    </row>
    <row r="1154" spans="1:40" x14ac:dyDescent="0.25">
      <c r="A1154" t="str">
        <f>"20190312164456137"</f>
        <v>20190312164456137</v>
      </c>
      <c r="B1154" t="str">
        <f>"1552380296132637"</f>
        <v>1552380296132637</v>
      </c>
      <c r="C1154" t="s">
        <v>40</v>
      </c>
      <c r="D1154">
        <v>5.6505710000000002</v>
      </c>
      <c r="E1154">
        <v>0.50018830000000003</v>
      </c>
      <c r="F1154" t="s">
        <v>41</v>
      </c>
      <c r="G1154">
        <v>-191.96610000000001</v>
      </c>
      <c r="H1154">
        <v>1.00345</v>
      </c>
      <c r="I1154">
        <v>312.6542</v>
      </c>
      <c r="J1154">
        <v>-191.7653</v>
      </c>
      <c r="K1154">
        <v>1.1089789999999999</v>
      </c>
      <c r="L1154">
        <v>312.96469999999999</v>
      </c>
      <c r="M1154">
        <v>-1.6316669999999998E-2</v>
      </c>
      <c r="N1154">
        <v>0</v>
      </c>
      <c r="O1154">
        <v>-0.99978250000000002</v>
      </c>
      <c r="P1154">
        <v>-0.24713969999999999</v>
      </c>
      <c r="Q1154">
        <v>8.1024799999999994E-2</v>
      </c>
      <c r="R1154">
        <v>-0.96558639999999996</v>
      </c>
      <c r="S1154">
        <v>-0.65509030000000001</v>
      </c>
      <c r="T1154">
        <v>-0.32968399999999998</v>
      </c>
      <c r="U1154">
        <v>-2.965576</v>
      </c>
      <c r="V1154">
        <v>0.2312747</v>
      </c>
      <c r="W1154">
        <v>9.3799599999999997E-2</v>
      </c>
      <c r="X1154">
        <v>0.96835610000000005</v>
      </c>
      <c r="Y1154">
        <v>0.1984728</v>
      </c>
      <c r="Z1154">
        <v>0.1080821</v>
      </c>
      <c r="AA1154">
        <v>0.97412869999999996</v>
      </c>
      <c r="AB1154">
        <v>32</v>
      </c>
      <c r="AC1154">
        <v>-0.20080000000001499</v>
      </c>
      <c r="AD1154">
        <v>-0.105529</v>
      </c>
      <c r="AE1154">
        <v>-0.31049999999999001</v>
      </c>
      <c r="AF1154">
        <v>0.18096720916718601</v>
      </c>
      <c r="AG1154">
        <v>-0.105529</v>
      </c>
      <c r="AH1154">
        <v>0.29010688197988399</v>
      </c>
      <c r="AI1154">
        <v>107.15200896189</v>
      </c>
      <c r="AJ1154">
        <v>58.0442933282634</v>
      </c>
      <c r="AK1154">
        <v>0.35783725855037801</v>
      </c>
      <c r="AL1154">
        <v>84.617766258226595</v>
      </c>
      <c r="AM1154">
        <v>76.567544755416506</v>
      </c>
      <c r="AN1154">
        <v>0.99999994411372795</v>
      </c>
    </row>
    <row r="1155" spans="1:40" x14ac:dyDescent="0.25">
      <c r="A1155" t="str">
        <f>"20190312164456158"</f>
        <v>20190312164456158</v>
      </c>
      <c r="B1155" t="str">
        <f>"1552380296153133"</f>
        <v>1552380296153133</v>
      </c>
      <c r="C1155" t="s">
        <v>40</v>
      </c>
      <c r="D1155">
        <v>5.7700649999999998</v>
      </c>
      <c r="E1155">
        <v>0.50033640000000001</v>
      </c>
      <c r="F1155" t="s">
        <v>42</v>
      </c>
      <c r="G1155">
        <v>-194.11259999999999</v>
      </c>
      <c r="H1155" s="1">
        <v>-2.4637889999999999E-6</v>
      </c>
      <c r="I1155">
        <v>302.78149999999999</v>
      </c>
      <c r="J1155">
        <v>-191.76990000000001</v>
      </c>
      <c r="K1155">
        <v>1.1088</v>
      </c>
      <c r="L1155">
        <v>312.67619999999999</v>
      </c>
      <c r="M1155">
        <v>-1.641068E-2</v>
      </c>
      <c r="N1155">
        <v>0</v>
      </c>
      <c r="O1155">
        <v>-0.99978219999999995</v>
      </c>
      <c r="P1155">
        <v>-0.2512355</v>
      </c>
      <c r="Q1155">
        <v>8.2737359999999996E-2</v>
      </c>
      <c r="R1155">
        <v>-0.96438369999999995</v>
      </c>
      <c r="S1155">
        <v>-0.68217469999999902</v>
      </c>
      <c r="T1155">
        <v>-0.3222855</v>
      </c>
      <c r="U1155">
        <v>-2.959381</v>
      </c>
      <c r="V1155">
        <v>0.2353374</v>
      </c>
      <c r="W1155">
        <v>9.5326240000000007E-2</v>
      </c>
      <c r="X1155">
        <v>0.96722759999999997</v>
      </c>
      <c r="Y1155">
        <v>0.20734179999999999</v>
      </c>
      <c r="Z1155">
        <v>0.1056955</v>
      </c>
      <c r="AA1155">
        <v>0.97254189999999996</v>
      </c>
      <c r="AB1155">
        <v>32</v>
      </c>
      <c r="AC1155">
        <v>-2.3426999999999798</v>
      </c>
      <c r="AD1155">
        <v>-1.1088024637889999</v>
      </c>
      <c r="AE1155">
        <v>-9.8947000000000003</v>
      </c>
      <c r="AF1155">
        <v>2.1543746958765699</v>
      </c>
      <c r="AG1155">
        <v>-1.1088024637889999</v>
      </c>
      <c r="AH1155">
        <v>9.8151050808245994</v>
      </c>
      <c r="AI1155">
        <v>96.296669729912495</v>
      </c>
      <c r="AJ1155">
        <v>77.620137290281804</v>
      </c>
      <c r="AK1155">
        <v>10.1097507873125</v>
      </c>
      <c r="AL1155">
        <v>84.529902833407206</v>
      </c>
      <c r="AM1155">
        <v>76.325011652767202</v>
      </c>
      <c r="AN1155">
        <v>1.00000000703652</v>
      </c>
    </row>
    <row r="1156" spans="1:40" x14ac:dyDescent="0.25">
      <c r="A1156" t="str">
        <f>"20190312164456181"</f>
        <v>20190312164456181</v>
      </c>
      <c r="B1156" t="str">
        <f>"1552380296172653"</f>
        <v>1552380296172653</v>
      </c>
      <c r="C1156" t="s">
        <v>40</v>
      </c>
      <c r="D1156">
        <v>5.5805949999999998</v>
      </c>
      <c r="E1156">
        <v>0.50043990000000005</v>
      </c>
      <c r="F1156" t="s">
        <v>42</v>
      </c>
      <c r="G1156">
        <v>-194.21899999999999</v>
      </c>
      <c r="H1156" s="1">
        <v>-2.2749200000000002E-6</v>
      </c>
      <c r="I1156">
        <v>302.27530000000002</v>
      </c>
      <c r="J1156">
        <v>-191.77549999999999</v>
      </c>
      <c r="K1156">
        <v>1.10859</v>
      </c>
      <c r="L1156">
        <v>312.3449</v>
      </c>
      <c r="M1156">
        <v>-1.6774500000000001E-2</v>
      </c>
      <c r="N1156">
        <v>0</v>
      </c>
      <c r="O1156">
        <v>-0.99977729999999998</v>
      </c>
      <c r="P1156">
        <v>-0.25547569999999997</v>
      </c>
      <c r="Q1156">
        <v>8.4033430000000006E-2</v>
      </c>
      <c r="R1156">
        <v>-0.96315709999999999</v>
      </c>
      <c r="S1156">
        <v>-0.69616699999999998</v>
      </c>
      <c r="T1156">
        <v>-0.3151796</v>
      </c>
      <c r="U1156">
        <v>-2.9564819999999998</v>
      </c>
      <c r="V1156">
        <v>0.2392936</v>
      </c>
      <c r="W1156">
        <v>9.6395599999999998E-2</v>
      </c>
      <c r="X1156">
        <v>0.96615030000000002</v>
      </c>
      <c r="Y1156">
        <v>0.211614</v>
      </c>
      <c r="Z1156">
        <v>0.10338550000000001</v>
      </c>
      <c r="AA1156">
        <v>0.97186980000000001</v>
      </c>
      <c r="AB1156">
        <v>32</v>
      </c>
      <c r="AC1156">
        <v>-2.4435000000000202</v>
      </c>
      <c r="AD1156">
        <v>-1.1085922749199999</v>
      </c>
      <c r="AE1156">
        <v>-10.0695999999999</v>
      </c>
      <c r="AF1156">
        <v>2.24849253284179</v>
      </c>
      <c r="AG1156">
        <v>-1.1085922749199999</v>
      </c>
      <c r="AH1156">
        <v>9.9947701991449502</v>
      </c>
      <c r="AI1156">
        <v>96.176098669221901</v>
      </c>
      <c r="AJ1156">
        <v>77.321421273473405</v>
      </c>
      <c r="AK1156">
        <v>10.304374160325001</v>
      </c>
      <c r="AL1156">
        <v>84.468349343968299</v>
      </c>
      <c r="AM1156">
        <v>76.089071724675094</v>
      </c>
      <c r="AN1156">
        <v>0.99999997044520395</v>
      </c>
    </row>
    <row r="1157" spans="1:40" x14ac:dyDescent="0.25">
      <c r="A1157" t="str">
        <f>"20190312164456202"</f>
        <v>20190312164456202</v>
      </c>
      <c r="B1157" t="str">
        <f>"1552380296193149"</f>
        <v>1552380296193149</v>
      </c>
      <c r="C1157" t="s">
        <v>40</v>
      </c>
      <c r="D1157">
        <v>5.630147</v>
      </c>
      <c r="E1157">
        <v>0.50054770000000004</v>
      </c>
      <c r="F1157" t="s">
        <v>42</v>
      </c>
      <c r="G1157">
        <v>-194.31540000000001</v>
      </c>
      <c r="H1157" s="1">
        <v>-2.0844049999999998E-6</v>
      </c>
      <c r="I1157">
        <v>301.77140000000003</v>
      </c>
      <c r="J1157">
        <v>-191.78120000000001</v>
      </c>
      <c r="K1157">
        <v>1.1083689999999999</v>
      </c>
      <c r="L1157">
        <v>312.03190000000001</v>
      </c>
      <c r="M1157">
        <v>-1.736412E-2</v>
      </c>
      <c r="N1157">
        <v>0</v>
      </c>
      <c r="O1157">
        <v>-0.9997684</v>
      </c>
      <c r="P1157">
        <v>-0.26010260000000002</v>
      </c>
      <c r="Q1157">
        <v>8.4641859999999999E-2</v>
      </c>
      <c r="R1157">
        <v>-0.96186400000000005</v>
      </c>
      <c r="S1157">
        <v>-0.70948789999999995</v>
      </c>
      <c r="T1157">
        <v>-0.30967430000000001</v>
      </c>
      <c r="U1157">
        <v>-2.9536129999999998</v>
      </c>
      <c r="V1157">
        <v>0.24342250000000001</v>
      </c>
      <c r="W1157">
        <v>9.6773399999999996E-2</v>
      </c>
      <c r="X1157">
        <v>0.96508050000000001</v>
      </c>
      <c r="Y1157">
        <v>0.21543809999999999</v>
      </c>
      <c r="Z1157">
        <v>0.1015976</v>
      </c>
      <c r="AA1157">
        <v>0.97121800000000003</v>
      </c>
      <c r="AB1157">
        <v>32</v>
      </c>
      <c r="AC1157">
        <v>-2.53419999999999</v>
      </c>
      <c r="AD1157">
        <v>-1.1083710844050001</v>
      </c>
      <c r="AE1157">
        <v>-10.260499999999899</v>
      </c>
      <c r="AF1157">
        <v>2.3300132247480798</v>
      </c>
      <c r="AG1157">
        <v>-1.1083710844050001</v>
      </c>
      <c r="AH1157">
        <v>10.1908803359745</v>
      </c>
      <c r="AI1157">
        <v>96.0521827265909</v>
      </c>
      <c r="AJ1157">
        <v>77.121423160373794</v>
      </c>
      <c r="AK1157">
        <v>10.5124445354255</v>
      </c>
      <c r="AL1157">
        <v>84.446601418691003</v>
      </c>
      <c r="AM1157">
        <v>75.843552340513</v>
      </c>
      <c r="AN1157">
        <v>0.99999998796702905</v>
      </c>
    </row>
    <row r="1158" spans="1:40" x14ac:dyDescent="0.25">
      <c r="A1158" t="str">
        <f>"20190312164456224"</f>
        <v>20190312164456224</v>
      </c>
      <c r="B1158" t="str">
        <f>"1552380296212672"</f>
        <v>1552380296212672</v>
      </c>
      <c r="C1158" t="s">
        <v>40</v>
      </c>
      <c r="D1158">
        <v>5.5516649999999998</v>
      </c>
      <c r="E1158">
        <v>0.50056120000000004</v>
      </c>
      <c r="F1158" t="s">
        <v>42</v>
      </c>
      <c r="G1158">
        <v>-194.40209999999999</v>
      </c>
      <c r="H1158" s="1">
        <v>-1.925445E-6</v>
      </c>
      <c r="I1158">
        <v>301.34710000000001</v>
      </c>
      <c r="J1158">
        <v>-191.78720000000001</v>
      </c>
      <c r="K1158">
        <v>1.1081319999999999</v>
      </c>
      <c r="L1158">
        <v>311.72620000000001</v>
      </c>
      <c r="M1158">
        <v>-1.81779E-2</v>
      </c>
      <c r="N1158">
        <v>0</v>
      </c>
      <c r="O1158">
        <v>-0.99975499999999995</v>
      </c>
      <c r="P1158">
        <v>-0.26493919999999999</v>
      </c>
      <c r="Q1158">
        <v>8.5176799999999997E-2</v>
      </c>
      <c r="R1158">
        <v>-0.96049600000000002</v>
      </c>
      <c r="S1158">
        <v>-0.72366330000000001</v>
      </c>
      <c r="T1158">
        <v>-0.30603639999999999</v>
      </c>
      <c r="U1158">
        <v>-2.9502259999999998</v>
      </c>
      <c r="V1158">
        <v>0.2475502</v>
      </c>
      <c r="W1158">
        <v>9.7070020000000007E-2</v>
      </c>
      <c r="X1158">
        <v>0.96400019999999997</v>
      </c>
      <c r="Y1158">
        <v>0.21933</v>
      </c>
      <c r="Z1158">
        <v>0.1004256</v>
      </c>
      <c r="AA1158">
        <v>0.97046849999999996</v>
      </c>
      <c r="AB1158">
        <v>32</v>
      </c>
      <c r="AC1158">
        <v>-2.6148999999999698</v>
      </c>
      <c r="AD1158">
        <v>-1.108133925445</v>
      </c>
      <c r="AE1158">
        <v>-10.3790999999999</v>
      </c>
      <c r="AF1158">
        <v>2.4000572941513298</v>
      </c>
      <c r="AG1158">
        <v>-1.108133925445</v>
      </c>
      <c r="AH1158">
        <v>10.3143662658408</v>
      </c>
      <c r="AI1158">
        <v>95.973715217266303</v>
      </c>
      <c r="AJ1158">
        <v>76.900900697127497</v>
      </c>
      <c r="AK1158">
        <v>10.6477409471608</v>
      </c>
      <c r="AL1158">
        <v>84.429526232471105</v>
      </c>
      <c r="AM1158">
        <v>75.597935953286395</v>
      </c>
      <c r="AN1158">
        <v>1.00000003795143</v>
      </c>
    </row>
    <row r="1159" spans="1:40" x14ac:dyDescent="0.25">
      <c r="A1159" t="str">
        <f>"20190312164456247"</f>
        <v>20190312164456247</v>
      </c>
      <c r="B1159" t="str">
        <f>"1552380296242925"</f>
        <v>1552380296242925</v>
      </c>
      <c r="C1159" t="s">
        <v>40</v>
      </c>
      <c r="D1159">
        <v>5.6087480000000003</v>
      </c>
      <c r="E1159">
        <v>0.50068599999999996</v>
      </c>
      <c r="F1159" t="s">
        <v>42</v>
      </c>
      <c r="G1159">
        <v>-194.45670000000001</v>
      </c>
      <c r="H1159" s="1">
        <v>-1.8204519999999999E-6</v>
      </c>
      <c r="I1159">
        <v>301.06849999999997</v>
      </c>
      <c r="J1159">
        <v>-191.79419999999999</v>
      </c>
      <c r="K1159">
        <v>1.107872</v>
      </c>
      <c r="L1159">
        <v>311.39429999999999</v>
      </c>
      <c r="M1159">
        <v>-1.9334009999999999E-2</v>
      </c>
      <c r="N1159">
        <v>0</v>
      </c>
      <c r="O1159">
        <v>-0.99973460000000003</v>
      </c>
      <c r="P1159">
        <v>-0.26970529999999998</v>
      </c>
      <c r="Q1159">
        <v>8.6176399999999903E-2</v>
      </c>
      <c r="R1159">
        <v>-0.95907949999999997</v>
      </c>
      <c r="S1159">
        <v>-0.73815920000000002</v>
      </c>
      <c r="T1159">
        <v>-0.30640800000000001</v>
      </c>
      <c r="U1159">
        <v>-2.9469599999999998</v>
      </c>
      <c r="V1159">
        <v>0.25128779999999901</v>
      </c>
      <c r="W1159">
        <v>9.7802269999999997E-2</v>
      </c>
      <c r="X1159">
        <v>0.96295850000000005</v>
      </c>
      <c r="Y1159">
        <v>0.22294330000000001</v>
      </c>
      <c r="Z1159">
        <v>0.1005503</v>
      </c>
      <c r="AA1159">
        <v>0.96963189999999999</v>
      </c>
      <c r="AB1159">
        <v>32</v>
      </c>
      <c r="AC1159">
        <v>-2.6625000000000201</v>
      </c>
      <c r="AD1159">
        <v>-1.107873820452</v>
      </c>
      <c r="AE1159">
        <v>-10.325799999999999</v>
      </c>
      <c r="AF1159">
        <v>2.4360529783792</v>
      </c>
      <c r="AG1159">
        <v>-1.107873820452</v>
      </c>
      <c r="AH1159">
        <v>10.264555973910401</v>
      </c>
      <c r="AI1159">
        <v>95.994946192570893</v>
      </c>
      <c r="AJ1159">
        <v>76.649182258442707</v>
      </c>
      <c r="AK1159">
        <v>10.607678721428799</v>
      </c>
      <c r="AL1159">
        <v>84.387370361216</v>
      </c>
      <c r="AM1159">
        <v>75.374600628182193</v>
      </c>
      <c r="AN1159">
        <v>0.99999995758411997</v>
      </c>
    </row>
    <row r="1160" spans="1:40" x14ac:dyDescent="0.25">
      <c r="A1160" t="str">
        <f>"20190312164456268"</f>
        <v>20190312164456268</v>
      </c>
      <c r="B1160" t="str">
        <f>"1552380296262445"</f>
        <v>1552380296262445</v>
      </c>
      <c r="C1160" t="s">
        <v>40</v>
      </c>
      <c r="D1160">
        <v>5.6206079999999998</v>
      </c>
      <c r="E1160">
        <v>0.50071220000000005</v>
      </c>
      <c r="F1160" t="s">
        <v>42</v>
      </c>
      <c r="G1160">
        <v>-194.54929999999999</v>
      </c>
      <c r="H1160" s="1">
        <v>-1.660746E-6</v>
      </c>
      <c r="I1160">
        <v>300.6388</v>
      </c>
      <c r="J1160">
        <v>-191.80090000000001</v>
      </c>
      <c r="K1160">
        <v>1.1076539999999999</v>
      </c>
      <c r="L1160">
        <v>311.10660000000001</v>
      </c>
      <c r="M1160">
        <v>-2.058832E-2</v>
      </c>
      <c r="N1160">
        <v>0</v>
      </c>
      <c r="O1160">
        <v>-0.9997104</v>
      </c>
      <c r="P1160">
        <v>-0.27514739999999999</v>
      </c>
      <c r="Q1160">
        <v>8.7489830000000005E-2</v>
      </c>
      <c r="R1160">
        <v>-0.95741270000000001</v>
      </c>
      <c r="S1160">
        <v>-0.75390630000000003</v>
      </c>
      <c r="T1160">
        <v>-0.30316670000000001</v>
      </c>
      <c r="U1160">
        <v>-2.9432070000000001</v>
      </c>
      <c r="V1160">
        <v>0.25560759999999999</v>
      </c>
      <c r="W1160">
        <v>9.8881819999999995E-2</v>
      </c>
      <c r="X1160">
        <v>0.96171050000000002</v>
      </c>
      <c r="Y1160">
        <v>0.226911</v>
      </c>
      <c r="Z1160">
        <v>9.95056E-2</v>
      </c>
      <c r="AA1160">
        <v>0.96881890000000004</v>
      </c>
      <c r="AB1160">
        <v>32</v>
      </c>
      <c r="AC1160">
        <v>-2.74839999999997</v>
      </c>
      <c r="AD1160">
        <v>-1.107655660746</v>
      </c>
      <c r="AE1160">
        <v>-10.4678</v>
      </c>
      <c r="AF1160">
        <v>2.5060359173841502</v>
      </c>
      <c r="AG1160">
        <v>-1.107655660746</v>
      </c>
      <c r="AH1160">
        <v>10.413094855582001</v>
      </c>
      <c r="AI1160">
        <v>95.904462205825993</v>
      </c>
      <c r="AJ1160">
        <v>76.468409720773096</v>
      </c>
      <c r="AK1160">
        <v>10.767528107850501</v>
      </c>
      <c r="AL1160">
        <v>84.325215497110094</v>
      </c>
      <c r="AM1160">
        <v>75.115789992183096</v>
      </c>
      <c r="AN1160">
        <v>0.99999997265726004</v>
      </c>
    </row>
    <row r="1161" spans="1:40" x14ac:dyDescent="0.25">
      <c r="A1161" t="str">
        <f>"20190312164456292"</f>
        <v>20190312164456292</v>
      </c>
      <c r="B1161" t="str">
        <f>"1552380296282941"</f>
        <v>1552380296282941</v>
      </c>
      <c r="C1161" t="s">
        <v>40</v>
      </c>
      <c r="D1161">
        <v>5.5886469999999999</v>
      </c>
      <c r="E1161">
        <v>0.50075630000000004</v>
      </c>
      <c r="F1161" t="s">
        <v>42</v>
      </c>
      <c r="G1161">
        <v>-194.65729999999999</v>
      </c>
      <c r="H1161" s="1">
        <v>-1.5097290000000001E-6</v>
      </c>
      <c r="I1161">
        <v>300.21969999999999</v>
      </c>
      <c r="J1161">
        <v>-191.80959999999999</v>
      </c>
      <c r="K1161">
        <v>1.1073999999999999</v>
      </c>
      <c r="L1161">
        <v>310.7704</v>
      </c>
      <c r="M1161">
        <v>-2.2358179999999998E-2</v>
      </c>
      <c r="N1161">
        <v>0</v>
      </c>
      <c r="O1161">
        <v>-0.9996737</v>
      </c>
      <c r="P1161">
        <v>-0.2813408</v>
      </c>
      <c r="Q1161">
        <v>8.7969339999999993E-2</v>
      </c>
      <c r="R1161">
        <v>-0.95556770000000002</v>
      </c>
      <c r="S1161">
        <v>-0.77113339999999997</v>
      </c>
      <c r="T1161">
        <v>-0.29903279999999999</v>
      </c>
      <c r="U1161">
        <v>-2.939117</v>
      </c>
      <c r="V1161">
        <v>0.26019560000000003</v>
      </c>
      <c r="W1161">
        <v>9.9099140000000002E-2</v>
      </c>
      <c r="X1161">
        <v>0.96045700000000001</v>
      </c>
      <c r="Y1161">
        <v>0.2308636</v>
      </c>
      <c r="Z1161">
        <v>9.8170969999999996E-2</v>
      </c>
      <c r="AA1161">
        <v>0.96802089999999996</v>
      </c>
      <c r="AB1161">
        <v>32</v>
      </c>
      <c r="AC1161">
        <v>-2.8477000000000001</v>
      </c>
      <c r="AD1161">
        <v>-1.107401509729</v>
      </c>
      <c r="AE1161">
        <v>-10.550700000000001</v>
      </c>
      <c r="AF1161">
        <v>2.5845361592572602</v>
      </c>
      <c r="AG1161">
        <v>-1.107401509729</v>
      </c>
      <c r="AH1161">
        <v>10.5038768967192</v>
      </c>
      <c r="AI1161">
        <v>95.845256291164802</v>
      </c>
      <c r="AJ1161">
        <v>76.176664738099703</v>
      </c>
      <c r="AK1161">
        <v>10.873711193685899</v>
      </c>
      <c r="AL1161">
        <v>84.312702785257301</v>
      </c>
      <c r="AM1161">
        <v>74.841939902219593</v>
      </c>
      <c r="AN1161">
        <v>1.0000000193285401</v>
      </c>
    </row>
    <row r="1162" spans="1:40" x14ac:dyDescent="0.25">
      <c r="A1162" t="str">
        <f>"20190312164456317"</f>
        <v>20190312164456317</v>
      </c>
      <c r="B1162" t="str">
        <f>"1552380296312729"</f>
        <v>1552380296312729</v>
      </c>
      <c r="C1162" t="s">
        <v>40</v>
      </c>
      <c r="D1162">
        <v>5.5605419999999999</v>
      </c>
      <c r="E1162">
        <v>0.50085299999999999</v>
      </c>
      <c r="F1162" t="s">
        <v>42</v>
      </c>
      <c r="G1162">
        <v>-194.75069999999999</v>
      </c>
      <c r="H1162" s="1">
        <v>-1.3734400000000001E-6</v>
      </c>
      <c r="I1162">
        <v>299.84410000000003</v>
      </c>
      <c r="J1162">
        <v>-191.81979999999999</v>
      </c>
      <c r="K1162">
        <v>1.1071519999999999</v>
      </c>
      <c r="L1162">
        <v>310.41320000000002</v>
      </c>
      <c r="M1162">
        <v>-2.4554690000000001E-2</v>
      </c>
      <c r="N1162">
        <v>0</v>
      </c>
      <c r="O1162">
        <v>-0.99962300000000004</v>
      </c>
      <c r="P1162">
        <v>-0.2876687</v>
      </c>
      <c r="Q1162">
        <v>8.8235629999999995E-2</v>
      </c>
      <c r="R1162">
        <v>-0.95365699999999998</v>
      </c>
      <c r="S1162">
        <v>-0.78984069999999995</v>
      </c>
      <c r="T1162">
        <v>-0.29739870000000002</v>
      </c>
      <c r="U1162">
        <v>-2.9342959999999998</v>
      </c>
      <c r="V1162">
        <v>0.26451409999999997</v>
      </c>
      <c r="W1162">
        <v>9.9099149999999997E-2</v>
      </c>
      <c r="X1162">
        <v>0.95927660000000003</v>
      </c>
      <c r="Y1162">
        <v>0.23489170000000001</v>
      </c>
      <c r="Z1162">
        <v>9.7660109999999994E-2</v>
      </c>
      <c r="AA1162">
        <v>0.96710309999999999</v>
      </c>
      <c r="AB1162">
        <v>32</v>
      </c>
      <c r="AC1162">
        <v>-2.9308999999999998</v>
      </c>
      <c r="AD1162">
        <v>-1.1071533734399901</v>
      </c>
      <c r="AE1162">
        <v>-10.569099999999899</v>
      </c>
      <c r="AF1162">
        <v>2.64353856577543</v>
      </c>
      <c r="AG1162">
        <v>-1.1071533734399901</v>
      </c>
      <c r="AH1162">
        <v>10.530581422142999</v>
      </c>
      <c r="AI1162">
        <v>95.822494763232996</v>
      </c>
      <c r="AJ1162">
        <v>75.907987719352107</v>
      </c>
      <c r="AK1162">
        <v>10.913625879122099</v>
      </c>
      <c r="AL1162">
        <v>84.312701944932698</v>
      </c>
      <c r="AM1162">
        <v>74.584162338402805</v>
      </c>
      <c r="AN1162">
        <v>0.99999997296854504</v>
      </c>
    </row>
    <row r="1163" spans="1:40" x14ac:dyDescent="0.25">
      <c r="A1163" t="str">
        <f>"20190312164456339"</f>
        <v>20190312164456339</v>
      </c>
      <c r="B1163" t="str">
        <f>"1552380296332248"</f>
        <v>1552380296332248</v>
      </c>
      <c r="C1163" t="s">
        <v>40</v>
      </c>
      <c r="D1163">
        <v>5.6573270000000004</v>
      </c>
      <c r="E1163">
        <v>0.51537259999999996</v>
      </c>
      <c r="F1163" t="s">
        <v>46</v>
      </c>
      <c r="G1163">
        <v>-194.84049999999999</v>
      </c>
      <c r="H1163" s="1">
        <v>2.4996949999999999E-8</v>
      </c>
      <c r="I1163">
        <v>299.4744</v>
      </c>
      <c r="J1163">
        <v>-191.82919999999999</v>
      </c>
      <c r="K1163">
        <v>1.106965</v>
      </c>
      <c r="L1163">
        <v>310.11320000000001</v>
      </c>
      <c r="M1163">
        <v>-2.6598150000000001E-2</v>
      </c>
      <c r="N1163">
        <v>0</v>
      </c>
      <c r="O1163">
        <v>-0.9995716</v>
      </c>
      <c r="P1163">
        <v>-0.29614659999999998</v>
      </c>
      <c r="Q1163">
        <v>8.9204060000000002E-2</v>
      </c>
      <c r="R1163">
        <v>-0.95096829999999999</v>
      </c>
      <c r="S1163">
        <v>-0.80888369999999998</v>
      </c>
      <c r="T1163">
        <v>-0.29647580000000001</v>
      </c>
      <c r="U1163">
        <v>-2.92923</v>
      </c>
      <c r="V1163">
        <v>0.27114329999999998</v>
      </c>
      <c r="W1163">
        <v>9.9835989999999999E-2</v>
      </c>
      <c r="X1163">
        <v>0.95734739999999996</v>
      </c>
      <c r="Y1163">
        <v>0.23918149999999999</v>
      </c>
      <c r="Z1163">
        <v>9.7380469999999997E-2</v>
      </c>
      <c r="AA1163">
        <v>0.96607940000000003</v>
      </c>
      <c r="AB1163">
        <v>32</v>
      </c>
      <c r="AC1163">
        <v>-3.0112999999999999</v>
      </c>
      <c r="AD1163">
        <v>-1.1069649750030499</v>
      </c>
      <c r="AE1163">
        <v>-10.6388</v>
      </c>
      <c r="AF1163">
        <v>2.70017621541276</v>
      </c>
      <c r="AG1163">
        <v>-1.1069649750030499</v>
      </c>
      <c r="AH1163">
        <v>10.608801024224601</v>
      </c>
      <c r="AI1163">
        <v>95.774125254735495</v>
      </c>
      <c r="AJ1163">
        <v>75.720151324216204</v>
      </c>
      <c r="AK1163">
        <v>11.002862455822701</v>
      </c>
      <c r="AL1163">
        <v>84.270273746296496</v>
      </c>
      <c r="AM1163">
        <v>74.186630527686503</v>
      </c>
      <c r="AN1163">
        <v>0.99999997916046401</v>
      </c>
    </row>
    <row r="1164" spans="1:40" x14ac:dyDescent="0.25">
      <c r="A1164" t="str">
        <f>"20190312164456370"</f>
        <v>20190312164456370</v>
      </c>
      <c r="B1164" t="str">
        <f>"1552380296362503"</f>
        <v>1552380296362503</v>
      </c>
      <c r="C1164" t="s">
        <v>40</v>
      </c>
      <c r="D1164">
        <v>5.6916159999999998</v>
      </c>
      <c r="E1164">
        <v>0.52361880000000005</v>
      </c>
      <c r="F1164" t="s">
        <v>42</v>
      </c>
      <c r="G1164">
        <v>-194.42699999999999</v>
      </c>
      <c r="H1164" s="1">
        <v>-2.2340320000000002E-6</v>
      </c>
      <c r="I1164">
        <v>302.05090000000001</v>
      </c>
      <c r="J1164">
        <v>-191.84479999999999</v>
      </c>
      <c r="K1164">
        <v>1.1066990000000001</v>
      </c>
      <c r="L1164">
        <v>309.65800000000002</v>
      </c>
      <c r="M1164">
        <v>-3.0038860000000001E-2</v>
      </c>
      <c r="N1164">
        <v>0</v>
      </c>
      <c r="O1164">
        <v>-0.99947540000000001</v>
      </c>
      <c r="P1164">
        <v>-0.30628359999999999</v>
      </c>
      <c r="Q1164">
        <v>9.0485419999999997E-2</v>
      </c>
      <c r="R1164">
        <v>-0.94763030000000004</v>
      </c>
      <c r="S1164">
        <v>-0.93475339999999996</v>
      </c>
      <c r="T1164">
        <v>-0.39830520000000003</v>
      </c>
      <c r="U1164">
        <v>-2.9009399999999999</v>
      </c>
      <c r="V1164">
        <v>0.27814169999999999</v>
      </c>
      <c r="W1164">
        <v>0.1007986</v>
      </c>
      <c r="X1164">
        <v>0.95523659999999999</v>
      </c>
      <c r="Y1164">
        <v>0.275362</v>
      </c>
      <c r="Z1164">
        <v>0.13007439999999901</v>
      </c>
      <c r="AA1164">
        <v>0.95250009999999996</v>
      </c>
      <c r="AB1164">
        <v>32</v>
      </c>
      <c r="AC1164">
        <v>-2.5822000000000198</v>
      </c>
      <c r="AD1164">
        <v>-1.1067012340319999</v>
      </c>
      <c r="AE1164">
        <v>-7.6071</v>
      </c>
      <c r="AF1164">
        <v>2.3086937879660798</v>
      </c>
      <c r="AG1164">
        <v>-1.1067012340319999</v>
      </c>
      <c r="AH1164">
        <v>7.5381758425359999</v>
      </c>
      <c r="AI1164">
        <v>97.990782396830696</v>
      </c>
      <c r="AJ1164">
        <v>72.971907114083606</v>
      </c>
      <c r="AK1164">
        <v>7.9610897282341</v>
      </c>
      <c r="AL1164">
        <v>84.214841103847505</v>
      </c>
      <c r="AM1164">
        <v>73.765722820374506</v>
      </c>
      <c r="AN1164">
        <v>1.0000000625101999</v>
      </c>
    </row>
    <row r="1165" spans="1:40" x14ac:dyDescent="0.25">
      <c r="A1165" t="str">
        <f>"20190312164456416"</f>
        <v>20190312164456416</v>
      </c>
      <c r="B1165" t="str">
        <f>"1552380296412551"</f>
        <v>1552380296412551</v>
      </c>
      <c r="C1165" t="s">
        <v>40</v>
      </c>
      <c r="D1165">
        <v>5.8395270000000004</v>
      </c>
      <c r="E1165">
        <v>0.52554469999999998</v>
      </c>
      <c r="F1165" t="s">
        <v>42</v>
      </c>
      <c r="G1165">
        <v>-195.32249999999999</v>
      </c>
      <c r="H1165" s="1">
        <v>-1.6098410000000001E-6</v>
      </c>
      <c r="I1165">
        <v>300.04059999999998</v>
      </c>
      <c r="J1165">
        <v>-191.8708</v>
      </c>
      <c r="K1165">
        <v>1.106344</v>
      </c>
      <c r="L1165">
        <v>309.00819999999999</v>
      </c>
      <c r="M1165">
        <v>-3.5651799999999997E-2</v>
      </c>
      <c r="N1165">
        <v>0</v>
      </c>
      <c r="O1165">
        <v>-0.99929210000000002</v>
      </c>
      <c r="P1165">
        <v>-0.31986589999999998</v>
      </c>
      <c r="Q1165">
        <v>9.0700349999999999E-2</v>
      </c>
      <c r="R1165">
        <v>-0.94311160000000005</v>
      </c>
      <c r="S1165">
        <v>-1.0351410000000001</v>
      </c>
      <c r="T1165">
        <v>-0.32941399999999998</v>
      </c>
      <c r="U1165">
        <v>-2.8626710000000002</v>
      </c>
      <c r="V1165">
        <v>0.28658470000000003</v>
      </c>
      <c r="W1165">
        <v>0.1006008</v>
      </c>
      <c r="X1165">
        <v>0.95275849999999995</v>
      </c>
      <c r="Y1165">
        <v>0.30431530000000001</v>
      </c>
      <c r="Z1165">
        <v>0.1081184</v>
      </c>
      <c r="AA1165">
        <v>0.94641569999999997</v>
      </c>
      <c r="AB1165">
        <v>32</v>
      </c>
      <c r="AC1165">
        <v>-3.4516999999999798</v>
      </c>
      <c r="AD1165">
        <v>-1.1063456098410001</v>
      </c>
      <c r="AE1165">
        <v>-8.9675999999999991</v>
      </c>
      <c r="AF1165">
        <v>3.0888241899603601</v>
      </c>
      <c r="AG1165">
        <v>-1.1063456098410001</v>
      </c>
      <c r="AH1165">
        <v>8.9661071875435105</v>
      </c>
      <c r="AI1165">
        <v>96.654229336467694</v>
      </c>
      <c r="AJ1165">
        <v>70.991168842644896</v>
      </c>
      <c r="AK1165">
        <v>9.5475606090465899</v>
      </c>
      <c r="AL1165">
        <v>84.226231952586204</v>
      </c>
      <c r="AM1165">
        <v>73.258991950116993</v>
      </c>
      <c r="AN1165">
        <v>1.0000000352784799</v>
      </c>
    </row>
    <row r="1166" spans="1:40" x14ac:dyDescent="0.25">
      <c r="A1166" t="str">
        <f>"20190312164456438"</f>
        <v>20190312164456438</v>
      </c>
      <c r="B1166" t="str">
        <f>"1552380296433048"</f>
        <v>1552380296433048</v>
      </c>
      <c r="C1166" t="s">
        <v>40</v>
      </c>
      <c r="D1166">
        <v>5.7087560000000002</v>
      </c>
      <c r="E1166">
        <v>0.52591929999999998</v>
      </c>
      <c r="F1166" t="s">
        <v>46</v>
      </c>
      <c r="G1166">
        <v>-195.9254</v>
      </c>
      <c r="H1166" s="1">
        <v>1.988349E-7</v>
      </c>
      <c r="I1166">
        <v>298.4873</v>
      </c>
      <c r="J1166">
        <v>-191.8852</v>
      </c>
      <c r="K1166">
        <v>1.1061890000000001</v>
      </c>
      <c r="L1166">
        <v>308.6893</v>
      </c>
      <c r="M1166">
        <v>-3.8652989999999998E-2</v>
      </c>
      <c r="N1166">
        <v>0</v>
      </c>
      <c r="O1166">
        <v>-0.99918130000000005</v>
      </c>
      <c r="P1166">
        <v>-0.32683030000000002</v>
      </c>
      <c r="Q1166">
        <v>8.9893849999999997E-2</v>
      </c>
      <c r="R1166">
        <v>-0.94079840000000003</v>
      </c>
      <c r="S1166">
        <v>-1.0939479999999999</v>
      </c>
      <c r="T1166">
        <v>-0.29850320000000002</v>
      </c>
      <c r="U1166">
        <v>-2.838654</v>
      </c>
      <c r="V1166">
        <v>0.29079959999999999</v>
      </c>
      <c r="W1166">
        <v>9.9602579999999996E-2</v>
      </c>
      <c r="X1166">
        <v>0.95158549999999997</v>
      </c>
      <c r="Y1166">
        <v>0.32152370000000002</v>
      </c>
      <c r="Z1166">
        <v>9.8205890000000004E-2</v>
      </c>
      <c r="AA1166">
        <v>0.94179520000000005</v>
      </c>
      <c r="AB1166">
        <v>32</v>
      </c>
      <c r="AC1166">
        <v>-4.0401999999999898</v>
      </c>
      <c r="AD1166">
        <v>-1.10618880116509</v>
      </c>
      <c r="AE1166">
        <v>-10.2019999999999</v>
      </c>
      <c r="AF1166">
        <v>3.6061652782327598</v>
      </c>
      <c r="AG1166">
        <v>-1.10618880116509</v>
      </c>
      <c r="AH1166">
        <v>10.2464185501183</v>
      </c>
      <c r="AI1166">
        <v>95.814712242343205</v>
      </c>
      <c r="AJ1166">
        <v>70.610787630790696</v>
      </c>
      <c r="AK1166">
        <v>10.9186617669915</v>
      </c>
      <c r="AL1166">
        <v>84.283714395593407</v>
      </c>
      <c r="AM1166">
        <v>73.007119125435096</v>
      </c>
      <c r="AN1166">
        <v>1.00000002255653</v>
      </c>
    </row>
    <row r="1167" spans="1:40" x14ac:dyDescent="0.25">
      <c r="A1167" t="str">
        <f>"20190312164456460"</f>
        <v>20190312164456460</v>
      </c>
      <c r="B1167" t="str">
        <f>"1552380296452569"</f>
        <v>1552380296452569</v>
      </c>
      <c r="C1167" t="s">
        <v>40</v>
      </c>
      <c r="D1167">
        <v>5.6667269999999998</v>
      </c>
      <c r="E1167">
        <v>0.52589770000000002</v>
      </c>
      <c r="F1167" t="s">
        <v>46</v>
      </c>
      <c r="G1167">
        <v>-196.0317</v>
      </c>
      <c r="H1167" s="1">
        <v>2.5107599999999999E-7</v>
      </c>
      <c r="I1167">
        <v>298.19069999999999</v>
      </c>
      <c r="J1167">
        <v>-191.90039999999999</v>
      </c>
      <c r="K1167">
        <v>1.1060350000000001</v>
      </c>
      <c r="L1167">
        <v>308.37549999999999</v>
      </c>
      <c r="M1167">
        <v>-4.1764589999999997E-2</v>
      </c>
      <c r="N1167">
        <v>0</v>
      </c>
      <c r="O1167">
        <v>-0.99905639999999996</v>
      </c>
      <c r="P1167">
        <v>-0.3332716</v>
      </c>
      <c r="Q1167">
        <v>8.8337529999999997E-2</v>
      </c>
      <c r="R1167">
        <v>-0.93868320000000005</v>
      </c>
      <c r="S1167">
        <v>-1.1173709999999999</v>
      </c>
      <c r="T1167">
        <v>-0.29809010000000002</v>
      </c>
      <c r="U1167">
        <v>-2.8291019999999998</v>
      </c>
      <c r="V1167">
        <v>0.2943809</v>
      </c>
      <c r="W1167">
        <v>9.7866339999999996E-2</v>
      </c>
      <c r="X1167">
        <v>0.95066399999999995</v>
      </c>
      <c r="Y1167">
        <v>0.32640570000000002</v>
      </c>
      <c r="Z1167">
        <v>9.8132529999999996E-2</v>
      </c>
      <c r="AA1167">
        <v>0.94012189999999995</v>
      </c>
      <c r="AB1167">
        <v>32</v>
      </c>
      <c r="AC1167">
        <v>-4.1313000000000004</v>
      </c>
      <c r="AD1167">
        <v>-1.1060347489239899</v>
      </c>
      <c r="AE1167">
        <v>-10.1847999999999</v>
      </c>
      <c r="AF1167">
        <v>3.66518351433754</v>
      </c>
      <c r="AG1167">
        <v>-1.1060347489239899</v>
      </c>
      <c r="AH1167">
        <v>10.2447188603677</v>
      </c>
      <c r="AI1167">
        <v>95.804283977326705</v>
      </c>
      <c r="AJ1167">
        <v>70.3146592605205</v>
      </c>
      <c r="AK1167">
        <v>10.936688145301201</v>
      </c>
      <c r="AL1167">
        <v>84.383681895524106</v>
      </c>
      <c r="AM1167">
        <v>72.7944324099536</v>
      </c>
      <c r="AN1167">
        <v>0.99999998784290201</v>
      </c>
    </row>
    <row r="1168" spans="1:40" x14ac:dyDescent="0.25">
      <c r="A1168" t="str">
        <f>"20190312164456482"</f>
        <v>20190312164456482</v>
      </c>
      <c r="B1168" t="str">
        <f>"1552380296473064"</f>
        <v>1552380296473064</v>
      </c>
      <c r="C1168" t="s">
        <v>40</v>
      </c>
      <c r="D1168">
        <v>5.5680120000000004</v>
      </c>
      <c r="E1168">
        <v>0.52547129999999997</v>
      </c>
      <c r="F1168" t="s">
        <v>46</v>
      </c>
      <c r="G1168">
        <v>-196.09639999999999</v>
      </c>
      <c r="H1168" s="1">
        <v>2.9118790000000001E-7</v>
      </c>
      <c r="I1168">
        <v>297.96289999999999</v>
      </c>
      <c r="J1168">
        <v>-191.917</v>
      </c>
      <c r="K1168">
        <v>1.10588</v>
      </c>
      <c r="L1168">
        <v>308.05739999999997</v>
      </c>
      <c r="M1168">
        <v>-4.5067469999999998E-2</v>
      </c>
      <c r="N1168">
        <v>0</v>
      </c>
      <c r="O1168">
        <v>-0.99891339999999995</v>
      </c>
      <c r="P1168">
        <v>-0.3400241</v>
      </c>
      <c r="Q1168">
        <v>8.7748329999999999E-2</v>
      </c>
      <c r="R1168">
        <v>-0.93631430000000004</v>
      </c>
      <c r="S1168">
        <v>-1.136612</v>
      </c>
      <c r="T1168">
        <v>-0.29960720000000002</v>
      </c>
      <c r="U1168">
        <v>-2.8205870000000002</v>
      </c>
      <c r="V1168">
        <v>0.2981145</v>
      </c>
      <c r="W1168">
        <v>9.7098959999999998E-2</v>
      </c>
      <c r="X1168">
        <v>0.94957860000000005</v>
      </c>
      <c r="Y1168">
        <v>0.32975939999999998</v>
      </c>
      <c r="Z1168">
        <v>9.8700759999999998E-2</v>
      </c>
      <c r="AA1168">
        <v>0.93889129999999998</v>
      </c>
      <c r="AB1168">
        <v>32</v>
      </c>
      <c r="AC1168">
        <v>-4.1793999999999798</v>
      </c>
      <c r="AD1168">
        <v>-1.1058797088121</v>
      </c>
      <c r="AE1168">
        <v>-10.094499999999901</v>
      </c>
      <c r="AF1168">
        <v>3.68245856161872</v>
      </c>
      <c r="AG1168">
        <v>-1.1058797088121</v>
      </c>
      <c r="AH1168">
        <v>10.168429405342501</v>
      </c>
      <c r="AI1168">
        <v>95.838612314845406</v>
      </c>
      <c r="AJ1168">
        <v>70.092335778582594</v>
      </c>
      <c r="AK1168">
        <v>10.8710821705954</v>
      </c>
      <c r="AL1168">
        <v>84.427859956662601</v>
      </c>
      <c r="AM1168">
        <v>72.570632269577004</v>
      </c>
      <c r="AN1168">
        <v>0.99999999036064502</v>
      </c>
    </row>
    <row r="1169" spans="1:40" x14ac:dyDescent="0.25">
      <c r="A1169" t="str">
        <f>"20190312164456505"</f>
        <v>20190312164456505</v>
      </c>
      <c r="B1169" t="str">
        <f>"1552380296492587"</f>
        <v>1552380296492587</v>
      </c>
      <c r="C1169" t="s">
        <v>40</v>
      </c>
      <c r="D1169">
        <v>5.601369</v>
      </c>
      <c r="E1169">
        <v>0.52499010000000002</v>
      </c>
      <c r="F1169" t="s">
        <v>46</v>
      </c>
      <c r="G1169">
        <v>-196.1754</v>
      </c>
      <c r="H1169" s="1">
        <v>3.4172119999999998E-7</v>
      </c>
      <c r="I1169">
        <v>297.67599999999999</v>
      </c>
      <c r="J1169">
        <v>-191.935</v>
      </c>
      <c r="K1169">
        <v>1.1057360000000001</v>
      </c>
      <c r="L1169">
        <v>307.73469999999998</v>
      </c>
      <c r="M1169">
        <v>-4.8554849999999997E-2</v>
      </c>
      <c r="N1169">
        <v>0</v>
      </c>
      <c r="O1169">
        <v>-0.99875049999999999</v>
      </c>
      <c r="P1169">
        <v>-0.34744649999999999</v>
      </c>
      <c r="Q1169">
        <v>8.65345E-2</v>
      </c>
      <c r="R1169">
        <v>-0.93369860000000005</v>
      </c>
      <c r="S1169">
        <v>-1.1538999999999999</v>
      </c>
      <c r="T1169">
        <v>-0.29966429999999999</v>
      </c>
      <c r="U1169">
        <v>-2.8130799999999998</v>
      </c>
      <c r="V1169">
        <v>0.30235679999999998</v>
      </c>
      <c r="W1169">
        <v>9.5711660000000004E-2</v>
      </c>
      <c r="X1169">
        <v>0.94837740000000004</v>
      </c>
      <c r="Y1169">
        <v>0.33227960000000001</v>
      </c>
      <c r="Z1169">
        <v>9.8782439999999999E-2</v>
      </c>
      <c r="AA1169">
        <v>0.93799379999999999</v>
      </c>
      <c r="AB1169">
        <v>32</v>
      </c>
      <c r="AC1169">
        <v>-4.2403999999999904</v>
      </c>
      <c r="AD1169">
        <v>-1.1057356582788</v>
      </c>
      <c r="AE1169">
        <v>-10.0586999999999</v>
      </c>
      <c r="AF1169">
        <v>3.7089089195499501</v>
      </c>
      <c r="AG1169">
        <v>-1.1057356582788</v>
      </c>
      <c r="AH1169">
        <v>10.148608636770501</v>
      </c>
      <c r="AI1169">
        <v>95.842999112060795</v>
      </c>
      <c r="AJ1169">
        <v>69.924671664714793</v>
      </c>
      <c r="AK1169">
        <v>10.8615336846064</v>
      </c>
      <c r="AL1169">
        <v>84.507718555258407</v>
      </c>
      <c r="AM1169">
        <v>72.316946069173895</v>
      </c>
      <c r="AN1169">
        <v>1.0000000245984699</v>
      </c>
    </row>
    <row r="1170" spans="1:40" x14ac:dyDescent="0.25">
      <c r="A1170" t="str">
        <f>"20190312164456529"</f>
        <v>20190312164456529</v>
      </c>
      <c r="B1170" t="str">
        <f>"1552380296522372"</f>
        <v>1552380296522372</v>
      </c>
      <c r="C1170" t="s">
        <v>40</v>
      </c>
      <c r="D1170">
        <v>5.6361929999999996</v>
      </c>
      <c r="E1170">
        <v>0.52438879999999999</v>
      </c>
      <c r="F1170" t="s">
        <v>46</v>
      </c>
      <c r="G1170">
        <v>-196.2115</v>
      </c>
      <c r="H1170" s="1">
        <v>3.7307269999999999E-7</v>
      </c>
      <c r="I1170">
        <v>297.49799999999999</v>
      </c>
      <c r="J1170">
        <v>-191.95480000000001</v>
      </c>
      <c r="K1170">
        <v>1.1055969999999999</v>
      </c>
      <c r="L1170">
        <v>307.40359999999998</v>
      </c>
      <c r="M1170">
        <v>-5.2257369999999997E-2</v>
      </c>
      <c r="N1170">
        <v>0</v>
      </c>
      <c r="O1170">
        <v>-0.99856420000000001</v>
      </c>
      <c r="P1170">
        <v>-0.35463509999999998</v>
      </c>
      <c r="Q1170">
        <v>8.4595980000000001E-2</v>
      </c>
      <c r="R1170">
        <v>-0.93117030000000001</v>
      </c>
      <c r="S1170">
        <v>-1.1718440000000001</v>
      </c>
      <c r="T1170">
        <v>-0.30299290000000001</v>
      </c>
      <c r="U1170">
        <v>-2.8050540000000002</v>
      </c>
      <c r="V1170">
        <v>0.30615940000000003</v>
      </c>
      <c r="W1170">
        <v>9.3609709999999999E-2</v>
      </c>
      <c r="X1170">
        <v>0.94736670000000001</v>
      </c>
      <c r="Y1170">
        <v>0.334802299999999</v>
      </c>
      <c r="Z1170">
        <v>9.9938730000000003E-2</v>
      </c>
      <c r="AA1170">
        <v>0.93697370000000002</v>
      </c>
      <c r="AB1170">
        <v>32</v>
      </c>
      <c r="AC1170">
        <v>-4.2566999999999897</v>
      </c>
      <c r="AD1170">
        <v>-1.1055966269273001</v>
      </c>
      <c r="AE1170">
        <v>-9.9055999999999909</v>
      </c>
      <c r="AF1170">
        <v>3.6943579532111102</v>
      </c>
      <c r="AG1170">
        <v>-1.1055966269273001</v>
      </c>
      <c r="AH1170">
        <v>10.0092689719823</v>
      </c>
      <c r="AI1170">
        <v>95.916113923623101</v>
      </c>
      <c r="AJ1170">
        <v>69.741214939021006</v>
      </c>
      <c r="AK1170">
        <v>10.7264201829601</v>
      </c>
      <c r="AL1170">
        <v>84.628694592809097</v>
      </c>
      <c r="AM1170">
        <v>72.090783783778903</v>
      </c>
      <c r="AN1170">
        <v>1.0000000101417601</v>
      </c>
    </row>
    <row r="1171" spans="1:40" x14ac:dyDescent="0.25">
      <c r="A1171" t="str">
        <f>"20190312164456549"</f>
        <v>20190312164456549</v>
      </c>
      <c r="B1171" t="str">
        <f>"1552380296542868"</f>
        <v>1552380296542868</v>
      </c>
      <c r="C1171" t="s">
        <v>40</v>
      </c>
      <c r="D1171">
        <v>5.6089010000000004</v>
      </c>
      <c r="E1171">
        <v>0.52416320000000005</v>
      </c>
      <c r="F1171" t="s">
        <v>46</v>
      </c>
      <c r="G1171">
        <v>-196.2131</v>
      </c>
      <c r="H1171" s="1">
        <v>3.9480340000000001E-7</v>
      </c>
      <c r="I1171">
        <v>297.37459999999999</v>
      </c>
      <c r="J1171">
        <v>-191.97389999999999</v>
      </c>
      <c r="K1171">
        <v>1.105491</v>
      </c>
      <c r="L1171">
        <v>307.10390000000001</v>
      </c>
      <c r="M1171">
        <v>-5.570601E-2</v>
      </c>
      <c r="N1171">
        <v>0</v>
      </c>
      <c r="O1171">
        <v>-0.99837790000000004</v>
      </c>
      <c r="P1171">
        <v>-0.36166779999999998</v>
      </c>
      <c r="Q1171">
        <v>8.2939890000000002E-2</v>
      </c>
      <c r="R1171">
        <v>-0.9286103</v>
      </c>
      <c r="S1171">
        <v>-1.187775</v>
      </c>
      <c r="T1171">
        <v>-0.30838549999999998</v>
      </c>
      <c r="U1171">
        <v>-2.7973940000000002</v>
      </c>
      <c r="V1171">
        <v>0.31005490000000002</v>
      </c>
      <c r="W1171">
        <v>9.1811229999999994E-2</v>
      </c>
      <c r="X1171">
        <v>0.94627510000000004</v>
      </c>
      <c r="Y1171">
        <v>0.33691890000000002</v>
      </c>
      <c r="Z1171">
        <v>0.10177659999999999</v>
      </c>
      <c r="AA1171">
        <v>0.93601670000000003</v>
      </c>
      <c r="AB1171">
        <v>32</v>
      </c>
      <c r="AC1171">
        <v>-4.2392000000000101</v>
      </c>
      <c r="AD1171">
        <v>-1.1054906051966</v>
      </c>
      <c r="AE1171">
        <v>-9.7293000000000198</v>
      </c>
      <c r="AF1171">
        <v>3.6509829957961801</v>
      </c>
      <c r="AG1171">
        <v>-1.1054906051966</v>
      </c>
      <c r="AH1171">
        <v>9.8435467964663808</v>
      </c>
      <c r="AI1171">
        <v>96.010907587107198</v>
      </c>
      <c r="AJ1171">
        <v>69.650123945535697</v>
      </c>
      <c r="AK1171">
        <v>10.556855585258001</v>
      </c>
      <c r="AL1171">
        <v>84.732185347287498</v>
      </c>
      <c r="AM1171">
        <v>71.8581870901114</v>
      </c>
      <c r="AN1171">
        <v>0.99999995392406504</v>
      </c>
    </row>
    <row r="1172" spans="1:40" x14ac:dyDescent="0.25">
      <c r="A1172" t="str">
        <f>"20190312164456570"</f>
        <v>20190312164456570</v>
      </c>
      <c r="B1172" t="str">
        <f>"1552380296562387"</f>
        <v>1552380296562387</v>
      </c>
      <c r="C1172" t="s">
        <v>40</v>
      </c>
      <c r="D1172">
        <v>5.7979999999999903</v>
      </c>
      <c r="E1172">
        <v>0.52373809999999998</v>
      </c>
      <c r="F1172" t="s">
        <v>46</v>
      </c>
      <c r="G1172">
        <v>-196.2329</v>
      </c>
      <c r="H1172" s="1">
        <v>4.1515089999999999E-7</v>
      </c>
      <c r="I1172">
        <v>297.25909999999999</v>
      </c>
      <c r="J1172">
        <v>-191.99430000000001</v>
      </c>
      <c r="K1172">
        <v>1.1053919999999999</v>
      </c>
      <c r="L1172">
        <v>306.80239999999998</v>
      </c>
      <c r="M1172">
        <v>-5.924989E-2</v>
      </c>
      <c r="N1172">
        <v>0</v>
      </c>
      <c r="O1172">
        <v>-0.99817420000000001</v>
      </c>
      <c r="P1172">
        <v>-0.36879600000000001</v>
      </c>
      <c r="Q1172">
        <v>8.1460210000000005E-2</v>
      </c>
      <c r="R1172">
        <v>-0.92593400000000003</v>
      </c>
      <c r="S1172">
        <v>-1.2064060000000001</v>
      </c>
      <c r="T1172">
        <v>-0.3131449</v>
      </c>
      <c r="U1172">
        <v>-2.7886959999999998</v>
      </c>
      <c r="V1172">
        <v>0.31397039999999998</v>
      </c>
      <c r="W1172">
        <v>9.019576E-2</v>
      </c>
      <c r="X1172">
        <v>0.94513879999999995</v>
      </c>
      <c r="Y1172">
        <v>0.33984120000000001</v>
      </c>
      <c r="Z1172">
        <v>0.10340530000000001</v>
      </c>
      <c r="AA1172">
        <v>0.93478090000000003</v>
      </c>
      <c r="AB1172">
        <v>32</v>
      </c>
      <c r="AC1172">
        <v>-4.2385999999999902</v>
      </c>
      <c r="AD1172">
        <v>-1.1053915848490901</v>
      </c>
      <c r="AE1172">
        <v>-9.5432999999999808</v>
      </c>
      <c r="AF1172">
        <v>3.62505227657417</v>
      </c>
      <c r="AG1172">
        <v>-1.1053915848490901</v>
      </c>
      <c r="AH1172">
        <v>9.6693325252821705</v>
      </c>
      <c r="AI1172">
        <v>96.109901942557201</v>
      </c>
      <c r="AJ1172">
        <v>69.448876761888798</v>
      </c>
      <c r="AK1172">
        <v>10.3855132780344</v>
      </c>
      <c r="AL1172">
        <v>84.825130983521106</v>
      </c>
      <c r="AM1172">
        <v>71.623769843586004</v>
      </c>
      <c r="AN1172">
        <v>1.0000000192317799</v>
      </c>
    </row>
    <row r="1173" spans="1:40" x14ac:dyDescent="0.25">
      <c r="A1173" t="str">
        <f>"20190312164456594"</f>
        <v>20190312164456594</v>
      </c>
      <c r="B1173" t="str">
        <f>"1552380296582883"</f>
        <v>1552380296582883</v>
      </c>
      <c r="C1173" t="s">
        <v>40</v>
      </c>
      <c r="D1173">
        <v>5.6244630000000004</v>
      </c>
      <c r="E1173">
        <v>0.52334670000000005</v>
      </c>
      <c r="F1173" t="s">
        <v>46</v>
      </c>
      <c r="G1173">
        <v>-196.24289999999999</v>
      </c>
      <c r="H1173" s="1">
        <v>4.3443670000000001E-7</v>
      </c>
      <c r="I1173">
        <v>297.14949999999999</v>
      </c>
      <c r="J1173">
        <v>-192.0181</v>
      </c>
      <c r="K1173">
        <v>1.1053139999999999</v>
      </c>
      <c r="L1173">
        <v>306.46980000000002</v>
      </c>
      <c r="M1173">
        <v>-6.3217449999999994E-2</v>
      </c>
      <c r="N1173">
        <v>0</v>
      </c>
      <c r="O1173">
        <v>-0.99793120000000002</v>
      </c>
      <c r="P1173">
        <v>-0.37564259999999999</v>
      </c>
      <c r="Q1173">
        <v>8.062793E-2</v>
      </c>
      <c r="R1173">
        <v>-0.92325060000000003</v>
      </c>
      <c r="S1173">
        <v>-1.223816</v>
      </c>
      <c r="T1173">
        <v>-0.31840859999999999</v>
      </c>
      <c r="U1173">
        <v>-2.7805179999999998</v>
      </c>
      <c r="V1173">
        <v>0.31721769999999999</v>
      </c>
      <c r="W1173">
        <v>8.9238349999999994E-2</v>
      </c>
      <c r="X1173">
        <v>0.94414480000000001</v>
      </c>
      <c r="Y1173">
        <v>0.34194550000000001</v>
      </c>
      <c r="Z1173">
        <v>0.10519820000000001</v>
      </c>
      <c r="AA1173">
        <v>0.933813</v>
      </c>
      <c r="AB1173">
        <v>32</v>
      </c>
      <c r="AC1173">
        <v>-4.2247999999999797</v>
      </c>
      <c r="AD1173">
        <v>-1.1053135655633</v>
      </c>
      <c r="AE1173">
        <v>-9.3203000000000298</v>
      </c>
      <c r="AF1173">
        <v>3.5852734754979201</v>
      </c>
      <c r="AG1173">
        <v>-1.1053135655633</v>
      </c>
      <c r="AH1173">
        <v>9.4584042163412594</v>
      </c>
      <c r="AI1173">
        <v>96.236163619896004</v>
      </c>
      <c r="AJ1173">
        <v>69.240440718141301</v>
      </c>
      <c r="AK1173">
        <v>10.1753287068295</v>
      </c>
      <c r="AL1173">
        <v>84.880208436429101</v>
      </c>
      <c r="AM1173">
        <v>71.428466858312404</v>
      </c>
      <c r="AN1173">
        <v>0.99999997783552597</v>
      </c>
    </row>
    <row r="1174" spans="1:40" x14ac:dyDescent="0.25">
      <c r="A1174" t="str">
        <f>"20190312164456616"</f>
        <v>20190312164456616</v>
      </c>
      <c r="B1174" t="str">
        <f>"1552380296612671"</f>
        <v>1552380296612671</v>
      </c>
      <c r="C1174" t="s">
        <v>40</v>
      </c>
      <c r="D1174">
        <v>5.6318950000000001</v>
      </c>
      <c r="E1174">
        <v>0.5229028</v>
      </c>
      <c r="F1174" t="s">
        <v>46</v>
      </c>
      <c r="G1174">
        <v>-196.29409999999999</v>
      </c>
      <c r="H1174" s="1">
        <v>4.7554780000000001E-7</v>
      </c>
      <c r="I1174">
        <v>296.91609999999997</v>
      </c>
      <c r="J1174">
        <v>-192.0421</v>
      </c>
      <c r="K1174">
        <v>1.105254</v>
      </c>
      <c r="L1174">
        <v>306.15260000000001</v>
      </c>
      <c r="M1174">
        <v>-6.7044179999999995E-2</v>
      </c>
      <c r="N1174">
        <v>0</v>
      </c>
      <c r="O1174">
        <v>-0.99768179999999995</v>
      </c>
      <c r="P1174">
        <v>-0.3819264</v>
      </c>
      <c r="Q1174">
        <v>7.981858E-2</v>
      </c>
      <c r="R1174">
        <v>-0.92073919999999998</v>
      </c>
      <c r="S1174">
        <v>-1.2409209999999999</v>
      </c>
      <c r="T1174">
        <v>-0.3207663</v>
      </c>
      <c r="U1174">
        <v>-2.7725219999999999</v>
      </c>
      <c r="V1174">
        <v>0.32003369999999998</v>
      </c>
      <c r="W1174">
        <v>8.8324520000000004E-2</v>
      </c>
      <c r="X1174">
        <v>0.94328000000000001</v>
      </c>
      <c r="Y1174">
        <v>0.34411079999999999</v>
      </c>
      <c r="Z1174">
        <v>0.1060347</v>
      </c>
      <c r="AA1174">
        <v>0.93292249999999999</v>
      </c>
      <c r="AB1174">
        <v>32</v>
      </c>
      <c r="AC1174">
        <v>-4.2519999999999802</v>
      </c>
      <c r="AD1174">
        <v>-1.1052535244521999</v>
      </c>
      <c r="AE1174">
        <v>-9.2365000000000297</v>
      </c>
      <c r="AF1174">
        <v>3.5808283985184</v>
      </c>
      <c r="AG1174">
        <v>-1.1052535244521999</v>
      </c>
      <c r="AH1174">
        <v>9.3898647792316297</v>
      </c>
      <c r="AI1174">
        <v>96.276237058087403</v>
      </c>
      <c r="AJ1174">
        <v>69.125631451063299</v>
      </c>
      <c r="AK1174">
        <v>10.1100681474065</v>
      </c>
      <c r="AL1174">
        <v>84.932774600056902</v>
      </c>
      <c r="AM1174">
        <v>71.259080536040003</v>
      </c>
      <c r="AN1174">
        <v>0.99999997418445996</v>
      </c>
    </row>
    <row r="1175" spans="1:40" x14ac:dyDescent="0.25">
      <c r="A1175" t="str">
        <f>"20190312164456637"</f>
        <v>20190312164456637</v>
      </c>
      <c r="B1175" t="str">
        <f>"1552380296633166"</f>
        <v>1552380296633166</v>
      </c>
      <c r="C1175" t="s">
        <v>40</v>
      </c>
      <c r="D1175">
        <v>5.5212560000000002</v>
      </c>
      <c r="E1175">
        <v>0.52261899999999994</v>
      </c>
      <c r="F1175" t="s">
        <v>46</v>
      </c>
      <c r="G1175">
        <v>-196.3382</v>
      </c>
      <c r="H1175" s="1">
        <v>5.1394509999999998E-7</v>
      </c>
      <c r="I1175">
        <v>296.69810000000001</v>
      </c>
      <c r="J1175">
        <v>-192.06549999999999</v>
      </c>
      <c r="K1175">
        <v>1.1052059999999999</v>
      </c>
      <c r="L1175">
        <v>305.85680000000002</v>
      </c>
      <c r="M1175">
        <v>-7.0645089999999994E-2</v>
      </c>
      <c r="N1175">
        <v>0</v>
      </c>
      <c r="O1175">
        <v>-0.99743369999999998</v>
      </c>
      <c r="P1175">
        <v>-0.3881037</v>
      </c>
      <c r="Q1175">
        <v>8.0404669999999998E-2</v>
      </c>
      <c r="R1175">
        <v>-0.91810170000000002</v>
      </c>
      <c r="S1175">
        <v>-1.25647</v>
      </c>
      <c r="T1175">
        <v>-0.32324409999999998</v>
      </c>
      <c r="U1175">
        <v>-2.7650760000000001</v>
      </c>
      <c r="V1175">
        <v>0.32298480000000002</v>
      </c>
      <c r="W1175">
        <v>8.8814229999999994E-2</v>
      </c>
      <c r="X1175">
        <v>0.94222760000000005</v>
      </c>
      <c r="Y1175">
        <v>0.34597929999999999</v>
      </c>
      <c r="Z1175">
        <v>0.1069079</v>
      </c>
      <c r="AA1175">
        <v>0.93213140000000005</v>
      </c>
      <c r="AB1175">
        <v>32</v>
      </c>
      <c r="AC1175">
        <v>-4.2727000000000102</v>
      </c>
      <c r="AD1175">
        <v>-1.1052054860549001</v>
      </c>
      <c r="AE1175">
        <v>-9.1587000000000103</v>
      </c>
      <c r="AF1175">
        <v>3.5722414005767198</v>
      </c>
      <c r="AG1175">
        <v>-1.1052054860549001</v>
      </c>
      <c r="AH1175">
        <v>9.3261470627725007</v>
      </c>
      <c r="AI1175">
        <v>96.314979056751497</v>
      </c>
      <c r="AJ1175">
        <v>69.041407812273306</v>
      </c>
      <c r="AK1175">
        <v>10.0478558323087</v>
      </c>
      <c r="AL1175">
        <v>84.904605707419506</v>
      </c>
      <c r="AM1175">
        <v>71.078874131988201</v>
      </c>
      <c r="AN1175">
        <v>0.99999999934164596</v>
      </c>
    </row>
    <row r="1176" spans="1:40" x14ac:dyDescent="0.25">
      <c r="A1176" t="str">
        <f>"20190312164456660"</f>
        <v>20190312164456660</v>
      </c>
      <c r="B1176" t="str">
        <f>"1552380296652686"</f>
        <v>1552380296652686</v>
      </c>
      <c r="C1176" t="s">
        <v>40</v>
      </c>
      <c r="D1176">
        <v>5.5809829999999998</v>
      </c>
      <c r="E1176">
        <v>0.52225820000000001</v>
      </c>
      <c r="F1176" t="s">
        <v>46</v>
      </c>
      <c r="G1176">
        <v>-196.44579999999999</v>
      </c>
      <c r="H1176" s="1">
        <v>5.7194730000000004E-7</v>
      </c>
      <c r="I1176">
        <v>296.37049999999999</v>
      </c>
      <c r="J1176">
        <v>-192.09299999999999</v>
      </c>
      <c r="K1176">
        <v>1.1051530000000001</v>
      </c>
      <c r="L1176">
        <v>305.52670000000001</v>
      </c>
      <c r="M1176">
        <v>-7.4698280000000006E-2</v>
      </c>
      <c r="N1176">
        <v>0</v>
      </c>
      <c r="O1176">
        <v>-0.99713870000000004</v>
      </c>
      <c r="P1176">
        <v>-0.39513189999999998</v>
      </c>
      <c r="Q1176">
        <v>8.1079129999999999E-2</v>
      </c>
      <c r="R1176">
        <v>-0.91503920000000005</v>
      </c>
      <c r="S1176">
        <v>-1.273285</v>
      </c>
      <c r="T1176">
        <v>-0.3212663</v>
      </c>
      <c r="U1176">
        <v>-2.7575069999999999</v>
      </c>
      <c r="V1176">
        <v>0.32640089999999999</v>
      </c>
      <c r="W1176">
        <v>8.9379390000000003E-2</v>
      </c>
      <c r="X1176">
        <v>0.94099619999999995</v>
      </c>
      <c r="Y1176">
        <v>0.34785509999999997</v>
      </c>
      <c r="Z1176">
        <v>0.1063104</v>
      </c>
      <c r="AA1176">
        <v>0.93150140000000003</v>
      </c>
      <c r="AB1176">
        <v>32</v>
      </c>
      <c r="AC1176">
        <v>-4.3528000000000002</v>
      </c>
      <c r="AD1176">
        <v>-1.1051524280527001</v>
      </c>
      <c r="AE1176">
        <v>-9.1562000000000108</v>
      </c>
      <c r="AF1176">
        <v>3.6136976788638702</v>
      </c>
      <c r="AG1176">
        <v>-1.1051524280527001</v>
      </c>
      <c r="AH1176">
        <v>9.3447414051098292</v>
      </c>
      <c r="AI1176">
        <v>96.294519518724996</v>
      </c>
      <c r="AJ1176">
        <v>68.858054108801298</v>
      </c>
      <c r="AK1176">
        <v>10.079899043732</v>
      </c>
      <c r="AL1176">
        <v>84.872095315348005</v>
      </c>
      <c r="AM1176">
        <v>70.870007321657198</v>
      </c>
      <c r="AN1176">
        <v>1.0000000356460099</v>
      </c>
    </row>
    <row r="1177" spans="1:40" x14ac:dyDescent="0.25">
      <c r="A1177" t="str">
        <f>"20190312164456681"</f>
        <v>20190312164456681</v>
      </c>
      <c r="B1177" t="str">
        <f>"1552380296673183"</f>
        <v>1552380296673183</v>
      </c>
      <c r="C1177" t="s">
        <v>40</v>
      </c>
      <c r="D1177">
        <v>5.5713650000000001</v>
      </c>
      <c r="E1177">
        <v>0.52200079999999904</v>
      </c>
      <c r="F1177" t="s">
        <v>46</v>
      </c>
      <c r="G1177">
        <v>-196.56399999999999</v>
      </c>
      <c r="H1177" s="1">
        <v>6.9002159999999996E-7</v>
      </c>
      <c r="I1177">
        <v>296.00689999999997</v>
      </c>
      <c r="J1177">
        <v>-192.1208</v>
      </c>
      <c r="K1177">
        <v>1.1051040000000001</v>
      </c>
      <c r="L1177">
        <v>305.20909999999998</v>
      </c>
      <c r="M1177">
        <v>-7.8636880000000006E-2</v>
      </c>
      <c r="N1177">
        <v>0</v>
      </c>
      <c r="O1177">
        <v>-0.99683639999999996</v>
      </c>
      <c r="P1177">
        <v>-0.40179120000000002</v>
      </c>
      <c r="Q1177">
        <v>8.1940289999999999E-2</v>
      </c>
      <c r="R1177">
        <v>-0.91205809999999998</v>
      </c>
      <c r="S1177">
        <v>-1.291199</v>
      </c>
      <c r="T1177">
        <v>-0.31916070000000002</v>
      </c>
      <c r="U1177">
        <v>-2.7492679999999998</v>
      </c>
      <c r="V1177">
        <v>0.3295669</v>
      </c>
      <c r="W1177">
        <v>9.0135939999999998E-2</v>
      </c>
      <c r="X1177">
        <v>0.93981979999999998</v>
      </c>
      <c r="Y1177">
        <v>0.35022979999999998</v>
      </c>
      <c r="Z1177">
        <v>0.1056714</v>
      </c>
      <c r="AA1177">
        <v>0.93068399999999996</v>
      </c>
      <c r="AB1177">
        <v>32</v>
      </c>
      <c r="AC1177">
        <v>-4.4432000000000098</v>
      </c>
      <c r="AD1177">
        <v>-1.10510330997839</v>
      </c>
      <c r="AE1177">
        <v>-9.2021999999999995</v>
      </c>
      <c r="AF1177">
        <v>3.6629194705834398</v>
      </c>
      <c r="AG1177">
        <v>-1.10510330997839</v>
      </c>
      <c r="AH1177">
        <v>9.4130343480757208</v>
      </c>
      <c r="AI1177">
        <v>96.243875029751507</v>
      </c>
      <c r="AJ1177">
        <v>68.737361262566793</v>
      </c>
      <c r="AK1177">
        <v>10.1608783090714</v>
      </c>
      <c r="AL1177">
        <v>84.828572557372098</v>
      </c>
      <c r="AM1177">
        <v>70.675746327043996</v>
      </c>
      <c r="AN1177">
        <v>1.00000004286366</v>
      </c>
    </row>
    <row r="1178" spans="1:40" x14ac:dyDescent="0.25">
      <c r="A1178" t="str">
        <f>"20190312164456728"</f>
        <v>20190312164456728</v>
      </c>
      <c r="B1178" t="str">
        <f>"1552380296722489"</f>
        <v>1552380296722489</v>
      </c>
      <c r="C1178" t="s">
        <v>40</v>
      </c>
      <c r="D1178">
        <v>6.1365290000000003</v>
      </c>
      <c r="E1178">
        <v>0.51408599999999904</v>
      </c>
      <c r="F1178" t="s">
        <v>46</v>
      </c>
      <c r="G1178">
        <v>-196.68389999999999</v>
      </c>
      <c r="H1178" s="1">
        <v>8.0360859999999998E-7</v>
      </c>
      <c r="I1178">
        <v>295.65550000000002</v>
      </c>
      <c r="J1178">
        <v>-192.18170000000001</v>
      </c>
      <c r="K1178">
        <v>1.104986</v>
      </c>
      <c r="L1178">
        <v>304.55810000000002</v>
      </c>
      <c r="M1178">
        <v>-8.6871420000000005E-2</v>
      </c>
      <c r="N1178">
        <v>0</v>
      </c>
      <c r="O1178">
        <v>-0.99615299999999996</v>
      </c>
      <c r="P1178">
        <v>-0.41453289999999998</v>
      </c>
      <c r="Q1178">
        <v>8.3496769999999998E-2</v>
      </c>
      <c r="R1178">
        <v>-0.90619590000000005</v>
      </c>
      <c r="S1178">
        <v>-1.309158</v>
      </c>
      <c r="T1178">
        <v>-0.31705250000000001</v>
      </c>
      <c r="U1178">
        <v>-2.740936</v>
      </c>
      <c r="V1178">
        <v>0.33502100000000001</v>
      </c>
      <c r="W1178">
        <v>9.1486919999999999E-2</v>
      </c>
      <c r="X1178">
        <v>0.93775850000000005</v>
      </c>
      <c r="Y1178">
        <v>0.34859050000000003</v>
      </c>
      <c r="Z1178">
        <v>0.1050518</v>
      </c>
      <c r="AA1178">
        <v>0.93136929999999996</v>
      </c>
      <c r="AB1178">
        <v>32</v>
      </c>
      <c r="AC1178">
        <v>-4.5021999999999798</v>
      </c>
      <c r="AD1178">
        <v>-1.1049851963913999</v>
      </c>
      <c r="AE1178">
        <v>-8.9025999999999996</v>
      </c>
      <c r="AF1178">
        <v>3.6667605038750199</v>
      </c>
      <c r="AG1178">
        <v>-1.1049851963913999</v>
      </c>
      <c r="AH1178">
        <v>9.1478515571601307</v>
      </c>
      <c r="AI1178">
        <v>96.397291831130204</v>
      </c>
      <c r="AJ1178">
        <v>68.157459546206098</v>
      </c>
      <c r="AK1178">
        <v>9.9171222130645802</v>
      </c>
      <c r="AL1178">
        <v>84.7508455378278</v>
      </c>
      <c r="AM1178">
        <v>70.340364592542699</v>
      </c>
      <c r="AN1178">
        <v>0.99999996564716698</v>
      </c>
    </row>
    <row r="1179" spans="1:40" x14ac:dyDescent="0.25">
      <c r="A1179" t="str">
        <f>"20190312164456750"</f>
        <v>20190312164456750</v>
      </c>
      <c r="B1179" t="str">
        <f>"1552380296742985"</f>
        <v>1552380296742985</v>
      </c>
      <c r="C1179" t="s">
        <v>40</v>
      </c>
      <c r="D1179">
        <v>5.5738490000000001</v>
      </c>
      <c r="E1179">
        <v>0.5138916</v>
      </c>
      <c r="F1179" t="s">
        <v>46</v>
      </c>
      <c r="G1179">
        <v>-196.20500000000001</v>
      </c>
      <c r="H1179" s="1">
        <v>7.4440459999999998E-7</v>
      </c>
      <c r="I1179">
        <v>295.94310000000002</v>
      </c>
      <c r="J1179">
        <v>-192.21369999999999</v>
      </c>
      <c r="K1179">
        <v>1.1049180000000001</v>
      </c>
      <c r="L1179">
        <v>304.23860000000002</v>
      </c>
      <c r="M1179">
        <v>-9.1015410000000005E-2</v>
      </c>
      <c r="N1179">
        <v>0</v>
      </c>
      <c r="O1179">
        <v>-0.99578319999999998</v>
      </c>
      <c r="P1179">
        <v>-0.42096080000000002</v>
      </c>
      <c r="Q1179">
        <v>8.4613869999999994E-2</v>
      </c>
      <c r="R1179">
        <v>-0.90312400000000004</v>
      </c>
      <c r="S1179">
        <v>-1.2864690000000001</v>
      </c>
      <c r="T1179">
        <v>-0.35331829999999997</v>
      </c>
      <c r="U1179">
        <v>-2.7546390000000001</v>
      </c>
      <c r="V1179">
        <v>0.33781670000000003</v>
      </c>
      <c r="W1179">
        <v>9.249686E-2</v>
      </c>
      <c r="X1179">
        <v>0.93665589999999999</v>
      </c>
      <c r="Y1179">
        <v>0.33603</v>
      </c>
      <c r="Z1179">
        <v>0.1167865</v>
      </c>
      <c r="AA1179">
        <v>0.93458269999999999</v>
      </c>
      <c r="AB1179">
        <v>32</v>
      </c>
      <c r="AC1179">
        <v>-3.9913000000000198</v>
      </c>
      <c r="AD1179">
        <v>-1.1049172555953899</v>
      </c>
      <c r="AE1179">
        <v>-8.2955000000000005</v>
      </c>
      <c r="AF1179">
        <v>3.1739401151648101</v>
      </c>
      <c r="AG1179">
        <v>-1.1049172555953899</v>
      </c>
      <c r="AH1179">
        <v>8.5018811093080107</v>
      </c>
      <c r="AI1179">
        <v>96.941810547709395</v>
      </c>
      <c r="AJ1179">
        <v>69.528285339419796</v>
      </c>
      <c r="AK1179">
        <v>9.1420304305538895</v>
      </c>
      <c r="AL1179">
        <v>84.692734186811194</v>
      </c>
      <c r="AM1179">
        <v>70.167525051025393</v>
      </c>
      <c r="AN1179">
        <v>1.00000003345677</v>
      </c>
    </row>
    <row r="1180" spans="1:40" x14ac:dyDescent="0.25">
      <c r="A1180" t="str">
        <f>"20190312164456772"</f>
        <v>20190312164456772</v>
      </c>
      <c r="B1180" t="str">
        <f>"1552380296762505"</f>
        <v>1552380296762505</v>
      </c>
      <c r="C1180" t="s">
        <v>40</v>
      </c>
      <c r="D1180">
        <v>5.7619550000000004</v>
      </c>
      <c r="E1180">
        <v>0.51408199999999904</v>
      </c>
      <c r="F1180" t="s">
        <v>46</v>
      </c>
      <c r="G1180">
        <v>-196.1146</v>
      </c>
      <c r="H1180" s="1">
        <v>7.3072930000000003E-7</v>
      </c>
      <c r="I1180">
        <v>296.00450000000001</v>
      </c>
      <c r="J1180">
        <v>-192.24639999999999</v>
      </c>
      <c r="K1180">
        <v>1.104857</v>
      </c>
      <c r="L1180">
        <v>303.92739999999998</v>
      </c>
      <c r="M1180">
        <v>-9.5128859999999996E-2</v>
      </c>
      <c r="N1180">
        <v>0</v>
      </c>
      <c r="O1180">
        <v>-0.99539880000000003</v>
      </c>
      <c r="P1180">
        <v>-0.42723080000000002</v>
      </c>
      <c r="Q1180">
        <v>8.5899669999999997E-2</v>
      </c>
      <c r="R1180">
        <v>-0.90005299999999999</v>
      </c>
      <c r="S1180">
        <v>-1.3024439999999999</v>
      </c>
      <c r="T1180">
        <v>-0.36891469999999998</v>
      </c>
      <c r="U1180">
        <v>-2.7492679999999998</v>
      </c>
      <c r="V1180">
        <v>0.3404991</v>
      </c>
      <c r="W1180">
        <v>9.3678070000000002E-2</v>
      </c>
      <c r="X1180">
        <v>0.93556649999999997</v>
      </c>
      <c r="Y1180">
        <v>0.3370281</v>
      </c>
      <c r="Z1180">
        <v>0.1218393</v>
      </c>
      <c r="AA1180">
        <v>0.93357769999999995</v>
      </c>
      <c r="AB1180">
        <v>32</v>
      </c>
      <c r="AC1180">
        <v>-3.8681999999999999</v>
      </c>
      <c r="AD1180">
        <v>-1.1048562692707</v>
      </c>
      <c r="AE1180">
        <v>-7.9228999999999701</v>
      </c>
      <c r="AF1180">
        <v>3.049029106741</v>
      </c>
      <c r="AG1180">
        <v>-1.1048562692707</v>
      </c>
      <c r="AH1180">
        <v>8.1273396150903299</v>
      </c>
      <c r="AI1180">
        <v>97.253659744231797</v>
      </c>
      <c r="AJ1180">
        <v>69.436064087525693</v>
      </c>
      <c r="AK1180">
        <v>8.7504819917829195</v>
      </c>
      <c r="AL1180">
        <v>84.624760225408195</v>
      </c>
      <c r="AM1180">
        <v>70.001041448121697</v>
      </c>
      <c r="AN1180">
        <v>0.99999994691099103</v>
      </c>
    </row>
    <row r="1181" spans="1:40" x14ac:dyDescent="0.25">
      <c r="A1181" t="str">
        <f>"20190312164456794"</f>
        <v>20190312164456794</v>
      </c>
      <c r="B1181" t="str">
        <f>"1552380296783001"</f>
        <v>1552380296783001</v>
      </c>
      <c r="C1181" t="s">
        <v>40</v>
      </c>
      <c r="D1181">
        <v>5.8840909999999997</v>
      </c>
      <c r="E1181">
        <v>0.53315109999999999</v>
      </c>
      <c r="F1181" t="s">
        <v>46</v>
      </c>
      <c r="G1181">
        <v>-196.2364</v>
      </c>
      <c r="H1181" s="1">
        <v>8.4135520000000002E-7</v>
      </c>
      <c r="I1181">
        <v>295.66090000000003</v>
      </c>
      <c r="J1181">
        <v>-192.2817</v>
      </c>
      <c r="K1181">
        <v>1.1047940000000001</v>
      </c>
      <c r="L1181">
        <v>303.60399999999998</v>
      </c>
      <c r="M1181">
        <v>-9.9468730000000005E-2</v>
      </c>
      <c r="N1181">
        <v>0</v>
      </c>
      <c r="O1181">
        <v>-0.99497480000000005</v>
      </c>
      <c r="P1181">
        <v>-0.43375550000000002</v>
      </c>
      <c r="Q1181">
        <v>8.6769299999999994E-2</v>
      </c>
      <c r="R1181">
        <v>-0.89684330000000001</v>
      </c>
      <c r="S1181">
        <v>-1.322662</v>
      </c>
      <c r="T1181">
        <v>-0.36625029999999997</v>
      </c>
      <c r="U1181">
        <v>-2.740265</v>
      </c>
      <c r="V1181">
        <v>0.34324500000000002</v>
      </c>
      <c r="W1181">
        <v>9.4445710000000002E-2</v>
      </c>
      <c r="X1181">
        <v>0.93448540000000002</v>
      </c>
      <c r="Y1181">
        <v>0.33975870000000002</v>
      </c>
      <c r="Z1181">
        <v>0.12100619999999999</v>
      </c>
      <c r="AA1181">
        <v>0.93269579999999996</v>
      </c>
      <c r="AB1181">
        <v>32</v>
      </c>
      <c r="AC1181">
        <v>-3.9546999999999999</v>
      </c>
      <c r="AD1181">
        <v>-1.1047931586448001</v>
      </c>
      <c r="AE1181">
        <v>-7.94310000000001</v>
      </c>
      <c r="AF1181">
        <v>3.0969320820940101</v>
      </c>
      <c r="AG1181">
        <v>-1.1047931586448001</v>
      </c>
      <c r="AH1181">
        <v>8.1704333332856205</v>
      </c>
      <c r="AI1181">
        <v>97.206248162779403</v>
      </c>
      <c r="AJ1181">
        <v>69.241220230300698</v>
      </c>
      <c r="AK1181">
        <v>8.8072434449239694</v>
      </c>
      <c r="AL1181">
        <v>84.580582337753796</v>
      </c>
      <c r="AM1181">
        <v>69.831256366813193</v>
      </c>
      <c r="AN1181">
        <v>1.00000004248778</v>
      </c>
    </row>
    <row r="1182" spans="1:40" x14ac:dyDescent="0.25">
      <c r="A1182" t="str">
        <f>"20190312164456817"</f>
        <v>20190312164456817</v>
      </c>
      <c r="B1182" t="str">
        <f>"1552380296812786"</f>
        <v>1552380296812786</v>
      </c>
      <c r="C1182" t="s">
        <v>40</v>
      </c>
      <c r="D1182">
        <v>5.8283860000000001</v>
      </c>
      <c r="E1182">
        <v>0.53305290000000005</v>
      </c>
      <c r="F1182" t="s">
        <v>46</v>
      </c>
      <c r="G1182">
        <v>-198.76900000000001</v>
      </c>
      <c r="H1182" s="1">
        <v>1.430551E-6</v>
      </c>
      <c r="I1182">
        <v>292.09219999999999</v>
      </c>
      <c r="J1182">
        <v>-192.31809999999999</v>
      </c>
      <c r="K1182">
        <v>1.104741</v>
      </c>
      <c r="L1182">
        <v>303.28379999999999</v>
      </c>
      <c r="M1182">
        <v>-0.1038352</v>
      </c>
      <c r="N1182">
        <v>0</v>
      </c>
      <c r="O1182">
        <v>-0.99452839999999998</v>
      </c>
      <c r="P1182">
        <v>-0.44017719999999999</v>
      </c>
      <c r="Q1182">
        <v>8.7224399999999994E-2</v>
      </c>
      <c r="R1182">
        <v>-0.89366429999999997</v>
      </c>
      <c r="S1182">
        <v>-1.492218</v>
      </c>
      <c r="T1182">
        <v>-0.25412610000000002</v>
      </c>
      <c r="U1182">
        <v>-2.64798</v>
      </c>
      <c r="V1182">
        <v>0.3458697</v>
      </c>
      <c r="W1182">
        <v>9.4804559999999996E-2</v>
      </c>
      <c r="X1182">
        <v>0.93348070000000005</v>
      </c>
      <c r="Y1182">
        <v>0.3960651</v>
      </c>
      <c r="Z1182">
        <v>8.4658709999999998E-2</v>
      </c>
      <c r="AA1182">
        <v>0.9143114</v>
      </c>
      <c r="AB1182">
        <v>32</v>
      </c>
      <c r="AC1182">
        <v>-6.4509000000000096</v>
      </c>
      <c r="AD1182">
        <v>-1.1047395694490001</v>
      </c>
      <c r="AE1182">
        <v>-11.1915999999999</v>
      </c>
      <c r="AF1182">
        <v>5.2157192153939498</v>
      </c>
      <c r="AG1182">
        <v>-1.1047395694490001</v>
      </c>
      <c r="AH1182">
        <v>11.7152855509167</v>
      </c>
      <c r="AI1182">
        <v>94.923710691927894</v>
      </c>
      <c r="AJ1182">
        <v>66.001069258436999</v>
      </c>
      <c r="AK1182">
        <v>12.871367137551999</v>
      </c>
      <c r="AL1182">
        <v>84.559928766069305</v>
      </c>
      <c r="AM1182">
        <v>69.669517161900302</v>
      </c>
      <c r="AN1182">
        <v>0.99999998562368597</v>
      </c>
    </row>
    <row r="1183" spans="1:40" x14ac:dyDescent="0.25">
      <c r="A1183" t="str">
        <f>"20190312164456839"</f>
        <v>20190312164456839</v>
      </c>
      <c r="B1183" t="str">
        <f>"1552380296833283"</f>
        <v>1552380296833283</v>
      </c>
      <c r="C1183" t="s">
        <v>40</v>
      </c>
      <c r="D1183">
        <v>5.6161079999999997</v>
      </c>
      <c r="E1183">
        <v>0.53246470000000001</v>
      </c>
      <c r="F1183" t="s">
        <v>46</v>
      </c>
      <c r="G1183">
        <v>-198.86760000000001</v>
      </c>
      <c r="H1183" s="1">
        <v>1.4656800000000001E-6</v>
      </c>
      <c r="I1183">
        <v>291.84300000000002</v>
      </c>
      <c r="J1183">
        <v>-192.3554</v>
      </c>
      <c r="K1183">
        <v>1.104676</v>
      </c>
      <c r="L1183">
        <v>302.96899999999999</v>
      </c>
      <c r="M1183">
        <v>-0.10819869999999999</v>
      </c>
      <c r="N1183">
        <v>0</v>
      </c>
      <c r="O1183">
        <v>-0.99406340000000004</v>
      </c>
      <c r="P1183">
        <v>-0.44718829999999998</v>
      </c>
      <c r="Q1183">
        <v>8.7285929999999998E-2</v>
      </c>
      <c r="R1183">
        <v>-0.89017049999999998</v>
      </c>
      <c r="S1183">
        <v>-1.510162</v>
      </c>
      <c r="T1183">
        <v>-0.25473050000000003</v>
      </c>
      <c r="U1183">
        <v>-2.6379999999999999</v>
      </c>
      <c r="V1183">
        <v>0.34912700000000002</v>
      </c>
      <c r="W1183">
        <v>9.4764689999999999E-2</v>
      </c>
      <c r="X1183">
        <v>0.93227139999999997</v>
      </c>
      <c r="Y1183">
        <v>0.39820339999999999</v>
      </c>
      <c r="Z1183">
        <v>8.4901270000000001E-2</v>
      </c>
      <c r="AA1183">
        <v>0.91335960000000005</v>
      </c>
      <c r="AB1183">
        <v>32</v>
      </c>
      <c r="AC1183">
        <v>-6.5122</v>
      </c>
      <c r="AD1183">
        <v>-1.10467453432</v>
      </c>
      <c r="AE1183">
        <v>-11.1259999999999</v>
      </c>
      <c r="AF1183">
        <v>5.2316525006427703</v>
      </c>
      <c r="AG1183">
        <v>-1.10467453432</v>
      </c>
      <c r="AH1183">
        <v>11.679573835347099</v>
      </c>
      <c r="AI1183">
        <v>94.933417940058106</v>
      </c>
      <c r="AJ1183">
        <v>65.8708750143781</v>
      </c>
      <c r="AK1183">
        <v>12.845346966492601</v>
      </c>
      <c r="AL1183">
        <v>84.5622234817519</v>
      </c>
      <c r="AM1183">
        <v>69.469540516670193</v>
      </c>
      <c r="AN1183">
        <v>0.99999998592887795</v>
      </c>
    </row>
    <row r="1184" spans="1:40" x14ac:dyDescent="0.25">
      <c r="A1184" t="str">
        <f>"20190312164456861"</f>
        <v>20190312164456861</v>
      </c>
      <c r="B1184" t="str">
        <f>"1552380296852803"</f>
        <v>1552380296852803</v>
      </c>
      <c r="C1184" t="s">
        <v>40</v>
      </c>
      <c r="D1184">
        <v>5.6132070000000001</v>
      </c>
      <c r="E1184">
        <v>0.53236479999999997</v>
      </c>
      <c r="F1184" t="s">
        <v>46</v>
      </c>
      <c r="G1184">
        <v>-199.01400000000001</v>
      </c>
      <c r="H1184" s="1">
        <v>1.5132500000000001E-6</v>
      </c>
      <c r="I1184">
        <v>291.49919999999997</v>
      </c>
      <c r="J1184">
        <v>-192.39439999999999</v>
      </c>
      <c r="K1184">
        <v>1.104608</v>
      </c>
      <c r="L1184">
        <v>302.65210000000002</v>
      </c>
      <c r="M1184">
        <v>-0.11266660000000001</v>
      </c>
      <c r="N1184">
        <v>0</v>
      </c>
      <c r="O1184">
        <v>-0.99356699999999998</v>
      </c>
      <c r="P1184">
        <v>-0.45446700000000001</v>
      </c>
      <c r="Q1184">
        <v>8.7439810000000007E-2</v>
      </c>
      <c r="R1184">
        <v>-0.88646139999999995</v>
      </c>
      <c r="S1184">
        <v>-1.5258940000000001</v>
      </c>
      <c r="T1184">
        <v>-0.25314930000000002</v>
      </c>
      <c r="U1184">
        <v>-2.6284480000000001</v>
      </c>
      <c r="V1184">
        <v>0.3525934</v>
      </c>
      <c r="W1184">
        <v>9.4811220000000002E-2</v>
      </c>
      <c r="X1184">
        <v>0.93096120000000004</v>
      </c>
      <c r="Y1184">
        <v>0.39963149999999997</v>
      </c>
      <c r="Z1184">
        <v>8.4433090000000002E-2</v>
      </c>
      <c r="AA1184">
        <v>0.91277909999999995</v>
      </c>
      <c r="AB1184">
        <v>32</v>
      </c>
      <c r="AC1184">
        <v>-6.6196000000000099</v>
      </c>
      <c r="AD1184">
        <v>-1.1046064867500001</v>
      </c>
      <c r="AE1184">
        <v>-11.152900000000001</v>
      </c>
      <c r="AF1184">
        <v>5.28248617498316</v>
      </c>
      <c r="AG1184">
        <v>-1.1046064867500001</v>
      </c>
      <c r="AH1184">
        <v>11.7425554985498</v>
      </c>
      <c r="AI1184">
        <v>94.903272866303098</v>
      </c>
      <c r="AJ1184">
        <v>65.779006160813395</v>
      </c>
      <c r="AK1184">
        <v>12.923328724287</v>
      </c>
      <c r="AL1184">
        <v>84.559545607312998</v>
      </c>
      <c r="AM1184">
        <v>69.256256627514801</v>
      </c>
      <c r="AN1184">
        <v>1.00000001453344</v>
      </c>
    </row>
    <row r="1185" spans="1:40" x14ac:dyDescent="0.25">
      <c r="A1185" t="str">
        <f>"20190312164456883"</f>
        <v>20190312164456883</v>
      </c>
      <c r="B1185" t="str">
        <f>"1552380296873299"</f>
        <v>1552380296873299</v>
      </c>
      <c r="C1185" t="s">
        <v>40</v>
      </c>
      <c r="D1185">
        <v>5.5343939999999998</v>
      </c>
      <c r="E1185">
        <v>0.53231309999999998</v>
      </c>
      <c r="F1185" t="s">
        <v>46</v>
      </c>
      <c r="G1185">
        <v>-199.08320000000001</v>
      </c>
      <c r="H1185" s="1">
        <v>1.5367689999999901E-6</v>
      </c>
      <c r="I1185">
        <v>291.33080000000001</v>
      </c>
      <c r="J1185">
        <v>-192.43549999999999</v>
      </c>
      <c r="K1185">
        <v>1.104536</v>
      </c>
      <c r="L1185">
        <v>302.33049999999997</v>
      </c>
      <c r="M1185">
        <v>-0.11728089999999999</v>
      </c>
      <c r="N1185">
        <v>0</v>
      </c>
      <c r="O1185">
        <v>-0.9930331</v>
      </c>
      <c r="P1185">
        <v>-0.4615708</v>
      </c>
      <c r="Q1185">
        <v>8.7965730000000006E-2</v>
      </c>
      <c r="R1185">
        <v>-0.88273140000000005</v>
      </c>
      <c r="S1185">
        <v>-1.5460510000000001</v>
      </c>
      <c r="T1185">
        <v>-0.25531779999999998</v>
      </c>
      <c r="U1185">
        <v>-2.6167910000000001</v>
      </c>
      <c r="V1185">
        <v>0.35577340000000002</v>
      </c>
      <c r="W1185">
        <v>9.5227030000000004E-2</v>
      </c>
      <c r="X1185">
        <v>0.92970810000000004</v>
      </c>
      <c r="Y1185">
        <v>0.40233479999999999</v>
      </c>
      <c r="Z1185">
        <v>8.5199220000000006E-2</v>
      </c>
      <c r="AA1185">
        <v>0.91151950000000004</v>
      </c>
      <c r="AB1185">
        <v>32</v>
      </c>
      <c r="AC1185">
        <v>-6.6477000000000102</v>
      </c>
      <c r="AD1185">
        <v>-1.1045344632309999</v>
      </c>
      <c r="AE1185">
        <v>-10.999699999999899</v>
      </c>
      <c r="AF1185">
        <v>5.2727354624450804</v>
      </c>
      <c r="AG1185">
        <v>-1.1045344632309999</v>
      </c>
      <c r="AH1185">
        <v>11.617674074681601</v>
      </c>
      <c r="AI1185">
        <v>94.948008209496905</v>
      </c>
      <c r="AJ1185">
        <v>65.588856259266393</v>
      </c>
      <c r="AK1185">
        <v>12.805939502548</v>
      </c>
      <c r="AL1185">
        <v>84.535613224808898</v>
      </c>
      <c r="AM1185">
        <v>69.059543252420895</v>
      </c>
      <c r="AN1185">
        <v>1.00000002529789</v>
      </c>
    </row>
    <row r="1186" spans="1:40" x14ac:dyDescent="0.25">
      <c r="A1186" t="str">
        <f>"20190312164456907"</f>
        <v>20190312164456907</v>
      </c>
      <c r="B1186" t="str">
        <f>"1552380296902579"</f>
        <v>1552380296902579</v>
      </c>
      <c r="C1186" t="s">
        <v>40</v>
      </c>
      <c r="D1186">
        <v>5.7554499999999997</v>
      </c>
      <c r="E1186">
        <v>0.53199090000000004</v>
      </c>
      <c r="F1186" t="s">
        <v>46</v>
      </c>
      <c r="G1186">
        <v>-199.23580000000001</v>
      </c>
      <c r="H1186" s="1">
        <v>1.5769000000000001E-6</v>
      </c>
      <c r="I1186">
        <v>291.02609999999999</v>
      </c>
      <c r="J1186">
        <v>-192.4803</v>
      </c>
      <c r="K1186">
        <v>1.1044560000000001</v>
      </c>
      <c r="L1186">
        <v>301.99349999999998</v>
      </c>
      <c r="M1186">
        <v>-0.122212</v>
      </c>
      <c r="N1186">
        <v>0</v>
      </c>
      <c r="O1186">
        <v>-0.99243840000000005</v>
      </c>
      <c r="P1186">
        <v>-0.470084</v>
      </c>
      <c r="Q1186">
        <v>8.8516040000000004E-2</v>
      </c>
      <c r="R1186">
        <v>-0.87817209999999901</v>
      </c>
      <c r="S1186">
        <v>-1.5668329999999999</v>
      </c>
      <c r="T1186">
        <v>-0.25449250000000001</v>
      </c>
      <c r="U1186">
        <v>-2.6046140000000002</v>
      </c>
      <c r="V1186">
        <v>0.36017650000000001</v>
      </c>
      <c r="W1186">
        <v>9.5640470000000005E-2</v>
      </c>
      <c r="X1186">
        <v>0.92796860000000003</v>
      </c>
      <c r="Y1186">
        <v>0.40502290000000002</v>
      </c>
      <c r="Z1186">
        <v>8.4973480000000004E-2</v>
      </c>
      <c r="AA1186">
        <v>0.91034939999999998</v>
      </c>
      <c r="AB1186">
        <v>32</v>
      </c>
      <c r="AC1186">
        <v>-6.7555000000000103</v>
      </c>
      <c r="AD1186">
        <v>-1.1044544231</v>
      </c>
      <c r="AE1186">
        <v>-10.9673999999999</v>
      </c>
      <c r="AF1186">
        <v>5.32526864510303</v>
      </c>
      <c r="AG1186">
        <v>-1.1044544231</v>
      </c>
      <c r="AH1186">
        <v>11.6253670954373</v>
      </c>
      <c r="AI1186">
        <v>94.936565243947001</v>
      </c>
      <c r="AJ1186">
        <v>65.388755403794207</v>
      </c>
      <c r="AK1186">
        <v>12.834619815908001</v>
      </c>
      <c r="AL1186">
        <v>84.511815920562398</v>
      </c>
      <c r="AM1186">
        <v>68.787056128704506</v>
      </c>
      <c r="AN1186">
        <v>0.999999966620014</v>
      </c>
    </row>
    <row r="1187" spans="1:40" x14ac:dyDescent="0.25">
      <c r="A1187" t="str">
        <f>"20190312164456931"</f>
        <v>20190312164456931</v>
      </c>
      <c r="B1187" t="str">
        <f>"1552380296922605"</f>
        <v>1552380296922605</v>
      </c>
      <c r="C1187" t="s">
        <v>40</v>
      </c>
      <c r="D1187">
        <v>5.6163610000000004</v>
      </c>
      <c r="E1187">
        <v>0.53198299999999998</v>
      </c>
      <c r="F1187" t="s">
        <v>46</v>
      </c>
      <c r="G1187">
        <v>-199.261</v>
      </c>
      <c r="H1187" s="1">
        <v>1.5908699999999999E-6</v>
      </c>
      <c r="I1187">
        <v>290.9341</v>
      </c>
      <c r="J1187">
        <v>-192.5264</v>
      </c>
      <c r="K1187">
        <v>1.104365</v>
      </c>
      <c r="L1187">
        <v>301.6601</v>
      </c>
      <c r="M1187">
        <v>-0.12720300000000001</v>
      </c>
      <c r="N1187">
        <v>0</v>
      </c>
      <c r="O1187">
        <v>-0.99181070000000005</v>
      </c>
      <c r="P1187">
        <v>-0.47779310000000003</v>
      </c>
      <c r="Q1187">
        <v>8.8871790000000006E-2</v>
      </c>
      <c r="R1187">
        <v>-0.8739654</v>
      </c>
      <c r="S1187">
        <v>-1.589005</v>
      </c>
      <c r="T1187">
        <v>-0.25881969999999999</v>
      </c>
      <c r="U1187">
        <v>-2.591675</v>
      </c>
      <c r="V1187">
        <v>0.36370429999999998</v>
      </c>
      <c r="W1187">
        <v>9.5864969999999994E-2</v>
      </c>
      <c r="X1187">
        <v>0.92656839999999996</v>
      </c>
      <c r="Y1187">
        <v>0.4080454</v>
      </c>
      <c r="Z1187">
        <v>8.6451040000000007E-2</v>
      </c>
      <c r="AA1187">
        <v>0.90885930000000004</v>
      </c>
      <c r="AB1187">
        <v>32</v>
      </c>
      <c r="AC1187">
        <v>-6.7346000000000004</v>
      </c>
      <c r="AD1187">
        <v>-1.1043634091299901</v>
      </c>
      <c r="AE1187">
        <v>-10.726000000000001</v>
      </c>
      <c r="AF1187">
        <v>5.2753060780794199</v>
      </c>
      <c r="AG1187">
        <v>-1.1043634091299901</v>
      </c>
      <c r="AH1187">
        <v>11.408828276667601</v>
      </c>
      <c r="AI1187">
        <v>95.021179420343202</v>
      </c>
      <c r="AJ1187">
        <v>65.184741971154594</v>
      </c>
      <c r="AK1187">
        <v>12.6178379845098</v>
      </c>
      <c r="AL1187">
        <v>84.498893578097594</v>
      </c>
      <c r="AM1187">
        <v>68.568588705029399</v>
      </c>
      <c r="AN1187">
        <v>0.999999955095074</v>
      </c>
    </row>
    <row r="1188" spans="1:40" x14ac:dyDescent="0.25">
      <c r="A1188" t="str">
        <f>"20190312164456952"</f>
        <v>20190312164456952</v>
      </c>
      <c r="B1188" t="str">
        <f>"1552380296943102"</f>
        <v>1552380296943102</v>
      </c>
      <c r="C1188" t="s">
        <v>40</v>
      </c>
      <c r="D1188">
        <v>5.5891950000000001</v>
      </c>
      <c r="E1188">
        <v>0.53177700000000006</v>
      </c>
      <c r="F1188" t="s">
        <v>46</v>
      </c>
      <c r="G1188">
        <v>-199.34049999999999</v>
      </c>
      <c r="H1188" s="1">
        <v>1.6146040000000001E-6</v>
      </c>
      <c r="I1188">
        <v>290.7593</v>
      </c>
      <c r="J1188">
        <v>-192.5719</v>
      </c>
      <c r="K1188">
        <v>1.1042719999999999</v>
      </c>
      <c r="L1188">
        <v>301.3433</v>
      </c>
      <c r="M1188">
        <v>-0.13206470000000001</v>
      </c>
      <c r="N1188">
        <v>0</v>
      </c>
      <c r="O1188">
        <v>-0.99117509999999998</v>
      </c>
      <c r="P1188">
        <v>-0.48369210000000001</v>
      </c>
      <c r="Q1188">
        <v>8.9203160000000004E-2</v>
      </c>
      <c r="R1188">
        <v>-0.87068060000000003</v>
      </c>
      <c r="S1188">
        <v>-1.611618</v>
      </c>
      <c r="T1188">
        <v>-0.26119609999999999</v>
      </c>
      <c r="U1188">
        <v>-2.5781860000000001</v>
      </c>
      <c r="V1188">
        <v>0.3654579</v>
      </c>
      <c r="W1188">
        <v>9.6087580000000006E-2</v>
      </c>
      <c r="X1188">
        <v>0.92585510000000004</v>
      </c>
      <c r="Y1188">
        <v>0.41140209999999999</v>
      </c>
      <c r="Z1188">
        <v>8.7283399999999997E-2</v>
      </c>
      <c r="AA1188">
        <v>0.90726510000000005</v>
      </c>
      <c r="AB1188">
        <v>32</v>
      </c>
      <c r="AC1188">
        <v>-6.7685999999999904</v>
      </c>
      <c r="AD1188">
        <v>-1.1042703853960001</v>
      </c>
      <c r="AE1188">
        <v>-10.584</v>
      </c>
      <c r="AF1188">
        <v>5.2707215506665204</v>
      </c>
      <c r="AG1188">
        <v>-1.1042703853960001</v>
      </c>
      <c r="AH1188">
        <v>11.297948701423</v>
      </c>
      <c r="AI1188">
        <v>95.061821969084406</v>
      </c>
      <c r="AJ1188">
        <v>64.989996990463496</v>
      </c>
      <c r="AK1188">
        <v>12.515732643705199</v>
      </c>
      <c r="AL1188">
        <v>84.486079964881498</v>
      </c>
      <c r="AM1188">
        <v>68.459624734943404</v>
      </c>
      <c r="AN1188">
        <v>0.99999998294933801</v>
      </c>
    </row>
    <row r="1189" spans="1:40" x14ac:dyDescent="0.25">
      <c r="A1189" t="str">
        <f>"20190312164456973"</f>
        <v>20190312164456973</v>
      </c>
      <c r="B1189" t="str">
        <f>"1552380296963598"</f>
        <v>1552380296963598</v>
      </c>
      <c r="C1189" t="s">
        <v>40</v>
      </c>
      <c r="D1189">
        <v>5.7637309999999999</v>
      </c>
      <c r="E1189">
        <v>0.53174750000000004</v>
      </c>
      <c r="F1189" t="s">
        <v>46</v>
      </c>
      <c r="G1189">
        <v>-199.35769999999999</v>
      </c>
      <c r="H1189" s="1">
        <v>1.635896E-6</v>
      </c>
      <c r="I1189">
        <v>290.62970000000001</v>
      </c>
      <c r="J1189">
        <v>-192.6165</v>
      </c>
      <c r="K1189">
        <v>1.1041810000000001</v>
      </c>
      <c r="L1189">
        <v>301.0444</v>
      </c>
      <c r="M1189">
        <v>-0.13674339999999999</v>
      </c>
      <c r="N1189">
        <v>0</v>
      </c>
      <c r="O1189">
        <v>-0.99054050000000005</v>
      </c>
      <c r="P1189">
        <v>-0.491531</v>
      </c>
      <c r="Q1189">
        <v>8.9676039999999999E-2</v>
      </c>
      <c r="R1189">
        <v>-0.86623099999999997</v>
      </c>
      <c r="S1189">
        <v>-1.6270450000000001</v>
      </c>
      <c r="T1189">
        <v>-0.26477590000000001</v>
      </c>
      <c r="U1189">
        <v>-2.568848</v>
      </c>
      <c r="V1189">
        <v>0.36947590000000002</v>
      </c>
      <c r="W1189">
        <v>9.6423629999999996E-2</v>
      </c>
      <c r="X1189">
        <v>0.92422400000000005</v>
      </c>
      <c r="Y1189">
        <v>0.41242440000000002</v>
      </c>
      <c r="Z1189">
        <v>8.8501620000000003E-2</v>
      </c>
      <c r="AA1189">
        <v>0.90668269999999995</v>
      </c>
      <c r="AB1189">
        <v>32</v>
      </c>
      <c r="AC1189">
        <v>-6.7411999999999903</v>
      </c>
      <c r="AD1189">
        <v>-1.1041793641040001</v>
      </c>
      <c r="AE1189">
        <v>-10.4146999999999</v>
      </c>
      <c r="AF1189">
        <v>5.2123435060720498</v>
      </c>
      <c r="AG1189">
        <v>-1.1041793641040001</v>
      </c>
      <c r="AH1189">
        <v>11.150402498726301</v>
      </c>
      <c r="AI1189">
        <v>95.126193246384901</v>
      </c>
      <c r="AJ1189">
        <v>64.945891685513004</v>
      </c>
      <c r="AK1189">
        <v>12.357961513817999</v>
      </c>
      <c r="AL1189">
        <v>84.466735878078495</v>
      </c>
      <c r="AM1189">
        <v>68.210012103112405</v>
      </c>
      <c r="AN1189">
        <v>0.99999997963959297</v>
      </c>
    </row>
    <row r="1190" spans="1:40" x14ac:dyDescent="0.25">
      <c r="A1190" t="str">
        <f>"20190312164456998"</f>
        <v>20190312164456998</v>
      </c>
      <c r="B1190" t="str">
        <f>"1552380296992878"</f>
        <v>1552380296992878</v>
      </c>
      <c r="C1190" t="s">
        <v>40</v>
      </c>
      <c r="D1190">
        <v>6.1997609999999996</v>
      </c>
      <c r="E1190">
        <v>0.53160099999999999</v>
      </c>
      <c r="F1190" t="s">
        <v>46</v>
      </c>
      <c r="G1190">
        <v>-199.48179999999999</v>
      </c>
      <c r="H1190" s="1">
        <v>1.663246E-6</v>
      </c>
      <c r="I1190">
        <v>290.4119</v>
      </c>
      <c r="J1190">
        <v>-192.672</v>
      </c>
      <c r="K1190">
        <v>1.1040669999999999</v>
      </c>
      <c r="L1190">
        <v>300.68529999999998</v>
      </c>
      <c r="M1190">
        <v>-0.1425061</v>
      </c>
      <c r="N1190">
        <v>0</v>
      </c>
      <c r="O1190">
        <v>-0.98972780000000005</v>
      </c>
      <c r="P1190">
        <v>-0.49970019999999998</v>
      </c>
      <c r="Q1190">
        <v>9.0015970000000001E-2</v>
      </c>
      <c r="R1190">
        <v>-0.86150839999999995</v>
      </c>
      <c r="S1190">
        <v>-1.649597</v>
      </c>
      <c r="T1190">
        <v>-0.26530999999999999</v>
      </c>
      <c r="U1190">
        <v>-2.5547490000000002</v>
      </c>
      <c r="V1190">
        <v>0.37287290000000001</v>
      </c>
      <c r="W1190">
        <v>9.6614420000000006E-2</v>
      </c>
      <c r="X1190">
        <v>0.92283879999999996</v>
      </c>
      <c r="Y1190">
        <v>0.41504469999999999</v>
      </c>
      <c r="Z1190">
        <v>8.8727710000000001E-2</v>
      </c>
      <c r="AA1190">
        <v>0.90546409999999999</v>
      </c>
      <c r="AB1190">
        <v>32</v>
      </c>
      <c r="AC1190">
        <v>-6.8097999999999903</v>
      </c>
      <c r="AD1190">
        <v>-1.1040653367540001</v>
      </c>
      <c r="AE1190">
        <v>-10.273399999999899</v>
      </c>
      <c r="AF1190">
        <v>5.2341730263255704</v>
      </c>
      <c r="AG1190">
        <v>-1.1040653367540001</v>
      </c>
      <c r="AH1190">
        <v>11.050369561672399</v>
      </c>
      <c r="AI1190">
        <v>95.159530186990906</v>
      </c>
      <c r="AJ1190">
        <v>64.654724190425199</v>
      </c>
      <c r="AK1190">
        <v>12.2770597044598</v>
      </c>
      <c r="AL1190">
        <v>84.455753242671705</v>
      </c>
      <c r="AM1190">
        <v>67.998835254423597</v>
      </c>
      <c r="AN1190">
        <v>0.99999999824589303</v>
      </c>
    </row>
    <row r="1191" spans="1:40" x14ac:dyDescent="0.25">
      <c r="A1191" t="str">
        <f>"20190312164457018"</f>
        <v>20190312164457018</v>
      </c>
      <c r="B1191" t="str">
        <f>"1552380297012398"</f>
        <v>1552380297012398</v>
      </c>
      <c r="C1191" t="s">
        <v>40</v>
      </c>
      <c r="D1191">
        <v>5.5866790000000002</v>
      </c>
      <c r="E1191">
        <v>0.53160969999999996</v>
      </c>
      <c r="F1191" t="s">
        <v>46</v>
      </c>
      <c r="G1191">
        <v>-199.57499999999999</v>
      </c>
      <c r="H1191" s="1">
        <v>1.6932139999999999E-6</v>
      </c>
      <c r="I1191">
        <v>290.19479999999999</v>
      </c>
      <c r="J1191">
        <v>-192.71510000000001</v>
      </c>
      <c r="K1191">
        <v>1.103977</v>
      </c>
      <c r="L1191">
        <v>300.41649999999998</v>
      </c>
      <c r="M1191">
        <v>-0.14693899999999999</v>
      </c>
      <c r="N1191">
        <v>0</v>
      </c>
      <c r="O1191">
        <v>-0.98907920000000005</v>
      </c>
      <c r="P1191">
        <v>-0.5066311</v>
      </c>
      <c r="Q1191">
        <v>9.0319440000000001E-2</v>
      </c>
      <c r="R1191">
        <v>-0.85741909999999899</v>
      </c>
      <c r="S1191">
        <v>-1.6717679999999999</v>
      </c>
      <c r="T1191">
        <v>-0.26738190000000001</v>
      </c>
      <c r="U1191">
        <v>-2.5405880000000001</v>
      </c>
      <c r="V1191">
        <v>0.37621130000000003</v>
      </c>
      <c r="W1191">
        <v>9.6784309999999998E-2</v>
      </c>
      <c r="X1191">
        <v>0.92146499999999998</v>
      </c>
      <c r="Y1191">
        <v>0.4187651</v>
      </c>
      <c r="Z1191">
        <v>8.9464050000000003E-2</v>
      </c>
      <c r="AA1191">
        <v>0.90367690000000001</v>
      </c>
      <c r="AB1191">
        <v>32</v>
      </c>
      <c r="AC1191">
        <v>-6.8598999999999801</v>
      </c>
      <c r="AD1191">
        <v>-1.1039753067860001</v>
      </c>
      <c r="AE1191">
        <v>-10.221699999999901</v>
      </c>
      <c r="AF1191">
        <v>5.2412126981886997</v>
      </c>
      <c r="AG1191">
        <v>-1.1039753067860001</v>
      </c>
      <c r="AH1191">
        <v>11.030078813826201</v>
      </c>
      <c r="AI1191">
        <v>95.165546716327299</v>
      </c>
      <c r="AJ1191">
        <v>64.5841227060818</v>
      </c>
      <c r="AK1191">
        <v>12.2617988347903</v>
      </c>
      <c r="AL1191">
        <v>84.445973137399605</v>
      </c>
      <c r="AM1191">
        <v>67.791024550569006</v>
      </c>
      <c r="AN1191">
        <v>0.99999994556743099</v>
      </c>
    </row>
    <row r="1192" spans="1:40" x14ac:dyDescent="0.25">
      <c r="A1192" t="str">
        <f>"20190312164457040"</f>
        <v>20190312164457040</v>
      </c>
      <c r="B1192" t="str">
        <f>"1552380297032895"</f>
        <v>1552380297032895</v>
      </c>
      <c r="C1192" t="s">
        <v>40</v>
      </c>
      <c r="D1192">
        <v>5.6988329999999996</v>
      </c>
      <c r="E1192">
        <v>0.53145520000000002</v>
      </c>
      <c r="F1192" t="s">
        <v>46</v>
      </c>
      <c r="G1192">
        <v>-199.63310000000001</v>
      </c>
      <c r="H1192" s="1">
        <v>1.7076519999999999E-6</v>
      </c>
      <c r="I1192">
        <v>290.08359999999999</v>
      </c>
      <c r="J1192">
        <v>-192.7698</v>
      </c>
      <c r="K1192">
        <v>1.103837</v>
      </c>
      <c r="L1192">
        <v>300.08640000000003</v>
      </c>
      <c r="M1192">
        <v>-0.15254949999999901</v>
      </c>
      <c r="N1192">
        <v>0</v>
      </c>
      <c r="O1192">
        <v>-0.98822949999999998</v>
      </c>
      <c r="P1192">
        <v>-0.51445149999999995</v>
      </c>
      <c r="Q1192">
        <v>9.2095150000000001E-2</v>
      </c>
      <c r="R1192">
        <v>-0.85255990000000004</v>
      </c>
      <c r="S1192">
        <v>-1.6921389999999901</v>
      </c>
      <c r="T1192">
        <v>-0.2700301</v>
      </c>
      <c r="U1192">
        <v>-2.5274049999999999</v>
      </c>
      <c r="V1192">
        <v>0.3794922</v>
      </c>
      <c r="W1192">
        <v>9.8387870000000002E-2</v>
      </c>
      <c r="X1192">
        <v>0.91994860000000001</v>
      </c>
      <c r="Y1192">
        <v>0.42077870000000001</v>
      </c>
      <c r="Z1192">
        <v>9.0385240000000006E-2</v>
      </c>
      <c r="AA1192">
        <v>0.90264929999999999</v>
      </c>
      <c r="AB1192">
        <v>32</v>
      </c>
      <c r="AC1192">
        <v>-6.8632999999999997</v>
      </c>
      <c r="AD1192">
        <v>-1.1038352923479999</v>
      </c>
      <c r="AE1192">
        <v>-10.002800000000001</v>
      </c>
      <c r="AF1192">
        <v>5.21376940782541</v>
      </c>
      <c r="AG1192">
        <v>-1.1038352923479999</v>
      </c>
      <c r="AH1192">
        <v>10.8429946628449</v>
      </c>
      <c r="AI1192">
        <v>95.242007184432794</v>
      </c>
      <c r="AJ1192">
        <v>64.319788513715807</v>
      </c>
      <c r="AK1192">
        <v>12.081902873682299</v>
      </c>
      <c r="AL1192">
        <v>84.353655385395001</v>
      </c>
      <c r="AM1192">
        <v>67.583139177008206</v>
      </c>
      <c r="AN1192">
        <v>0.99999996473296704</v>
      </c>
    </row>
    <row r="1193" spans="1:40" x14ac:dyDescent="0.25">
      <c r="A1193" t="str">
        <f>"20190312164457062"</f>
        <v>20190312164457062</v>
      </c>
      <c r="B1193" t="str">
        <f>"1552380297052414"</f>
        <v>1552380297052414</v>
      </c>
      <c r="C1193" t="s">
        <v>40</v>
      </c>
      <c r="D1193">
        <v>5.6468280000000002</v>
      </c>
      <c r="E1193">
        <v>0.53146610000000005</v>
      </c>
      <c r="F1193" t="s">
        <v>46</v>
      </c>
      <c r="G1193">
        <v>-199.9032</v>
      </c>
      <c r="H1193" s="1">
        <v>1.7637059999999999E-6</v>
      </c>
      <c r="I1193">
        <v>289.63650000000001</v>
      </c>
      <c r="J1193">
        <v>-192.82390000000001</v>
      </c>
      <c r="K1193">
        <v>1.1036889999999999</v>
      </c>
      <c r="L1193">
        <v>299.7715</v>
      </c>
      <c r="M1193">
        <v>-0.15809400000000001</v>
      </c>
      <c r="N1193">
        <v>0</v>
      </c>
      <c r="O1193">
        <v>-0.9873575</v>
      </c>
      <c r="P1193">
        <v>-0.52187790000000001</v>
      </c>
      <c r="Q1193">
        <v>9.3770530000000005E-2</v>
      </c>
      <c r="R1193">
        <v>-0.84785080000000002</v>
      </c>
      <c r="S1193">
        <v>-1.7151179999999999</v>
      </c>
      <c r="T1193">
        <v>-0.26540010000000003</v>
      </c>
      <c r="U1193">
        <v>-2.5125120000000001</v>
      </c>
      <c r="V1193">
        <v>0.38245050000000003</v>
      </c>
      <c r="W1193">
        <v>9.9878690000000006E-2</v>
      </c>
      <c r="X1193">
        <v>0.91856179999999998</v>
      </c>
      <c r="Y1193">
        <v>0.4238904</v>
      </c>
      <c r="Z1193">
        <v>8.8887389999999997E-2</v>
      </c>
      <c r="AA1193">
        <v>0.90134130000000001</v>
      </c>
      <c r="AB1193">
        <v>32</v>
      </c>
      <c r="AC1193">
        <v>-7.0792999999999804</v>
      </c>
      <c r="AD1193">
        <v>-1.103687236294</v>
      </c>
      <c r="AE1193">
        <v>-10.1349999999999</v>
      </c>
      <c r="AF1193">
        <v>5.3452684624619504</v>
      </c>
      <c r="AG1193">
        <v>-1.103687236294</v>
      </c>
      <c r="AH1193">
        <v>11.0388127632314</v>
      </c>
      <c r="AI1193">
        <v>95.142060345170606</v>
      </c>
      <c r="AJ1193">
        <v>64.1625767271412</v>
      </c>
      <c r="AK1193">
        <v>12.3144389914047</v>
      </c>
      <c r="AL1193">
        <v>84.267814810996001</v>
      </c>
      <c r="AM1193">
        <v>67.395208698818394</v>
      </c>
      <c r="AN1193">
        <v>0.99999995904280203</v>
      </c>
    </row>
    <row r="1194" spans="1:40" x14ac:dyDescent="0.25">
      <c r="A1194" t="str">
        <f>"20190312164457085"</f>
        <v>20190312164457085</v>
      </c>
      <c r="B1194" t="str">
        <f>"1552380297072910"</f>
        <v>1552380297072910</v>
      </c>
      <c r="C1194" t="s">
        <v>40</v>
      </c>
      <c r="D1194">
        <v>5.613391</v>
      </c>
      <c r="E1194">
        <v>0.52953450000000002</v>
      </c>
      <c r="F1194" t="s">
        <v>46</v>
      </c>
      <c r="G1194">
        <v>-200.15809999999999</v>
      </c>
      <c r="H1194" s="1">
        <v>1.884052E-6</v>
      </c>
      <c r="I1194">
        <v>289.22680000000003</v>
      </c>
      <c r="J1194">
        <v>-192.88130000000001</v>
      </c>
      <c r="K1194">
        <v>1.103513</v>
      </c>
      <c r="L1194">
        <v>299.4495</v>
      </c>
      <c r="M1194">
        <v>-0.16398180000000001</v>
      </c>
      <c r="N1194">
        <v>0</v>
      </c>
      <c r="O1194">
        <v>-0.98639659999999996</v>
      </c>
      <c r="P1194">
        <v>-0.52946979999999999</v>
      </c>
      <c r="Q1194">
        <v>9.4932740000000002E-2</v>
      </c>
      <c r="R1194">
        <v>-0.84300079999999999</v>
      </c>
      <c r="S1194">
        <v>-1.7373499999999999</v>
      </c>
      <c r="T1194">
        <v>-0.2614436</v>
      </c>
      <c r="U1194">
        <v>-2.4978639999999999</v>
      </c>
      <c r="V1194">
        <v>0.38529930000000001</v>
      </c>
      <c r="W1194">
        <v>0.1008394</v>
      </c>
      <c r="X1194">
        <v>0.91726549999999996</v>
      </c>
      <c r="Y1194">
        <v>0.42644140000000003</v>
      </c>
      <c r="Z1194">
        <v>8.7607240000000003E-2</v>
      </c>
      <c r="AA1194">
        <v>0.90026260000000002</v>
      </c>
      <c r="AB1194">
        <v>32</v>
      </c>
      <c r="AC1194">
        <v>-7.2767999999999802</v>
      </c>
      <c r="AD1194">
        <v>-1.103511115948</v>
      </c>
      <c r="AE1194">
        <v>-10.2226999999999</v>
      </c>
      <c r="AF1194">
        <v>5.45961255340276</v>
      </c>
      <c r="AG1194">
        <v>-1.103511115948</v>
      </c>
      <c r="AH1194">
        <v>11.191091795005001</v>
      </c>
      <c r="AI1194">
        <v>95.064461461194597</v>
      </c>
      <c r="AJ1194">
        <v>63.994406937359102</v>
      </c>
      <c r="AK1194">
        <v>12.500625647563499</v>
      </c>
      <c r="AL1194">
        <v>84.212491486461303</v>
      </c>
      <c r="AM1194">
        <v>67.215056796053602</v>
      </c>
      <c r="AN1194">
        <v>1.00000006633154</v>
      </c>
    </row>
    <row r="1195" spans="1:40" x14ac:dyDescent="0.25">
      <c r="A1195" t="str">
        <f>"20190312164457108"</f>
        <v>20190312164457108</v>
      </c>
      <c r="B1195" t="str">
        <f>"1552380297103166"</f>
        <v>1552380297103166</v>
      </c>
      <c r="C1195" t="s">
        <v>40</v>
      </c>
      <c r="D1195">
        <v>5.6972180000000003</v>
      </c>
      <c r="E1195">
        <v>0.52849919999999995</v>
      </c>
      <c r="F1195" t="s">
        <v>46</v>
      </c>
      <c r="G1195">
        <v>-197.93340000000001</v>
      </c>
      <c r="H1195" s="1">
        <v>1.4951849999999999E-6</v>
      </c>
      <c r="I1195">
        <v>292.14589999999998</v>
      </c>
      <c r="J1195">
        <v>-192.93950000000001</v>
      </c>
      <c r="K1195">
        <v>1.1033249999999999</v>
      </c>
      <c r="L1195">
        <v>299.13560000000001</v>
      </c>
      <c r="M1195">
        <v>-0.169962</v>
      </c>
      <c r="N1195">
        <v>0</v>
      </c>
      <c r="O1195">
        <v>-0.98538329999999996</v>
      </c>
      <c r="P1195">
        <v>-0.53670010000000001</v>
      </c>
      <c r="Q1195">
        <v>9.5604389999999997E-2</v>
      </c>
      <c r="R1195">
        <v>-0.83833939999999996</v>
      </c>
      <c r="S1195">
        <v>-1.7366790000000001</v>
      </c>
      <c r="T1195">
        <v>-0.37933410000000001</v>
      </c>
      <c r="U1195">
        <v>-2.5106199999999999</v>
      </c>
      <c r="V1195">
        <v>0.38769559999999997</v>
      </c>
      <c r="W1195">
        <v>0.1013105</v>
      </c>
      <c r="X1195">
        <v>0.9162032</v>
      </c>
      <c r="Y1195">
        <v>0.41627209999999998</v>
      </c>
      <c r="Z1195">
        <v>0.1261235</v>
      </c>
      <c r="AA1195">
        <v>0.90045010000000003</v>
      </c>
      <c r="AB1195">
        <v>32</v>
      </c>
      <c r="AC1195">
        <v>-4.9938999999999902</v>
      </c>
      <c r="AD1195">
        <v>-1.1033235048150001</v>
      </c>
      <c r="AE1195">
        <v>-6.9897000000000196</v>
      </c>
      <c r="AF1195">
        <v>3.6725868586192001</v>
      </c>
      <c r="AG1195">
        <v>-1.1033235048150001</v>
      </c>
      <c r="AH1195">
        <v>7.6112645635529699</v>
      </c>
      <c r="AI1195">
        <v>97.438210082191503</v>
      </c>
      <c r="AJ1195">
        <v>64.241764444018401</v>
      </c>
      <c r="AK1195">
        <v>8.5227087974878497</v>
      </c>
      <c r="AL1195">
        <v>84.185360114579296</v>
      </c>
      <c r="AM1195">
        <v>67.064124715284294</v>
      </c>
      <c r="AN1195">
        <v>0.99999999967992403</v>
      </c>
    </row>
    <row r="1196" spans="1:40" x14ac:dyDescent="0.25">
      <c r="A1196" t="str">
        <f>"20190312164457132"</f>
        <v>20190312164457132</v>
      </c>
      <c r="B1196" t="str">
        <f>"1552380297122686"</f>
        <v>1552380297122686</v>
      </c>
      <c r="C1196" t="s">
        <v>40</v>
      </c>
      <c r="D1196">
        <v>5.7536610000000001</v>
      </c>
      <c r="E1196">
        <v>0.52802930000000003</v>
      </c>
      <c r="F1196" t="s">
        <v>46</v>
      </c>
      <c r="G1196">
        <v>-198.46600000000001</v>
      </c>
      <c r="H1196" s="1">
        <v>1.602189E-6</v>
      </c>
      <c r="I1196">
        <v>291.27019999999999</v>
      </c>
      <c r="J1196">
        <v>-193.00710000000001</v>
      </c>
      <c r="K1196">
        <v>1.103092</v>
      </c>
      <c r="L1196">
        <v>298.78500000000003</v>
      </c>
      <c r="M1196">
        <v>-0.17697689999999999</v>
      </c>
      <c r="N1196">
        <v>0</v>
      </c>
      <c r="O1196">
        <v>-0.98414710000000005</v>
      </c>
      <c r="P1196">
        <v>-0.54463790000000001</v>
      </c>
      <c r="Q1196">
        <v>9.642771E-2</v>
      </c>
      <c r="R1196">
        <v>-0.83310949999999995</v>
      </c>
      <c r="S1196">
        <v>-1.75360099999999</v>
      </c>
      <c r="T1196">
        <v>-0.35009359999999901</v>
      </c>
      <c r="U1196">
        <v>-2.4957579999999999</v>
      </c>
      <c r="V1196">
        <v>0.38996039999999998</v>
      </c>
      <c r="W1196">
        <v>0.10190349999999999</v>
      </c>
      <c r="X1196">
        <v>0.91517570000000004</v>
      </c>
      <c r="Y1196">
        <v>0.41707810000000001</v>
      </c>
      <c r="Z1196">
        <v>0.1166674</v>
      </c>
      <c r="AA1196">
        <v>0.90135149999999997</v>
      </c>
      <c r="AB1196">
        <v>32</v>
      </c>
      <c r="AC1196">
        <v>-5.4588999999999697</v>
      </c>
      <c r="AD1196">
        <v>-1.103090397811</v>
      </c>
      <c r="AE1196">
        <v>-7.5148000000000303</v>
      </c>
      <c r="AF1196">
        <v>3.9864583489179002</v>
      </c>
      <c r="AG1196">
        <v>-1.103090397811</v>
      </c>
      <c r="AH1196">
        <v>8.2460218692143599</v>
      </c>
      <c r="AI1196">
        <v>96.867445146472093</v>
      </c>
      <c r="AJ1196">
        <v>64.1990108643121</v>
      </c>
      <c r="AK1196">
        <v>9.2252661349665992</v>
      </c>
      <c r="AL1196">
        <v>84.151206959343696</v>
      </c>
      <c r="AM1196">
        <v>66.920932334247794</v>
      </c>
      <c r="AN1196">
        <v>0.99999999937545003</v>
      </c>
    </row>
    <row r="1197" spans="1:40" x14ac:dyDescent="0.25">
      <c r="A1197" t="str">
        <f>"20190312164457153"</f>
        <v>20190312164457153</v>
      </c>
      <c r="B1197" t="str">
        <f>"1552380297143182"</f>
        <v>1552380297143182</v>
      </c>
      <c r="C1197" t="s">
        <v>40</v>
      </c>
      <c r="D1197">
        <v>5.6549670000000001</v>
      </c>
      <c r="E1197">
        <v>0.52788649999999904</v>
      </c>
      <c r="F1197" t="s">
        <v>46</v>
      </c>
      <c r="G1197">
        <v>-198.8965</v>
      </c>
      <c r="H1197" s="1">
        <v>1.688076E-6</v>
      </c>
      <c r="I1197">
        <v>290.56569999999999</v>
      </c>
      <c r="J1197">
        <v>-193.06819999999999</v>
      </c>
      <c r="K1197">
        <v>1.1028739999999999</v>
      </c>
      <c r="L1197">
        <v>298.48129999999998</v>
      </c>
      <c r="M1197">
        <v>-0.18334410000000001</v>
      </c>
      <c r="N1197">
        <v>0</v>
      </c>
      <c r="O1197">
        <v>-0.98298019999999997</v>
      </c>
      <c r="P1197">
        <v>-0.55256300000000003</v>
      </c>
      <c r="Q1197">
        <v>9.8005789999999995E-2</v>
      </c>
      <c r="R1197">
        <v>-0.82768889999999995</v>
      </c>
      <c r="S1197">
        <v>-1.7758940000000001</v>
      </c>
      <c r="T1197">
        <v>-0.3326308</v>
      </c>
      <c r="U1197">
        <v>-2.478485</v>
      </c>
      <c r="V1197">
        <v>0.39288289999999998</v>
      </c>
      <c r="W1197">
        <v>0.10325670000000001</v>
      </c>
      <c r="X1197">
        <v>0.91377299999999995</v>
      </c>
      <c r="Y1197">
        <v>0.41990919999999998</v>
      </c>
      <c r="Z1197">
        <v>0.1110164</v>
      </c>
      <c r="AA1197">
        <v>0.90075059999999996</v>
      </c>
      <c r="AB1197">
        <v>32</v>
      </c>
      <c r="AC1197">
        <v>-5.8283000000000103</v>
      </c>
      <c r="AD1197">
        <v>-1.10287231192399</v>
      </c>
      <c r="AE1197">
        <v>-7.91559999999998</v>
      </c>
      <c r="AF1197">
        <v>4.2249299473959496</v>
      </c>
      <c r="AG1197">
        <v>-1.10287231192399</v>
      </c>
      <c r="AH1197">
        <v>8.7400395290389401</v>
      </c>
      <c r="AI1197">
        <v>96.481506908998298</v>
      </c>
      <c r="AJ1197">
        <v>64.200904639008101</v>
      </c>
      <c r="AK1197">
        <v>9.7700896293726505</v>
      </c>
      <c r="AL1197">
        <v>84.073263178444904</v>
      </c>
      <c r="AM1197">
        <v>66.734384950636397</v>
      </c>
      <c r="AN1197">
        <v>1.0000000073681401</v>
      </c>
    </row>
    <row r="1198" spans="1:40" x14ac:dyDescent="0.25">
      <c r="A1198" t="str">
        <f>"20190312164457187"</f>
        <v>20190312164457187</v>
      </c>
      <c r="B1198" t="str">
        <f>"1552380297183198"</f>
        <v>1552380297183198</v>
      </c>
      <c r="C1198" t="s">
        <v>40</v>
      </c>
      <c r="D1198">
        <v>5.675726</v>
      </c>
      <c r="E1198">
        <v>0.52732789999999996</v>
      </c>
      <c r="F1198" t="s">
        <v>46</v>
      </c>
      <c r="G1198">
        <v>-199.2878</v>
      </c>
      <c r="H1198" s="1">
        <v>1.7572319999999999E-6</v>
      </c>
      <c r="I1198">
        <v>289.976</v>
      </c>
      <c r="J1198">
        <v>-193.1679</v>
      </c>
      <c r="K1198">
        <v>1.1025560000000001</v>
      </c>
      <c r="L1198">
        <v>298.00709999999998</v>
      </c>
      <c r="M1198">
        <v>-0.19374839999999999</v>
      </c>
      <c r="N1198">
        <v>0</v>
      </c>
      <c r="O1198">
        <v>-0.98098160000000001</v>
      </c>
      <c r="P1198">
        <v>-0.56556739999999905</v>
      </c>
      <c r="Q1198">
        <v>0.10112409999999999</v>
      </c>
      <c r="R1198">
        <v>-0.81847879999999995</v>
      </c>
      <c r="S1198">
        <v>-1.799561</v>
      </c>
      <c r="T1198">
        <v>-0.31910349999999998</v>
      </c>
      <c r="U1198">
        <v>-2.4609070000000002</v>
      </c>
      <c r="V1198">
        <v>0.39784049999999999</v>
      </c>
      <c r="W1198">
        <v>0.1060247</v>
      </c>
      <c r="X1198">
        <v>0.91130770000000005</v>
      </c>
      <c r="Y1198">
        <v>0.41930289999999998</v>
      </c>
      <c r="Z1198">
        <v>0.1065874</v>
      </c>
      <c r="AA1198">
        <v>0.90156760000000002</v>
      </c>
      <c r="AB1198">
        <v>32</v>
      </c>
      <c r="AC1198">
        <v>-6.1199000000000003</v>
      </c>
      <c r="AD1198">
        <v>-1.102554242768</v>
      </c>
      <c r="AE1198">
        <v>-8.0310999999999808</v>
      </c>
      <c r="AF1198">
        <v>4.3953918053179004</v>
      </c>
      <c r="AG1198">
        <v>-1.102554242768</v>
      </c>
      <c r="AH1198">
        <v>8.9578917681484604</v>
      </c>
      <c r="AI1198">
        <v>96.305430360056206</v>
      </c>
      <c r="AJ1198">
        <v>63.8640796493967</v>
      </c>
      <c r="AK1198">
        <v>10.0388704499243</v>
      </c>
      <c r="AL1198">
        <v>83.913792962042095</v>
      </c>
      <c r="AM1198">
        <v>66.415842746280404</v>
      </c>
      <c r="AN1198">
        <v>1.0000000122648101</v>
      </c>
    </row>
    <row r="1199" spans="1:40" x14ac:dyDescent="0.25">
      <c r="A1199" t="str">
        <f>"20190312164457207"</f>
        <v>20190312164457207</v>
      </c>
      <c r="B1199" t="str">
        <f>"1552380297202719"</f>
        <v>1552380297202719</v>
      </c>
      <c r="C1199" t="s">
        <v>40</v>
      </c>
      <c r="D1199">
        <v>5.6494559999999998</v>
      </c>
      <c r="E1199">
        <v>0.52725140000000004</v>
      </c>
      <c r="F1199" t="s">
        <v>46</v>
      </c>
      <c r="G1199">
        <v>-199.792</v>
      </c>
      <c r="H1199" s="1">
        <v>1.825542E-6</v>
      </c>
      <c r="I1199">
        <v>289.21600000000001</v>
      </c>
      <c r="J1199">
        <v>-193.232</v>
      </c>
      <c r="K1199">
        <v>1.102357</v>
      </c>
      <c r="L1199">
        <v>297.7165</v>
      </c>
      <c r="M1199">
        <v>-0.20044529999999999</v>
      </c>
      <c r="N1199">
        <v>0</v>
      </c>
      <c r="O1199">
        <v>-0.97963449999999996</v>
      </c>
      <c r="P1199">
        <v>-0.57436299999999996</v>
      </c>
      <c r="Q1199">
        <v>0.10215879999999999</v>
      </c>
      <c r="R1199">
        <v>-0.81220170000000003</v>
      </c>
      <c r="S1199">
        <v>-1.8349</v>
      </c>
      <c r="T1199">
        <v>-0.30541220000000002</v>
      </c>
      <c r="U1199">
        <v>-2.435181</v>
      </c>
      <c r="V1199">
        <v>0.4015435</v>
      </c>
      <c r="W1199">
        <v>0.1068364</v>
      </c>
      <c r="X1199">
        <v>0.90958709999999998</v>
      </c>
      <c r="Y1199">
        <v>0.42630659999999998</v>
      </c>
      <c r="Z1199">
        <v>0.1021401</v>
      </c>
      <c r="AA1199">
        <v>0.89879370000000003</v>
      </c>
      <c r="AB1199">
        <v>32</v>
      </c>
      <c r="AC1199">
        <v>-6.56</v>
      </c>
      <c r="AD1199">
        <v>-1.102355174458</v>
      </c>
      <c r="AE1199">
        <v>-8.5004999999999793</v>
      </c>
      <c r="AF1199">
        <v>4.6735828693847301</v>
      </c>
      <c r="AG1199">
        <v>-1.102355174458</v>
      </c>
      <c r="AH1199">
        <v>9.5423917888337701</v>
      </c>
      <c r="AI1199">
        <v>95.923071776677205</v>
      </c>
      <c r="AJ1199">
        <v>63.9057462154042</v>
      </c>
      <c r="AK1199">
        <v>10.682453127407699</v>
      </c>
      <c r="AL1199">
        <v>83.867019904611098</v>
      </c>
      <c r="AM1199">
        <v>66.180608320375299</v>
      </c>
      <c r="AN1199">
        <v>0.99999994562180805</v>
      </c>
    </row>
    <row r="1200" spans="1:40" x14ac:dyDescent="0.25">
      <c r="A1200" t="str">
        <f>"20190312164457230"</f>
        <v>20190312164457230</v>
      </c>
      <c r="B1200" t="str">
        <f>"1552380297223215"</f>
        <v>1552380297223215</v>
      </c>
      <c r="C1200" t="s">
        <v>40</v>
      </c>
      <c r="D1200">
        <v>5.8072549999999996</v>
      </c>
      <c r="E1200">
        <v>0.52761930000000001</v>
      </c>
      <c r="F1200" t="s">
        <v>46</v>
      </c>
      <c r="G1200">
        <v>-200.041</v>
      </c>
      <c r="H1200" s="1">
        <v>1.8626800000000001E-6</v>
      </c>
      <c r="I1200">
        <v>288.87729999999999</v>
      </c>
      <c r="J1200">
        <v>-193.3058</v>
      </c>
      <c r="K1200">
        <v>1.102109</v>
      </c>
      <c r="L1200">
        <v>297.39420000000001</v>
      </c>
      <c r="M1200">
        <v>-0.20820459999999999</v>
      </c>
      <c r="N1200">
        <v>0</v>
      </c>
      <c r="O1200">
        <v>-0.97801360000000004</v>
      </c>
      <c r="P1200">
        <v>-0.5841094</v>
      </c>
      <c r="Q1200">
        <v>0.10302699999999999</v>
      </c>
      <c r="R1200">
        <v>-0.80510990000000004</v>
      </c>
      <c r="S1200">
        <v>-1.8607940000000001</v>
      </c>
      <c r="T1200">
        <v>-0.30125629999999998</v>
      </c>
      <c r="U1200">
        <v>-2.415619</v>
      </c>
      <c r="V1200">
        <v>0.4054027</v>
      </c>
      <c r="W1200">
        <v>0.1074485</v>
      </c>
      <c r="X1200">
        <v>0.90780139999999998</v>
      </c>
      <c r="Y1200">
        <v>0.42879329999999999</v>
      </c>
      <c r="Z1200">
        <v>0.1008014</v>
      </c>
      <c r="AA1200">
        <v>0.89776129999999998</v>
      </c>
      <c r="AB1200">
        <v>32</v>
      </c>
      <c r="AC1200">
        <v>-6.7351999999999901</v>
      </c>
      <c r="AD1200">
        <v>-1.10210713732</v>
      </c>
      <c r="AE1200">
        <v>-8.5169000000000192</v>
      </c>
      <c r="AF1200">
        <v>4.7651057338092002</v>
      </c>
      <c r="AG1200">
        <v>-1.10210713732</v>
      </c>
      <c r="AH1200">
        <v>9.6333806719269592</v>
      </c>
      <c r="AI1200">
        <v>95.854968133598106</v>
      </c>
      <c r="AJ1200">
        <v>63.6809190444487</v>
      </c>
      <c r="AK1200">
        <v>10.8038370946052</v>
      </c>
      <c r="AL1200">
        <v>83.831746169880105</v>
      </c>
      <c r="AM1200">
        <v>65.935587522403395</v>
      </c>
      <c r="AN1200">
        <v>0.99999995558074894</v>
      </c>
    </row>
    <row r="1201" spans="1:40" x14ac:dyDescent="0.25">
      <c r="A1201" t="str">
        <f>"20190312164457252"</f>
        <v>20190312164457252</v>
      </c>
      <c r="B1201" t="str">
        <f>"1552380297242734"</f>
        <v>1552380297242734</v>
      </c>
      <c r="C1201" t="s">
        <v>40</v>
      </c>
      <c r="D1201">
        <v>5.6400499999999996</v>
      </c>
      <c r="E1201">
        <v>0.54815469999999999</v>
      </c>
      <c r="F1201" t="s">
        <v>46</v>
      </c>
      <c r="G1201">
        <v>-200.31720000000001</v>
      </c>
      <c r="H1201" s="1">
        <v>2.0146479999999998E-6</v>
      </c>
      <c r="I1201">
        <v>288.5401</v>
      </c>
      <c r="J1201">
        <v>-193.3836</v>
      </c>
      <c r="K1201">
        <v>1.101828</v>
      </c>
      <c r="L1201">
        <v>297.06880000000001</v>
      </c>
      <c r="M1201">
        <v>-0.21644070000000001</v>
      </c>
      <c r="N1201">
        <v>0</v>
      </c>
      <c r="O1201">
        <v>-0.97622249999999999</v>
      </c>
      <c r="P1201">
        <v>-0.59469090000000002</v>
      </c>
      <c r="Q1201">
        <v>0.10434740000000001</v>
      </c>
      <c r="R1201">
        <v>-0.79715380000000002</v>
      </c>
      <c r="S1201">
        <v>-1.8931880000000001</v>
      </c>
      <c r="T1201">
        <v>-0.29758390000000001</v>
      </c>
      <c r="U1201">
        <v>-2.3907470000000002</v>
      </c>
      <c r="V1201">
        <v>0.4098792</v>
      </c>
      <c r="W1201">
        <v>0.1084847</v>
      </c>
      <c r="X1201">
        <v>0.90566559999999896</v>
      </c>
      <c r="Y1201">
        <v>0.4332801</v>
      </c>
      <c r="Z1201">
        <v>9.9635710000000002E-2</v>
      </c>
      <c r="AA1201">
        <v>0.8957349</v>
      </c>
      <c r="AB1201">
        <v>32</v>
      </c>
      <c r="AC1201">
        <v>-6.93360000000001</v>
      </c>
      <c r="AD1201">
        <v>-1.101825985352</v>
      </c>
      <c r="AE1201">
        <v>-8.5287000000000095</v>
      </c>
      <c r="AF1201">
        <v>4.8741517257296403</v>
      </c>
      <c r="AG1201">
        <v>-1.101825985352</v>
      </c>
      <c r="AH1201">
        <v>9.7295555071125097</v>
      </c>
      <c r="AI1201">
        <v>95.781528085100405</v>
      </c>
      <c r="AJ1201">
        <v>63.390804398701299</v>
      </c>
      <c r="AK1201">
        <v>10.9378071802996</v>
      </c>
      <c r="AL1201">
        <v>83.772027681259203</v>
      </c>
      <c r="AM1201">
        <v>65.649807886244503</v>
      </c>
      <c r="AN1201">
        <v>1.0000000338750401</v>
      </c>
    </row>
    <row r="1202" spans="1:40" x14ac:dyDescent="0.25">
      <c r="A1202" t="str">
        <f>"20190312164457275"</f>
        <v>20190312164457275</v>
      </c>
      <c r="B1202" t="str">
        <f>"1552380297272991"</f>
        <v>1552380297272991</v>
      </c>
      <c r="C1202" t="s">
        <v>40</v>
      </c>
      <c r="D1202">
        <v>6.1895980000000002</v>
      </c>
      <c r="E1202">
        <v>0.56176719999999902</v>
      </c>
      <c r="F1202" t="s">
        <v>46</v>
      </c>
      <c r="G1202">
        <v>-201.92310000000001</v>
      </c>
      <c r="H1202" s="1">
        <v>2.8013289999999999E-6</v>
      </c>
      <c r="I1202">
        <v>287.68729999999999</v>
      </c>
      <c r="J1202">
        <v>-193.4632</v>
      </c>
      <c r="K1202">
        <v>1.101545</v>
      </c>
      <c r="L1202">
        <v>296.74880000000002</v>
      </c>
      <c r="M1202">
        <v>-0.2248637</v>
      </c>
      <c r="N1202">
        <v>0</v>
      </c>
      <c r="O1202">
        <v>-0.97431520000000005</v>
      </c>
      <c r="P1202">
        <v>-0.60562399999999905</v>
      </c>
      <c r="Q1202">
        <v>0.1046745</v>
      </c>
      <c r="R1202">
        <v>-0.78883669999999995</v>
      </c>
      <c r="S1202">
        <v>-2.0590519999999999</v>
      </c>
      <c r="T1202">
        <v>-0.26567210000000002</v>
      </c>
      <c r="U1202">
        <v>-2.262054</v>
      </c>
      <c r="V1202">
        <v>0.41463820000000001</v>
      </c>
      <c r="W1202">
        <v>0.1085246</v>
      </c>
      <c r="X1202">
        <v>0.90349190000000001</v>
      </c>
      <c r="Y1202">
        <v>0.48688779999999998</v>
      </c>
      <c r="Z1202">
        <v>8.9390529999999996E-2</v>
      </c>
      <c r="AA1202">
        <v>0.86887839999999905</v>
      </c>
      <c r="AB1202">
        <v>32</v>
      </c>
      <c r="AC1202">
        <v>-8.4598999999999993</v>
      </c>
      <c r="AD1202">
        <v>-1.1015421986709999</v>
      </c>
      <c r="AE1202">
        <v>-9.0615000000000201</v>
      </c>
      <c r="AF1202">
        <v>6.1568486298880902</v>
      </c>
      <c r="AG1202">
        <v>-1.1015421986709999</v>
      </c>
      <c r="AH1202">
        <v>10.647795850359801</v>
      </c>
      <c r="AI1202">
        <v>95.117673186797305</v>
      </c>
      <c r="AJ1202">
        <v>59.9623170740375</v>
      </c>
      <c r="AK1202">
        <v>12.348916419579</v>
      </c>
      <c r="AL1202">
        <v>83.769727912599606</v>
      </c>
      <c r="AM1202">
        <v>65.348260001440295</v>
      </c>
      <c r="AN1202">
        <v>1.0000000195350001</v>
      </c>
    </row>
    <row r="1203" spans="1:40" x14ac:dyDescent="0.25">
      <c r="A1203" t="str">
        <f>"20190312164457297"</f>
        <v>20190312164457297</v>
      </c>
      <c r="B1203" t="str">
        <f>"1552380297292510"</f>
        <v>1552380297292510</v>
      </c>
      <c r="C1203" t="s">
        <v>40</v>
      </c>
      <c r="D1203">
        <v>5.8262890000000001</v>
      </c>
      <c r="E1203">
        <v>0.5617548</v>
      </c>
      <c r="F1203" t="s">
        <v>46</v>
      </c>
      <c r="G1203">
        <v>-198.8151</v>
      </c>
      <c r="H1203" s="1">
        <v>1.56371E-6</v>
      </c>
      <c r="I1203">
        <v>291.31279999999998</v>
      </c>
      <c r="J1203">
        <v>-193.54040000000001</v>
      </c>
      <c r="K1203">
        <v>1.1012789999999999</v>
      </c>
      <c r="L1203">
        <v>296.4502</v>
      </c>
      <c r="M1203">
        <v>-0.2330295</v>
      </c>
      <c r="N1203">
        <v>0</v>
      </c>
      <c r="O1203">
        <v>-0.9723929</v>
      </c>
      <c r="P1203">
        <v>-0.61521870000000001</v>
      </c>
      <c r="Q1203">
        <v>0.104252</v>
      </c>
      <c r="R1203">
        <v>-0.78143289999999999</v>
      </c>
      <c r="S1203">
        <v>-2.1655880000000001</v>
      </c>
      <c r="T1203">
        <v>-0.44572479999999998</v>
      </c>
      <c r="U1203">
        <v>-2.1995849999999999</v>
      </c>
      <c r="V1203">
        <v>0.41815479999999999</v>
      </c>
      <c r="W1203">
        <v>0.107851</v>
      </c>
      <c r="X1203">
        <v>0.90195049999999999</v>
      </c>
      <c r="Y1203">
        <v>0.50838909999999904</v>
      </c>
      <c r="Z1203">
        <v>0.14819199999999999</v>
      </c>
      <c r="AA1203">
        <v>0.84828040000000005</v>
      </c>
      <c r="AB1203">
        <v>32</v>
      </c>
      <c r="AC1203">
        <v>-5.2746999999999904</v>
      </c>
      <c r="AD1203">
        <v>-1.10127743629</v>
      </c>
      <c r="AE1203">
        <v>-5.1374000000000102</v>
      </c>
      <c r="AF1203">
        <v>3.8461687771117199</v>
      </c>
      <c r="AG1203">
        <v>-1.10127743629</v>
      </c>
      <c r="AH1203">
        <v>6.0889844652758702</v>
      </c>
      <c r="AI1203">
        <v>98.693914689443403</v>
      </c>
      <c r="AJ1203">
        <v>57.7210303397476</v>
      </c>
      <c r="AK1203">
        <v>7.2857091674099497</v>
      </c>
      <c r="AL1203">
        <v>83.808550032801804</v>
      </c>
      <c r="AM1203">
        <v>65.127009441580498</v>
      </c>
      <c r="AN1203">
        <v>0.99999998970714499</v>
      </c>
    </row>
    <row r="1204" spans="1:40" x14ac:dyDescent="0.25">
      <c r="A1204" t="str">
        <f>"20190312164457320"</f>
        <v>20190312164457320</v>
      </c>
      <c r="B1204" t="str">
        <f>"1552380297313006"</f>
        <v>1552380297313006</v>
      </c>
      <c r="C1204" t="s">
        <v>40</v>
      </c>
      <c r="D1204">
        <v>5.9616429999999996</v>
      </c>
      <c r="E1204">
        <v>0.55861149999999904</v>
      </c>
      <c r="F1204" t="s">
        <v>46</v>
      </c>
      <c r="G1204">
        <v>-199.10550000000001</v>
      </c>
      <c r="H1204" s="1">
        <v>1.6028149999999999E-6</v>
      </c>
      <c r="I1204">
        <v>290.94459999999998</v>
      </c>
      <c r="J1204">
        <v>-193.63079999999999</v>
      </c>
      <c r="K1204">
        <v>1.100973</v>
      </c>
      <c r="L1204">
        <v>296.11430000000001</v>
      </c>
      <c r="M1204">
        <v>-0.24261150000000001</v>
      </c>
      <c r="N1204">
        <v>0</v>
      </c>
      <c r="O1204">
        <v>-0.97004480000000004</v>
      </c>
      <c r="P1204">
        <v>-0.62555289999999997</v>
      </c>
      <c r="Q1204">
        <v>0.1042724</v>
      </c>
      <c r="R1204">
        <v>-0.77318219999999904</v>
      </c>
      <c r="S1204">
        <v>-2.1934969999999998</v>
      </c>
      <c r="T1204">
        <v>-0.43407269999999998</v>
      </c>
      <c r="U1204">
        <v>-2.1700740000000001</v>
      </c>
      <c r="V1204">
        <v>0.42133599999999999</v>
      </c>
      <c r="W1204">
        <v>0.10760450000000001</v>
      </c>
      <c r="X1204">
        <v>0.90049829999999997</v>
      </c>
      <c r="Y1204">
        <v>0.51147330000000002</v>
      </c>
      <c r="Z1204">
        <v>0.14455270000000001</v>
      </c>
      <c r="AA1204">
        <v>0.84705350000000001</v>
      </c>
      <c r="AB1204">
        <v>32</v>
      </c>
      <c r="AC1204">
        <v>-5.4747000000000101</v>
      </c>
      <c r="AD1204">
        <v>-1.1009713971849999</v>
      </c>
      <c r="AE1204">
        <v>-5.1697000000000299</v>
      </c>
      <c r="AF1204">
        <v>3.97187159708426</v>
      </c>
      <c r="AG1204">
        <v>-1.1009713971849999</v>
      </c>
      <c r="AH1204">
        <v>6.21077145081453</v>
      </c>
      <c r="AI1204">
        <v>98.493823815992101</v>
      </c>
      <c r="AJ1204">
        <v>57.400539852838897</v>
      </c>
      <c r="AK1204">
        <v>7.4539643154094204</v>
      </c>
      <c r="AL1204">
        <v>83.822755998709994</v>
      </c>
      <c r="AM1204">
        <v>64.925479755698007</v>
      </c>
      <c r="AN1204">
        <v>0.99999997080956904</v>
      </c>
    </row>
    <row r="1205" spans="1:40" x14ac:dyDescent="0.25">
      <c r="A1205" t="str">
        <f>"20190312164457344"</f>
        <v>20190312164457344</v>
      </c>
      <c r="B1205" t="str">
        <f>"1552380297332526"</f>
        <v>1552380297332526</v>
      </c>
      <c r="C1205" t="s">
        <v>40</v>
      </c>
      <c r="D1205">
        <v>5.6885750000000002</v>
      </c>
      <c r="E1205">
        <v>0.5566584</v>
      </c>
      <c r="F1205" t="s">
        <v>46</v>
      </c>
      <c r="G1205">
        <v>-200.26230000000001</v>
      </c>
      <c r="H1205" s="1">
        <v>1.8886790000000001E-6</v>
      </c>
      <c r="I1205">
        <v>289.67320000000001</v>
      </c>
      <c r="J1205">
        <v>-193.7225</v>
      </c>
      <c r="K1205">
        <v>1.100654</v>
      </c>
      <c r="L1205">
        <v>295.7878</v>
      </c>
      <c r="M1205">
        <v>-0.2523396</v>
      </c>
      <c r="N1205">
        <v>0</v>
      </c>
      <c r="O1205">
        <v>-0.96755769999999997</v>
      </c>
      <c r="P1205">
        <v>-0.63591549999999997</v>
      </c>
      <c r="Q1205">
        <v>0.1050869</v>
      </c>
      <c r="R1205">
        <v>-0.764571</v>
      </c>
      <c r="S1205">
        <v>-2.207138</v>
      </c>
      <c r="T1205">
        <v>-0.36643239999999999</v>
      </c>
      <c r="U1205">
        <v>-2.1437379999999999</v>
      </c>
      <c r="V1205">
        <v>0.42456179999999899</v>
      </c>
      <c r="W1205">
        <v>0.1081491</v>
      </c>
      <c r="X1205">
        <v>0.89891659999999995</v>
      </c>
      <c r="Y1205">
        <v>0.51280729999999997</v>
      </c>
      <c r="Z1205">
        <v>0.1227355</v>
      </c>
      <c r="AA1205">
        <v>0.84968509999999997</v>
      </c>
      <c r="AB1205">
        <v>32</v>
      </c>
      <c r="AC1205">
        <v>-6.5398000000000103</v>
      </c>
      <c r="AD1205">
        <v>-1.1006521113209999</v>
      </c>
      <c r="AE1205">
        <v>-6.1145999999999896</v>
      </c>
      <c r="AF1205">
        <v>4.7138124682487499</v>
      </c>
      <c r="AG1205">
        <v>-1.1006521113209999</v>
      </c>
      <c r="AH1205">
        <v>7.4544120390384396</v>
      </c>
      <c r="AI1205">
        <v>97.113382747256694</v>
      </c>
      <c r="AJ1205">
        <v>57.692703481911501</v>
      </c>
      <c r="AK1205">
        <v>8.8881787731646202</v>
      </c>
      <c r="AL1205">
        <v>83.791369746225698</v>
      </c>
      <c r="AM1205">
        <v>64.718452211626001</v>
      </c>
      <c r="AN1205">
        <v>1.0000000018027999</v>
      </c>
    </row>
    <row r="1206" spans="1:40" x14ac:dyDescent="0.25">
      <c r="A1206" t="str">
        <f>"20190312164457366"</f>
        <v>20190312164457366</v>
      </c>
      <c r="B1206" t="str">
        <f>"1552380297362783"</f>
        <v>1552380297362783</v>
      </c>
      <c r="C1206" t="s">
        <v>40</v>
      </c>
      <c r="D1206">
        <v>5.8830920000000004</v>
      </c>
      <c r="E1206">
        <v>0.55450169999999999</v>
      </c>
      <c r="F1206" t="s">
        <v>46</v>
      </c>
      <c r="G1206">
        <v>-201.14320000000001</v>
      </c>
      <c r="H1206" s="1">
        <v>2.364447E-6</v>
      </c>
      <c r="I1206">
        <v>288.72840000000002</v>
      </c>
      <c r="J1206">
        <v>-193.81379999999999</v>
      </c>
      <c r="K1206">
        <v>1.100339</v>
      </c>
      <c r="L1206">
        <v>295.47550000000001</v>
      </c>
      <c r="M1206">
        <v>-0.26206020000000002</v>
      </c>
      <c r="N1206">
        <v>0</v>
      </c>
      <c r="O1206">
        <v>-0.96496839999999995</v>
      </c>
      <c r="P1206">
        <v>-0.64636000000000005</v>
      </c>
      <c r="Q1206">
        <v>0.1057094</v>
      </c>
      <c r="R1206">
        <v>-0.75567530000000005</v>
      </c>
      <c r="S1206">
        <v>-2.2260439999999999</v>
      </c>
      <c r="T1206">
        <v>-0.33017099999999999</v>
      </c>
      <c r="U1206">
        <v>-2.1176759999999999</v>
      </c>
      <c r="V1206">
        <v>0.42799500000000001</v>
      </c>
      <c r="W1206">
        <v>0.1084928</v>
      </c>
      <c r="X1206">
        <v>0.89724559999999998</v>
      </c>
      <c r="Y1206">
        <v>0.51402840000000005</v>
      </c>
      <c r="Z1206">
        <v>0.11091620000000001</v>
      </c>
      <c r="AA1206">
        <v>0.85057190000000005</v>
      </c>
      <c r="AB1206">
        <v>32</v>
      </c>
      <c r="AC1206">
        <v>-7.3294000000000201</v>
      </c>
      <c r="AD1206">
        <v>-1.100336635553</v>
      </c>
      <c r="AE1206">
        <v>-6.7470999999999801</v>
      </c>
      <c r="AF1206">
        <v>5.2409801907628504</v>
      </c>
      <c r="AG1206">
        <v>-1.100336635553</v>
      </c>
      <c r="AH1206">
        <v>8.3305287982087801</v>
      </c>
      <c r="AI1206">
        <v>96.379163597405807</v>
      </c>
      <c r="AJ1206">
        <v>57.824797097407902</v>
      </c>
      <c r="AK1206">
        <v>9.9033491369987896</v>
      </c>
      <c r="AL1206">
        <v>83.771560850733195</v>
      </c>
      <c r="AM1206">
        <v>64.498397638069804</v>
      </c>
      <c r="AN1206">
        <v>1.0000000371980899</v>
      </c>
    </row>
    <row r="1207" spans="1:40" x14ac:dyDescent="0.25">
      <c r="A1207" t="str">
        <f>"20190312164457389"</f>
        <v>20190312164457389</v>
      </c>
      <c r="B1207" t="str">
        <f>"1552380297383278"</f>
        <v>1552380297383278</v>
      </c>
      <c r="C1207" t="s">
        <v>40</v>
      </c>
      <c r="D1207">
        <v>5.6918389999999999</v>
      </c>
      <c r="E1207">
        <v>0.5535892</v>
      </c>
      <c r="F1207" t="s">
        <v>46</v>
      </c>
      <c r="G1207">
        <v>-201.71090000000001</v>
      </c>
      <c r="H1207" s="1">
        <v>2.6715120000000001E-6</v>
      </c>
      <c r="I1207">
        <v>288.09570000000002</v>
      </c>
      <c r="J1207">
        <v>-193.9091</v>
      </c>
      <c r="K1207">
        <v>1.100006</v>
      </c>
      <c r="L1207">
        <v>295.1628</v>
      </c>
      <c r="M1207">
        <v>-0.27221719999999999</v>
      </c>
      <c r="N1207">
        <v>0</v>
      </c>
      <c r="O1207">
        <v>-0.9621499</v>
      </c>
      <c r="P1207">
        <v>-0.65650719999999996</v>
      </c>
      <c r="Q1207">
        <v>0.1064073</v>
      </c>
      <c r="R1207">
        <v>-0.74677709999999997</v>
      </c>
      <c r="S1207">
        <v>-2.2424620000000002</v>
      </c>
      <c r="T1207">
        <v>-0.31245450000000002</v>
      </c>
      <c r="U1207">
        <v>-2.0955810000000001</v>
      </c>
      <c r="V1207">
        <v>0.43079329999999999</v>
      </c>
      <c r="W1207">
        <v>0.10891140000000001</v>
      </c>
      <c r="X1207">
        <v>0.89585459999999995</v>
      </c>
      <c r="Y1207">
        <v>0.51304519999999998</v>
      </c>
      <c r="Z1207">
        <v>0.10511570000000001</v>
      </c>
      <c r="AA1207">
        <v>0.85190109999999997</v>
      </c>
      <c r="AB1207">
        <v>32</v>
      </c>
      <c r="AC1207">
        <v>-7.8018000000000098</v>
      </c>
      <c r="AD1207">
        <v>-1.100003328488</v>
      </c>
      <c r="AE1207">
        <v>-7.0670999999999804</v>
      </c>
      <c r="AF1207">
        <v>5.5228697987453303</v>
      </c>
      <c r="AG1207">
        <v>-1.100003328488</v>
      </c>
      <c r="AH1207">
        <v>8.8277374652492497</v>
      </c>
      <c r="AI1207">
        <v>96.030205537997006</v>
      </c>
      <c r="AJ1207">
        <v>57.9687959267374</v>
      </c>
      <c r="AK1207">
        <v>10.4709620805322</v>
      </c>
      <c r="AL1207">
        <v>83.747433714661597</v>
      </c>
      <c r="AM1207">
        <v>64.318302701724207</v>
      </c>
      <c r="AN1207">
        <v>1.000000012358</v>
      </c>
    </row>
    <row r="1208" spans="1:40" x14ac:dyDescent="0.25">
      <c r="A1208" t="str">
        <f>"20190312164457411"</f>
        <v>20190312164457411</v>
      </c>
      <c r="B1208" t="str">
        <f>"1552380297402798"</f>
        <v>1552380297402798</v>
      </c>
      <c r="C1208" t="s">
        <v>40</v>
      </c>
      <c r="D1208">
        <v>5.6472509999999998</v>
      </c>
      <c r="E1208">
        <v>0.55300229999999995</v>
      </c>
      <c r="F1208" t="s">
        <v>46</v>
      </c>
      <c r="G1208">
        <v>-202.21129999999999</v>
      </c>
      <c r="H1208" s="1">
        <v>2.9379599999999998E-6</v>
      </c>
      <c r="I1208">
        <v>287.58640000000003</v>
      </c>
      <c r="J1208">
        <v>-194.0069</v>
      </c>
      <c r="K1208">
        <v>1.0996699999999999</v>
      </c>
      <c r="L1208">
        <v>294.85579999999999</v>
      </c>
      <c r="M1208">
        <v>-0.28265469999999998</v>
      </c>
      <c r="N1208">
        <v>0</v>
      </c>
      <c r="O1208">
        <v>-0.95913309999999996</v>
      </c>
      <c r="P1208">
        <v>-0.66687050000000003</v>
      </c>
      <c r="Q1208">
        <v>0.1072872</v>
      </c>
      <c r="R1208">
        <v>-0.73740989999999995</v>
      </c>
      <c r="S1208">
        <v>-2.2660520000000002</v>
      </c>
      <c r="T1208">
        <v>-0.30024279999999998</v>
      </c>
      <c r="U1208">
        <v>-2.0679319999999999</v>
      </c>
      <c r="V1208">
        <v>0.43372339999999998</v>
      </c>
      <c r="W1208">
        <v>0.1094982</v>
      </c>
      <c r="X1208">
        <v>0.8943681</v>
      </c>
      <c r="Y1208">
        <v>0.5141327</v>
      </c>
      <c r="Z1208">
        <v>0.10109849999999999</v>
      </c>
      <c r="AA1208">
        <v>0.85173149999999997</v>
      </c>
      <c r="AB1208">
        <v>32</v>
      </c>
      <c r="AC1208">
        <v>-8.2043999999999908</v>
      </c>
      <c r="AD1208">
        <v>-1.09966706204</v>
      </c>
      <c r="AE1208">
        <v>-7.2693999999999601</v>
      </c>
      <c r="AF1208">
        <v>5.7569373720240602</v>
      </c>
      <c r="AG1208">
        <v>-1.09966706204</v>
      </c>
      <c r="AH1208">
        <v>9.1995390816074298</v>
      </c>
      <c r="AI1208">
        <v>95.786015428597196</v>
      </c>
      <c r="AJ1208">
        <v>57.962268014702502</v>
      </c>
      <c r="AK1208">
        <v>10.907938158367299</v>
      </c>
      <c r="AL1208">
        <v>83.713610631792605</v>
      </c>
      <c r="AM1208">
        <v>64.128955333621803</v>
      </c>
      <c r="AN1208">
        <v>1.0000000709042001</v>
      </c>
    </row>
    <row r="1209" spans="1:40" x14ac:dyDescent="0.25">
      <c r="A1209" t="str">
        <f>"20190312164457433"</f>
        <v>20190312164457433</v>
      </c>
      <c r="B1209" t="str">
        <f>"1552380297422319"</f>
        <v>1552380297422319</v>
      </c>
      <c r="C1209" t="s">
        <v>40</v>
      </c>
      <c r="D1209">
        <v>5.7963110000000002</v>
      </c>
      <c r="E1209">
        <v>0.5524114</v>
      </c>
      <c r="F1209" t="s">
        <v>46</v>
      </c>
      <c r="G1209">
        <v>-202.61099999999999</v>
      </c>
      <c r="H1209" s="1">
        <v>3.1483999999999998E-6</v>
      </c>
      <c r="I1209">
        <v>287.20659999999998</v>
      </c>
      <c r="J1209">
        <v>-194.10900000000001</v>
      </c>
      <c r="K1209">
        <v>1.099316</v>
      </c>
      <c r="L1209">
        <v>294.54829999999998</v>
      </c>
      <c r="M1209">
        <v>-0.29355320000000001</v>
      </c>
      <c r="N1209">
        <v>0</v>
      </c>
      <c r="O1209">
        <v>-0.95585129999999996</v>
      </c>
      <c r="P1209">
        <v>-0.67740519999999904</v>
      </c>
      <c r="Q1209">
        <v>0.108484</v>
      </c>
      <c r="R1209">
        <v>-0.72756719999999997</v>
      </c>
      <c r="S1209">
        <v>-2.292313</v>
      </c>
      <c r="T1209">
        <v>-0.29297659999999998</v>
      </c>
      <c r="U1209">
        <v>-2.0379330000000002</v>
      </c>
      <c r="V1209">
        <v>0.43658560000000002</v>
      </c>
      <c r="W1209">
        <v>0.1103934</v>
      </c>
      <c r="X1209">
        <v>0.89286409999999905</v>
      </c>
      <c r="Y1209">
        <v>0.51564030000000005</v>
      </c>
      <c r="Z1209">
        <v>9.8694160000000003E-2</v>
      </c>
      <c r="AA1209">
        <v>0.85110200000000003</v>
      </c>
      <c r="AB1209">
        <v>32</v>
      </c>
      <c r="AC1209">
        <v>-8.5019999999999794</v>
      </c>
      <c r="AD1209">
        <v>-1.0993128515999999</v>
      </c>
      <c r="AE1209">
        <v>-7.3417000000000003</v>
      </c>
      <c r="AF1209">
        <v>5.9153381391291999</v>
      </c>
      <c r="AG1209">
        <v>-1.0993128515999999</v>
      </c>
      <c r="AH1209">
        <v>9.42393991959338</v>
      </c>
      <c r="AI1209">
        <v>95.642520699507003</v>
      </c>
      <c r="AJ1209">
        <v>57.8838085317389</v>
      </c>
      <c r="AK1209">
        <v>11.180803086274</v>
      </c>
      <c r="AL1209">
        <v>83.662006123613807</v>
      </c>
      <c r="AM1209">
        <v>63.942658635975199</v>
      </c>
      <c r="AN1209">
        <v>0.99999999497986503</v>
      </c>
    </row>
    <row r="1210" spans="1:40" x14ac:dyDescent="0.25">
      <c r="A1210" t="str">
        <f>"20190312164457456"</f>
        <v>20190312164457456</v>
      </c>
      <c r="B1210" t="str">
        <f>"1552380297452575"</f>
        <v>1552380297452575</v>
      </c>
      <c r="C1210" t="s">
        <v>40</v>
      </c>
      <c r="D1210">
        <v>5.9264020000000004</v>
      </c>
      <c r="E1210">
        <v>0.55150779999999999</v>
      </c>
      <c r="F1210" t="s">
        <v>46</v>
      </c>
      <c r="G1210">
        <v>-202.9922</v>
      </c>
      <c r="H1210" s="1">
        <v>3.3484380000000002E-6</v>
      </c>
      <c r="I1210">
        <v>286.85230000000001</v>
      </c>
      <c r="J1210">
        <v>-194.21690000000001</v>
      </c>
      <c r="K1210">
        <v>1.098976</v>
      </c>
      <c r="L1210">
        <v>294.23649999999998</v>
      </c>
      <c r="M1210">
        <v>-0.30501539999999999</v>
      </c>
      <c r="N1210">
        <v>0</v>
      </c>
      <c r="O1210">
        <v>-0.95225289999999996</v>
      </c>
      <c r="P1210">
        <v>-0.68791630000000004</v>
      </c>
      <c r="Q1210">
        <v>0.11020969999999999</v>
      </c>
      <c r="R1210">
        <v>-0.71737390000000001</v>
      </c>
      <c r="S1210">
        <v>-2.3178709999999998</v>
      </c>
      <c r="T1210">
        <v>-0.28684090000000001</v>
      </c>
      <c r="U1210">
        <v>-2.0081180000000001</v>
      </c>
      <c r="V1210">
        <v>0.43906669999999998</v>
      </c>
      <c r="W1210">
        <v>0.111835</v>
      </c>
      <c r="X1210">
        <v>0.89146700000000001</v>
      </c>
      <c r="Y1210">
        <v>0.51641680000000001</v>
      </c>
      <c r="Z1210">
        <v>9.6635849999999995E-2</v>
      </c>
      <c r="AA1210">
        <v>0.85086729999999999</v>
      </c>
      <c r="AB1210">
        <v>32</v>
      </c>
      <c r="AC1210">
        <v>-8.7752999999999801</v>
      </c>
      <c r="AD1210">
        <v>-1.098972651562</v>
      </c>
      <c r="AE1210">
        <v>-7.3841999999999599</v>
      </c>
      <c r="AF1210">
        <v>6.0490170585672001</v>
      </c>
      <c r="AG1210">
        <v>-1.098972651562</v>
      </c>
      <c r="AH1210">
        <v>9.6207627889633205</v>
      </c>
      <c r="AI1210">
        <v>95.523502213719496</v>
      </c>
      <c r="AJ1210">
        <v>57.840531903091403</v>
      </c>
      <c r="AK1210">
        <v>11.4174176110545</v>
      </c>
      <c r="AL1210">
        <v>83.578894041106807</v>
      </c>
      <c r="AM1210">
        <v>63.778760522086102</v>
      </c>
      <c r="AN1210">
        <v>1.0000000231814401</v>
      </c>
    </row>
    <row r="1211" spans="1:40" x14ac:dyDescent="0.25">
      <c r="A1211" t="str">
        <f>"20190312164457478"</f>
        <v>20190312164457478</v>
      </c>
      <c r="B1211" t="str">
        <f>"1552380297473070"</f>
        <v>1552380297473070</v>
      </c>
      <c r="C1211" t="s">
        <v>40</v>
      </c>
      <c r="D1211">
        <v>5.7595989999999997</v>
      </c>
      <c r="E1211">
        <v>0.55068790000000001</v>
      </c>
      <c r="F1211" t="s">
        <v>46</v>
      </c>
      <c r="G1211">
        <v>-203.44409999999999</v>
      </c>
      <c r="H1211" s="1">
        <v>3.5845889999999999E-6</v>
      </c>
      <c r="I1211">
        <v>286.44319999999999</v>
      </c>
      <c r="J1211">
        <v>-194.3287</v>
      </c>
      <c r="K1211">
        <v>1.098652</v>
      </c>
      <c r="L1211">
        <v>293.92660000000001</v>
      </c>
      <c r="M1211">
        <v>-0.31681540000000002</v>
      </c>
      <c r="N1211">
        <v>0</v>
      </c>
      <c r="O1211">
        <v>-0.94838979999999995</v>
      </c>
      <c r="P1211">
        <v>-0.69890959999999902</v>
      </c>
      <c r="Q1211">
        <v>0.11152049999999999</v>
      </c>
      <c r="R1211">
        <v>-0.70646239999999905</v>
      </c>
      <c r="S1211">
        <v>-2.3424990000000001</v>
      </c>
      <c r="T1211">
        <v>-0.27899659999999998</v>
      </c>
      <c r="U1211">
        <v>-1.978485</v>
      </c>
      <c r="V1211">
        <v>0.44195479999999998</v>
      </c>
      <c r="W1211">
        <v>0.1128556</v>
      </c>
      <c r="X1211">
        <v>0.88990990000000003</v>
      </c>
      <c r="Y1211">
        <v>0.51668979999999998</v>
      </c>
      <c r="Z1211">
        <v>9.3984399999999996E-2</v>
      </c>
      <c r="AA1211">
        <v>0.85099859999999905</v>
      </c>
      <c r="AB1211">
        <v>32</v>
      </c>
      <c r="AC1211">
        <v>-9.1153999999999904</v>
      </c>
      <c r="AD1211">
        <v>-1.0986484154109999</v>
      </c>
      <c r="AE1211">
        <v>-7.4834000000000103</v>
      </c>
      <c r="AF1211">
        <v>6.22069307599563</v>
      </c>
      <c r="AG1211">
        <v>-1.0986484154109999</v>
      </c>
      <c r="AH1211">
        <v>9.9000897732128692</v>
      </c>
      <c r="AI1211">
        <v>95.367967009128407</v>
      </c>
      <c r="AJ1211">
        <v>57.856917228367202</v>
      </c>
      <c r="AK1211">
        <v>11.743756988464</v>
      </c>
      <c r="AL1211">
        <v>83.520045460211193</v>
      </c>
      <c r="AM1211">
        <v>63.589685955114199</v>
      </c>
      <c r="AN1211">
        <v>1.0000000309062</v>
      </c>
    </row>
    <row r="1212" spans="1:40" x14ac:dyDescent="0.25">
      <c r="A1212" t="str">
        <f>"20190312164457510"</f>
        <v>20190312164457510</v>
      </c>
      <c r="B1212" t="str">
        <f>"1552380297503326"</f>
        <v>1552380297503326</v>
      </c>
      <c r="C1212" t="s">
        <v>40</v>
      </c>
      <c r="D1212">
        <v>5.8534569999999997</v>
      </c>
      <c r="E1212">
        <v>0.55003139999999995</v>
      </c>
      <c r="F1212" t="s">
        <v>46</v>
      </c>
      <c r="G1212">
        <v>-203.85159999999999</v>
      </c>
      <c r="H1212" s="1">
        <v>3.7946789999999999E-6</v>
      </c>
      <c r="I1212">
        <v>286.10739999999998</v>
      </c>
      <c r="J1212">
        <v>-194.48769999999999</v>
      </c>
      <c r="K1212">
        <v>1.098217</v>
      </c>
      <c r="L1212">
        <v>293.50619999999998</v>
      </c>
      <c r="M1212">
        <v>-0.33346019999999998</v>
      </c>
      <c r="N1212">
        <v>0</v>
      </c>
      <c r="O1212">
        <v>-0.94266280000000002</v>
      </c>
      <c r="P1212">
        <v>-0.71258030000000006</v>
      </c>
      <c r="Q1212">
        <v>0.1139439</v>
      </c>
      <c r="R1212">
        <v>-0.69227649999999996</v>
      </c>
      <c r="S1212">
        <v>-2.3694609999999998</v>
      </c>
      <c r="T1212">
        <v>-0.27336240000000001</v>
      </c>
      <c r="U1212">
        <v>-1.945557</v>
      </c>
      <c r="V1212">
        <v>0.4440019</v>
      </c>
      <c r="W1212">
        <v>0.1149405</v>
      </c>
      <c r="X1212">
        <v>0.8886231</v>
      </c>
      <c r="Y1212">
        <v>0.51359769999999905</v>
      </c>
      <c r="Z1212">
        <v>9.1958970000000001E-2</v>
      </c>
      <c r="AA1212">
        <v>0.85308909999999905</v>
      </c>
      <c r="AB1212">
        <v>32</v>
      </c>
      <c r="AC1212">
        <v>-9.3638999999999992</v>
      </c>
      <c r="AD1212">
        <v>-1.0982132053210001</v>
      </c>
      <c r="AE1212">
        <v>-7.3987999999999898</v>
      </c>
      <c r="AF1212">
        <v>6.3069943128752604</v>
      </c>
      <c r="AG1212">
        <v>-1.0982132053210001</v>
      </c>
      <c r="AH1212">
        <v>10.013233249392799</v>
      </c>
      <c r="AI1212">
        <v>95.301960102208497</v>
      </c>
      <c r="AJ1212">
        <v>57.794572330456802</v>
      </c>
      <c r="AK1212">
        <v>11.8848260237046</v>
      </c>
      <c r="AL1212">
        <v>83.399806871966206</v>
      </c>
      <c r="AM1212">
        <v>63.450923299313402</v>
      </c>
      <c r="AN1212">
        <v>1.00000000979873</v>
      </c>
    </row>
    <row r="1213" spans="1:40" x14ac:dyDescent="0.25">
      <c r="A1213" t="str">
        <f>"20190312164457533"</f>
        <v>20190312164457533</v>
      </c>
      <c r="B1213" t="str">
        <f>"1552380297522848"</f>
        <v>1552380297522848</v>
      </c>
      <c r="C1213" t="s">
        <v>40</v>
      </c>
      <c r="D1213">
        <v>5.6568100000000001</v>
      </c>
      <c r="E1213">
        <v>0.54918650000000002</v>
      </c>
      <c r="F1213" t="s">
        <v>46</v>
      </c>
      <c r="G1213">
        <v>-204.434</v>
      </c>
      <c r="H1213" s="1">
        <v>4.0934700000000003E-6</v>
      </c>
      <c r="I1213">
        <v>285.64359999999999</v>
      </c>
      <c r="J1213">
        <v>-194.61580000000001</v>
      </c>
      <c r="K1213">
        <v>1.0978829999999999</v>
      </c>
      <c r="L1213">
        <v>293.18520000000001</v>
      </c>
      <c r="M1213">
        <v>-0.34675030000000001</v>
      </c>
      <c r="N1213">
        <v>0</v>
      </c>
      <c r="O1213">
        <v>-0.93785269999999998</v>
      </c>
      <c r="P1213">
        <v>-0.72262389999999999</v>
      </c>
      <c r="Q1213">
        <v>0.11474719999999999</v>
      </c>
      <c r="R1213">
        <v>-0.68165089999999995</v>
      </c>
      <c r="S1213">
        <v>-2.4053040000000001</v>
      </c>
      <c r="T1213">
        <v>-0.26557900000000001</v>
      </c>
      <c r="U1213">
        <v>-1.9013979999999999</v>
      </c>
      <c r="V1213">
        <v>0.4446003</v>
      </c>
      <c r="W1213">
        <v>0.11551649999999999</v>
      </c>
      <c r="X1213">
        <v>0.88824919999999996</v>
      </c>
      <c r="Y1213">
        <v>0.51750180000000001</v>
      </c>
      <c r="Z1213">
        <v>8.9330430000000002E-2</v>
      </c>
      <c r="AA1213">
        <v>0.85100640000000005</v>
      </c>
      <c r="AB1213">
        <v>32</v>
      </c>
      <c r="AC1213">
        <v>-9.8182000000000098</v>
      </c>
      <c r="AD1213">
        <v>-1.0978789065300001</v>
      </c>
      <c r="AE1213">
        <v>-7.5416000000000096</v>
      </c>
      <c r="AF1213">
        <v>6.5421736187371602</v>
      </c>
      <c r="AG1213">
        <v>-1.0978789065300001</v>
      </c>
      <c r="AH1213">
        <v>10.396644220734499</v>
      </c>
      <c r="AI1213">
        <v>95.107331712969</v>
      </c>
      <c r="AJ1213">
        <v>57.819508443739302</v>
      </c>
      <c r="AK1213">
        <v>12.332703872372701</v>
      </c>
      <c r="AL1213">
        <v>83.366583567597104</v>
      </c>
      <c r="AM1213">
        <v>63.410406374045301</v>
      </c>
      <c r="AN1213">
        <v>1.00000006491648</v>
      </c>
    </row>
    <row r="1214" spans="1:40" x14ac:dyDescent="0.25">
      <c r="A1214" t="str">
        <f>"20190312164457556"</f>
        <v>20190312164457556</v>
      </c>
      <c r="B1214" t="str">
        <f>"1552380297553102"</f>
        <v>1552380297553102</v>
      </c>
      <c r="C1214" t="s">
        <v>40</v>
      </c>
      <c r="D1214">
        <v>5.6482349999999997</v>
      </c>
      <c r="E1214">
        <v>0.54828710000000003</v>
      </c>
      <c r="F1214" t="s">
        <v>46</v>
      </c>
      <c r="G1214">
        <v>-204.71090000000001</v>
      </c>
      <c r="H1214" s="1">
        <v>4.2363609999999998E-6</v>
      </c>
      <c r="I1214">
        <v>285.41390000000001</v>
      </c>
      <c r="J1214">
        <v>-194.7406</v>
      </c>
      <c r="K1214">
        <v>1.0975699999999999</v>
      </c>
      <c r="L1214">
        <v>292.88529999999997</v>
      </c>
      <c r="M1214">
        <v>-0.35953499999999999</v>
      </c>
      <c r="N1214">
        <v>0</v>
      </c>
      <c r="O1214">
        <v>-0.93302379999999996</v>
      </c>
      <c r="P1214">
        <v>-0.73223819999999995</v>
      </c>
      <c r="Q1214">
        <v>0.1155935</v>
      </c>
      <c r="R1214">
        <v>-0.67116730000000002</v>
      </c>
      <c r="S1214">
        <v>-2.4293670000000001</v>
      </c>
      <c r="T1214">
        <v>-0.2642024</v>
      </c>
      <c r="U1214">
        <v>-1.8701479999999999</v>
      </c>
      <c r="V1214">
        <v>0.44524979999999997</v>
      </c>
      <c r="W1214">
        <v>0.11615540000000001</v>
      </c>
      <c r="X1214">
        <v>0.88784039999999997</v>
      </c>
      <c r="Y1214">
        <v>0.51681029999999994</v>
      </c>
      <c r="Z1214">
        <v>8.8758100000000006E-2</v>
      </c>
      <c r="AA1214">
        <v>0.85148639999999998</v>
      </c>
      <c r="AB1214">
        <v>32</v>
      </c>
      <c r="AC1214">
        <v>-9.9702999999999999</v>
      </c>
      <c r="AD1214">
        <v>-1.0975657636389999</v>
      </c>
      <c r="AE1214">
        <v>-7.4713999999999503</v>
      </c>
      <c r="AF1214">
        <v>6.5660075738387604</v>
      </c>
      <c r="AG1214">
        <v>-1.0975657636389999</v>
      </c>
      <c r="AH1214">
        <v>10.475433260738001</v>
      </c>
      <c r="AI1214">
        <v>95.073263600206801</v>
      </c>
      <c r="AJ1214">
        <v>57.920490570186999</v>
      </c>
      <c r="AK1214">
        <v>12.4117608769021</v>
      </c>
      <c r="AL1214">
        <v>83.329728895202095</v>
      </c>
      <c r="AM1214">
        <v>63.366346560396401</v>
      </c>
      <c r="AN1214">
        <v>1.0000000186106699</v>
      </c>
    </row>
    <row r="1215" spans="1:40" x14ac:dyDescent="0.25">
      <c r="A1215" t="str">
        <f>"20190312164457576"</f>
        <v>20190312164457576</v>
      </c>
      <c r="B1215" t="str">
        <f>"1552380297572622"</f>
        <v>1552380297572622</v>
      </c>
      <c r="C1215" t="s">
        <v>40</v>
      </c>
      <c r="D1215">
        <v>5.7081470000000003</v>
      </c>
      <c r="E1215">
        <v>0.54762369999999905</v>
      </c>
      <c r="F1215" t="s">
        <v>46</v>
      </c>
      <c r="G1215">
        <v>-204.9778</v>
      </c>
      <c r="H1215" s="1">
        <v>4.3729309999999999E-6</v>
      </c>
      <c r="I1215">
        <v>285.20569999999998</v>
      </c>
      <c r="J1215">
        <v>-194.85839999999999</v>
      </c>
      <c r="K1215">
        <v>1.0972959999999901</v>
      </c>
      <c r="L1215">
        <v>292.61279999999999</v>
      </c>
      <c r="M1215">
        <v>-0.37147269999999999</v>
      </c>
      <c r="N1215">
        <v>0</v>
      </c>
      <c r="O1215">
        <v>-0.92833339999999998</v>
      </c>
      <c r="P1215">
        <v>-0.7412493</v>
      </c>
      <c r="Q1215">
        <v>0.1159641</v>
      </c>
      <c r="R1215">
        <v>-0.66113690000000003</v>
      </c>
      <c r="S1215">
        <v>-2.4523470000000001</v>
      </c>
      <c r="T1215">
        <v>-0.2629243</v>
      </c>
      <c r="U1215">
        <v>-1.839661</v>
      </c>
      <c r="V1215">
        <v>0.44598769999999999</v>
      </c>
      <c r="W1215">
        <v>0.11632919999999999</v>
      </c>
      <c r="X1215">
        <v>0.88744719999999999</v>
      </c>
      <c r="Y1215">
        <v>0.51648559999999999</v>
      </c>
      <c r="Z1215">
        <v>8.8214899999999902E-2</v>
      </c>
      <c r="AA1215">
        <v>0.85173980000000005</v>
      </c>
      <c r="AB1215">
        <v>32</v>
      </c>
      <c r="AC1215">
        <v>-10.119400000000001</v>
      </c>
      <c r="AD1215">
        <v>-1.0972916270690001</v>
      </c>
      <c r="AE1215">
        <v>-7.4071000000000096</v>
      </c>
      <c r="AF1215">
        <v>6.5928477313385301</v>
      </c>
      <c r="AG1215">
        <v>-1.0972916270690001</v>
      </c>
      <c r="AH1215">
        <v>10.5556157057117</v>
      </c>
      <c r="AI1215">
        <v>95.038672057528402</v>
      </c>
      <c r="AJ1215">
        <v>58.011841602456101</v>
      </c>
      <c r="AK1215">
        <v>12.4936268973472</v>
      </c>
      <c r="AL1215">
        <v>83.319702944796205</v>
      </c>
      <c r="AM1215">
        <v>63.318127498067</v>
      </c>
      <c r="AN1215">
        <v>1.00000002205588</v>
      </c>
    </row>
    <row r="1216" spans="1:40" x14ac:dyDescent="0.25">
      <c r="A1216" t="str">
        <f>"20190312164457598"</f>
        <v>20190312164457598</v>
      </c>
      <c r="B1216" t="str">
        <f>"1552380297593118"</f>
        <v>1552380297593118</v>
      </c>
      <c r="C1216" t="s">
        <v>40</v>
      </c>
      <c r="D1216">
        <v>5.7781560000000001</v>
      </c>
      <c r="E1216">
        <v>0.54737809999999998</v>
      </c>
      <c r="F1216" t="s">
        <v>46</v>
      </c>
      <c r="G1216">
        <v>-205.17250000000001</v>
      </c>
      <c r="H1216" s="1">
        <v>4.4714320000000001E-6</v>
      </c>
      <c r="I1216">
        <v>285.06630000000001</v>
      </c>
      <c r="J1216">
        <v>-194.9913</v>
      </c>
      <c r="K1216">
        <v>1.0969880000000001</v>
      </c>
      <c r="L1216">
        <v>292.31720000000001</v>
      </c>
      <c r="M1216">
        <v>-0.38479219999999997</v>
      </c>
      <c r="N1216">
        <v>0</v>
      </c>
      <c r="O1216">
        <v>-0.92288950000000003</v>
      </c>
      <c r="P1216">
        <v>-0.75065150000000003</v>
      </c>
      <c r="Q1216">
        <v>0.116408399999999</v>
      </c>
      <c r="R1216">
        <v>-0.65036269999999996</v>
      </c>
      <c r="S1216">
        <v>-2.4739070000000001</v>
      </c>
      <c r="T1216">
        <v>-0.2631944</v>
      </c>
      <c r="U1216">
        <v>-1.8100890000000001</v>
      </c>
      <c r="V1216">
        <v>0.44607380000000002</v>
      </c>
      <c r="W1216">
        <v>0.1165807</v>
      </c>
      <c r="X1216">
        <v>0.88737089999999996</v>
      </c>
      <c r="Y1216">
        <v>0.51434929999999901</v>
      </c>
      <c r="Z1216">
        <v>8.8122619999999999E-2</v>
      </c>
      <c r="AA1216">
        <v>0.8530411</v>
      </c>
      <c r="AB1216">
        <v>32</v>
      </c>
      <c r="AC1216">
        <v>-10.1812</v>
      </c>
      <c r="AD1216">
        <v>-1.0969835285680001</v>
      </c>
      <c r="AE1216">
        <v>-7.2508999999999997</v>
      </c>
      <c r="AF1216">
        <v>6.55622729405379</v>
      </c>
      <c r="AG1216">
        <v>-1.0969835285680001</v>
      </c>
      <c r="AH1216">
        <v>10.5294371226625</v>
      </c>
      <c r="AI1216">
        <v>95.054067720146804</v>
      </c>
      <c r="AJ1216">
        <v>58.091255192848998</v>
      </c>
      <c r="AK1216">
        <v>12.452169903809899</v>
      </c>
      <c r="AL1216">
        <v>83.305194220960402</v>
      </c>
      <c r="AM1216">
        <v>63.311712869448499</v>
      </c>
      <c r="AN1216">
        <v>1.0000000044128701</v>
      </c>
    </row>
    <row r="1217" spans="1:40" x14ac:dyDescent="0.25">
      <c r="A1217" t="str">
        <f>"20190312164457621"</f>
        <v>20190312164457621</v>
      </c>
      <c r="B1217" t="str">
        <f>"1552380297612638"</f>
        <v>1552380297612638</v>
      </c>
      <c r="C1217" t="s">
        <v>40</v>
      </c>
      <c r="D1217">
        <v>5.8521859999999997</v>
      </c>
      <c r="E1217">
        <v>0.57367319999999999</v>
      </c>
      <c r="F1217" t="s">
        <v>46</v>
      </c>
      <c r="G1217">
        <v>-205.4359</v>
      </c>
      <c r="H1217" s="1">
        <v>4.6031799999999997E-6</v>
      </c>
      <c r="I1217">
        <v>284.8956</v>
      </c>
      <c r="J1217">
        <v>-195.12979999999999</v>
      </c>
      <c r="K1217">
        <v>1.096678</v>
      </c>
      <c r="L1217">
        <v>292.02140000000003</v>
      </c>
      <c r="M1217">
        <v>-0.39850089999999999</v>
      </c>
      <c r="N1217">
        <v>0</v>
      </c>
      <c r="O1217">
        <v>-0.91705110000000001</v>
      </c>
      <c r="P1217">
        <v>-0.76016969999999995</v>
      </c>
      <c r="Q1217">
        <v>0.11590209999999999</v>
      </c>
      <c r="R1217">
        <v>-0.63930350000000002</v>
      </c>
      <c r="S1217">
        <v>-2.49884</v>
      </c>
      <c r="T1217">
        <v>-0.26245030000000003</v>
      </c>
      <c r="U1217">
        <v>-1.775604</v>
      </c>
      <c r="V1217">
        <v>0.44598850000000001</v>
      </c>
      <c r="W1217">
        <v>0.1158854</v>
      </c>
      <c r="X1217">
        <v>0.88750490000000004</v>
      </c>
      <c r="Y1217">
        <v>0.51345829999999903</v>
      </c>
      <c r="Z1217">
        <v>8.7682949999999996E-2</v>
      </c>
      <c r="AA1217">
        <v>0.85362299999999902</v>
      </c>
      <c r="AB1217">
        <v>32</v>
      </c>
      <c r="AC1217">
        <v>-10.306100000000001</v>
      </c>
      <c r="AD1217">
        <v>-1.09667339682</v>
      </c>
      <c r="AE1217">
        <v>-7.1258000000000203</v>
      </c>
      <c r="AF1217">
        <v>6.5620207743038996</v>
      </c>
      <c r="AG1217">
        <v>-1.09667339682</v>
      </c>
      <c r="AH1217">
        <v>10.5619402713598</v>
      </c>
      <c r="AI1217">
        <v>95.040252051919893</v>
      </c>
      <c r="AJ1217">
        <v>58.147756921343401</v>
      </c>
      <c r="AK1217">
        <v>12.48268366488</v>
      </c>
      <c r="AL1217">
        <v>83.345304198253899</v>
      </c>
      <c r="AM1217">
        <v>63.319580833098797</v>
      </c>
      <c r="AN1217">
        <v>1.0000000577946999</v>
      </c>
    </row>
    <row r="1218" spans="1:40" x14ac:dyDescent="0.25">
      <c r="A1218" t="str">
        <f>"20190312164457643"</f>
        <v>20190312164457643</v>
      </c>
      <c r="B1218" t="str">
        <f>"1552380297633135"</f>
        <v>1552380297633135</v>
      </c>
      <c r="C1218" t="s">
        <v>40</v>
      </c>
      <c r="D1218">
        <v>5.9509339999999904</v>
      </c>
      <c r="E1218">
        <v>0.58821369999999995</v>
      </c>
      <c r="F1218" t="s">
        <v>46</v>
      </c>
      <c r="G1218">
        <v>-204.9906</v>
      </c>
      <c r="H1218" s="1">
        <v>4.2946749999999997E-6</v>
      </c>
      <c r="I1218">
        <v>286.16550000000001</v>
      </c>
      <c r="J1218">
        <v>-195.2697</v>
      </c>
      <c r="K1218">
        <v>1.096379</v>
      </c>
      <c r="L1218">
        <v>291.73410000000001</v>
      </c>
      <c r="M1218">
        <v>-0.41217680000000001</v>
      </c>
      <c r="N1218">
        <v>0</v>
      </c>
      <c r="O1218">
        <v>-0.91098380000000001</v>
      </c>
      <c r="P1218">
        <v>-0.76989770000000002</v>
      </c>
      <c r="Q1218">
        <v>0.11571149999999999</v>
      </c>
      <c r="R1218">
        <v>-0.62758950000000002</v>
      </c>
      <c r="S1218">
        <v>-2.6620789999999999</v>
      </c>
      <c r="T1218">
        <v>-0.29606450000000001</v>
      </c>
      <c r="U1218">
        <v>-1.580902</v>
      </c>
      <c r="V1218">
        <v>0.44640600000000003</v>
      </c>
      <c r="W1218">
        <v>0.11549180000000001</v>
      </c>
      <c r="X1218">
        <v>0.88734629999999903</v>
      </c>
      <c r="Y1218">
        <v>0.56840210000000002</v>
      </c>
      <c r="Z1218">
        <v>9.904926E-2</v>
      </c>
      <c r="AA1218">
        <v>0.81676700000000002</v>
      </c>
      <c r="AB1218">
        <v>32</v>
      </c>
      <c r="AC1218">
        <v>-9.7209000000000003</v>
      </c>
      <c r="AD1218">
        <v>-1.0963747053249999</v>
      </c>
      <c r="AE1218">
        <v>-5.5686</v>
      </c>
      <c r="AF1218">
        <v>6.4988095770579299</v>
      </c>
      <c r="AG1218">
        <v>-1.0963747053249999</v>
      </c>
      <c r="AH1218">
        <v>8.9944818583368704</v>
      </c>
      <c r="AI1218">
        <v>95.642651592451301</v>
      </c>
      <c r="AJ1218">
        <v>54.150648091559198</v>
      </c>
      <c r="AK1218">
        <v>11.1506621916946</v>
      </c>
      <c r="AL1218">
        <v>83.368008305705104</v>
      </c>
      <c r="AM1218">
        <v>63.2939551227946</v>
      </c>
      <c r="AN1218">
        <v>1.0000000644134599</v>
      </c>
    </row>
    <row r="1219" spans="1:40" x14ac:dyDescent="0.25">
      <c r="A1219" t="str">
        <f>"20190312164457666"</f>
        <v>20190312164457666</v>
      </c>
      <c r="B1219" t="str">
        <f>"1552380297662415"</f>
        <v>1552380297662415</v>
      </c>
      <c r="C1219" t="s">
        <v>40</v>
      </c>
      <c r="D1219">
        <v>5.9593959999999999</v>
      </c>
      <c r="E1219">
        <v>0.59564189999999995</v>
      </c>
      <c r="F1219" t="s">
        <v>46</v>
      </c>
      <c r="G1219">
        <v>-205.76750000000001</v>
      </c>
      <c r="H1219" s="1">
        <v>4.6333519999999999E-6</v>
      </c>
      <c r="I1219">
        <v>286.23239999999998</v>
      </c>
      <c r="J1219">
        <v>-195.41239999999999</v>
      </c>
      <c r="K1219">
        <v>1.0960890000000001</v>
      </c>
      <c r="L1219">
        <v>291.45269999999999</v>
      </c>
      <c r="M1219">
        <v>-0.42591489999999999</v>
      </c>
      <c r="N1219">
        <v>0</v>
      </c>
      <c r="O1219">
        <v>-0.90464009999999995</v>
      </c>
      <c r="P1219">
        <v>-0.77994229999999998</v>
      </c>
      <c r="Q1219">
        <v>0.1155017</v>
      </c>
      <c r="R1219">
        <v>-0.61510149999999997</v>
      </c>
      <c r="S1219">
        <v>-2.7605740000000001</v>
      </c>
      <c r="T1219">
        <v>-0.2883117</v>
      </c>
      <c r="U1219">
        <v>-1.446777</v>
      </c>
      <c r="V1219">
        <v>0.4473837</v>
      </c>
      <c r="W1219">
        <v>0.1150627</v>
      </c>
      <c r="X1219">
        <v>0.88690949999999902</v>
      </c>
      <c r="Y1219">
        <v>0.59923700000000002</v>
      </c>
      <c r="Z1219">
        <v>9.6483669999999994E-2</v>
      </c>
      <c r="AA1219">
        <v>0.79473640000000001</v>
      </c>
      <c r="AB1219">
        <v>32</v>
      </c>
      <c r="AC1219">
        <v>-10.3551</v>
      </c>
      <c r="AD1219">
        <v>-1.09608436664799</v>
      </c>
      <c r="AE1219">
        <v>-5.2202999999999999</v>
      </c>
      <c r="AF1219">
        <v>7.0817647263754004</v>
      </c>
      <c r="AG1219">
        <v>-1.09608436664799</v>
      </c>
      <c r="AH1219">
        <v>9.0530245859816798</v>
      </c>
      <c r="AI1219">
        <v>95.447404911415703</v>
      </c>
      <c r="AJ1219">
        <v>51.965562837865598</v>
      </c>
      <c r="AK1219">
        <v>11.5459970003864</v>
      </c>
      <c r="AL1219">
        <v>83.392758702290095</v>
      </c>
      <c r="AM1219">
        <v>63.232255647896302</v>
      </c>
      <c r="AN1219">
        <v>1.0000000305736101</v>
      </c>
    </row>
    <row r="1220" spans="1:40" x14ac:dyDescent="0.25">
      <c r="A1220" t="str">
        <f>"20190312164457688"</f>
        <v>20190312164457688</v>
      </c>
      <c r="B1220" t="str">
        <f>"1552380297682910"</f>
        <v>1552380297682910</v>
      </c>
      <c r="C1220" t="s">
        <v>40</v>
      </c>
      <c r="D1220">
        <v>5.8828329999999998</v>
      </c>
      <c r="E1220">
        <v>0.59732180000000001</v>
      </c>
      <c r="F1220" t="s">
        <v>46</v>
      </c>
      <c r="G1220">
        <v>-204.68129999999999</v>
      </c>
      <c r="H1220" s="1">
        <v>4.086699E-6</v>
      </c>
      <c r="I1220">
        <v>286.97539999999998</v>
      </c>
      <c r="J1220">
        <v>-195.56530000000001</v>
      </c>
      <c r="K1220">
        <v>1.0957950000000001</v>
      </c>
      <c r="L1220">
        <v>291.16239999999999</v>
      </c>
      <c r="M1220">
        <v>-0.44042310000000001</v>
      </c>
      <c r="N1220">
        <v>0</v>
      </c>
      <c r="O1220">
        <v>-0.89766380000000001</v>
      </c>
      <c r="P1220">
        <v>-0.79000760000000003</v>
      </c>
      <c r="Q1220">
        <v>0.1150221</v>
      </c>
      <c r="R1220">
        <v>-0.6022111</v>
      </c>
      <c r="S1220">
        <v>-2.8211360000000001</v>
      </c>
      <c r="T1220">
        <v>-0.33361049999999998</v>
      </c>
      <c r="U1220">
        <v>-1.3627320000000001</v>
      </c>
      <c r="V1220">
        <v>0.44780059999999999</v>
      </c>
      <c r="W1220">
        <v>0.1143839</v>
      </c>
      <c r="X1220">
        <v>0.88678690000000004</v>
      </c>
      <c r="Y1220">
        <v>0.61085299999999998</v>
      </c>
      <c r="Z1220">
        <v>0.1111046</v>
      </c>
      <c r="AA1220">
        <v>0.78390969999999904</v>
      </c>
      <c r="AB1220">
        <v>32</v>
      </c>
      <c r="AC1220">
        <v>-9.1159999999999801</v>
      </c>
      <c r="AD1220">
        <v>-1.095790913301</v>
      </c>
      <c r="AE1220">
        <v>-4.18700000000001</v>
      </c>
      <c r="AF1220">
        <v>6.2650169978469901</v>
      </c>
      <c r="AG1220">
        <v>-1.095790913301</v>
      </c>
      <c r="AH1220">
        <v>7.6826284907770797</v>
      </c>
      <c r="AI1220">
        <v>96.307731735103502</v>
      </c>
      <c r="AJ1220">
        <v>50.803502112031303</v>
      </c>
      <c r="AK1220">
        <v>9.9736641329194793</v>
      </c>
      <c r="AL1220">
        <v>83.431909567235195</v>
      </c>
      <c r="AM1220">
        <v>63.207603293538597</v>
      </c>
      <c r="AN1220">
        <v>1.00000002997558</v>
      </c>
    </row>
    <row r="1221" spans="1:40" x14ac:dyDescent="0.25">
      <c r="A1221" t="str">
        <f>"20190312164457711"</f>
        <v>20190312164457711</v>
      </c>
      <c r="B1221" t="str">
        <f>"1552380297702431"</f>
        <v>1552380297702431</v>
      </c>
      <c r="C1221" t="s">
        <v>40</v>
      </c>
      <c r="D1221">
        <v>5.8846160000000003</v>
      </c>
      <c r="E1221">
        <v>0.59798130000000005</v>
      </c>
      <c r="F1221" t="s">
        <v>46</v>
      </c>
      <c r="G1221">
        <v>-204.32169999999999</v>
      </c>
      <c r="H1221" s="1">
        <v>3.9122969999999999E-6</v>
      </c>
      <c r="I1221">
        <v>287.14670000000001</v>
      </c>
      <c r="J1221">
        <v>-195.71879999999999</v>
      </c>
      <c r="K1221">
        <v>1.0955280000000001</v>
      </c>
      <c r="L1221">
        <v>290.88339999999999</v>
      </c>
      <c r="M1221">
        <v>-0.45473140000000001</v>
      </c>
      <c r="N1221">
        <v>0</v>
      </c>
      <c r="O1221">
        <v>-0.89049899999999904</v>
      </c>
      <c r="P1221">
        <v>-0.79971369999999997</v>
      </c>
      <c r="Q1221">
        <v>0.11447160000000001</v>
      </c>
      <c r="R1221">
        <v>-0.58936820000000001</v>
      </c>
      <c r="S1221">
        <v>-2.8522799999999999</v>
      </c>
      <c r="T1221">
        <v>-0.3569388</v>
      </c>
      <c r="U1221">
        <v>-1.3080750000000001</v>
      </c>
      <c r="V1221">
        <v>0.44806689999999999</v>
      </c>
      <c r="W1221">
        <v>0.1136558</v>
      </c>
      <c r="X1221">
        <v>0.88674599999999903</v>
      </c>
      <c r="Y1221">
        <v>0.61307009999999995</v>
      </c>
      <c r="Z1221">
        <v>0.118448</v>
      </c>
      <c r="AA1221">
        <v>0.78109869999999904</v>
      </c>
      <c r="AB1221">
        <v>32</v>
      </c>
      <c r="AC1221">
        <v>-8.6029</v>
      </c>
      <c r="AD1221">
        <v>-1.0955240877029999</v>
      </c>
      <c r="AE1221">
        <v>-3.7366999999999799</v>
      </c>
      <c r="AF1221">
        <v>5.8821202882154999</v>
      </c>
      <c r="AG1221">
        <v>-1.0955240877029999</v>
      </c>
      <c r="AH1221">
        <v>7.1429246036768896</v>
      </c>
      <c r="AI1221">
        <v>96.752088940738403</v>
      </c>
      <c r="AJ1221">
        <v>50.528917737600402</v>
      </c>
      <c r="AK1221">
        <v>9.3177724808876192</v>
      </c>
      <c r="AL1221">
        <v>83.473900456774302</v>
      </c>
      <c r="AM1221">
        <v>63.192831399308901</v>
      </c>
      <c r="AN1221">
        <v>1.00000002813262</v>
      </c>
    </row>
    <row r="1222" spans="1:40" x14ac:dyDescent="0.25">
      <c r="A1222" t="str">
        <f>"20190312164457734"</f>
        <v>20190312164457734</v>
      </c>
      <c r="B1222" t="str">
        <f>"1552380297722926"</f>
        <v>1552380297722926</v>
      </c>
      <c r="C1222" t="s">
        <v>40</v>
      </c>
      <c r="D1222">
        <v>5.9225719999999997</v>
      </c>
      <c r="E1222">
        <v>0.59841899999999904</v>
      </c>
      <c r="F1222" t="s">
        <v>46</v>
      </c>
      <c r="G1222">
        <v>-204.0926</v>
      </c>
      <c r="H1222" s="1">
        <v>3.8042100000000002E-6</v>
      </c>
      <c r="I1222">
        <v>287.22059999999999</v>
      </c>
      <c r="J1222">
        <v>-195.88759999999999</v>
      </c>
      <c r="K1222">
        <v>1.0952630000000001</v>
      </c>
      <c r="L1222">
        <v>290.589</v>
      </c>
      <c r="M1222">
        <v>-0.4701591</v>
      </c>
      <c r="N1222">
        <v>0</v>
      </c>
      <c r="O1222">
        <v>-0.88244859999999903</v>
      </c>
      <c r="P1222">
        <v>-0.8101545</v>
      </c>
      <c r="Q1222">
        <v>0.11412899999999999</v>
      </c>
      <c r="R1222">
        <v>-0.57499960000000006</v>
      </c>
      <c r="S1222">
        <v>-2.8775789999999999</v>
      </c>
      <c r="T1222">
        <v>-0.37646960000000002</v>
      </c>
      <c r="U1222">
        <v>-1.2586980000000001</v>
      </c>
      <c r="V1222">
        <v>0.44857130000000001</v>
      </c>
      <c r="W1222">
        <v>0.11312750000000001</v>
      </c>
      <c r="X1222">
        <v>0.88655849999999903</v>
      </c>
      <c r="Y1222">
        <v>0.61243009999999998</v>
      </c>
      <c r="Z1222">
        <v>0.1244035</v>
      </c>
      <c r="AA1222">
        <v>0.7806748</v>
      </c>
      <c r="AB1222">
        <v>31</v>
      </c>
      <c r="AC1222">
        <v>-8.2050000000000107</v>
      </c>
      <c r="AD1222">
        <v>-1.09525919579</v>
      </c>
      <c r="AE1222">
        <v>-3.3683999999999998</v>
      </c>
      <c r="AF1222">
        <v>5.5724975750272696</v>
      </c>
      <c r="AG1222">
        <v>-1.09525919579</v>
      </c>
      <c r="AH1222">
        <v>6.7282992665355996</v>
      </c>
      <c r="AI1222">
        <v>97.145828522351394</v>
      </c>
      <c r="AJ1222">
        <v>50.367838989601701</v>
      </c>
      <c r="AK1222">
        <v>8.8046767657711893</v>
      </c>
      <c r="AL1222">
        <v>83.504366179986405</v>
      </c>
      <c r="AM1222">
        <v>63.1619943889959</v>
      </c>
      <c r="AN1222">
        <v>1.00000000818109</v>
      </c>
    </row>
    <row r="1223" spans="1:40" x14ac:dyDescent="0.25">
      <c r="A1223" t="str">
        <f>"20190312164457758"</f>
        <v>20190312164457758</v>
      </c>
      <c r="B1223" t="str">
        <f>"1552380297753183"</f>
        <v>1552380297753183</v>
      </c>
      <c r="C1223" t="s">
        <v>40</v>
      </c>
      <c r="D1223">
        <v>5.8028639999999996</v>
      </c>
      <c r="E1223">
        <v>0.59851980000000005</v>
      </c>
      <c r="F1223" t="s">
        <v>46</v>
      </c>
      <c r="G1223">
        <v>-204.083</v>
      </c>
      <c r="H1223" s="1">
        <v>3.8028050000000002E-6</v>
      </c>
      <c r="I1223">
        <v>287.18799999999999</v>
      </c>
      <c r="J1223">
        <v>-196.0592</v>
      </c>
      <c r="K1223">
        <v>1.0950169999999999</v>
      </c>
      <c r="L1223">
        <v>290.30149999999998</v>
      </c>
      <c r="M1223">
        <v>-0.48551879999999997</v>
      </c>
      <c r="N1223">
        <v>0</v>
      </c>
      <c r="O1223">
        <v>-0.87408949999999996</v>
      </c>
      <c r="P1223">
        <v>-0.82073859999999998</v>
      </c>
      <c r="Q1223">
        <v>0.1139665</v>
      </c>
      <c r="R1223">
        <v>-0.55982140000000002</v>
      </c>
      <c r="S1223">
        <v>-2.902695</v>
      </c>
      <c r="T1223">
        <v>-0.38792480000000001</v>
      </c>
      <c r="U1223">
        <v>-1.20459</v>
      </c>
      <c r="V1223">
        <v>0.44965129999999998</v>
      </c>
      <c r="W1223">
        <v>0.112776</v>
      </c>
      <c r="X1223">
        <v>0.88605610000000001</v>
      </c>
      <c r="Y1223">
        <v>0.6130449</v>
      </c>
      <c r="Z1223">
        <v>0.1277286</v>
      </c>
      <c r="AA1223">
        <v>0.77965459999999998</v>
      </c>
      <c r="AB1223">
        <v>31</v>
      </c>
      <c r="AC1223">
        <v>-8.0237999999999907</v>
      </c>
      <c r="AD1223">
        <v>-1.0950131971949999</v>
      </c>
      <c r="AE1223">
        <v>-3.1134999999999802</v>
      </c>
      <c r="AF1223">
        <v>5.4148640018677003</v>
      </c>
      <c r="AG1223">
        <v>-1.0950131971949999</v>
      </c>
      <c r="AH1223">
        <v>6.5125558828543904</v>
      </c>
      <c r="AI1223">
        <v>97.366761650529995</v>
      </c>
      <c r="AJ1223">
        <v>50.258173824135298</v>
      </c>
      <c r="AK1223">
        <v>8.5400931018376696</v>
      </c>
      <c r="AL1223">
        <v>83.524635729437904</v>
      </c>
      <c r="AM1223">
        <v>63.093346509976698</v>
      </c>
      <c r="AN1223">
        <v>1.0000000650574401</v>
      </c>
    </row>
    <row r="1224" spans="1:40" x14ac:dyDescent="0.25">
      <c r="A1224" t="str">
        <f>"20190312164457779"</f>
        <v>20190312164457779</v>
      </c>
      <c r="B1224" t="str">
        <f>"1552380297772703"</f>
        <v>1552380297772703</v>
      </c>
      <c r="C1224" t="s">
        <v>40</v>
      </c>
      <c r="D1224">
        <v>5.7582190000000004</v>
      </c>
      <c r="E1224">
        <v>0.59814080000000003</v>
      </c>
      <c r="F1224" t="s">
        <v>46</v>
      </c>
      <c r="G1224">
        <v>-204.0898</v>
      </c>
      <c r="H1224" s="1">
        <v>3.8102890000000001E-6</v>
      </c>
      <c r="I1224">
        <v>287.13709999999998</v>
      </c>
      <c r="J1224">
        <v>-196.21979999999999</v>
      </c>
      <c r="K1224">
        <v>1.0948100000000001</v>
      </c>
      <c r="L1224">
        <v>290.04250000000002</v>
      </c>
      <c r="M1224">
        <v>-0.49958540000000001</v>
      </c>
      <c r="N1224">
        <v>0</v>
      </c>
      <c r="O1224">
        <v>-0.86612489999999998</v>
      </c>
      <c r="P1224">
        <v>-0.82952269999999995</v>
      </c>
      <c r="Q1224">
        <v>0.1133837</v>
      </c>
      <c r="R1224">
        <v>-0.54684259999999996</v>
      </c>
      <c r="S1224">
        <v>-2.9245760000000001</v>
      </c>
      <c r="T1224">
        <v>-0.3987811</v>
      </c>
      <c r="U1224">
        <v>-1.1524049999999999</v>
      </c>
      <c r="V1224">
        <v>0.44937009999999999</v>
      </c>
      <c r="W1224">
        <v>0.112084199999999</v>
      </c>
      <c r="X1224">
        <v>0.88628639999999903</v>
      </c>
      <c r="Y1224">
        <v>0.6139348</v>
      </c>
      <c r="Z1224">
        <v>0.13088900000000001</v>
      </c>
      <c r="AA1224">
        <v>0.77842929999999999</v>
      </c>
      <c r="AB1224">
        <v>31</v>
      </c>
      <c r="AC1224">
        <v>-7.87</v>
      </c>
      <c r="AD1224">
        <v>-1.094806189711</v>
      </c>
      <c r="AE1224">
        <v>-2.9054000000000402</v>
      </c>
      <c r="AF1224">
        <v>5.2757073242477501</v>
      </c>
      <c r="AG1224">
        <v>-1.094806189711</v>
      </c>
      <c r="AH1224">
        <v>6.34096507790301</v>
      </c>
      <c r="AI1224">
        <v>97.560384252841502</v>
      </c>
      <c r="AJ1224">
        <v>50.239413509049001</v>
      </c>
      <c r="AK1224">
        <v>8.3210291721238701</v>
      </c>
      <c r="AL1224">
        <v>83.564525243461304</v>
      </c>
      <c r="AM1224">
        <v>63.113814239776097</v>
      </c>
      <c r="AN1224">
        <v>0.99999996874430397</v>
      </c>
    </row>
    <row r="1225" spans="1:40" x14ac:dyDescent="0.25">
      <c r="A1225" t="str">
        <f>"20190312164457800"</f>
        <v>20190312164457800</v>
      </c>
      <c r="B1225" t="str">
        <f>"1552380297793199"</f>
        <v>1552380297793199</v>
      </c>
      <c r="C1225" t="s">
        <v>40</v>
      </c>
      <c r="D1225">
        <v>6.0295180000000004</v>
      </c>
      <c r="E1225">
        <v>0.59777860000000005</v>
      </c>
      <c r="F1225" t="s">
        <v>46</v>
      </c>
      <c r="G1225">
        <v>-204.2029</v>
      </c>
      <c r="H1225" s="1">
        <v>3.8694179999999998E-6</v>
      </c>
      <c r="I1225">
        <v>287.03410000000002</v>
      </c>
      <c r="J1225">
        <v>-196.3845</v>
      </c>
      <c r="K1225">
        <v>1.0946180000000001</v>
      </c>
      <c r="L1225">
        <v>289.78660000000002</v>
      </c>
      <c r="M1225">
        <v>-0.51370509999999903</v>
      </c>
      <c r="N1225">
        <v>0</v>
      </c>
      <c r="O1225">
        <v>-0.85782400000000003</v>
      </c>
      <c r="P1225">
        <v>-0.83795149999999996</v>
      </c>
      <c r="Q1225">
        <v>0.112719899999999</v>
      </c>
      <c r="R1225">
        <v>-0.53397729999999999</v>
      </c>
      <c r="S1225">
        <v>-2.9410099999999999</v>
      </c>
      <c r="T1225">
        <v>-0.4033351</v>
      </c>
      <c r="U1225">
        <v>-1.1083369999999999</v>
      </c>
      <c r="V1225">
        <v>0.44863439999999999</v>
      </c>
      <c r="W1225">
        <v>0.1113398</v>
      </c>
      <c r="X1225">
        <v>0.88675280000000001</v>
      </c>
      <c r="Y1225">
        <v>0.61255959999999998</v>
      </c>
      <c r="Z1225">
        <v>0.1318955</v>
      </c>
      <c r="AA1225">
        <v>0.77934219999999998</v>
      </c>
      <c r="AB1225">
        <v>31</v>
      </c>
      <c r="AC1225">
        <v>-7.8183999999999898</v>
      </c>
      <c r="AD1225">
        <v>-1.0946141305820001</v>
      </c>
      <c r="AE1225">
        <v>-2.7524999999999902</v>
      </c>
      <c r="AF1225">
        <v>5.2027513832517203</v>
      </c>
      <c r="AG1225">
        <v>-1.0946141305820001</v>
      </c>
      <c r="AH1225">
        <v>6.2689643710833503</v>
      </c>
      <c r="AI1225">
        <v>97.652604748313294</v>
      </c>
      <c r="AJ1225">
        <v>50.309973448329501</v>
      </c>
      <c r="AK1225">
        <v>8.2198975867531292</v>
      </c>
      <c r="AL1225">
        <v>83.607444767464699</v>
      </c>
      <c r="AM1225">
        <v>63.163805726845602</v>
      </c>
      <c r="AN1225">
        <v>0.99999995211761805</v>
      </c>
    </row>
    <row r="1226" spans="1:40" x14ac:dyDescent="0.25">
      <c r="A1226" t="str">
        <f>"20190312164457823"</f>
        <v>20190312164457823</v>
      </c>
      <c r="B1226" t="str">
        <f>"1552380297812719"</f>
        <v>1552380297812719</v>
      </c>
      <c r="C1226" t="s">
        <v>40</v>
      </c>
      <c r="D1226">
        <v>5.8361390000000002</v>
      </c>
      <c r="E1226">
        <v>0.59709760000000001</v>
      </c>
      <c r="F1226" t="s">
        <v>46</v>
      </c>
      <c r="G1226">
        <v>-204.3434</v>
      </c>
      <c r="H1226" s="1">
        <v>3.9409529999999998E-6</v>
      </c>
      <c r="I1226">
        <v>286.92860000000002</v>
      </c>
      <c r="J1226">
        <v>-196.56569999999999</v>
      </c>
      <c r="K1226">
        <v>1.094425</v>
      </c>
      <c r="L1226">
        <v>289.5154</v>
      </c>
      <c r="M1226">
        <v>-0.52889519999999901</v>
      </c>
      <c r="N1226">
        <v>0</v>
      </c>
      <c r="O1226">
        <v>-0.84854089999999904</v>
      </c>
      <c r="P1226">
        <v>-0.84698459999999998</v>
      </c>
      <c r="Q1226">
        <v>0.11281389999999999</v>
      </c>
      <c r="R1226">
        <v>-0.51950959999999902</v>
      </c>
      <c r="S1226">
        <v>-2.9579930000000001</v>
      </c>
      <c r="T1226">
        <v>-0.40682420000000002</v>
      </c>
      <c r="U1226">
        <v>-1.062225</v>
      </c>
      <c r="V1226">
        <v>0.4481195</v>
      </c>
      <c r="W1226">
        <v>0.1113417</v>
      </c>
      <c r="X1226">
        <v>0.88701299999999905</v>
      </c>
      <c r="Y1226">
        <v>0.610645199999999</v>
      </c>
      <c r="Z1226">
        <v>0.13241820000000001</v>
      </c>
      <c r="AA1226">
        <v>0.78075469999999902</v>
      </c>
      <c r="AB1226">
        <v>31</v>
      </c>
      <c r="AC1226">
        <v>-7.7777000000000003</v>
      </c>
      <c r="AD1226">
        <v>-1.094421059047</v>
      </c>
      <c r="AE1226">
        <v>-2.5867999999999798</v>
      </c>
      <c r="AF1226">
        <v>5.1405541558138097</v>
      </c>
      <c r="AG1226">
        <v>-1.094421059047</v>
      </c>
      <c r="AH1226">
        <v>6.1988636720502397</v>
      </c>
      <c r="AI1226">
        <v>97.739189685240902</v>
      </c>
      <c r="AJ1226">
        <v>50.331977811936397</v>
      </c>
      <c r="AK1226">
        <v>8.1270514522798791</v>
      </c>
      <c r="AL1226">
        <v>83.607335925274199</v>
      </c>
      <c r="AM1226">
        <v>63.197067089050002</v>
      </c>
      <c r="AN1226">
        <v>1.0000000613040601</v>
      </c>
    </row>
    <row r="1227" spans="1:40" x14ac:dyDescent="0.25">
      <c r="A1227" t="str">
        <f>"20190312164457844"</f>
        <v>20190312164457844</v>
      </c>
      <c r="B1227" t="str">
        <f>"1552380297833219"</f>
        <v>1552380297833219</v>
      </c>
      <c r="C1227" t="s">
        <v>40</v>
      </c>
      <c r="D1227">
        <v>5.8420069999999997</v>
      </c>
      <c r="E1227">
        <v>0.59661459999999999</v>
      </c>
      <c r="F1227" t="s">
        <v>46</v>
      </c>
      <c r="G1227">
        <v>-204.58789999999999</v>
      </c>
      <c r="H1227" s="1">
        <v>4.0622459999999998E-6</v>
      </c>
      <c r="I1227">
        <v>286.78149999999999</v>
      </c>
      <c r="J1227">
        <v>-196.73990000000001</v>
      </c>
      <c r="K1227">
        <v>1.09426</v>
      </c>
      <c r="L1227">
        <v>289.2645</v>
      </c>
      <c r="M1227">
        <v>-0.54315819999999904</v>
      </c>
      <c r="N1227">
        <v>0</v>
      </c>
      <c r="O1227">
        <v>-0.83948069999999897</v>
      </c>
      <c r="P1227">
        <v>-0.85592369999999995</v>
      </c>
      <c r="Q1227">
        <v>0.114109</v>
      </c>
      <c r="R1227">
        <v>-0.50435509999999995</v>
      </c>
      <c r="S1227">
        <v>-2.9743040000000001</v>
      </c>
      <c r="T1227">
        <v>-0.40576820000000002</v>
      </c>
      <c r="U1227">
        <v>-1.013641</v>
      </c>
      <c r="V1227">
        <v>0.4488645</v>
      </c>
      <c r="W1227">
        <v>0.1125036</v>
      </c>
      <c r="X1227">
        <v>0.88648950000000004</v>
      </c>
      <c r="Y1227">
        <v>0.61016210000000004</v>
      </c>
      <c r="Z1227">
        <v>0.1315559</v>
      </c>
      <c r="AA1227">
        <v>0.78127800000000003</v>
      </c>
      <c r="AB1227">
        <v>31</v>
      </c>
      <c r="AC1227">
        <v>-7.8479999999999803</v>
      </c>
      <c r="AD1227">
        <v>-1.094255937754</v>
      </c>
      <c r="AE1227">
        <v>-2.4830000000000001</v>
      </c>
      <c r="AF1227">
        <v>5.1492434475564997</v>
      </c>
      <c r="AG1227">
        <v>-1.094255937754</v>
      </c>
      <c r="AH1227">
        <v>6.2377007606804797</v>
      </c>
      <c r="AI1227">
        <v>97.704518965931001</v>
      </c>
      <c r="AJ1227">
        <v>50.460209654638497</v>
      </c>
      <c r="AK1227">
        <v>8.1621697433529992</v>
      </c>
      <c r="AL1227">
        <v>83.540342746989197</v>
      </c>
      <c r="AM1227">
        <v>63.145112738225599</v>
      </c>
      <c r="AN1227">
        <v>1.00000001649173</v>
      </c>
    </row>
    <row r="1228" spans="1:40" x14ac:dyDescent="0.25">
      <c r="A1228" t="str">
        <f>"20190312164457866"</f>
        <v>20190312164457866</v>
      </c>
      <c r="B1228" t="str">
        <f>"1552380297862495"</f>
        <v>1552380297862495</v>
      </c>
      <c r="C1228" t="s">
        <v>40</v>
      </c>
      <c r="D1228">
        <v>5.8379430000000001</v>
      </c>
      <c r="E1228">
        <v>0.59578419999999999</v>
      </c>
      <c r="F1228" t="s">
        <v>46</v>
      </c>
      <c r="G1228">
        <v>-204.80549999999999</v>
      </c>
      <c r="H1228" s="1">
        <v>4.1695130000000002E-6</v>
      </c>
      <c r="I1228">
        <v>286.65859999999998</v>
      </c>
      <c r="J1228">
        <v>-196.91900000000001</v>
      </c>
      <c r="K1228">
        <v>1.0941000000000001</v>
      </c>
      <c r="L1228">
        <v>289.01580000000001</v>
      </c>
      <c r="M1228">
        <v>-0.55748739999999997</v>
      </c>
      <c r="N1228">
        <v>0</v>
      </c>
      <c r="O1228">
        <v>-0.83003259999999901</v>
      </c>
      <c r="P1228">
        <v>-0.86455930000000003</v>
      </c>
      <c r="Q1228">
        <v>0.11490590000000001</v>
      </c>
      <c r="R1228">
        <v>-0.48921819999999999</v>
      </c>
      <c r="S1228">
        <v>-2.9898530000000001</v>
      </c>
      <c r="T1228">
        <v>-0.40562900000000002</v>
      </c>
      <c r="U1228">
        <v>-0.96600339999999996</v>
      </c>
      <c r="V1228">
        <v>0.44923210000000002</v>
      </c>
      <c r="W1228">
        <v>0.1131868</v>
      </c>
      <c r="X1228">
        <v>0.88621629999999996</v>
      </c>
      <c r="Y1228">
        <v>0.60915739999999996</v>
      </c>
      <c r="Z1228">
        <v>0.1308976</v>
      </c>
      <c r="AA1228">
        <v>0.78217199999999998</v>
      </c>
      <c r="AB1228">
        <v>31</v>
      </c>
      <c r="AC1228">
        <v>-7.8864999999999803</v>
      </c>
      <c r="AD1228">
        <v>-1.0940958304870001</v>
      </c>
      <c r="AE1228">
        <v>-2.3572000000000299</v>
      </c>
      <c r="AF1228">
        <v>5.14176333072714</v>
      </c>
      <c r="AG1228">
        <v>-1.0940958304870001</v>
      </c>
      <c r="AH1228">
        <v>6.2436717932618704</v>
      </c>
      <c r="AI1228">
        <v>97.703547792135296</v>
      </c>
      <c r="AJ1228">
        <v>50.5279996328984</v>
      </c>
      <c r="AK1228">
        <v>8.1619981191784898</v>
      </c>
      <c r="AL1228">
        <v>83.500946724653602</v>
      </c>
      <c r="AM1228">
        <v>63.11908393625</v>
      </c>
      <c r="AN1228">
        <v>1.00000003087516</v>
      </c>
    </row>
    <row r="1229" spans="1:40" x14ac:dyDescent="0.25">
      <c r="A1229" t="str">
        <f>"20190312164457888"</f>
        <v>20190312164457888</v>
      </c>
      <c r="B1229" t="str">
        <f>"1552380297882991"</f>
        <v>1552380297882991</v>
      </c>
      <c r="C1229" t="s">
        <v>40</v>
      </c>
      <c r="D1229">
        <v>5.8601839999999896</v>
      </c>
      <c r="E1229">
        <v>0.59532980000000002</v>
      </c>
      <c r="F1229" t="s">
        <v>46</v>
      </c>
      <c r="G1229">
        <v>-205.03030000000001</v>
      </c>
      <c r="H1229" s="1">
        <v>4.2802710000000002E-6</v>
      </c>
      <c r="I1229">
        <v>286.53190000000001</v>
      </c>
      <c r="J1229">
        <v>-197.11</v>
      </c>
      <c r="K1229">
        <v>1.0939350000000001</v>
      </c>
      <c r="L1229">
        <v>288.7602</v>
      </c>
      <c r="M1229">
        <v>-0.57240619999999998</v>
      </c>
      <c r="N1229">
        <v>0</v>
      </c>
      <c r="O1229">
        <v>-0.81981380000000004</v>
      </c>
      <c r="P1229">
        <v>-0.87317769999999995</v>
      </c>
      <c r="Q1229">
        <v>0.1148796</v>
      </c>
      <c r="R1229">
        <v>-0.4736707</v>
      </c>
      <c r="S1229">
        <v>-3.0033720000000002</v>
      </c>
      <c r="T1229">
        <v>-0.40510950000000001</v>
      </c>
      <c r="U1229">
        <v>-0.91973879999999997</v>
      </c>
      <c r="V1229">
        <v>0.44911010000000001</v>
      </c>
      <c r="W1229">
        <v>0.1130702</v>
      </c>
      <c r="X1229">
        <v>0.886293</v>
      </c>
      <c r="Y1229">
        <v>0.60697699999999999</v>
      </c>
      <c r="Z1229">
        <v>0.1300124</v>
      </c>
      <c r="AA1229">
        <v>0.78401259999999995</v>
      </c>
      <c r="AB1229">
        <v>31</v>
      </c>
      <c r="AC1229">
        <v>-7.9202999999999903</v>
      </c>
      <c r="AD1229">
        <v>-1.093930719729</v>
      </c>
      <c r="AE1229">
        <v>-2.2282999999999902</v>
      </c>
      <c r="AF1229">
        <v>5.12770425833203</v>
      </c>
      <c r="AG1229">
        <v>-1.093930719729</v>
      </c>
      <c r="AH1229">
        <v>6.2507401061315999</v>
      </c>
      <c r="AI1229">
        <v>97.705662063072793</v>
      </c>
      <c r="AJ1229">
        <v>50.636753804844503</v>
      </c>
      <c r="AK1229">
        <v>8.15854075523837</v>
      </c>
      <c r="AL1229">
        <v>83.507670486216398</v>
      </c>
      <c r="AM1229">
        <v>63.127358754087702</v>
      </c>
      <c r="AN1229">
        <v>1.00000001694952</v>
      </c>
    </row>
    <row r="1230" spans="1:40" x14ac:dyDescent="0.25">
      <c r="A1230" t="str">
        <f>"20190312164457912"</f>
        <v>20190312164457912</v>
      </c>
      <c r="B1230" t="str">
        <f>"1552380297902511"</f>
        <v>1552380297902511</v>
      </c>
      <c r="C1230" t="s">
        <v>40</v>
      </c>
      <c r="D1230">
        <v>5.798997</v>
      </c>
      <c r="E1230">
        <v>0.59498240000000002</v>
      </c>
      <c r="F1230" t="s">
        <v>46</v>
      </c>
      <c r="G1230">
        <v>-205.2826</v>
      </c>
      <c r="H1230" s="1">
        <v>4.402515E-6</v>
      </c>
      <c r="I1230">
        <v>286.41309999999999</v>
      </c>
      <c r="J1230">
        <v>-197.31360000000001</v>
      </c>
      <c r="K1230">
        <v>1.093769</v>
      </c>
      <c r="L1230">
        <v>288.4991</v>
      </c>
      <c r="M1230">
        <v>-0.58787679999999998</v>
      </c>
      <c r="N1230">
        <v>0</v>
      </c>
      <c r="O1230">
        <v>-0.80879009999999996</v>
      </c>
      <c r="P1230">
        <v>-0.88220549999999998</v>
      </c>
      <c r="Q1230">
        <v>0.11462410000000001</v>
      </c>
      <c r="R1230">
        <v>-0.45669989999999999</v>
      </c>
      <c r="S1230">
        <v>-3.0186160000000002</v>
      </c>
      <c r="T1230">
        <v>-0.40405439999999998</v>
      </c>
      <c r="U1230">
        <v>-0.86691280000000004</v>
      </c>
      <c r="V1230">
        <v>0.44947140000000002</v>
      </c>
      <c r="W1230">
        <v>0.1127078</v>
      </c>
      <c r="X1230">
        <v>0.88615599999999894</v>
      </c>
      <c r="Y1230">
        <v>0.60580059999999902</v>
      </c>
      <c r="Z1230">
        <v>0.1289053</v>
      </c>
      <c r="AA1230">
        <v>0.78510449999999998</v>
      </c>
      <c r="AB1230">
        <v>31</v>
      </c>
      <c r="AC1230">
        <v>-7.9689999999999896</v>
      </c>
      <c r="AD1230">
        <v>-1.0937645974850001</v>
      </c>
      <c r="AE1230">
        <v>-2.0860000000000101</v>
      </c>
      <c r="AF1230">
        <v>5.1291858785522999</v>
      </c>
      <c r="AG1230">
        <v>-1.0937645974850001</v>
      </c>
      <c r="AH1230">
        <v>6.2623466911058596</v>
      </c>
      <c r="AI1230">
        <v>97.695181565089698</v>
      </c>
      <c r="AJ1230">
        <v>50.680749916336303</v>
      </c>
      <c r="AK1230">
        <v>8.1683446824345296</v>
      </c>
      <c r="AL1230">
        <v>83.528568094635602</v>
      </c>
      <c r="AM1230">
        <v>63.105203995028901</v>
      </c>
      <c r="AN1230">
        <v>1.0000000219673899</v>
      </c>
    </row>
    <row r="1231" spans="1:40" x14ac:dyDescent="0.25">
      <c r="A1231" t="str">
        <f>"20190312164457934"</f>
        <v>20190312164457934</v>
      </c>
      <c r="B1231" t="str">
        <f>"1552380297923007"</f>
        <v>1552380297923007</v>
      </c>
      <c r="C1231" t="s">
        <v>40</v>
      </c>
      <c r="D1231">
        <v>5.6659079999999999</v>
      </c>
      <c r="E1231">
        <v>0.59485250000000001</v>
      </c>
      <c r="F1231" t="s">
        <v>46</v>
      </c>
      <c r="G1231">
        <v>-205.5001</v>
      </c>
      <c r="H1231" s="1">
        <v>4.5073759999999996E-6</v>
      </c>
      <c r="I1231">
        <v>286.31709999999998</v>
      </c>
      <c r="J1231">
        <v>-197.51150000000001</v>
      </c>
      <c r="K1231">
        <v>1.093631</v>
      </c>
      <c r="L1231">
        <v>288.25479999999999</v>
      </c>
      <c r="M1231">
        <v>-0.60252240000000001</v>
      </c>
      <c r="N1231">
        <v>0</v>
      </c>
      <c r="O1231">
        <v>-0.79793789999999998</v>
      </c>
      <c r="P1231">
        <v>-0.89054299999999997</v>
      </c>
      <c r="Q1231">
        <v>0.1139434</v>
      </c>
      <c r="R1231">
        <v>-0.44039820000000002</v>
      </c>
      <c r="S1231">
        <v>-3.0345460000000002</v>
      </c>
      <c r="T1231">
        <v>-0.40543249999999997</v>
      </c>
      <c r="U1231">
        <v>-0.80880739999999995</v>
      </c>
      <c r="V1231">
        <v>0.44969969999999998</v>
      </c>
      <c r="W1231">
        <v>0.11193740000000001</v>
      </c>
      <c r="X1231">
        <v>0.88613779999999998</v>
      </c>
      <c r="Y1231">
        <v>0.60643169999999902</v>
      </c>
      <c r="Z1231">
        <v>0.12863649999999999</v>
      </c>
      <c r="AA1231">
        <v>0.78466119999999995</v>
      </c>
      <c r="AB1231">
        <v>31</v>
      </c>
      <c r="AC1231">
        <v>-7.9885999999999902</v>
      </c>
      <c r="AD1231">
        <v>-1.093626492624</v>
      </c>
      <c r="AE1231">
        <v>-1.9377</v>
      </c>
      <c r="AF1231">
        <v>5.1170108161878201</v>
      </c>
      <c r="AG1231">
        <v>-1.093626492624</v>
      </c>
      <c r="AH1231">
        <v>6.2496892219324103</v>
      </c>
      <c r="AI1231">
        <v>97.710697583902899</v>
      </c>
      <c r="AJ1231">
        <v>50.690671329705602</v>
      </c>
      <c r="AK1231">
        <v>8.1509774854977</v>
      </c>
      <c r="AL1231">
        <v>83.5729897391234</v>
      </c>
      <c r="AM1231">
        <v>63.092989716706903</v>
      </c>
      <c r="AN1231">
        <v>1.0000000011438399</v>
      </c>
    </row>
    <row r="1232" spans="1:40" x14ac:dyDescent="0.25">
      <c r="A1232" t="str">
        <f>"20190312164457959"</f>
        <v>20190312164457959</v>
      </c>
      <c r="B1232" t="str">
        <f>"1552380297953263"</f>
        <v>1552380297953263</v>
      </c>
      <c r="C1232" t="s">
        <v>40</v>
      </c>
      <c r="D1232">
        <v>5.6878299999999999</v>
      </c>
      <c r="E1232">
        <v>0.57165290000000002</v>
      </c>
      <c r="F1232" t="s">
        <v>46</v>
      </c>
      <c r="G1232">
        <v>-205.71340000000001</v>
      </c>
      <c r="H1232" s="1">
        <v>4.6096519999999996E-6</v>
      </c>
      <c r="I1232">
        <v>286.22919999999999</v>
      </c>
      <c r="J1232">
        <v>-197.73589999999999</v>
      </c>
      <c r="K1232">
        <v>1.093494</v>
      </c>
      <c r="L1232">
        <v>287.98849999999999</v>
      </c>
      <c r="M1232">
        <v>-0.61866499999999902</v>
      </c>
      <c r="N1232">
        <v>0</v>
      </c>
      <c r="O1232">
        <v>-0.78548669999999998</v>
      </c>
      <c r="P1232">
        <v>-0.89899490000000004</v>
      </c>
      <c r="Q1232">
        <v>0.1143773</v>
      </c>
      <c r="R1232">
        <v>-0.42276049999999998</v>
      </c>
      <c r="S1232">
        <v>-3.0484469999999999</v>
      </c>
      <c r="T1232">
        <v>-0.40647100000000003</v>
      </c>
      <c r="U1232">
        <v>-0.75283809999999995</v>
      </c>
      <c r="V1232">
        <v>0.44910990000000001</v>
      </c>
      <c r="W1232">
        <v>0.1123202</v>
      </c>
      <c r="X1232">
        <v>0.88638850000000002</v>
      </c>
      <c r="Y1232">
        <v>0.60475239999999997</v>
      </c>
      <c r="Z1232">
        <v>0.128001</v>
      </c>
      <c r="AA1232">
        <v>0.78605999999999998</v>
      </c>
      <c r="AB1232">
        <v>31</v>
      </c>
      <c r="AC1232">
        <v>-7.9775000000000098</v>
      </c>
      <c r="AD1232">
        <v>-1.0934893903480001</v>
      </c>
      <c r="AE1232">
        <v>-1.7592999999999901</v>
      </c>
      <c r="AF1232">
        <v>5.0873360380362804</v>
      </c>
      <c r="AG1232">
        <v>-1.0934893903480001</v>
      </c>
      <c r="AH1232">
        <v>6.2069305533405101</v>
      </c>
      <c r="AI1232">
        <v>97.758978825552703</v>
      </c>
      <c r="AJ1232">
        <v>50.6612043034037</v>
      </c>
      <c r="AK1232">
        <v>8.0995489939069003</v>
      </c>
      <c r="AL1232">
        <v>83.5509180460663</v>
      </c>
      <c r="AM1232">
        <v>63.129858069085699</v>
      </c>
      <c r="AN1232">
        <v>1.00000005126914</v>
      </c>
    </row>
    <row r="1233" spans="1:40" x14ac:dyDescent="0.25">
      <c r="A1233" t="str">
        <f>"20190312164457979"</f>
        <v>20190312164457979</v>
      </c>
      <c r="B1233" t="str">
        <f>"1552380297972783"</f>
        <v>1552380297972783</v>
      </c>
      <c r="C1233" t="s">
        <v>40</v>
      </c>
      <c r="D1233">
        <v>5.9324079999999997</v>
      </c>
      <c r="E1233">
        <v>0.57189389999999996</v>
      </c>
      <c r="F1233" t="s">
        <v>46</v>
      </c>
      <c r="G1233">
        <v>-208.74299999999999</v>
      </c>
      <c r="H1233" s="1">
        <v>6.0722339999999997E-6</v>
      </c>
      <c r="I1233">
        <v>284.86689999999999</v>
      </c>
      <c r="J1233">
        <v>-197.9307</v>
      </c>
      <c r="K1233">
        <v>1.0933820000000001</v>
      </c>
      <c r="L1233">
        <v>287.76600000000002</v>
      </c>
      <c r="M1233">
        <v>-0.63229480000000005</v>
      </c>
      <c r="N1233">
        <v>0</v>
      </c>
      <c r="O1233">
        <v>-0.77455589999999996</v>
      </c>
      <c r="P1233">
        <v>-0.90585039999999994</v>
      </c>
      <c r="Q1233">
        <v>0.11410919999999999</v>
      </c>
      <c r="R1233">
        <v>-0.40793940000000001</v>
      </c>
      <c r="S1233">
        <v>-2.9775700000000001</v>
      </c>
      <c r="T1233">
        <v>-0.29580269999999997</v>
      </c>
      <c r="U1233">
        <v>-0.84445190000000003</v>
      </c>
      <c r="V1233">
        <v>0.44822459999999997</v>
      </c>
      <c r="W1233">
        <v>0.11203349999999999</v>
      </c>
      <c r="X1233">
        <v>0.88687269999999896</v>
      </c>
      <c r="Y1233">
        <v>0.56768660000000004</v>
      </c>
      <c r="Z1233">
        <v>9.2590110000000003E-2</v>
      </c>
      <c r="AA1233">
        <v>0.81802140000000001</v>
      </c>
      <c r="AB1233">
        <v>31</v>
      </c>
      <c r="AC1233">
        <v>-10.812299999999899</v>
      </c>
      <c r="AD1233">
        <v>-1.093375927766</v>
      </c>
      <c r="AE1233">
        <v>-2.89909999999997</v>
      </c>
      <c r="AF1233">
        <v>6.4806903835676799</v>
      </c>
      <c r="AG1233">
        <v>-1.093375927766</v>
      </c>
      <c r="AH1233">
        <v>8.9974500237410702</v>
      </c>
      <c r="AI1233">
        <v>95.631448615586393</v>
      </c>
      <c r="AJ1233">
        <v>54.235518854111596</v>
      </c>
      <c r="AK1233">
        <v>11.1422136802703</v>
      </c>
      <c r="AL1233">
        <v>83.567448699375404</v>
      </c>
      <c r="AM1233">
        <v>63.188010459598097</v>
      </c>
      <c r="AN1233">
        <v>0.999999991586349</v>
      </c>
    </row>
    <row r="1234" spans="1:40" x14ac:dyDescent="0.25">
      <c r="A1234" t="str">
        <f>"20190312164458002"</f>
        <v>20190312164458002</v>
      </c>
      <c r="B1234" t="str">
        <f>"1552380297993279"</f>
        <v>1552380297993279</v>
      </c>
      <c r="C1234" t="s">
        <v>40</v>
      </c>
      <c r="D1234">
        <v>5.5875940000000002</v>
      </c>
      <c r="E1234">
        <v>0.59796130000000003</v>
      </c>
      <c r="F1234" t="s">
        <v>46</v>
      </c>
      <c r="G1234">
        <v>-209.30520000000001</v>
      </c>
      <c r="H1234" s="1">
        <v>6.3311460000000003E-6</v>
      </c>
      <c r="I1234">
        <v>284.75720000000001</v>
      </c>
      <c r="J1234">
        <v>-198.14490000000001</v>
      </c>
      <c r="K1234">
        <v>1.0932679999999999</v>
      </c>
      <c r="L1234">
        <v>287.53019999999998</v>
      </c>
      <c r="M1234">
        <v>-0.64686969999999899</v>
      </c>
      <c r="N1234">
        <v>0</v>
      </c>
      <c r="O1234">
        <v>-0.76242460000000001</v>
      </c>
      <c r="P1234">
        <v>-0.91275050000000002</v>
      </c>
      <c r="Q1234">
        <v>0.11334230000000001</v>
      </c>
      <c r="R1234">
        <v>-0.39247959999999998</v>
      </c>
      <c r="S1234">
        <v>-2.9916529999999999</v>
      </c>
      <c r="T1234">
        <v>-0.28757290000000002</v>
      </c>
      <c r="U1234">
        <v>-0.79135129999999998</v>
      </c>
      <c r="V1234">
        <v>0.44655489999999998</v>
      </c>
      <c r="W1234">
        <v>0.1112867</v>
      </c>
      <c r="X1234">
        <v>0.887808499999999</v>
      </c>
      <c r="Y1234">
        <v>0.56695280000000003</v>
      </c>
      <c r="Z1234">
        <v>8.9313020000000007E-2</v>
      </c>
      <c r="AA1234">
        <v>0.81889429999999996</v>
      </c>
      <c r="AB1234">
        <v>31</v>
      </c>
      <c r="AC1234">
        <v>-11.160299999999999</v>
      </c>
      <c r="AD1234">
        <v>-1.093261668854</v>
      </c>
      <c r="AE1234">
        <v>-2.7729999999999602</v>
      </c>
      <c r="AF1234">
        <v>6.6558620082526296</v>
      </c>
      <c r="AG1234">
        <v>-1.093261668854</v>
      </c>
      <c r="AH1234">
        <v>9.2511029309681607</v>
      </c>
      <c r="AI1234">
        <v>95.479526612786501</v>
      </c>
      <c r="AJ1234">
        <v>54.266235376656098</v>
      </c>
      <c r="AK1234">
        <v>11.448957401827199</v>
      </c>
      <c r="AL1234">
        <v>83.610506317061393</v>
      </c>
      <c r="AM1234">
        <v>63.298262034780997</v>
      </c>
      <c r="AN1234">
        <v>0.99999997049157396</v>
      </c>
    </row>
    <row r="1235" spans="1:40" x14ac:dyDescent="0.25">
      <c r="A1235" t="str">
        <f>"20190312164458023"</f>
        <v>20190312164458023</v>
      </c>
      <c r="B1235" t="str">
        <f>"1552380298012799"</f>
        <v>1552380298012799</v>
      </c>
      <c r="C1235" t="s">
        <v>40</v>
      </c>
      <c r="D1235">
        <v>5.7311750000000004</v>
      </c>
      <c r="E1235">
        <v>0.60254219999999903</v>
      </c>
      <c r="F1235" t="s">
        <v>46</v>
      </c>
      <c r="G1235">
        <v>-207.44569999999999</v>
      </c>
      <c r="H1235" s="1">
        <v>5.4105129999999998E-6</v>
      </c>
      <c r="I1235">
        <v>285.85559999999998</v>
      </c>
      <c r="J1235">
        <v>-198.3569</v>
      </c>
      <c r="K1235">
        <v>1.093167</v>
      </c>
      <c r="L1235">
        <v>287.30549999999999</v>
      </c>
      <c r="M1235">
        <v>-0.66088780000000003</v>
      </c>
      <c r="N1235">
        <v>0</v>
      </c>
      <c r="O1235">
        <v>-0.75030450000000004</v>
      </c>
      <c r="P1235">
        <v>-0.91918359999999999</v>
      </c>
      <c r="Q1235">
        <v>0.1124174</v>
      </c>
      <c r="R1235">
        <v>-0.3774441</v>
      </c>
      <c r="S1235">
        <v>-3.0924839999999998</v>
      </c>
      <c r="T1235">
        <v>-0.36350450000000001</v>
      </c>
      <c r="U1235">
        <v>-0.55679319999999999</v>
      </c>
      <c r="V1235">
        <v>0.44474849999999999</v>
      </c>
      <c r="W1235">
        <v>0.1103968</v>
      </c>
      <c r="X1235">
        <v>0.8888258</v>
      </c>
      <c r="Y1235">
        <v>0.61360700000000001</v>
      </c>
      <c r="Z1235">
        <v>0.1126021</v>
      </c>
      <c r="AA1235">
        <v>0.78154159999999995</v>
      </c>
      <c r="AB1235">
        <v>31</v>
      </c>
      <c r="AC1235">
        <v>-9.0887999999999902</v>
      </c>
      <c r="AD1235">
        <v>-1.0931615894869999</v>
      </c>
      <c r="AE1235">
        <v>-1.44990000000001</v>
      </c>
      <c r="AF1235">
        <v>5.7803937737162299</v>
      </c>
      <c r="AG1235">
        <v>-1.0931615894869999</v>
      </c>
      <c r="AH1235">
        <v>6.9967977298994297</v>
      </c>
      <c r="AI1235">
        <v>96.868157108687797</v>
      </c>
      <c r="AJ1235">
        <v>50.438237050271802</v>
      </c>
      <c r="AK1235">
        <v>9.1412872678344907</v>
      </c>
      <c r="AL1235">
        <v>83.661810102406903</v>
      </c>
      <c r="AM1235">
        <v>63.417644591321199</v>
      </c>
      <c r="AN1235">
        <v>0.99999999222406499</v>
      </c>
    </row>
    <row r="1236" spans="1:40" x14ac:dyDescent="0.25">
      <c r="A1236" t="str">
        <f>"20190312164458045"</f>
        <v>20190312164458045</v>
      </c>
      <c r="B1236" t="str">
        <f>"1552380298043055"</f>
        <v>1552380298043055</v>
      </c>
      <c r="C1236" t="s">
        <v>40</v>
      </c>
      <c r="D1236">
        <v>5.706798</v>
      </c>
      <c r="E1236">
        <v>0.603993</v>
      </c>
      <c r="F1236" t="s">
        <v>46</v>
      </c>
      <c r="G1236">
        <v>-207.06280000000001</v>
      </c>
      <c r="H1236" s="1">
        <v>5.2292300000000002E-6</v>
      </c>
      <c r="I1236">
        <v>285.9871</v>
      </c>
      <c r="J1236">
        <v>-198.56800000000001</v>
      </c>
      <c r="K1236">
        <v>1.0930709999999999</v>
      </c>
      <c r="L1236">
        <v>287.0899</v>
      </c>
      <c r="M1236">
        <v>-0.67446139999999999</v>
      </c>
      <c r="N1236">
        <v>0</v>
      </c>
      <c r="O1236">
        <v>-0.7381257</v>
      </c>
      <c r="P1236">
        <v>-0.92515619999999998</v>
      </c>
      <c r="Q1236">
        <v>0.11138969999999999</v>
      </c>
      <c r="R1236">
        <v>-0.36287550000000002</v>
      </c>
      <c r="S1236">
        <v>-3.1177519999999999</v>
      </c>
      <c r="T1236">
        <v>-0.39147949999999998</v>
      </c>
      <c r="U1236">
        <v>-0.47216799999999998</v>
      </c>
      <c r="V1236">
        <v>0.44265290000000002</v>
      </c>
      <c r="W1236">
        <v>0.1094242</v>
      </c>
      <c r="X1236">
        <v>0.88999139999999999</v>
      </c>
      <c r="Y1236">
        <v>0.61983940000000004</v>
      </c>
      <c r="Z1236">
        <v>0.12022969999999999</v>
      </c>
      <c r="AA1236">
        <v>0.77546380000000004</v>
      </c>
      <c r="AB1236">
        <v>31</v>
      </c>
      <c r="AC1236">
        <v>-8.4948000000000192</v>
      </c>
      <c r="AD1236">
        <v>-1.09306577077</v>
      </c>
      <c r="AE1236">
        <v>-1.1028</v>
      </c>
      <c r="AF1236">
        <v>5.4386307604280102</v>
      </c>
      <c r="AG1236">
        <v>-1.09306577077</v>
      </c>
      <c r="AH1236">
        <v>6.4394585592181501</v>
      </c>
      <c r="AI1236">
        <v>97.388974351590207</v>
      </c>
      <c r="AJ1236">
        <v>49.816269727503403</v>
      </c>
      <c r="AK1236">
        <v>8.4994190309332698</v>
      </c>
      <c r="AL1236">
        <v>83.717875506043498</v>
      </c>
      <c r="AM1236">
        <v>63.555735466807498</v>
      </c>
      <c r="AN1236">
        <v>0.99999996874900399</v>
      </c>
    </row>
    <row r="1237" spans="1:40" x14ac:dyDescent="0.25">
      <c r="A1237" t="str">
        <f>"20190312164458066"</f>
        <v>20190312164458066</v>
      </c>
      <c r="B1237" t="str">
        <f>"1552380298062575"</f>
        <v>1552380298062575</v>
      </c>
      <c r="C1237" t="s">
        <v>40</v>
      </c>
      <c r="D1237">
        <v>5.7415010000000004</v>
      </c>
      <c r="E1237">
        <v>0.60316630000000004</v>
      </c>
      <c r="F1237" t="s">
        <v>46</v>
      </c>
      <c r="G1237">
        <v>-206.94059999999999</v>
      </c>
      <c r="H1237" s="1">
        <v>5.174814E-6</v>
      </c>
      <c r="I1237">
        <v>285.98930000000001</v>
      </c>
      <c r="J1237">
        <v>-198.779</v>
      </c>
      <c r="K1237">
        <v>1.092986</v>
      </c>
      <c r="L1237">
        <v>286.88229999999999</v>
      </c>
      <c r="M1237">
        <v>-0.68764040000000004</v>
      </c>
      <c r="N1237">
        <v>0</v>
      </c>
      <c r="O1237">
        <v>-0.72586269999999997</v>
      </c>
      <c r="P1237">
        <v>-0.93064360000000002</v>
      </c>
      <c r="Q1237">
        <v>0.11088679999999999</v>
      </c>
      <c r="R1237">
        <v>-0.34872180000000003</v>
      </c>
      <c r="S1237">
        <v>-3.1305239999999999</v>
      </c>
      <c r="T1237">
        <v>-0.40870190000000001</v>
      </c>
      <c r="U1237">
        <v>-0.41152949999999999</v>
      </c>
      <c r="V1237">
        <v>0.44024649999999999</v>
      </c>
      <c r="W1237">
        <v>0.1089967</v>
      </c>
      <c r="X1237">
        <v>0.89123669999999999</v>
      </c>
      <c r="Y1237">
        <v>0.62027180000000004</v>
      </c>
      <c r="Z1237">
        <v>0.1243599</v>
      </c>
      <c r="AA1237">
        <v>0.77446599999999999</v>
      </c>
      <c r="AB1237">
        <v>31</v>
      </c>
      <c r="AC1237">
        <v>-8.1615999999999609</v>
      </c>
      <c r="AD1237">
        <v>-1.092980825186</v>
      </c>
      <c r="AE1237">
        <v>-0.89299999999997204</v>
      </c>
      <c r="AF1237">
        <v>5.2183869775826199</v>
      </c>
      <c r="AG1237">
        <v>-1.092980825186</v>
      </c>
      <c r="AH1237">
        <v>6.1522703208129297</v>
      </c>
      <c r="AI1237">
        <v>97.715577472110695</v>
      </c>
      <c r="AJ1237">
        <v>49.695220826296001</v>
      </c>
      <c r="AK1237">
        <v>8.1410441487799208</v>
      </c>
      <c r="AL1237">
        <v>83.742517404423296</v>
      </c>
      <c r="AM1237">
        <v>63.711890543051297</v>
      </c>
      <c r="AN1237">
        <v>1.0000000584000099</v>
      </c>
    </row>
    <row r="1238" spans="1:40" x14ac:dyDescent="0.25">
      <c r="A1238" t="str">
        <f>"20190312164458090"</f>
        <v>20190312164458090</v>
      </c>
      <c r="B1238" t="str">
        <f>"1552380298083073"</f>
        <v>1552380298083073</v>
      </c>
      <c r="C1238" t="s">
        <v>40</v>
      </c>
      <c r="D1238">
        <v>5.7146589999999904</v>
      </c>
      <c r="E1238">
        <v>0.60183959999999903</v>
      </c>
      <c r="F1238" t="s">
        <v>46</v>
      </c>
      <c r="G1238">
        <v>-207.12719999999999</v>
      </c>
      <c r="H1238" s="1">
        <v>5.265069E-6</v>
      </c>
      <c r="I1238">
        <v>285.90379999999999</v>
      </c>
      <c r="J1238">
        <v>-199.02269999999999</v>
      </c>
      <c r="K1238">
        <v>1.0929040000000001</v>
      </c>
      <c r="L1238">
        <v>286.6515</v>
      </c>
      <c r="M1238">
        <v>-0.70240429999999998</v>
      </c>
      <c r="N1238">
        <v>0</v>
      </c>
      <c r="O1238">
        <v>-0.71158440000000001</v>
      </c>
      <c r="P1238">
        <v>-0.93697050000000004</v>
      </c>
      <c r="Q1238">
        <v>0.11065700000000001</v>
      </c>
      <c r="R1238">
        <v>-0.33142270000000001</v>
      </c>
      <c r="S1238">
        <v>-3.1347960000000001</v>
      </c>
      <c r="T1238">
        <v>-0.41041919999999998</v>
      </c>
      <c r="U1238">
        <v>-0.36743160000000002</v>
      </c>
      <c r="V1238">
        <v>0.4384788</v>
      </c>
      <c r="W1238">
        <v>0.1088128</v>
      </c>
      <c r="X1238">
        <v>0.89213009999999904</v>
      </c>
      <c r="Y1238">
        <v>0.615158599999999</v>
      </c>
      <c r="Z1238">
        <v>0.12342019999999999</v>
      </c>
      <c r="AA1238">
        <v>0.77868309999999996</v>
      </c>
      <c r="AB1238">
        <v>31</v>
      </c>
      <c r="AC1238">
        <v>-8.1044999999999998</v>
      </c>
      <c r="AD1238">
        <v>-1.092898734931</v>
      </c>
      <c r="AE1238">
        <v>-0.74770000000000802</v>
      </c>
      <c r="AF1238">
        <v>5.1497152227376999</v>
      </c>
      <c r="AG1238">
        <v>-1.092898734931</v>
      </c>
      <c r="AH1238">
        <v>6.1152796715537896</v>
      </c>
      <c r="AI1238">
        <v>97.784189890678107</v>
      </c>
      <c r="AJ1238">
        <v>49.899059422059203</v>
      </c>
      <c r="AK1238">
        <v>8.0691164312723398</v>
      </c>
      <c r="AL1238">
        <v>83.753116772931406</v>
      </c>
      <c r="AM1238">
        <v>63.826045894197101</v>
      </c>
      <c r="AN1238">
        <v>0.99999999940964501</v>
      </c>
    </row>
    <row r="1239" spans="1:40" x14ac:dyDescent="0.25">
      <c r="A1239" t="str">
        <f>"20190312164458112"</f>
        <v>20190312164458112</v>
      </c>
      <c r="B1239" t="str">
        <f>"1552380298102591"</f>
        <v>1552380298102591</v>
      </c>
      <c r="C1239" t="s">
        <v>40</v>
      </c>
      <c r="D1239">
        <v>5.715287</v>
      </c>
      <c r="E1239">
        <v>0.60140869999999902</v>
      </c>
      <c r="F1239" t="s">
        <v>46</v>
      </c>
      <c r="G1239">
        <v>-207.21950000000001</v>
      </c>
      <c r="H1239" s="1">
        <v>5.31352899999999E-6</v>
      </c>
      <c r="I1239">
        <v>285.8175</v>
      </c>
      <c r="J1239">
        <v>-199.2501</v>
      </c>
      <c r="K1239">
        <v>1.0928340000000001</v>
      </c>
      <c r="L1239">
        <v>286.44510000000002</v>
      </c>
      <c r="M1239">
        <v>-0.71573279999999995</v>
      </c>
      <c r="N1239">
        <v>0</v>
      </c>
      <c r="O1239">
        <v>-0.69817600000000002</v>
      </c>
      <c r="P1239">
        <v>-0.94207949999999996</v>
      </c>
      <c r="Q1239">
        <v>0.1105346</v>
      </c>
      <c r="R1239">
        <v>-0.31665209999999999</v>
      </c>
      <c r="S1239">
        <v>-3.1382750000000001</v>
      </c>
      <c r="T1239">
        <v>-0.41843530000000001</v>
      </c>
      <c r="U1239">
        <v>-0.31930540000000002</v>
      </c>
      <c r="V1239">
        <v>0.43565320000000002</v>
      </c>
      <c r="W1239">
        <v>0.10879519999999999</v>
      </c>
      <c r="X1239">
        <v>0.89351550000000002</v>
      </c>
      <c r="Y1239">
        <v>0.61195809999999995</v>
      </c>
      <c r="Z1239">
        <v>0.1245116</v>
      </c>
      <c r="AA1239">
        <v>0.78102759999999904</v>
      </c>
      <c r="AB1239">
        <v>31</v>
      </c>
      <c r="AC1239">
        <v>-7.9694000000000003</v>
      </c>
      <c r="AD1239">
        <v>-1.092828686471</v>
      </c>
      <c r="AE1239">
        <v>-0.62760000000002902</v>
      </c>
      <c r="AF1239">
        <v>5.0217112081055397</v>
      </c>
      <c r="AG1239">
        <v>-1.092828686471</v>
      </c>
      <c r="AH1239">
        <v>6.0302911943889503</v>
      </c>
      <c r="AI1239">
        <v>97.928001029896393</v>
      </c>
      <c r="AJ1239">
        <v>50.214236680043498</v>
      </c>
      <c r="AK1239">
        <v>7.9231477257912903</v>
      </c>
      <c r="AL1239">
        <v>83.754131377087404</v>
      </c>
      <c r="AM1239">
        <v>64.0074302176034</v>
      </c>
      <c r="AN1239">
        <v>1.00000002747676</v>
      </c>
    </row>
    <row r="1240" spans="1:40" x14ac:dyDescent="0.25">
      <c r="A1240" t="str">
        <f>"20190312164458134"</f>
        <v>20190312164458134</v>
      </c>
      <c r="B1240" t="str">
        <f>"1552380298123087"</f>
        <v>1552380298123087</v>
      </c>
      <c r="C1240" t="s">
        <v>40</v>
      </c>
      <c r="D1240">
        <v>5.7513230000000002</v>
      </c>
      <c r="E1240">
        <v>0.60077609999999904</v>
      </c>
      <c r="F1240" t="s">
        <v>46</v>
      </c>
      <c r="G1240">
        <v>-207.37379999999999</v>
      </c>
      <c r="H1240" s="1">
        <v>5.3888370000000004E-6</v>
      </c>
      <c r="I1240">
        <v>285.73860000000002</v>
      </c>
      <c r="J1240">
        <v>-199.48670000000001</v>
      </c>
      <c r="K1240">
        <v>1.0927739999999999</v>
      </c>
      <c r="L1240">
        <v>286.23849999999999</v>
      </c>
      <c r="M1240">
        <v>-0.72916780000000003</v>
      </c>
      <c r="N1240">
        <v>0</v>
      </c>
      <c r="O1240">
        <v>-0.68413159999999995</v>
      </c>
      <c r="P1240">
        <v>-0.94684520000000005</v>
      </c>
      <c r="Q1240">
        <v>0.10917930000000001</v>
      </c>
      <c r="R1240">
        <v>-0.30259589999999997</v>
      </c>
      <c r="S1240">
        <v>-3.1421809999999999</v>
      </c>
      <c r="T1240">
        <v>-0.42270020000000003</v>
      </c>
      <c r="U1240">
        <v>-0.2732849</v>
      </c>
      <c r="V1240">
        <v>0.43164560000000002</v>
      </c>
      <c r="W1240">
        <v>0.1076073</v>
      </c>
      <c r="X1240">
        <v>0.89560189999999995</v>
      </c>
      <c r="Y1240">
        <v>0.60803549999999995</v>
      </c>
      <c r="Z1240">
        <v>0.1242674</v>
      </c>
      <c r="AA1240">
        <v>0.78412399999999904</v>
      </c>
      <c r="AB1240">
        <v>31</v>
      </c>
      <c r="AC1240">
        <v>-7.88709999999997</v>
      </c>
      <c r="AD1240">
        <v>-1.0927686111629999</v>
      </c>
      <c r="AE1240">
        <v>-0.49989999999996798</v>
      </c>
      <c r="AF1240">
        <v>4.9375982617433003</v>
      </c>
      <c r="AG1240">
        <v>-1.0927686111629999</v>
      </c>
      <c r="AH1240">
        <v>5.9795378508642498</v>
      </c>
      <c r="AI1240">
        <v>98.021171860774402</v>
      </c>
      <c r="AJ1240">
        <v>50.451838341903198</v>
      </c>
      <c r="AK1240">
        <v>7.8312765716600703</v>
      </c>
      <c r="AL1240">
        <v>83.822594871331404</v>
      </c>
      <c r="AM1240">
        <v>64.267725158021904</v>
      </c>
      <c r="AN1240">
        <v>1.00000000914813</v>
      </c>
    </row>
    <row r="1241" spans="1:40" x14ac:dyDescent="0.25">
      <c r="A1241" t="str">
        <f>"20190312164458158"</f>
        <v>20190312164458158</v>
      </c>
      <c r="B1241" t="str">
        <f>"1552380298152369"</f>
        <v>1552380298152369</v>
      </c>
      <c r="C1241" t="s">
        <v>40</v>
      </c>
      <c r="D1241">
        <v>5.8028230000000001</v>
      </c>
      <c r="E1241">
        <v>0.59899060000000004</v>
      </c>
      <c r="F1241" t="s">
        <v>46</v>
      </c>
      <c r="G1241">
        <v>-207.5797</v>
      </c>
      <c r="H1241" s="1">
        <v>5.4878229999999998E-6</v>
      </c>
      <c r="I1241">
        <v>285.65109999999999</v>
      </c>
      <c r="J1241">
        <v>-199.73140000000001</v>
      </c>
      <c r="K1241">
        <v>1.0927230000000001</v>
      </c>
      <c r="L1241">
        <v>286.03320000000002</v>
      </c>
      <c r="M1241">
        <v>-0.74260340000000002</v>
      </c>
      <c r="N1241">
        <v>0</v>
      </c>
      <c r="O1241">
        <v>-0.66952259999999997</v>
      </c>
      <c r="P1241">
        <v>-0.95167420000000003</v>
      </c>
      <c r="Q1241">
        <v>0.1073142</v>
      </c>
      <c r="R1241">
        <v>-0.28775060000000002</v>
      </c>
      <c r="S1241">
        <v>-3.1444239999999999</v>
      </c>
      <c r="T1241">
        <v>-0.42458129999999999</v>
      </c>
      <c r="U1241">
        <v>-0.228241</v>
      </c>
      <c r="V1241">
        <v>0.42794989999999999</v>
      </c>
      <c r="W1241">
        <v>0.10590189999999999</v>
      </c>
      <c r="X1241">
        <v>0.89757659999999995</v>
      </c>
      <c r="Y1241">
        <v>0.60362539999999998</v>
      </c>
      <c r="Z1241">
        <v>0.1232231</v>
      </c>
      <c r="AA1241">
        <v>0.787688099999999</v>
      </c>
      <c r="AB1241">
        <v>30</v>
      </c>
      <c r="AC1241">
        <v>-7.8482999999999903</v>
      </c>
      <c r="AD1241">
        <v>-1.0927175121770001</v>
      </c>
      <c r="AE1241">
        <v>-0.38210000000003602</v>
      </c>
      <c r="AF1241">
        <v>4.8772392757247998</v>
      </c>
      <c r="AG1241">
        <v>-1.0927175121770001</v>
      </c>
      <c r="AH1241">
        <v>5.9694068100082296</v>
      </c>
      <c r="AI1241">
        <v>98.068180400598294</v>
      </c>
      <c r="AJ1241">
        <v>50.749831115949803</v>
      </c>
      <c r="AK1241">
        <v>7.7855836118728803</v>
      </c>
      <c r="AL1241">
        <v>83.920868895865397</v>
      </c>
      <c r="AM1241">
        <v>64.508954367557905</v>
      </c>
      <c r="AN1241">
        <v>1.0000000411005801</v>
      </c>
    </row>
    <row r="1242" spans="1:40" x14ac:dyDescent="0.25">
      <c r="A1242" t="str">
        <f>"20190312164458180"</f>
        <v>20190312164458180</v>
      </c>
      <c r="B1242" t="str">
        <f>"1552380298172863"</f>
        <v>1552380298172863</v>
      </c>
      <c r="C1242" t="s">
        <v>40</v>
      </c>
      <c r="D1242">
        <v>5.7242360000000003</v>
      </c>
      <c r="E1242">
        <v>0.59805719999999996</v>
      </c>
      <c r="F1242" t="s">
        <v>46</v>
      </c>
      <c r="G1242">
        <v>-207.70599999999999</v>
      </c>
      <c r="H1242" s="1">
        <v>5.5523089999999998E-6</v>
      </c>
      <c r="I1242">
        <v>285.55380000000002</v>
      </c>
      <c r="J1242">
        <v>-199.9811</v>
      </c>
      <c r="K1242">
        <v>1.0926910000000001</v>
      </c>
      <c r="L1242">
        <v>285.83199999999999</v>
      </c>
      <c r="M1242">
        <v>-0.75584600000000002</v>
      </c>
      <c r="N1242">
        <v>0</v>
      </c>
      <c r="O1242">
        <v>-0.65453490000000003</v>
      </c>
      <c r="P1242">
        <v>-0.95612739999999996</v>
      </c>
      <c r="Q1242">
        <v>0.1062674</v>
      </c>
      <c r="R1242">
        <v>-0.2729972</v>
      </c>
      <c r="S1242">
        <v>-3.1437680000000001</v>
      </c>
      <c r="T1242">
        <v>-0.43077769999999999</v>
      </c>
      <c r="U1242">
        <v>-0.18899540000000001</v>
      </c>
      <c r="V1242">
        <v>0.42391600000000002</v>
      </c>
      <c r="W1242">
        <v>0.10503560000000001</v>
      </c>
      <c r="X1242">
        <v>0.89959029999999995</v>
      </c>
      <c r="Y1242">
        <v>0.59738649999999904</v>
      </c>
      <c r="Z1242">
        <v>0.1232603</v>
      </c>
      <c r="AA1242">
        <v>0.79242429999999997</v>
      </c>
      <c r="AB1242">
        <v>30</v>
      </c>
      <c r="AC1242">
        <v>-7.7248999999999901</v>
      </c>
      <c r="AD1242">
        <v>-1.092685447691</v>
      </c>
      <c r="AE1242">
        <v>-0.27819999999996903</v>
      </c>
      <c r="AF1242">
        <v>4.7516725036736398</v>
      </c>
      <c r="AG1242">
        <v>-1.092685447691</v>
      </c>
      <c r="AH1242">
        <v>5.9038016520936303</v>
      </c>
      <c r="AI1242">
        <v>98.204523018552294</v>
      </c>
      <c r="AJ1242">
        <v>51.171163664879302</v>
      </c>
      <c r="AK1242">
        <v>7.6568418435427601</v>
      </c>
      <c r="AL1242">
        <v>83.970782247900402</v>
      </c>
      <c r="AM1242">
        <v>64.768672463999096</v>
      </c>
      <c r="AN1242">
        <v>0.99999998008872404</v>
      </c>
    </row>
    <row r="1243" spans="1:40" x14ac:dyDescent="0.25">
      <c r="A1243" t="str">
        <f>"20190312164458201"</f>
        <v>20190312164458201</v>
      </c>
      <c r="B1243" t="str">
        <f>"1552380298192383"</f>
        <v>1552380298192383</v>
      </c>
      <c r="C1243" t="s">
        <v>40</v>
      </c>
      <c r="D1243">
        <v>5.7105629999999996</v>
      </c>
      <c r="E1243">
        <v>0.59703709999999999</v>
      </c>
      <c r="F1243" t="s">
        <v>46</v>
      </c>
      <c r="G1243">
        <v>-207.95609999999999</v>
      </c>
      <c r="H1243" s="1">
        <v>5.6709339999999999E-6</v>
      </c>
      <c r="I1243">
        <v>285.46589999999998</v>
      </c>
      <c r="J1243">
        <v>-200.2133</v>
      </c>
      <c r="K1243">
        <v>1.0926629999999999</v>
      </c>
      <c r="L1243">
        <v>285.65219999999999</v>
      </c>
      <c r="M1243">
        <v>-0.76775289999999996</v>
      </c>
      <c r="N1243">
        <v>0</v>
      </c>
      <c r="O1243">
        <v>-0.64052609999999999</v>
      </c>
      <c r="P1243">
        <v>-0.95983629999999998</v>
      </c>
      <c r="Q1243">
        <v>0.1079223</v>
      </c>
      <c r="R1243">
        <v>-0.25897330000000002</v>
      </c>
      <c r="S1243">
        <v>-3.1443180000000002</v>
      </c>
      <c r="T1243">
        <v>-0.43081180000000002</v>
      </c>
      <c r="U1243">
        <v>-0.14434810000000001</v>
      </c>
      <c r="V1243">
        <v>0.42048869999999999</v>
      </c>
      <c r="W1243">
        <v>0.10684589999999899</v>
      </c>
      <c r="X1243">
        <v>0.90098449999999997</v>
      </c>
      <c r="Y1243">
        <v>0.59408709999999998</v>
      </c>
      <c r="Z1243">
        <v>0.1217409</v>
      </c>
      <c r="AA1243">
        <v>0.79513500000000004</v>
      </c>
      <c r="AB1243">
        <v>30</v>
      </c>
      <c r="AC1243">
        <v>-7.7427999999999804</v>
      </c>
      <c r="AD1243">
        <v>-1.092657329066</v>
      </c>
      <c r="AE1243">
        <v>-0.18630000000001601</v>
      </c>
      <c r="AF1243">
        <v>4.7231074626143803</v>
      </c>
      <c r="AG1243">
        <v>-1.092657329066</v>
      </c>
      <c r="AH1243">
        <v>5.9463902029685096</v>
      </c>
      <c r="AI1243">
        <v>98.187875967444896</v>
      </c>
      <c r="AJ1243">
        <v>51.540535462861001</v>
      </c>
      <c r="AK1243">
        <v>7.6721053556455496</v>
      </c>
      <c r="AL1243">
        <v>83.866472372415103</v>
      </c>
      <c r="AM1243">
        <v>64.981578234181498</v>
      </c>
      <c r="AN1243">
        <v>0.99999993120737196</v>
      </c>
    </row>
    <row r="1244" spans="1:40" x14ac:dyDescent="0.25">
      <c r="A1244" t="str">
        <f>"20190312164458223"</f>
        <v>20190312164458223</v>
      </c>
      <c r="B1244" t="str">
        <f>"1552380298212884"</f>
        <v>1552380298212884</v>
      </c>
      <c r="C1244" t="s">
        <v>40</v>
      </c>
      <c r="D1244">
        <v>5.6610230000000001</v>
      </c>
      <c r="E1244">
        <v>0.59637340000000005</v>
      </c>
      <c r="F1244" t="s">
        <v>46</v>
      </c>
      <c r="G1244">
        <v>-208.29689999999999</v>
      </c>
      <c r="H1244" s="1">
        <v>5.82949E-6</v>
      </c>
      <c r="I1244">
        <v>285.38060000000002</v>
      </c>
      <c r="J1244">
        <v>-200.46469999999999</v>
      </c>
      <c r="K1244">
        <v>1.0926400000000001</v>
      </c>
      <c r="L1244">
        <v>285.46499999999997</v>
      </c>
      <c r="M1244">
        <v>-0.78020269999999903</v>
      </c>
      <c r="N1244">
        <v>0</v>
      </c>
      <c r="O1244">
        <v>-0.62530109999999905</v>
      </c>
      <c r="P1244">
        <v>-0.96352289999999996</v>
      </c>
      <c r="Q1244">
        <v>0.1089157</v>
      </c>
      <c r="R1244">
        <v>-0.2444615</v>
      </c>
      <c r="S1244">
        <v>-3.1448360000000002</v>
      </c>
      <c r="T1244">
        <v>-0.42509079999999999</v>
      </c>
      <c r="U1244">
        <v>-0.10565190000000001</v>
      </c>
      <c r="V1244">
        <v>0.41632659999999999</v>
      </c>
      <c r="W1244">
        <v>0.1080335</v>
      </c>
      <c r="X1244">
        <v>0.90277399999999997</v>
      </c>
      <c r="Y1244">
        <v>0.58856929999999996</v>
      </c>
      <c r="Z1244">
        <v>0.11829000000000001</v>
      </c>
      <c r="AA1244">
        <v>0.79974599999999996</v>
      </c>
      <c r="AB1244">
        <v>30</v>
      </c>
      <c r="AC1244">
        <v>-7.8322000000000003</v>
      </c>
      <c r="AD1244">
        <v>-1.09263417051</v>
      </c>
      <c r="AE1244">
        <v>-8.4399999999959605E-2</v>
      </c>
      <c r="AF1244">
        <v>4.7400767468200398</v>
      </c>
      <c r="AG1244">
        <v>-1.09263417051</v>
      </c>
      <c r="AH1244">
        <v>6.04668368367909</v>
      </c>
      <c r="AI1244">
        <v>98.093865696741901</v>
      </c>
      <c r="AJ1244">
        <v>51.9066247947299</v>
      </c>
      <c r="AK1244">
        <v>7.7604484771681301</v>
      </c>
      <c r="AL1244">
        <v>83.798032069268203</v>
      </c>
      <c r="AM1244">
        <v>65.242563372929297</v>
      </c>
      <c r="AN1244">
        <v>0.99999998503290399</v>
      </c>
    </row>
    <row r="1245" spans="1:40" x14ac:dyDescent="0.25">
      <c r="A1245" t="str">
        <f>"20190312164458246"</f>
        <v>20190312164458246</v>
      </c>
      <c r="B1245" t="str">
        <f>"1552380298243124"</f>
        <v>1552380298243124</v>
      </c>
      <c r="C1245" t="s">
        <v>40</v>
      </c>
      <c r="D1245">
        <v>6.2098319999999996</v>
      </c>
      <c r="E1245">
        <v>0.58543990000000001</v>
      </c>
      <c r="F1245" t="s">
        <v>46</v>
      </c>
      <c r="G1245">
        <v>-208.65819999999999</v>
      </c>
      <c r="H1245" s="1">
        <v>5.996436E-6</v>
      </c>
      <c r="I1245">
        <v>285.30410000000001</v>
      </c>
      <c r="J1245">
        <v>-200.7071</v>
      </c>
      <c r="K1245">
        <v>1.0926229999999999</v>
      </c>
      <c r="L1245">
        <v>285.29169999999999</v>
      </c>
      <c r="M1245">
        <v>-0.79178409999999999</v>
      </c>
      <c r="N1245">
        <v>0</v>
      </c>
      <c r="O1245">
        <v>-0.61056949999999999</v>
      </c>
      <c r="P1245">
        <v>-0.9667888</v>
      </c>
      <c r="Q1245">
        <v>0.1076545</v>
      </c>
      <c r="R1245">
        <v>-0.23179830000000001</v>
      </c>
      <c r="S1245">
        <v>-3.1453250000000001</v>
      </c>
      <c r="T1245">
        <v>-0.41944049999999999</v>
      </c>
      <c r="U1245">
        <v>-6.1767580000000002E-2</v>
      </c>
      <c r="V1245">
        <v>0.41128110000000001</v>
      </c>
      <c r="W1245">
        <v>0.1070137</v>
      </c>
      <c r="X1245">
        <v>0.90520489999999998</v>
      </c>
      <c r="Y1245">
        <v>0.58507019999999998</v>
      </c>
      <c r="Z1245">
        <v>0.115057199999999</v>
      </c>
      <c r="AA1245">
        <v>0.80277940000000003</v>
      </c>
      <c r="AB1245">
        <v>30</v>
      </c>
      <c r="AC1245">
        <v>-7.9510999999999896</v>
      </c>
      <c r="AD1245">
        <v>-1.0926170035639999</v>
      </c>
      <c r="AE1245">
        <v>1.24000000000137E-2</v>
      </c>
      <c r="AF1245">
        <v>4.7750363538163798</v>
      </c>
      <c r="AG1245">
        <v>-1.0926170035639999</v>
      </c>
      <c r="AH1245">
        <v>6.1723184626978096</v>
      </c>
      <c r="AI1245">
        <v>97.970274629097702</v>
      </c>
      <c r="AJ1245">
        <v>52.273704372294603</v>
      </c>
      <c r="AK1245">
        <v>7.8798667058336402</v>
      </c>
      <c r="AL1245">
        <v>83.856803081215205</v>
      </c>
      <c r="AM1245">
        <v>65.565261259400302</v>
      </c>
      <c r="AN1245">
        <v>0.99999999309445498</v>
      </c>
    </row>
    <row r="1246" spans="1:40" x14ac:dyDescent="0.25">
      <c r="A1246" t="str">
        <f>"20190312164458267"</f>
        <v>20190312164458267</v>
      </c>
      <c r="B1246" t="str">
        <f>"1552380298262643"</f>
        <v>1552380298262643</v>
      </c>
      <c r="C1246" t="s">
        <v>40</v>
      </c>
      <c r="D1246">
        <v>5.6799679999999997</v>
      </c>
      <c r="E1246">
        <v>0.58599480000000004</v>
      </c>
      <c r="F1246" t="s">
        <v>46</v>
      </c>
      <c r="G1246">
        <v>-208.96190000000001</v>
      </c>
      <c r="H1246" s="1">
        <v>6.1556349999999999E-6</v>
      </c>
      <c r="I1246">
        <v>285.02350000000001</v>
      </c>
      <c r="J1246">
        <v>-200.95429999999999</v>
      </c>
      <c r="K1246">
        <v>1.0926100000000001</v>
      </c>
      <c r="L1246">
        <v>285.12200000000001</v>
      </c>
      <c r="M1246">
        <v>-0.80318469999999997</v>
      </c>
      <c r="N1246">
        <v>0</v>
      </c>
      <c r="O1246">
        <v>-0.59549209999999997</v>
      </c>
      <c r="P1246">
        <v>-0.97004219999999997</v>
      </c>
      <c r="Q1246">
        <v>0.1055335</v>
      </c>
      <c r="R1246">
        <v>-0.21881780000000001</v>
      </c>
      <c r="S1246">
        <v>-3.1247560000000001</v>
      </c>
      <c r="T1246">
        <v>-0.4135952</v>
      </c>
      <c r="U1246">
        <v>-0.101532</v>
      </c>
      <c r="V1246">
        <v>0.40634940000000003</v>
      </c>
      <c r="W1246">
        <v>0.1051333</v>
      </c>
      <c r="X1246">
        <v>0.90764920000000004</v>
      </c>
      <c r="Y1246">
        <v>0.55972519999999903</v>
      </c>
      <c r="Z1246">
        <v>0.1108591</v>
      </c>
      <c r="AA1246">
        <v>0.8212296</v>
      </c>
      <c r="AB1246">
        <v>30</v>
      </c>
      <c r="AC1246">
        <v>-8.0076000000000196</v>
      </c>
      <c r="AD1246">
        <v>-1.0926038443649999</v>
      </c>
      <c r="AE1246">
        <v>-9.8500000000001295E-2</v>
      </c>
      <c r="AF1246">
        <v>4.6043061240132097</v>
      </c>
      <c r="AG1246">
        <v>-1.0926038443649999</v>
      </c>
      <c r="AH1246">
        <v>6.3725354012450302</v>
      </c>
      <c r="AI1246">
        <v>97.9120163312801</v>
      </c>
      <c r="AJ1246">
        <v>54.1510068088932</v>
      </c>
      <c r="AK1246">
        <v>7.9374193214462299</v>
      </c>
      <c r="AL1246">
        <v>83.965153150183198</v>
      </c>
      <c r="AM1246">
        <v>65.882208203754303</v>
      </c>
      <c r="AN1246">
        <v>0.99999995795494401</v>
      </c>
    </row>
    <row r="1247" spans="1:40" x14ac:dyDescent="0.25">
      <c r="A1247" t="str">
        <f>"20190312164458290"</f>
        <v>20190312164458290</v>
      </c>
      <c r="B1247" t="str">
        <f>"1552380298283140"</f>
        <v>1552380298283140</v>
      </c>
      <c r="C1247" t="s">
        <v>40</v>
      </c>
      <c r="D1247">
        <v>5.6281879999999997</v>
      </c>
      <c r="E1247">
        <v>0.5710847</v>
      </c>
      <c r="F1247" t="s">
        <v>46</v>
      </c>
      <c r="G1247">
        <v>-209.02379999999999</v>
      </c>
      <c r="H1247" s="1">
        <v>6.1863780000000004E-6</v>
      </c>
      <c r="I1247">
        <v>284.9855</v>
      </c>
      <c r="J1247">
        <v>-201.22579999999999</v>
      </c>
      <c r="K1247">
        <v>1.092614</v>
      </c>
      <c r="L1247">
        <v>284.9436</v>
      </c>
      <c r="M1247">
        <v>-0.81522479999999997</v>
      </c>
      <c r="N1247">
        <v>0</v>
      </c>
      <c r="O1247">
        <v>-0.5788991</v>
      </c>
      <c r="P1247">
        <v>-0.97333970000000003</v>
      </c>
      <c r="Q1247">
        <v>0.10393330000000001</v>
      </c>
      <c r="R1247">
        <v>-0.20446890000000001</v>
      </c>
      <c r="S1247">
        <v>-3.1267849999999999</v>
      </c>
      <c r="T1247">
        <v>-0.42336570000000001</v>
      </c>
      <c r="U1247">
        <v>-5.2886959999999997E-2</v>
      </c>
      <c r="V1247">
        <v>0.4011672</v>
      </c>
      <c r="W1247">
        <v>0.1037912</v>
      </c>
      <c r="X1247">
        <v>0.91010559999999996</v>
      </c>
      <c r="Y1247">
        <v>0.55532680000000001</v>
      </c>
      <c r="Z1247">
        <v>0.1113758</v>
      </c>
      <c r="AA1247">
        <v>0.82414050000000005</v>
      </c>
      <c r="AB1247">
        <v>30</v>
      </c>
      <c r="AC1247">
        <v>-7.798</v>
      </c>
      <c r="AD1247">
        <v>-1.0926078136220001</v>
      </c>
      <c r="AE1247">
        <v>4.1899999999998203E-2</v>
      </c>
      <c r="AF1247">
        <v>4.4614752575783596</v>
      </c>
      <c r="AG1247">
        <v>-1.0926078136220001</v>
      </c>
      <c r="AH1247">
        <v>6.21182142652445</v>
      </c>
      <c r="AI1247">
        <v>98.130398085069999</v>
      </c>
      <c r="AJ1247">
        <v>54.313209523608201</v>
      </c>
      <c r="AK1247">
        <v>7.7256248124925202</v>
      </c>
      <c r="AL1247">
        <v>84.042472920812401</v>
      </c>
      <c r="AM1247">
        <v>66.212502197322905</v>
      </c>
      <c r="AN1247">
        <v>0.99999996935231905</v>
      </c>
    </row>
    <row r="1248" spans="1:40" x14ac:dyDescent="0.25">
      <c r="A1248" t="str">
        <f>"20190312164458312"</f>
        <v>20190312164458312</v>
      </c>
      <c r="B1248" t="str">
        <f>"1552380298302663"</f>
        <v>1552380298302663</v>
      </c>
      <c r="C1248" t="s">
        <v>40</v>
      </c>
      <c r="D1248">
        <v>5.6331379999999998</v>
      </c>
      <c r="E1248">
        <v>0.57363489999999995</v>
      </c>
      <c r="F1248" t="s">
        <v>47</v>
      </c>
      <c r="G1248">
        <v>-214.57570000000001</v>
      </c>
      <c r="H1248" s="1">
        <v>8.9815849999999995E-7</v>
      </c>
      <c r="I1248">
        <v>284.47809999999998</v>
      </c>
      <c r="J1248">
        <v>-201.48589999999999</v>
      </c>
      <c r="K1248">
        <v>1.092632</v>
      </c>
      <c r="L1248">
        <v>284.78030000000001</v>
      </c>
      <c r="M1248">
        <v>-0.82629900000000001</v>
      </c>
      <c r="N1248">
        <v>0</v>
      </c>
      <c r="O1248">
        <v>-0.56297919999999901</v>
      </c>
      <c r="P1248">
        <v>-0.97589429999999999</v>
      </c>
      <c r="Q1248">
        <v>0.1033737</v>
      </c>
      <c r="R1248">
        <v>-0.19220960000000001</v>
      </c>
      <c r="S1248">
        <v>-3.0865330000000002</v>
      </c>
      <c r="T1248">
        <v>-0.2526156</v>
      </c>
      <c r="U1248">
        <v>-0.10760500000000001</v>
      </c>
      <c r="V1248">
        <v>0.39495580000000002</v>
      </c>
      <c r="W1248">
        <v>0.1035403</v>
      </c>
      <c r="X1248">
        <v>0.91284679999999996</v>
      </c>
      <c r="Y1248">
        <v>0.53046839999999995</v>
      </c>
      <c r="Z1248">
        <v>6.5357799999999994E-2</v>
      </c>
      <c r="AA1248">
        <v>0.84518139999999997</v>
      </c>
      <c r="AB1248">
        <v>30</v>
      </c>
      <c r="AC1248">
        <v>-13.0898</v>
      </c>
      <c r="AD1248">
        <v>-1.0926311018415</v>
      </c>
      <c r="AE1248">
        <v>-0.302200000000027</v>
      </c>
      <c r="AF1248">
        <v>7.0713463077672198</v>
      </c>
      <c r="AG1248">
        <v>-1.0926311018415</v>
      </c>
      <c r="AH1248">
        <v>10.9117952914771</v>
      </c>
      <c r="AI1248">
        <v>94.803328150794897</v>
      </c>
      <c r="AJ1248">
        <v>57.054902628699097</v>
      </c>
      <c r="AK1248">
        <v>13.048565354558599</v>
      </c>
      <c r="AL1248">
        <v>84.056926361822505</v>
      </c>
      <c r="AM1248">
        <v>66.603610055321894</v>
      </c>
      <c r="AN1248">
        <v>0.99999997897398396</v>
      </c>
    </row>
    <row r="1249" spans="1:40" x14ac:dyDescent="0.25">
      <c r="A1249" t="str">
        <f>"20190312164458335"</f>
        <v>20190312164458335</v>
      </c>
      <c r="B1249" t="str">
        <f>"1552380298322545"</f>
        <v>1552380298322545</v>
      </c>
      <c r="C1249" t="s">
        <v>40</v>
      </c>
      <c r="D1249">
        <v>5.7054460000000002</v>
      </c>
      <c r="E1249">
        <v>0.57522240000000002</v>
      </c>
      <c r="F1249" t="s">
        <v>47</v>
      </c>
      <c r="G1249">
        <v>-213.6671</v>
      </c>
      <c r="H1249" s="1">
        <v>4.146577E-7</v>
      </c>
      <c r="I1249">
        <v>284.5847</v>
      </c>
      <c r="J1249">
        <v>-201.74979999999999</v>
      </c>
      <c r="K1249">
        <v>1.092652</v>
      </c>
      <c r="L1249">
        <v>284.6216</v>
      </c>
      <c r="M1249">
        <v>-0.83708930000000004</v>
      </c>
      <c r="N1249">
        <v>0</v>
      </c>
      <c r="O1249">
        <v>-0.54680620000000002</v>
      </c>
      <c r="P1249">
        <v>-0.97827299999999995</v>
      </c>
      <c r="Q1249">
        <v>0.10147730000000001</v>
      </c>
      <c r="R1249">
        <v>-0.18078839999999999</v>
      </c>
      <c r="S1249">
        <v>-3.0936889999999999</v>
      </c>
      <c r="T1249">
        <v>-0.27749859999999998</v>
      </c>
      <c r="U1249">
        <v>-4.9682619999999997E-2</v>
      </c>
      <c r="V1249">
        <v>0.38788660000000003</v>
      </c>
      <c r="W1249">
        <v>0.1019941</v>
      </c>
      <c r="X1249">
        <v>0.91604649999999999</v>
      </c>
      <c r="Y1249">
        <v>0.52925500000000003</v>
      </c>
      <c r="Z1249">
        <v>7.0414859999999996E-2</v>
      </c>
      <c r="AA1249">
        <v>0.84553590000000001</v>
      </c>
      <c r="AB1249">
        <v>30</v>
      </c>
      <c r="AC1249">
        <v>-11.917299999999999</v>
      </c>
      <c r="AD1249">
        <v>-1.0926515853423</v>
      </c>
      <c r="AE1249">
        <v>-3.6900000000002799E-2</v>
      </c>
      <c r="AF1249">
        <v>6.4324150100438802</v>
      </c>
      <c r="AG1249">
        <v>-1.0926515853423</v>
      </c>
      <c r="AH1249">
        <v>9.9141029620239003</v>
      </c>
      <c r="AI1249">
        <v>95.282347875994304</v>
      </c>
      <c r="AJ1249">
        <v>57.023903053594502</v>
      </c>
      <c r="AK1249">
        <v>11.8684155593743</v>
      </c>
      <c r="AL1249">
        <v>84.145988779895902</v>
      </c>
      <c r="AM1249">
        <v>67.050476391188596</v>
      </c>
      <c r="AN1249">
        <v>1.0000000005283101</v>
      </c>
    </row>
    <row r="1250" spans="1:40" x14ac:dyDescent="0.25">
      <c r="A1250" t="str">
        <f>"20190312164458358"</f>
        <v>20190312164458358</v>
      </c>
      <c r="B1250" t="str">
        <f>"1552380298352798"</f>
        <v>1552380298352798</v>
      </c>
      <c r="C1250" t="s">
        <v>40</v>
      </c>
      <c r="D1250">
        <v>5.5797169999999996</v>
      </c>
      <c r="E1250">
        <v>0.57198319999999903</v>
      </c>
      <c r="F1250" t="s">
        <v>47</v>
      </c>
      <c r="G1250">
        <v>-213.1437</v>
      </c>
      <c r="H1250" s="1">
        <v>1.3613769999999999E-7</v>
      </c>
      <c r="I1250">
        <v>284.62180000000001</v>
      </c>
      <c r="J1250">
        <v>-202.02670000000001</v>
      </c>
      <c r="K1250">
        <v>1.0926800000000001</v>
      </c>
      <c r="L1250">
        <v>284.46249999999998</v>
      </c>
      <c r="M1250">
        <v>-0.84793349999999901</v>
      </c>
      <c r="N1250">
        <v>0</v>
      </c>
      <c r="O1250">
        <v>-0.52983449999999999</v>
      </c>
      <c r="P1250">
        <v>-0.98085659999999997</v>
      </c>
      <c r="Q1250">
        <v>9.9320259999999994E-2</v>
      </c>
      <c r="R1250">
        <v>-0.1674997</v>
      </c>
      <c r="S1250">
        <v>-3.097458</v>
      </c>
      <c r="T1250">
        <v>-0.29704049999999999</v>
      </c>
      <c r="U1250" s="1">
        <v>6.1035159999999999E-5</v>
      </c>
      <c r="V1250">
        <v>0.38187260000000001</v>
      </c>
      <c r="W1250">
        <v>0.1001406</v>
      </c>
      <c r="X1250">
        <v>0.91877370000000003</v>
      </c>
      <c r="Y1250">
        <v>0.52528599999999903</v>
      </c>
      <c r="Z1250">
        <v>7.3741780000000007E-2</v>
      </c>
      <c r="AA1250">
        <v>0.84772449999999999</v>
      </c>
      <c r="AB1250">
        <v>30</v>
      </c>
      <c r="AC1250">
        <v>-11.1169999999999</v>
      </c>
      <c r="AD1250">
        <v>-1.0926798638623001</v>
      </c>
      <c r="AE1250">
        <v>0.15930000000003</v>
      </c>
      <c r="AF1250">
        <v>5.9684543739659404</v>
      </c>
      <c r="AG1250">
        <v>-1.0926798638623001</v>
      </c>
      <c r="AH1250">
        <v>9.2540194132307292</v>
      </c>
      <c r="AI1250">
        <v>95.666810080900802</v>
      </c>
      <c r="AJ1250">
        <v>57.179681098163798</v>
      </c>
      <c r="AK1250">
        <v>11.065860662391</v>
      </c>
      <c r="AL1250">
        <v>84.252732905358101</v>
      </c>
      <c r="AM1250">
        <v>67.430620929049596</v>
      </c>
      <c r="AN1250">
        <v>0.99999996710540395</v>
      </c>
    </row>
    <row r="1251" spans="1:40" x14ac:dyDescent="0.25">
      <c r="A1251" t="str">
        <f>"20190312164458382"</f>
        <v>20190312164458382</v>
      </c>
      <c r="B1251" t="str">
        <f>"1552380298373294"</f>
        <v>1552380298373294</v>
      </c>
      <c r="C1251" t="s">
        <v>40</v>
      </c>
      <c r="D1251">
        <v>5.601362</v>
      </c>
      <c r="E1251">
        <v>0.57056130000000005</v>
      </c>
      <c r="F1251" t="s">
        <v>47</v>
      </c>
      <c r="G1251">
        <v>-213.42089999999999</v>
      </c>
      <c r="H1251" s="1">
        <v>2.836233E-7</v>
      </c>
      <c r="I1251">
        <v>284.52749999999997</v>
      </c>
      <c r="J1251">
        <v>-202.30609999999999</v>
      </c>
      <c r="K1251">
        <v>1.0927180000000001</v>
      </c>
      <c r="L1251">
        <v>284.30919999999998</v>
      </c>
      <c r="M1251">
        <v>-0.85839399999999999</v>
      </c>
      <c r="N1251">
        <v>0</v>
      </c>
      <c r="O1251">
        <v>-0.51271489999999997</v>
      </c>
      <c r="P1251">
        <v>-0.98341429999999996</v>
      </c>
      <c r="Q1251">
        <v>9.7008860000000002E-2</v>
      </c>
      <c r="R1251">
        <v>-0.1532509</v>
      </c>
      <c r="S1251">
        <v>-3.0916139999999999</v>
      </c>
      <c r="T1251">
        <v>-0.2964791</v>
      </c>
      <c r="U1251">
        <v>1.7639160000000001E-2</v>
      </c>
      <c r="V1251">
        <v>0.37677310000000003</v>
      </c>
      <c r="W1251">
        <v>9.8092230000000002E-2</v>
      </c>
      <c r="X1251">
        <v>0.9210971</v>
      </c>
      <c r="Y1251">
        <v>0.51314689999999996</v>
      </c>
      <c r="Z1251">
        <v>7.1756970000000003E-2</v>
      </c>
      <c r="AA1251">
        <v>0.85529599999999995</v>
      </c>
      <c r="AB1251">
        <v>30</v>
      </c>
      <c r="AC1251">
        <v>-11.114800000000001</v>
      </c>
      <c r="AD1251">
        <v>-1.0927177163766999</v>
      </c>
      <c r="AE1251">
        <v>0.21829999999999899</v>
      </c>
      <c r="AF1251">
        <v>5.83061201187083</v>
      </c>
      <c r="AG1251">
        <v>-1.0927177163766999</v>
      </c>
      <c r="AH1251">
        <v>9.3400482571837706</v>
      </c>
      <c r="AI1251">
        <v>95.667627034452096</v>
      </c>
      <c r="AJ1251">
        <v>58.025144762984901</v>
      </c>
      <c r="AK1251">
        <v>11.0646540789659</v>
      </c>
      <c r="AL1251">
        <v>84.370676625663407</v>
      </c>
      <c r="AM1251">
        <v>67.753073183159202</v>
      </c>
      <c r="AN1251">
        <v>0.99999996104919497</v>
      </c>
    </row>
    <row r="1252" spans="1:40" x14ac:dyDescent="0.25">
      <c r="A1252" t="str">
        <f>"20190312164458404"</f>
        <v>20190312164458404</v>
      </c>
      <c r="B1252" t="str">
        <f>"1552380298392815"</f>
        <v>1552380298392815</v>
      </c>
      <c r="C1252" t="s">
        <v>40</v>
      </c>
      <c r="D1252">
        <v>5.5751499999999998</v>
      </c>
      <c r="E1252">
        <v>0.56868790000000002</v>
      </c>
      <c r="F1252" t="s">
        <v>47</v>
      </c>
      <c r="G1252">
        <v>-213.19890000000001</v>
      </c>
      <c r="H1252" s="1">
        <v>1.6547680000000001E-7</v>
      </c>
      <c r="I1252">
        <v>284.48009999999999</v>
      </c>
      <c r="J1252">
        <v>-202.58369999999999</v>
      </c>
      <c r="K1252">
        <v>1.0927720000000001</v>
      </c>
      <c r="L1252">
        <v>284.16399999999999</v>
      </c>
      <c r="M1252">
        <v>-0.86829799999999902</v>
      </c>
      <c r="N1252">
        <v>0</v>
      </c>
      <c r="O1252">
        <v>-0.49575829999999999</v>
      </c>
      <c r="P1252">
        <v>-0.98567400000000005</v>
      </c>
      <c r="Q1252">
        <v>9.5316230000000002E-2</v>
      </c>
      <c r="R1252">
        <v>-0.1391472</v>
      </c>
      <c r="S1252">
        <v>-3.08873</v>
      </c>
      <c r="T1252">
        <v>-0.30985049999999997</v>
      </c>
      <c r="U1252">
        <v>4.8461909999999997E-2</v>
      </c>
      <c r="V1252">
        <v>0.37186770000000002</v>
      </c>
      <c r="W1252">
        <v>9.6658540000000001E-2</v>
      </c>
      <c r="X1252">
        <v>0.9232397</v>
      </c>
      <c r="Y1252">
        <v>0.50453729999999997</v>
      </c>
      <c r="Z1252">
        <v>7.3150989999999999E-2</v>
      </c>
      <c r="AA1252">
        <v>0.86028549999999904</v>
      </c>
      <c r="AB1252">
        <v>30</v>
      </c>
      <c r="AC1252">
        <v>-10.6152</v>
      </c>
      <c r="AD1252">
        <v>-1.09277183452319</v>
      </c>
      <c r="AE1252">
        <v>0.31610000000000499</v>
      </c>
      <c r="AF1252">
        <v>5.4798035366206301</v>
      </c>
      <c r="AG1252">
        <v>-1.09277183452319</v>
      </c>
      <c r="AH1252">
        <v>8.9667856954370908</v>
      </c>
      <c r="AI1252">
        <v>95.936733143234704</v>
      </c>
      <c r="AJ1252">
        <v>58.569963724029598</v>
      </c>
      <c r="AK1252">
        <v>10.5653037244644</v>
      </c>
      <c r="AL1252">
        <v>84.453213485048394</v>
      </c>
      <c r="AM1252">
        <v>68.061131589988307</v>
      </c>
      <c r="AN1252">
        <v>1.00000000165715</v>
      </c>
    </row>
    <row r="1253" spans="1:40" x14ac:dyDescent="0.25">
      <c r="A1253" t="str">
        <f>"20190312164458426"</f>
        <v>20190312164458426</v>
      </c>
      <c r="B1253" t="str">
        <f>"1552380298422601"</f>
        <v>1552380298422601</v>
      </c>
      <c r="C1253" t="s">
        <v>40</v>
      </c>
      <c r="D1253">
        <v>5.4408969999999997</v>
      </c>
      <c r="E1253">
        <v>0.56701969999999902</v>
      </c>
      <c r="F1253" t="s">
        <v>47</v>
      </c>
      <c r="G1253">
        <v>-213.40209999999999</v>
      </c>
      <c r="H1253" s="1">
        <v>2.7364649999999997E-7</v>
      </c>
      <c r="I1253">
        <v>284.43639999999999</v>
      </c>
      <c r="J1253">
        <v>-202.84960000000001</v>
      </c>
      <c r="K1253">
        <v>1.0928580000000001</v>
      </c>
      <c r="L1253">
        <v>284.03120000000001</v>
      </c>
      <c r="M1253">
        <v>-0.87733309999999998</v>
      </c>
      <c r="N1253">
        <v>0</v>
      </c>
      <c r="O1253">
        <v>-0.47958919999999999</v>
      </c>
      <c r="P1253">
        <v>-0.98759929999999996</v>
      </c>
      <c r="Q1253">
        <v>9.3540330000000005E-2</v>
      </c>
      <c r="R1253">
        <v>-0.1260867</v>
      </c>
      <c r="S1253">
        <v>-3.0847169999999999</v>
      </c>
      <c r="T1253">
        <v>-0.31158819999999998</v>
      </c>
      <c r="U1253">
        <v>7.7667239999999999E-2</v>
      </c>
      <c r="V1253">
        <v>0.36696790000000001</v>
      </c>
      <c r="W1253">
        <v>9.5145400000000005E-2</v>
      </c>
      <c r="X1253">
        <v>0.92535500000000004</v>
      </c>
      <c r="Y1253">
        <v>0.49676930000000002</v>
      </c>
      <c r="Z1253">
        <v>7.1833449999999993E-2</v>
      </c>
      <c r="AA1253">
        <v>0.86490469999999897</v>
      </c>
      <c r="AB1253">
        <v>30</v>
      </c>
      <c r="AC1253">
        <v>-10.552499999999901</v>
      </c>
      <c r="AD1253">
        <v>-1.0928577263535</v>
      </c>
      <c r="AE1253">
        <v>0.40519999999997902</v>
      </c>
      <c r="AF1253">
        <v>5.3597201957667497</v>
      </c>
      <c r="AG1253">
        <v>-1.0928577263535</v>
      </c>
      <c r="AH1253">
        <v>8.9689463670059908</v>
      </c>
      <c r="AI1253">
        <v>95.971192560907099</v>
      </c>
      <c r="AJ1253">
        <v>59.138035733853997</v>
      </c>
      <c r="AK1253">
        <v>10.505376600636</v>
      </c>
      <c r="AL1253">
        <v>84.540311371869194</v>
      </c>
      <c r="AM1253">
        <v>68.368215409690393</v>
      </c>
      <c r="AN1253">
        <v>0.99999998139828405</v>
      </c>
    </row>
    <row r="1254" spans="1:40" x14ac:dyDescent="0.25">
      <c r="A1254" t="str">
        <f>"20190312164458447"</f>
        <v>20190312164458447</v>
      </c>
      <c r="B1254" t="str">
        <f>"1552380298443096"</f>
        <v>1552380298443096</v>
      </c>
      <c r="C1254" t="s">
        <v>40</v>
      </c>
      <c r="D1254">
        <v>5.3685090000000004</v>
      </c>
      <c r="E1254">
        <v>0.56612910000000005</v>
      </c>
      <c r="F1254" t="s">
        <v>47</v>
      </c>
      <c r="G1254">
        <v>-213.84059999999999</v>
      </c>
      <c r="H1254" s="1">
        <v>5.0697159999999997E-7</v>
      </c>
      <c r="I1254">
        <v>284.41460000000001</v>
      </c>
      <c r="J1254">
        <v>-203.1225</v>
      </c>
      <c r="K1254">
        <v>1.09297</v>
      </c>
      <c r="L1254">
        <v>283.90120000000002</v>
      </c>
      <c r="M1254">
        <v>-0.8861502</v>
      </c>
      <c r="N1254">
        <v>0</v>
      </c>
      <c r="O1254">
        <v>-0.46309699999999998</v>
      </c>
      <c r="P1254">
        <v>-0.98948720000000001</v>
      </c>
      <c r="Q1254">
        <v>9.1913949999999994E-2</v>
      </c>
      <c r="R1254">
        <v>-0.11165750000000001</v>
      </c>
      <c r="S1254">
        <v>-3.0803989999999999</v>
      </c>
      <c r="T1254">
        <v>-0.30629000000000001</v>
      </c>
      <c r="U1254">
        <v>0.1074524</v>
      </c>
      <c r="V1254">
        <v>0.36314150000000001</v>
      </c>
      <c r="W1254">
        <v>9.3741699999999997E-2</v>
      </c>
      <c r="X1254">
        <v>0.92700629999999995</v>
      </c>
      <c r="Y1254">
        <v>0.4892049</v>
      </c>
      <c r="Z1254">
        <v>6.8884920000000002E-2</v>
      </c>
      <c r="AA1254">
        <v>0.86944429999999995</v>
      </c>
      <c r="AB1254">
        <v>30</v>
      </c>
      <c r="AC1254">
        <v>-10.7180999999999</v>
      </c>
      <c r="AD1254">
        <v>-1.0929694930284</v>
      </c>
      <c r="AE1254">
        <v>0.51339999999998998</v>
      </c>
      <c r="AF1254">
        <v>5.3635787296343498</v>
      </c>
      <c r="AG1254">
        <v>-1.0929694930284</v>
      </c>
      <c r="AH1254">
        <v>9.1662849142940495</v>
      </c>
      <c r="AI1254">
        <v>95.875860948231093</v>
      </c>
      <c r="AJ1254">
        <v>59.666302619048302</v>
      </c>
      <c r="AK1254">
        <v>10.676297964729599</v>
      </c>
      <c r="AL1254">
        <v>84.621098493626107</v>
      </c>
      <c r="AM1254">
        <v>68.607945946966197</v>
      </c>
      <c r="AN1254">
        <v>0.999999967790414</v>
      </c>
    </row>
    <row r="1255" spans="1:40" x14ac:dyDescent="0.25">
      <c r="A1255" t="str">
        <f>"20190312164458470"</f>
        <v>20190312164458470</v>
      </c>
      <c r="B1255" t="str">
        <f>"1552380298462616"</f>
        <v>1552380298462616</v>
      </c>
      <c r="C1255" t="s">
        <v>40</v>
      </c>
      <c r="D1255">
        <v>5.5760529999999999</v>
      </c>
      <c r="E1255">
        <v>0.56553439999999999</v>
      </c>
      <c r="F1255" t="s">
        <v>47</v>
      </c>
      <c r="G1255">
        <v>-213.94800000000001</v>
      </c>
      <c r="H1255" s="1">
        <v>5.6413400000000001E-7</v>
      </c>
      <c r="I1255">
        <v>284.41539999999998</v>
      </c>
      <c r="J1255">
        <v>-203.39070000000001</v>
      </c>
      <c r="K1255">
        <v>1.093099</v>
      </c>
      <c r="L1255">
        <v>283.77929999999998</v>
      </c>
      <c r="M1255">
        <v>-0.89436700000000002</v>
      </c>
      <c r="N1255">
        <v>0</v>
      </c>
      <c r="O1255">
        <v>-0.44702439999999999</v>
      </c>
      <c r="P1255">
        <v>-0.9911643</v>
      </c>
      <c r="Q1255">
        <v>9.1122449999999994E-2</v>
      </c>
      <c r="R1255">
        <v>-9.6385780000000004E-2</v>
      </c>
      <c r="S1255">
        <v>-3.0772249999999999</v>
      </c>
      <c r="T1255">
        <v>-0.31068420000000002</v>
      </c>
      <c r="U1255">
        <v>0.14617920000000001</v>
      </c>
      <c r="V1255">
        <v>0.36066609999999899</v>
      </c>
      <c r="W1255">
        <v>9.3119789999999994E-2</v>
      </c>
      <c r="X1255">
        <v>0.92803480000000005</v>
      </c>
      <c r="Y1255">
        <v>0.48440280000000002</v>
      </c>
      <c r="Z1255">
        <v>6.8240199999999904E-2</v>
      </c>
      <c r="AA1255">
        <v>0.87217960000000005</v>
      </c>
      <c r="AB1255">
        <v>30</v>
      </c>
      <c r="AC1255">
        <v>-10.5572999999999</v>
      </c>
      <c r="AD1255">
        <v>-1.0930984358660001</v>
      </c>
      <c r="AE1255">
        <v>0.636099999999999</v>
      </c>
      <c r="AF1255">
        <v>5.2331113874708404</v>
      </c>
      <c r="AG1255">
        <v>-1.0930984358660001</v>
      </c>
      <c r="AH1255">
        <v>9.0622168707819402</v>
      </c>
      <c r="AI1255">
        <v>95.963269288663895</v>
      </c>
      <c r="AJ1255">
        <v>59.995078006708802</v>
      </c>
      <c r="AK1255">
        <v>10.521601284845101</v>
      </c>
      <c r="AL1255">
        <v>84.656887825064402</v>
      </c>
      <c r="AM1255">
        <v>68.762169157106797</v>
      </c>
      <c r="AN1255">
        <v>0.99999996049494599</v>
      </c>
    </row>
    <row r="1256" spans="1:40" x14ac:dyDescent="0.25">
      <c r="A1256" t="str">
        <f>"20190312164458492"</f>
        <v>20190312164458492</v>
      </c>
      <c r="B1256" t="str">
        <f>"1552380298483112"</f>
        <v>1552380298483112</v>
      </c>
      <c r="C1256" t="s">
        <v>40</v>
      </c>
      <c r="D1256">
        <v>5.4377610000000001</v>
      </c>
      <c r="E1256">
        <v>0.56511739999999999</v>
      </c>
      <c r="F1256" t="s">
        <v>47</v>
      </c>
      <c r="G1256">
        <v>-213.98429999999999</v>
      </c>
      <c r="H1256" s="1">
        <v>5.8347800000000003E-7</v>
      </c>
      <c r="I1256">
        <v>284.42320000000001</v>
      </c>
      <c r="J1256">
        <v>-203.68119999999999</v>
      </c>
      <c r="K1256">
        <v>1.093267</v>
      </c>
      <c r="L1256">
        <v>283.6542</v>
      </c>
      <c r="M1256">
        <v>-0.90276639999999997</v>
      </c>
      <c r="N1256">
        <v>0</v>
      </c>
      <c r="O1256">
        <v>-0.42981269999999999</v>
      </c>
      <c r="P1256">
        <v>-0.99258650000000004</v>
      </c>
      <c r="Q1256">
        <v>9.1134290000000007E-2</v>
      </c>
      <c r="R1256">
        <v>-8.0415920000000002E-2</v>
      </c>
      <c r="S1256">
        <v>-3.0740970000000001</v>
      </c>
      <c r="T1256">
        <v>-0.31719930000000002</v>
      </c>
      <c r="U1256">
        <v>0.1868591</v>
      </c>
      <c r="V1256">
        <v>0.35778389999999999</v>
      </c>
      <c r="W1256">
        <v>9.3326759999999995E-2</v>
      </c>
      <c r="X1256">
        <v>0.92912910000000004</v>
      </c>
      <c r="Y1256">
        <v>0.47913660000000002</v>
      </c>
      <c r="Z1256">
        <v>6.7843749999999994E-2</v>
      </c>
      <c r="AA1256">
        <v>0.87511439999999996</v>
      </c>
      <c r="AB1256">
        <v>30</v>
      </c>
      <c r="AC1256">
        <v>-10.303100000000001</v>
      </c>
      <c r="AD1256">
        <v>-1.0932664165220001</v>
      </c>
      <c r="AE1256">
        <v>0.76900000000000501</v>
      </c>
      <c r="AF1256">
        <v>5.0666012258909099</v>
      </c>
      <c r="AG1256">
        <v>-1.0932664165220001</v>
      </c>
      <c r="AH1256">
        <v>8.8726477321766009</v>
      </c>
      <c r="AI1256">
        <v>96.107464024391305</v>
      </c>
      <c r="AJ1256">
        <v>60.2720778119849</v>
      </c>
      <c r="AK1256">
        <v>10.2756779444955</v>
      </c>
      <c r="AL1256">
        <v>84.6449778977899</v>
      </c>
      <c r="AM1256">
        <v>68.939578262556907</v>
      </c>
      <c r="AN1256">
        <v>1.0000000438490499</v>
      </c>
    </row>
    <row r="1257" spans="1:40" x14ac:dyDescent="0.25">
      <c r="A1257" t="str">
        <f>"20190312164458514"</f>
        <v>20190312164458514</v>
      </c>
      <c r="B1257" t="str">
        <f>"1552380298502636"</f>
        <v>1552380298502636</v>
      </c>
      <c r="C1257" t="s">
        <v>40</v>
      </c>
      <c r="D1257">
        <v>5.4757939999999996</v>
      </c>
      <c r="E1257">
        <v>0.56413329999999995</v>
      </c>
      <c r="F1257" t="s">
        <v>47</v>
      </c>
      <c r="G1257">
        <v>-214.17500000000001</v>
      </c>
      <c r="H1257" s="1">
        <v>6.84923E-7</v>
      </c>
      <c r="I1257">
        <v>284.44819999999999</v>
      </c>
      <c r="J1257">
        <v>-203.95650000000001</v>
      </c>
      <c r="K1257">
        <v>1.0934349999999999</v>
      </c>
      <c r="L1257">
        <v>283.54129999999998</v>
      </c>
      <c r="M1257">
        <v>-0.91028359999999997</v>
      </c>
      <c r="N1257">
        <v>0</v>
      </c>
      <c r="O1257">
        <v>-0.41365809999999997</v>
      </c>
      <c r="P1257">
        <v>-0.99356820000000001</v>
      </c>
      <c r="Q1257">
        <v>9.1888109999999995E-2</v>
      </c>
      <c r="R1257">
        <v>-6.6174170000000004E-2</v>
      </c>
      <c r="S1257">
        <v>-3.0705719999999999</v>
      </c>
      <c r="T1257">
        <v>-0.31989909999999999</v>
      </c>
      <c r="U1257">
        <v>0.23233029999999999</v>
      </c>
      <c r="V1257">
        <v>0.35450169999999998</v>
      </c>
      <c r="W1257">
        <v>9.4284300000000001E-2</v>
      </c>
      <c r="X1257">
        <v>0.9302897</v>
      </c>
      <c r="Y1257">
        <v>0.47649900000000001</v>
      </c>
      <c r="Z1257">
        <v>6.6802929999999996E-2</v>
      </c>
      <c r="AA1257">
        <v>0.87663340000000001</v>
      </c>
      <c r="AB1257">
        <v>30</v>
      </c>
      <c r="AC1257">
        <v>-10.218500000000001</v>
      </c>
      <c r="AD1257">
        <v>-1.0934343150769901</v>
      </c>
      <c r="AE1257">
        <v>0.90690000000000703</v>
      </c>
      <c r="AF1257">
        <v>4.9964229184938498</v>
      </c>
      <c r="AG1257">
        <v>-1.0934343150769901</v>
      </c>
      <c r="AH1257">
        <v>8.8275087349611496</v>
      </c>
      <c r="AI1257">
        <v>96.152572538799205</v>
      </c>
      <c r="AJ1257">
        <v>60.489878522092397</v>
      </c>
      <c r="AK1257">
        <v>10.2021934429638</v>
      </c>
      <c r="AL1257">
        <v>84.589871428775893</v>
      </c>
      <c r="AM1257">
        <v>69.139861323223499</v>
      </c>
      <c r="AN1257">
        <v>0.99999995522773399</v>
      </c>
    </row>
    <row r="1258" spans="1:40" x14ac:dyDescent="0.25">
      <c r="A1258" t="str">
        <f>"20190312164458535"</f>
        <v>20190312164458535</v>
      </c>
      <c r="B1258" t="str">
        <f>"1552380298523138"</f>
        <v>1552380298523138</v>
      </c>
      <c r="C1258" t="s">
        <v>40</v>
      </c>
      <c r="D1258">
        <v>5.4927599999999996</v>
      </c>
      <c r="E1258">
        <v>0.56291899999999995</v>
      </c>
      <c r="F1258" t="s">
        <v>47</v>
      </c>
      <c r="G1258">
        <v>-214.44579999999999</v>
      </c>
      <c r="H1258" s="1">
        <v>8.2904139999999996E-7</v>
      </c>
      <c r="I1258">
        <v>284.46170000000001</v>
      </c>
      <c r="J1258">
        <v>-204.22280000000001</v>
      </c>
      <c r="K1258">
        <v>1.0936129999999999</v>
      </c>
      <c r="L1258">
        <v>283.43720000000002</v>
      </c>
      <c r="M1258">
        <v>-0.91715559999999996</v>
      </c>
      <c r="N1258">
        <v>0</v>
      </c>
      <c r="O1258">
        <v>-0.39819349999999998</v>
      </c>
      <c r="P1258">
        <v>-0.99427779999999999</v>
      </c>
      <c r="Q1258">
        <v>9.2665910000000004E-2</v>
      </c>
      <c r="R1258">
        <v>-5.3150360000000001E-2</v>
      </c>
      <c r="S1258">
        <v>-3.06691</v>
      </c>
      <c r="T1258">
        <v>-0.3197024</v>
      </c>
      <c r="U1258">
        <v>0.2691345</v>
      </c>
      <c r="V1258">
        <v>0.35089609999999999</v>
      </c>
      <c r="W1258">
        <v>9.5275449999999998E-2</v>
      </c>
      <c r="X1258">
        <v>0.93155489999999996</v>
      </c>
      <c r="Y1258">
        <v>0.472279</v>
      </c>
      <c r="Z1258">
        <v>6.511306E-2</v>
      </c>
      <c r="AA1258">
        <v>0.87904079999999996</v>
      </c>
      <c r="AB1258">
        <v>30</v>
      </c>
      <c r="AC1258">
        <v>-10.2229999999999</v>
      </c>
      <c r="AD1258">
        <v>-1.0936121709586</v>
      </c>
      <c r="AE1258">
        <v>1.02449999999998</v>
      </c>
      <c r="AF1258">
        <v>4.9548895215726603</v>
      </c>
      <c r="AG1258">
        <v>-1.0936121709586</v>
      </c>
      <c r="AH1258">
        <v>8.8688482915573896</v>
      </c>
      <c r="AI1258">
        <v>96.144143489935004</v>
      </c>
      <c r="AJ1258">
        <v>60.808577362901303</v>
      </c>
      <c r="AK1258">
        <v>10.217797598803701</v>
      </c>
      <c r="AL1258">
        <v>84.532826197153298</v>
      </c>
      <c r="AM1258">
        <v>69.359719518754005</v>
      </c>
      <c r="AN1258">
        <v>1.0000000080409599</v>
      </c>
    </row>
    <row r="1259" spans="1:40" x14ac:dyDescent="0.25">
      <c r="A1259" t="str">
        <f>"20190312164458558"</f>
        <v>20190312164458558</v>
      </c>
      <c r="B1259" t="str">
        <f>"1552380298552408"</f>
        <v>1552380298552408</v>
      </c>
      <c r="C1259" t="s">
        <v>40</v>
      </c>
      <c r="D1259">
        <v>5.3727</v>
      </c>
      <c r="E1259">
        <v>0.56154269999999995</v>
      </c>
      <c r="F1259" t="s">
        <v>47</v>
      </c>
      <c r="G1259">
        <v>-214.96879999999999</v>
      </c>
      <c r="H1259" s="1">
        <v>1.107346E-6</v>
      </c>
      <c r="I1259">
        <v>284.48779999999999</v>
      </c>
      <c r="J1259">
        <v>-204.51750000000001</v>
      </c>
      <c r="K1259">
        <v>1.0938110000000001</v>
      </c>
      <c r="L1259">
        <v>283.32799999999997</v>
      </c>
      <c r="M1259">
        <v>-0.92431350000000001</v>
      </c>
      <c r="N1259">
        <v>0</v>
      </c>
      <c r="O1259">
        <v>-0.38128790000000001</v>
      </c>
      <c r="P1259">
        <v>-0.99490020000000001</v>
      </c>
      <c r="Q1259">
        <v>9.2937800000000001E-2</v>
      </c>
      <c r="R1259">
        <v>-3.9192230000000002E-2</v>
      </c>
      <c r="S1259">
        <v>-3.0623170000000002</v>
      </c>
      <c r="T1259">
        <v>-0.31165039999999999</v>
      </c>
      <c r="U1259">
        <v>0.29937740000000002</v>
      </c>
      <c r="V1259">
        <v>0.34680749999999999</v>
      </c>
      <c r="W1259">
        <v>9.5778589999999997E-2</v>
      </c>
      <c r="X1259">
        <v>0.93303320000000001</v>
      </c>
      <c r="Y1259">
        <v>0.46517910000000001</v>
      </c>
      <c r="Z1259">
        <v>6.1591550000000002E-2</v>
      </c>
      <c r="AA1259">
        <v>0.8830713</v>
      </c>
      <c r="AB1259">
        <v>30</v>
      </c>
      <c r="AC1259">
        <v>-10.4512999999999</v>
      </c>
      <c r="AD1259">
        <v>-1.0938098926540001</v>
      </c>
      <c r="AE1259">
        <v>1.1598000000000099</v>
      </c>
      <c r="AF1259">
        <v>5.0035029773171003</v>
      </c>
      <c r="AG1259">
        <v>-1.0938098926540001</v>
      </c>
      <c r="AH1259">
        <v>9.1205925547397104</v>
      </c>
      <c r="AI1259">
        <v>96.0022957658894</v>
      </c>
      <c r="AJ1259">
        <v>61.251088604469501</v>
      </c>
      <c r="AK1259">
        <v>10.4602423812673</v>
      </c>
      <c r="AL1259">
        <v>84.503865728733402</v>
      </c>
      <c r="AM1259">
        <v>69.609950419811597</v>
      </c>
      <c r="AN1259">
        <v>0.99999996633043797</v>
      </c>
    </row>
    <row r="1260" spans="1:40" x14ac:dyDescent="0.25">
      <c r="A1260" t="str">
        <f>"20190312164458581"</f>
        <v>20190312164458581</v>
      </c>
      <c r="B1260" t="str">
        <f>"1552380298572904"</f>
        <v>1552380298572904</v>
      </c>
      <c r="C1260" t="s">
        <v>40</v>
      </c>
      <c r="D1260">
        <v>5.27712</v>
      </c>
      <c r="E1260">
        <v>0.56100419999999995</v>
      </c>
      <c r="F1260" t="s">
        <v>47</v>
      </c>
      <c r="G1260">
        <v>-215.6251</v>
      </c>
      <c r="H1260" s="1">
        <v>1.456594E-6</v>
      </c>
      <c r="I1260">
        <v>284.53559999999999</v>
      </c>
      <c r="J1260">
        <v>-204.81960000000001</v>
      </c>
      <c r="K1260">
        <v>1.0940209999999999</v>
      </c>
      <c r="L1260">
        <v>283.22210000000001</v>
      </c>
      <c r="M1260">
        <v>-0.93118100000000004</v>
      </c>
      <c r="N1260">
        <v>0</v>
      </c>
      <c r="O1260">
        <v>-0.3642011</v>
      </c>
      <c r="P1260">
        <v>-0.99534769999999995</v>
      </c>
      <c r="Q1260">
        <v>9.2687389999999995E-2</v>
      </c>
      <c r="R1260">
        <v>-2.631265E-2</v>
      </c>
      <c r="S1260">
        <v>-3.0565639999999998</v>
      </c>
      <c r="T1260">
        <v>-0.30099399999999998</v>
      </c>
      <c r="U1260">
        <v>0.33230589999999999</v>
      </c>
      <c r="V1260">
        <v>0.34163480000000002</v>
      </c>
      <c r="W1260">
        <v>9.5793310000000007E-2</v>
      </c>
      <c r="X1260">
        <v>0.93493809999999999</v>
      </c>
      <c r="Y1260">
        <v>0.45885890000000001</v>
      </c>
      <c r="Z1260">
        <v>5.769225E-2</v>
      </c>
      <c r="AA1260">
        <v>0.88663419999999904</v>
      </c>
      <c r="AB1260">
        <v>30</v>
      </c>
      <c r="AC1260">
        <v>-10.805499999999901</v>
      </c>
      <c r="AD1260">
        <v>-1.0940195434059901</v>
      </c>
      <c r="AE1260">
        <v>1.3134999999999699</v>
      </c>
      <c r="AF1260">
        <v>5.1075562083685702</v>
      </c>
      <c r="AG1260">
        <v>-1.0940195434059901</v>
      </c>
      <c r="AH1260">
        <v>9.4888889382488593</v>
      </c>
      <c r="AI1260">
        <v>95.796919681787898</v>
      </c>
      <c r="AJ1260">
        <v>61.707883827007599</v>
      </c>
      <c r="AK1260">
        <v>10.831575253185401</v>
      </c>
      <c r="AL1260">
        <v>84.503018474746</v>
      </c>
      <c r="AM1260">
        <v>69.927241359819902</v>
      </c>
      <c r="AN1260">
        <v>0.99999997282170205</v>
      </c>
    </row>
    <row r="1261" spans="1:40" x14ac:dyDescent="0.25">
      <c r="A1261" t="str">
        <f>"20190312164458605"</f>
        <v>20190312164458605</v>
      </c>
      <c r="B1261" t="str">
        <f>"1552380298592423"</f>
        <v>1552380298592423</v>
      </c>
      <c r="C1261" t="s">
        <v>40</v>
      </c>
      <c r="D1261">
        <v>5.4524910000000002</v>
      </c>
      <c r="E1261">
        <v>0.55941399999999997</v>
      </c>
      <c r="F1261" t="s">
        <v>47</v>
      </c>
      <c r="G1261">
        <v>-216.06479999999999</v>
      </c>
      <c r="H1261" s="1">
        <v>1.6906099999999901E-6</v>
      </c>
      <c r="I1261">
        <v>284.58049999999997</v>
      </c>
      <c r="J1261">
        <v>-205.11490000000001</v>
      </c>
      <c r="K1261">
        <v>1.0942339999999999</v>
      </c>
      <c r="L1261">
        <v>283.12419999999997</v>
      </c>
      <c r="M1261">
        <v>-0.93745389999999995</v>
      </c>
      <c r="N1261">
        <v>0</v>
      </c>
      <c r="O1261">
        <v>-0.34774290000000002</v>
      </c>
      <c r="P1261">
        <v>-0.99549160000000003</v>
      </c>
      <c r="Q1261">
        <v>9.3762139999999994E-2</v>
      </c>
      <c r="R1261">
        <v>-1.433012E-2</v>
      </c>
      <c r="S1261">
        <v>-3.051437</v>
      </c>
      <c r="T1261">
        <v>-0.29686709999999999</v>
      </c>
      <c r="U1261">
        <v>0.3686218</v>
      </c>
      <c r="V1261">
        <v>0.3363563</v>
      </c>
      <c r="W1261">
        <v>9.7126489999999996E-2</v>
      </c>
      <c r="X1261">
        <v>0.93671280000000001</v>
      </c>
      <c r="Y1261">
        <v>0.45400200000000002</v>
      </c>
      <c r="Z1261">
        <v>5.5221659999999999E-2</v>
      </c>
      <c r="AA1261">
        <v>0.88928779999999996</v>
      </c>
      <c r="AB1261">
        <v>30</v>
      </c>
      <c r="AC1261">
        <v>-10.9498999999999</v>
      </c>
      <c r="AD1261">
        <v>-1.0942323093899999</v>
      </c>
      <c r="AE1261">
        <v>1.4562999999999899</v>
      </c>
      <c r="AF1261">
        <v>5.1233505461832696</v>
      </c>
      <c r="AG1261">
        <v>-1.0942323093899999</v>
      </c>
      <c r="AH1261">
        <v>9.6650143198591696</v>
      </c>
      <c r="AI1261">
        <v>95.712328270540297</v>
      </c>
      <c r="AJ1261">
        <v>62.072277729485997</v>
      </c>
      <c r="AK1261">
        <v>10.993569346171</v>
      </c>
      <c r="AL1261">
        <v>84.426275125678799</v>
      </c>
      <c r="AM1261">
        <v>70.247722205548698</v>
      </c>
      <c r="AN1261">
        <v>0.99999999264662498</v>
      </c>
    </row>
    <row r="1262" spans="1:40" x14ac:dyDescent="0.25">
      <c r="A1262" t="str">
        <f>"20190312164458625"</f>
        <v>20190312164458625</v>
      </c>
      <c r="B1262" t="str">
        <f>"1552380298622680"</f>
        <v>1552380298622680</v>
      </c>
      <c r="C1262" t="s">
        <v>40</v>
      </c>
      <c r="D1262">
        <v>5.6300780000000001</v>
      </c>
      <c r="E1262">
        <v>0.55771329999999997</v>
      </c>
      <c r="F1262" t="s">
        <v>47</v>
      </c>
      <c r="G1262">
        <v>-216.8903</v>
      </c>
      <c r="H1262" s="1">
        <v>2.1298739999999998E-6</v>
      </c>
      <c r="I1262">
        <v>284.65039999999999</v>
      </c>
      <c r="J1262">
        <v>-205.3852</v>
      </c>
      <c r="K1262">
        <v>1.0944430000000001</v>
      </c>
      <c r="L1262">
        <v>283.03960000000001</v>
      </c>
      <c r="M1262">
        <v>-0.94282980000000005</v>
      </c>
      <c r="N1262">
        <v>0</v>
      </c>
      <c r="O1262">
        <v>-0.33289859999999999</v>
      </c>
      <c r="P1262">
        <v>-0.99538990000000005</v>
      </c>
      <c r="Q1262">
        <v>9.5794770000000001E-2</v>
      </c>
      <c r="R1262">
        <v>-4.7634519999999996E-3</v>
      </c>
      <c r="S1262">
        <v>-3.0459139999999998</v>
      </c>
      <c r="T1262">
        <v>-0.28304240000000003</v>
      </c>
      <c r="U1262">
        <v>0.3947754</v>
      </c>
      <c r="V1262">
        <v>0.33050770000000002</v>
      </c>
      <c r="W1262">
        <v>9.9423700000000004E-2</v>
      </c>
      <c r="X1262">
        <v>0.93855180000000005</v>
      </c>
      <c r="Y1262">
        <v>0.44807429999999898</v>
      </c>
      <c r="Z1262">
        <v>5.1146459999999998E-2</v>
      </c>
      <c r="AA1262">
        <v>0.89253209999999905</v>
      </c>
      <c r="AB1262">
        <v>30</v>
      </c>
      <c r="AC1262">
        <v>-11.505100000000001</v>
      </c>
      <c r="AD1262">
        <v>-1.094440870126</v>
      </c>
      <c r="AE1262">
        <v>1.61079999999998</v>
      </c>
      <c r="AF1262">
        <v>5.3023530588049104</v>
      </c>
      <c r="AG1262">
        <v>-1.094440870126</v>
      </c>
      <c r="AH1262">
        <v>10.221691229915301</v>
      </c>
      <c r="AI1262">
        <v>95.429301534512504</v>
      </c>
      <c r="AJ1262">
        <v>62.582632221261498</v>
      </c>
      <c r="AK1262">
        <v>11.567010001644601</v>
      </c>
      <c r="AL1262">
        <v>84.294014157085499</v>
      </c>
      <c r="AM1262">
        <v>70.600465079744893</v>
      </c>
      <c r="AN1262">
        <v>0.999999946582108</v>
      </c>
    </row>
    <row r="1263" spans="1:40" x14ac:dyDescent="0.25">
      <c r="A1263" t="str">
        <f>"20190312164458647"</f>
        <v>20190312164458647</v>
      </c>
      <c r="B1263" t="str">
        <f>"1552380298643177"</f>
        <v>1552380298643177</v>
      </c>
      <c r="C1263" t="s">
        <v>40</v>
      </c>
      <c r="D1263">
        <v>5.4684920000000004</v>
      </c>
      <c r="E1263">
        <v>0.55720939999999997</v>
      </c>
      <c r="F1263" t="s">
        <v>47</v>
      </c>
      <c r="G1263">
        <v>-217.70679999999999</v>
      </c>
      <c r="H1263" s="1">
        <v>2.5643740000000001E-6</v>
      </c>
      <c r="I1263">
        <v>284.70710000000003</v>
      </c>
      <c r="J1263">
        <v>-205.6568</v>
      </c>
      <c r="K1263">
        <v>1.09466</v>
      </c>
      <c r="L1263">
        <v>282.95920000000001</v>
      </c>
      <c r="M1263">
        <v>-0.94789699999999999</v>
      </c>
      <c r="N1263">
        <v>0</v>
      </c>
      <c r="O1263">
        <v>-0.31819069999999999</v>
      </c>
      <c r="P1263">
        <v>-0.99518269999999998</v>
      </c>
      <c r="Q1263">
        <v>9.7954910000000006E-2</v>
      </c>
      <c r="R1263">
        <v>4.0428970000000002E-3</v>
      </c>
      <c r="S1263">
        <v>-3.0418699999999999</v>
      </c>
      <c r="T1263">
        <v>-0.27018769999999998</v>
      </c>
      <c r="U1263">
        <v>0.41165160000000001</v>
      </c>
      <c r="V1263">
        <v>0.3241463</v>
      </c>
      <c r="W1263">
        <v>0.1018575</v>
      </c>
      <c r="X1263">
        <v>0.94050739999999999</v>
      </c>
      <c r="Y1263">
        <v>0.43956030000000001</v>
      </c>
      <c r="Z1263">
        <v>4.7254890000000001E-2</v>
      </c>
      <c r="AA1263">
        <v>0.89696909999999896</v>
      </c>
      <c r="AB1263">
        <v>30</v>
      </c>
      <c r="AC1263">
        <v>-12.049999999999899</v>
      </c>
      <c r="AD1263">
        <v>-1.0946574356259999</v>
      </c>
      <c r="AE1263">
        <v>1.74790000000001</v>
      </c>
      <c r="AF1263">
        <v>5.4476723356402701</v>
      </c>
      <c r="AG1263">
        <v>-1.0946574356259999</v>
      </c>
      <c r="AH1263">
        <v>10.7802001604399</v>
      </c>
      <c r="AI1263">
        <v>95.178494296416503</v>
      </c>
      <c r="AJ1263">
        <v>63.190679095914703</v>
      </c>
      <c r="AK1263">
        <v>12.127989292418601</v>
      </c>
      <c r="AL1263">
        <v>84.153856189054295</v>
      </c>
      <c r="AM1263">
        <v>70.9834649902932</v>
      </c>
      <c r="AN1263">
        <v>0.99999997178234901</v>
      </c>
    </row>
    <row r="1264" spans="1:40" x14ac:dyDescent="0.25">
      <c r="A1264" t="str">
        <f>"20190312164458670"</f>
        <v>20190312164458670</v>
      </c>
      <c r="B1264" t="str">
        <f>"1552380298662696"</f>
        <v>1552380298662696</v>
      </c>
      <c r="C1264" t="s">
        <v>40</v>
      </c>
      <c r="D1264">
        <v>5.4684410000000003</v>
      </c>
      <c r="E1264">
        <v>0.53306900000000002</v>
      </c>
      <c r="F1264" t="s">
        <v>47</v>
      </c>
      <c r="G1264">
        <v>-218.36179999999999</v>
      </c>
      <c r="H1264" s="1">
        <v>2.9129550000000001E-6</v>
      </c>
      <c r="I1264">
        <v>284.78199999999998</v>
      </c>
      <c r="J1264">
        <v>-205.95769999999999</v>
      </c>
      <c r="K1264">
        <v>1.094897</v>
      </c>
      <c r="L1264">
        <v>282.875</v>
      </c>
      <c r="M1264">
        <v>-0.95314030000000005</v>
      </c>
      <c r="N1264">
        <v>0</v>
      </c>
      <c r="O1264">
        <v>-0.30213030000000002</v>
      </c>
      <c r="P1264">
        <v>-0.99483759999999999</v>
      </c>
      <c r="Q1264">
        <v>0.1009935</v>
      </c>
      <c r="R1264">
        <v>9.9203690000000001E-3</v>
      </c>
      <c r="S1264">
        <v>-3.038513</v>
      </c>
      <c r="T1264">
        <v>-0.26179619999999998</v>
      </c>
      <c r="U1264">
        <v>0.43594359999999999</v>
      </c>
      <c r="V1264">
        <v>0.3137259</v>
      </c>
      <c r="W1264">
        <v>0.1053168</v>
      </c>
      <c r="X1264">
        <v>0.94365480000000002</v>
      </c>
      <c r="Y1264">
        <v>0.43181589999999997</v>
      </c>
      <c r="Z1264">
        <v>4.4159379999999998E-2</v>
      </c>
      <c r="AA1264">
        <v>0.90088020000000002</v>
      </c>
      <c r="AB1264">
        <v>30</v>
      </c>
      <c r="AC1264">
        <v>-12.4041</v>
      </c>
      <c r="AD1264">
        <v>-1.0948940870449999</v>
      </c>
      <c r="AE1264">
        <v>1.90699999999998</v>
      </c>
      <c r="AF1264">
        <v>5.5239182215379197</v>
      </c>
      <c r="AG1264">
        <v>-1.0948940870449999</v>
      </c>
      <c r="AH1264">
        <v>11.163072412837201</v>
      </c>
      <c r="AI1264">
        <v>95.023829170068296</v>
      </c>
      <c r="AJ1264">
        <v>63.672021788409303</v>
      </c>
      <c r="AK1264">
        <v>12.5030656750387</v>
      </c>
      <c r="AL1264">
        <v>83.954580784627197</v>
      </c>
      <c r="AM1264">
        <v>71.610183553413194</v>
      </c>
      <c r="AN1264">
        <v>0.99999997512804395</v>
      </c>
    </row>
    <row r="1265" spans="1:40" x14ac:dyDescent="0.25">
      <c r="A1265" t="str">
        <f>"20190312164458703"</f>
        <v>20190312164458703</v>
      </c>
      <c r="B1265" t="str">
        <f>"1552380298692952"</f>
        <v>1552380298692952</v>
      </c>
      <c r="C1265" t="s">
        <v>40</v>
      </c>
      <c r="D1265">
        <v>5.3397930000000002</v>
      </c>
      <c r="E1265">
        <v>0.53028109999999995</v>
      </c>
      <c r="F1265" t="s">
        <v>47</v>
      </c>
      <c r="G1265">
        <v>-222.97130000000001</v>
      </c>
      <c r="H1265" s="1">
        <v>4.4370070000000002E-8</v>
      </c>
      <c r="I1265">
        <v>284.3775</v>
      </c>
      <c r="J1265">
        <v>-206.4025</v>
      </c>
      <c r="K1265">
        <v>1.0952470000000001</v>
      </c>
      <c r="L1265">
        <v>282.76089999999999</v>
      </c>
      <c r="M1265">
        <v>-0.96020320000000003</v>
      </c>
      <c r="N1265">
        <v>0</v>
      </c>
      <c r="O1265">
        <v>-0.27888370000000001</v>
      </c>
      <c r="P1265">
        <v>-0.99440070000000003</v>
      </c>
      <c r="Q1265">
        <v>0.10355499999999999</v>
      </c>
      <c r="R1265">
        <v>2.1067289999999999E-2</v>
      </c>
      <c r="S1265">
        <v>-3.0327000000000002</v>
      </c>
      <c r="T1265">
        <v>-0.19516790000000001</v>
      </c>
      <c r="U1265">
        <v>0.26782230000000001</v>
      </c>
      <c r="V1265">
        <v>0.30124669999999998</v>
      </c>
      <c r="W1265">
        <v>0.10837049999999999</v>
      </c>
      <c r="X1265">
        <v>0.94736810000000005</v>
      </c>
      <c r="Y1265">
        <v>0.36100300000000002</v>
      </c>
      <c r="Z1265">
        <v>2.9351809999999999E-2</v>
      </c>
      <c r="AA1265">
        <v>0.9321026</v>
      </c>
      <c r="AB1265">
        <v>30</v>
      </c>
      <c r="AC1265">
        <v>-16.5688</v>
      </c>
      <c r="AD1265">
        <v>-1.09524695562992</v>
      </c>
      <c r="AE1265">
        <v>1.6166</v>
      </c>
      <c r="AF1265">
        <v>6.1471468773442197</v>
      </c>
      <c r="AG1265">
        <v>-1.09524695562992</v>
      </c>
      <c r="AH1265">
        <v>15.393747745930201</v>
      </c>
      <c r="AI1265">
        <v>93.780342361381003</v>
      </c>
      <c r="AJ1265">
        <v>68.231814710188104</v>
      </c>
      <c r="AK1265">
        <v>16.611876784120099</v>
      </c>
      <c r="AL1265">
        <v>83.778609628780501</v>
      </c>
      <c r="AM1265">
        <v>72.360234334688599</v>
      </c>
      <c r="AN1265">
        <v>1.00000002821437</v>
      </c>
    </row>
    <row r="1266" spans="1:40" x14ac:dyDescent="0.25">
      <c r="A1266" t="str">
        <f>"20190312164458725"</f>
        <v>20190312164458725</v>
      </c>
      <c r="B1266" t="str">
        <f>"1552380298713452"</f>
        <v>1552380298713452</v>
      </c>
      <c r="C1266" t="s">
        <v>40</v>
      </c>
      <c r="D1266">
        <v>5.4662059999999997</v>
      </c>
      <c r="E1266">
        <v>0.52838399999999996</v>
      </c>
      <c r="F1266" t="s">
        <v>47</v>
      </c>
      <c r="G1266">
        <v>-223.50729999999999</v>
      </c>
      <c r="H1266" s="1">
        <v>3.2961110000000002E-7</v>
      </c>
      <c r="I1266">
        <v>284.34769999999997</v>
      </c>
      <c r="J1266">
        <v>-206.69</v>
      </c>
      <c r="K1266">
        <v>1.0954520000000001</v>
      </c>
      <c r="L1266">
        <v>282.6927</v>
      </c>
      <c r="M1266">
        <v>-0.96437830000000002</v>
      </c>
      <c r="N1266">
        <v>0</v>
      </c>
      <c r="O1266">
        <v>-0.26409290000000002</v>
      </c>
      <c r="P1266">
        <v>-0.99425490000000005</v>
      </c>
      <c r="Q1266">
        <v>0.1038395</v>
      </c>
      <c r="R1266">
        <v>2.597089E-2</v>
      </c>
      <c r="S1266">
        <v>-3.0311430000000001</v>
      </c>
      <c r="T1266">
        <v>-0.1940894</v>
      </c>
      <c r="U1266">
        <v>0.28118900000000002</v>
      </c>
      <c r="V1266">
        <v>0.29127320000000001</v>
      </c>
      <c r="W1266">
        <v>0.109029399999999</v>
      </c>
      <c r="X1266">
        <v>0.95040650000000004</v>
      </c>
      <c r="Y1266">
        <v>0.35083720000000002</v>
      </c>
      <c r="Z1266">
        <v>2.795504E-2</v>
      </c>
      <c r="AA1266">
        <v>0.93601909999999999</v>
      </c>
      <c r="AB1266">
        <v>30</v>
      </c>
      <c r="AC1266">
        <v>-16.8172999999999</v>
      </c>
      <c r="AD1266">
        <v>-1.0954516703888999</v>
      </c>
      <c r="AE1266">
        <v>1.6549999999999701</v>
      </c>
      <c r="AF1266">
        <v>6.0128006683292297</v>
      </c>
      <c r="AG1266">
        <v>-1.0954516703888999</v>
      </c>
      <c r="AH1266">
        <v>15.716928703304999</v>
      </c>
      <c r="AI1266">
        <v>93.724565170121906</v>
      </c>
      <c r="AJ1266">
        <v>69.064727426224707</v>
      </c>
      <c r="AK1266">
        <v>16.863440755195501</v>
      </c>
      <c r="AL1266">
        <v>83.740632240067796</v>
      </c>
      <c r="AM1266">
        <v>72.961152320769799</v>
      </c>
      <c r="AN1266">
        <v>1.0000000011724199</v>
      </c>
    </row>
    <row r="1267" spans="1:40" x14ac:dyDescent="0.25">
      <c r="A1267" t="str">
        <f>"20190312164458746"</f>
        <v>20190312164458746</v>
      </c>
      <c r="B1267" t="str">
        <f>"1552380298742728"</f>
        <v>1552380298742728</v>
      </c>
      <c r="C1267" t="s">
        <v>40</v>
      </c>
      <c r="D1267">
        <v>5.3475789999999996</v>
      </c>
      <c r="E1267">
        <v>0.51113249999999999</v>
      </c>
      <c r="F1267" t="s">
        <v>47</v>
      </c>
      <c r="G1267">
        <v>-223.38679999999999</v>
      </c>
      <c r="H1267" s="1">
        <v>2.6551299999999998E-7</v>
      </c>
      <c r="I1267">
        <v>284.24470000000002</v>
      </c>
      <c r="J1267">
        <v>-206.96950000000001</v>
      </c>
      <c r="K1267">
        <v>1.0956649999999999</v>
      </c>
      <c r="L1267">
        <v>282.63069999999999</v>
      </c>
      <c r="M1267">
        <v>-0.96814710000000004</v>
      </c>
      <c r="N1267">
        <v>0</v>
      </c>
      <c r="O1267">
        <v>-0.24993180000000001</v>
      </c>
      <c r="P1267">
        <v>-0.99415220000000004</v>
      </c>
      <c r="Q1267">
        <v>0.1041888</v>
      </c>
      <c r="R1267">
        <v>2.8392520000000001E-2</v>
      </c>
      <c r="S1267">
        <v>-3.0307460000000002</v>
      </c>
      <c r="T1267">
        <v>-0.1988423</v>
      </c>
      <c r="U1267">
        <v>0.28170780000000001</v>
      </c>
      <c r="V1267">
        <v>0.27956900000000001</v>
      </c>
      <c r="W1267">
        <v>0.10981050000000001</v>
      </c>
      <c r="X1267">
        <v>0.95382540000000005</v>
      </c>
      <c r="Y1267">
        <v>0.33724979999999999</v>
      </c>
      <c r="Z1267">
        <v>2.728999E-2</v>
      </c>
      <c r="AA1267">
        <v>0.94101959999999996</v>
      </c>
      <c r="AB1267">
        <v>30</v>
      </c>
      <c r="AC1267">
        <v>-16.417299999999901</v>
      </c>
      <c r="AD1267">
        <v>-1.0956647344870001</v>
      </c>
      <c r="AE1267">
        <v>1.6140000000000301</v>
      </c>
      <c r="AF1267">
        <v>5.6415460756532596</v>
      </c>
      <c r="AG1267">
        <v>-1.0956647344870001</v>
      </c>
      <c r="AH1267">
        <v>15.424672610842499</v>
      </c>
      <c r="AI1267">
        <v>93.816616531216894</v>
      </c>
      <c r="AJ1267">
        <v>69.910098580288604</v>
      </c>
      <c r="AK1267">
        <v>16.460499642653399</v>
      </c>
      <c r="AL1267">
        <v>83.695608362906597</v>
      </c>
      <c r="AM1267">
        <v>73.663985531873294</v>
      </c>
      <c r="AN1267">
        <v>1.0000000326781999</v>
      </c>
    </row>
    <row r="1268" spans="1:40" x14ac:dyDescent="0.25">
      <c r="A1268" t="str">
        <f>"20190312164458771"</f>
        <v>20190312164458771</v>
      </c>
      <c r="B1268" t="str">
        <f>"1552380298763225"</f>
        <v>1552380298763225</v>
      </c>
      <c r="C1268" t="s">
        <v>40</v>
      </c>
      <c r="D1268">
        <v>5.4240219999999999</v>
      </c>
      <c r="E1268">
        <v>0.50434789999999996</v>
      </c>
      <c r="F1268" t="s">
        <v>47</v>
      </c>
      <c r="G1268">
        <v>-221.76750000000001</v>
      </c>
      <c r="H1268" s="1">
        <v>-5.9622149999999996E-7</v>
      </c>
      <c r="I1268">
        <v>283.37729999999999</v>
      </c>
      <c r="J1268">
        <v>-207.2946</v>
      </c>
      <c r="K1268">
        <v>1.095936</v>
      </c>
      <c r="L1268">
        <v>282.56380000000001</v>
      </c>
      <c r="M1268">
        <v>-0.97217909999999996</v>
      </c>
      <c r="N1268">
        <v>0</v>
      </c>
      <c r="O1268">
        <v>-0.2337678</v>
      </c>
      <c r="P1268">
        <v>-0.9936585</v>
      </c>
      <c r="Q1268">
        <v>0.10685360000000001</v>
      </c>
      <c r="R1268">
        <v>3.5003190000000003E-2</v>
      </c>
      <c r="S1268">
        <v>-3.036835</v>
      </c>
      <c r="T1268">
        <v>-0.22485160000000001</v>
      </c>
      <c r="U1268">
        <v>0.15319820000000001</v>
      </c>
      <c r="V1268">
        <v>0.26993709999999999</v>
      </c>
      <c r="W1268">
        <v>0.1128347</v>
      </c>
      <c r="X1268">
        <v>0.95624379999999998</v>
      </c>
      <c r="Y1268">
        <v>0.281082</v>
      </c>
      <c r="Z1268">
        <v>2.756482E-2</v>
      </c>
      <c r="AA1268">
        <v>0.95928780000000002</v>
      </c>
      <c r="AB1268">
        <v>30</v>
      </c>
      <c r="AC1268">
        <v>-14.472899999999999</v>
      </c>
      <c r="AD1268">
        <v>-1.0959365962215</v>
      </c>
      <c r="AE1268">
        <v>0.81349999999997602</v>
      </c>
      <c r="AF1268">
        <v>4.1508993790084103</v>
      </c>
      <c r="AG1268">
        <v>-1.0959365962215</v>
      </c>
      <c r="AH1268">
        <v>13.802714843797901</v>
      </c>
      <c r="AI1268">
        <v>94.348184916796995</v>
      </c>
      <c r="AJ1268">
        <v>73.262357029189403</v>
      </c>
      <c r="AK1268">
        <v>14.454963844188301</v>
      </c>
      <c r="AL1268">
        <v>83.521250154257501</v>
      </c>
      <c r="AM1268">
        <v>74.236210904904794</v>
      </c>
      <c r="AN1268">
        <v>0.99999995625946902</v>
      </c>
    </row>
    <row r="1269" spans="1:40" x14ac:dyDescent="0.25">
      <c r="A1269" t="str">
        <f>"20190312164458793"</f>
        <v>20190312164458793</v>
      </c>
      <c r="B1269" t="str">
        <f>"1552380298782744"</f>
        <v>1552380298782744</v>
      </c>
      <c r="C1269" t="s">
        <v>40</v>
      </c>
      <c r="D1269">
        <v>5.3389509999999998</v>
      </c>
      <c r="E1269">
        <v>0.5011196</v>
      </c>
      <c r="F1269" t="s">
        <v>47</v>
      </c>
      <c r="G1269">
        <v>-223.11160000000001</v>
      </c>
      <c r="H1269" s="1">
        <v>1.190767E-7</v>
      </c>
      <c r="I1269">
        <v>283.18119999999999</v>
      </c>
      <c r="J1269">
        <v>-207.60059999999999</v>
      </c>
      <c r="K1269">
        <v>1.096225</v>
      </c>
      <c r="L1269">
        <v>282.5059</v>
      </c>
      <c r="M1269">
        <v>-0.97563569999999999</v>
      </c>
      <c r="N1269">
        <v>0</v>
      </c>
      <c r="O1269">
        <v>-0.2189026</v>
      </c>
      <c r="P1269">
        <v>-0.99323930000000005</v>
      </c>
      <c r="Q1269">
        <v>0.1084557</v>
      </c>
      <c r="R1269">
        <v>4.1387930000000003E-2</v>
      </c>
      <c r="S1269">
        <v>-3.037582</v>
      </c>
      <c r="T1269">
        <v>-0.2104694</v>
      </c>
      <c r="U1269">
        <v>0.11856079999999999</v>
      </c>
      <c r="V1269">
        <v>0.26139780000000001</v>
      </c>
      <c r="W1269">
        <v>0.1147643</v>
      </c>
      <c r="X1269">
        <v>0.95838429999999997</v>
      </c>
      <c r="Y1269">
        <v>0.2556831</v>
      </c>
      <c r="Z1269">
        <v>2.3912240000000001E-2</v>
      </c>
      <c r="AA1269">
        <v>0.96646489999999996</v>
      </c>
      <c r="AB1269">
        <v>30</v>
      </c>
      <c r="AC1269">
        <v>-15.510999999999999</v>
      </c>
      <c r="AD1269">
        <v>-1.0962248809232999</v>
      </c>
      <c r="AE1269">
        <v>0.67529999999999202</v>
      </c>
      <c r="AF1269">
        <v>4.0345704068385899</v>
      </c>
      <c r="AG1269">
        <v>-1.0962248809232999</v>
      </c>
      <c r="AH1269">
        <v>14.912539317726299</v>
      </c>
      <c r="AI1269">
        <v>94.0588564389124</v>
      </c>
      <c r="AJ1269">
        <v>74.861118687502398</v>
      </c>
      <c r="AK1269">
        <v>15.487520662133999</v>
      </c>
      <c r="AL1269">
        <v>83.409969974881193</v>
      </c>
      <c r="AM1269">
        <v>74.743753736030399</v>
      </c>
      <c r="AN1269">
        <v>1.0000000604429</v>
      </c>
    </row>
    <row r="1270" spans="1:40" x14ac:dyDescent="0.25">
      <c r="A1270" t="str">
        <f>"20190312164458814"</f>
        <v>20190312164458814</v>
      </c>
      <c r="B1270" t="str">
        <f>"1552380298803240"</f>
        <v>1552380298803240</v>
      </c>
      <c r="C1270" t="s">
        <v>40</v>
      </c>
      <c r="D1270">
        <v>5.358727</v>
      </c>
      <c r="E1270">
        <v>0.49975829999999999</v>
      </c>
      <c r="F1270" t="s">
        <v>47</v>
      </c>
      <c r="G1270">
        <v>-223.90219999999999</v>
      </c>
      <c r="H1270" s="1">
        <v>5.397446E-7</v>
      </c>
      <c r="I1270">
        <v>283.07470000000001</v>
      </c>
      <c r="J1270">
        <v>-207.87989999999999</v>
      </c>
      <c r="K1270">
        <v>1.0964780000000001</v>
      </c>
      <c r="L1270">
        <v>282.45690000000002</v>
      </c>
      <c r="M1270">
        <v>-0.97853420000000002</v>
      </c>
      <c r="N1270">
        <v>0</v>
      </c>
      <c r="O1270">
        <v>-0.20556779999999999</v>
      </c>
      <c r="P1270">
        <v>-0.99322120000000003</v>
      </c>
      <c r="Q1270">
        <v>0.107418</v>
      </c>
      <c r="R1270">
        <v>4.4419069999999998E-2</v>
      </c>
      <c r="S1270">
        <v>-3.0383149999999999</v>
      </c>
      <c r="T1270">
        <v>-0.20431589999999999</v>
      </c>
      <c r="U1270">
        <v>0.1060181</v>
      </c>
      <c r="V1270">
        <v>0.25113580000000002</v>
      </c>
      <c r="W1270">
        <v>0.11410579999999999</v>
      </c>
      <c r="X1270">
        <v>0.96120269999999997</v>
      </c>
      <c r="Y1270">
        <v>0.23859330000000001</v>
      </c>
      <c r="Z1270">
        <v>2.1753970000000001E-2</v>
      </c>
      <c r="AA1270">
        <v>0.97087590000000001</v>
      </c>
      <c r="AB1270">
        <v>30</v>
      </c>
      <c r="AC1270">
        <v>-16.022300000000001</v>
      </c>
      <c r="AD1270">
        <v>-1.0964774602553999</v>
      </c>
      <c r="AE1270">
        <v>0.61779999999998803</v>
      </c>
      <c r="AF1270">
        <v>3.8804756725990801</v>
      </c>
      <c r="AG1270">
        <v>-1.0964774602553999</v>
      </c>
      <c r="AH1270">
        <v>15.4806304457101</v>
      </c>
      <c r="AI1270">
        <v>93.930240435606805</v>
      </c>
      <c r="AJ1270">
        <v>75.927820097368297</v>
      </c>
      <c r="AK1270">
        <v>15.9971957937361</v>
      </c>
      <c r="AL1270">
        <v>83.447948188047604</v>
      </c>
      <c r="AM1270">
        <v>75.357514482760806</v>
      </c>
      <c r="AN1270">
        <v>0.99999997706128396</v>
      </c>
    </row>
    <row r="1271" spans="1:40" x14ac:dyDescent="0.25">
      <c r="A1271" t="str">
        <f>"20190312164458835"</f>
        <v>20190312164458835</v>
      </c>
      <c r="B1271" t="str">
        <f>"1552380298822764"</f>
        <v>1552380298822764</v>
      </c>
      <c r="C1271" t="s">
        <v>40</v>
      </c>
      <c r="D1271">
        <v>5.4015040000000001</v>
      </c>
      <c r="E1271">
        <v>0.49838130000000003</v>
      </c>
      <c r="F1271" t="s">
        <v>47</v>
      </c>
      <c r="G1271">
        <v>-224.02449999999999</v>
      </c>
      <c r="H1271" s="1">
        <v>6.0486229999999996E-7</v>
      </c>
      <c r="I1271">
        <v>283.01010000000002</v>
      </c>
      <c r="J1271">
        <v>-208.15969999999999</v>
      </c>
      <c r="K1271">
        <v>1.0967260000000001</v>
      </c>
      <c r="L1271">
        <v>282.41160000000002</v>
      </c>
      <c r="M1271">
        <v>-0.98119369999999995</v>
      </c>
      <c r="N1271">
        <v>0</v>
      </c>
      <c r="O1271">
        <v>-0.1924824</v>
      </c>
      <c r="P1271">
        <v>-0.99342660000000005</v>
      </c>
      <c r="Q1271">
        <v>0.104634</v>
      </c>
      <c r="R1271">
        <v>4.6425380000000002E-2</v>
      </c>
      <c r="S1271">
        <v>-3.0381469999999999</v>
      </c>
      <c r="T1271">
        <v>-0.20633840000000001</v>
      </c>
      <c r="U1271">
        <v>0.10409549999999999</v>
      </c>
      <c r="V1271">
        <v>0.24011440000000001</v>
      </c>
      <c r="W1271">
        <v>0.11172550000000001</v>
      </c>
      <c r="X1271">
        <v>0.96429379999999998</v>
      </c>
      <c r="Y1271">
        <v>0.22503380000000001</v>
      </c>
      <c r="Z1271">
        <v>2.0634860000000001E-2</v>
      </c>
      <c r="AA1271">
        <v>0.97413240000000001</v>
      </c>
      <c r="AB1271">
        <v>30</v>
      </c>
      <c r="AC1271">
        <v>-15.864800000000001</v>
      </c>
      <c r="AD1271">
        <v>-1.0967253951377001</v>
      </c>
      <c r="AE1271">
        <v>0.59850000000000103</v>
      </c>
      <c r="AF1271">
        <v>3.6240263707668601</v>
      </c>
      <c r="AG1271">
        <v>-1.0967253951377001</v>
      </c>
      <c r="AH1271">
        <v>15.3794672134891</v>
      </c>
      <c r="AI1271">
        <v>93.970531878111501</v>
      </c>
      <c r="AJ1271">
        <v>76.740672781049199</v>
      </c>
      <c r="AK1271">
        <v>15.838698983791</v>
      </c>
      <c r="AL1271">
        <v>83.585207491667802</v>
      </c>
      <c r="AM1271">
        <v>76.017401264713797</v>
      </c>
      <c r="AN1271">
        <v>1.0000000225780199</v>
      </c>
    </row>
    <row r="1272" spans="1:40" x14ac:dyDescent="0.25">
      <c r="A1272" t="str">
        <f>"20190312164458859"</f>
        <v>20190312164458859</v>
      </c>
      <c r="B1272" t="str">
        <f>"1552380298853017"</f>
        <v>1552380298853017</v>
      </c>
      <c r="C1272" t="s">
        <v>40</v>
      </c>
      <c r="D1272">
        <v>5.3766769999999999</v>
      </c>
      <c r="E1272">
        <v>0.4972413</v>
      </c>
      <c r="F1272" t="s">
        <v>47</v>
      </c>
      <c r="G1272">
        <v>-223.9477</v>
      </c>
      <c r="H1272" s="1">
        <v>5.639976E-7</v>
      </c>
      <c r="I1272">
        <v>282.9425</v>
      </c>
      <c r="J1272">
        <v>-208.4845</v>
      </c>
      <c r="K1272">
        <v>1.0970420000000001</v>
      </c>
      <c r="L1272">
        <v>282.36329999999998</v>
      </c>
      <c r="M1272">
        <v>-0.98398090000000005</v>
      </c>
      <c r="N1272">
        <v>0</v>
      </c>
      <c r="O1272">
        <v>-0.17769689999999999</v>
      </c>
      <c r="P1272">
        <v>-0.99335810000000002</v>
      </c>
      <c r="Q1272">
        <v>0.1024019</v>
      </c>
      <c r="R1272">
        <v>5.2475309999999997E-2</v>
      </c>
      <c r="S1272">
        <v>-3.0372919999999999</v>
      </c>
      <c r="T1272">
        <v>-0.21098700000000001</v>
      </c>
      <c r="U1272">
        <v>0.10214230000000001</v>
      </c>
      <c r="V1272">
        <v>0.2313442</v>
      </c>
      <c r="W1272">
        <v>0.1098309</v>
      </c>
      <c r="X1272">
        <v>0.96665250000000003</v>
      </c>
      <c r="Y1272">
        <v>0.20975949999999999</v>
      </c>
      <c r="Z1272">
        <v>1.9561149999999999E-2</v>
      </c>
      <c r="AA1272">
        <v>0.97755729999999996</v>
      </c>
      <c r="AB1272">
        <v>30</v>
      </c>
      <c r="AC1272">
        <v>-15.463200000000001</v>
      </c>
      <c r="AD1272">
        <v>-1.0970414360023999</v>
      </c>
      <c r="AE1272">
        <v>0.57920000000001404</v>
      </c>
      <c r="AF1272">
        <v>3.3014316158621999</v>
      </c>
      <c r="AG1272">
        <v>-1.0970414360023999</v>
      </c>
      <c r="AH1272">
        <v>15.0385372468438</v>
      </c>
      <c r="AI1272">
        <v>94.075546828446605</v>
      </c>
      <c r="AJ1272">
        <v>77.618191555887506</v>
      </c>
      <c r="AK1272">
        <v>15.4356908867478</v>
      </c>
      <c r="AL1272">
        <v>83.694432276526697</v>
      </c>
      <c r="AM1272">
        <v>76.540835562630406</v>
      </c>
      <c r="AN1272">
        <v>1.0000000106123399</v>
      </c>
    </row>
    <row r="1273" spans="1:40" x14ac:dyDescent="0.25">
      <c r="A1273" t="str">
        <f>"20190312164458881"</f>
        <v>20190312164458881</v>
      </c>
      <c r="B1273" t="str">
        <f>"1552380298872536"</f>
        <v>1552380298872536</v>
      </c>
      <c r="C1273" t="s">
        <v>40</v>
      </c>
      <c r="D1273">
        <v>5.3452840000000004</v>
      </c>
      <c r="E1273">
        <v>0.49649120000000002</v>
      </c>
      <c r="F1273" t="s">
        <v>47</v>
      </c>
      <c r="G1273">
        <v>-223.88630000000001</v>
      </c>
      <c r="H1273" s="1">
        <v>5.3130319999999996E-7</v>
      </c>
      <c r="I1273">
        <v>282.92579999999998</v>
      </c>
      <c r="J1273">
        <v>-208.7809</v>
      </c>
      <c r="K1273">
        <v>1.097372</v>
      </c>
      <c r="L1273">
        <v>282.32319999999999</v>
      </c>
      <c r="M1273">
        <v>-0.98625300000000005</v>
      </c>
      <c r="N1273">
        <v>0</v>
      </c>
      <c r="O1273">
        <v>-0.16462969999999999</v>
      </c>
      <c r="P1273">
        <v>-0.99319290000000005</v>
      </c>
      <c r="Q1273">
        <v>0.1008564</v>
      </c>
      <c r="R1273">
        <v>5.8273369999999998E-2</v>
      </c>
      <c r="S1273">
        <v>-3.0364990000000001</v>
      </c>
      <c r="T1273">
        <v>-0.21628439999999999</v>
      </c>
      <c r="U1273">
        <v>0.1109009</v>
      </c>
      <c r="V1273">
        <v>0.22404209999999999</v>
      </c>
      <c r="W1273">
        <v>0.1085753</v>
      </c>
      <c r="X1273">
        <v>0.9685125</v>
      </c>
      <c r="Y1273">
        <v>0.19961670000000001</v>
      </c>
      <c r="Z1273">
        <v>1.8775090000000001E-2</v>
      </c>
      <c r="AA1273">
        <v>0.97969419999999996</v>
      </c>
      <c r="AB1273">
        <v>30</v>
      </c>
      <c r="AC1273">
        <v>-15.105399999999999</v>
      </c>
      <c r="AD1273">
        <v>-1.0973714686967999</v>
      </c>
      <c r="AE1273">
        <v>0.60259999999999503</v>
      </c>
      <c r="AF1273">
        <v>3.0652730753275499</v>
      </c>
      <c r="AG1273">
        <v>-1.0973714686967999</v>
      </c>
      <c r="AH1273">
        <v>14.722458761048401</v>
      </c>
      <c r="AI1273">
        <v>94.173612100980904</v>
      </c>
      <c r="AJ1273">
        <v>78.238819706231197</v>
      </c>
      <c r="AK1273">
        <v>15.0781602039973</v>
      </c>
      <c r="AL1273">
        <v>83.766805380123202</v>
      </c>
      <c r="AM1273">
        <v>76.975100593778905</v>
      </c>
      <c r="AN1273">
        <v>0.99999996049937401</v>
      </c>
    </row>
    <row r="1274" spans="1:40" x14ac:dyDescent="0.25">
      <c r="A1274" t="str">
        <f>"20190312164458903"</f>
        <v>20190312164458903</v>
      </c>
      <c r="B1274" t="str">
        <f>"1552380298893032"</f>
        <v>1552380298893032</v>
      </c>
      <c r="C1274" t="s">
        <v>40</v>
      </c>
      <c r="D1274">
        <v>5.3211879999999896</v>
      </c>
      <c r="E1274">
        <v>0.49592160000000002</v>
      </c>
      <c r="F1274" t="s">
        <v>47</v>
      </c>
      <c r="G1274">
        <v>-223.3032</v>
      </c>
      <c r="H1274" s="1">
        <v>2.210045E-7</v>
      </c>
      <c r="I1274">
        <v>282.88760000000002</v>
      </c>
      <c r="J1274">
        <v>-209.06970000000001</v>
      </c>
      <c r="K1274">
        <v>1.0977330000000001</v>
      </c>
      <c r="L1274">
        <v>282.28750000000002</v>
      </c>
      <c r="M1274">
        <v>-0.98822699999999997</v>
      </c>
      <c r="N1274">
        <v>0</v>
      </c>
      <c r="O1274">
        <v>-0.1523447</v>
      </c>
      <c r="P1274">
        <v>-0.99310399999999999</v>
      </c>
      <c r="Q1274">
        <v>9.9036429999999995E-2</v>
      </c>
      <c r="R1274">
        <v>6.2739989999999995E-2</v>
      </c>
      <c r="S1274">
        <v>-3.0369570000000001</v>
      </c>
      <c r="T1274">
        <v>-0.2294863</v>
      </c>
      <c r="U1274">
        <v>0.11804199999999999</v>
      </c>
      <c r="V1274">
        <v>0.21621090000000001</v>
      </c>
      <c r="W1274">
        <v>0.1070673</v>
      </c>
      <c r="X1274">
        <v>0.97045840000000005</v>
      </c>
      <c r="Y1274">
        <v>0.1896581</v>
      </c>
      <c r="Z1274">
        <v>1.8619839999999999E-2</v>
      </c>
      <c r="AA1274">
        <v>0.98167369999999998</v>
      </c>
      <c r="AB1274">
        <v>30</v>
      </c>
      <c r="AC1274">
        <v>-14.2334999999999</v>
      </c>
      <c r="AD1274">
        <v>-1.0977327789955</v>
      </c>
      <c r="AE1274">
        <v>0.60009999999999697</v>
      </c>
      <c r="AF1274">
        <v>2.7454067454538502</v>
      </c>
      <c r="AG1274">
        <v>-1.0977327789955</v>
      </c>
      <c r="AH1274">
        <v>13.8934029310018</v>
      </c>
      <c r="AI1274">
        <v>94.432261408866793</v>
      </c>
      <c r="AJ1274">
        <v>78.822070250228904</v>
      </c>
      <c r="AK1274">
        <v>14.2045387272954</v>
      </c>
      <c r="AL1274">
        <v>83.853714527852802</v>
      </c>
      <c r="AM1274">
        <v>77.440056528828194</v>
      </c>
      <c r="AN1274">
        <v>1.0000000330693199</v>
      </c>
    </row>
    <row r="1275" spans="1:40" x14ac:dyDescent="0.25">
      <c r="A1275" t="str">
        <f>"20190312164458925"</f>
        <v>20190312164458925</v>
      </c>
      <c r="B1275" t="str">
        <f>"1552380298912552"</f>
        <v>1552380298912552</v>
      </c>
      <c r="C1275" t="s">
        <v>40</v>
      </c>
      <c r="D1275">
        <v>5.3611120000000003</v>
      </c>
      <c r="E1275">
        <v>0.49555149999999998</v>
      </c>
      <c r="F1275" t="s">
        <v>47</v>
      </c>
      <c r="G1275">
        <v>-223.28899999999999</v>
      </c>
      <c r="H1275" s="1">
        <v>2.1345309999999999E-7</v>
      </c>
      <c r="I1275">
        <v>282.8777</v>
      </c>
      <c r="J1275">
        <v>-209.35589999999999</v>
      </c>
      <c r="K1275">
        <v>1.0981430000000001</v>
      </c>
      <c r="L1275">
        <v>282.25529999999998</v>
      </c>
      <c r="M1275">
        <v>-0.98996039999999996</v>
      </c>
      <c r="N1275">
        <v>0</v>
      </c>
      <c r="O1275">
        <v>-0.14065329999999901</v>
      </c>
      <c r="P1275">
        <v>-0.9931198</v>
      </c>
      <c r="Q1275">
        <v>9.6760760000000001E-2</v>
      </c>
      <c r="R1275">
        <v>6.5960500000000005E-2</v>
      </c>
      <c r="S1275">
        <v>-3.0362550000000001</v>
      </c>
      <c r="T1275">
        <v>-0.234399</v>
      </c>
      <c r="U1275">
        <v>0.12600710000000001</v>
      </c>
      <c r="V1275">
        <v>0.20773610000000001</v>
      </c>
      <c r="W1275">
        <v>0.1051261</v>
      </c>
      <c r="X1275">
        <v>0.97251949999999998</v>
      </c>
      <c r="Y1275">
        <v>0.18064520000000001</v>
      </c>
      <c r="Z1275">
        <v>1.7779079999999999E-2</v>
      </c>
      <c r="AA1275">
        <v>0.98338760000000003</v>
      </c>
      <c r="AB1275">
        <v>30</v>
      </c>
      <c r="AC1275">
        <v>-13.9331</v>
      </c>
      <c r="AD1275">
        <v>-1.0981427865469</v>
      </c>
      <c r="AE1275">
        <v>0.62240000000002704</v>
      </c>
      <c r="AF1275">
        <v>2.5602667420080398</v>
      </c>
      <c r="AG1275">
        <v>-1.0981427865469</v>
      </c>
      <c r="AH1275">
        <v>13.622558522441899</v>
      </c>
      <c r="AI1275">
        <v>94.529797001851506</v>
      </c>
      <c r="AJ1275">
        <v>79.3558176521056</v>
      </c>
      <c r="AK1275">
        <v>13.9044951029238</v>
      </c>
      <c r="AL1275">
        <v>83.965568118231801</v>
      </c>
      <c r="AM1275">
        <v>77.942477477123802</v>
      </c>
      <c r="AN1275">
        <v>0.999999981012334</v>
      </c>
    </row>
    <row r="1276" spans="1:40" x14ac:dyDescent="0.25">
      <c r="A1276" t="str">
        <f>"20190312164458946"</f>
        <v>20190312164458946</v>
      </c>
      <c r="B1276" t="str">
        <f>"1552380298942809"</f>
        <v>1552380298942809</v>
      </c>
      <c r="C1276" t="s">
        <v>40</v>
      </c>
      <c r="D1276">
        <v>5.368881</v>
      </c>
      <c r="E1276">
        <v>0.49467889999999998</v>
      </c>
      <c r="F1276" t="s">
        <v>47</v>
      </c>
      <c r="G1276">
        <v>-223.16249999999999</v>
      </c>
      <c r="H1276" s="1">
        <v>1.4615849999999999E-7</v>
      </c>
      <c r="I1276">
        <v>282.86790000000002</v>
      </c>
      <c r="J1276">
        <v>-209.65289999999999</v>
      </c>
      <c r="K1276">
        <v>1.098592</v>
      </c>
      <c r="L1276">
        <v>282.22500000000002</v>
      </c>
      <c r="M1276">
        <v>-0.99154129999999996</v>
      </c>
      <c r="N1276">
        <v>0</v>
      </c>
      <c r="O1276">
        <v>-0.1290521</v>
      </c>
      <c r="P1276">
        <v>-0.99288659999999995</v>
      </c>
      <c r="Q1276">
        <v>9.5872979999999997E-2</v>
      </c>
      <c r="R1276">
        <v>7.0602479999999995E-2</v>
      </c>
      <c r="S1276">
        <v>-3.035355</v>
      </c>
      <c r="T1276">
        <v>-0.2414229</v>
      </c>
      <c r="U1276">
        <v>0.13467409999999999</v>
      </c>
      <c r="V1276">
        <v>0.20075319999999999</v>
      </c>
      <c r="W1276">
        <v>0.1045268</v>
      </c>
      <c r="X1276">
        <v>0.97404939999999995</v>
      </c>
      <c r="Y1276">
        <v>0.1719434</v>
      </c>
      <c r="Z1276">
        <v>1.7053789999999999E-2</v>
      </c>
      <c r="AA1276">
        <v>0.98495920000000003</v>
      </c>
      <c r="AB1276">
        <v>30</v>
      </c>
      <c r="AC1276">
        <v>-13.509600000000001</v>
      </c>
      <c r="AD1276">
        <v>-1.0985918538415</v>
      </c>
      <c r="AE1276">
        <v>0.64289999999999703</v>
      </c>
      <c r="AF1276">
        <v>2.3655245631600099</v>
      </c>
      <c r="AG1276">
        <v>-1.0985918538415</v>
      </c>
      <c r="AH1276">
        <v>13.226366796195601</v>
      </c>
      <c r="AI1276">
        <v>94.674297287794801</v>
      </c>
      <c r="AJ1276">
        <v>79.859908109843403</v>
      </c>
      <c r="AK1276">
        <v>13.4810752222419</v>
      </c>
      <c r="AL1276">
        <v>84.000095621007802</v>
      </c>
      <c r="AM1276">
        <v>78.354312013310604</v>
      </c>
      <c r="AN1276">
        <v>0.99999996643441902</v>
      </c>
    </row>
    <row r="1277" spans="1:40" x14ac:dyDescent="0.25">
      <c r="A1277" t="str">
        <f>"20190312164458972"</f>
        <v>20190312164458972</v>
      </c>
      <c r="B1277" t="str">
        <f>"1552380298963305"</f>
        <v>1552380298963305</v>
      </c>
      <c r="C1277" t="s">
        <v>40</v>
      </c>
      <c r="D1277">
        <v>5.3867120000000002</v>
      </c>
      <c r="E1277">
        <v>0.49409950000000002</v>
      </c>
      <c r="F1277" t="s">
        <v>41</v>
      </c>
      <c r="G1277">
        <v>-210.4222</v>
      </c>
      <c r="H1277">
        <v>1.0352699999999999</v>
      </c>
      <c r="I1277">
        <v>282.26139999999998</v>
      </c>
      <c r="J1277">
        <v>-209.9776</v>
      </c>
      <c r="K1277">
        <v>1.0991089999999999</v>
      </c>
      <c r="L1277">
        <v>282.1952</v>
      </c>
      <c r="M1277">
        <v>-0.993031</v>
      </c>
      <c r="N1277">
        <v>0</v>
      </c>
      <c r="O1277">
        <v>-0.1170564</v>
      </c>
      <c r="P1277">
        <v>-0.99247770000000002</v>
      </c>
      <c r="Q1277">
        <v>9.5122280000000003E-2</v>
      </c>
      <c r="R1277">
        <v>7.7073310000000006E-2</v>
      </c>
      <c r="S1277">
        <v>-3.035431</v>
      </c>
      <c r="T1277">
        <v>-0.24968190000000001</v>
      </c>
      <c r="U1277">
        <v>0.1430969</v>
      </c>
      <c r="V1277">
        <v>0.1951754</v>
      </c>
      <c r="W1277">
        <v>0.10402309999999999</v>
      </c>
      <c r="X1277">
        <v>0.9752362</v>
      </c>
      <c r="Y1277">
        <v>0.16276070000000001</v>
      </c>
      <c r="Z1277">
        <v>1.6276990000000002E-2</v>
      </c>
      <c r="AA1277">
        <v>0.9865313</v>
      </c>
      <c r="AB1277">
        <v>30</v>
      </c>
      <c r="AC1277">
        <v>-0.44460000000000799</v>
      </c>
      <c r="AD1277">
        <v>-6.3838999999999896E-2</v>
      </c>
      <c r="AE1277">
        <v>6.6199999999980705E-2</v>
      </c>
      <c r="AF1277">
        <v>0.11546402486606901</v>
      </c>
      <c r="AG1277">
        <v>-6.3838999999999896E-2</v>
      </c>
      <c r="AH1277">
        <v>0.425216368515416</v>
      </c>
      <c r="AI1277">
        <v>98.244011106199693</v>
      </c>
      <c r="AJ1277">
        <v>74.808119703404302</v>
      </c>
      <c r="AK1277">
        <v>0.44521491328650498</v>
      </c>
      <c r="AL1277">
        <v>84.029113563489602</v>
      </c>
      <c r="AM1277">
        <v>78.682827818804597</v>
      </c>
      <c r="AN1277">
        <v>0.99999994394460301</v>
      </c>
    </row>
    <row r="1278" spans="1:40" x14ac:dyDescent="0.25">
      <c r="A1278" t="str">
        <f>"20190312164458995"</f>
        <v>20190312164458995</v>
      </c>
      <c r="B1278" t="str">
        <f>"1552380298982825"</f>
        <v>1552380298982825</v>
      </c>
      <c r="C1278" t="s">
        <v>40</v>
      </c>
      <c r="D1278">
        <v>5.4138440000000001</v>
      </c>
      <c r="E1278">
        <v>0.49366779999999999</v>
      </c>
      <c r="F1278" t="s">
        <v>41</v>
      </c>
      <c r="G1278">
        <v>-210.9479</v>
      </c>
      <c r="H1278">
        <v>1.018025</v>
      </c>
      <c r="I1278">
        <v>282.24459999999999</v>
      </c>
      <c r="J1278">
        <v>-210.30189999999999</v>
      </c>
      <c r="K1278">
        <v>1.0996250000000001</v>
      </c>
      <c r="L1278">
        <v>282.16890000000001</v>
      </c>
      <c r="M1278">
        <v>-0.99429480000000003</v>
      </c>
      <c r="N1278">
        <v>0</v>
      </c>
      <c r="O1278">
        <v>-0.1058042</v>
      </c>
      <c r="P1278">
        <v>-0.99199199999999998</v>
      </c>
      <c r="Q1278">
        <v>9.5514150000000006E-2</v>
      </c>
      <c r="R1278">
        <v>8.2636520000000005E-2</v>
      </c>
      <c r="S1278">
        <v>-3.0350489999999999</v>
      </c>
      <c r="T1278">
        <v>-0.25358389999999997</v>
      </c>
      <c r="U1278">
        <v>0.1545105</v>
      </c>
      <c r="V1278">
        <v>0.18946180000000001</v>
      </c>
      <c r="W1278">
        <v>0.10465190000000001</v>
      </c>
      <c r="X1278">
        <v>0.97629520000000003</v>
      </c>
      <c r="Y1278">
        <v>0.15532679999999999</v>
      </c>
      <c r="Z1278">
        <v>1.5286849999999999E-2</v>
      </c>
      <c r="AA1278">
        <v>0.98774490000000004</v>
      </c>
      <c r="AB1278">
        <v>30</v>
      </c>
      <c r="AC1278">
        <v>-0.64600000000001501</v>
      </c>
      <c r="AD1278">
        <v>-8.1600000000000103E-2</v>
      </c>
      <c r="AE1278">
        <v>7.5699999999983406E-2</v>
      </c>
      <c r="AF1278">
        <v>0.141405142651366</v>
      </c>
      <c r="AG1278">
        <v>-8.1600000000000103E-2</v>
      </c>
      <c r="AH1278">
        <v>0.62453334018259798</v>
      </c>
      <c r="AI1278">
        <v>97.262174178164102</v>
      </c>
      <c r="AJ1278">
        <v>77.242348498745599</v>
      </c>
      <c r="AK1278">
        <v>0.64551984273753005</v>
      </c>
      <c r="AL1278">
        <v>83.992888928773695</v>
      </c>
      <c r="AM1278">
        <v>79.017574764608995</v>
      </c>
      <c r="AN1278">
        <v>1.00000005568794</v>
      </c>
    </row>
    <row r="1279" spans="1:40" x14ac:dyDescent="0.25">
      <c r="A1279" t="str">
        <f>"20190312164459016"</f>
        <v>20190312164459016</v>
      </c>
      <c r="B1279" t="str">
        <f>"1552380299013080"</f>
        <v>1552380299013080</v>
      </c>
      <c r="C1279" t="s">
        <v>40</v>
      </c>
      <c r="D1279">
        <v>5.4237979999999997</v>
      </c>
      <c r="E1279">
        <v>0.49333640000000001</v>
      </c>
      <c r="F1279" t="s">
        <v>41</v>
      </c>
      <c r="G1279">
        <v>-211.21700000000001</v>
      </c>
      <c r="H1279">
        <v>1.0239180000000001</v>
      </c>
      <c r="I1279">
        <v>282.21929999999998</v>
      </c>
      <c r="J1279">
        <v>-210.58580000000001</v>
      </c>
      <c r="K1279">
        <v>1.1000509999999999</v>
      </c>
      <c r="L1279">
        <v>282.14830000000001</v>
      </c>
      <c r="M1279">
        <v>-0.9952493</v>
      </c>
      <c r="N1279">
        <v>0</v>
      </c>
      <c r="O1279">
        <v>-9.6428940000000005E-2</v>
      </c>
      <c r="P1279">
        <v>-0.99158950000000001</v>
      </c>
      <c r="Q1279">
        <v>9.635022E-2</v>
      </c>
      <c r="R1279">
        <v>8.6412939999999994E-2</v>
      </c>
      <c r="S1279">
        <v>-3.0344850000000001</v>
      </c>
      <c r="T1279">
        <v>-0.25081340000000002</v>
      </c>
      <c r="U1279">
        <v>0.16671749999999999</v>
      </c>
      <c r="V1279">
        <v>0.18387210000000001</v>
      </c>
      <c r="W1279">
        <v>0.10568470000000001</v>
      </c>
      <c r="X1279">
        <v>0.97725220000000002</v>
      </c>
      <c r="Y1279">
        <v>0.15005660000000001</v>
      </c>
      <c r="Z1279">
        <v>1.4133629999999999E-2</v>
      </c>
      <c r="AA1279">
        <v>0.98857640000000002</v>
      </c>
      <c r="AB1279">
        <v>30</v>
      </c>
      <c r="AC1279">
        <v>-0.63120000000000598</v>
      </c>
      <c r="AD1279">
        <v>-7.6133000000000006E-2</v>
      </c>
      <c r="AE1279">
        <v>7.0999999999969504E-2</v>
      </c>
      <c r="AF1279">
        <v>0.12967749205638701</v>
      </c>
      <c r="AG1279">
        <v>-7.6133000000000006E-2</v>
      </c>
      <c r="AH1279">
        <v>0.61260985534800705</v>
      </c>
      <c r="AI1279">
        <v>96.932132604979998</v>
      </c>
      <c r="AJ1279">
        <v>78.048039531137604</v>
      </c>
      <c r="AK1279">
        <v>0.63079578351835897</v>
      </c>
      <c r="AL1279">
        <v>83.933383725243999</v>
      </c>
      <c r="AM1279">
        <v>79.344252707259301</v>
      </c>
      <c r="AN1279">
        <v>1.0000000336886601</v>
      </c>
    </row>
    <row r="1280" spans="1:40" x14ac:dyDescent="0.25">
      <c r="A1280" t="str">
        <f>"20190312164459038"</f>
        <v>20190312164459038</v>
      </c>
      <c r="B1280" t="str">
        <f>"1552380299032600"</f>
        <v>1552380299032600</v>
      </c>
      <c r="C1280" t="s">
        <v>40</v>
      </c>
      <c r="D1280">
        <v>6.3139900000000004</v>
      </c>
      <c r="E1280">
        <v>0.5251188</v>
      </c>
      <c r="F1280" t="s">
        <v>41</v>
      </c>
      <c r="G1280">
        <v>-211.4855</v>
      </c>
      <c r="H1280">
        <v>1.026661</v>
      </c>
      <c r="I1280">
        <v>282.20119999999997</v>
      </c>
      <c r="J1280">
        <v>-210.8698</v>
      </c>
      <c r="K1280">
        <v>1.100455</v>
      </c>
      <c r="L1280">
        <v>282.13010000000003</v>
      </c>
      <c r="M1280">
        <v>-0.99607369999999995</v>
      </c>
      <c r="N1280">
        <v>0</v>
      </c>
      <c r="O1280">
        <v>-8.7524469999999993E-2</v>
      </c>
      <c r="P1280">
        <v>-0.9909753</v>
      </c>
      <c r="Q1280">
        <v>9.8045629999999995E-2</v>
      </c>
      <c r="R1280">
        <v>9.1408390000000006E-2</v>
      </c>
      <c r="S1280">
        <v>-3.034027</v>
      </c>
      <c r="T1280">
        <v>-0.24730289999999999</v>
      </c>
      <c r="U1280">
        <v>0.17733759999999901</v>
      </c>
      <c r="V1280">
        <v>0.1799683</v>
      </c>
      <c r="W1280">
        <v>0.10751719999999999</v>
      </c>
      <c r="X1280">
        <v>0.97777890000000001</v>
      </c>
      <c r="Y1280">
        <v>0.14474100000000001</v>
      </c>
      <c r="Z1280">
        <v>1.299871E-2</v>
      </c>
      <c r="AA1280">
        <v>0.98938419999999905</v>
      </c>
      <c r="AB1280">
        <v>30</v>
      </c>
      <c r="AC1280">
        <v>-0.61570000000000302</v>
      </c>
      <c r="AD1280">
        <v>-7.3793999999999901E-2</v>
      </c>
      <c r="AE1280">
        <v>7.1099999999944402E-2</v>
      </c>
      <c r="AF1280">
        <v>0.122977358006309</v>
      </c>
      <c r="AG1280">
        <v>-7.3793999999999901E-2</v>
      </c>
      <c r="AH1280">
        <v>0.59862713474415896</v>
      </c>
      <c r="AI1280">
        <v>96.8851545794884</v>
      </c>
      <c r="AJ1280">
        <v>78.391104953040994</v>
      </c>
      <c r="AK1280">
        <v>0.61556756856596395</v>
      </c>
      <c r="AL1280">
        <v>83.827787644246399</v>
      </c>
      <c r="AM1280">
        <v>79.570961804104599</v>
      </c>
      <c r="AN1280">
        <v>1.0000000572929599</v>
      </c>
    </row>
    <row r="1281" spans="1:40" x14ac:dyDescent="0.25">
      <c r="A1281" t="str">
        <f>"20190312164459059"</f>
        <v>20190312164459059</v>
      </c>
      <c r="B1281" t="str">
        <f>"1552380299053097"</f>
        <v>1552380299053097</v>
      </c>
      <c r="C1281" t="s">
        <v>40</v>
      </c>
      <c r="D1281">
        <v>5.7416019999999897</v>
      </c>
      <c r="E1281">
        <v>0.59905559999999902</v>
      </c>
      <c r="F1281" t="s">
        <v>48</v>
      </c>
      <c r="G1281">
        <v>-285.08890000000002</v>
      </c>
      <c r="H1281">
        <v>0.24959709999999999</v>
      </c>
      <c r="I1281">
        <v>293.50400000000002</v>
      </c>
      <c r="J1281">
        <v>-211.1669</v>
      </c>
      <c r="K1281">
        <v>1.1008659999999999</v>
      </c>
      <c r="L1281">
        <v>282.11320000000001</v>
      </c>
      <c r="M1281">
        <v>-0.99680959999999996</v>
      </c>
      <c r="N1281">
        <v>0</v>
      </c>
      <c r="O1281">
        <v>-7.8722390000000003E-2</v>
      </c>
      <c r="P1281">
        <v>-0.98973809999999995</v>
      </c>
      <c r="Q1281">
        <v>0.101826</v>
      </c>
      <c r="R1281">
        <v>0.1002498</v>
      </c>
      <c r="S1281">
        <v>-2.988464</v>
      </c>
      <c r="T1281">
        <v>-3.4260150000000003E-2</v>
      </c>
      <c r="U1281">
        <v>0.45797729999999998</v>
      </c>
      <c r="V1281">
        <v>0.17999270000000001</v>
      </c>
      <c r="W1281">
        <v>0.1113393</v>
      </c>
      <c r="X1281">
        <v>0.97734650000000001</v>
      </c>
      <c r="Y1281">
        <v>0.2288106</v>
      </c>
      <c r="Z1281">
        <v>2.2018509999999999E-3</v>
      </c>
      <c r="AA1281">
        <v>0.97346849999999996</v>
      </c>
      <c r="AB1281">
        <v>30</v>
      </c>
      <c r="AC1281">
        <v>-73.921999999999997</v>
      </c>
      <c r="AD1281">
        <v>-0.851268899999999</v>
      </c>
      <c r="AE1281">
        <v>11.3908</v>
      </c>
      <c r="AF1281">
        <v>17.173039974546899</v>
      </c>
      <c r="AG1281">
        <v>-0.851268899999999</v>
      </c>
      <c r="AH1281">
        <v>72.7863316203984</v>
      </c>
      <c r="AI1281">
        <v>90.652164899947394</v>
      </c>
      <c r="AJ1281">
        <v>76.724544727911194</v>
      </c>
      <c r="AK1281">
        <v>74.789625159256502</v>
      </c>
      <c r="AL1281">
        <v>83.607473878975995</v>
      </c>
      <c r="AM1281">
        <v>79.565065566311304</v>
      </c>
      <c r="AN1281">
        <v>0.99999999642001403</v>
      </c>
    </row>
    <row r="1282" spans="1:40" x14ac:dyDescent="0.25">
      <c r="A1282" t="str">
        <f>"20190312164459082"</f>
        <v>20190312164459082</v>
      </c>
      <c r="B1282" t="str">
        <f>"1552380299072620"</f>
        <v>1552380299072620</v>
      </c>
      <c r="C1282" t="s">
        <v>40</v>
      </c>
      <c r="D1282">
        <v>5.770111</v>
      </c>
      <c r="E1282">
        <v>0.61702080000000004</v>
      </c>
      <c r="F1282" t="s">
        <v>49</v>
      </c>
      <c r="G1282">
        <v>-337.04489999999998</v>
      </c>
      <c r="H1282">
        <v>10.70065</v>
      </c>
      <c r="I1282">
        <v>329.18509999999998</v>
      </c>
      <c r="J1282">
        <v>-211.4658</v>
      </c>
      <c r="K1282">
        <v>1.1012919999999999</v>
      </c>
      <c r="L1282">
        <v>282.09840000000003</v>
      </c>
      <c r="M1282">
        <v>-0.99743499999999996</v>
      </c>
      <c r="N1282">
        <v>0</v>
      </c>
      <c r="O1282">
        <v>-7.0379620000000004E-2</v>
      </c>
      <c r="P1282">
        <v>-0.98832260000000005</v>
      </c>
      <c r="Q1282">
        <v>0.1055596</v>
      </c>
      <c r="R1282">
        <v>0.109889899999999</v>
      </c>
      <c r="S1282">
        <v>-2.89859</v>
      </c>
      <c r="T1282">
        <v>0.2210541</v>
      </c>
      <c r="U1282">
        <v>1.083923</v>
      </c>
      <c r="V1282">
        <v>0.18126610000000001</v>
      </c>
      <c r="W1282">
        <v>0.1150935</v>
      </c>
      <c r="X1282">
        <v>0.97667599999999999</v>
      </c>
      <c r="Y1282">
        <v>0.41407559999999899</v>
      </c>
      <c r="Z1282">
        <v>-2.0451469999999999E-2</v>
      </c>
      <c r="AA1282">
        <v>0.91001270000000001</v>
      </c>
      <c r="AB1282">
        <v>30</v>
      </c>
      <c r="AC1282">
        <v>-125.579099999999</v>
      </c>
      <c r="AD1282">
        <v>9.5993580000000005</v>
      </c>
      <c r="AE1282">
        <v>47.086699999999901</v>
      </c>
      <c r="AF1282">
        <v>55.524431261808203</v>
      </c>
      <c r="AG1282">
        <v>9.5993580000000005</v>
      </c>
      <c r="AH1282">
        <v>121.331844325958</v>
      </c>
      <c r="AI1282">
        <v>85.885151571674299</v>
      </c>
      <c r="AJ1282">
        <v>65.410004287280898</v>
      </c>
      <c r="AK1282">
        <v>133.77790022458001</v>
      </c>
      <c r="AL1282">
        <v>83.390981727213997</v>
      </c>
      <c r="AM1282">
        <v>79.485827194435203</v>
      </c>
      <c r="AN1282">
        <v>0.999999960863729</v>
      </c>
    </row>
    <row r="1283" spans="1:40" x14ac:dyDescent="0.25">
      <c r="A1283" t="str">
        <f>"20190312164459103"</f>
        <v>20190312164459103</v>
      </c>
      <c r="B1283" t="str">
        <f>"1552380299093112"</f>
        <v>1552380299093112</v>
      </c>
      <c r="C1283" t="s">
        <v>40</v>
      </c>
      <c r="D1283">
        <v>5.2499370000000001</v>
      </c>
      <c r="E1283">
        <v>0.62560760000000004</v>
      </c>
      <c r="F1283" t="s">
        <v>50</v>
      </c>
      <c r="G1283">
        <v>-460.21260000000001</v>
      </c>
      <c r="H1283">
        <v>29.802129999999998</v>
      </c>
      <c r="I1283">
        <v>391.67500000000001</v>
      </c>
      <c r="J1283">
        <v>-211.76169999999999</v>
      </c>
      <c r="K1283">
        <v>1.1017349999999999</v>
      </c>
      <c r="L1283">
        <v>282.08580000000001</v>
      </c>
      <c r="M1283">
        <v>-0.99795420000000001</v>
      </c>
      <c r="N1283">
        <v>0</v>
      </c>
      <c r="O1283">
        <v>-6.261601E-2</v>
      </c>
      <c r="P1283">
        <v>-0.98689660000000001</v>
      </c>
      <c r="Q1283">
        <v>0.10852630000000001</v>
      </c>
      <c r="R1283">
        <v>0.1194045</v>
      </c>
      <c r="S1283">
        <v>-2.8601070000000002</v>
      </c>
      <c r="T1283">
        <v>0.33000400000000002</v>
      </c>
      <c r="U1283">
        <v>1.2599180000000001</v>
      </c>
      <c r="V1283">
        <v>0.18298420000000001</v>
      </c>
      <c r="W1283">
        <v>0.1180809</v>
      </c>
      <c r="X1283">
        <v>0.97599880000000006</v>
      </c>
      <c r="Y1283">
        <v>0.45674189999999998</v>
      </c>
      <c r="Z1283">
        <v>-3.2013989999999999E-2</v>
      </c>
      <c r="AA1283">
        <v>0.88902309999999996</v>
      </c>
      <c r="AB1283">
        <v>30</v>
      </c>
      <c r="AC1283">
        <v>-248.45089999999999</v>
      </c>
      <c r="AD1283">
        <v>28.700395</v>
      </c>
      <c r="AE1283">
        <v>109.58920000000001</v>
      </c>
      <c r="AF1283">
        <v>123.552232536018</v>
      </c>
      <c r="AG1283">
        <v>28.700395</v>
      </c>
      <c r="AH1283">
        <v>238.43712419351201</v>
      </c>
      <c r="AI1283">
        <v>83.899785943034701</v>
      </c>
      <c r="AJ1283">
        <v>62.607924069075501</v>
      </c>
      <c r="AK1283">
        <v>270.07615413335299</v>
      </c>
      <c r="AL1283">
        <v>83.218641134675494</v>
      </c>
      <c r="AM1283">
        <v>79.381228000496804</v>
      </c>
      <c r="AN1283">
        <v>0.99999998699794501</v>
      </c>
    </row>
    <row r="1284" spans="1:40" x14ac:dyDescent="0.25">
      <c r="A1284" t="str">
        <f>"20190312164459125"</f>
        <v>20190312164459125</v>
      </c>
      <c r="B1284" t="str">
        <f>"1552380299123368"</f>
        <v>1552380299123368</v>
      </c>
      <c r="C1284" t="s">
        <v>40</v>
      </c>
      <c r="D1284">
        <v>5.613029</v>
      </c>
      <c r="E1284">
        <v>0.63458380000000003</v>
      </c>
      <c r="F1284" t="s">
        <v>41</v>
      </c>
      <c r="G1284">
        <v>-212.29939999999999</v>
      </c>
      <c r="H1284">
        <v>1.1825650000000001</v>
      </c>
      <c r="I1284">
        <v>282.34440000000001</v>
      </c>
      <c r="J1284">
        <v>-212.0472</v>
      </c>
      <c r="K1284">
        <v>1.1021639999999999</v>
      </c>
      <c r="L1284">
        <v>282.07530000000003</v>
      </c>
      <c r="M1284">
        <v>-0.99837140000000002</v>
      </c>
      <c r="N1284">
        <v>0</v>
      </c>
      <c r="O1284">
        <v>-5.5596760000000002E-2</v>
      </c>
      <c r="P1284">
        <v>-0.98578639999999995</v>
      </c>
      <c r="Q1284">
        <v>0.10948960000000001</v>
      </c>
      <c r="R1284">
        <v>0.12742580000000001</v>
      </c>
      <c r="S1284">
        <v>-2.8286289999999998</v>
      </c>
      <c r="T1284">
        <v>0.42501509999999998</v>
      </c>
      <c r="U1284">
        <v>1.3593139999999999</v>
      </c>
      <c r="V1284">
        <v>0.18394469999999999</v>
      </c>
      <c r="W1284">
        <v>0.1190861</v>
      </c>
      <c r="X1284">
        <v>0.97569609999999996</v>
      </c>
      <c r="Y1284">
        <v>0.4776823</v>
      </c>
      <c r="Z1284">
        <v>-4.1766930000000001E-2</v>
      </c>
      <c r="AA1284">
        <v>0.87753930000000002</v>
      </c>
      <c r="AB1284">
        <v>30</v>
      </c>
      <c r="AC1284">
        <v>-0.25219999999998699</v>
      </c>
      <c r="AD1284">
        <v>8.0400999999999903E-2</v>
      </c>
      <c r="AE1284">
        <v>0.26909999999998002</v>
      </c>
      <c r="AF1284">
        <v>0.269880328872529</v>
      </c>
      <c r="AG1284">
        <v>8.0400999999999903E-2</v>
      </c>
      <c r="AH1284">
        <v>0.22610206862671201</v>
      </c>
      <c r="AI1284">
        <v>77.136369832735198</v>
      </c>
      <c r="AJ1284">
        <v>39.955817199757497</v>
      </c>
      <c r="AK1284">
        <v>0.36113966571206602</v>
      </c>
      <c r="AL1284">
        <v>83.160638346914496</v>
      </c>
      <c r="AM1284">
        <v>79.323531320668494</v>
      </c>
      <c r="AN1284">
        <v>1.00000001571325</v>
      </c>
    </row>
    <row r="1285" spans="1:40" x14ac:dyDescent="0.25">
      <c r="A1285" t="str">
        <f>"20190312164459148"</f>
        <v>20190312164459148</v>
      </c>
      <c r="B1285" t="str">
        <f>"1552380299142888"</f>
        <v>1552380299142888</v>
      </c>
      <c r="C1285" t="s">
        <v>40</v>
      </c>
      <c r="D1285">
        <v>5.642277</v>
      </c>
      <c r="E1285">
        <v>0.63634279999999999</v>
      </c>
      <c r="F1285" t="s">
        <v>41</v>
      </c>
      <c r="G1285">
        <v>-212.5658</v>
      </c>
      <c r="H1285">
        <v>1.194536</v>
      </c>
      <c r="I1285">
        <v>282.34519999999998</v>
      </c>
      <c r="J1285">
        <v>-212.3563</v>
      </c>
      <c r="K1285">
        <v>1.102625</v>
      </c>
      <c r="L1285">
        <v>282.06569999999999</v>
      </c>
      <c r="M1285">
        <v>-0.99874220000000002</v>
      </c>
      <c r="N1285">
        <v>0</v>
      </c>
      <c r="O1285">
        <v>-4.851664E-2</v>
      </c>
      <c r="P1285">
        <v>-0.98428740000000003</v>
      </c>
      <c r="Q1285">
        <v>0.11097319999999999</v>
      </c>
      <c r="R1285">
        <v>0.13734379999999999</v>
      </c>
      <c r="S1285">
        <v>-2.7996979999999998</v>
      </c>
      <c r="T1285">
        <v>0.49854739999999997</v>
      </c>
      <c r="U1285">
        <v>1.455719</v>
      </c>
      <c r="V1285">
        <v>0.1867298</v>
      </c>
      <c r="W1285">
        <v>0.1205948</v>
      </c>
      <c r="X1285">
        <v>0.97498149999999995</v>
      </c>
      <c r="Y1285">
        <v>0.49701790000000001</v>
      </c>
      <c r="Z1285">
        <v>-4.9428920000000001E-2</v>
      </c>
      <c r="AA1285">
        <v>0.86633130000000003</v>
      </c>
      <c r="AB1285">
        <v>30</v>
      </c>
      <c r="AC1285">
        <v>-0.209499999999991</v>
      </c>
      <c r="AD1285">
        <v>9.1911000000000007E-2</v>
      </c>
      <c r="AE1285">
        <v>0.27949999999998398</v>
      </c>
      <c r="AF1285">
        <v>0.27060031695921699</v>
      </c>
      <c r="AG1285">
        <v>9.1911000000000007E-2</v>
      </c>
      <c r="AH1285">
        <v>0.18302001765492401</v>
      </c>
      <c r="AI1285">
        <v>74.286193166816005</v>
      </c>
      <c r="AJ1285">
        <v>34.072381321143503</v>
      </c>
      <c r="AK1285">
        <v>0.33936483365522302</v>
      </c>
      <c r="AL1285">
        <v>83.073568762732506</v>
      </c>
      <c r="AM1285">
        <v>79.157925065167504</v>
      </c>
      <c r="AN1285">
        <v>1.00000002466866</v>
      </c>
    </row>
    <row r="1286" spans="1:40" x14ac:dyDescent="0.25">
      <c r="A1286" t="str">
        <f>"20190312164459171"</f>
        <v>20190312164459171</v>
      </c>
      <c r="B1286" t="str">
        <f>"1552380299163385"</f>
        <v>1552380299163385</v>
      </c>
      <c r="C1286" t="s">
        <v>40</v>
      </c>
      <c r="D1286">
        <v>5.9641380000000002</v>
      </c>
      <c r="E1286">
        <v>0.63809530000000003</v>
      </c>
      <c r="F1286" t="s">
        <v>41</v>
      </c>
      <c r="G1286">
        <v>-212.83279999999999</v>
      </c>
      <c r="H1286">
        <v>1.190401</v>
      </c>
      <c r="I1286">
        <v>282.3227</v>
      </c>
      <c r="J1286">
        <v>-212.65950000000001</v>
      </c>
      <c r="K1286">
        <v>1.1030719999999901</v>
      </c>
      <c r="L1286">
        <v>282.05790000000002</v>
      </c>
      <c r="M1286">
        <v>-0.99903319999999995</v>
      </c>
      <c r="N1286">
        <v>0</v>
      </c>
      <c r="O1286">
        <v>-4.2143029999999998E-2</v>
      </c>
      <c r="P1286">
        <v>-0.98243939999999996</v>
      </c>
      <c r="Q1286">
        <v>0.1131291</v>
      </c>
      <c r="R1286">
        <v>0.14837429999999999</v>
      </c>
      <c r="S1286">
        <v>-2.7812039999999998</v>
      </c>
      <c r="T1286">
        <v>0.51192740000000003</v>
      </c>
      <c r="U1286">
        <v>1.4976499999999999</v>
      </c>
      <c r="V1286">
        <v>0.19133269999999999</v>
      </c>
      <c r="W1286">
        <v>0.1227497</v>
      </c>
      <c r="X1286">
        <v>0.9738194</v>
      </c>
      <c r="Y1286">
        <v>0.50364430000000004</v>
      </c>
      <c r="Z1286">
        <v>-5.0338510000000003E-2</v>
      </c>
      <c r="AA1286">
        <v>0.86244330000000002</v>
      </c>
      <c r="AB1286">
        <v>30</v>
      </c>
      <c r="AC1286">
        <v>-0.173299999999983</v>
      </c>
      <c r="AD1286">
        <v>8.7329000000000198E-2</v>
      </c>
      <c r="AE1286">
        <v>0.264799999999979</v>
      </c>
      <c r="AF1286">
        <v>0.25263133730523502</v>
      </c>
      <c r="AG1286">
        <v>8.7329000000000198E-2</v>
      </c>
      <c r="AH1286">
        <v>0.15052361578252901</v>
      </c>
      <c r="AI1286">
        <v>73.460585260877593</v>
      </c>
      <c r="AJ1286">
        <v>30.787467451628</v>
      </c>
      <c r="AK1286">
        <v>0.30676751089037702</v>
      </c>
      <c r="AL1286">
        <v>82.949177405376901</v>
      </c>
      <c r="AM1286">
        <v>78.884311287115096</v>
      </c>
      <c r="AN1286">
        <v>0.99999995737786895</v>
      </c>
    </row>
    <row r="1287" spans="1:40" x14ac:dyDescent="0.25">
      <c r="A1287" t="str">
        <f>"20190312164459195"</f>
        <v>20190312164459195</v>
      </c>
      <c r="B1287" t="str">
        <f>"1552380299182904"</f>
        <v>1552380299182904</v>
      </c>
      <c r="C1287" t="s">
        <v>40</v>
      </c>
      <c r="D1287">
        <v>5.5792650000000004</v>
      </c>
      <c r="E1287">
        <v>0.63836850000000001</v>
      </c>
      <c r="F1287" t="s">
        <v>41</v>
      </c>
      <c r="G1287">
        <v>-213.37180000000001</v>
      </c>
      <c r="H1287">
        <v>1.231508</v>
      </c>
      <c r="I1287">
        <v>282.45609999999999</v>
      </c>
      <c r="J1287">
        <v>-212.97810000000001</v>
      </c>
      <c r="K1287">
        <v>1.103531</v>
      </c>
      <c r="L1287">
        <v>282.05130000000003</v>
      </c>
      <c r="M1287">
        <v>-0.99927489999999997</v>
      </c>
      <c r="N1287">
        <v>0</v>
      </c>
      <c r="O1287">
        <v>-3.6001400000000003E-2</v>
      </c>
      <c r="P1287">
        <v>-0.98083419999999999</v>
      </c>
      <c r="Q1287">
        <v>0.1145535</v>
      </c>
      <c r="R1287">
        <v>0.15761349999999999</v>
      </c>
      <c r="S1287">
        <v>-2.7631839999999999</v>
      </c>
      <c r="T1287">
        <v>0.49805719999999998</v>
      </c>
      <c r="U1287">
        <v>1.543304</v>
      </c>
      <c r="V1287">
        <v>0.1943917</v>
      </c>
      <c r="W1287">
        <v>0.12419959999999999</v>
      </c>
      <c r="X1287">
        <v>0.97302940000000004</v>
      </c>
      <c r="Y1287">
        <v>0.51196189999999997</v>
      </c>
      <c r="Z1287">
        <v>-4.8755519999999997E-2</v>
      </c>
      <c r="AA1287">
        <v>0.85762329999999998</v>
      </c>
      <c r="AB1287">
        <v>30</v>
      </c>
      <c r="AC1287">
        <v>-0.393699999999995</v>
      </c>
      <c r="AD1287">
        <v>0.12797700000000001</v>
      </c>
      <c r="AE1287">
        <v>0.40479999999996602</v>
      </c>
      <c r="AF1287">
        <v>0.39825628844877498</v>
      </c>
      <c r="AG1287">
        <v>0.12797700000000001</v>
      </c>
      <c r="AH1287">
        <v>0.36036063752646802</v>
      </c>
      <c r="AI1287">
        <v>76.597614880750299</v>
      </c>
      <c r="AJ1287">
        <v>42.140246339281902</v>
      </c>
      <c r="AK1287">
        <v>0.552128583661883</v>
      </c>
      <c r="AL1287">
        <v>82.865463542981502</v>
      </c>
      <c r="AM1287">
        <v>78.702194728280702</v>
      </c>
      <c r="AN1287">
        <v>0.99999994346670296</v>
      </c>
    </row>
    <row r="1288" spans="1:40" x14ac:dyDescent="0.25">
      <c r="A1288" t="str">
        <f>"20190312164459216"</f>
        <v>20190312164459216</v>
      </c>
      <c r="B1288" t="str">
        <f>"1552380299213161"</f>
        <v>1552380299213161</v>
      </c>
      <c r="C1288" t="s">
        <v>40</v>
      </c>
      <c r="D1288">
        <v>5.7422190000000004</v>
      </c>
      <c r="E1288">
        <v>0.63894719999999905</v>
      </c>
      <c r="F1288" t="s">
        <v>41</v>
      </c>
      <c r="G1288">
        <v>-213.63740000000001</v>
      </c>
      <c r="H1288">
        <v>1.2232270000000001</v>
      </c>
      <c r="I1288">
        <v>282.42849999999999</v>
      </c>
      <c r="J1288">
        <v>-213.26179999999999</v>
      </c>
      <c r="K1288">
        <v>1.1038889999999999</v>
      </c>
      <c r="L1288">
        <v>282.04660000000001</v>
      </c>
      <c r="M1288">
        <v>-0.99944719999999998</v>
      </c>
      <c r="N1288">
        <v>0</v>
      </c>
      <c r="O1288">
        <v>-3.0899059999999999E-2</v>
      </c>
      <c r="P1288">
        <v>-0.97911749999999997</v>
      </c>
      <c r="Q1288">
        <v>0.11786969999999999</v>
      </c>
      <c r="R1288">
        <v>0.16563789999999901</v>
      </c>
      <c r="S1288">
        <v>-2.7478030000000002</v>
      </c>
      <c r="T1288">
        <v>0.49881049999999899</v>
      </c>
      <c r="U1288">
        <v>1.571655</v>
      </c>
      <c r="V1288">
        <v>0.19731370000000001</v>
      </c>
      <c r="W1288">
        <v>0.12751989999999999</v>
      </c>
      <c r="X1288">
        <v>0.97201130000000002</v>
      </c>
      <c r="Y1288">
        <v>0.51629659999999999</v>
      </c>
      <c r="Z1288">
        <v>-4.8454799999999999E-2</v>
      </c>
      <c r="AA1288">
        <v>0.85503799999999996</v>
      </c>
      <c r="AB1288">
        <v>30</v>
      </c>
      <c r="AC1288">
        <v>-0.37560000000001897</v>
      </c>
      <c r="AD1288">
        <v>0.119338</v>
      </c>
      <c r="AE1288">
        <v>0.38189999999997298</v>
      </c>
      <c r="AF1288">
        <v>0.37472454833906299</v>
      </c>
      <c r="AG1288">
        <v>0.119338</v>
      </c>
      <c r="AH1288">
        <v>0.34642444607981798</v>
      </c>
      <c r="AI1288">
        <v>76.837987811532301</v>
      </c>
      <c r="AJ1288">
        <v>42.752690730992597</v>
      </c>
      <c r="AK1288">
        <v>0.52408963185091095</v>
      </c>
      <c r="AL1288">
        <v>82.673699735935799</v>
      </c>
      <c r="AM1288">
        <v>78.525147066319903</v>
      </c>
      <c r="AN1288">
        <v>0.99999999421569497</v>
      </c>
    </row>
    <row r="1289" spans="1:40" x14ac:dyDescent="0.25">
      <c r="A1289" t="str">
        <f>"20190312164459238"</f>
        <v>20190312164459238</v>
      </c>
      <c r="B1289" t="str">
        <f>"1552380299232681"</f>
        <v>1552380299232681</v>
      </c>
      <c r="C1289" t="s">
        <v>40</v>
      </c>
      <c r="D1289">
        <v>5.4175870000000002</v>
      </c>
      <c r="E1289">
        <v>0.63893009999999995</v>
      </c>
      <c r="F1289" t="s">
        <v>41</v>
      </c>
      <c r="G1289">
        <v>-213.9041</v>
      </c>
      <c r="H1289">
        <v>1.2236</v>
      </c>
      <c r="I1289">
        <v>282.42250000000001</v>
      </c>
      <c r="J1289">
        <v>-213.55940000000001</v>
      </c>
      <c r="K1289">
        <v>1.104231</v>
      </c>
      <c r="L1289">
        <v>282.0428</v>
      </c>
      <c r="M1289">
        <v>-0.99959010000000004</v>
      </c>
      <c r="N1289">
        <v>0</v>
      </c>
      <c r="O1289">
        <v>-2.5923849999999998E-2</v>
      </c>
      <c r="P1289">
        <v>-0.97721480000000005</v>
      </c>
      <c r="Q1289">
        <v>0.1230084</v>
      </c>
      <c r="R1289">
        <v>0.1729755</v>
      </c>
      <c r="S1289">
        <v>-2.7323149999999998</v>
      </c>
      <c r="T1289">
        <v>0.50909199999999999</v>
      </c>
      <c r="U1289">
        <v>1.5983889999999901</v>
      </c>
      <c r="V1289">
        <v>0.19970570000000001</v>
      </c>
      <c r="W1289">
        <v>0.1326552</v>
      </c>
      <c r="X1289">
        <v>0.9708348</v>
      </c>
      <c r="Y1289">
        <v>0.5201055</v>
      </c>
      <c r="Z1289">
        <v>-4.9039840000000001E-2</v>
      </c>
      <c r="AA1289">
        <v>0.85269300000000003</v>
      </c>
      <c r="AB1289">
        <v>30</v>
      </c>
      <c r="AC1289">
        <v>-0.34469999999998802</v>
      </c>
      <c r="AD1289">
        <v>0.119369</v>
      </c>
      <c r="AE1289">
        <v>0.37970000000001303</v>
      </c>
      <c r="AF1289">
        <v>0.368541209156098</v>
      </c>
      <c r="AG1289">
        <v>0.119369</v>
      </c>
      <c r="AH1289">
        <v>0.31753585028067599</v>
      </c>
      <c r="AI1289">
        <v>76.213233816317697</v>
      </c>
      <c r="AJ1289">
        <v>40.748253690509898</v>
      </c>
      <c r="AK1289">
        <v>0.50089978760298004</v>
      </c>
      <c r="AL1289">
        <v>82.376946674735393</v>
      </c>
      <c r="AM1289">
        <v>78.376107490924397</v>
      </c>
      <c r="AN1289">
        <v>0.99999998879528396</v>
      </c>
    </row>
    <row r="1290" spans="1:40" x14ac:dyDescent="0.25">
      <c r="A1290" t="str">
        <f>"20190312164459260"</f>
        <v>20190312164459260</v>
      </c>
      <c r="B1290" t="str">
        <f>"1552380299253177"</f>
        <v>1552380299253177</v>
      </c>
      <c r="C1290" t="s">
        <v>40</v>
      </c>
      <c r="D1290">
        <v>5.4635040000000004</v>
      </c>
      <c r="E1290">
        <v>0.63936119999999996</v>
      </c>
      <c r="F1290" t="s">
        <v>41</v>
      </c>
      <c r="G1290">
        <v>-214.17080000000001</v>
      </c>
      <c r="H1290">
        <v>1.221328</v>
      </c>
      <c r="I1290">
        <v>282.4067</v>
      </c>
      <c r="J1290">
        <v>-213.8605</v>
      </c>
      <c r="K1290">
        <v>1.1045590000000001</v>
      </c>
      <c r="L1290">
        <v>282.0401</v>
      </c>
      <c r="M1290">
        <v>-0.99970159999999997</v>
      </c>
      <c r="N1290">
        <v>0</v>
      </c>
      <c r="O1290">
        <v>-2.1264290000000002E-2</v>
      </c>
      <c r="P1290">
        <v>-0.97516979999999998</v>
      </c>
      <c r="Q1290">
        <v>0.1298677</v>
      </c>
      <c r="R1290">
        <v>0.1793835</v>
      </c>
      <c r="S1290">
        <v>-2.7180629999999999</v>
      </c>
      <c r="T1290">
        <v>0.52055879999999999</v>
      </c>
      <c r="U1290">
        <v>1.617737</v>
      </c>
      <c r="V1290">
        <v>0.2015035</v>
      </c>
      <c r="W1290">
        <v>0.13950129999999999</v>
      </c>
      <c r="X1290">
        <v>0.9695028</v>
      </c>
      <c r="Y1290">
        <v>0.52227049999999997</v>
      </c>
      <c r="Z1290">
        <v>-4.9638769999999999E-2</v>
      </c>
      <c r="AA1290">
        <v>0.85133400000000004</v>
      </c>
      <c r="AB1290">
        <v>30</v>
      </c>
      <c r="AC1290">
        <v>-0.31030000000001201</v>
      </c>
      <c r="AD1290">
        <v>0.116768999999999</v>
      </c>
      <c r="AE1290">
        <v>0.36660000000000498</v>
      </c>
      <c r="AF1290">
        <v>0.352292762369392</v>
      </c>
      <c r="AG1290">
        <v>0.116768999999999</v>
      </c>
      <c r="AH1290">
        <v>0.28555533382679699</v>
      </c>
      <c r="AI1290">
        <v>75.560550428069504</v>
      </c>
      <c r="AJ1290">
        <v>39.0269310096796</v>
      </c>
      <c r="AK1290">
        <v>0.46828093966740802</v>
      </c>
      <c r="AL1290">
        <v>81.981010143737294</v>
      </c>
      <c r="AM1290">
        <v>78.258688408361905</v>
      </c>
      <c r="AN1290">
        <v>0.99999997621088899</v>
      </c>
    </row>
    <row r="1291" spans="1:40" x14ac:dyDescent="0.25">
      <c r="A1291" t="str">
        <f>"20190312164459283"</f>
        <v>20190312164459283</v>
      </c>
      <c r="B1291" t="str">
        <f>"1552380299272700"</f>
        <v>1552380299272700</v>
      </c>
      <c r="C1291" t="s">
        <v>40</v>
      </c>
      <c r="D1291">
        <v>5.3365039999999997</v>
      </c>
      <c r="E1291">
        <v>0.63890089999999999</v>
      </c>
      <c r="F1291" t="s">
        <v>41</v>
      </c>
      <c r="G1291">
        <v>-214.43780000000001</v>
      </c>
      <c r="H1291">
        <v>1.2201740000000001</v>
      </c>
      <c r="I1291">
        <v>282.39019999999999</v>
      </c>
      <c r="J1291">
        <v>-214.1728</v>
      </c>
      <c r="K1291">
        <v>1.104892</v>
      </c>
      <c r="L1291">
        <v>282.03840000000002</v>
      </c>
      <c r="M1291">
        <v>-0.99978840000000002</v>
      </c>
      <c r="N1291">
        <v>0</v>
      </c>
      <c r="O1291">
        <v>-1.6799140000000001E-2</v>
      </c>
      <c r="P1291">
        <v>-0.97344900000000001</v>
      </c>
      <c r="Q1291">
        <v>0.13603860000000001</v>
      </c>
      <c r="R1291">
        <v>0.18409500000000001</v>
      </c>
      <c r="S1291">
        <v>-2.7029879999999999</v>
      </c>
      <c r="T1291">
        <v>0.54118299999999997</v>
      </c>
      <c r="U1291">
        <v>1.638153</v>
      </c>
      <c r="V1291">
        <v>0.201797</v>
      </c>
      <c r="W1291">
        <v>0.1456694</v>
      </c>
      <c r="X1291">
        <v>0.96853420000000001</v>
      </c>
      <c r="Y1291">
        <v>0.52469069999999995</v>
      </c>
      <c r="Z1291">
        <v>-5.1129800000000003E-2</v>
      </c>
      <c r="AA1291">
        <v>0.84975610000000001</v>
      </c>
      <c r="AB1291">
        <v>30</v>
      </c>
      <c r="AC1291">
        <v>-0.265000000000014</v>
      </c>
      <c r="AD1291">
        <v>0.115281999999999</v>
      </c>
      <c r="AE1291">
        <v>0.35179999999996803</v>
      </c>
      <c r="AF1291">
        <v>0.33336400144147699</v>
      </c>
      <c r="AG1291">
        <v>0.115281999999999</v>
      </c>
      <c r="AH1291">
        <v>0.24244273670067501</v>
      </c>
      <c r="AI1291">
        <v>74.375079273513805</v>
      </c>
      <c r="AJ1291">
        <v>36.026945110457298</v>
      </c>
      <c r="AK1291">
        <v>0.428018664966828</v>
      </c>
      <c r="AL1291">
        <v>81.623955847150896</v>
      </c>
      <c r="AM1291">
        <v>78.230631477771894</v>
      </c>
      <c r="AN1291">
        <v>1.0000000499374899</v>
      </c>
    </row>
    <row r="1292" spans="1:40" x14ac:dyDescent="0.25">
      <c r="A1292" t="str">
        <f>"20190312164459304"</f>
        <v>20190312164459304</v>
      </c>
      <c r="B1292" t="str">
        <f>"1552380299293196"</f>
        <v>1552380299293196</v>
      </c>
      <c r="C1292" t="s">
        <v>40</v>
      </c>
      <c r="D1292">
        <v>5.2376860000000001</v>
      </c>
      <c r="E1292">
        <v>0.63772700000000004</v>
      </c>
      <c r="F1292" t="s">
        <v>41</v>
      </c>
      <c r="G1292">
        <v>-214.70490000000001</v>
      </c>
      <c r="H1292">
        <v>1.214682</v>
      </c>
      <c r="I1292">
        <v>282.36399999999998</v>
      </c>
      <c r="J1292">
        <v>-214.45509999999999</v>
      </c>
      <c r="K1292">
        <v>1.105183</v>
      </c>
      <c r="L1292">
        <v>282.03769999999997</v>
      </c>
      <c r="M1292">
        <v>-0.99984569999999995</v>
      </c>
      <c r="N1292">
        <v>0</v>
      </c>
      <c r="O1292">
        <v>-1.3064360000000001E-2</v>
      </c>
      <c r="P1292">
        <v>-0.97216089999999999</v>
      </c>
      <c r="Q1292">
        <v>0.14180039999999999</v>
      </c>
      <c r="R1292">
        <v>0.1865368</v>
      </c>
      <c r="S1292">
        <v>-2.69278</v>
      </c>
      <c r="T1292">
        <v>0.55545080000000002</v>
      </c>
      <c r="U1292">
        <v>1.6467590000000001</v>
      </c>
      <c r="V1292">
        <v>0.20054669999999999</v>
      </c>
      <c r="W1292">
        <v>0.151437299999999</v>
      </c>
      <c r="X1292">
        <v>0.96790900000000002</v>
      </c>
      <c r="Y1292">
        <v>0.52454460000000003</v>
      </c>
      <c r="Z1292">
        <v>-5.1865439999999999E-2</v>
      </c>
      <c r="AA1292">
        <v>0.84980169999999999</v>
      </c>
      <c r="AB1292">
        <v>30</v>
      </c>
      <c r="AC1292">
        <v>-0.24980000000002101</v>
      </c>
      <c r="AD1292">
        <v>0.109499</v>
      </c>
      <c r="AE1292">
        <v>0.32630000000005999</v>
      </c>
      <c r="AF1292">
        <v>0.30768963524786902</v>
      </c>
      <c r="AG1292">
        <v>0.109499</v>
      </c>
      <c r="AH1292">
        <v>0.229239305642923</v>
      </c>
      <c r="AI1292">
        <v>74.072384819138605</v>
      </c>
      <c r="AJ1292">
        <v>36.687371315934797</v>
      </c>
      <c r="AK1292">
        <v>0.39901579153163302</v>
      </c>
      <c r="AL1292">
        <v>81.289770910402893</v>
      </c>
      <c r="AM1292">
        <v>78.294188791874205</v>
      </c>
      <c r="AN1292">
        <v>1.00000003349658</v>
      </c>
    </row>
    <row r="1293" spans="1:40" x14ac:dyDescent="0.25">
      <c r="A1293" t="str">
        <f>"20190312164459317"</f>
        <v>20190312164459317</v>
      </c>
      <c r="B1293" t="str">
        <f>"1552380299312713"</f>
        <v>1552380299312713</v>
      </c>
      <c r="C1293" t="s">
        <v>40</v>
      </c>
      <c r="D1293">
        <v>5.4614140000000004</v>
      </c>
      <c r="E1293">
        <v>0.63713580000000003</v>
      </c>
      <c r="F1293" t="s">
        <v>41</v>
      </c>
      <c r="G1293">
        <v>-214.9727</v>
      </c>
      <c r="H1293">
        <v>1.2143389999999901</v>
      </c>
      <c r="I1293">
        <v>282.35430000000002</v>
      </c>
      <c r="J1293">
        <v>-214.62209999999999</v>
      </c>
      <c r="K1293">
        <v>1.1053489999999999</v>
      </c>
      <c r="L1293">
        <v>282.03769999999997</v>
      </c>
      <c r="M1293">
        <v>-0.99987170000000003</v>
      </c>
      <c r="N1293">
        <v>0</v>
      </c>
      <c r="O1293">
        <v>-1.099229E-2</v>
      </c>
      <c r="P1293">
        <v>-0.97162150000000003</v>
      </c>
      <c r="Q1293">
        <v>0.14474589999999901</v>
      </c>
      <c r="R1293">
        <v>0.1870839</v>
      </c>
      <c r="S1293">
        <v>-2.687881</v>
      </c>
      <c r="T1293">
        <v>0.56679440000000003</v>
      </c>
      <c r="U1293">
        <v>1.643524</v>
      </c>
      <c r="V1293">
        <v>0.199043</v>
      </c>
      <c r="W1293">
        <v>0.15439</v>
      </c>
      <c r="X1293">
        <v>0.96775290000000003</v>
      </c>
      <c r="Y1293">
        <v>0.52243409999999901</v>
      </c>
      <c r="Z1293">
        <v>-5.2400059999999998E-2</v>
      </c>
      <c r="AA1293">
        <v>0.85106809999999999</v>
      </c>
      <c r="AB1293">
        <v>30</v>
      </c>
      <c r="AC1293">
        <v>-0.35060000000001401</v>
      </c>
      <c r="AD1293">
        <v>0.108989999999999</v>
      </c>
      <c r="AE1293">
        <v>0.31660000000005001</v>
      </c>
      <c r="AF1293">
        <v>0.30424001750165203</v>
      </c>
      <c r="AG1293">
        <v>0.108989999999999</v>
      </c>
      <c r="AH1293">
        <v>0.32955582282995699</v>
      </c>
      <c r="AI1293">
        <v>76.341857336701594</v>
      </c>
      <c r="AJ1293">
        <v>47.287358245036003</v>
      </c>
      <c r="AK1293">
        <v>0.46157106572069201</v>
      </c>
      <c r="AL1293">
        <v>81.118580306837998</v>
      </c>
      <c r="AM1293">
        <v>78.377739823623202</v>
      </c>
      <c r="AN1293">
        <v>1.0000000317037001</v>
      </c>
    </row>
    <row r="1294" spans="1:40" x14ac:dyDescent="0.25">
      <c r="A1294" t="str">
        <f>"20190312164459338"</f>
        <v>20190312164459338</v>
      </c>
      <c r="B1294" t="str">
        <f>"1552380299333209"</f>
        <v>1552380299333209</v>
      </c>
      <c r="C1294" t="s">
        <v>40</v>
      </c>
      <c r="D1294">
        <v>5.3949629999999997</v>
      </c>
      <c r="E1294">
        <v>0.63733059999999997</v>
      </c>
      <c r="F1294" t="s">
        <v>41</v>
      </c>
      <c r="G1294">
        <v>-215.24170000000001</v>
      </c>
      <c r="H1294">
        <v>1.2356400000000001</v>
      </c>
      <c r="I1294">
        <v>282.416</v>
      </c>
      <c r="J1294">
        <v>-214.90629999999999</v>
      </c>
      <c r="K1294">
        <v>1.1056170000000001</v>
      </c>
      <c r="L1294">
        <v>282.03820000000002</v>
      </c>
      <c r="M1294">
        <v>-0.99990440000000003</v>
      </c>
      <c r="N1294">
        <v>0</v>
      </c>
      <c r="O1294">
        <v>-7.6639400000000002E-3</v>
      </c>
      <c r="P1294">
        <v>-0.97086269999999997</v>
      </c>
      <c r="Q1294">
        <v>0.15105439999999901</v>
      </c>
      <c r="R1294">
        <v>0.1860328</v>
      </c>
      <c r="S1294">
        <v>-2.6876679999999999</v>
      </c>
      <c r="T1294">
        <v>0.56505869999999903</v>
      </c>
      <c r="U1294">
        <v>1.6399840000000001</v>
      </c>
      <c r="V1294">
        <v>0.19470699999999999</v>
      </c>
      <c r="W1294">
        <v>0.16071540000000001</v>
      </c>
      <c r="X1294">
        <v>0.96760520000000005</v>
      </c>
      <c r="Y1294">
        <v>0.51897990000000005</v>
      </c>
      <c r="Z1294">
        <v>-5.1290479999999999E-2</v>
      </c>
      <c r="AA1294">
        <v>0.85324630000000001</v>
      </c>
      <c r="AB1294">
        <v>30</v>
      </c>
      <c r="AC1294">
        <v>-0.33540000000002101</v>
      </c>
      <c r="AD1294">
        <v>0.130023</v>
      </c>
      <c r="AE1294">
        <v>0.37779999999997899</v>
      </c>
      <c r="AF1294">
        <v>0.356730027039322</v>
      </c>
      <c r="AG1294">
        <v>0.130023</v>
      </c>
      <c r="AH1294">
        <v>0.31183856543583399</v>
      </c>
      <c r="AI1294">
        <v>74.654761784603195</v>
      </c>
      <c r="AJ1294">
        <v>41.158604692961703</v>
      </c>
      <c r="AK1294">
        <v>0.49133042203140098</v>
      </c>
      <c r="AL1294">
        <v>80.751577344575907</v>
      </c>
      <c r="AM1294">
        <v>78.622559006029505</v>
      </c>
      <c r="AN1294">
        <v>1.00000003935659</v>
      </c>
    </row>
    <row r="1295" spans="1:40" x14ac:dyDescent="0.25">
      <c r="A1295" t="str">
        <f>"20190312164459350"</f>
        <v>20190312164459350</v>
      </c>
      <c r="B1295" t="str">
        <f>"1552380299342969"</f>
        <v>1552380299342969</v>
      </c>
      <c r="C1295" t="s">
        <v>40</v>
      </c>
      <c r="D1295">
        <v>5.4464169999999896</v>
      </c>
      <c r="E1295">
        <v>0.63714939999999998</v>
      </c>
      <c r="F1295" t="s">
        <v>41</v>
      </c>
      <c r="G1295">
        <v>-215.50989999999999</v>
      </c>
      <c r="H1295">
        <v>1.234429</v>
      </c>
      <c r="I1295">
        <v>282.40640000000002</v>
      </c>
      <c r="J1295">
        <v>-215.0806</v>
      </c>
      <c r="K1295">
        <v>1.1057760000000001</v>
      </c>
      <c r="L1295">
        <v>282.03879999999998</v>
      </c>
      <c r="M1295">
        <v>-0.99991850000000004</v>
      </c>
      <c r="N1295">
        <v>0</v>
      </c>
      <c r="O1295">
        <v>-5.7292860000000001E-3</v>
      </c>
      <c r="P1295">
        <v>-0.97065500000000005</v>
      </c>
      <c r="Q1295">
        <v>0.15357499999999999</v>
      </c>
      <c r="R1295">
        <v>0.18505070000000001</v>
      </c>
      <c r="S1295">
        <v>-2.6870270000000001</v>
      </c>
      <c r="T1295">
        <v>0.57322410000000001</v>
      </c>
      <c r="U1295">
        <v>1.6376040000000001</v>
      </c>
      <c r="V1295">
        <v>0.19180610000000001</v>
      </c>
      <c r="W1295">
        <v>0.16324549999999999</v>
      </c>
      <c r="X1295">
        <v>0.96776099999999998</v>
      </c>
      <c r="Y1295">
        <v>0.51669489999999996</v>
      </c>
      <c r="Z1295">
        <v>-5.1440239999999998E-2</v>
      </c>
      <c r="AA1295">
        <v>0.85462289999999996</v>
      </c>
      <c r="AB1295">
        <v>30</v>
      </c>
      <c r="AC1295">
        <v>-0.42929999999998297</v>
      </c>
      <c r="AD1295">
        <v>0.12865299999999899</v>
      </c>
      <c r="AE1295">
        <v>0.36760000000003801</v>
      </c>
      <c r="AF1295">
        <v>0.351823511134981</v>
      </c>
      <c r="AG1295">
        <v>0.12865299999999899</v>
      </c>
      <c r="AH1295">
        <v>0.40614195179508</v>
      </c>
      <c r="AI1295">
        <v>76.535312137427695</v>
      </c>
      <c r="AJ1295">
        <v>49.099007344300396</v>
      </c>
      <c r="AK1295">
        <v>0.55252390211126901</v>
      </c>
      <c r="AL1295">
        <v>80.604672987263498</v>
      </c>
      <c r="AM1295">
        <v>78.789502821393299</v>
      </c>
      <c r="AN1295">
        <v>1.0000000131942299</v>
      </c>
    </row>
    <row r="1296" spans="1:40" x14ac:dyDescent="0.25">
      <c r="A1296" t="str">
        <f>"20190312164459362"</f>
        <v>20190312164459362</v>
      </c>
      <c r="B1296" t="str">
        <f>"1552380299352729"</f>
        <v>1552380299352729</v>
      </c>
      <c r="C1296" t="s">
        <v>40</v>
      </c>
      <c r="D1296">
        <v>5.8432389999999996</v>
      </c>
      <c r="E1296">
        <v>0.63714939999999998</v>
      </c>
      <c r="F1296" t="s">
        <v>49</v>
      </c>
      <c r="G1296">
        <v>-263.19240000000002</v>
      </c>
      <c r="H1296">
        <v>11.299110000000001</v>
      </c>
      <c r="I1296">
        <v>311.2525</v>
      </c>
      <c r="J1296">
        <v>-215.24510000000001</v>
      </c>
      <c r="K1296">
        <v>1.1059129999999999</v>
      </c>
      <c r="L1296">
        <v>282.03960000000001</v>
      </c>
      <c r="M1296">
        <v>-0.99992760000000003</v>
      </c>
      <c r="N1296">
        <v>0</v>
      </c>
      <c r="O1296">
        <v>-4.0112990000000003E-3</v>
      </c>
      <c r="P1296">
        <v>-0.97054640000000003</v>
      </c>
      <c r="Q1296">
        <v>0.1565232</v>
      </c>
      <c r="R1296">
        <v>0.18313960000000001</v>
      </c>
      <c r="S1296">
        <v>-2.68927</v>
      </c>
      <c r="T1296">
        <v>0.56976969999999905</v>
      </c>
      <c r="U1296">
        <v>1.632935</v>
      </c>
      <c r="V1296">
        <v>0.1881969</v>
      </c>
      <c r="W1296">
        <v>0.1662052</v>
      </c>
      <c r="X1296">
        <v>0.96796579999999999</v>
      </c>
      <c r="Y1296">
        <v>0.51400970000000001</v>
      </c>
      <c r="Z1296">
        <v>-5.0527790000000003E-2</v>
      </c>
      <c r="AA1296">
        <v>0.85629489999999997</v>
      </c>
      <c r="AB1296">
        <v>30</v>
      </c>
      <c r="AC1296">
        <v>-47.947299999999998</v>
      </c>
      <c r="AD1296">
        <v>10.193197</v>
      </c>
      <c r="AE1296">
        <v>29.212899999999902</v>
      </c>
      <c r="AF1296">
        <v>28.466742336274699</v>
      </c>
      <c r="AG1296">
        <v>10.193197</v>
      </c>
      <c r="AH1296">
        <v>46.303556326374597</v>
      </c>
      <c r="AI1296">
        <v>79.378519974187299</v>
      </c>
      <c r="AJ1296">
        <v>58.417413776078099</v>
      </c>
      <c r="AK1296">
        <v>55.301681826056601</v>
      </c>
      <c r="AL1296">
        <v>80.432746014245495</v>
      </c>
      <c r="AM1296">
        <v>78.997524131834297</v>
      </c>
      <c r="AN1296">
        <v>1.0000000158231399</v>
      </c>
    </row>
    <row r="1297" spans="1:40" x14ac:dyDescent="0.25">
      <c r="A1297" t="str">
        <f>"20190312164459474"</f>
        <v>20190312164459474</v>
      </c>
      <c r="B1297" t="str">
        <f>"1552380299463017"</f>
        <v>1552380299463017</v>
      </c>
      <c r="C1297" t="s">
        <v>40</v>
      </c>
      <c r="D1297">
        <v>5.1248100000000001</v>
      </c>
      <c r="E1297">
        <v>0.41982320000000001</v>
      </c>
      <c r="F1297" t="s">
        <v>50</v>
      </c>
      <c r="G1297">
        <v>-410.12459999999999</v>
      </c>
      <c r="H1297">
        <v>45.742550000000001</v>
      </c>
      <c r="I1297">
        <v>392.91379999999998</v>
      </c>
      <c r="J1297">
        <v>-216.75319999999999</v>
      </c>
      <c r="K1297">
        <v>1.106884</v>
      </c>
      <c r="L1297">
        <v>282.05549999999999</v>
      </c>
      <c r="M1297">
        <v>-0.99990610000000002</v>
      </c>
      <c r="N1297">
        <v>0</v>
      </c>
      <c r="O1297">
        <v>8.5329849999999999E-3</v>
      </c>
      <c r="P1297">
        <v>-0.97414469999999997</v>
      </c>
      <c r="Q1297">
        <v>0.1685458</v>
      </c>
      <c r="R1297">
        <v>0.150447</v>
      </c>
      <c r="S1297">
        <v>-2.720993</v>
      </c>
      <c r="T1297">
        <v>0.62708319999999995</v>
      </c>
      <c r="U1297">
        <v>1.5574950000000001</v>
      </c>
      <c r="V1297">
        <v>0.1429483</v>
      </c>
      <c r="W1297">
        <v>0.178341</v>
      </c>
      <c r="X1297">
        <v>0.9735298</v>
      </c>
      <c r="Y1297">
        <v>0.48002280000000003</v>
      </c>
      <c r="Z1297">
        <v>-4.9054210000000001E-2</v>
      </c>
      <c r="AA1297">
        <v>0.87588339999999998</v>
      </c>
      <c r="AB1297">
        <v>30</v>
      </c>
      <c r="AC1297">
        <v>-193.37139999999999</v>
      </c>
      <c r="AD1297">
        <v>44.635666000000001</v>
      </c>
      <c r="AE1297">
        <v>110.8583</v>
      </c>
      <c r="AF1297">
        <v>104.99369190197901</v>
      </c>
      <c r="AG1297">
        <v>44.635666000000001</v>
      </c>
      <c r="AH1297">
        <v>186.818594105638</v>
      </c>
      <c r="AI1297">
        <v>78.234362758435793</v>
      </c>
      <c r="AJ1297">
        <v>60.663630588565802</v>
      </c>
      <c r="AK1297">
        <v>218.89998885810499</v>
      </c>
      <c r="AL1297">
        <v>79.726857361679095</v>
      </c>
      <c r="AM1297">
        <v>81.646663970642805</v>
      </c>
      <c r="AN1297">
        <v>1.0000000001209599</v>
      </c>
    </row>
    <row r="1298" spans="1:40" x14ac:dyDescent="0.25">
      <c r="A1298" t="str">
        <f>"20190312164459494"</f>
        <v>20190312164459494</v>
      </c>
      <c r="B1298" t="str">
        <f>"1552380299482540"</f>
        <v>1552380299482540</v>
      </c>
      <c r="C1298" t="s">
        <v>40</v>
      </c>
      <c r="D1298">
        <v>5.2177959999999999</v>
      </c>
      <c r="E1298">
        <v>0.43170609999999998</v>
      </c>
      <c r="F1298" t="s">
        <v>41</v>
      </c>
      <c r="G1298">
        <v>-217.66309999999999</v>
      </c>
      <c r="H1298">
        <v>0.9997241</v>
      </c>
      <c r="I1298">
        <v>282.00130000000001</v>
      </c>
      <c r="J1298">
        <v>-217.02199999999999</v>
      </c>
      <c r="K1298">
        <v>1.107019</v>
      </c>
      <c r="L1298">
        <v>282.05959999999999</v>
      </c>
      <c r="M1298">
        <v>-0.99989139999999999</v>
      </c>
      <c r="N1298">
        <v>0</v>
      </c>
      <c r="O1298">
        <v>1.0211319999999999E-2</v>
      </c>
      <c r="P1298">
        <v>-0.97513459999999996</v>
      </c>
      <c r="Q1298">
        <v>0.1693614</v>
      </c>
      <c r="R1298">
        <v>0.1429309</v>
      </c>
      <c r="S1298">
        <v>-3.1735229999999999</v>
      </c>
      <c r="T1298">
        <v>-0.37375659999999999</v>
      </c>
      <c r="U1298">
        <v>-0.18914790000000001</v>
      </c>
      <c r="V1298">
        <v>0.1337226</v>
      </c>
      <c r="W1298">
        <v>0.17917049999999901</v>
      </c>
      <c r="X1298">
        <v>0.97468779999999999</v>
      </c>
      <c r="Y1298">
        <v>-6.9140430000000003E-2</v>
      </c>
      <c r="Z1298">
        <v>-5.2514429999999997E-3</v>
      </c>
      <c r="AA1298">
        <v>0.99759310000000001</v>
      </c>
      <c r="AB1298">
        <v>30</v>
      </c>
      <c r="AC1298">
        <v>-0.64109999999996603</v>
      </c>
      <c r="AD1298">
        <v>-0.107294899999999</v>
      </c>
      <c r="AE1298">
        <v>-5.8299999999974199E-2</v>
      </c>
      <c r="AF1298">
        <v>-6.3091144330458399E-2</v>
      </c>
      <c r="AG1298">
        <v>-0.107294899999999</v>
      </c>
      <c r="AH1298">
        <v>0.62315992732349801</v>
      </c>
      <c r="AI1298">
        <v>99.720591122837405</v>
      </c>
      <c r="AJ1298">
        <v>95.781149256480006</v>
      </c>
      <c r="AK1298">
        <v>0.63546910474134299</v>
      </c>
      <c r="AL1298">
        <v>79.678553056591795</v>
      </c>
      <c r="AM1298">
        <v>82.188057418639204</v>
      </c>
      <c r="AN1298">
        <v>1.0000000546449199</v>
      </c>
    </row>
    <row r="1299" spans="1:40" x14ac:dyDescent="0.25">
      <c r="A1299" t="str">
        <f>"20190312164459507"</f>
        <v>20190312164459507</v>
      </c>
      <c r="B1299" t="str">
        <f>"1552380299503033"</f>
        <v>1552380299503033</v>
      </c>
      <c r="C1299" t="s">
        <v>40</v>
      </c>
      <c r="D1299">
        <v>5.1991209999999999</v>
      </c>
      <c r="E1299">
        <v>0.43957669999999999</v>
      </c>
      <c r="F1299" t="s">
        <v>47</v>
      </c>
      <c r="G1299">
        <v>-228.83949999999999</v>
      </c>
      <c r="H1299" s="1">
        <v>3.167158E-6</v>
      </c>
      <c r="I1299">
        <v>281.61340000000001</v>
      </c>
      <c r="J1299">
        <v>-217.20529999999999</v>
      </c>
      <c r="K1299">
        <v>1.1071150000000001</v>
      </c>
      <c r="L1299">
        <v>282.0625</v>
      </c>
      <c r="M1299">
        <v>-0.99988089999999996</v>
      </c>
      <c r="N1299">
        <v>0</v>
      </c>
      <c r="O1299">
        <v>1.12686E-2</v>
      </c>
      <c r="P1299">
        <v>-0.97571160000000001</v>
      </c>
      <c r="Q1299">
        <v>0.16906959999999999</v>
      </c>
      <c r="R1299">
        <v>0.1392938</v>
      </c>
      <c r="S1299">
        <v>-3.1450809999999998</v>
      </c>
      <c r="T1299">
        <v>-0.29461910000000002</v>
      </c>
      <c r="U1299">
        <v>-0.1187439</v>
      </c>
      <c r="V1299">
        <v>0.12900019999999901</v>
      </c>
      <c r="W1299">
        <v>0.1788777</v>
      </c>
      <c r="X1299">
        <v>0.97537770000000001</v>
      </c>
      <c r="Y1299">
        <v>-4.8725060000000001E-2</v>
      </c>
      <c r="Z1299">
        <v>-3.3294169999999999E-3</v>
      </c>
      <c r="AA1299">
        <v>0.99880670000000005</v>
      </c>
      <c r="AB1299">
        <v>30</v>
      </c>
      <c r="AC1299">
        <v>-11.6341999999999</v>
      </c>
      <c r="AD1299">
        <v>-1.107111832842</v>
      </c>
      <c r="AE1299">
        <v>-0.44909999999998701</v>
      </c>
      <c r="AF1299">
        <v>-0.57498095537696003</v>
      </c>
      <c r="AG1299">
        <v>-1.107111832842</v>
      </c>
      <c r="AH1299">
        <v>11.5241987107906</v>
      </c>
      <c r="AI1299">
        <v>95.480700278123507</v>
      </c>
      <c r="AJ1299">
        <v>92.856310212300002</v>
      </c>
      <c r="AK1299">
        <v>11.5915251643281</v>
      </c>
      <c r="AL1299">
        <v>79.695603857628996</v>
      </c>
      <c r="AM1299">
        <v>82.465976280374804</v>
      </c>
      <c r="AN1299">
        <v>0.99999997040730904</v>
      </c>
    </row>
    <row r="1300" spans="1:40" x14ac:dyDescent="0.25">
      <c r="A1300" t="str">
        <f>"20190312164459528"</f>
        <v>20190312164459528</v>
      </c>
      <c r="B1300" t="str">
        <f>"1552380299522553"</f>
        <v>1552380299522553</v>
      </c>
      <c r="C1300" t="s">
        <v>40</v>
      </c>
      <c r="D1300">
        <v>5.3179610000000004</v>
      </c>
      <c r="E1300">
        <v>0.44391730000000001</v>
      </c>
      <c r="F1300" t="s">
        <v>47</v>
      </c>
      <c r="G1300">
        <v>-231.3725</v>
      </c>
      <c r="H1300" s="1">
        <v>-6.8123579999999999E-7</v>
      </c>
      <c r="I1300">
        <v>281.75240000000002</v>
      </c>
      <c r="J1300">
        <v>-217.4837</v>
      </c>
      <c r="K1300">
        <v>1.107281</v>
      </c>
      <c r="L1300">
        <v>282.06729999999999</v>
      </c>
      <c r="M1300">
        <v>-0.99986470000000005</v>
      </c>
      <c r="N1300">
        <v>0</v>
      </c>
      <c r="O1300">
        <v>1.2683460000000001E-2</v>
      </c>
      <c r="P1300">
        <v>-0.97685829999999996</v>
      </c>
      <c r="Q1300">
        <v>0.168808399999999</v>
      </c>
      <c r="R1300">
        <v>0.13134599999999999</v>
      </c>
      <c r="S1300">
        <v>-3.1268009999999999</v>
      </c>
      <c r="T1300">
        <v>-0.24434790000000001</v>
      </c>
      <c r="U1300">
        <v>-6.8450929999999993E-2</v>
      </c>
      <c r="V1300">
        <v>0.1195814</v>
      </c>
      <c r="W1300">
        <v>0.17862430000000001</v>
      </c>
      <c r="X1300">
        <v>0.97662360000000004</v>
      </c>
      <c r="Y1300">
        <v>-3.4422250000000001E-2</v>
      </c>
      <c r="Z1300">
        <v>-2.332387E-3</v>
      </c>
      <c r="AA1300">
        <v>0.99940469999999904</v>
      </c>
      <c r="AB1300">
        <v>30</v>
      </c>
      <c r="AC1300">
        <v>-13.8888</v>
      </c>
      <c r="AD1300">
        <v>-1.1072816812358</v>
      </c>
      <c r="AE1300">
        <v>-0.31489999999996598</v>
      </c>
      <c r="AF1300">
        <v>-0.48794258030620502</v>
      </c>
      <c r="AG1300">
        <v>-1.1072816812358</v>
      </c>
      <c r="AH1300">
        <v>13.796045251342001</v>
      </c>
      <c r="AI1300">
        <v>94.585913723994395</v>
      </c>
      <c r="AJ1300">
        <v>92.025609616351105</v>
      </c>
      <c r="AK1300">
        <v>13.8490080966238</v>
      </c>
      <c r="AL1300">
        <v>79.710360619012803</v>
      </c>
      <c r="AM1300">
        <v>83.019241032988305</v>
      </c>
      <c r="AN1300">
        <v>1.0000000039267001</v>
      </c>
    </row>
    <row r="1301" spans="1:40" x14ac:dyDescent="0.25">
      <c r="A1301" t="str">
        <f>"20190312164459551"</f>
        <v>20190312164459551</v>
      </c>
      <c r="B1301" t="str">
        <f>"1552380299543049"</f>
        <v>1552380299543049</v>
      </c>
      <c r="C1301" t="s">
        <v>40</v>
      </c>
      <c r="D1301">
        <v>5.3990130000000001</v>
      </c>
      <c r="E1301">
        <v>0.44706089999999998</v>
      </c>
      <c r="F1301" t="s">
        <v>47</v>
      </c>
      <c r="G1301">
        <v>-233.0059</v>
      </c>
      <c r="H1301" s="1">
        <v>1.8718029999999999E-7</v>
      </c>
      <c r="I1301">
        <v>281.77080000000001</v>
      </c>
      <c r="J1301">
        <v>-217.79839999999999</v>
      </c>
      <c r="K1301">
        <v>1.1074949999999999</v>
      </c>
      <c r="L1301">
        <v>282.07279999999997</v>
      </c>
      <c r="M1301">
        <v>-0.99984859999999998</v>
      </c>
      <c r="N1301">
        <v>0</v>
      </c>
      <c r="O1301">
        <v>1.3976840000000001E-2</v>
      </c>
      <c r="P1301">
        <v>-0.97797909999999999</v>
      </c>
      <c r="Q1301">
        <v>0.16794049999999999</v>
      </c>
      <c r="R1301">
        <v>0.1239075</v>
      </c>
      <c r="S1301">
        <v>-3.1175079999999999</v>
      </c>
      <c r="T1301">
        <v>-0.22238849999999999</v>
      </c>
      <c r="U1301">
        <v>-5.9539790000000002E-2</v>
      </c>
      <c r="V1301">
        <v>0.1107616</v>
      </c>
      <c r="W1301">
        <v>0.17775260000000001</v>
      </c>
      <c r="X1301">
        <v>0.97782199999999997</v>
      </c>
      <c r="Y1301">
        <v>-3.2949010000000001E-2</v>
      </c>
      <c r="Z1301">
        <v>-2.1693659999999998E-3</v>
      </c>
      <c r="AA1301">
        <v>0.99945470000000003</v>
      </c>
      <c r="AB1301">
        <v>30</v>
      </c>
      <c r="AC1301">
        <v>-15.2075</v>
      </c>
      <c r="AD1301">
        <v>-1.1074948128197</v>
      </c>
      <c r="AE1301">
        <v>-0.30199999999996402</v>
      </c>
      <c r="AF1301">
        <v>-0.51182130262245296</v>
      </c>
      <c r="AG1301">
        <v>-1.1074948128197</v>
      </c>
      <c r="AH1301">
        <v>15.1216262412548</v>
      </c>
      <c r="AI1301">
        <v>94.186425601046906</v>
      </c>
      <c r="AJ1301">
        <v>91.938548753888</v>
      </c>
      <c r="AK1301">
        <v>15.1707641859745</v>
      </c>
      <c r="AL1301">
        <v>79.761117516731602</v>
      </c>
      <c r="AM1301">
        <v>83.537436465810302</v>
      </c>
      <c r="AN1301">
        <v>0.99999999126265904</v>
      </c>
    </row>
    <row r="1302" spans="1:40" x14ac:dyDescent="0.25">
      <c r="A1302" t="str">
        <f>"20190312164459563"</f>
        <v>20190312164459563</v>
      </c>
      <c r="B1302" t="str">
        <f>"1552380299552809"</f>
        <v>1552380299552809</v>
      </c>
      <c r="C1302" t="s">
        <v>40</v>
      </c>
      <c r="D1302">
        <v>5.2543530000000001</v>
      </c>
      <c r="E1302">
        <v>0.44840219999999997</v>
      </c>
      <c r="F1302" t="s">
        <v>47</v>
      </c>
      <c r="G1302">
        <v>-233.75309999999999</v>
      </c>
      <c r="H1302" s="1">
        <v>5.8468709999999999E-7</v>
      </c>
      <c r="I1302">
        <v>281.77339999999998</v>
      </c>
      <c r="J1302">
        <v>-217.97210000000001</v>
      </c>
      <c r="K1302">
        <v>1.107623</v>
      </c>
      <c r="L1302">
        <v>282.07580000000002</v>
      </c>
      <c r="M1302">
        <v>-0.99984099999999998</v>
      </c>
      <c r="N1302">
        <v>0</v>
      </c>
      <c r="O1302">
        <v>1.4554640000000001E-2</v>
      </c>
      <c r="P1302">
        <v>-0.97847609999999996</v>
      </c>
      <c r="Q1302">
        <v>0.16786699999999999</v>
      </c>
      <c r="R1302">
        <v>0.120022</v>
      </c>
      <c r="S1302">
        <v>-3.1120299999999999</v>
      </c>
      <c r="T1302">
        <v>-0.21602180000000001</v>
      </c>
      <c r="U1302">
        <v>-5.8380130000000002E-2</v>
      </c>
      <c r="V1302">
        <v>0.1062443</v>
      </c>
      <c r="W1302">
        <v>0.17767330000000001</v>
      </c>
      <c r="X1302">
        <v>0.97833749999999997</v>
      </c>
      <c r="Y1302">
        <v>-3.3192199999999998E-2</v>
      </c>
      <c r="Z1302">
        <v>-2.1596039999999999E-3</v>
      </c>
      <c r="AA1302">
        <v>0.99944659999999996</v>
      </c>
      <c r="AB1302">
        <v>30</v>
      </c>
      <c r="AC1302">
        <v>-15.780999999999899</v>
      </c>
      <c r="AD1302">
        <v>-1.1076224153129</v>
      </c>
      <c r="AE1302">
        <v>-0.30240000000003397</v>
      </c>
      <c r="AF1302">
        <v>-0.52945964791767297</v>
      </c>
      <c r="AG1302">
        <v>-1.1076224153129</v>
      </c>
      <c r="AH1302">
        <v>15.6976249915165</v>
      </c>
      <c r="AI1302">
        <v>94.033807354472401</v>
      </c>
      <c r="AJ1302">
        <v>91.931776785028106</v>
      </c>
      <c r="AK1302">
        <v>15.745557637249901</v>
      </c>
      <c r="AL1302">
        <v>79.765734224202902</v>
      </c>
      <c r="AM1302">
        <v>83.802151097948695</v>
      </c>
      <c r="AN1302">
        <v>0.99999995836081401</v>
      </c>
    </row>
    <row r="1303" spans="1:40" x14ac:dyDescent="0.25">
      <c r="A1303" t="str">
        <f>"20190312164459585"</f>
        <v>20190312164459585</v>
      </c>
      <c r="B1303" t="str">
        <f>"1552380299583065"</f>
        <v>1552380299583065</v>
      </c>
      <c r="C1303" t="s">
        <v>40</v>
      </c>
      <c r="D1303">
        <v>5.3694709999999999</v>
      </c>
      <c r="E1303">
        <v>0.4515422</v>
      </c>
      <c r="F1303" t="s">
        <v>47</v>
      </c>
      <c r="G1303">
        <v>-234.08840000000001</v>
      </c>
      <c r="H1303" s="1">
        <v>7.6346700000000002E-7</v>
      </c>
      <c r="I1303">
        <v>281.76600000000002</v>
      </c>
      <c r="J1303">
        <v>-218.25810000000001</v>
      </c>
      <c r="K1303">
        <v>1.1078239999999999</v>
      </c>
      <c r="L1303">
        <v>282.08089999999999</v>
      </c>
      <c r="M1303">
        <v>-0.9998302</v>
      </c>
      <c r="N1303">
        <v>0</v>
      </c>
      <c r="O1303">
        <v>1.5349389999999999E-2</v>
      </c>
      <c r="P1303">
        <v>-0.97923830000000001</v>
      </c>
      <c r="Q1303">
        <v>0.1686628</v>
      </c>
      <c r="R1303">
        <v>0.1124512</v>
      </c>
      <c r="S1303">
        <v>-3.1100159999999999</v>
      </c>
      <c r="T1303">
        <v>-0.2137415</v>
      </c>
      <c r="U1303">
        <v>-5.9783940000000001E-2</v>
      </c>
      <c r="V1303">
        <v>9.7792680000000007E-2</v>
      </c>
      <c r="W1303">
        <v>0.1784569</v>
      </c>
      <c r="X1303">
        <v>0.97907599999999995</v>
      </c>
      <c r="Y1303">
        <v>-3.4447140000000001E-2</v>
      </c>
      <c r="Z1303">
        <v>-2.235856E-3</v>
      </c>
      <c r="AA1303">
        <v>0.99940399999999996</v>
      </c>
      <c r="AB1303">
        <v>30</v>
      </c>
      <c r="AC1303">
        <v>-15.8302999999999</v>
      </c>
      <c r="AD1303">
        <v>-1.1078232365330001</v>
      </c>
      <c r="AE1303">
        <v>-0.314900000000022</v>
      </c>
      <c r="AF1303">
        <v>-0.55514331376815895</v>
      </c>
      <c r="AG1303">
        <v>-1.1078232365330001</v>
      </c>
      <c r="AH1303">
        <v>15.7465151223811</v>
      </c>
      <c r="AI1303">
        <v>94.021840163626393</v>
      </c>
      <c r="AJ1303">
        <v>92.019126170257493</v>
      </c>
      <c r="AK1303">
        <v>15.795195311283701</v>
      </c>
      <c r="AL1303">
        <v>79.720108969272701</v>
      </c>
      <c r="AM1303">
        <v>84.296065502207298</v>
      </c>
      <c r="AN1303">
        <v>1.00000004359759</v>
      </c>
    </row>
    <row r="1304" spans="1:40" x14ac:dyDescent="0.25">
      <c r="A1304" t="str">
        <f>"20190312164459608"</f>
        <v>20190312164459608</v>
      </c>
      <c r="B1304" t="str">
        <f>"1552380299602586"</f>
        <v>1552380299602586</v>
      </c>
      <c r="C1304" t="s">
        <v>40</v>
      </c>
      <c r="D1304">
        <v>5.2809210000000002</v>
      </c>
      <c r="E1304">
        <v>0.45324750000000003</v>
      </c>
      <c r="F1304" t="s">
        <v>47</v>
      </c>
      <c r="G1304">
        <v>-235.39859999999999</v>
      </c>
      <c r="H1304" s="1">
        <v>1.4610859999999999E-6</v>
      </c>
      <c r="I1304">
        <v>281.7568</v>
      </c>
      <c r="J1304">
        <v>-218.56989999999999</v>
      </c>
      <c r="K1304">
        <v>1.108039</v>
      </c>
      <c r="L1304">
        <v>282.08640000000003</v>
      </c>
      <c r="M1304">
        <v>-0.99982170000000004</v>
      </c>
      <c r="N1304">
        <v>0</v>
      </c>
      <c r="O1304">
        <v>1.5963450000000001E-2</v>
      </c>
      <c r="P1304">
        <v>-0.97998859999999999</v>
      </c>
      <c r="Q1304">
        <v>0.1692266</v>
      </c>
      <c r="R1304">
        <v>0.1048086</v>
      </c>
      <c r="S1304">
        <v>-3.1049039999999999</v>
      </c>
      <c r="T1304">
        <v>-0.20067570000000001</v>
      </c>
      <c r="U1304">
        <v>-5.8715820000000002E-2</v>
      </c>
      <c r="V1304">
        <v>8.9441740000000006E-2</v>
      </c>
      <c r="W1304">
        <v>0.17898559999999999</v>
      </c>
      <c r="X1304">
        <v>0.97977769999999997</v>
      </c>
      <c r="Y1304">
        <v>-3.4760489999999998E-2</v>
      </c>
      <c r="Z1304">
        <v>-2.152686E-3</v>
      </c>
      <c r="AA1304">
        <v>0.99939330000000004</v>
      </c>
      <c r="AB1304">
        <v>30</v>
      </c>
      <c r="AC1304">
        <v>-16.828699999999898</v>
      </c>
      <c r="AD1304">
        <v>-1.108037538914</v>
      </c>
      <c r="AE1304">
        <v>-0.32960000000002698</v>
      </c>
      <c r="AF1304">
        <v>-0.59563457729576597</v>
      </c>
      <c r="AG1304">
        <v>-1.108037538914</v>
      </c>
      <c r="AH1304">
        <v>16.748712625564899</v>
      </c>
      <c r="AI1304">
        <v>93.782593059456502</v>
      </c>
      <c r="AJ1304">
        <v>92.036751827872195</v>
      </c>
      <c r="AK1304">
        <v>16.795889448048602</v>
      </c>
      <c r="AL1304">
        <v>79.689320601860203</v>
      </c>
      <c r="AM1304">
        <v>84.784051873350194</v>
      </c>
      <c r="AN1304">
        <v>1.00000000563943</v>
      </c>
    </row>
    <row r="1305" spans="1:40" x14ac:dyDescent="0.25">
      <c r="A1305" t="str">
        <f>"20190312164459630"</f>
        <v>20190312164459630</v>
      </c>
      <c r="B1305" t="str">
        <f>"1552380299623081"</f>
        <v>1552380299623081</v>
      </c>
      <c r="C1305" t="s">
        <v>40</v>
      </c>
      <c r="D1305">
        <v>5.3849999999999998</v>
      </c>
      <c r="E1305">
        <v>0.45453569999999999</v>
      </c>
      <c r="F1305" t="s">
        <v>47</v>
      </c>
      <c r="G1305">
        <v>-236.29519999999999</v>
      </c>
      <c r="H1305" s="1">
        <v>1.941104E-6</v>
      </c>
      <c r="I1305">
        <v>281.69060000000002</v>
      </c>
      <c r="J1305">
        <v>-218.87649999999999</v>
      </c>
      <c r="K1305">
        <v>1.108223</v>
      </c>
      <c r="L1305">
        <v>282.09179999999998</v>
      </c>
      <c r="M1305">
        <v>-0.99981750000000003</v>
      </c>
      <c r="N1305">
        <v>0</v>
      </c>
      <c r="O1305">
        <v>1.6298E-2</v>
      </c>
      <c r="P1305">
        <v>-0.98050550000000003</v>
      </c>
      <c r="Q1305">
        <v>0.1707543</v>
      </c>
      <c r="R1305">
        <v>9.7222180000000005E-2</v>
      </c>
      <c r="S1305">
        <v>-3.1021420000000002</v>
      </c>
      <c r="T1305">
        <v>-0.19391920000000001</v>
      </c>
      <c r="U1305">
        <v>-6.9274899999999903E-2</v>
      </c>
      <c r="V1305">
        <v>8.1436289999999995E-2</v>
      </c>
      <c r="W1305">
        <v>0.18045710000000001</v>
      </c>
      <c r="X1305">
        <v>0.98020580000000002</v>
      </c>
      <c r="Y1305">
        <v>-3.8510580000000003E-2</v>
      </c>
      <c r="Z1305">
        <v>-2.220105E-3</v>
      </c>
      <c r="AA1305">
        <v>0.99925569999999997</v>
      </c>
      <c r="AB1305">
        <v>30</v>
      </c>
      <c r="AC1305">
        <v>-17.418700000000001</v>
      </c>
      <c r="AD1305">
        <v>-1.108221058896</v>
      </c>
      <c r="AE1305">
        <v>-0.40119999999995998</v>
      </c>
      <c r="AF1305">
        <v>-0.682290456176189</v>
      </c>
      <c r="AG1305">
        <v>-1.108221058896</v>
      </c>
      <c r="AH1305">
        <v>17.339696340035299</v>
      </c>
      <c r="AI1305">
        <v>93.654115031596206</v>
      </c>
      <c r="AJ1305">
        <v>92.253338576670998</v>
      </c>
      <c r="AK1305">
        <v>17.388465813481201</v>
      </c>
      <c r="AL1305">
        <v>79.603614522391794</v>
      </c>
      <c r="AM1305">
        <v>85.250727453863107</v>
      </c>
      <c r="AN1305">
        <v>1.0000000223115</v>
      </c>
    </row>
    <row r="1306" spans="1:40" x14ac:dyDescent="0.25">
      <c r="A1306" t="str">
        <f>"20190312164459651"</f>
        <v>20190312164459651</v>
      </c>
      <c r="B1306" t="str">
        <f>"1552380299642604"</f>
        <v>1552380299642604</v>
      </c>
      <c r="C1306" t="s">
        <v>40</v>
      </c>
      <c r="D1306">
        <v>5.5466340000000001</v>
      </c>
      <c r="E1306">
        <v>0.4731784</v>
      </c>
      <c r="F1306" t="s">
        <v>47</v>
      </c>
      <c r="G1306">
        <v>-237.5762</v>
      </c>
      <c r="H1306" s="1">
        <v>2.6266599999999999E-6</v>
      </c>
      <c r="I1306">
        <v>281.60210000000001</v>
      </c>
      <c r="J1306">
        <v>-219.16749999999999</v>
      </c>
      <c r="K1306">
        <v>1.1083750000000001</v>
      </c>
      <c r="L1306">
        <v>282.0967</v>
      </c>
      <c r="M1306">
        <v>-0.99981589999999998</v>
      </c>
      <c r="N1306">
        <v>0</v>
      </c>
      <c r="O1306">
        <v>1.6441770000000001E-2</v>
      </c>
      <c r="P1306">
        <v>-0.98101090000000002</v>
      </c>
      <c r="Q1306">
        <v>0.1719619</v>
      </c>
      <c r="R1306">
        <v>8.9705279999999998E-2</v>
      </c>
      <c r="S1306">
        <v>-3.0996860000000002</v>
      </c>
      <c r="T1306">
        <v>-0.18370010000000001</v>
      </c>
      <c r="U1306">
        <v>-8.1176760000000001E-2</v>
      </c>
      <c r="V1306">
        <v>7.3704989999999998E-2</v>
      </c>
      <c r="W1306">
        <v>0.18160180000000001</v>
      </c>
      <c r="X1306">
        <v>0.98060610000000004</v>
      </c>
      <c r="Y1306">
        <v>-4.2509749999999999E-2</v>
      </c>
      <c r="Z1306">
        <v>-2.231785E-3</v>
      </c>
      <c r="AA1306">
        <v>0.99909349999999997</v>
      </c>
      <c r="AB1306">
        <v>31</v>
      </c>
      <c r="AC1306">
        <v>-18.4087</v>
      </c>
      <c r="AD1306">
        <v>-1.1083723733399999</v>
      </c>
      <c r="AE1306">
        <v>-0.49459999999999099</v>
      </c>
      <c r="AF1306">
        <v>-0.79434202796707998</v>
      </c>
      <c r="AG1306">
        <v>-1.1083723733399999</v>
      </c>
      <c r="AH1306">
        <v>18.3316718679391</v>
      </c>
      <c r="AI1306">
        <v>93.456778255716799</v>
      </c>
      <c r="AJ1306">
        <v>92.481169902560595</v>
      </c>
      <c r="AK1306">
        <v>18.382319278294698</v>
      </c>
      <c r="AL1306">
        <v>79.536925761266701</v>
      </c>
      <c r="AM1306">
        <v>85.701577607236203</v>
      </c>
      <c r="AN1306">
        <v>0.99999998133567403</v>
      </c>
    </row>
    <row r="1307" spans="1:40" x14ac:dyDescent="0.25">
      <c r="A1307" t="str">
        <f>"20190312164459674"</f>
        <v>20190312164459674</v>
      </c>
      <c r="B1307" t="str">
        <f>"1552380299663097"</f>
        <v>1552380299663097</v>
      </c>
      <c r="C1307" t="s">
        <v>40</v>
      </c>
      <c r="D1307">
        <v>5.3825729999999998</v>
      </c>
      <c r="E1307">
        <v>0.4717615</v>
      </c>
      <c r="F1307" t="s">
        <v>47</v>
      </c>
      <c r="G1307">
        <v>-275.43959999999998</v>
      </c>
      <c r="H1307" s="1">
        <v>1.430042E-6</v>
      </c>
      <c r="I1307">
        <v>282.96589999999998</v>
      </c>
      <c r="J1307">
        <v>-219.4828</v>
      </c>
      <c r="K1307">
        <v>1.108484</v>
      </c>
      <c r="L1307">
        <v>282.10210000000001</v>
      </c>
      <c r="M1307">
        <v>-0.99981660000000006</v>
      </c>
      <c r="N1307">
        <v>0</v>
      </c>
      <c r="O1307">
        <v>1.647202E-2</v>
      </c>
      <c r="P1307">
        <v>-0.98148150000000001</v>
      </c>
      <c r="Q1307">
        <v>0.1733229</v>
      </c>
      <c r="R1307">
        <v>8.1567249999999994E-2</v>
      </c>
      <c r="S1307">
        <v>-3.0643159999999998</v>
      </c>
      <c r="T1307">
        <v>-6.0356859999999998E-2</v>
      </c>
      <c r="U1307">
        <v>4.7332760000000001E-2</v>
      </c>
      <c r="V1307">
        <v>6.5477209999999994E-2</v>
      </c>
      <c r="W1307">
        <v>0.18288689999999999</v>
      </c>
      <c r="X1307">
        <v>0.98095109999999996</v>
      </c>
      <c r="Y1307">
        <v>-1.024947E-3</v>
      </c>
      <c r="Z1307">
        <v>-3.3447989999999998E-4</v>
      </c>
      <c r="AA1307">
        <v>0.99999939999999998</v>
      </c>
      <c r="AB1307">
        <v>31</v>
      </c>
      <c r="AC1307">
        <v>-55.956799999999902</v>
      </c>
      <c r="AD1307">
        <v>-1.1084825699580001</v>
      </c>
      <c r="AE1307">
        <v>0.86379999999996904</v>
      </c>
      <c r="AF1307">
        <v>-5.80599428983401E-2</v>
      </c>
      <c r="AG1307">
        <v>-1.1084825699580001</v>
      </c>
      <c r="AH1307">
        <v>55.941489289687802</v>
      </c>
      <c r="AI1307">
        <v>91.135168713201793</v>
      </c>
      <c r="AJ1307">
        <v>90.0594654975162</v>
      </c>
      <c r="AK1307">
        <v>55.952500645754199</v>
      </c>
      <c r="AL1307">
        <v>79.462040770417701</v>
      </c>
      <c r="AM1307">
        <v>86.181245864642904</v>
      </c>
      <c r="AN1307">
        <v>0.99999997190610102</v>
      </c>
    </row>
    <row r="1308" spans="1:40" x14ac:dyDescent="0.25">
      <c r="A1308" t="str">
        <f>"20190312164459695"</f>
        <v>20190312164459695</v>
      </c>
      <c r="B1308" t="str">
        <f>"1552380299682617"</f>
        <v>1552380299682617</v>
      </c>
      <c r="C1308" t="s">
        <v>40</v>
      </c>
      <c r="D1308">
        <v>5.3933650000000002</v>
      </c>
      <c r="E1308">
        <v>0.47169440000000001</v>
      </c>
      <c r="F1308" t="s">
        <v>47</v>
      </c>
      <c r="G1308">
        <v>-249.86060000000001</v>
      </c>
      <c r="H1308" s="1">
        <v>3.7105279999999998E-6</v>
      </c>
      <c r="I1308">
        <v>282.2208</v>
      </c>
      <c r="J1308">
        <v>-219.75790000000001</v>
      </c>
      <c r="K1308">
        <v>1.1085510000000001</v>
      </c>
      <c r="L1308">
        <v>282.10660000000001</v>
      </c>
      <c r="M1308">
        <v>-0.99981819999999999</v>
      </c>
      <c r="N1308">
        <v>0</v>
      </c>
      <c r="O1308">
        <v>1.6430279999999998E-2</v>
      </c>
      <c r="P1308">
        <v>-0.98203220000000002</v>
      </c>
      <c r="Q1308">
        <v>0.17400450000000001</v>
      </c>
      <c r="R1308">
        <v>7.3043339999999998E-2</v>
      </c>
      <c r="S1308">
        <v>-3.0754239999999999</v>
      </c>
      <c r="T1308">
        <v>-0.11222169999999999</v>
      </c>
      <c r="U1308">
        <v>1.202393E-2</v>
      </c>
      <c r="V1308">
        <v>5.6952790000000003E-2</v>
      </c>
      <c r="W1308">
        <v>0.1834963</v>
      </c>
      <c r="X1308">
        <v>0.98136920000000005</v>
      </c>
      <c r="Y1308">
        <v>-1.2502549999999999E-2</v>
      </c>
      <c r="Z1308">
        <v>-8.273709E-4</v>
      </c>
      <c r="AA1308">
        <v>0.99992150000000002</v>
      </c>
      <c r="AB1308">
        <v>31</v>
      </c>
      <c r="AC1308">
        <v>-30.102699999999999</v>
      </c>
      <c r="AD1308">
        <v>-1.1085472894720001</v>
      </c>
      <c r="AE1308">
        <v>0.114199999999982</v>
      </c>
      <c r="AF1308">
        <v>-0.37991915064091097</v>
      </c>
      <c r="AG1308">
        <v>-1.1085472894720001</v>
      </c>
      <c r="AH1308">
        <v>30.0597486116318</v>
      </c>
      <c r="AI1308">
        <v>92.111835548352502</v>
      </c>
      <c r="AJ1308">
        <v>90.724111343201102</v>
      </c>
      <c r="AK1308">
        <v>30.0825813760808</v>
      </c>
      <c r="AL1308">
        <v>79.426524075702801</v>
      </c>
      <c r="AM1308">
        <v>86.678621555302499</v>
      </c>
      <c r="AN1308">
        <v>1.0000000095555499</v>
      </c>
    </row>
    <row r="1309" spans="1:40" x14ac:dyDescent="0.25">
      <c r="A1309" t="str">
        <f>"20190312164459707"</f>
        <v>20190312164459707</v>
      </c>
      <c r="B1309" t="str">
        <f>"1552380299703113"</f>
        <v>1552380299703113</v>
      </c>
      <c r="C1309" t="s">
        <v>40</v>
      </c>
      <c r="D1309">
        <v>5.5643089999999997</v>
      </c>
      <c r="E1309">
        <v>0.47313369999999999</v>
      </c>
      <c r="F1309" t="s">
        <v>47</v>
      </c>
      <c r="G1309">
        <v>-246.59950000000001</v>
      </c>
      <c r="H1309" s="1">
        <v>1.9751299999999999E-6</v>
      </c>
      <c r="I1309">
        <v>281.98849999999999</v>
      </c>
      <c r="J1309">
        <v>-219.94059999999999</v>
      </c>
      <c r="K1309">
        <v>1.108584</v>
      </c>
      <c r="L1309">
        <v>282.1096</v>
      </c>
      <c r="M1309">
        <v>-0.99981960000000003</v>
      </c>
      <c r="N1309">
        <v>0</v>
      </c>
      <c r="O1309">
        <v>1.6381969999999999E-2</v>
      </c>
      <c r="P1309">
        <v>-0.98232129999999995</v>
      </c>
      <c r="Q1309">
        <v>0.17398549999999999</v>
      </c>
      <c r="R1309">
        <v>6.9092039999999993E-2</v>
      </c>
      <c r="S1309">
        <v>-3.0784150000000001</v>
      </c>
      <c r="T1309">
        <v>-0.12713740000000001</v>
      </c>
      <c r="U1309">
        <v>-1.3549800000000001E-2</v>
      </c>
      <c r="V1309">
        <v>5.302726E-2</v>
      </c>
      <c r="W1309">
        <v>0.18342600000000001</v>
      </c>
      <c r="X1309">
        <v>0.98160230000000004</v>
      </c>
      <c r="Y1309">
        <v>-2.0751840000000001E-2</v>
      </c>
      <c r="Z1309">
        <v>-1.1046300000000001E-3</v>
      </c>
      <c r="AA1309">
        <v>0.99978409999999995</v>
      </c>
      <c r="AB1309">
        <v>31</v>
      </c>
      <c r="AC1309">
        <v>-26.658899999999999</v>
      </c>
      <c r="AD1309">
        <v>-1.10858202487</v>
      </c>
      <c r="AE1309">
        <v>-0.121100000000012</v>
      </c>
      <c r="AF1309">
        <v>-0.55686629887591299</v>
      </c>
      <c r="AG1309">
        <v>-1.10858202487</v>
      </c>
      <c r="AH1309">
        <v>26.607329192255602</v>
      </c>
      <c r="AI1309">
        <v>92.385300413115502</v>
      </c>
      <c r="AJ1309">
        <v>91.198971573317706</v>
      </c>
      <c r="AK1309">
        <v>26.636235111699801</v>
      </c>
      <c r="AL1309">
        <v>79.430621750337394</v>
      </c>
      <c r="AM1309">
        <v>86.907823175604506</v>
      </c>
      <c r="AN1309">
        <v>1.00000003157219</v>
      </c>
    </row>
    <row r="1310" spans="1:40" x14ac:dyDescent="0.25">
      <c r="A1310" t="str">
        <f>"20190312164459730"</f>
        <v>20190312164459730</v>
      </c>
      <c r="B1310" t="str">
        <f>"1552380299722633"</f>
        <v>1552380299722633</v>
      </c>
      <c r="C1310" t="s">
        <v>40</v>
      </c>
      <c r="D1310">
        <v>5.4364970000000001</v>
      </c>
      <c r="E1310">
        <v>0.47457820000000001</v>
      </c>
      <c r="F1310" t="s">
        <v>47</v>
      </c>
      <c r="G1310">
        <v>-248.79490000000001</v>
      </c>
      <c r="H1310" s="1">
        <v>3.1434089999999999E-6</v>
      </c>
      <c r="I1310">
        <v>281.97879999999998</v>
      </c>
      <c r="J1310">
        <v>-220.2456</v>
      </c>
      <c r="K1310">
        <v>1.108614</v>
      </c>
      <c r="L1310">
        <v>282.1146</v>
      </c>
      <c r="M1310">
        <v>-0.99982219999999999</v>
      </c>
      <c r="N1310">
        <v>0</v>
      </c>
      <c r="O1310">
        <v>1.6279519999999999E-2</v>
      </c>
      <c r="P1310">
        <v>-0.98285100000000003</v>
      </c>
      <c r="Q1310">
        <v>0.17388670000000001</v>
      </c>
      <c r="R1310">
        <v>6.1380709999999998E-2</v>
      </c>
      <c r="S1310">
        <v>-3.075882</v>
      </c>
      <c r="T1310">
        <v>-0.11817510000000001</v>
      </c>
      <c r="U1310">
        <v>-1.394653E-2</v>
      </c>
      <c r="V1310">
        <v>4.5389539999999999E-2</v>
      </c>
      <c r="W1310">
        <v>0.18323239999999999</v>
      </c>
      <c r="X1310">
        <v>0.98202120000000004</v>
      </c>
      <c r="Y1310">
        <v>-2.0786260000000001E-2</v>
      </c>
      <c r="Z1310">
        <v>-1.0243909999999999E-3</v>
      </c>
      <c r="AA1310">
        <v>0.99978339999999999</v>
      </c>
      <c r="AB1310">
        <v>31</v>
      </c>
      <c r="AC1310">
        <v>-28.549299999999999</v>
      </c>
      <c r="AD1310">
        <v>-1.108610856591</v>
      </c>
      <c r="AE1310">
        <v>-0.13580000000001699</v>
      </c>
      <c r="AF1310">
        <v>-0.59966773762509495</v>
      </c>
      <c r="AG1310">
        <v>-1.108610856591</v>
      </c>
      <c r="AH1310">
        <v>28.5003312793358</v>
      </c>
      <c r="AI1310">
        <v>92.227085756469705</v>
      </c>
      <c r="AJ1310">
        <v>91.205367095078699</v>
      </c>
      <c r="AK1310">
        <v>28.528187857955299</v>
      </c>
      <c r="AL1310">
        <v>79.441904903132297</v>
      </c>
      <c r="AM1310">
        <v>87.353642155696505</v>
      </c>
      <c r="AN1310">
        <v>0.99999998000030499</v>
      </c>
    </row>
    <row r="1311" spans="1:40" x14ac:dyDescent="0.25">
      <c r="A1311" t="str">
        <f>"20190312164459751"</f>
        <v>20190312164459751</v>
      </c>
      <c r="B1311" t="str">
        <f>"1552380299743129"</f>
        <v>1552380299743129</v>
      </c>
      <c r="C1311" t="s">
        <v>40</v>
      </c>
      <c r="D1311">
        <v>5.6225630000000004</v>
      </c>
      <c r="E1311">
        <v>0.47577760000000002</v>
      </c>
      <c r="F1311" t="s">
        <v>47</v>
      </c>
      <c r="G1311">
        <v>-251.2235</v>
      </c>
      <c r="H1311" s="1">
        <v>-8.8568209999999896E-7</v>
      </c>
      <c r="I1311">
        <v>281.8562</v>
      </c>
      <c r="J1311">
        <v>-220.5487</v>
      </c>
      <c r="K1311">
        <v>1.1086279999999999</v>
      </c>
      <c r="L1311">
        <v>282.11939999999998</v>
      </c>
      <c r="M1311">
        <v>-0.99982490000000002</v>
      </c>
      <c r="N1311">
        <v>0</v>
      </c>
      <c r="O1311">
        <v>1.6175479999999999E-2</v>
      </c>
      <c r="P1311">
        <v>-0.9835817</v>
      </c>
      <c r="Q1311">
        <v>0.17240440000000001</v>
      </c>
      <c r="R1311">
        <v>5.333106E-2</v>
      </c>
      <c r="S1311">
        <v>-3.07341</v>
      </c>
      <c r="T1311">
        <v>-0.1099889</v>
      </c>
      <c r="U1311">
        <v>-2.5634770000000001E-2</v>
      </c>
      <c r="V1311">
        <v>3.7418640000000003E-2</v>
      </c>
      <c r="W1311">
        <v>0.1816614</v>
      </c>
      <c r="X1311">
        <v>0.98264899999999999</v>
      </c>
      <c r="Y1311">
        <v>-2.448904E-2</v>
      </c>
      <c r="Z1311">
        <v>-1.0167469999999999E-3</v>
      </c>
      <c r="AA1311">
        <v>0.99969960000000002</v>
      </c>
      <c r="AB1311">
        <v>31</v>
      </c>
      <c r="AC1311">
        <v>-30.674800000000001</v>
      </c>
      <c r="AD1311">
        <v>-1.1086288856821001</v>
      </c>
      <c r="AE1311">
        <v>-0.263199999999983</v>
      </c>
      <c r="AF1311">
        <v>-0.75837662228382297</v>
      </c>
      <c r="AG1311">
        <v>-1.1086288856821001</v>
      </c>
      <c r="AH1311">
        <v>30.626527482184699</v>
      </c>
      <c r="AI1311">
        <v>92.072471155105603</v>
      </c>
      <c r="AJ1311">
        <v>91.418472990575296</v>
      </c>
      <c r="AK1311">
        <v>30.655968076777601</v>
      </c>
      <c r="AL1311">
        <v>79.533453772074907</v>
      </c>
      <c r="AM1311">
        <v>87.819267319035106</v>
      </c>
      <c r="AN1311">
        <v>1.0000000380352001</v>
      </c>
    </row>
    <row r="1312" spans="1:40" x14ac:dyDescent="0.25">
      <c r="A1312" t="str">
        <f>"20190312164459774"</f>
        <v>20190312164459774</v>
      </c>
      <c r="B1312" t="str">
        <f>"1552380299762653"</f>
        <v>1552380299762653</v>
      </c>
      <c r="C1312" t="s">
        <v>40</v>
      </c>
      <c r="D1312">
        <v>5.4300819999999996</v>
      </c>
      <c r="E1312">
        <v>0.4769756</v>
      </c>
      <c r="F1312" t="s">
        <v>47</v>
      </c>
      <c r="G1312">
        <v>-251.94159999999999</v>
      </c>
      <c r="H1312" s="1">
        <v>-5.0357659999999996E-7</v>
      </c>
      <c r="I1312">
        <v>281.72579999999999</v>
      </c>
      <c r="J1312">
        <v>-220.8553</v>
      </c>
      <c r="K1312">
        <v>1.108643</v>
      </c>
      <c r="L1312">
        <v>282.12439999999998</v>
      </c>
      <c r="M1312">
        <v>-0.99982729999999997</v>
      </c>
      <c r="N1312">
        <v>0</v>
      </c>
      <c r="O1312">
        <v>1.607954E-2</v>
      </c>
      <c r="P1312">
        <v>-0.98421159999999996</v>
      </c>
      <c r="Q1312">
        <v>0.1710517</v>
      </c>
      <c r="R1312">
        <v>4.5485419999999999E-2</v>
      </c>
      <c r="S1312">
        <v>-3.071167</v>
      </c>
      <c r="T1312">
        <v>-0.10845730000000001</v>
      </c>
      <c r="U1312">
        <v>-3.8513180000000001E-2</v>
      </c>
      <c r="V1312">
        <v>2.964936E-2</v>
      </c>
      <c r="W1312">
        <v>0.18022679999999999</v>
      </c>
      <c r="X1312">
        <v>0.98317810000000005</v>
      </c>
      <c r="Y1312">
        <v>-2.8588769999999999E-2</v>
      </c>
      <c r="Z1312">
        <v>-1.07229E-3</v>
      </c>
      <c r="AA1312">
        <v>0.99959070000000005</v>
      </c>
      <c r="AB1312">
        <v>31</v>
      </c>
      <c r="AC1312">
        <v>-31.086299999999898</v>
      </c>
      <c r="AD1312">
        <v>-1.1086435035766</v>
      </c>
      <c r="AE1312">
        <v>-0.39859999999998702</v>
      </c>
      <c r="AF1312">
        <v>-0.89728251974445095</v>
      </c>
      <c r="AG1312">
        <v>-1.1086435035766</v>
      </c>
      <c r="AH1312">
        <v>31.036403044609902</v>
      </c>
      <c r="AI1312">
        <v>92.044924530715903</v>
      </c>
      <c r="AJ1312">
        <v>91.655996834216296</v>
      </c>
      <c r="AK1312">
        <v>31.069157057856099</v>
      </c>
      <c r="AL1312">
        <v>79.617029253064302</v>
      </c>
      <c r="AM1312">
        <v>88.272674602026001</v>
      </c>
      <c r="AN1312">
        <v>0.99999998015312896</v>
      </c>
    </row>
    <row r="1313" spans="1:40" x14ac:dyDescent="0.25">
      <c r="A1313" t="str">
        <f>"20190312164459797"</f>
        <v>20190312164459797</v>
      </c>
      <c r="B1313" t="str">
        <f>"1552380299792905"</f>
        <v>1552380299792905</v>
      </c>
      <c r="C1313" t="s">
        <v>40</v>
      </c>
      <c r="D1313">
        <v>5.3718690000000002</v>
      </c>
      <c r="E1313">
        <v>0.47820289999999999</v>
      </c>
      <c r="F1313" t="s">
        <v>47</v>
      </c>
      <c r="G1313">
        <v>-251.89699999999999</v>
      </c>
      <c r="H1313" s="1">
        <v>-5.2732680000000004E-7</v>
      </c>
      <c r="I1313">
        <v>281.6019</v>
      </c>
      <c r="J1313">
        <v>-221.1771</v>
      </c>
      <c r="K1313">
        <v>1.108643</v>
      </c>
      <c r="L1313">
        <v>282.12950000000001</v>
      </c>
      <c r="M1313">
        <v>-0.99982950000000004</v>
      </c>
      <c r="N1313">
        <v>0</v>
      </c>
      <c r="O1313">
        <v>1.5991519999999999E-2</v>
      </c>
      <c r="P1313">
        <v>-0.98477040000000005</v>
      </c>
      <c r="Q1313">
        <v>0.16962079999999999</v>
      </c>
      <c r="R1313">
        <v>3.8167920000000001E-2</v>
      </c>
      <c r="S1313">
        <v>-3.06955</v>
      </c>
      <c r="T1313">
        <v>-0.10962810000000001</v>
      </c>
      <c r="U1313">
        <v>-5.1666259999999999E-2</v>
      </c>
      <c r="V1313">
        <v>2.2404719999999999E-2</v>
      </c>
      <c r="W1313">
        <v>0.1787135</v>
      </c>
      <c r="X1313">
        <v>0.98364600000000002</v>
      </c>
      <c r="Y1313">
        <v>-3.2786179999999998E-2</v>
      </c>
      <c r="Z1313">
        <v>-1.156182E-3</v>
      </c>
      <c r="AA1313">
        <v>0.99946170000000001</v>
      </c>
      <c r="AB1313">
        <v>31</v>
      </c>
      <c r="AC1313">
        <v>-30.719899999999999</v>
      </c>
      <c r="AD1313">
        <v>-1.1086435273268</v>
      </c>
      <c r="AE1313">
        <v>-0.52760000000000595</v>
      </c>
      <c r="AF1313">
        <v>-1.0174865798867001</v>
      </c>
      <c r="AG1313">
        <v>-1.1086435273268</v>
      </c>
      <c r="AH1313">
        <v>30.667604250287201</v>
      </c>
      <c r="AI1313">
        <v>92.069221294959704</v>
      </c>
      <c r="AJ1313">
        <v>91.900256359917606</v>
      </c>
      <c r="AK1313">
        <v>30.704499993700701</v>
      </c>
      <c r="AL1313">
        <v>79.705165900586493</v>
      </c>
      <c r="AM1313">
        <v>88.695187118418204</v>
      </c>
      <c r="AN1313">
        <v>0.99999996993826301</v>
      </c>
    </row>
    <row r="1314" spans="1:40" x14ac:dyDescent="0.25">
      <c r="A1314" t="str">
        <f>"20190312164459821"</f>
        <v>20190312164459821</v>
      </c>
      <c r="B1314" t="str">
        <f>"1552380299813402"</f>
        <v>1552380299813402</v>
      </c>
      <c r="C1314" t="s">
        <v>40</v>
      </c>
      <c r="D1314">
        <v>5.3653110000000002</v>
      </c>
      <c r="E1314">
        <v>0.48985820000000002</v>
      </c>
      <c r="F1314" t="s">
        <v>47</v>
      </c>
      <c r="G1314">
        <v>-252.10830000000001</v>
      </c>
      <c r="H1314" s="1">
        <v>-4.148789E-7</v>
      </c>
      <c r="I1314">
        <v>281.48050000000001</v>
      </c>
      <c r="J1314">
        <v>-221.49539999999999</v>
      </c>
      <c r="K1314">
        <v>1.108636</v>
      </c>
      <c r="L1314">
        <v>282.1345</v>
      </c>
      <c r="M1314">
        <v>-0.99983149999999998</v>
      </c>
      <c r="N1314">
        <v>0</v>
      </c>
      <c r="O1314">
        <v>1.591534E-2</v>
      </c>
      <c r="P1314">
        <v>-0.98529739999999999</v>
      </c>
      <c r="Q1314">
        <v>0.16856869999999999</v>
      </c>
      <c r="R1314">
        <v>2.7819679999999999E-2</v>
      </c>
      <c r="S1314">
        <v>-3.067825</v>
      </c>
      <c r="T1314">
        <v>-0.10995779999999999</v>
      </c>
      <c r="U1314">
        <v>-6.4361570000000007E-2</v>
      </c>
      <c r="V1314">
        <v>1.212033E-2</v>
      </c>
      <c r="W1314">
        <v>0.1775832</v>
      </c>
      <c r="X1314">
        <v>0.98403110000000005</v>
      </c>
      <c r="Y1314">
        <v>-3.6850899999999999E-2</v>
      </c>
      <c r="Z1314">
        <v>-1.230351E-3</v>
      </c>
      <c r="AA1314">
        <v>0.99931999999999999</v>
      </c>
      <c r="AB1314">
        <v>31</v>
      </c>
      <c r="AC1314">
        <v>-30.6129</v>
      </c>
      <c r="AD1314">
        <v>-1.1086364148789001</v>
      </c>
      <c r="AE1314">
        <v>-0.65399999999999603</v>
      </c>
      <c r="AF1314">
        <v>-1.13965827247778</v>
      </c>
      <c r="AG1314">
        <v>-1.1086364148789001</v>
      </c>
      <c r="AH1314">
        <v>30.558553912061999</v>
      </c>
      <c r="AI1314">
        <v>92.076285155395198</v>
      </c>
      <c r="AJ1314">
        <v>92.135813141859899</v>
      </c>
      <c r="AK1314">
        <v>30.599887465067901</v>
      </c>
      <c r="AL1314">
        <v>79.770979913362694</v>
      </c>
      <c r="AM1314">
        <v>89.294322465294599</v>
      </c>
      <c r="AN1314">
        <v>0.99999995054437796</v>
      </c>
    </row>
    <row r="1315" spans="1:40" x14ac:dyDescent="0.25">
      <c r="A1315" t="str">
        <f>"20190312164459854"</f>
        <v>20190312164459854</v>
      </c>
      <c r="B1315" t="str">
        <f>"1552380299842685"</f>
        <v>1552380299842685</v>
      </c>
      <c r="C1315" t="s">
        <v>40</v>
      </c>
      <c r="D1315">
        <v>5.4927510000000002</v>
      </c>
      <c r="E1315">
        <v>0.49136990000000003</v>
      </c>
      <c r="F1315" t="s">
        <v>47</v>
      </c>
      <c r="G1315">
        <v>-265.5136</v>
      </c>
      <c r="H1315" s="1">
        <v>1.3972599999999999E-6</v>
      </c>
      <c r="I1315">
        <v>282.09410000000003</v>
      </c>
      <c r="J1315">
        <v>-221.96170000000001</v>
      </c>
      <c r="K1315">
        <v>1.1086339999999999</v>
      </c>
      <c r="L1315">
        <v>282.14179999999999</v>
      </c>
      <c r="M1315">
        <v>-0.99983420000000001</v>
      </c>
      <c r="N1315">
        <v>0</v>
      </c>
      <c r="O1315">
        <v>1.5812610000000001E-2</v>
      </c>
      <c r="P1315">
        <v>-0.98525220000000002</v>
      </c>
      <c r="Q1315">
        <v>0.16983090000000001</v>
      </c>
      <c r="R1315">
        <v>2.0874480000000001E-2</v>
      </c>
      <c r="S1315">
        <v>-3.0580440000000002</v>
      </c>
      <c r="T1315">
        <v>-7.7019329999999997E-2</v>
      </c>
      <c r="U1315">
        <v>-2.8076170000000001E-3</v>
      </c>
      <c r="V1315">
        <v>5.2744569999999998E-3</v>
      </c>
      <c r="W1315">
        <v>0.17873129999999901</v>
      </c>
      <c r="X1315">
        <v>0.98388379999999998</v>
      </c>
      <c r="Y1315">
        <v>-1.6720929999999998E-2</v>
      </c>
      <c r="Z1315">
        <v>-6.087264E-4</v>
      </c>
      <c r="AA1315">
        <v>0.99985999999999997</v>
      </c>
      <c r="AB1315">
        <v>31</v>
      </c>
      <c r="AC1315">
        <v>-43.551899999999897</v>
      </c>
      <c r="AD1315">
        <v>-1.10863260274</v>
      </c>
      <c r="AE1315">
        <v>-4.7699999999963397E-2</v>
      </c>
      <c r="AF1315">
        <v>-0.73591446511985203</v>
      </c>
      <c r="AG1315">
        <v>-1.10863260274</v>
      </c>
      <c r="AH1315">
        <v>43.517501691469597</v>
      </c>
      <c r="AI1315">
        <v>91.459117729149099</v>
      </c>
      <c r="AJ1315">
        <v>90.968823407546694</v>
      </c>
      <c r="AK1315">
        <v>43.537840895190101</v>
      </c>
      <c r="AL1315">
        <v>79.704129812564403</v>
      </c>
      <c r="AM1315">
        <v>89.692848657144793</v>
      </c>
      <c r="AN1315">
        <v>1.0000000146993799</v>
      </c>
    </row>
    <row r="1316" spans="1:40" x14ac:dyDescent="0.25">
      <c r="A1316" t="str">
        <f>"20190312164459874"</f>
        <v>20190312164459874</v>
      </c>
      <c r="B1316" t="str">
        <f>"1552380299863182"</f>
        <v>1552380299863182</v>
      </c>
      <c r="C1316" t="s">
        <v>40</v>
      </c>
      <c r="D1316">
        <v>5.3241909999999999</v>
      </c>
      <c r="E1316">
        <v>0.49240129999999999</v>
      </c>
      <c r="F1316" t="s">
        <v>47</v>
      </c>
      <c r="G1316">
        <v>-269.79719999999998</v>
      </c>
      <c r="H1316" s="1">
        <v>3.6768169999999999E-6</v>
      </c>
      <c r="I1316">
        <v>281.92500000000001</v>
      </c>
      <c r="J1316">
        <v>-222.25790000000001</v>
      </c>
      <c r="K1316">
        <v>1.10863</v>
      </c>
      <c r="L1316">
        <v>282.14640000000003</v>
      </c>
      <c r="M1316">
        <v>-0.99983580000000005</v>
      </c>
      <c r="N1316">
        <v>0</v>
      </c>
      <c r="O1316">
        <v>1.5747850000000001E-2</v>
      </c>
      <c r="P1316">
        <v>-0.98516099999999995</v>
      </c>
      <c r="Q1316">
        <v>0.17062929999999901</v>
      </c>
      <c r="R1316">
        <v>1.8538209999999999E-2</v>
      </c>
      <c r="S1316">
        <v>-3.057404</v>
      </c>
      <c r="T1316">
        <v>-7.0858000000000004E-2</v>
      </c>
      <c r="U1316">
        <v>-1.3854979999999999E-2</v>
      </c>
      <c r="V1316">
        <v>3.0024729999999999E-3</v>
      </c>
      <c r="W1316">
        <v>0.17946409999999999</v>
      </c>
      <c r="X1316">
        <v>0.98375990000000002</v>
      </c>
      <c r="Y1316">
        <v>-2.0269659999999998E-2</v>
      </c>
      <c r="Z1316">
        <v>-5.9977670000000002E-4</v>
      </c>
      <c r="AA1316">
        <v>0.99979439999999997</v>
      </c>
      <c r="AB1316">
        <v>31</v>
      </c>
      <c r="AC1316">
        <v>-47.539299999999898</v>
      </c>
      <c r="AD1316">
        <v>-1.108626323183</v>
      </c>
      <c r="AE1316">
        <v>-0.221400000000016</v>
      </c>
      <c r="AF1316">
        <v>-0.96951715457157694</v>
      </c>
      <c r="AG1316">
        <v>-1.108626323183</v>
      </c>
      <c r="AH1316">
        <v>47.504084013754301</v>
      </c>
      <c r="AI1316">
        <v>91.336619051749295</v>
      </c>
      <c r="AJ1316">
        <v>91.169194849470799</v>
      </c>
      <c r="AK1316">
        <v>47.526908313325897</v>
      </c>
      <c r="AL1316">
        <v>79.661452865633507</v>
      </c>
      <c r="AM1316">
        <v>89.825131623215796</v>
      </c>
      <c r="AN1316">
        <v>0.99999995944046705</v>
      </c>
    </row>
    <row r="1317" spans="1:40" x14ac:dyDescent="0.25">
      <c r="A1317" t="str">
        <f>"20190312164459896"</f>
        <v>20190312164459896</v>
      </c>
      <c r="B1317" t="str">
        <f>"1552380299892462"</f>
        <v>1552380299892462</v>
      </c>
      <c r="C1317" t="s">
        <v>40</v>
      </c>
      <c r="D1317">
        <v>5.3608269999999996</v>
      </c>
      <c r="E1317">
        <v>0.49362709999999999</v>
      </c>
      <c r="F1317" t="s">
        <v>47</v>
      </c>
      <c r="G1317">
        <v>-270.0849</v>
      </c>
      <c r="H1317" s="1">
        <v>-1.373905E-6</v>
      </c>
      <c r="I1317">
        <v>281.923</v>
      </c>
      <c r="J1317">
        <v>-222.56030000000001</v>
      </c>
      <c r="K1317">
        <v>1.1086259999999999</v>
      </c>
      <c r="L1317">
        <v>282.15109999999999</v>
      </c>
      <c r="M1317">
        <v>-0.99983739999999999</v>
      </c>
      <c r="N1317">
        <v>0</v>
      </c>
      <c r="O1317">
        <v>1.567932E-2</v>
      </c>
      <c r="P1317">
        <v>-0.98534670000000002</v>
      </c>
      <c r="Q1317">
        <v>0.1698104</v>
      </c>
      <c r="R1317">
        <v>1.6016200000000001E-2</v>
      </c>
      <c r="S1317">
        <v>-3.0577239999999999</v>
      </c>
      <c r="T1317">
        <v>-7.0878269999999993E-2</v>
      </c>
      <c r="U1317">
        <v>-1.428223E-2</v>
      </c>
      <c r="V1317">
        <v>5.4426500000000005E-4</v>
      </c>
      <c r="W1317">
        <v>0.17858540000000001</v>
      </c>
      <c r="X1317">
        <v>0.98392429999999997</v>
      </c>
      <c r="Y1317">
        <v>-2.0340339999999998E-2</v>
      </c>
      <c r="Z1317">
        <v>-5.9911600000000001E-4</v>
      </c>
      <c r="AA1317">
        <v>0.99979289999999998</v>
      </c>
      <c r="AB1317">
        <v>31</v>
      </c>
      <c r="AC1317">
        <v>-47.5245999999999</v>
      </c>
      <c r="AD1317">
        <v>-1.1086273739049901</v>
      </c>
      <c r="AE1317">
        <v>-0.22809999999998301</v>
      </c>
      <c r="AF1317">
        <v>-0.97272561285542203</v>
      </c>
      <c r="AG1317">
        <v>-1.1086273739049901</v>
      </c>
      <c r="AH1317">
        <v>47.4893391750741</v>
      </c>
      <c r="AI1317">
        <v>91.337033152572005</v>
      </c>
      <c r="AJ1317">
        <v>91.173427148396598</v>
      </c>
      <c r="AK1317">
        <v>47.512236161407003</v>
      </c>
      <c r="AL1317">
        <v>79.712626167972502</v>
      </c>
      <c r="AM1317">
        <v>89.968306419247796</v>
      </c>
      <c r="AN1317">
        <v>1.0000000347240099</v>
      </c>
    </row>
    <row r="1318" spans="1:40" x14ac:dyDescent="0.25">
      <c r="A1318" t="str">
        <f>"20190312164459919"</f>
        <v>20190312164459919</v>
      </c>
      <c r="B1318" t="str">
        <f>"1552380299912958"</f>
        <v>1552380299912958</v>
      </c>
      <c r="C1318" t="s">
        <v>40</v>
      </c>
      <c r="D1318">
        <v>5.5444990000000001</v>
      </c>
      <c r="E1318">
        <v>0.49439880000000003</v>
      </c>
      <c r="F1318" t="s">
        <v>47</v>
      </c>
      <c r="G1318">
        <v>-266.95819999999998</v>
      </c>
      <c r="H1318" s="1">
        <v>2.1660059999999998E-6</v>
      </c>
      <c r="I1318">
        <v>281.95170000000002</v>
      </c>
      <c r="J1318">
        <v>-222.88380000000001</v>
      </c>
      <c r="K1318">
        <v>1.1086119999999999</v>
      </c>
      <c r="L1318">
        <v>282.15609999999998</v>
      </c>
      <c r="M1318">
        <v>-0.99983929999999999</v>
      </c>
      <c r="N1318">
        <v>0</v>
      </c>
      <c r="O1318">
        <v>1.559983E-2</v>
      </c>
      <c r="P1318">
        <v>-0.98566370000000003</v>
      </c>
      <c r="Q1318">
        <v>0.16811719999999999</v>
      </c>
      <c r="R1318">
        <v>1.4294609999999999E-2</v>
      </c>
      <c r="S1318">
        <v>-3.0579990000000001</v>
      </c>
      <c r="T1318">
        <v>-7.6358800000000004E-2</v>
      </c>
      <c r="U1318">
        <v>-1.3732909999999999E-2</v>
      </c>
      <c r="V1318">
        <v>-1.105083E-3</v>
      </c>
      <c r="W1318">
        <v>0.1768295</v>
      </c>
      <c r="X1318">
        <v>0.98424089999999997</v>
      </c>
      <c r="Y1318">
        <v>-2.0079380000000001E-2</v>
      </c>
      <c r="Z1318">
        <v>-6.4012729999999999E-4</v>
      </c>
      <c r="AA1318">
        <v>0.99979819999999997</v>
      </c>
      <c r="AB1318">
        <v>31</v>
      </c>
      <c r="AC1318">
        <v>-44.074399999999898</v>
      </c>
      <c r="AD1318">
        <v>-1.108609833994</v>
      </c>
      <c r="AE1318">
        <v>-0.204399999999964</v>
      </c>
      <c r="AF1318">
        <v>-0.89139114198026703</v>
      </c>
      <c r="AG1318">
        <v>-1.108609833994</v>
      </c>
      <c r="AH1318">
        <v>44.037986281521903</v>
      </c>
      <c r="AI1318">
        <v>91.441761015823502</v>
      </c>
      <c r="AJ1318">
        <v>91.159589282826005</v>
      </c>
      <c r="AK1318">
        <v>44.060955841465102</v>
      </c>
      <c r="AL1318">
        <v>79.814858903330901</v>
      </c>
      <c r="AM1318">
        <v>90.064330353783703</v>
      </c>
      <c r="AN1318">
        <v>1.0000000212557401</v>
      </c>
    </row>
    <row r="1319" spans="1:40" x14ac:dyDescent="0.25">
      <c r="A1319" t="str">
        <f>"20190312164459942"</f>
        <v>20190312164459942</v>
      </c>
      <c r="B1319" t="str">
        <f>"1552380299932985"</f>
        <v>1552380299932985</v>
      </c>
      <c r="C1319" t="s">
        <v>40</v>
      </c>
      <c r="D1319">
        <v>5.2785289999999998</v>
      </c>
      <c r="E1319">
        <v>0.49854700000000002</v>
      </c>
      <c r="F1319" t="s">
        <v>47</v>
      </c>
      <c r="G1319">
        <v>-262.69760000000002</v>
      </c>
      <c r="H1319" s="1">
        <v>-1.012464E-7</v>
      </c>
      <c r="I1319">
        <v>281.9742</v>
      </c>
      <c r="J1319">
        <v>-223.2039</v>
      </c>
      <c r="K1319">
        <v>1.1086020000000001</v>
      </c>
      <c r="L1319">
        <v>282.161</v>
      </c>
      <c r="M1319">
        <v>-0.99984119999999999</v>
      </c>
      <c r="N1319">
        <v>0</v>
      </c>
      <c r="O1319">
        <v>1.551379E-2</v>
      </c>
      <c r="P1319">
        <v>-0.98596519999999999</v>
      </c>
      <c r="Q1319">
        <v>0.1664571</v>
      </c>
      <c r="R1319">
        <v>1.2838860000000001E-2</v>
      </c>
      <c r="S1319">
        <v>-3.0583650000000002</v>
      </c>
      <c r="T1319">
        <v>-8.5159899999999997E-2</v>
      </c>
      <c r="U1319">
        <v>-1.397705E-2</v>
      </c>
      <c r="V1319">
        <v>-2.4823839999999998E-3</v>
      </c>
      <c r="W1319">
        <v>0.1751017</v>
      </c>
      <c r="X1319">
        <v>0.98454730000000001</v>
      </c>
      <c r="Y1319">
        <v>-2.0069940000000001E-2</v>
      </c>
      <c r="Z1319">
        <v>-7.1126890000000002E-4</v>
      </c>
      <c r="AA1319">
        <v>0.99979830000000003</v>
      </c>
      <c r="AB1319">
        <v>31</v>
      </c>
      <c r="AC1319">
        <v>-39.493699999999997</v>
      </c>
      <c r="AD1319">
        <v>-1.10860210124639</v>
      </c>
      <c r="AE1319">
        <v>-0.18680000000000499</v>
      </c>
      <c r="AF1319">
        <v>-0.79886859420738898</v>
      </c>
      <c r="AG1319">
        <v>-1.10860210124639</v>
      </c>
      <c r="AH1319">
        <v>39.454961002342202</v>
      </c>
      <c r="AI1319">
        <v>91.609138781529893</v>
      </c>
      <c r="AJ1319">
        <v>91.159944003343895</v>
      </c>
      <c r="AK1319">
        <v>39.478616203535402</v>
      </c>
      <c r="AL1319">
        <v>79.915424310444095</v>
      </c>
      <c r="AM1319">
        <v>90.144462155284501</v>
      </c>
      <c r="AN1319">
        <v>1.0000000767552399</v>
      </c>
    </row>
    <row r="1320" spans="1:40" x14ac:dyDescent="0.25">
      <c r="A1320" t="str">
        <f>"20190312164459964"</f>
        <v>20190312164459964</v>
      </c>
      <c r="B1320" t="str">
        <f>"1552380299952509"</f>
        <v>1552380299952509</v>
      </c>
      <c r="C1320" t="s">
        <v>40</v>
      </c>
      <c r="D1320">
        <v>5.1444039999999998</v>
      </c>
      <c r="E1320">
        <v>0.49773139999999999</v>
      </c>
      <c r="F1320" t="s">
        <v>47</v>
      </c>
      <c r="G1320">
        <v>-249.5883</v>
      </c>
      <c r="H1320" s="1">
        <v>3.5656280000000001E-6</v>
      </c>
      <c r="I1320">
        <v>282.27350000000001</v>
      </c>
      <c r="J1320">
        <v>-223.5076</v>
      </c>
      <c r="K1320">
        <v>1.1085860000000001</v>
      </c>
      <c r="L1320">
        <v>282.16559999999998</v>
      </c>
      <c r="M1320">
        <v>-0.99984329999999999</v>
      </c>
      <c r="N1320">
        <v>0</v>
      </c>
      <c r="O1320">
        <v>1.5424739999999999E-2</v>
      </c>
      <c r="P1320">
        <v>-0.98616040000000005</v>
      </c>
      <c r="Q1320">
        <v>0.16529279999999999</v>
      </c>
      <c r="R1320">
        <v>1.289116E-2</v>
      </c>
      <c r="S1320">
        <v>-3.0642550000000002</v>
      </c>
      <c r="T1320">
        <v>-0.12875149999999999</v>
      </c>
      <c r="U1320">
        <v>1.306152E-2</v>
      </c>
      <c r="V1320">
        <v>-2.3472300000000001E-3</v>
      </c>
      <c r="W1320">
        <v>0.1738635</v>
      </c>
      <c r="X1320">
        <v>0.98476699999999995</v>
      </c>
      <c r="Y1320">
        <v>-1.113974E-2</v>
      </c>
      <c r="Z1320">
        <v>-8.8174239999999995E-4</v>
      </c>
      <c r="AA1320">
        <v>0.99993750000000003</v>
      </c>
      <c r="AB1320">
        <v>31</v>
      </c>
      <c r="AC1320">
        <v>-26.0807</v>
      </c>
      <c r="AD1320">
        <v>-1.1085824343719901</v>
      </c>
      <c r="AE1320">
        <v>0.107900000000029</v>
      </c>
      <c r="AF1320">
        <v>-0.29388506485824201</v>
      </c>
      <c r="AG1320">
        <v>-1.1085824343719901</v>
      </c>
      <c r="AH1320">
        <v>26.032228516813699</v>
      </c>
      <c r="AI1320">
        <v>92.438312219953204</v>
      </c>
      <c r="AJ1320">
        <v>90.646800506696394</v>
      </c>
      <c r="AK1320">
        <v>26.057479636310799</v>
      </c>
      <c r="AL1320">
        <v>79.987472734560498</v>
      </c>
      <c r="AM1320">
        <v>90.136566434358102</v>
      </c>
      <c r="AN1320">
        <v>1.0000000352049601</v>
      </c>
    </row>
    <row r="1321" spans="1:40" x14ac:dyDescent="0.25">
      <c r="A1321" t="str">
        <f>"20190312164459987"</f>
        <v>20190312164459987</v>
      </c>
      <c r="B1321" t="str">
        <f>"1552380299982762"</f>
        <v>1552380299982762</v>
      </c>
      <c r="C1321" t="s">
        <v>40</v>
      </c>
      <c r="D1321">
        <v>5.5228960000000002</v>
      </c>
      <c r="E1321">
        <v>0.49800810000000001</v>
      </c>
      <c r="F1321" t="s">
        <v>47</v>
      </c>
      <c r="G1321">
        <v>-248.8904</v>
      </c>
      <c r="H1321" s="1">
        <v>3.1942630000000001E-6</v>
      </c>
      <c r="I1321">
        <v>282.21420000000001</v>
      </c>
      <c r="J1321">
        <v>-223.84</v>
      </c>
      <c r="K1321">
        <v>1.1085670000000001</v>
      </c>
      <c r="L1321">
        <v>282.17070000000001</v>
      </c>
      <c r="M1321">
        <v>-0.9998456</v>
      </c>
      <c r="N1321">
        <v>0</v>
      </c>
      <c r="O1321">
        <v>1.5321899999999999E-2</v>
      </c>
      <c r="P1321">
        <v>-0.98627750000000003</v>
      </c>
      <c r="Q1321">
        <v>0.16457249999999901</v>
      </c>
      <c r="R1321">
        <v>1.3133239999999999E-2</v>
      </c>
      <c r="S1321">
        <v>-3.064438</v>
      </c>
      <c r="T1321">
        <v>-0.1338377</v>
      </c>
      <c r="U1321">
        <v>5.859375E-3</v>
      </c>
      <c r="V1321">
        <v>-2.0075520000000001E-3</v>
      </c>
      <c r="W1321">
        <v>0.17304639999999999</v>
      </c>
      <c r="X1321">
        <v>0.9849116</v>
      </c>
      <c r="Y1321">
        <v>-1.3383249999999999E-2</v>
      </c>
      <c r="Z1321">
        <v>-9.6097309999999998E-4</v>
      </c>
      <c r="AA1321">
        <v>0.99990999999999997</v>
      </c>
      <c r="AB1321">
        <v>32</v>
      </c>
      <c r="AC1321">
        <v>-25.0504</v>
      </c>
      <c r="AD1321">
        <v>-1.108563805737</v>
      </c>
      <c r="AE1321">
        <v>4.3499999999994501E-2</v>
      </c>
      <c r="AF1321">
        <v>-0.33967383465714102</v>
      </c>
      <c r="AG1321">
        <v>-1.108563805737</v>
      </c>
      <c r="AH1321">
        <v>24.999168542250601</v>
      </c>
      <c r="AI1321">
        <v>92.538828164462998</v>
      </c>
      <c r="AJ1321">
        <v>90.778453074085306</v>
      </c>
      <c r="AK1321">
        <v>25.026040834083101</v>
      </c>
      <c r="AL1321">
        <v>80.035009067211504</v>
      </c>
      <c r="AM1321">
        <v>90.116786214576507</v>
      </c>
      <c r="AN1321">
        <v>0.99999997331627599</v>
      </c>
    </row>
    <row r="1322" spans="1:40" x14ac:dyDescent="0.25">
      <c r="A1322" t="str">
        <f>"20190312164500011"</f>
        <v>20190312164500011</v>
      </c>
      <c r="B1322" t="str">
        <f>"1552380300003257"</f>
        <v>1552380300003257</v>
      </c>
      <c r="C1322" t="s">
        <v>40</v>
      </c>
      <c r="D1322">
        <v>5.1198569999999997</v>
      </c>
      <c r="E1322">
        <v>0.49828280000000003</v>
      </c>
      <c r="F1322" t="s">
        <v>47</v>
      </c>
      <c r="G1322">
        <v>-247.3365</v>
      </c>
      <c r="H1322" s="1">
        <v>2.3673440000000001E-6</v>
      </c>
      <c r="I1322">
        <v>282.23590000000002</v>
      </c>
      <c r="J1322">
        <v>-224.16679999999999</v>
      </c>
      <c r="K1322">
        <v>1.1085339999999999</v>
      </c>
      <c r="L1322">
        <v>282.17570000000001</v>
      </c>
      <c r="M1322">
        <v>-0.99984830000000002</v>
      </c>
      <c r="N1322">
        <v>0</v>
      </c>
      <c r="O1322">
        <v>1.521667E-2</v>
      </c>
      <c r="P1322">
        <v>-0.98651129999999998</v>
      </c>
      <c r="Q1322">
        <v>0.16310740000000001</v>
      </c>
      <c r="R1322">
        <v>1.3843279999999999E-2</v>
      </c>
      <c r="S1322">
        <v>-3.0657649999999999</v>
      </c>
      <c r="T1322">
        <v>-0.1446424</v>
      </c>
      <c r="U1322">
        <v>8.5144039999999997E-3</v>
      </c>
      <c r="V1322">
        <v>-1.198221E-3</v>
      </c>
      <c r="W1322">
        <v>0.17147899999999999</v>
      </c>
      <c r="X1322">
        <v>0.98518709999999998</v>
      </c>
      <c r="Y1322">
        <v>-1.24095E-2</v>
      </c>
      <c r="Z1322">
        <v>-1.0100969999999999E-3</v>
      </c>
      <c r="AA1322">
        <v>0.99992250000000005</v>
      </c>
      <c r="AB1322">
        <v>32</v>
      </c>
      <c r="AC1322">
        <v>-23.169699999999999</v>
      </c>
      <c r="AD1322">
        <v>-1.108531632656</v>
      </c>
      <c r="AE1322">
        <v>6.0200000000008899E-2</v>
      </c>
      <c r="AF1322">
        <v>-0.29171756073887301</v>
      </c>
      <c r="AG1322">
        <v>-1.108531632656</v>
      </c>
      <c r="AH1322">
        <v>23.115022196433902</v>
      </c>
      <c r="AI1322">
        <v>92.745422991295101</v>
      </c>
      <c r="AJ1322">
        <v>90.723049176491301</v>
      </c>
      <c r="AK1322">
        <v>23.143426553937001</v>
      </c>
      <c r="AL1322">
        <v>80.126178146009096</v>
      </c>
      <c r="AM1322">
        <v>90.069685212456307</v>
      </c>
      <c r="AN1322">
        <v>1.00000005259048</v>
      </c>
    </row>
    <row r="1323" spans="1:40" x14ac:dyDescent="0.25">
      <c r="A1323" t="str">
        <f>"20190312164500033"</f>
        <v>20190312164500033</v>
      </c>
      <c r="B1323" t="str">
        <f>"1552380300022777"</f>
        <v>1552380300022777</v>
      </c>
      <c r="C1323" t="s">
        <v>40</v>
      </c>
      <c r="D1323">
        <v>6.086068</v>
      </c>
      <c r="E1323">
        <v>0.49875550000000002</v>
      </c>
      <c r="F1323" t="s">
        <v>47</v>
      </c>
      <c r="G1323">
        <v>-245.89490000000001</v>
      </c>
      <c r="H1323" s="1">
        <v>1.6001989999999999E-6</v>
      </c>
      <c r="I1323">
        <v>282.26519999999999</v>
      </c>
      <c r="J1323">
        <v>-224.48599999999999</v>
      </c>
      <c r="K1323">
        <v>1.1085050000000001</v>
      </c>
      <c r="L1323">
        <v>282.18040000000002</v>
      </c>
      <c r="M1323">
        <v>-0.99985069999999998</v>
      </c>
      <c r="N1323">
        <v>0</v>
      </c>
      <c r="O1323">
        <v>1.5121809999999999E-2</v>
      </c>
      <c r="P1323">
        <v>-0.98684260000000001</v>
      </c>
      <c r="Q1323">
        <v>0.16093840000000001</v>
      </c>
      <c r="R1323">
        <v>1.5531120000000001E-2</v>
      </c>
      <c r="S1323">
        <v>-3.0667110000000002</v>
      </c>
      <c r="T1323">
        <v>-0.15645870000000001</v>
      </c>
      <c r="U1323">
        <v>1.2634279999999999E-2</v>
      </c>
      <c r="V1323">
        <v>5.7967309999999998E-4</v>
      </c>
      <c r="W1323">
        <v>0.169205299999999</v>
      </c>
      <c r="X1323">
        <v>0.98558069999999998</v>
      </c>
      <c r="Y1323">
        <v>-1.096897E-2</v>
      </c>
      <c r="Z1323">
        <v>-1.0506109999999999E-3</v>
      </c>
      <c r="AA1323">
        <v>0.99993929999999998</v>
      </c>
      <c r="AB1323">
        <v>32</v>
      </c>
      <c r="AC1323">
        <v>-21.408899999999999</v>
      </c>
      <c r="AD1323">
        <v>-1.1085033998010001</v>
      </c>
      <c r="AE1323">
        <v>8.4799999999972897E-2</v>
      </c>
      <c r="AF1323">
        <v>-0.23832341346873701</v>
      </c>
      <c r="AG1323">
        <v>-1.1085033998010001</v>
      </c>
      <c r="AH1323">
        <v>21.3504960148016</v>
      </c>
      <c r="AI1323">
        <v>92.971904921201997</v>
      </c>
      <c r="AJ1323">
        <v>90.6395335569715</v>
      </c>
      <c r="AK1323">
        <v>21.380581327803899</v>
      </c>
      <c r="AL1323">
        <v>80.258383677249697</v>
      </c>
      <c r="AM1323">
        <v>89.966301269599199</v>
      </c>
      <c r="AN1323">
        <v>1.0000000428907401</v>
      </c>
    </row>
    <row r="1324" spans="1:40" x14ac:dyDescent="0.25">
      <c r="A1324" t="str">
        <f>"20190312164500056"</f>
        <v>20190312164500056</v>
      </c>
      <c r="B1324" t="str">
        <f>"1552380300053033"</f>
        <v>1552380300053033</v>
      </c>
      <c r="C1324" t="s">
        <v>40</v>
      </c>
      <c r="D1324">
        <v>5.1818070000000001</v>
      </c>
      <c r="E1324">
        <v>0.4995387</v>
      </c>
      <c r="F1324" t="s">
        <v>47</v>
      </c>
      <c r="G1324">
        <v>-245.17310000000001</v>
      </c>
      <c r="H1324" s="1">
        <v>1.2160939999999999E-6</v>
      </c>
      <c r="I1324">
        <v>282.3152</v>
      </c>
      <c r="J1324">
        <v>-224.81569999999999</v>
      </c>
      <c r="K1324">
        <v>1.1084750000000001</v>
      </c>
      <c r="L1324">
        <v>282.18529999999998</v>
      </c>
      <c r="M1324">
        <v>-0.99985279999999999</v>
      </c>
      <c r="N1324">
        <v>0</v>
      </c>
      <c r="O1324">
        <v>1.503786E-2</v>
      </c>
      <c r="P1324">
        <v>-0.98706959999999999</v>
      </c>
      <c r="Q1324">
        <v>0.15929109999999999</v>
      </c>
      <c r="R1324">
        <v>1.788996E-2</v>
      </c>
      <c r="S1324">
        <v>-3.0664669999999998</v>
      </c>
      <c r="T1324">
        <v>-0.1643144</v>
      </c>
      <c r="U1324">
        <v>1.9989010000000001E-2</v>
      </c>
      <c r="V1324">
        <v>3.021204E-3</v>
      </c>
      <c r="W1324">
        <v>0.16745019999999999</v>
      </c>
      <c r="X1324">
        <v>0.98587590000000003</v>
      </c>
      <c r="Y1324">
        <v>-8.4865989999999992E-3</v>
      </c>
      <c r="Z1324">
        <v>-1.0324100000000001E-3</v>
      </c>
      <c r="AA1324">
        <v>0.99996350000000001</v>
      </c>
      <c r="AB1324">
        <v>32</v>
      </c>
      <c r="AC1324">
        <v>-20.357399999999998</v>
      </c>
      <c r="AD1324">
        <v>-1.1084737839059999</v>
      </c>
      <c r="AE1324">
        <v>0.12990000000002</v>
      </c>
      <c r="AF1324">
        <v>-0.17573585309127199</v>
      </c>
      <c r="AG1324">
        <v>-1.1084737839059999</v>
      </c>
      <c r="AH1324">
        <v>20.296876185323601</v>
      </c>
      <c r="AI1324">
        <v>93.1258734697454</v>
      </c>
      <c r="AJ1324">
        <v>90.496069986477096</v>
      </c>
      <c r="AK1324">
        <v>20.3278818400251</v>
      </c>
      <c r="AL1324">
        <v>80.3603986813836</v>
      </c>
      <c r="AM1324">
        <v>89.824418371137</v>
      </c>
      <c r="AN1324">
        <v>0.99999999367722903</v>
      </c>
    </row>
    <row r="1325" spans="1:40" x14ac:dyDescent="0.25">
      <c r="A1325" t="str">
        <f>"20190312164500077"</f>
        <v>20190312164500077</v>
      </c>
      <c r="B1325" t="str">
        <f>"1552380300072555"</f>
        <v>1552380300072555</v>
      </c>
      <c r="C1325" t="s">
        <v>40</v>
      </c>
      <c r="D1325">
        <v>5.3917840000000004</v>
      </c>
      <c r="E1325">
        <v>0.49990869999999998</v>
      </c>
      <c r="F1325" t="s">
        <v>47</v>
      </c>
      <c r="G1325">
        <v>-244.36760000000001</v>
      </c>
      <c r="H1325" s="1">
        <v>7.8741849999999995E-7</v>
      </c>
      <c r="I1325">
        <v>282.38470000000001</v>
      </c>
      <c r="J1325">
        <v>-225.11600000000001</v>
      </c>
      <c r="K1325">
        <v>1.1084350000000001</v>
      </c>
      <c r="L1325">
        <v>282.18979999999999</v>
      </c>
      <c r="M1325">
        <v>-0.99985460000000004</v>
      </c>
      <c r="N1325">
        <v>0</v>
      </c>
      <c r="O1325">
        <v>1.498056E-2</v>
      </c>
      <c r="P1325">
        <v>-0.98710819999999999</v>
      </c>
      <c r="Q1325">
        <v>0.15872900000000001</v>
      </c>
      <c r="R1325">
        <v>2.055831E-2</v>
      </c>
      <c r="S1325">
        <v>-3.0667719999999998</v>
      </c>
      <c r="T1325">
        <v>-0.17386760000000001</v>
      </c>
      <c r="U1325">
        <v>3.1280519999999999E-2</v>
      </c>
      <c r="V1325">
        <v>5.7507000000000001E-3</v>
      </c>
      <c r="W1325">
        <v>0.16678589999999999</v>
      </c>
      <c r="X1325">
        <v>0.98597639999999998</v>
      </c>
      <c r="Y1325">
        <v>-4.7504549999999998E-3</v>
      </c>
      <c r="Z1325">
        <v>-9.8314210000000003E-4</v>
      </c>
      <c r="AA1325">
        <v>0.99998830000000005</v>
      </c>
      <c r="AB1325">
        <v>32</v>
      </c>
      <c r="AC1325">
        <v>-19.2516</v>
      </c>
      <c r="AD1325">
        <v>-1.1084342125814901</v>
      </c>
      <c r="AE1325">
        <v>0.194900000000018</v>
      </c>
      <c r="AF1325">
        <v>-9.3222189077045201E-2</v>
      </c>
      <c r="AG1325">
        <v>-1.1084342125814901</v>
      </c>
      <c r="AH1325">
        <v>19.188754757015101</v>
      </c>
      <c r="AI1325">
        <v>93.305965359416206</v>
      </c>
      <c r="AJ1325">
        <v>90.278350317067606</v>
      </c>
      <c r="AK1325">
        <v>19.220968391447599</v>
      </c>
      <c r="AL1325">
        <v>80.399003560240104</v>
      </c>
      <c r="AM1325">
        <v>89.6658265825439</v>
      </c>
      <c r="AN1325">
        <v>1.0000000341731199</v>
      </c>
    </row>
    <row r="1326" spans="1:40" x14ac:dyDescent="0.25">
      <c r="A1326" t="str">
        <f>"20190312164500098"</f>
        <v>20190312164500098</v>
      </c>
      <c r="B1326" t="str">
        <f>"1552380300093049"</f>
        <v>1552380300093049</v>
      </c>
      <c r="C1326" t="s">
        <v>40</v>
      </c>
      <c r="D1326">
        <v>5.2429870000000003</v>
      </c>
      <c r="E1326">
        <v>0.50022359999999999</v>
      </c>
      <c r="F1326" t="s">
        <v>47</v>
      </c>
      <c r="G1326">
        <v>-245.2722</v>
      </c>
      <c r="H1326" s="1">
        <v>1.268805E-6</v>
      </c>
      <c r="I1326">
        <v>282.46129999999999</v>
      </c>
      <c r="J1326">
        <v>-225.42660000000001</v>
      </c>
      <c r="K1326">
        <v>1.1083989999999999</v>
      </c>
      <c r="L1326">
        <v>282.19450000000001</v>
      </c>
      <c r="M1326">
        <v>-0.99985599999999997</v>
      </c>
      <c r="N1326">
        <v>0</v>
      </c>
      <c r="O1326">
        <v>1.494351E-2</v>
      </c>
      <c r="P1326">
        <v>-0.98717080000000001</v>
      </c>
      <c r="Q1326">
        <v>0.15793589999999999</v>
      </c>
      <c r="R1326">
        <v>2.3456939999999999E-2</v>
      </c>
      <c r="S1326">
        <v>-3.0654300000000001</v>
      </c>
      <c r="T1326">
        <v>-0.16857459999999999</v>
      </c>
      <c r="U1326">
        <v>4.1290279999999999E-2</v>
      </c>
      <c r="V1326">
        <v>8.6914980000000006E-3</v>
      </c>
      <c r="W1326">
        <v>0.165885</v>
      </c>
      <c r="X1326">
        <v>0.98610679999999995</v>
      </c>
      <c r="Y1326">
        <v>-1.450939E-3</v>
      </c>
      <c r="Z1326">
        <v>-8.6096429999999997E-4</v>
      </c>
      <c r="AA1326">
        <v>0.99999859999999896</v>
      </c>
      <c r="AB1326">
        <v>32</v>
      </c>
      <c r="AC1326">
        <v>-19.845599999999902</v>
      </c>
      <c r="AD1326">
        <v>-1.108397731195</v>
      </c>
      <c r="AE1326">
        <v>0.26679999999998899</v>
      </c>
      <c r="AF1326">
        <v>-2.9709647180399899E-2</v>
      </c>
      <c r="AG1326">
        <v>-1.108397731195</v>
      </c>
      <c r="AH1326">
        <v>19.785663874141001</v>
      </c>
      <c r="AI1326">
        <v>93.206368630497394</v>
      </c>
      <c r="AJ1326">
        <v>90.086033813458499</v>
      </c>
      <c r="AK1326">
        <v>19.816708181081498</v>
      </c>
      <c r="AL1326">
        <v>80.451350215543599</v>
      </c>
      <c r="AM1326">
        <v>89.495010826239493</v>
      </c>
      <c r="AN1326">
        <v>0.99999999818436103</v>
      </c>
    </row>
    <row r="1327" spans="1:40" x14ac:dyDescent="0.25">
      <c r="A1327" t="str">
        <f>"20190312164500121"</f>
        <v>20190312164500121</v>
      </c>
      <c r="B1327" t="str">
        <f>"1552380300112570"</f>
        <v>1552380300112570</v>
      </c>
      <c r="C1327" t="s">
        <v>40</v>
      </c>
      <c r="D1327">
        <v>5.1932970000000003</v>
      </c>
      <c r="E1327">
        <v>0.500448</v>
      </c>
      <c r="F1327" t="s">
        <v>47</v>
      </c>
      <c r="G1327">
        <v>-245.9323</v>
      </c>
      <c r="H1327" s="1">
        <v>1.620085E-6</v>
      </c>
      <c r="I1327">
        <v>282.54020000000003</v>
      </c>
      <c r="J1327">
        <v>-225.7516</v>
      </c>
      <c r="K1327">
        <v>1.1083559999999999</v>
      </c>
      <c r="L1327">
        <v>282.19929999999999</v>
      </c>
      <c r="M1327">
        <v>-0.99985690000000005</v>
      </c>
      <c r="N1327">
        <v>0</v>
      </c>
      <c r="O1327">
        <v>1.494086E-2</v>
      </c>
      <c r="P1327">
        <v>-0.98730830000000003</v>
      </c>
      <c r="Q1327">
        <v>0.15662679999999901</v>
      </c>
      <c r="R1327">
        <v>2.6279859999999999E-2</v>
      </c>
      <c r="S1327">
        <v>-3.06427</v>
      </c>
      <c r="T1327">
        <v>-0.16563320000000001</v>
      </c>
      <c r="U1327">
        <v>5.1666259999999999E-2</v>
      </c>
      <c r="V1327">
        <v>1.152391E-2</v>
      </c>
      <c r="W1327">
        <v>0.16446569999999999</v>
      </c>
      <c r="X1327">
        <v>0.98631550000000001</v>
      </c>
      <c r="Y1327">
        <v>1.936365E-3</v>
      </c>
      <c r="Z1327">
        <v>-7.5463910000000002E-4</v>
      </c>
      <c r="AA1327">
        <v>0.9999979</v>
      </c>
      <c r="AB1327">
        <v>32</v>
      </c>
      <c r="AC1327">
        <v>-20.180700000000002</v>
      </c>
      <c r="AD1327">
        <v>-1.108354379915</v>
      </c>
      <c r="AE1327">
        <v>0.34090000000003301</v>
      </c>
      <c r="AF1327">
        <v>3.9217182069801099E-2</v>
      </c>
      <c r="AG1327">
        <v>-1.108354379915</v>
      </c>
      <c r="AH1327">
        <v>20.122860063700202</v>
      </c>
      <c r="AI1327">
        <v>93.152623743060104</v>
      </c>
      <c r="AJ1327">
        <v>89.888337136714497</v>
      </c>
      <c r="AK1327">
        <v>20.153398833995901</v>
      </c>
      <c r="AL1327">
        <v>80.533802844976506</v>
      </c>
      <c r="AM1327">
        <v>89.330598207008805</v>
      </c>
      <c r="AN1327">
        <v>1.00000001625921</v>
      </c>
    </row>
    <row r="1328" spans="1:40" x14ac:dyDescent="0.25">
      <c r="A1328" t="str">
        <f>"20190312164500143"</f>
        <v>20190312164500143</v>
      </c>
      <c r="B1328" t="str">
        <f>"1552380300132600"</f>
        <v>1552380300132600</v>
      </c>
      <c r="C1328" t="s">
        <v>40</v>
      </c>
      <c r="D1328">
        <v>5.3011569999999999</v>
      </c>
      <c r="E1328">
        <v>0.50055810000000001</v>
      </c>
      <c r="F1328" t="s">
        <v>47</v>
      </c>
      <c r="G1328">
        <v>-246.3022</v>
      </c>
      <c r="H1328" s="1">
        <v>1.8169379999999999E-6</v>
      </c>
      <c r="I1328">
        <v>282.61079999999998</v>
      </c>
      <c r="J1328">
        <v>-226.06890000000001</v>
      </c>
      <c r="K1328">
        <v>1.1082920000000001</v>
      </c>
      <c r="L1328">
        <v>282.20409999999998</v>
      </c>
      <c r="M1328">
        <v>-0.99985690000000005</v>
      </c>
      <c r="N1328">
        <v>0</v>
      </c>
      <c r="O1328">
        <v>1.499384E-2</v>
      </c>
      <c r="P1328">
        <v>-0.9875661</v>
      </c>
      <c r="Q1328">
        <v>0.154619799999999</v>
      </c>
      <c r="R1328">
        <v>2.8388E-2</v>
      </c>
      <c r="S1328">
        <v>-3.0631560000000002</v>
      </c>
      <c r="T1328">
        <v>-0.165204399999999</v>
      </c>
      <c r="U1328">
        <v>6.1340329999999998E-2</v>
      </c>
      <c r="V1328">
        <v>1.358941E-2</v>
      </c>
      <c r="W1328">
        <v>0.1623521</v>
      </c>
      <c r="X1328">
        <v>0.9866393</v>
      </c>
      <c r="Y1328">
        <v>5.0421060000000002E-3</v>
      </c>
      <c r="Z1328">
        <v>-6.7210749999999997E-4</v>
      </c>
      <c r="AA1328">
        <v>0.99998710000000002</v>
      </c>
      <c r="AB1328">
        <v>32</v>
      </c>
      <c r="AC1328">
        <v>-20.2332999999999</v>
      </c>
      <c r="AD1328">
        <v>-1.108290183062</v>
      </c>
      <c r="AE1328">
        <v>0.40670000000000001</v>
      </c>
      <c r="AF1328">
        <v>0.102961310603479</v>
      </c>
      <c r="AG1328">
        <v>-1.108290183062</v>
      </c>
      <c r="AH1328">
        <v>20.176610867278701</v>
      </c>
      <c r="AI1328">
        <v>93.144025331872996</v>
      </c>
      <c r="AJ1328">
        <v>89.707621989461899</v>
      </c>
      <c r="AK1328">
        <v>20.207289136619501</v>
      </c>
      <c r="AL1328">
        <v>80.656552959969304</v>
      </c>
      <c r="AM1328">
        <v>89.210890334219997</v>
      </c>
      <c r="AN1328">
        <v>0.99999999237152404</v>
      </c>
    </row>
    <row r="1329" spans="1:40" x14ac:dyDescent="0.25">
      <c r="A1329" t="str">
        <f>"20190312164500164"</f>
        <v>20190312164500164</v>
      </c>
      <c r="B1329" t="str">
        <f>"1552380300153093"</f>
        <v>1552380300153093</v>
      </c>
      <c r="C1329" t="s">
        <v>40</v>
      </c>
      <c r="D1329">
        <v>5.1328829999999996</v>
      </c>
      <c r="E1329">
        <v>0.50067519999999999</v>
      </c>
      <c r="F1329" t="s">
        <v>47</v>
      </c>
      <c r="G1329">
        <v>-246.20009999999999</v>
      </c>
      <c r="H1329" s="1">
        <v>1.762588E-6</v>
      </c>
      <c r="I1329">
        <v>282.65309999999999</v>
      </c>
      <c r="J1329">
        <v>-226.37960000000001</v>
      </c>
      <c r="K1329">
        <v>1.1082190000000001</v>
      </c>
      <c r="L1329">
        <v>282.20890000000003</v>
      </c>
      <c r="M1329">
        <v>-0.99985610000000003</v>
      </c>
      <c r="N1329">
        <v>0</v>
      </c>
      <c r="O1329">
        <v>1.5115999999999999E-2</v>
      </c>
      <c r="P1329">
        <v>-0.98791130000000005</v>
      </c>
      <c r="Q1329">
        <v>0.15206069999999999</v>
      </c>
      <c r="R1329">
        <v>3.0153269999999999E-2</v>
      </c>
      <c r="S1329">
        <v>-3.0622099999999999</v>
      </c>
      <c r="T1329">
        <v>-0.16858519999999999</v>
      </c>
      <c r="U1329">
        <v>6.8298339999999999E-2</v>
      </c>
      <c r="V1329">
        <v>1.5247449999999999E-2</v>
      </c>
      <c r="W1329">
        <v>0.15968650000000001</v>
      </c>
      <c r="X1329">
        <v>0.98704999999999998</v>
      </c>
      <c r="Y1329">
        <v>7.1948130000000004E-3</v>
      </c>
      <c r="Z1329">
        <v>-6.3354589999999999E-4</v>
      </c>
      <c r="AA1329">
        <v>0.99997389999999997</v>
      </c>
      <c r="AB1329">
        <v>32</v>
      </c>
      <c r="AC1329">
        <v>-19.8204999999999</v>
      </c>
      <c r="AD1329">
        <v>-1.1082172374120001</v>
      </c>
      <c r="AE1329">
        <v>0.44419999999996601</v>
      </c>
      <c r="AF1329">
        <v>0.14408347447511299</v>
      </c>
      <c r="AG1329">
        <v>-1.1082172374120001</v>
      </c>
      <c r="AH1329">
        <v>19.763196800585199</v>
      </c>
      <c r="AI1329">
        <v>93.209402923046497</v>
      </c>
      <c r="AJ1329">
        <v>89.582292844035194</v>
      </c>
      <c r="AK1329">
        <v>19.7947683308387</v>
      </c>
      <c r="AL1329">
        <v>80.811299804918804</v>
      </c>
      <c r="AM1329">
        <v>89.1149941193476</v>
      </c>
      <c r="AN1329">
        <v>0.99999998275687596</v>
      </c>
    </row>
    <row r="1330" spans="1:40" x14ac:dyDescent="0.25">
      <c r="A1330" t="str">
        <f>"20190312164500188"</f>
        <v>20190312164500188</v>
      </c>
      <c r="B1330" t="str">
        <f>"1552380300183349"</f>
        <v>1552380300183349</v>
      </c>
      <c r="C1330" t="s">
        <v>40</v>
      </c>
      <c r="D1330">
        <v>5.5076589999999896</v>
      </c>
      <c r="E1330">
        <v>0.50139769999999995</v>
      </c>
      <c r="F1330" t="s">
        <v>47</v>
      </c>
      <c r="G1330">
        <v>-245.22040000000001</v>
      </c>
      <c r="H1330" s="1">
        <v>1.2412479999999999E-6</v>
      </c>
      <c r="I1330">
        <v>282.66219999999998</v>
      </c>
      <c r="J1330">
        <v>-226.7105</v>
      </c>
      <c r="K1330">
        <v>1.1081259999999999</v>
      </c>
      <c r="L1330">
        <v>282.21409999999997</v>
      </c>
      <c r="M1330">
        <v>-0.99985369999999996</v>
      </c>
      <c r="N1330">
        <v>0</v>
      </c>
      <c r="O1330">
        <v>1.5332210000000001E-2</v>
      </c>
      <c r="P1330">
        <v>-0.98814400000000002</v>
      </c>
      <c r="Q1330">
        <v>0.15025350000000001</v>
      </c>
      <c r="R1330">
        <v>3.1555640000000003E-2</v>
      </c>
      <c r="S1330">
        <v>-3.0622099999999999</v>
      </c>
      <c r="T1330">
        <v>-0.18011949999999999</v>
      </c>
      <c r="U1330">
        <v>7.3669429999999994E-2</v>
      </c>
      <c r="V1330">
        <v>1.6457119999999999E-2</v>
      </c>
      <c r="W1330">
        <v>0.15776279999999901</v>
      </c>
      <c r="X1330">
        <v>0.98733990000000005</v>
      </c>
      <c r="Y1330">
        <v>8.7310080000000002E-3</v>
      </c>
      <c r="Z1330">
        <v>-6.443706E-4</v>
      </c>
      <c r="AA1330">
        <v>0.99996169999999995</v>
      </c>
      <c r="AB1330">
        <v>32</v>
      </c>
      <c r="AC1330">
        <v>-18.509899999999998</v>
      </c>
      <c r="AD1330">
        <v>-1.108124758752</v>
      </c>
      <c r="AE1330">
        <v>0.44810000000000999</v>
      </c>
      <c r="AF1330">
        <v>0.16365529265759399</v>
      </c>
      <c r="AG1330">
        <v>-1.108124758752</v>
      </c>
      <c r="AH1330">
        <v>18.448513760854201</v>
      </c>
      <c r="AI1330">
        <v>93.437252033790998</v>
      </c>
      <c r="AJ1330">
        <v>89.491747046131195</v>
      </c>
      <c r="AK1330">
        <v>18.4824885640489</v>
      </c>
      <c r="AL1330">
        <v>80.922935158684894</v>
      </c>
      <c r="AM1330">
        <v>89.045074335271394</v>
      </c>
      <c r="AN1330">
        <v>1.00000000799727</v>
      </c>
    </row>
    <row r="1331" spans="1:40" x14ac:dyDescent="0.25">
      <c r="A1331" t="str">
        <f>"20190312164500212"</f>
        <v>20190312164500212</v>
      </c>
      <c r="B1331" t="str">
        <f>"1552380300202868"</f>
        <v>1552380300202868</v>
      </c>
      <c r="C1331" t="s">
        <v>40</v>
      </c>
      <c r="D1331">
        <v>5.1818720000000003</v>
      </c>
      <c r="E1331">
        <v>0.50161990000000001</v>
      </c>
      <c r="F1331" t="s">
        <v>47</v>
      </c>
      <c r="G1331">
        <v>-244.68709999999999</v>
      </c>
      <c r="H1331" s="1">
        <v>9.5742970000000009E-7</v>
      </c>
      <c r="I1331">
        <v>282.69560000000001</v>
      </c>
      <c r="J1331">
        <v>-227.0599</v>
      </c>
      <c r="K1331">
        <v>1.1080190000000001</v>
      </c>
      <c r="L1331">
        <v>282.21980000000002</v>
      </c>
      <c r="M1331">
        <v>-0.99984930000000005</v>
      </c>
      <c r="N1331">
        <v>0</v>
      </c>
      <c r="O1331">
        <v>1.5672370000000001E-2</v>
      </c>
      <c r="P1331">
        <v>-0.98830430000000002</v>
      </c>
      <c r="Q1331">
        <v>0.14893960000000001</v>
      </c>
      <c r="R1331">
        <v>3.2739740000000003E-2</v>
      </c>
      <c r="S1331">
        <v>-3.0620729999999998</v>
      </c>
      <c r="T1331">
        <v>-0.18875520000000001</v>
      </c>
      <c r="U1331">
        <v>8.203125E-2</v>
      </c>
      <c r="V1331">
        <v>1.7331920000000001E-2</v>
      </c>
      <c r="W1331">
        <v>0.15632089999999901</v>
      </c>
      <c r="X1331">
        <v>0.9875543</v>
      </c>
      <c r="Y1331">
        <v>1.1117999999999999E-2</v>
      </c>
      <c r="Z1331">
        <v>-6.2266220000000002E-4</v>
      </c>
      <c r="AA1331">
        <v>0.99993799999999999</v>
      </c>
      <c r="AB1331">
        <v>32</v>
      </c>
      <c r="AC1331">
        <v>-17.627199999999899</v>
      </c>
      <c r="AD1331">
        <v>-1.1080180425702999</v>
      </c>
      <c r="AE1331">
        <v>0.47579999999999201</v>
      </c>
      <c r="AF1331">
        <v>0.198689371059767</v>
      </c>
      <c r="AG1331">
        <v>-1.1080180425702999</v>
      </c>
      <c r="AH1331">
        <v>17.5631473807689</v>
      </c>
      <c r="AI1331">
        <v>93.609642763480693</v>
      </c>
      <c r="AJ1331">
        <v>89.351848701177602</v>
      </c>
      <c r="AK1331">
        <v>17.599185417724399</v>
      </c>
      <c r="AL1331">
        <v>81.0065883655259</v>
      </c>
      <c r="AM1331">
        <v>88.994542448819004</v>
      </c>
      <c r="AN1331">
        <v>1.0000000573380901</v>
      </c>
    </row>
    <row r="1332" spans="1:40" x14ac:dyDescent="0.25">
      <c r="A1332" t="str">
        <f>"20190312164500235"</f>
        <v>20190312164500235</v>
      </c>
      <c r="B1332" t="str">
        <f>"1552380300223365"</f>
        <v>1552380300223365</v>
      </c>
      <c r="C1332" t="s">
        <v>40</v>
      </c>
      <c r="D1332">
        <v>5.1330799999999996</v>
      </c>
      <c r="E1332">
        <v>0.50150059999999996</v>
      </c>
      <c r="F1332" t="s">
        <v>41</v>
      </c>
      <c r="G1332">
        <v>-228.0438</v>
      </c>
      <c r="H1332">
        <v>1.0458799999999999</v>
      </c>
      <c r="I1332">
        <v>282.24770000000001</v>
      </c>
      <c r="J1332">
        <v>-227.40010000000001</v>
      </c>
      <c r="K1332">
        <v>1.1079129999999999</v>
      </c>
      <c r="L1332">
        <v>282.22550000000001</v>
      </c>
      <c r="M1332">
        <v>-0.99984320000000004</v>
      </c>
      <c r="N1332">
        <v>0</v>
      </c>
      <c r="O1332">
        <v>1.6105749999999999E-2</v>
      </c>
      <c r="P1332">
        <v>-0.98863020000000001</v>
      </c>
      <c r="Q1332">
        <v>0.14652670000000001</v>
      </c>
      <c r="R1332">
        <v>3.3769920000000002E-2</v>
      </c>
      <c r="S1332">
        <v>-3.0617679999999998</v>
      </c>
      <c r="T1332">
        <v>-0.19346050000000001</v>
      </c>
      <c r="U1332">
        <v>8.6761469999999993E-2</v>
      </c>
      <c r="V1332">
        <v>1.7956030000000001E-2</v>
      </c>
      <c r="W1332">
        <v>0.15378549999999999</v>
      </c>
      <c r="X1332">
        <v>0.98794110000000002</v>
      </c>
      <c r="Y1332">
        <v>1.2230009999999999E-2</v>
      </c>
      <c r="Z1332">
        <v>-6.3045539999999995E-4</v>
      </c>
      <c r="AA1332">
        <v>0.99992499999999995</v>
      </c>
      <c r="AB1332">
        <v>33</v>
      </c>
      <c r="AC1332">
        <v>-0.64369999999999505</v>
      </c>
      <c r="AD1332">
        <v>-6.2032999999999998E-2</v>
      </c>
      <c r="AE1332">
        <v>2.2199999999997999E-2</v>
      </c>
      <c r="AF1332">
        <v>1.17208452835005E-2</v>
      </c>
      <c r="AG1332">
        <v>-6.2032999999999998E-2</v>
      </c>
      <c r="AH1332">
        <v>0.63805543762284</v>
      </c>
      <c r="AI1332">
        <v>95.552025314195603</v>
      </c>
      <c r="AJ1332">
        <v>88.947615825388198</v>
      </c>
      <c r="AK1332">
        <v>0.64117097000974199</v>
      </c>
      <c r="AL1332">
        <v>81.153634037417504</v>
      </c>
      <c r="AM1332">
        <v>88.958752223361799</v>
      </c>
      <c r="AN1332">
        <v>1.00000000804641</v>
      </c>
    </row>
    <row r="1333" spans="1:40" x14ac:dyDescent="0.25">
      <c r="A1333" t="str">
        <f>"20190312164500255"</f>
        <v>20190312164500255</v>
      </c>
      <c r="B1333" t="str">
        <f>"1552380300243391"</f>
        <v>1552380300243391</v>
      </c>
      <c r="C1333" t="s">
        <v>40</v>
      </c>
      <c r="D1333">
        <v>5.289981</v>
      </c>
      <c r="E1333">
        <v>0.5013476</v>
      </c>
      <c r="F1333" t="s">
        <v>41</v>
      </c>
      <c r="G1333">
        <v>-228.3383</v>
      </c>
      <c r="H1333">
        <v>1.047258</v>
      </c>
      <c r="I1333">
        <v>282.2525</v>
      </c>
      <c r="J1333">
        <v>-227.69200000000001</v>
      </c>
      <c r="K1333">
        <v>1.107836</v>
      </c>
      <c r="L1333">
        <v>282.23059999999998</v>
      </c>
      <c r="M1333">
        <v>-0.99983690000000003</v>
      </c>
      <c r="N1333">
        <v>0</v>
      </c>
      <c r="O1333">
        <v>1.6540639999999999E-2</v>
      </c>
      <c r="P1333">
        <v>-0.98910279999999995</v>
      </c>
      <c r="Q1333">
        <v>0.14316180000000001</v>
      </c>
      <c r="R1333">
        <v>3.4356589999999999E-2</v>
      </c>
      <c r="S1333">
        <v>-3.0608219999999999</v>
      </c>
      <c r="T1333">
        <v>-0.19787879999999999</v>
      </c>
      <c r="U1333">
        <v>8.8104249999999995E-2</v>
      </c>
      <c r="V1333">
        <v>1.81236E-2</v>
      </c>
      <c r="W1333">
        <v>0.15032300000000001</v>
      </c>
      <c r="X1333">
        <v>0.98847079999999998</v>
      </c>
      <c r="Y1333">
        <v>1.224339E-2</v>
      </c>
      <c r="Z1333">
        <v>-6.726608E-4</v>
      </c>
      <c r="AA1333">
        <v>0.99992479999999995</v>
      </c>
      <c r="AB1333">
        <v>33</v>
      </c>
      <c r="AC1333">
        <v>-0.64629999999999599</v>
      </c>
      <c r="AD1333">
        <v>-6.0578E-2</v>
      </c>
      <c r="AE1333">
        <v>2.1900000000016399E-2</v>
      </c>
      <c r="AF1333">
        <v>1.1109021834959199E-2</v>
      </c>
      <c r="AG1333">
        <v>-6.0578E-2</v>
      </c>
      <c r="AH1333">
        <v>0.64094928944843799</v>
      </c>
      <c r="AI1333">
        <v>95.398348211185294</v>
      </c>
      <c r="AJ1333">
        <v>89.0070410372401</v>
      </c>
      <c r="AK1333">
        <v>0.64390146458490605</v>
      </c>
      <c r="AL1333">
        <v>81.354354624871107</v>
      </c>
      <c r="AM1333">
        <v>88.949600279399206</v>
      </c>
      <c r="AN1333">
        <v>0.99999999582929999</v>
      </c>
    </row>
    <row r="1334" spans="1:40" x14ac:dyDescent="0.25">
      <c r="A1334" t="str">
        <f>"20190312164500276"</f>
        <v>20190312164500276</v>
      </c>
      <c r="B1334" t="str">
        <f>"1552380300272671"</f>
        <v>1552380300272671</v>
      </c>
      <c r="C1334" t="s">
        <v>40</v>
      </c>
      <c r="D1334">
        <v>5.104133</v>
      </c>
      <c r="E1334">
        <v>0.50110109999999997</v>
      </c>
      <c r="F1334" t="s">
        <v>41</v>
      </c>
      <c r="G1334">
        <v>-228.62979999999999</v>
      </c>
      <c r="H1334">
        <v>1.0442089999999999</v>
      </c>
      <c r="I1334">
        <v>282.2577</v>
      </c>
      <c r="J1334">
        <v>-228.0061</v>
      </c>
      <c r="K1334">
        <v>1.1077629999999901</v>
      </c>
      <c r="L1334">
        <v>282.23630000000003</v>
      </c>
      <c r="M1334">
        <v>-0.99982879999999996</v>
      </c>
      <c r="N1334">
        <v>0</v>
      </c>
      <c r="O1334">
        <v>1.7070450000000001E-2</v>
      </c>
      <c r="P1334">
        <v>-0.98954969999999998</v>
      </c>
      <c r="Q1334">
        <v>0.13989849999999901</v>
      </c>
      <c r="R1334">
        <v>3.4927220000000002E-2</v>
      </c>
      <c r="S1334">
        <v>-3.0600740000000002</v>
      </c>
      <c r="T1334">
        <v>-0.2078073</v>
      </c>
      <c r="U1334">
        <v>8.7402339999999995E-2</v>
      </c>
      <c r="V1334">
        <v>1.8178989999999999E-2</v>
      </c>
      <c r="W1334">
        <v>0.14695429999999901</v>
      </c>
      <c r="X1334">
        <v>0.98897619999999997</v>
      </c>
      <c r="Y1334">
        <v>1.149527E-2</v>
      </c>
      <c r="Z1334">
        <v>-7.6780019999999997E-4</v>
      </c>
      <c r="AA1334">
        <v>0.99993370000000004</v>
      </c>
      <c r="AB1334">
        <v>33</v>
      </c>
      <c r="AC1334">
        <v>-0.62369999999998504</v>
      </c>
      <c r="AD1334">
        <v>-6.3553999999999805E-2</v>
      </c>
      <c r="AE1334">
        <v>2.13999999999714E-2</v>
      </c>
      <c r="AF1334">
        <v>1.06394284266091E-2</v>
      </c>
      <c r="AG1334">
        <v>-6.3553999999999805E-2</v>
      </c>
      <c r="AH1334">
        <v>0.61756957894937203</v>
      </c>
      <c r="AI1334">
        <v>95.874751562232703</v>
      </c>
      <c r="AJ1334">
        <v>89.013011541591595</v>
      </c>
      <c r="AK1334">
        <v>0.62092229239813101</v>
      </c>
      <c r="AL1334">
        <v>81.549535057091703</v>
      </c>
      <c r="AM1334">
        <v>88.946929040830298</v>
      </c>
      <c r="AN1334">
        <v>0.99999998306617399</v>
      </c>
    </row>
    <row r="1335" spans="1:40" x14ac:dyDescent="0.25">
      <c r="A1335" t="str">
        <f>"20190312164500299"</f>
        <v>20190312164500299</v>
      </c>
      <c r="B1335" t="str">
        <f>"1552380300293167"</f>
        <v>1552380300293167</v>
      </c>
      <c r="C1335" t="s">
        <v>40</v>
      </c>
      <c r="D1335">
        <v>5.3139209999999997</v>
      </c>
      <c r="E1335">
        <v>0.50119360000000002</v>
      </c>
      <c r="F1335" t="s">
        <v>41</v>
      </c>
      <c r="G1335">
        <v>-228.92400000000001</v>
      </c>
      <c r="H1335">
        <v>1.0431589999999999</v>
      </c>
      <c r="I1335">
        <v>282.26220000000001</v>
      </c>
      <c r="J1335">
        <v>-228.36359999999999</v>
      </c>
      <c r="K1335">
        <v>1.107685</v>
      </c>
      <c r="L1335">
        <v>282.24299999999999</v>
      </c>
      <c r="M1335">
        <v>-0.99981810000000004</v>
      </c>
      <c r="N1335">
        <v>0</v>
      </c>
      <c r="O1335">
        <v>1.773781E-2</v>
      </c>
      <c r="P1335">
        <v>-0.98980729999999995</v>
      </c>
      <c r="Q1335">
        <v>0.13787389999999999</v>
      </c>
      <c r="R1335">
        <v>3.567356E-2</v>
      </c>
      <c r="S1335">
        <v>-3.0590519999999999</v>
      </c>
      <c r="T1335">
        <v>-0.21531919999999999</v>
      </c>
      <c r="U1335">
        <v>8.6578370000000002E-2</v>
      </c>
      <c r="V1335">
        <v>1.8276669999999998E-2</v>
      </c>
      <c r="W1335">
        <v>0.14481449999999901</v>
      </c>
      <c r="X1335">
        <v>0.98929</v>
      </c>
      <c r="Y1335">
        <v>1.057314E-2</v>
      </c>
      <c r="Z1335">
        <v>-8.7505880000000001E-4</v>
      </c>
      <c r="AA1335">
        <v>0.99994369999999999</v>
      </c>
      <c r="AB1335">
        <v>33</v>
      </c>
      <c r="AC1335">
        <v>-0.560400000000015</v>
      </c>
      <c r="AD1335">
        <v>-6.4526E-2</v>
      </c>
      <c r="AE1335">
        <v>1.9200000000011999E-2</v>
      </c>
      <c r="AF1335">
        <v>9.1354912114212494E-3</v>
      </c>
      <c r="AG1335">
        <v>-6.4526E-2</v>
      </c>
      <c r="AH1335">
        <v>0.55332510133313295</v>
      </c>
      <c r="AI1335">
        <v>96.650605567474699</v>
      </c>
      <c r="AJ1335">
        <v>89.054122906566903</v>
      </c>
      <c r="AK1335">
        <v>0.55714964743863504</v>
      </c>
      <c r="AL1335">
        <v>81.673462471587698</v>
      </c>
      <c r="AM1335">
        <v>88.941607675904905</v>
      </c>
      <c r="AN1335">
        <v>0.99999999008826901</v>
      </c>
    </row>
    <row r="1336" spans="1:40" x14ac:dyDescent="0.25">
      <c r="A1336" t="str">
        <f>"20190312164500322"</f>
        <v>20190312164500322</v>
      </c>
      <c r="B1336" t="str">
        <f>"1552380300312690"</f>
        <v>1552380300312690</v>
      </c>
      <c r="C1336" t="s">
        <v>40</v>
      </c>
      <c r="D1336">
        <v>5.3253969999999997</v>
      </c>
      <c r="E1336">
        <v>0.50108969999999997</v>
      </c>
      <c r="F1336" t="s">
        <v>41</v>
      </c>
      <c r="G1336">
        <v>-229.22200000000001</v>
      </c>
      <c r="H1336">
        <v>1.0455270000000001</v>
      </c>
      <c r="I1336">
        <v>282.2679</v>
      </c>
      <c r="J1336">
        <v>-228.68879999999999</v>
      </c>
      <c r="K1336">
        <v>1.1076220000000001</v>
      </c>
      <c r="L1336">
        <v>282.24939999999998</v>
      </c>
      <c r="M1336">
        <v>-0.99980690000000005</v>
      </c>
      <c r="N1336">
        <v>0</v>
      </c>
      <c r="O1336">
        <v>1.8388930000000001E-2</v>
      </c>
      <c r="P1336">
        <v>-0.99016570000000004</v>
      </c>
      <c r="Q1336">
        <v>0.13507040000000001</v>
      </c>
      <c r="R1336">
        <v>3.6448420000000002E-2</v>
      </c>
      <c r="S1336">
        <v>-3.0585629999999999</v>
      </c>
      <c r="T1336">
        <v>-0.22159909999999999</v>
      </c>
      <c r="U1336">
        <v>8.8256840000000003E-2</v>
      </c>
      <c r="V1336">
        <v>1.8411609999999998E-2</v>
      </c>
      <c r="W1336">
        <v>0.14191319999999999</v>
      </c>
      <c r="X1336">
        <v>0.98970789999999997</v>
      </c>
      <c r="Y1336">
        <v>1.0477770000000001E-2</v>
      </c>
      <c r="Z1336">
        <v>-9.5119050000000004E-4</v>
      </c>
      <c r="AA1336">
        <v>0.99994459999999996</v>
      </c>
      <c r="AB1336">
        <v>33</v>
      </c>
      <c r="AC1336">
        <v>-0.53320000000002199</v>
      </c>
      <c r="AD1336">
        <v>-6.2094999999999699E-2</v>
      </c>
      <c r="AE1336">
        <v>1.8500000000017201E-2</v>
      </c>
      <c r="AF1336">
        <v>8.5754953178288403E-3</v>
      </c>
      <c r="AG1336">
        <v>-6.2094999999999699E-2</v>
      </c>
      <c r="AH1336">
        <v>0.52632051192587204</v>
      </c>
      <c r="AI1336">
        <v>96.727735449297995</v>
      </c>
      <c r="AJ1336">
        <v>89.066545563302896</v>
      </c>
      <c r="AK1336">
        <v>0.53004019604069497</v>
      </c>
      <c r="AL1336">
        <v>81.841430249837103</v>
      </c>
      <c r="AM1336">
        <v>88.934245265555703</v>
      </c>
      <c r="AN1336">
        <v>1.0000000355197201</v>
      </c>
    </row>
    <row r="1337" spans="1:40" x14ac:dyDescent="0.25">
      <c r="A1337" t="str">
        <f>"20190312164500343"</f>
        <v>20190312164500343</v>
      </c>
      <c r="B1337" t="str">
        <f>"1552380300333186"</f>
        <v>1552380300333186</v>
      </c>
      <c r="C1337" t="s">
        <v>40</v>
      </c>
      <c r="D1337">
        <v>5.1734150000000003</v>
      </c>
      <c r="E1337">
        <v>0.50108299999999995</v>
      </c>
      <c r="F1337" t="s">
        <v>41</v>
      </c>
      <c r="G1337">
        <v>-229.51900000000001</v>
      </c>
      <c r="H1337">
        <v>1.045598</v>
      </c>
      <c r="I1337">
        <v>282.27330000000001</v>
      </c>
      <c r="J1337">
        <v>-229.0171</v>
      </c>
      <c r="K1337">
        <v>1.1075660000000001</v>
      </c>
      <c r="L1337">
        <v>282.25599999999997</v>
      </c>
      <c r="M1337">
        <v>-0.99979479999999998</v>
      </c>
      <c r="N1337">
        <v>0</v>
      </c>
      <c r="O1337">
        <v>1.9076449999999998E-2</v>
      </c>
      <c r="P1337">
        <v>-0.99011450000000001</v>
      </c>
      <c r="Q1337">
        <v>0.1352274</v>
      </c>
      <c r="R1337">
        <v>3.7245130000000001E-2</v>
      </c>
      <c r="S1337">
        <v>-3.057709</v>
      </c>
      <c r="T1337">
        <v>-0.2284313</v>
      </c>
      <c r="U1337">
        <v>8.8043209999999997E-2</v>
      </c>
      <c r="V1337">
        <v>1.8540830000000001E-2</v>
      </c>
      <c r="W1337">
        <v>0.14197460000000001</v>
      </c>
      <c r="X1337">
        <v>0.98969660000000004</v>
      </c>
      <c r="Y1337">
        <v>9.7337020000000003E-3</v>
      </c>
      <c r="Z1337">
        <v>-1.0597270000000001E-3</v>
      </c>
      <c r="AA1337">
        <v>0.99995210000000001</v>
      </c>
      <c r="AB1337">
        <v>33</v>
      </c>
      <c r="AC1337">
        <v>-0.50190000000000601</v>
      </c>
      <c r="AD1337">
        <v>-6.1968000000000002E-2</v>
      </c>
      <c r="AE1337">
        <v>1.7300000000034201E-2</v>
      </c>
      <c r="AF1337">
        <v>7.6063451623101597E-3</v>
      </c>
      <c r="AG1337">
        <v>-6.1968000000000002E-2</v>
      </c>
      <c r="AH1337">
        <v>0.49460781203845</v>
      </c>
      <c r="AI1337">
        <v>97.140379204356506</v>
      </c>
      <c r="AJ1337">
        <v>89.118944114512303</v>
      </c>
      <c r="AK1337">
        <v>0.49853262404800602</v>
      </c>
      <c r="AL1337">
        <v>81.837875640495099</v>
      </c>
      <c r="AM1337">
        <v>88.926754867546194</v>
      </c>
      <c r="AN1337">
        <v>0.99999995473690295</v>
      </c>
    </row>
    <row r="1338" spans="1:40" x14ac:dyDescent="0.25">
      <c r="A1338" t="str">
        <f>"20190312164500365"</f>
        <v>20190312164500365</v>
      </c>
      <c r="B1338" t="str">
        <f>"1552380300352703"</f>
        <v>1552380300352703</v>
      </c>
      <c r="C1338" t="s">
        <v>40</v>
      </c>
      <c r="D1338">
        <v>5.3188440000000003</v>
      </c>
      <c r="E1338">
        <v>0.50102409999999997</v>
      </c>
      <c r="F1338" t="s">
        <v>41</v>
      </c>
      <c r="G1338">
        <v>-229.82310000000001</v>
      </c>
      <c r="H1338">
        <v>1.0479369999999999</v>
      </c>
      <c r="I1338">
        <v>282.2799</v>
      </c>
      <c r="J1338">
        <v>-229.3278</v>
      </c>
      <c r="K1338">
        <v>1.1075170000000001</v>
      </c>
      <c r="L1338">
        <v>282.26260000000002</v>
      </c>
      <c r="M1338">
        <v>-0.99978210000000001</v>
      </c>
      <c r="N1338">
        <v>0</v>
      </c>
      <c r="O1338">
        <v>1.974851E-2</v>
      </c>
      <c r="P1338">
        <v>-0.99021510000000001</v>
      </c>
      <c r="Q1338">
        <v>0.13405980000000001</v>
      </c>
      <c r="R1338">
        <v>3.8752740000000001E-2</v>
      </c>
      <c r="S1338">
        <v>-3.0574490000000001</v>
      </c>
      <c r="T1338">
        <v>-0.22623299999999999</v>
      </c>
      <c r="U1338">
        <v>9.017944E-2</v>
      </c>
      <c r="V1338">
        <v>1.9389279999999998E-2</v>
      </c>
      <c r="W1338">
        <v>0.14072270000000001</v>
      </c>
      <c r="X1338">
        <v>0.98985919999999905</v>
      </c>
      <c r="Y1338">
        <v>9.7633140000000004E-3</v>
      </c>
      <c r="Z1338">
        <v>-1.0981750000000001E-3</v>
      </c>
      <c r="AA1338">
        <v>0.9999517</v>
      </c>
      <c r="AB1338">
        <v>33</v>
      </c>
      <c r="AC1338">
        <v>-0.49530000000001401</v>
      </c>
      <c r="AD1338">
        <v>-5.9579999999999897E-2</v>
      </c>
      <c r="AE1338">
        <v>1.7299999999977399E-2</v>
      </c>
      <c r="AF1338">
        <v>7.4079044982535997E-3</v>
      </c>
      <c r="AG1338">
        <v>-5.9579999999999897E-2</v>
      </c>
      <c r="AH1338">
        <v>0.48848535662121201</v>
      </c>
      <c r="AI1338">
        <v>96.953161474698504</v>
      </c>
      <c r="AJ1338">
        <v>89.131173280824896</v>
      </c>
      <c r="AK1338">
        <v>0.49216114950533102</v>
      </c>
      <c r="AL1338">
        <v>81.910332308997397</v>
      </c>
      <c r="AM1338">
        <v>88.877838522560594</v>
      </c>
      <c r="AN1338">
        <v>1.00000002914942</v>
      </c>
    </row>
    <row r="1339" spans="1:40" x14ac:dyDescent="0.25">
      <c r="A1339" t="str">
        <f>"20190312164500379"</f>
        <v>20190312164500379</v>
      </c>
      <c r="B1339" t="str">
        <f>"1552380300373199"</f>
        <v>1552380300373199</v>
      </c>
      <c r="C1339" t="s">
        <v>40</v>
      </c>
      <c r="D1339">
        <v>5.0747119999999999</v>
      </c>
      <c r="E1339">
        <v>0.50094529999999904</v>
      </c>
      <c r="F1339" t="s">
        <v>41</v>
      </c>
      <c r="G1339">
        <v>-230.1259</v>
      </c>
      <c r="H1339">
        <v>1.048289</v>
      </c>
      <c r="I1339">
        <v>282.28699999999998</v>
      </c>
      <c r="J1339">
        <v>-229.5265</v>
      </c>
      <c r="K1339">
        <v>1.1074850000000001</v>
      </c>
      <c r="L1339">
        <v>282.26690000000002</v>
      </c>
      <c r="M1339">
        <v>-0.99977389999999999</v>
      </c>
      <c r="N1339">
        <v>0</v>
      </c>
      <c r="O1339">
        <v>2.0187569999999998E-2</v>
      </c>
      <c r="P1339">
        <v>-0.99025129999999995</v>
      </c>
      <c r="Q1339">
        <v>0.13350409999999999</v>
      </c>
      <c r="R1339">
        <v>3.9739650000000001E-2</v>
      </c>
      <c r="S1339">
        <v>-3.0567169999999999</v>
      </c>
      <c r="T1339">
        <v>-0.22692880000000001</v>
      </c>
      <c r="U1339">
        <v>9.3444819999999998E-2</v>
      </c>
      <c r="V1339">
        <v>1.9945649999999999E-2</v>
      </c>
      <c r="W1339">
        <v>0.1401155</v>
      </c>
      <c r="X1339">
        <v>0.98993430000000004</v>
      </c>
      <c r="Y1339">
        <v>1.039814E-2</v>
      </c>
      <c r="Z1339">
        <v>-1.110792E-3</v>
      </c>
      <c r="AA1339">
        <v>0.99994530000000004</v>
      </c>
      <c r="AB1339">
        <v>33</v>
      </c>
      <c r="AC1339">
        <v>-0.59940000000000204</v>
      </c>
      <c r="AD1339">
        <v>-5.9195999999999999E-2</v>
      </c>
      <c r="AE1339">
        <v>2.0100000000013499E-2</v>
      </c>
      <c r="AF1339">
        <v>7.9180638229290595E-3</v>
      </c>
      <c r="AG1339">
        <v>-5.9195999999999999E-2</v>
      </c>
      <c r="AH1339">
        <v>0.593897670810278</v>
      </c>
      <c r="AI1339">
        <v>95.691581606615699</v>
      </c>
      <c r="AJ1339">
        <v>89.236156692021197</v>
      </c>
      <c r="AK1339">
        <v>0.59689304363895701</v>
      </c>
      <c r="AL1339">
        <v>81.945470620622103</v>
      </c>
      <c r="AM1339">
        <v>88.845734552028503</v>
      </c>
      <c r="AN1339">
        <v>1.0000000503053299</v>
      </c>
    </row>
    <row r="1340" spans="1:40" x14ac:dyDescent="0.25">
      <c r="A1340" t="str">
        <f>"20190312164500400"</f>
        <v>20190312164500400</v>
      </c>
      <c r="B1340" t="str">
        <f>"1552380300392719"</f>
        <v>1552380300392719</v>
      </c>
      <c r="C1340" t="s">
        <v>40</v>
      </c>
      <c r="D1340">
        <v>5.3212390000000003</v>
      </c>
      <c r="E1340">
        <v>0.50088270000000001</v>
      </c>
      <c r="F1340" t="s">
        <v>41</v>
      </c>
      <c r="G1340">
        <v>-230.41159999999999</v>
      </c>
      <c r="H1340">
        <v>1.041928</v>
      </c>
      <c r="I1340">
        <v>282.2946</v>
      </c>
      <c r="J1340">
        <v>-229.85429999999999</v>
      </c>
      <c r="K1340">
        <v>1.1074389999999901</v>
      </c>
      <c r="L1340">
        <v>282.27409999999998</v>
      </c>
      <c r="M1340">
        <v>-0.99975930000000002</v>
      </c>
      <c r="N1340">
        <v>0</v>
      </c>
      <c r="O1340">
        <v>2.0923359999999998E-2</v>
      </c>
      <c r="P1340">
        <v>-0.99029330000000004</v>
      </c>
      <c r="Q1340">
        <v>0.13250609999999999</v>
      </c>
      <c r="R1340">
        <v>4.1974350000000001E-2</v>
      </c>
      <c r="S1340">
        <v>-3.056244</v>
      </c>
      <c r="T1340">
        <v>-0.22646949999999999</v>
      </c>
      <c r="U1340">
        <v>9.5428470000000001E-2</v>
      </c>
      <c r="V1340">
        <v>2.145772E-2</v>
      </c>
      <c r="W1340">
        <v>0.13903289999999999</v>
      </c>
      <c r="X1340">
        <v>0.99005529999999997</v>
      </c>
      <c r="Y1340">
        <v>1.031748E-2</v>
      </c>
      <c r="Z1340">
        <v>-1.166109E-3</v>
      </c>
      <c r="AA1340">
        <v>0.99994609999999995</v>
      </c>
      <c r="AB1340">
        <v>33</v>
      </c>
      <c r="AC1340">
        <v>-0.55729999999999702</v>
      </c>
      <c r="AD1340">
        <v>-6.5510999999999805E-2</v>
      </c>
      <c r="AE1340">
        <v>2.0500000000026799E-2</v>
      </c>
      <c r="AF1340">
        <v>8.7144150139248592E-3</v>
      </c>
      <c r="AG1340">
        <v>-6.5510999999999805E-2</v>
      </c>
      <c r="AH1340">
        <v>0.55001697490387402</v>
      </c>
      <c r="AI1340">
        <v>96.791498033867896</v>
      </c>
      <c r="AJ1340">
        <v>89.092287237066103</v>
      </c>
      <c r="AK1340">
        <v>0.55397319865896399</v>
      </c>
      <c r="AL1340">
        <v>82.008112100832193</v>
      </c>
      <c r="AM1340">
        <v>88.758408396865093</v>
      </c>
      <c r="AN1340">
        <v>1.00000003904404</v>
      </c>
    </row>
    <row r="1341" spans="1:40" x14ac:dyDescent="0.25">
      <c r="A1341" t="str">
        <f>"20190312164500424"</f>
        <v>20190312164500424</v>
      </c>
      <c r="B1341" t="str">
        <f>"1552380300413215"</f>
        <v>1552380300413215</v>
      </c>
      <c r="C1341" t="s">
        <v>40</v>
      </c>
      <c r="D1341">
        <v>5.0899989999999997</v>
      </c>
      <c r="E1341">
        <v>0.50084229999999996</v>
      </c>
      <c r="F1341" t="s">
        <v>41</v>
      </c>
      <c r="G1341">
        <v>-230.71360000000001</v>
      </c>
      <c r="H1341">
        <v>1.043731</v>
      </c>
      <c r="I1341">
        <v>282.30259999999998</v>
      </c>
      <c r="J1341">
        <v>-230.21559999999999</v>
      </c>
      <c r="K1341">
        <v>1.107389</v>
      </c>
      <c r="L1341">
        <v>282.2824</v>
      </c>
      <c r="M1341">
        <v>-0.99974220000000003</v>
      </c>
      <c r="N1341">
        <v>0</v>
      </c>
      <c r="O1341">
        <v>2.1749330000000001E-2</v>
      </c>
      <c r="P1341">
        <v>-0.99020549999999996</v>
      </c>
      <c r="Q1341">
        <v>0.1323501</v>
      </c>
      <c r="R1341">
        <v>4.4458440000000002E-2</v>
      </c>
      <c r="S1341">
        <v>-3.0554199999999998</v>
      </c>
      <c r="T1341">
        <v>-0.2265626</v>
      </c>
      <c r="U1341">
        <v>0.1010742</v>
      </c>
      <c r="V1341">
        <v>2.313318E-2</v>
      </c>
      <c r="W1341">
        <v>0.13878679999999999</v>
      </c>
      <c r="X1341">
        <v>0.99005200000000004</v>
      </c>
      <c r="Y1341">
        <v>1.1345020000000001E-2</v>
      </c>
      <c r="Z1341">
        <v>-1.189949E-3</v>
      </c>
      <c r="AA1341">
        <v>0.99993489999999996</v>
      </c>
      <c r="AB1341">
        <v>33</v>
      </c>
      <c r="AC1341">
        <v>-0.49800000000001798</v>
      </c>
      <c r="AD1341">
        <v>-6.3657999999999895E-2</v>
      </c>
      <c r="AE1341">
        <v>2.0199999999988401E-2</v>
      </c>
      <c r="AF1341">
        <v>9.21352502281211E-3</v>
      </c>
      <c r="AG1341">
        <v>-6.3657999999999895E-2</v>
      </c>
      <c r="AH1341">
        <v>0.490322913044066</v>
      </c>
      <c r="AI1341">
        <v>97.395970675129902</v>
      </c>
      <c r="AJ1341">
        <v>88.923497218898007</v>
      </c>
      <c r="AK1341">
        <v>0.49452380030021298</v>
      </c>
      <c r="AL1341">
        <v>82.022349848843106</v>
      </c>
      <c r="AM1341">
        <v>88.661492071243302</v>
      </c>
      <c r="AN1341">
        <v>0.99999994128757397</v>
      </c>
    </row>
    <row r="1342" spans="1:40" x14ac:dyDescent="0.25">
      <c r="A1342" t="str">
        <f>"20190312164500446"</f>
        <v>20190312164500446</v>
      </c>
      <c r="B1342" t="str">
        <f>"1552380300442495"</f>
        <v>1552380300442495</v>
      </c>
      <c r="C1342" t="s">
        <v>40</v>
      </c>
      <c r="D1342">
        <v>5.3219629999999896</v>
      </c>
      <c r="E1342">
        <v>0.50076759999999998</v>
      </c>
      <c r="F1342" t="s">
        <v>41</v>
      </c>
      <c r="G1342">
        <v>-231.0189</v>
      </c>
      <c r="H1342">
        <v>1.048292</v>
      </c>
      <c r="I1342">
        <v>282.31099999999998</v>
      </c>
      <c r="J1342">
        <v>-230.5472</v>
      </c>
      <c r="K1342">
        <v>1.1073550000000001</v>
      </c>
      <c r="L1342">
        <v>282.29039999999998</v>
      </c>
      <c r="M1342">
        <v>-0.99972570000000005</v>
      </c>
      <c r="N1342">
        <v>0</v>
      </c>
      <c r="O1342">
        <v>2.2518340000000001E-2</v>
      </c>
      <c r="P1342">
        <v>-0.99003450000000004</v>
      </c>
      <c r="Q1342">
        <v>0.13280729999999999</v>
      </c>
      <c r="R1342">
        <v>4.6845310000000001E-2</v>
      </c>
      <c r="S1342">
        <v>-3.0549010000000001</v>
      </c>
      <c r="T1342">
        <v>-0.22493060000000001</v>
      </c>
      <c r="U1342">
        <v>0.1077881</v>
      </c>
      <c r="V1342">
        <v>2.4769139999999999E-2</v>
      </c>
      <c r="W1342">
        <v>0.1391693</v>
      </c>
      <c r="X1342">
        <v>0.98995880000000003</v>
      </c>
      <c r="Y1342">
        <v>1.2774300000000001E-2</v>
      </c>
      <c r="Z1342">
        <v>-1.185523E-3</v>
      </c>
      <c r="AA1342">
        <v>0.99991770000000002</v>
      </c>
      <c r="AB1342">
        <v>34</v>
      </c>
      <c r="AC1342">
        <v>-0.47169999999999801</v>
      </c>
      <c r="AD1342">
        <v>-5.9062999999999803E-2</v>
      </c>
      <c r="AE1342">
        <v>2.06000000000017E-2</v>
      </c>
      <c r="AF1342">
        <v>9.8190028015169798E-3</v>
      </c>
      <c r="AG1342">
        <v>-5.9062999999999803E-2</v>
      </c>
      <c r="AH1342">
        <v>0.46477131584376002</v>
      </c>
      <c r="AI1342">
        <v>97.240712528034393</v>
      </c>
      <c r="AJ1342">
        <v>88.789719324548201</v>
      </c>
      <c r="AK1342">
        <v>0.46861202162999999</v>
      </c>
      <c r="AL1342">
        <v>82.000220040158197</v>
      </c>
      <c r="AM1342">
        <v>88.566737167838497</v>
      </c>
      <c r="AN1342">
        <v>1.0000000150281301</v>
      </c>
    </row>
    <row r="1343" spans="1:40" x14ac:dyDescent="0.25">
      <c r="A1343" t="str">
        <f>"20190312164500467"</f>
        <v>20190312164500467</v>
      </c>
      <c r="B1343" t="str">
        <f>"1552380300462992"</f>
        <v>1552380300462992</v>
      </c>
      <c r="C1343" t="s">
        <v>40</v>
      </c>
      <c r="D1343">
        <v>5.3400379999999998</v>
      </c>
      <c r="E1343">
        <v>0.50069529999999995</v>
      </c>
      <c r="F1343" t="s">
        <v>47</v>
      </c>
      <c r="G1343">
        <v>-245.86590000000001</v>
      </c>
      <c r="H1343" s="1">
        <v>1.584758E-6</v>
      </c>
      <c r="I1343">
        <v>282.86430000000001</v>
      </c>
      <c r="J1343">
        <v>-230.8673</v>
      </c>
      <c r="K1343">
        <v>1.1073299999999999</v>
      </c>
      <c r="L1343">
        <v>282.29829999999998</v>
      </c>
      <c r="M1343">
        <v>-0.99970870000000001</v>
      </c>
      <c r="N1343">
        <v>0</v>
      </c>
      <c r="O1343">
        <v>2.3270450000000002E-2</v>
      </c>
      <c r="P1343">
        <v>-0.98987380000000003</v>
      </c>
      <c r="Q1343">
        <v>0.13321849999999999</v>
      </c>
      <c r="R1343">
        <v>4.9021179999999998E-2</v>
      </c>
      <c r="S1343">
        <v>-3.0544129999999998</v>
      </c>
      <c r="T1343">
        <v>-0.22079579999999999</v>
      </c>
      <c r="U1343">
        <v>0.114440899999999</v>
      </c>
      <c r="V1343">
        <v>2.620925E-2</v>
      </c>
      <c r="W1343">
        <v>0.1395121</v>
      </c>
      <c r="X1343">
        <v>0.98987349999999996</v>
      </c>
      <c r="Y1343">
        <v>1.4200000000000001E-2</v>
      </c>
      <c r="Z1343">
        <v>-1.1667279999999999E-3</v>
      </c>
      <c r="AA1343">
        <v>0.99989850000000002</v>
      </c>
      <c r="AB1343">
        <v>34</v>
      </c>
      <c r="AC1343">
        <v>-14.9986</v>
      </c>
      <c r="AD1343">
        <v>-1.107328415242</v>
      </c>
      <c r="AE1343">
        <v>0.56600000000003003</v>
      </c>
      <c r="AF1343">
        <v>0.215641673393312</v>
      </c>
      <c r="AG1343">
        <v>-1.107328415242</v>
      </c>
      <c r="AH1343">
        <v>14.926465819896899</v>
      </c>
      <c r="AI1343">
        <v>94.242307211151996</v>
      </c>
      <c r="AJ1343">
        <v>89.172309208964293</v>
      </c>
      <c r="AK1343">
        <v>14.969036689882801</v>
      </c>
      <c r="AL1343">
        <v>81.980385821311501</v>
      </c>
      <c r="AM1343">
        <v>88.483312626671903</v>
      </c>
      <c r="AN1343">
        <v>1.0000000484171101</v>
      </c>
    </row>
    <row r="1344" spans="1:40" x14ac:dyDescent="0.25">
      <c r="A1344" t="str">
        <f>"20190312164500490"</f>
        <v>20190312164500490</v>
      </c>
      <c r="B1344" t="str">
        <f>"1552380300482511"</f>
        <v>1552380300482511</v>
      </c>
      <c r="C1344" t="s">
        <v>40</v>
      </c>
      <c r="D1344">
        <v>5.2417020000000001</v>
      </c>
      <c r="E1344">
        <v>0.50059120000000001</v>
      </c>
      <c r="F1344" t="s">
        <v>47</v>
      </c>
      <c r="G1344">
        <v>-246.38659999999999</v>
      </c>
      <c r="H1344" s="1">
        <v>1.8618440000000001E-6</v>
      </c>
      <c r="I1344">
        <v>282.91140000000001</v>
      </c>
      <c r="J1344">
        <v>-231.20529999999999</v>
      </c>
      <c r="K1344">
        <v>1.1073109999999999</v>
      </c>
      <c r="L1344">
        <v>282.30689999999998</v>
      </c>
      <c r="M1344">
        <v>-0.99969030000000003</v>
      </c>
      <c r="N1344">
        <v>0</v>
      </c>
      <c r="O1344">
        <v>2.407196E-2</v>
      </c>
      <c r="P1344">
        <v>-0.98982000000000003</v>
      </c>
      <c r="Q1344">
        <v>0.13275700000000001</v>
      </c>
      <c r="R1344">
        <v>5.1305940000000001E-2</v>
      </c>
      <c r="S1344">
        <v>-3.0540470000000002</v>
      </c>
      <c r="T1344">
        <v>-0.21791179999999999</v>
      </c>
      <c r="U1344">
        <v>0.1206665</v>
      </c>
      <c r="V1344">
        <v>2.770504E-2</v>
      </c>
      <c r="W1344">
        <v>0.13898369999999999</v>
      </c>
      <c r="X1344">
        <v>0.98990699999999998</v>
      </c>
      <c r="Y1344">
        <v>1.543636E-2</v>
      </c>
      <c r="Z1344">
        <v>-1.1646439999999901E-3</v>
      </c>
      <c r="AA1344">
        <v>0.9998802</v>
      </c>
      <c r="AB1344">
        <v>34</v>
      </c>
      <c r="AC1344">
        <v>-15.181299999999901</v>
      </c>
      <c r="AD1344">
        <v>-1.1073091381559901</v>
      </c>
      <c r="AE1344">
        <v>0.60450000000003001</v>
      </c>
      <c r="AF1344">
        <v>0.23761178154357601</v>
      </c>
      <c r="AG1344">
        <v>-1.1073091381559901</v>
      </c>
      <c r="AH1344">
        <v>15.1111867351754</v>
      </c>
      <c r="AI1344">
        <v>94.190481501597702</v>
      </c>
      <c r="AJ1344">
        <v>89.099142204346293</v>
      </c>
      <c r="AK1344">
        <v>15.153565832222901</v>
      </c>
      <c r="AL1344">
        <v>82.010958001132096</v>
      </c>
      <c r="AM1344">
        <v>88.396851833654694</v>
      </c>
      <c r="AN1344">
        <v>0.99999995337804404</v>
      </c>
    </row>
    <row r="1345" spans="1:40" x14ac:dyDescent="0.25">
      <c r="A1345" t="str">
        <f>"20190312164500511"</f>
        <v>20190312164500511</v>
      </c>
      <c r="B1345" t="str">
        <f>"1552380300503007"</f>
        <v>1552380300503007</v>
      </c>
      <c r="C1345" t="s">
        <v>40</v>
      </c>
      <c r="D1345">
        <v>5.1236490000000003</v>
      </c>
      <c r="E1345">
        <v>0.50025379999999997</v>
      </c>
      <c r="F1345" t="s">
        <v>41</v>
      </c>
      <c r="G1345">
        <v>-232.2235</v>
      </c>
      <c r="H1345">
        <v>1.034637</v>
      </c>
      <c r="I1345">
        <v>282.34930000000003</v>
      </c>
      <c r="J1345">
        <v>-231.5488</v>
      </c>
      <c r="K1345">
        <v>1.1072869999999999</v>
      </c>
      <c r="L1345">
        <v>282.3159</v>
      </c>
      <c r="M1345">
        <v>-0.99967039999999996</v>
      </c>
      <c r="N1345">
        <v>0</v>
      </c>
      <c r="O1345">
        <v>2.4894070000000001E-2</v>
      </c>
      <c r="P1345">
        <v>-0.98986280000000004</v>
      </c>
      <c r="Q1345">
        <v>0.13175580000000001</v>
      </c>
      <c r="R1345">
        <v>5.3029090000000001E-2</v>
      </c>
      <c r="S1345">
        <v>-3.0535580000000002</v>
      </c>
      <c r="T1345">
        <v>-0.21809429999999999</v>
      </c>
      <c r="U1345">
        <v>0.12631229999999999</v>
      </c>
      <c r="V1345">
        <v>2.8614710000000002E-2</v>
      </c>
      <c r="W1345">
        <v>0.13791879999999901</v>
      </c>
      <c r="X1345">
        <v>0.99003010000000002</v>
      </c>
      <c r="Y1345">
        <v>1.646558E-2</v>
      </c>
      <c r="Z1345">
        <v>-1.1876479999999999E-3</v>
      </c>
      <c r="AA1345">
        <v>0.99986370000000002</v>
      </c>
      <c r="AB1345">
        <v>34</v>
      </c>
      <c r="AC1345">
        <v>-0.67470000000000097</v>
      </c>
      <c r="AD1345">
        <v>-7.2650000000000103E-2</v>
      </c>
      <c r="AE1345">
        <v>3.3400000000028698E-2</v>
      </c>
      <c r="AF1345">
        <v>1.6403563814165099E-2</v>
      </c>
      <c r="AG1345">
        <v>-7.2650000000000103E-2</v>
      </c>
      <c r="AH1345">
        <v>0.66760084067499703</v>
      </c>
      <c r="AI1345">
        <v>96.208772135460904</v>
      </c>
      <c r="AJ1345">
        <v>88.5924734553261</v>
      </c>
      <c r="AK1345">
        <v>0.67174249670224695</v>
      </c>
      <c r="AL1345">
        <v>82.072565965952293</v>
      </c>
      <c r="AM1345">
        <v>88.344448506963403</v>
      </c>
      <c r="AN1345">
        <v>0.99999999796391703</v>
      </c>
    </row>
    <row r="1346" spans="1:40" x14ac:dyDescent="0.25">
      <c r="A1346" t="str">
        <f>"20190312164500534"</f>
        <v>20190312164500534</v>
      </c>
      <c r="B1346" t="str">
        <f>"1552380300522530"</f>
        <v>1552380300522530</v>
      </c>
      <c r="C1346" t="s">
        <v>40</v>
      </c>
      <c r="D1346">
        <v>5.4344939999999999</v>
      </c>
      <c r="E1346">
        <v>0.49993169999999998</v>
      </c>
      <c r="F1346" t="s">
        <v>41</v>
      </c>
      <c r="G1346">
        <v>-232.53049999999999</v>
      </c>
      <c r="H1346">
        <v>1.0363279999999999</v>
      </c>
      <c r="I1346">
        <v>282.35730000000001</v>
      </c>
      <c r="J1346">
        <v>-231.8862</v>
      </c>
      <c r="K1346">
        <v>1.1072649999999999</v>
      </c>
      <c r="L1346">
        <v>282.32499999999999</v>
      </c>
      <c r="M1346">
        <v>-0.99965020000000004</v>
      </c>
      <c r="N1346">
        <v>0</v>
      </c>
      <c r="O1346">
        <v>2.5704830000000001E-2</v>
      </c>
      <c r="P1346">
        <v>-0.98996030000000002</v>
      </c>
      <c r="Q1346">
        <v>0.1305287</v>
      </c>
      <c r="R1346">
        <v>5.4231210000000002E-2</v>
      </c>
      <c r="S1346">
        <v>-3.0532379999999999</v>
      </c>
      <c r="T1346">
        <v>-0.22074840000000001</v>
      </c>
      <c r="U1346">
        <v>0.12823490000000001</v>
      </c>
      <c r="V1346">
        <v>2.9012130000000001E-2</v>
      </c>
      <c r="W1346">
        <v>0.13663359999999999</v>
      </c>
      <c r="X1346">
        <v>0.99019669999999904</v>
      </c>
      <c r="Y1346">
        <v>1.6290610000000001E-2</v>
      </c>
      <c r="Z1346">
        <v>-1.266971E-3</v>
      </c>
      <c r="AA1346">
        <v>0.99986649999999999</v>
      </c>
      <c r="AB1346">
        <v>34</v>
      </c>
      <c r="AC1346">
        <v>-0.64429999999998699</v>
      </c>
      <c r="AD1346">
        <v>-7.0936999999999806E-2</v>
      </c>
      <c r="AE1346">
        <v>3.2300000000020597E-2</v>
      </c>
      <c r="AF1346">
        <v>1.55394887938777E-2</v>
      </c>
      <c r="AG1346">
        <v>-7.0936999999999806E-2</v>
      </c>
      <c r="AH1346">
        <v>0.63721254254215598</v>
      </c>
      <c r="AI1346">
        <v>96.3503633889799</v>
      </c>
      <c r="AJ1346">
        <v>88.603023908153105</v>
      </c>
      <c r="AK1346">
        <v>0.64133716409858399</v>
      </c>
      <c r="AL1346">
        <v>82.146906116263906</v>
      </c>
      <c r="AM1346">
        <v>88.321750428140504</v>
      </c>
      <c r="AN1346">
        <v>0.99999997451349198</v>
      </c>
    </row>
    <row r="1347" spans="1:40" x14ac:dyDescent="0.25">
      <c r="A1347" t="str">
        <f>"20190312164500554"</f>
        <v>20190312164500554</v>
      </c>
      <c r="B1347" t="str">
        <f>"1552380300543023"</f>
        <v>1552380300543023</v>
      </c>
      <c r="C1347" t="s">
        <v>40</v>
      </c>
      <c r="D1347">
        <v>5.4370289999999999</v>
      </c>
      <c r="E1347">
        <v>0.49962709999999999</v>
      </c>
      <c r="F1347" t="s">
        <v>41</v>
      </c>
      <c r="G1347">
        <v>-232.83840000000001</v>
      </c>
      <c r="H1347">
        <v>1.0379179999999999</v>
      </c>
      <c r="I1347">
        <v>282.36540000000002</v>
      </c>
      <c r="J1347">
        <v>-232.21190000000001</v>
      </c>
      <c r="K1347">
        <v>1.10724</v>
      </c>
      <c r="L1347">
        <v>282.33409999999998</v>
      </c>
      <c r="M1347">
        <v>-0.99963020000000002</v>
      </c>
      <c r="N1347">
        <v>0</v>
      </c>
      <c r="O1347">
        <v>2.6488970000000001E-2</v>
      </c>
      <c r="P1347">
        <v>-0.99006839999999996</v>
      </c>
      <c r="Q1347">
        <v>0.129473</v>
      </c>
      <c r="R1347">
        <v>5.4786479999999999E-2</v>
      </c>
      <c r="S1347">
        <v>-3.0527190000000002</v>
      </c>
      <c r="T1347">
        <v>-0.22246669999999999</v>
      </c>
      <c r="U1347">
        <v>0.12887570000000001</v>
      </c>
      <c r="V1347">
        <v>2.878826E-2</v>
      </c>
      <c r="W1347">
        <v>0.13552539999999999</v>
      </c>
      <c r="X1347">
        <v>0.9903556</v>
      </c>
      <c r="Y1347">
        <v>1.5726899999999999E-2</v>
      </c>
      <c r="Z1347">
        <v>-1.3545339999999999E-3</v>
      </c>
      <c r="AA1347">
        <v>0.99987539999999997</v>
      </c>
      <c r="AB1347">
        <v>34</v>
      </c>
      <c r="AC1347">
        <v>-0.62649999999999295</v>
      </c>
      <c r="AD1347">
        <v>-6.93219999999998E-2</v>
      </c>
      <c r="AE1347">
        <v>3.1300000000044202E-2</v>
      </c>
      <c r="AF1347">
        <v>1.45160803938248E-2</v>
      </c>
      <c r="AG1347">
        <v>-6.93219999999998E-2</v>
      </c>
      <c r="AH1347">
        <v>0.61954288653962497</v>
      </c>
      <c r="AI1347">
        <v>96.382656490857002</v>
      </c>
      <c r="AJ1347">
        <v>88.657787842299797</v>
      </c>
      <c r="AK1347">
        <v>0.62357809818486298</v>
      </c>
      <c r="AL1347">
        <v>82.210998127541203</v>
      </c>
      <c r="AM1347">
        <v>88.334960242769995</v>
      </c>
      <c r="AN1347">
        <v>1.0000000562051701</v>
      </c>
    </row>
    <row r="1348" spans="1:40" x14ac:dyDescent="0.25">
      <c r="A1348" t="str">
        <f>"20190312164500578"</f>
        <v>20190312164500578</v>
      </c>
      <c r="B1348" t="str">
        <f>"1552380300573279"</f>
        <v>1552380300573279</v>
      </c>
      <c r="C1348" t="s">
        <v>40</v>
      </c>
      <c r="D1348">
        <v>5.3585099999999999</v>
      </c>
      <c r="E1348">
        <v>0.49919249999999998</v>
      </c>
      <c r="F1348" t="s">
        <v>41</v>
      </c>
      <c r="G1348">
        <v>-233.14680000000001</v>
      </c>
      <c r="H1348">
        <v>1.0387010000000001</v>
      </c>
      <c r="I1348">
        <v>282.37349999999998</v>
      </c>
      <c r="J1348">
        <v>-232.5659</v>
      </c>
      <c r="K1348">
        <v>1.1072109999999999</v>
      </c>
      <c r="L1348">
        <v>282.34429999999998</v>
      </c>
      <c r="M1348">
        <v>-0.99960740000000003</v>
      </c>
      <c r="N1348">
        <v>0</v>
      </c>
      <c r="O1348">
        <v>2.7342430000000001E-2</v>
      </c>
      <c r="P1348">
        <v>-0.99027140000000002</v>
      </c>
      <c r="Q1348">
        <v>0.1274856</v>
      </c>
      <c r="R1348">
        <v>5.5767770000000001E-2</v>
      </c>
      <c r="S1348">
        <v>-3.0522770000000001</v>
      </c>
      <c r="T1348">
        <v>-0.2238803</v>
      </c>
      <c r="U1348">
        <v>0.1278687</v>
      </c>
      <c r="V1348">
        <v>2.891664E-2</v>
      </c>
      <c r="W1348">
        <v>0.1334851</v>
      </c>
      <c r="X1348">
        <v>0.99062879999999998</v>
      </c>
      <c r="Y1348">
        <v>1.4555800000000001E-2</v>
      </c>
      <c r="Z1348">
        <v>-1.468654E-3</v>
      </c>
      <c r="AA1348">
        <v>0.99989300000000003</v>
      </c>
      <c r="AB1348">
        <v>34</v>
      </c>
      <c r="AC1348">
        <v>-0.58090000000001396</v>
      </c>
      <c r="AD1348">
        <v>-6.8510000000000001E-2</v>
      </c>
      <c r="AE1348">
        <v>2.9200000000002901E-2</v>
      </c>
      <c r="AF1348">
        <v>1.31234891171386E-2</v>
      </c>
      <c r="AG1348">
        <v>-6.8510000000000001E-2</v>
      </c>
      <c r="AH1348">
        <v>0.57352401234557804</v>
      </c>
      <c r="AI1348">
        <v>96.810191974788395</v>
      </c>
      <c r="AJ1348">
        <v>88.689175466058401</v>
      </c>
      <c r="AK1348">
        <v>0.57775049874801299</v>
      </c>
      <c r="AL1348">
        <v>82.328969791960802</v>
      </c>
      <c r="AM1348">
        <v>88.328000254478297</v>
      </c>
      <c r="AN1348">
        <v>0.99999993169016699</v>
      </c>
    </row>
    <row r="1349" spans="1:40" x14ac:dyDescent="0.25">
      <c r="A1349" t="str">
        <f>"20190312164500590"</f>
        <v>20190312164500590</v>
      </c>
      <c r="B1349" t="str">
        <f>"1552380300583040"</f>
        <v>1552380300583040</v>
      </c>
      <c r="C1349" t="s">
        <v>40</v>
      </c>
      <c r="D1349">
        <v>5.2741989999999896</v>
      </c>
      <c r="E1349">
        <v>0.4990465</v>
      </c>
      <c r="F1349" t="s">
        <v>41</v>
      </c>
      <c r="G1349">
        <v>-233.45750000000001</v>
      </c>
      <c r="H1349">
        <v>1.0408360000000001</v>
      </c>
      <c r="I1349">
        <v>282.38150000000002</v>
      </c>
      <c r="J1349">
        <v>-232.76730000000001</v>
      </c>
      <c r="K1349">
        <v>1.1071979999999999</v>
      </c>
      <c r="L1349">
        <v>282.35019999999997</v>
      </c>
      <c r="M1349">
        <v>-0.99959439999999999</v>
      </c>
      <c r="N1349">
        <v>0</v>
      </c>
      <c r="O1349">
        <v>2.7827939999999999E-2</v>
      </c>
      <c r="P1349">
        <v>-0.99043720000000002</v>
      </c>
      <c r="Q1349">
        <v>0.12624949999999999</v>
      </c>
      <c r="R1349">
        <v>5.5637369999999998E-2</v>
      </c>
      <c r="S1349">
        <v>-3.0516510000000001</v>
      </c>
      <c r="T1349">
        <v>-0.22734799999999999</v>
      </c>
      <c r="U1349">
        <v>0.12625120000000001</v>
      </c>
      <c r="V1349">
        <v>2.8299250000000001E-2</v>
      </c>
      <c r="W1349">
        <v>0.13222320000000001</v>
      </c>
      <c r="X1349">
        <v>0.99081589999999997</v>
      </c>
      <c r="Y1349">
        <v>1.355488E-2</v>
      </c>
      <c r="Z1349">
        <v>-1.564965E-3</v>
      </c>
      <c r="AA1349">
        <v>0.99990690000000004</v>
      </c>
      <c r="AB1349">
        <v>34</v>
      </c>
      <c r="AC1349">
        <v>-0.69020000000000403</v>
      </c>
      <c r="AD1349">
        <v>-6.6361999999999796E-2</v>
      </c>
      <c r="AE1349">
        <v>3.1300000000044202E-2</v>
      </c>
      <c r="AF1349">
        <v>1.1970248582147999E-2</v>
      </c>
      <c r="AG1349">
        <v>-6.6361999999999796E-2</v>
      </c>
      <c r="AH1349">
        <v>0.68448887334518504</v>
      </c>
      <c r="AI1349">
        <v>95.536744828743096</v>
      </c>
      <c r="AJ1349">
        <v>88.9981213036979</v>
      </c>
      <c r="AK1349">
        <v>0.68780245683515795</v>
      </c>
      <c r="AL1349">
        <v>82.401918395311498</v>
      </c>
      <c r="AM1349">
        <v>88.363987796382403</v>
      </c>
      <c r="AN1349">
        <v>0.999999984930806</v>
      </c>
    </row>
    <row r="1350" spans="1:40" x14ac:dyDescent="0.25">
      <c r="A1350" t="str">
        <f>"20190312164500613"</f>
        <v>20190312164500613</v>
      </c>
      <c r="B1350" t="str">
        <f>"1552380300602562"</f>
        <v>1552380300602562</v>
      </c>
      <c r="C1350" t="s">
        <v>40</v>
      </c>
      <c r="D1350">
        <v>5.1384530000000002</v>
      </c>
      <c r="E1350">
        <v>0.49878670000000003</v>
      </c>
      <c r="F1350" t="s">
        <v>41</v>
      </c>
      <c r="G1350">
        <v>-233.7627</v>
      </c>
      <c r="H1350">
        <v>1.032127</v>
      </c>
      <c r="I1350">
        <v>282.39089999999999</v>
      </c>
      <c r="J1350">
        <v>-233.11109999999999</v>
      </c>
      <c r="K1350">
        <v>1.1071660000000001</v>
      </c>
      <c r="L1350">
        <v>282.3605</v>
      </c>
      <c r="M1350">
        <v>-0.99957110000000005</v>
      </c>
      <c r="N1350">
        <v>0</v>
      </c>
      <c r="O1350">
        <v>2.8657160000000001E-2</v>
      </c>
      <c r="P1350">
        <v>-0.99070219999999998</v>
      </c>
      <c r="Q1350">
        <v>0.1238616</v>
      </c>
      <c r="R1350">
        <v>5.6280879999999998E-2</v>
      </c>
      <c r="S1350">
        <v>-3.0513150000000002</v>
      </c>
      <c r="T1350">
        <v>-0.23016049999999999</v>
      </c>
      <c r="U1350">
        <v>0.12478640000000001</v>
      </c>
      <c r="V1350">
        <v>2.8109869999999999E-2</v>
      </c>
      <c r="W1350">
        <v>0.12979479999999999</v>
      </c>
      <c r="X1350">
        <v>0.99114230000000003</v>
      </c>
      <c r="Y1350">
        <v>1.225772E-2</v>
      </c>
      <c r="Z1350">
        <v>-1.695694E-3</v>
      </c>
      <c r="AA1350">
        <v>0.99992340000000002</v>
      </c>
      <c r="AB1350">
        <v>35</v>
      </c>
      <c r="AC1350">
        <v>-0.65160000000000196</v>
      </c>
      <c r="AD1350">
        <v>-7.5038999999999995E-2</v>
      </c>
      <c r="AE1350">
        <v>3.03999999999859E-2</v>
      </c>
      <c r="AF1350">
        <v>1.1561176743502301E-2</v>
      </c>
      <c r="AG1350">
        <v>-7.5038999999999995E-2</v>
      </c>
      <c r="AH1350">
        <v>0.64368549778762296</v>
      </c>
      <c r="AI1350">
        <v>96.648300446332001</v>
      </c>
      <c r="AJ1350">
        <v>88.971026347272996</v>
      </c>
      <c r="AK1350">
        <v>0.64814777048972005</v>
      </c>
      <c r="AL1350">
        <v>82.542264917972304</v>
      </c>
      <c r="AM1350">
        <v>88.375465057995498</v>
      </c>
      <c r="AN1350">
        <v>0.999999956873872</v>
      </c>
    </row>
    <row r="1351" spans="1:40" x14ac:dyDescent="0.25">
      <c r="A1351" t="str">
        <f>"20190312164500636"</f>
        <v>20190312164500636</v>
      </c>
      <c r="B1351" t="str">
        <f>"1552380300632815"</f>
        <v>1552380300632815</v>
      </c>
      <c r="C1351" t="s">
        <v>40</v>
      </c>
      <c r="D1351">
        <v>5.257663</v>
      </c>
      <c r="E1351">
        <v>0.49844139999999998</v>
      </c>
      <c r="F1351" t="s">
        <v>41</v>
      </c>
      <c r="G1351">
        <v>-234.07400000000001</v>
      </c>
      <c r="H1351">
        <v>1.0327630000000001</v>
      </c>
      <c r="I1351">
        <v>282.40010000000001</v>
      </c>
      <c r="J1351">
        <v>-233.46979999999999</v>
      </c>
      <c r="K1351">
        <v>1.107145</v>
      </c>
      <c r="L1351">
        <v>282.3716</v>
      </c>
      <c r="M1351">
        <v>-0.99954620000000005</v>
      </c>
      <c r="N1351">
        <v>0</v>
      </c>
      <c r="O1351">
        <v>2.9521240000000001E-2</v>
      </c>
      <c r="P1351">
        <v>-0.99084329999999998</v>
      </c>
      <c r="Q1351">
        <v>0.12259929999999999</v>
      </c>
      <c r="R1351">
        <v>5.6562639999999997E-2</v>
      </c>
      <c r="S1351">
        <v>-3.050583</v>
      </c>
      <c r="T1351">
        <v>-0.23593829999999999</v>
      </c>
      <c r="U1351">
        <v>0.1243896</v>
      </c>
      <c r="V1351">
        <v>2.7529600000000001E-2</v>
      </c>
      <c r="W1351">
        <v>0.128496</v>
      </c>
      <c r="X1351">
        <v>0.99132790000000004</v>
      </c>
      <c r="Y1351">
        <v>1.128118E-2</v>
      </c>
      <c r="Z1351">
        <v>-1.8429119999999999E-3</v>
      </c>
      <c r="AA1351">
        <v>0.99993469999999995</v>
      </c>
      <c r="AB1351">
        <v>35</v>
      </c>
      <c r="AC1351">
        <v>-0.60420000000002005</v>
      </c>
      <c r="AD1351">
        <v>-7.4382000000000101E-2</v>
      </c>
      <c r="AE1351">
        <v>2.8500000000008099E-2</v>
      </c>
      <c r="AF1351">
        <v>1.0491866684995301E-2</v>
      </c>
      <c r="AG1351">
        <v>-7.4382000000000101E-2</v>
      </c>
      <c r="AH1351">
        <v>0.59576881055966702</v>
      </c>
      <c r="AI1351">
        <v>97.115487064819703</v>
      </c>
      <c r="AJ1351">
        <v>88.991089267405002</v>
      </c>
      <c r="AK1351">
        <v>0.60048583399295596</v>
      </c>
      <c r="AL1351">
        <v>82.617309844803401</v>
      </c>
      <c r="AM1351">
        <v>88.409280519577393</v>
      </c>
      <c r="AN1351">
        <v>1.00000005310528</v>
      </c>
    </row>
    <row r="1352" spans="1:40" x14ac:dyDescent="0.25">
      <c r="A1352" t="str">
        <f>"20190312164500658"</f>
        <v>20190312164500658</v>
      </c>
      <c r="B1352" t="str">
        <f>"1552380300653313"</f>
        <v>1552380300653313</v>
      </c>
      <c r="C1352" t="s">
        <v>40</v>
      </c>
      <c r="D1352">
        <v>5.321923</v>
      </c>
      <c r="E1352">
        <v>0.49837199999999998</v>
      </c>
      <c r="F1352" t="s">
        <v>41</v>
      </c>
      <c r="G1352">
        <v>-234.38749999999999</v>
      </c>
      <c r="H1352">
        <v>1.0358560000000001</v>
      </c>
      <c r="I1352">
        <v>282.40839999999997</v>
      </c>
      <c r="J1352">
        <v>-233.80269999999999</v>
      </c>
      <c r="K1352">
        <v>1.1071260000000001</v>
      </c>
      <c r="L1352">
        <v>282.38209999999998</v>
      </c>
      <c r="M1352">
        <v>-0.99952240000000003</v>
      </c>
      <c r="N1352">
        <v>0</v>
      </c>
      <c r="O1352">
        <v>3.0319849999999999E-2</v>
      </c>
      <c r="P1352">
        <v>-0.9909346</v>
      </c>
      <c r="Q1352">
        <v>0.1214359</v>
      </c>
      <c r="R1352">
        <v>5.7465080000000002E-2</v>
      </c>
      <c r="S1352">
        <v>-3.0500639999999999</v>
      </c>
      <c r="T1352">
        <v>-0.2369772</v>
      </c>
      <c r="U1352">
        <v>0.1223755</v>
      </c>
      <c r="V1352">
        <v>2.7635449999999999E-2</v>
      </c>
      <c r="W1352">
        <v>0.12730230000000001</v>
      </c>
      <c r="X1352">
        <v>0.99147890000000005</v>
      </c>
      <c r="Y1352">
        <v>9.8371650000000001E-3</v>
      </c>
      <c r="Z1352">
        <v>-1.969228E-3</v>
      </c>
      <c r="AA1352">
        <v>0.99994970000000005</v>
      </c>
      <c r="AB1352">
        <v>35</v>
      </c>
      <c r="AC1352">
        <v>-0.58480000000000099</v>
      </c>
      <c r="AD1352">
        <v>-7.1270000000000097E-2</v>
      </c>
      <c r="AE1352">
        <v>2.6299999999992E-2</v>
      </c>
      <c r="AF1352">
        <v>8.4315666335471901E-3</v>
      </c>
      <c r="AG1352">
        <v>-7.1270000000000097E-2</v>
      </c>
      <c r="AH1352">
        <v>0.57677924627987998</v>
      </c>
      <c r="AI1352">
        <v>97.043329261785999</v>
      </c>
      <c r="AJ1352">
        <v>89.162489325773905</v>
      </c>
      <c r="AK1352">
        <v>0.58122698075285695</v>
      </c>
      <c r="AL1352">
        <v>82.686269796217701</v>
      </c>
      <c r="AM1352">
        <v>88.4034105076841</v>
      </c>
      <c r="AN1352">
        <v>1.0000000014135999</v>
      </c>
    </row>
    <row r="1353" spans="1:40" x14ac:dyDescent="0.25">
      <c r="A1353" t="str">
        <f>"20190312164500679"</f>
        <v>20190312164500679</v>
      </c>
      <c r="B1353" t="str">
        <f>"1552380300672831"</f>
        <v>1552380300672831</v>
      </c>
      <c r="C1353" t="s">
        <v>40</v>
      </c>
      <c r="D1353">
        <v>5.1803169999999996</v>
      </c>
      <c r="E1353">
        <v>0.4981006</v>
      </c>
      <c r="F1353" t="s">
        <v>41</v>
      </c>
      <c r="G1353">
        <v>-234.70060000000001</v>
      </c>
      <c r="H1353">
        <v>1.036599</v>
      </c>
      <c r="I1353">
        <v>282.41899999999998</v>
      </c>
      <c r="J1353">
        <v>-234.14160000000001</v>
      </c>
      <c r="K1353">
        <v>1.107116</v>
      </c>
      <c r="L1353">
        <v>282.3931</v>
      </c>
      <c r="M1353">
        <v>-0.99949809999999994</v>
      </c>
      <c r="N1353">
        <v>0</v>
      </c>
      <c r="O1353">
        <v>3.1119609999999999E-2</v>
      </c>
      <c r="P1353">
        <v>-0.99109320000000001</v>
      </c>
      <c r="Q1353">
        <v>0.1198303</v>
      </c>
      <c r="R1353">
        <v>5.8098299999999999E-2</v>
      </c>
      <c r="S1353">
        <v>-3.0495909999999999</v>
      </c>
      <c r="T1353">
        <v>-0.2396789</v>
      </c>
      <c r="U1353">
        <v>0.1244812</v>
      </c>
      <c r="V1353">
        <v>2.74661E-2</v>
      </c>
      <c r="W1353">
        <v>0.12567139999999999</v>
      </c>
      <c r="X1353">
        <v>0.99169160000000001</v>
      </c>
      <c r="Y1353">
        <v>9.7367930000000005E-3</v>
      </c>
      <c r="Z1353">
        <v>-2.0585130000000001E-3</v>
      </c>
      <c r="AA1353">
        <v>0.99995049999999996</v>
      </c>
      <c r="AB1353">
        <v>35</v>
      </c>
      <c r="AC1353">
        <v>-0.55899999999999705</v>
      </c>
      <c r="AD1353">
        <v>-7.0516999999999899E-2</v>
      </c>
      <c r="AE1353">
        <v>2.5900000000035499E-2</v>
      </c>
      <c r="AF1353">
        <v>8.3585594068905904E-3</v>
      </c>
      <c r="AG1353">
        <v>-7.0516999999999899E-2</v>
      </c>
      <c r="AH1353">
        <v>0.55078908788685199</v>
      </c>
      <c r="AI1353">
        <v>97.2950026204675</v>
      </c>
      <c r="AJ1353">
        <v>89.130568436733398</v>
      </c>
      <c r="AK1353">
        <v>0.55534775784150703</v>
      </c>
      <c r="AL1353">
        <v>82.7804697721796</v>
      </c>
      <c r="AM1353">
        <v>88.413529556703807</v>
      </c>
      <c r="AN1353">
        <v>0.99999995846886403</v>
      </c>
    </row>
    <row r="1354" spans="1:40" x14ac:dyDescent="0.25">
      <c r="A1354" t="str">
        <f>"20190312164500702"</f>
        <v>20190312164500702</v>
      </c>
      <c r="B1354" t="str">
        <f>"1552380300693327"</f>
        <v>1552380300693327</v>
      </c>
      <c r="C1354" t="s">
        <v>40</v>
      </c>
      <c r="D1354">
        <v>5.3741450000000004</v>
      </c>
      <c r="E1354">
        <v>0.49784030000000001</v>
      </c>
      <c r="F1354" t="s">
        <v>41</v>
      </c>
      <c r="G1354">
        <v>-235.0147</v>
      </c>
      <c r="H1354">
        <v>1.037066</v>
      </c>
      <c r="I1354">
        <v>282.42849999999999</v>
      </c>
      <c r="J1354">
        <v>-234.49930000000001</v>
      </c>
      <c r="K1354">
        <v>1.107121</v>
      </c>
      <c r="L1354">
        <v>282.40499999999997</v>
      </c>
      <c r="M1354">
        <v>-0.99947269999999999</v>
      </c>
      <c r="N1354">
        <v>0</v>
      </c>
      <c r="O1354">
        <v>3.1930519999999997E-2</v>
      </c>
      <c r="P1354">
        <v>-0.99124520000000005</v>
      </c>
      <c r="Q1354">
        <v>0.1181542</v>
      </c>
      <c r="R1354">
        <v>5.8931329999999997E-2</v>
      </c>
      <c r="S1354">
        <v>-3.0493160000000001</v>
      </c>
      <c r="T1354">
        <v>-0.2447203</v>
      </c>
      <c r="U1354">
        <v>0.1234131</v>
      </c>
      <c r="V1354">
        <v>2.7481599999999998E-2</v>
      </c>
      <c r="W1354">
        <v>0.1239706</v>
      </c>
      <c r="X1354">
        <v>0.99190529999999999</v>
      </c>
      <c r="Y1354">
        <v>8.5885719999999992E-3</v>
      </c>
      <c r="Z1354">
        <v>-2.212767E-3</v>
      </c>
      <c r="AA1354">
        <v>0.99996070000000004</v>
      </c>
      <c r="AB1354">
        <v>35</v>
      </c>
      <c r="AC1354">
        <v>-0.51539999999999897</v>
      </c>
      <c r="AD1354">
        <v>-7.0054999999999895E-2</v>
      </c>
      <c r="AE1354">
        <v>2.3500000000012702E-2</v>
      </c>
      <c r="AF1354">
        <v>6.9034623232819298E-3</v>
      </c>
      <c r="AG1354">
        <v>-7.0054999999999895E-2</v>
      </c>
      <c r="AH1354">
        <v>0.50654839055336398</v>
      </c>
      <c r="AI1354">
        <v>97.873264486833307</v>
      </c>
      <c r="AJ1354">
        <v>89.219196473904006</v>
      </c>
      <c r="AK1354">
        <v>0.51141630086383805</v>
      </c>
      <c r="AL1354">
        <v>82.878687132592901</v>
      </c>
      <c r="AM1354">
        <v>88.412976531881995</v>
      </c>
      <c r="AN1354">
        <v>1.0000000360854999</v>
      </c>
    </row>
    <row r="1355" spans="1:40" x14ac:dyDescent="0.25">
      <c r="A1355" t="str">
        <f>"20190312164500723"</f>
        <v>20190312164500723</v>
      </c>
      <c r="B1355" t="str">
        <f>"1552380300712850"</f>
        <v>1552380300712850</v>
      </c>
      <c r="C1355" t="s">
        <v>40</v>
      </c>
      <c r="D1355">
        <v>5.3422650000000003</v>
      </c>
      <c r="E1355">
        <v>0.49764530000000001</v>
      </c>
      <c r="F1355" t="s">
        <v>41</v>
      </c>
      <c r="G1355">
        <v>-235.3313</v>
      </c>
      <c r="H1355">
        <v>1.0394950000000001</v>
      </c>
      <c r="I1355">
        <v>282.43880000000001</v>
      </c>
      <c r="J1355">
        <v>-234.84350000000001</v>
      </c>
      <c r="K1355">
        <v>1.107135</v>
      </c>
      <c r="L1355">
        <v>282.41669999999999</v>
      </c>
      <c r="M1355">
        <v>-0.99944929999999998</v>
      </c>
      <c r="N1355">
        <v>0</v>
      </c>
      <c r="O1355">
        <v>3.2657480000000003E-2</v>
      </c>
      <c r="P1355">
        <v>-0.99142669999999999</v>
      </c>
      <c r="Q1355">
        <v>0.11645510000000001</v>
      </c>
      <c r="R1355">
        <v>5.9260220000000002E-2</v>
      </c>
      <c r="S1355">
        <v>-3.048721</v>
      </c>
      <c r="T1355">
        <v>-0.24795639999999999</v>
      </c>
      <c r="U1355">
        <v>0.12335210000000001</v>
      </c>
      <c r="V1355">
        <v>2.7070650000000002E-2</v>
      </c>
      <c r="W1355">
        <v>0.122249499999999</v>
      </c>
      <c r="X1355">
        <v>0.99213019999999996</v>
      </c>
      <c r="Y1355">
        <v>7.8559760000000006E-3</v>
      </c>
      <c r="Z1355">
        <v>-2.3310610000000002E-3</v>
      </c>
      <c r="AA1355">
        <v>0.99996640000000003</v>
      </c>
      <c r="AB1355">
        <v>35</v>
      </c>
      <c r="AC1355">
        <v>-0.48779999999999202</v>
      </c>
      <c r="AD1355">
        <v>-6.7639999999999895E-2</v>
      </c>
      <c r="AE1355">
        <v>2.2100000000023101E-2</v>
      </c>
      <c r="AF1355">
        <v>6.0416884485869297E-3</v>
      </c>
      <c r="AG1355">
        <v>-6.7639999999999895E-2</v>
      </c>
      <c r="AH1355">
        <v>0.47906909298356298</v>
      </c>
      <c r="AI1355">
        <v>98.035867608134794</v>
      </c>
      <c r="AJ1355">
        <v>89.277463513720093</v>
      </c>
      <c r="AK1355">
        <v>0.48385831340528102</v>
      </c>
      <c r="AL1355">
        <v>82.978054872736905</v>
      </c>
      <c r="AM1355">
        <v>88.437050646449094</v>
      </c>
      <c r="AN1355">
        <v>1.00000004704685</v>
      </c>
    </row>
    <row r="1356" spans="1:40" x14ac:dyDescent="0.25">
      <c r="A1356" t="str">
        <f>"20190312164500745"</f>
        <v>20190312164500745</v>
      </c>
      <c r="B1356" t="str">
        <f>"1552380300733347"</f>
        <v>1552380300733347</v>
      </c>
      <c r="C1356" t="s">
        <v>40</v>
      </c>
      <c r="D1356">
        <v>5.3384869999999998</v>
      </c>
      <c r="E1356">
        <v>0.49754979999999999</v>
      </c>
      <c r="F1356" t="s">
        <v>41</v>
      </c>
      <c r="G1356">
        <v>-235.6482</v>
      </c>
      <c r="H1356">
        <v>1.0406580000000001</v>
      </c>
      <c r="I1356">
        <v>282.44900000000001</v>
      </c>
      <c r="J1356">
        <v>-235.17939999999999</v>
      </c>
      <c r="K1356">
        <v>1.107172</v>
      </c>
      <c r="L1356">
        <v>282.4282</v>
      </c>
      <c r="M1356">
        <v>-0.99942839999999999</v>
      </c>
      <c r="N1356">
        <v>0</v>
      </c>
      <c r="O1356">
        <v>3.3295060000000001E-2</v>
      </c>
      <c r="P1356">
        <v>-0.99149969999999998</v>
      </c>
      <c r="Q1356">
        <v>0.1158201</v>
      </c>
      <c r="R1356">
        <v>5.9279220000000001E-2</v>
      </c>
      <c r="S1356">
        <v>-3.0482330000000002</v>
      </c>
      <c r="T1356">
        <v>-0.25191269999999999</v>
      </c>
      <c r="U1356">
        <v>0.1221619</v>
      </c>
      <c r="V1356">
        <v>2.643887E-2</v>
      </c>
      <c r="W1356">
        <v>0.12159589999999899</v>
      </c>
      <c r="X1356">
        <v>0.99222750000000004</v>
      </c>
      <c r="Y1356">
        <v>6.8429889999999998E-3</v>
      </c>
      <c r="Z1356">
        <v>-2.4628409999999999E-3</v>
      </c>
      <c r="AA1356">
        <v>0.99997349999999996</v>
      </c>
      <c r="AB1356">
        <v>35</v>
      </c>
      <c r="AC1356">
        <v>-0.46880000000001498</v>
      </c>
      <c r="AD1356">
        <v>-6.6513999999999907E-2</v>
      </c>
      <c r="AE1356">
        <v>2.0800000000008301E-2</v>
      </c>
      <c r="AF1356">
        <v>5.0774652093848799E-3</v>
      </c>
      <c r="AG1356">
        <v>-6.6513999999999907E-2</v>
      </c>
      <c r="AH1356">
        <v>0.45999104202232499</v>
      </c>
      <c r="AI1356">
        <v>98.227359262769497</v>
      </c>
      <c r="AJ1356">
        <v>89.367584395902199</v>
      </c>
      <c r="AK1356">
        <v>0.464802809360848</v>
      </c>
      <c r="AL1356">
        <v>83.015784503510005</v>
      </c>
      <c r="AM1356">
        <v>88.473659212645202</v>
      </c>
      <c r="AN1356">
        <v>0.99999999424996799</v>
      </c>
    </row>
    <row r="1357" spans="1:40" x14ac:dyDescent="0.25">
      <c r="A1357" t="str">
        <f>"20190312164500758"</f>
        <v>20190312164500758</v>
      </c>
      <c r="B1357" t="str">
        <f>"1552380300752863"</f>
        <v>1552380300752863</v>
      </c>
      <c r="C1357" t="s">
        <v>40</v>
      </c>
      <c r="D1357">
        <v>5.3638110000000001</v>
      </c>
      <c r="E1357">
        <v>0.48719099999999999</v>
      </c>
      <c r="F1357" t="s">
        <v>41</v>
      </c>
      <c r="G1357">
        <v>-235.96600000000001</v>
      </c>
      <c r="H1357">
        <v>1.0419339999999999</v>
      </c>
      <c r="I1357">
        <v>282.4597</v>
      </c>
      <c r="J1357">
        <v>-235.39060000000001</v>
      </c>
      <c r="K1357">
        <v>1.107205</v>
      </c>
      <c r="L1357">
        <v>282.43560000000002</v>
      </c>
      <c r="M1357">
        <v>-0.99941679999999999</v>
      </c>
      <c r="N1357">
        <v>0</v>
      </c>
      <c r="O1357">
        <v>3.364578E-2</v>
      </c>
      <c r="P1357">
        <v>-0.99150559999999999</v>
      </c>
      <c r="Q1357">
        <v>0.115746</v>
      </c>
      <c r="R1357">
        <v>5.9328819999999997E-2</v>
      </c>
      <c r="S1357">
        <v>-3.0480499999999999</v>
      </c>
      <c r="T1357">
        <v>-0.25299310000000003</v>
      </c>
      <c r="U1357">
        <v>0.1211243</v>
      </c>
      <c r="V1357">
        <v>2.6128330000000002E-2</v>
      </c>
      <c r="W1357">
        <v>0.1215112</v>
      </c>
      <c r="X1357">
        <v>0.99224610000000002</v>
      </c>
      <c r="Y1357">
        <v>6.1589599999999998E-3</v>
      </c>
      <c r="Z1357">
        <v>-2.530891E-3</v>
      </c>
      <c r="AA1357">
        <v>0.99997780000000003</v>
      </c>
      <c r="AB1357">
        <v>35</v>
      </c>
      <c r="AC1357">
        <v>-0.57539999999997304</v>
      </c>
      <c r="AD1357">
        <v>-6.5270999999999996E-2</v>
      </c>
      <c r="AE1357">
        <v>2.4099999999975801E-2</v>
      </c>
      <c r="AF1357">
        <v>4.6663040294965402E-3</v>
      </c>
      <c r="AG1357">
        <v>-6.5270999999999996E-2</v>
      </c>
      <c r="AH1357">
        <v>0.56858156344756705</v>
      </c>
      <c r="AI1357">
        <v>96.548452768016205</v>
      </c>
      <c r="AJ1357">
        <v>89.529788614849807</v>
      </c>
      <c r="AK1357">
        <v>0.57233475530215305</v>
      </c>
      <c r="AL1357">
        <v>83.020673695480198</v>
      </c>
      <c r="AM1357">
        <v>88.491606909280705</v>
      </c>
      <c r="AN1357">
        <v>0.99999999215961899</v>
      </c>
    </row>
    <row r="1358" spans="1:40" x14ac:dyDescent="0.25">
      <c r="A1358" t="str">
        <f>"20190312164500780"</f>
        <v>20190312164500780</v>
      </c>
      <c r="B1358" t="str">
        <f>"1552380300773359"</f>
        <v>1552380300773359</v>
      </c>
      <c r="C1358" t="s">
        <v>40</v>
      </c>
      <c r="D1358">
        <v>5.3290899999999999</v>
      </c>
      <c r="E1358">
        <v>0.48749239999999999</v>
      </c>
      <c r="F1358" t="s">
        <v>47</v>
      </c>
      <c r="G1358">
        <v>-254.3989</v>
      </c>
      <c r="H1358" s="1">
        <v>8.0408999999999904E-7</v>
      </c>
      <c r="I1358">
        <v>282.7054</v>
      </c>
      <c r="J1358">
        <v>-235.73249999999999</v>
      </c>
      <c r="K1358">
        <v>1.1072679999999999</v>
      </c>
      <c r="L1358">
        <v>282.44749999999999</v>
      </c>
      <c r="M1358">
        <v>-0.99940039999999997</v>
      </c>
      <c r="N1358">
        <v>0</v>
      </c>
      <c r="O1358">
        <v>3.4136399999999997E-2</v>
      </c>
      <c r="P1358">
        <v>-0.99155130000000002</v>
      </c>
      <c r="Q1358">
        <v>0.1153754</v>
      </c>
      <c r="R1358">
        <v>5.9287640000000003E-2</v>
      </c>
      <c r="S1358">
        <v>-3.0438079999999998</v>
      </c>
      <c r="T1358">
        <v>-0.17729700000000001</v>
      </c>
      <c r="U1358">
        <v>4.3212889999999997E-2</v>
      </c>
      <c r="V1358">
        <v>2.557566E-2</v>
      </c>
      <c r="W1358">
        <v>0.1211226</v>
      </c>
      <c r="X1358">
        <v>0.99230799999999997</v>
      </c>
      <c r="Y1358">
        <v>-1.9854779999999999E-2</v>
      </c>
      <c r="Z1358">
        <v>-2.5639669999999999E-3</v>
      </c>
      <c r="AA1358">
        <v>0.99979960000000001</v>
      </c>
      <c r="AB1358">
        <v>35</v>
      </c>
      <c r="AC1358">
        <v>-18.666399999999999</v>
      </c>
      <c r="AD1358">
        <v>-1.10726719591</v>
      </c>
      <c r="AE1358">
        <v>0.25790000000000601</v>
      </c>
      <c r="AF1358">
        <v>-0.378134406579483</v>
      </c>
      <c r="AG1358">
        <v>-1.10726719591</v>
      </c>
      <c r="AH1358">
        <v>18.598892811271099</v>
      </c>
      <c r="AI1358">
        <v>93.406325475977397</v>
      </c>
      <c r="AJ1358">
        <v>91.164721007762296</v>
      </c>
      <c r="AK1358">
        <v>18.6356604411469</v>
      </c>
      <c r="AL1358">
        <v>83.043104447767405</v>
      </c>
      <c r="AM1358">
        <v>88.523590432832194</v>
      </c>
      <c r="AN1358">
        <v>0.999999982739597</v>
      </c>
    </row>
    <row r="1359" spans="1:40" x14ac:dyDescent="0.25">
      <c r="A1359" t="str">
        <f>"20190312164500802"</f>
        <v>20190312164500802</v>
      </c>
      <c r="B1359" t="str">
        <f>"1552380300792879"</f>
        <v>1552380300792879</v>
      </c>
      <c r="C1359" t="s">
        <v>40</v>
      </c>
      <c r="D1359">
        <v>5.4672510000000001</v>
      </c>
      <c r="E1359">
        <v>0.48760320000000001</v>
      </c>
      <c r="F1359" t="s">
        <v>47</v>
      </c>
      <c r="G1359">
        <v>-254.4477</v>
      </c>
      <c r="H1359" s="1">
        <v>8.3004560000000002E-7</v>
      </c>
      <c r="I1359">
        <v>282.7269</v>
      </c>
      <c r="J1359">
        <v>-236.0908</v>
      </c>
      <c r="K1359">
        <v>1.10734</v>
      </c>
      <c r="L1359">
        <v>282.46010000000001</v>
      </c>
      <c r="M1359">
        <v>-0.99938669999999996</v>
      </c>
      <c r="N1359">
        <v>0</v>
      </c>
      <c r="O1359">
        <v>3.4536749999999998E-2</v>
      </c>
      <c r="P1359">
        <v>-0.9916625</v>
      </c>
      <c r="Q1359">
        <v>0.11465110000000001</v>
      </c>
      <c r="R1359">
        <v>5.8829310000000003E-2</v>
      </c>
      <c r="S1359">
        <v>-3.0438230000000002</v>
      </c>
      <c r="T1359">
        <v>-0.18008469999999999</v>
      </c>
      <c r="U1359">
        <v>4.5440670000000002E-2</v>
      </c>
      <c r="V1359">
        <v>2.4689550000000001E-2</v>
      </c>
      <c r="W1359">
        <v>0.12038219999999999</v>
      </c>
      <c r="X1359">
        <v>0.99242059999999999</v>
      </c>
      <c r="Y1359">
        <v>-1.952075E-2</v>
      </c>
      <c r="Z1359">
        <v>-2.6179570000000002E-3</v>
      </c>
      <c r="AA1359">
        <v>0.99980599999999997</v>
      </c>
      <c r="AB1359">
        <v>36</v>
      </c>
      <c r="AC1359">
        <v>-18.3569</v>
      </c>
      <c r="AD1359">
        <v>-1.1073391699544</v>
      </c>
      <c r="AE1359">
        <v>0.26679999999998899</v>
      </c>
      <c r="AF1359">
        <v>-0.36602580910265498</v>
      </c>
      <c r="AG1359">
        <v>-1.1073391699544</v>
      </c>
      <c r="AH1359">
        <v>18.2886277030033</v>
      </c>
      <c r="AI1359">
        <v>93.464220688673905</v>
      </c>
      <c r="AJ1359">
        <v>91.146555934269699</v>
      </c>
      <c r="AK1359">
        <v>18.3257763325133</v>
      </c>
      <c r="AL1359">
        <v>83.085839398529103</v>
      </c>
      <c r="AM1359">
        <v>88.574883191307293</v>
      </c>
      <c r="AN1359">
        <v>1.0000000476302</v>
      </c>
    </row>
    <row r="1360" spans="1:40" x14ac:dyDescent="0.25">
      <c r="A1360" t="str">
        <f>"20190312164500826"</f>
        <v>20190312164500826</v>
      </c>
      <c r="B1360" t="str">
        <f>"1552380300823135"</f>
        <v>1552380300823135</v>
      </c>
      <c r="C1360" t="s">
        <v>40</v>
      </c>
      <c r="D1360">
        <v>5.2960330000000004</v>
      </c>
      <c r="E1360">
        <v>0.49075170000000001</v>
      </c>
      <c r="F1360" t="s">
        <v>47</v>
      </c>
      <c r="G1360">
        <v>-254.5497</v>
      </c>
      <c r="H1360" s="1">
        <v>8.8432080000000001E-7</v>
      </c>
      <c r="I1360">
        <v>282.73239999999998</v>
      </c>
      <c r="J1360">
        <v>-236.45840000000001</v>
      </c>
      <c r="K1360">
        <v>1.107418</v>
      </c>
      <c r="L1360">
        <v>282.47309999999999</v>
      </c>
      <c r="M1360">
        <v>-0.99937670000000001</v>
      </c>
      <c r="N1360">
        <v>0</v>
      </c>
      <c r="O1360">
        <v>3.4827619999999997E-2</v>
      </c>
      <c r="P1360">
        <v>-0.99200949999999999</v>
      </c>
      <c r="Q1360">
        <v>0.1129747</v>
      </c>
      <c r="R1360">
        <v>5.616206E-2</v>
      </c>
      <c r="S1360">
        <v>-3.0436709999999998</v>
      </c>
      <c r="T1360">
        <v>-0.18258869999999999</v>
      </c>
      <c r="U1360">
        <v>4.4891359999999998E-2</v>
      </c>
      <c r="V1360">
        <v>2.169428E-2</v>
      </c>
      <c r="W1360">
        <v>0.1186917</v>
      </c>
      <c r="X1360">
        <v>0.99269410000000002</v>
      </c>
      <c r="Y1360">
        <v>-1.9987390000000001E-2</v>
      </c>
      <c r="Z1360">
        <v>-2.6858379999999999E-3</v>
      </c>
      <c r="AA1360">
        <v>0.99979660000000004</v>
      </c>
      <c r="AB1360">
        <v>36</v>
      </c>
      <c r="AC1360">
        <v>-18.091299999999901</v>
      </c>
      <c r="AD1360">
        <v>-1.1074171156792001</v>
      </c>
      <c r="AE1360">
        <v>0.25929999999999598</v>
      </c>
      <c r="AF1360">
        <v>-0.36956025472839299</v>
      </c>
      <c r="AG1360">
        <v>-1.1074171156792001</v>
      </c>
      <c r="AH1360">
        <v>18.021841369217199</v>
      </c>
      <c r="AI1360">
        <v>93.515587470155197</v>
      </c>
      <c r="AJ1360">
        <v>91.174756520226396</v>
      </c>
      <c r="AK1360">
        <v>18.059615549263601</v>
      </c>
      <c r="AL1360">
        <v>83.183396896721902</v>
      </c>
      <c r="AM1360">
        <v>88.7480605976275</v>
      </c>
      <c r="AN1360">
        <v>0.99999996880420805</v>
      </c>
    </row>
    <row r="1361" spans="1:40" x14ac:dyDescent="0.25">
      <c r="A1361" t="str">
        <f>"20190312164500859"</f>
        <v>20190312164500859</v>
      </c>
      <c r="B1361" t="str">
        <f>"1552380300853391"</f>
        <v>1552380300853391</v>
      </c>
      <c r="C1361" t="s">
        <v>40</v>
      </c>
      <c r="D1361">
        <v>5.4595529999999997</v>
      </c>
      <c r="E1361">
        <v>0.48901840000000002</v>
      </c>
      <c r="F1361" t="s">
        <v>47</v>
      </c>
      <c r="G1361">
        <v>-251.4067</v>
      </c>
      <c r="H1361" s="1">
        <v>-7.8821659999999905E-7</v>
      </c>
      <c r="I1361">
        <v>282.76780000000002</v>
      </c>
      <c r="J1361">
        <v>-236.9913</v>
      </c>
      <c r="K1361">
        <v>1.1075189999999999</v>
      </c>
      <c r="L1361">
        <v>282.49189999999999</v>
      </c>
      <c r="M1361">
        <v>-0.99936910000000001</v>
      </c>
      <c r="N1361">
        <v>0</v>
      </c>
      <c r="O1361">
        <v>3.5052239999999998E-2</v>
      </c>
      <c r="P1361">
        <v>-0.99276920000000002</v>
      </c>
      <c r="Q1361">
        <v>0.1097592</v>
      </c>
      <c r="R1361">
        <v>4.8602369999999999E-2</v>
      </c>
      <c r="S1361">
        <v>-3.0464479999999998</v>
      </c>
      <c r="T1361">
        <v>-0.2256908</v>
      </c>
      <c r="U1361">
        <v>6.0058590000000002E-2</v>
      </c>
      <c r="V1361">
        <v>1.385218E-2</v>
      </c>
      <c r="W1361">
        <v>0.115454399999999</v>
      </c>
      <c r="X1361">
        <v>0.99321619999999999</v>
      </c>
      <c r="Y1361">
        <v>-1.521001E-2</v>
      </c>
      <c r="Z1361">
        <v>-3.154979E-3</v>
      </c>
      <c r="AA1361">
        <v>0.99987939999999997</v>
      </c>
      <c r="AB1361">
        <v>36</v>
      </c>
      <c r="AC1361">
        <v>-14.4154</v>
      </c>
      <c r="AD1361">
        <v>-1.1075197882165999</v>
      </c>
      <c r="AE1361">
        <v>0.27590000000003501</v>
      </c>
      <c r="AF1361">
        <v>-0.22822324756604101</v>
      </c>
      <c r="AG1361">
        <v>-1.1075197882165999</v>
      </c>
      <c r="AH1361">
        <v>14.3316480257172</v>
      </c>
      <c r="AI1361">
        <v>94.418357615338806</v>
      </c>
      <c r="AJ1361">
        <v>90.912325204689793</v>
      </c>
      <c r="AK1361">
        <v>14.376189379145901</v>
      </c>
      <c r="AL1361">
        <v>83.370165240698</v>
      </c>
      <c r="AM1361">
        <v>89.200959471611696</v>
      </c>
      <c r="AN1361">
        <v>1.0000000106562701</v>
      </c>
    </row>
    <row r="1362" spans="1:40" x14ac:dyDescent="0.25">
      <c r="A1362" t="str">
        <f>"20190312164500880"</f>
        <v>20190312164500880</v>
      </c>
      <c r="B1362" t="str">
        <f>"1552380300872911"</f>
        <v>1552380300872911</v>
      </c>
      <c r="C1362" t="s">
        <v>40</v>
      </c>
      <c r="D1362">
        <v>5.4137420000000001</v>
      </c>
      <c r="E1362">
        <v>0.48876520000000001</v>
      </c>
      <c r="F1362" t="s">
        <v>47</v>
      </c>
      <c r="G1362">
        <v>-252.04470000000001</v>
      </c>
      <c r="H1362" s="1">
        <v>-4.4869179999999999E-7</v>
      </c>
      <c r="I1362">
        <v>282.60840000000002</v>
      </c>
      <c r="J1362">
        <v>-237.34219999999999</v>
      </c>
      <c r="K1362">
        <v>1.1075660000000001</v>
      </c>
      <c r="L1362">
        <v>282.5043</v>
      </c>
      <c r="M1362">
        <v>-0.99936749999999996</v>
      </c>
      <c r="N1362">
        <v>0</v>
      </c>
      <c r="O1362">
        <v>3.5099909999999998E-2</v>
      </c>
      <c r="P1362">
        <v>-0.99350139999999998</v>
      </c>
      <c r="Q1362">
        <v>0.10550320000000001</v>
      </c>
      <c r="R1362">
        <v>4.2713479999999998E-2</v>
      </c>
      <c r="S1362">
        <v>-3.0454859999999999</v>
      </c>
      <c r="T1362">
        <v>-0.22406490000000001</v>
      </c>
      <c r="U1362">
        <v>2.3559569999999998E-2</v>
      </c>
      <c r="V1362">
        <v>7.8721720000000002E-3</v>
      </c>
      <c r="W1362">
        <v>0.1111811</v>
      </c>
      <c r="X1362">
        <v>0.99376900000000001</v>
      </c>
      <c r="Y1362">
        <v>-2.7200189999999999E-2</v>
      </c>
      <c r="Z1362">
        <v>-3.577663E-3</v>
      </c>
      <c r="AA1362">
        <v>0.99962359999999995</v>
      </c>
      <c r="AB1362">
        <v>36</v>
      </c>
      <c r="AC1362">
        <v>-14.702500000000001</v>
      </c>
      <c r="AD1362">
        <v>-1.1075664486918</v>
      </c>
      <c r="AE1362">
        <v>0.104100000000016</v>
      </c>
      <c r="AF1362">
        <v>-0.40970407765424099</v>
      </c>
      <c r="AG1362">
        <v>-1.1075664486918</v>
      </c>
      <c r="AH1362">
        <v>14.6141645338773</v>
      </c>
      <c r="AI1362">
        <v>94.332305347460505</v>
      </c>
      <c r="AJ1362">
        <v>91.605850782421996</v>
      </c>
      <c r="AK1362">
        <v>14.661799544829201</v>
      </c>
      <c r="AL1362">
        <v>83.616594829840395</v>
      </c>
      <c r="AM1362">
        <v>89.546139196173499</v>
      </c>
      <c r="AN1362">
        <v>1.0000000167251</v>
      </c>
    </row>
    <row r="1363" spans="1:40" x14ac:dyDescent="0.25">
      <c r="A1363" t="str">
        <f>"20190312164500903"</f>
        <v>20190312164500903</v>
      </c>
      <c r="B1363" t="str">
        <f>"1552380300893410"</f>
        <v>1552380300893410</v>
      </c>
      <c r="C1363" t="s">
        <v>40</v>
      </c>
      <c r="D1363">
        <v>5.4026199999999998</v>
      </c>
      <c r="E1363">
        <v>0.489367</v>
      </c>
      <c r="F1363" t="s">
        <v>47</v>
      </c>
      <c r="G1363">
        <v>-251.8365</v>
      </c>
      <c r="H1363" s="1">
        <v>-5.5951719999999897E-7</v>
      </c>
      <c r="I1363">
        <v>282.51490000000001</v>
      </c>
      <c r="J1363">
        <v>-237.71109999999999</v>
      </c>
      <c r="K1363">
        <v>1.107615</v>
      </c>
      <c r="L1363">
        <v>282.5172</v>
      </c>
      <c r="M1363">
        <v>-0.9993687</v>
      </c>
      <c r="N1363">
        <v>0</v>
      </c>
      <c r="O1363">
        <v>3.5071049999999999E-2</v>
      </c>
      <c r="P1363">
        <v>-0.99417690000000003</v>
      </c>
      <c r="Q1363">
        <v>0.1013405</v>
      </c>
      <c r="R1363">
        <v>3.6639369999999997E-2</v>
      </c>
      <c r="S1363">
        <v>-3.044235</v>
      </c>
      <c r="T1363">
        <v>-0.2326221</v>
      </c>
      <c r="U1363">
        <v>2.2277830000000001E-3</v>
      </c>
      <c r="V1363">
        <v>1.7865540000000001E-3</v>
      </c>
      <c r="W1363">
        <v>0.1069986</v>
      </c>
      <c r="X1363">
        <v>0.99425759999999996</v>
      </c>
      <c r="Y1363">
        <v>-3.4138509999999997E-2</v>
      </c>
      <c r="Z1363">
        <v>-3.9780709999999997E-3</v>
      </c>
      <c r="AA1363">
        <v>0.9994092</v>
      </c>
      <c r="AB1363">
        <v>36</v>
      </c>
      <c r="AC1363">
        <v>-14.125400000000001</v>
      </c>
      <c r="AD1363">
        <v>-1.1076155595171999</v>
      </c>
      <c r="AE1363">
        <v>-2.29999999999108E-3</v>
      </c>
      <c r="AF1363">
        <v>-0.49465772159786697</v>
      </c>
      <c r="AG1363">
        <v>-1.1076155595171999</v>
      </c>
      <c r="AH1363">
        <v>14.0303622611351</v>
      </c>
      <c r="AI1363">
        <v>94.511016224335606</v>
      </c>
      <c r="AJ1363">
        <v>92.019197010242706</v>
      </c>
      <c r="AK1363">
        <v>14.0827044159815</v>
      </c>
      <c r="AL1363">
        <v>83.857673493824294</v>
      </c>
      <c r="AM1363">
        <v>89.897046908260606</v>
      </c>
      <c r="AN1363">
        <v>1.0000000336674499</v>
      </c>
    </row>
    <row r="1364" spans="1:40" x14ac:dyDescent="0.25">
      <c r="A1364" t="str">
        <f>"20190312164500925"</f>
        <v>20190312164500925</v>
      </c>
      <c r="B1364" t="str">
        <f>"1552380300912927"</f>
        <v>1552380300912927</v>
      </c>
      <c r="C1364" t="s">
        <v>40</v>
      </c>
      <c r="D1364">
        <v>5.3503499999999997</v>
      </c>
      <c r="E1364">
        <v>0.48951919999999999</v>
      </c>
      <c r="F1364" t="s">
        <v>47</v>
      </c>
      <c r="G1364">
        <v>-250.8707</v>
      </c>
      <c r="H1364" s="1">
        <v>-1.073455E-6</v>
      </c>
      <c r="I1364">
        <v>282.4547</v>
      </c>
      <c r="J1364">
        <v>-238.071</v>
      </c>
      <c r="K1364">
        <v>1.1076710000000001</v>
      </c>
      <c r="L1364">
        <v>282.52980000000002</v>
      </c>
      <c r="M1364">
        <v>-0.99937279999999995</v>
      </c>
      <c r="N1364">
        <v>0</v>
      </c>
      <c r="O1364">
        <v>3.4957990000000001E-2</v>
      </c>
      <c r="P1364">
        <v>-0.99458040000000003</v>
      </c>
      <c r="Q1364">
        <v>9.8938520000000002E-2</v>
      </c>
      <c r="R1364">
        <v>3.1957739999999998E-2</v>
      </c>
      <c r="S1364">
        <v>-3.0442200000000001</v>
      </c>
      <c r="T1364">
        <v>-0.25622590000000001</v>
      </c>
      <c r="U1364">
        <v>-1.446533E-2</v>
      </c>
      <c r="V1364">
        <v>-2.8129119999999999E-3</v>
      </c>
      <c r="W1364">
        <v>0.10457470000000001</v>
      </c>
      <c r="X1364">
        <v>0.99451299999999998</v>
      </c>
      <c r="Y1364">
        <v>-3.9443890000000002E-2</v>
      </c>
      <c r="Z1364">
        <v>-4.5938120000000001E-3</v>
      </c>
      <c r="AA1364">
        <v>0.99921130000000002</v>
      </c>
      <c r="AB1364">
        <v>36</v>
      </c>
      <c r="AC1364">
        <v>-12.7997</v>
      </c>
      <c r="AD1364">
        <v>-1.1076720734550001</v>
      </c>
      <c r="AE1364">
        <v>-7.5100000000020303E-2</v>
      </c>
      <c r="AF1364">
        <v>-0.51862915681890898</v>
      </c>
      <c r="AG1364">
        <v>-1.1076720734550001</v>
      </c>
      <c r="AH1364">
        <v>12.694187684359299</v>
      </c>
      <c r="AI1364">
        <v>94.982760044763793</v>
      </c>
      <c r="AJ1364">
        <v>92.339554581131694</v>
      </c>
      <c r="AK1364">
        <v>12.7529727746261</v>
      </c>
      <c r="AL1364">
        <v>83.997335892680596</v>
      </c>
      <c r="AM1364">
        <v>90.162056761410895</v>
      </c>
      <c r="AN1364">
        <v>0.99999994376150303</v>
      </c>
    </row>
    <row r="1365" spans="1:40" x14ac:dyDescent="0.25">
      <c r="A1365" t="str">
        <f>"20190312164500946"</f>
        <v>20190312164500946</v>
      </c>
      <c r="B1365" t="str">
        <f>"1552380300943184"</f>
        <v>1552380300943184</v>
      </c>
      <c r="C1365" t="s">
        <v>40</v>
      </c>
      <c r="D1365">
        <v>5.4148160000000001</v>
      </c>
      <c r="E1365">
        <v>0.48986400000000002</v>
      </c>
      <c r="F1365" t="s">
        <v>47</v>
      </c>
      <c r="G1365">
        <v>-250.78210000000001</v>
      </c>
      <c r="H1365" s="1">
        <v>-1.1205849999999999E-6</v>
      </c>
      <c r="I1365">
        <v>282.40780000000001</v>
      </c>
      <c r="J1365">
        <v>-238.4127</v>
      </c>
      <c r="K1365">
        <v>1.107728</v>
      </c>
      <c r="L1365">
        <v>282.54160000000002</v>
      </c>
      <c r="M1365">
        <v>-0.99937949999999998</v>
      </c>
      <c r="N1365">
        <v>0</v>
      </c>
      <c r="O1365">
        <v>3.4768229999999997E-2</v>
      </c>
      <c r="P1365">
        <v>-0.99491289999999999</v>
      </c>
      <c r="Q1365">
        <v>9.6613060000000001E-2</v>
      </c>
      <c r="R1365">
        <v>2.853611E-2</v>
      </c>
      <c r="S1365">
        <v>-3.0436860000000001</v>
      </c>
      <c r="T1365">
        <v>-0.26523180000000002</v>
      </c>
      <c r="U1365">
        <v>-2.920532E-2</v>
      </c>
      <c r="V1365">
        <v>-6.07465E-3</v>
      </c>
      <c r="W1365">
        <v>0.1022255</v>
      </c>
      <c r="X1365">
        <v>0.99474269999999998</v>
      </c>
      <c r="Y1365">
        <v>-4.4057640000000002E-2</v>
      </c>
      <c r="Z1365">
        <v>-4.9396320000000002E-3</v>
      </c>
      <c r="AA1365">
        <v>0.99901680000000004</v>
      </c>
      <c r="AB1365">
        <v>36</v>
      </c>
      <c r="AC1365">
        <v>-12.369400000000001</v>
      </c>
      <c r="AD1365">
        <v>-1.1077291205849999</v>
      </c>
      <c r="AE1365">
        <v>-0.133800000000007</v>
      </c>
      <c r="AF1365">
        <v>-0.55930304214698601</v>
      </c>
      <c r="AG1365">
        <v>-1.1077291205849999</v>
      </c>
      <c r="AH1365">
        <v>12.2589648097516</v>
      </c>
      <c r="AI1365">
        <v>95.157930184276907</v>
      </c>
      <c r="AJ1365">
        <v>92.612251287283996</v>
      </c>
      <c r="AK1365">
        <v>12.3216111732303</v>
      </c>
      <c r="AL1365">
        <v>84.132660850851394</v>
      </c>
      <c r="AM1365">
        <v>90.349886941162595</v>
      </c>
      <c r="AN1365">
        <v>0.99999999671308104</v>
      </c>
    </row>
    <row r="1366" spans="1:40" x14ac:dyDescent="0.25">
      <c r="A1366" t="str">
        <f>"20190312164500969"</f>
        <v>20190312164500969</v>
      </c>
      <c r="B1366" t="str">
        <f>"1552380300962703"</f>
        <v>1552380300962703</v>
      </c>
      <c r="C1366" t="s">
        <v>40</v>
      </c>
      <c r="D1366">
        <v>5.3868809999999998</v>
      </c>
      <c r="E1366">
        <v>0.49055320000000002</v>
      </c>
      <c r="F1366" t="s">
        <v>47</v>
      </c>
      <c r="G1366">
        <v>-250.983</v>
      </c>
      <c r="H1366" s="1">
        <v>-1.013686E-6</v>
      </c>
      <c r="I1366">
        <v>282.38889999999998</v>
      </c>
      <c r="J1366">
        <v>-238.7842</v>
      </c>
      <c r="K1366">
        <v>1.107801</v>
      </c>
      <c r="L1366">
        <v>282.55439999999999</v>
      </c>
      <c r="M1366">
        <v>-0.99938979999999999</v>
      </c>
      <c r="N1366">
        <v>0</v>
      </c>
      <c r="O1366">
        <v>3.4473690000000001E-2</v>
      </c>
      <c r="P1366">
        <v>-0.99521859999999995</v>
      </c>
      <c r="Q1366">
        <v>9.4095189999999995E-2</v>
      </c>
      <c r="R1366">
        <v>2.62007E-2</v>
      </c>
      <c r="S1366">
        <v>-3.0424039999999999</v>
      </c>
      <c r="T1366">
        <v>-0.26810400000000001</v>
      </c>
      <c r="U1366">
        <v>-3.6956790000000003E-2</v>
      </c>
      <c r="V1366">
        <v>-8.1486230000000007E-3</v>
      </c>
      <c r="W1366">
        <v>9.9683209999999994E-2</v>
      </c>
      <c r="X1366">
        <v>0.99498589999999998</v>
      </c>
      <c r="Y1366">
        <v>-4.629784E-2</v>
      </c>
      <c r="Z1366">
        <v>-5.0675920000000001E-3</v>
      </c>
      <c r="AA1366">
        <v>0.99891479999999999</v>
      </c>
      <c r="AB1366">
        <v>36</v>
      </c>
      <c r="AC1366">
        <v>-12.1988</v>
      </c>
      <c r="AD1366">
        <v>-1.1078020136860001</v>
      </c>
      <c r="AE1366">
        <v>-0.165500000000008</v>
      </c>
      <c r="AF1366">
        <v>-0.581154086775865</v>
      </c>
      <c r="AG1366">
        <v>-1.1078020136860001</v>
      </c>
      <c r="AH1366">
        <v>12.0861882933901</v>
      </c>
      <c r="AI1366">
        <v>95.231002448458398</v>
      </c>
      <c r="AJ1366">
        <v>92.752898498277702</v>
      </c>
      <c r="AK1366">
        <v>12.1507577063072</v>
      </c>
      <c r="AL1366">
        <v>84.279071641167405</v>
      </c>
      <c r="AM1366">
        <v>90.469224005177693</v>
      </c>
      <c r="AN1366">
        <v>1.00000004180575</v>
      </c>
    </row>
    <row r="1367" spans="1:40" x14ac:dyDescent="0.25">
      <c r="A1367" t="str">
        <f>"20190312164500993"</f>
        <v>20190312164500993</v>
      </c>
      <c r="B1367" t="str">
        <f>"1552380300983201"</f>
        <v>1552380300983201</v>
      </c>
      <c r="C1367" t="s">
        <v>40</v>
      </c>
      <c r="D1367">
        <v>5.3052250000000001</v>
      </c>
      <c r="E1367">
        <v>0.49125429999999998</v>
      </c>
      <c r="F1367" t="s">
        <v>47</v>
      </c>
      <c r="G1367">
        <v>-251.066</v>
      </c>
      <c r="H1367" s="1">
        <v>-9.6951240000000008E-7</v>
      </c>
      <c r="I1367">
        <v>282.39960000000002</v>
      </c>
      <c r="J1367">
        <v>-239.19210000000001</v>
      </c>
      <c r="K1367">
        <v>1.1078870000000001</v>
      </c>
      <c r="L1367">
        <v>282.56810000000002</v>
      </c>
      <c r="M1367">
        <v>-0.99940519999999999</v>
      </c>
      <c r="N1367">
        <v>0</v>
      </c>
      <c r="O1367">
        <v>3.4031449999999998E-2</v>
      </c>
      <c r="P1367">
        <v>-0.99541349999999995</v>
      </c>
      <c r="Q1367">
        <v>9.2274610000000007E-2</v>
      </c>
      <c r="R1367">
        <v>2.525003E-2</v>
      </c>
      <c r="S1367">
        <v>-3.041382</v>
      </c>
      <c r="T1367">
        <v>-0.27432820000000002</v>
      </c>
      <c r="U1367">
        <v>-3.8330080000000002E-2</v>
      </c>
      <c r="V1367">
        <v>-8.6891899999999994E-3</v>
      </c>
      <c r="W1367">
        <v>9.7838350000000004E-2</v>
      </c>
      <c r="X1367">
        <v>0.99516439999999995</v>
      </c>
      <c r="Y1367">
        <v>-4.6297770000000002E-2</v>
      </c>
      <c r="Z1367">
        <v>-5.1466990000000002E-3</v>
      </c>
      <c r="AA1367">
        <v>0.99891439999999998</v>
      </c>
      <c r="AB1367">
        <v>37</v>
      </c>
      <c r="AC1367">
        <v>-11.8738999999999</v>
      </c>
      <c r="AD1367">
        <v>-1.1078879695124</v>
      </c>
      <c r="AE1367">
        <v>-0.16849999999999399</v>
      </c>
      <c r="AF1367">
        <v>-0.56755473427135195</v>
      </c>
      <c r="AG1367">
        <v>-1.1078879695124</v>
      </c>
      <c r="AH1367">
        <v>11.7589381241143</v>
      </c>
      <c r="AI1367">
        <v>95.376107359391</v>
      </c>
      <c r="AJ1367">
        <v>92.763283065044007</v>
      </c>
      <c r="AK1367">
        <v>11.8246420637638</v>
      </c>
      <c r="AL1367">
        <v>84.385293484533804</v>
      </c>
      <c r="AM1367">
        <v>90.500260322058594</v>
      </c>
      <c r="AN1367">
        <v>1.0000000138904599</v>
      </c>
    </row>
    <row r="1368" spans="1:40" x14ac:dyDescent="0.25">
      <c r="A1368" t="str">
        <f>"20190312164501013"</f>
        <v>20190312164501013</v>
      </c>
      <c r="B1368" t="str">
        <f>"1552380301002723"</f>
        <v>1552380301002723</v>
      </c>
      <c r="C1368" t="s">
        <v>40</v>
      </c>
      <c r="D1368">
        <v>5.4095040000000001</v>
      </c>
      <c r="E1368">
        <v>0.49171029999999999</v>
      </c>
      <c r="F1368" t="s">
        <v>41</v>
      </c>
      <c r="G1368">
        <v>-240.16239999999999</v>
      </c>
      <c r="H1368">
        <v>1.019245</v>
      </c>
      <c r="I1368">
        <v>282.55700000000002</v>
      </c>
      <c r="J1368">
        <v>-239.52269999999999</v>
      </c>
      <c r="K1368">
        <v>1.1079540000000001</v>
      </c>
      <c r="L1368">
        <v>282.57900000000001</v>
      </c>
      <c r="M1368">
        <v>-0.99941979999999997</v>
      </c>
      <c r="N1368">
        <v>0</v>
      </c>
      <c r="O1368">
        <v>3.3600190000000002E-2</v>
      </c>
      <c r="P1368">
        <v>-0.99549010000000004</v>
      </c>
      <c r="Q1368">
        <v>9.1507519999999995E-2</v>
      </c>
      <c r="R1368">
        <v>2.5016030000000002E-2</v>
      </c>
      <c r="S1368">
        <v>-3.0404659999999999</v>
      </c>
      <c r="T1368">
        <v>-0.27793959999999901</v>
      </c>
      <c r="U1368">
        <v>-3.4942630000000002E-2</v>
      </c>
      <c r="V1368">
        <v>-8.5147450000000006E-3</v>
      </c>
      <c r="W1368">
        <v>9.705532E-2</v>
      </c>
      <c r="X1368">
        <v>0.99524259999999998</v>
      </c>
      <c r="Y1368">
        <v>-4.4757100000000001E-2</v>
      </c>
      <c r="Z1368">
        <v>-5.1061589999999999E-3</v>
      </c>
      <c r="AA1368">
        <v>0.99898489999999995</v>
      </c>
      <c r="AB1368">
        <v>37</v>
      </c>
      <c r="AC1368">
        <v>-0.63970000000000404</v>
      </c>
      <c r="AD1368">
        <v>-8.8708999999999899E-2</v>
      </c>
      <c r="AE1368">
        <v>-2.1999999999991301E-2</v>
      </c>
      <c r="AF1368">
        <v>-4.26625157123071E-2</v>
      </c>
      <c r="AG1368">
        <v>-8.8708999999999899E-2</v>
      </c>
      <c r="AH1368">
        <v>0.626564867007673</v>
      </c>
      <c r="AI1368">
        <v>98.040001669907099</v>
      </c>
      <c r="AJ1368">
        <v>93.895231218610903</v>
      </c>
      <c r="AK1368">
        <v>0.63424987938212996</v>
      </c>
      <c r="AL1368">
        <v>84.430372456504102</v>
      </c>
      <c r="AM1368">
        <v>90.490179027303299</v>
      </c>
      <c r="AN1368">
        <v>1.0000000344387301</v>
      </c>
    </row>
    <row r="1369" spans="1:40" x14ac:dyDescent="0.25">
      <c r="A1369" t="str">
        <f>"20190312164501036"</f>
        <v>20190312164501036</v>
      </c>
      <c r="B1369" t="str">
        <f>"1552380301023215"</f>
        <v>1552380301023215</v>
      </c>
      <c r="C1369" t="s">
        <v>40</v>
      </c>
      <c r="D1369">
        <v>5.3514599999999897</v>
      </c>
      <c r="E1369">
        <v>0.49244149999999998</v>
      </c>
      <c r="F1369" t="s">
        <v>41</v>
      </c>
      <c r="G1369">
        <v>-240.49199999999999</v>
      </c>
      <c r="H1369">
        <v>1.0194099999999999</v>
      </c>
      <c r="I1369">
        <v>282.56939999999997</v>
      </c>
      <c r="J1369">
        <v>-239.90219999999999</v>
      </c>
      <c r="K1369">
        <v>1.108026</v>
      </c>
      <c r="L1369">
        <v>282.59129999999999</v>
      </c>
      <c r="M1369">
        <v>-0.99943879999999996</v>
      </c>
      <c r="N1369">
        <v>0</v>
      </c>
      <c r="O1369">
        <v>3.3032110000000003E-2</v>
      </c>
      <c r="P1369">
        <v>-0.9955425</v>
      </c>
      <c r="Q1369">
        <v>9.0910939999999996E-2</v>
      </c>
      <c r="R1369">
        <v>2.511505E-2</v>
      </c>
      <c r="S1369">
        <v>-3.039917</v>
      </c>
      <c r="T1369">
        <v>-0.27795019999999998</v>
      </c>
      <c r="U1369">
        <v>-3.0975340000000001E-2</v>
      </c>
      <c r="V1369">
        <v>-7.8707499999999993E-3</v>
      </c>
      <c r="W1369">
        <v>9.6443070000000006E-2</v>
      </c>
      <c r="X1369">
        <v>0.99530739999999995</v>
      </c>
      <c r="Y1369">
        <v>-4.2897659999999997E-2</v>
      </c>
      <c r="Z1369">
        <v>-4.9706459999999996E-3</v>
      </c>
      <c r="AA1369">
        <v>0.99906709999999999</v>
      </c>
      <c r="AB1369">
        <v>37</v>
      </c>
      <c r="AC1369">
        <v>-0.58980000000002497</v>
      </c>
      <c r="AD1369">
        <v>-8.8616E-2</v>
      </c>
      <c r="AE1369">
        <v>-2.1900000000016399E-2</v>
      </c>
      <c r="AF1369">
        <v>-4.0458620223483899E-2</v>
      </c>
      <c r="AG1369">
        <v>-8.8616E-2</v>
      </c>
      <c r="AH1369">
        <v>0.57577488346998296</v>
      </c>
      <c r="AI1369">
        <v>98.728399218794806</v>
      </c>
      <c r="AJ1369">
        <v>94.019460052075402</v>
      </c>
      <c r="AK1369">
        <v>0.58395754284130996</v>
      </c>
      <c r="AL1369">
        <v>84.465617042781503</v>
      </c>
      <c r="AM1369">
        <v>90.453077468121705</v>
      </c>
      <c r="AN1369">
        <v>1.00000001747567</v>
      </c>
    </row>
    <row r="1370" spans="1:40" x14ac:dyDescent="0.25">
      <c r="A1370" t="str">
        <f>"20190312164501060"</f>
        <v>20190312164501060</v>
      </c>
      <c r="B1370" t="str">
        <f>"1552380301053471"</f>
        <v>1552380301053471</v>
      </c>
      <c r="C1370" t="s">
        <v>40</v>
      </c>
      <c r="D1370">
        <v>5.3843529999999999</v>
      </c>
      <c r="E1370">
        <v>0.49319829999999998</v>
      </c>
      <c r="F1370" t="s">
        <v>41</v>
      </c>
      <c r="G1370">
        <v>-240.82509999999999</v>
      </c>
      <c r="H1370">
        <v>1.0234209999999999</v>
      </c>
      <c r="I1370">
        <v>282.58409999999998</v>
      </c>
      <c r="J1370">
        <v>-240.27860000000001</v>
      </c>
      <c r="K1370">
        <v>1.1080829999999999</v>
      </c>
      <c r="L1370">
        <v>282.60320000000002</v>
      </c>
      <c r="M1370">
        <v>-0.9994594</v>
      </c>
      <c r="N1370">
        <v>0</v>
      </c>
      <c r="O1370">
        <v>3.2407480000000002E-2</v>
      </c>
      <c r="P1370">
        <v>-0.99552359999999895</v>
      </c>
      <c r="Q1370">
        <v>9.0921130000000003E-2</v>
      </c>
      <c r="R1370">
        <v>2.5815680000000001E-2</v>
      </c>
      <c r="S1370">
        <v>-3.0394899999999998</v>
      </c>
      <c r="T1370">
        <v>-0.27881669999999997</v>
      </c>
      <c r="U1370">
        <v>-2.4353030000000001E-2</v>
      </c>
      <c r="V1370">
        <v>-6.5636969999999899E-3</v>
      </c>
      <c r="W1370">
        <v>9.6441650000000004E-2</v>
      </c>
      <c r="X1370">
        <v>0.99531700000000001</v>
      </c>
      <c r="Y1370">
        <v>-4.0110260000000002E-2</v>
      </c>
      <c r="Z1370">
        <v>-4.8020650000000003E-3</v>
      </c>
      <c r="AA1370">
        <v>0.99918370000000001</v>
      </c>
      <c r="AB1370">
        <v>37</v>
      </c>
      <c r="AC1370">
        <v>-0.54649999999998</v>
      </c>
      <c r="AD1370">
        <v>-8.4662000000000001E-2</v>
      </c>
      <c r="AE1370">
        <v>-1.9100000000037198E-2</v>
      </c>
      <c r="AF1370">
        <v>-3.5939460636837499E-2</v>
      </c>
      <c r="AG1370">
        <v>-8.4662000000000001E-2</v>
      </c>
      <c r="AH1370">
        <v>0.53282223846054599</v>
      </c>
      <c r="AI1370">
        <v>99.0083196455858</v>
      </c>
      <c r="AJ1370">
        <v>93.858819901853394</v>
      </c>
      <c r="AK1370">
        <v>0.54070217021293099</v>
      </c>
      <c r="AL1370">
        <v>84.465698699185097</v>
      </c>
      <c r="AM1370">
        <v>90.377836091057702</v>
      </c>
      <c r="AN1370">
        <v>1.00000000223101</v>
      </c>
    </row>
    <row r="1371" spans="1:40" x14ac:dyDescent="0.25">
      <c r="A1371" t="str">
        <f>"20190312164501082"</f>
        <v>20190312164501082</v>
      </c>
      <c r="B1371" t="str">
        <f>"1552380301072992"</f>
        <v>1552380301072992</v>
      </c>
      <c r="C1371" t="s">
        <v>40</v>
      </c>
      <c r="D1371">
        <v>5.3360760000000003</v>
      </c>
      <c r="E1371">
        <v>0.50229999999999997</v>
      </c>
      <c r="F1371" t="s">
        <v>41</v>
      </c>
      <c r="G1371">
        <v>-241.15969999999999</v>
      </c>
      <c r="H1371">
        <v>1.0279529999999999</v>
      </c>
      <c r="I1371">
        <v>282.59910000000002</v>
      </c>
      <c r="J1371">
        <v>-240.6645</v>
      </c>
      <c r="K1371">
        <v>1.1081399999999999</v>
      </c>
      <c r="L1371">
        <v>282.61520000000002</v>
      </c>
      <c r="M1371">
        <v>-0.99948139999999996</v>
      </c>
      <c r="N1371">
        <v>0</v>
      </c>
      <c r="O1371">
        <v>3.1721359999999997E-2</v>
      </c>
      <c r="P1371">
        <v>-0.99547640000000004</v>
      </c>
      <c r="Q1371">
        <v>9.1354469999999993E-2</v>
      </c>
      <c r="R1371">
        <v>2.6101820000000001E-2</v>
      </c>
      <c r="S1371">
        <v>-3.0390929999999998</v>
      </c>
      <c r="T1371">
        <v>-0.27645120000000001</v>
      </c>
      <c r="U1371">
        <v>-1.4373779999999999E-2</v>
      </c>
      <c r="V1371">
        <v>-5.6066600000000003E-3</v>
      </c>
      <c r="W1371">
        <v>9.6865939999999998E-2</v>
      </c>
      <c r="X1371">
        <v>0.99528159999999999</v>
      </c>
      <c r="Y1371">
        <v>-3.6168400000000003E-2</v>
      </c>
      <c r="Z1371">
        <v>-4.5209400000000002E-3</v>
      </c>
      <c r="AA1371">
        <v>0.99933550000000004</v>
      </c>
      <c r="AB1371">
        <v>37</v>
      </c>
      <c r="AC1371">
        <v>-0.49519999999998199</v>
      </c>
      <c r="AD1371">
        <v>-8.0186999999999703E-2</v>
      </c>
      <c r="AE1371">
        <v>-1.60999999999944E-2</v>
      </c>
      <c r="AF1371">
        <v>-3.0988859883847399E-2</v>
      </c>
      <c r="AG1371">
        <v>-8.0186999999999703E-2</v>
      </c>
      <c r="AH1371">
        <v>0.48181968340191</v>
      </c>
      <c r="AI1371">
        <v>99.429735503418698</v>
      </c>
      <c r="AJ1371">
        <v>93.679984007247</v>
      </c>
      <c r="AK1371">
        <v>0.48942871975336399</v>
      </c>
      <c r="AL1371">
        <v>84.441274051118</v>
      </c>
      <c r="AM1371">
        <v>90.32275745602</v>
      </c>
      <c r="AN1371">
        <v>0.99999995413349796</v>
      </c>
    </row>
    <row r="1372" spans="1:40" x14ac:dyDescent="0.25">
      <c r="A1372" t="str">
        <f>"20190312164501104"</f>
        <v>20190312164501104</v>
      </c>
      <c r="B1372" t="str">
        <f>"1552380301093487"</f>
        <v>1552380301093487</v>
      </c>
      <c r="C1372" t="s">
        <v>40</v>
      </c>
      <c r="D1372">
        <v>5.4341949999999999</v>
      </c>
      <c r="E1372">
        <v>0.50094640000000001</v>
      </c>
      <c r="F1372" t="s">
        <v>41</v>
      </c>
      <c r="G1372">
        <v>-241.49449999999999</v>
      </c>
      <c r="H1372">
        <v>1.037266</v>
      </c>
      <c r="I1372">
        <v>282.63220000000001</v>
      </c>
      <c r="J1372">
        <v>-241.02529999999999</v>
      </c>
      <c r="K1372">
        <v>1.1081920000000001</v>
      </c>
      <c r="L1372">
        <v>282.62619999999998</v>
      </c>
      <c r="M1372">
        <v>-0.99950260000000002</v>
      </c>
      <c r="N1372">
        <v>0</v>
      </c>
      <c r="O1372">
        <v>3.105173E-2</v>
      </c>
      <c r="P1372">
        <v>-0.99548879999999995</v>
      </c>
      <c r="Q1372">
        <v>9.103609E-2</v>
      </c>
      <c r="R1372">
        <v>2.6736079999999999E-2</v>
      </c>
      <c r="S1372">
        <v>-3.035828</v>
      </c>
      <c r="T1372">
        <v>-0.259353</v>
      </c>
      <c r="U1372">
        <v>6.1431880000000001E-2</v>
      </c>
      <c r="V1372">
        <v>-4.3154400000000002E-3</v>
      </c>
      <c r="W1372">
        <v>9.6541790000000002E-2</v>
      </c>
      <c r="X1372">
        <v>0.99531959999999997</v>
      </c>
      <c r="Y1372">
        <v>-1.067224E-2</v>
      </c>
      <c r="Z1372">
        <v>-3.1021870000000002E-3</v>
      </c>
      <c r="AA1372">
        <v>0.9999382</v>
      </c>
      <c r="AB1372">
        <v>37</v>
      </c>
      <c r="AC1372">
        <v>-0.46920000000000001</v>
      </c>
      <c r="AD1372">
        <v>-7.0926000000000003E-2</v>
      </c>
      <c r="AE1372">
        <v>6.0000000000286404E-3</v>
      </c>
      <c r="AF1372">
        <v>-8.3811053815066004E-3</v>
      </c>
      <c r="AG1372">
        <v>-7.0926000000000003E-2</v>
      </c>
      <c r="AH1372">
        <v>0.45868069730461097</v>
      </c>
      <c r="AI1372">
        <v>98.788610506440705</v>
      </c>
      <c r="AJ1372">
        <v>91.0468034459184</v>
      </c>
      <c r="AK1372">
        <v>0.46420762863535497</v>
      </c>
      <c r="AL1372">
        <v>84.459934317947699</v>
      </c>
      <c r="AM1372">
        <v>90.248417643340204</v>
      </c>
      <c r="AN1372">
        <v>1.0000000231914701</v>
      </c>
    </row>
    <row r="1373" spans="1:40" x14ac:dyDescent="0.25">
      <c r="A1373" t="str">
        <f>"20190312164501124"</f>
        <v>20190312164501124</v>
      </c>
      <c r="B1373" t="str">
        <f>"1552380301113008"</f>
        <v>1552380301113008</v>
      </c>
      <c r="C1373" t="s">
        <v>40</v>
      </c>
      <c r="D1373">
        <v>5.3555929999999998</v>
      </c>
      <c r="E1373">
        <v>0.50207619999999997</v>
      </c>
      <c r="F1373" t="s">
        <v>41</v>
      </c>
      <c r="G1373">
        <v>-241.8314</v>
      </c>
      <c r="H1373">
        <v>1.040076</v>
      </c>
      <c r="I1373">
        <v>282.64019999999999</v>
      </c>
      <c r="J1373">
        <v>-241.36920000000001</v>
      </c>
      <c r="K1373">
        <v>1.108222</v>
      </c>
      <c r="L1373">
        <v>282.63639999999998</v>
      </c>
      <c r="M1373">
        <v>-0.99952260000000004</v>
      </c>
      <c r="N1373">
        <v>0</v>
      </c>
      <c r="O1373">
        <v>3.0399160000000001E-2</v>
      </c>
      <c r="P1373">
        <v>-0.99548599999999998</v>
      </c>
      <c r="Q1373">
        <v>9.1083629999999999E-2</v>
      </c>
      <c r="R1373">
        <v>2.6672680000000001E-2</v>
      </c>
      <c r="S1373">
        <v>-3.0356450000000001</v>
      </c>
      <c r="T1373">
        <v>-0.25665759999999999</v>
      </c>
      <c r="U1373">
        <v>5.2337649999999999E-2</v>
      </c>
      <c r="V1373">
        <v>-3.7368789999999998E-3</v>
      </c>
      <c r="W1373">
        <v>9.6585459999999998E-2</v>
      </c>
      <c r="X1373">
        <v>0.99531769999999997</v>
      </c>
      <c r="Y1373">
        <v>-1.300981E-2</v>
      </c>
      <c r="Z1373">
        <v>-3.1139520000000001E-3</v>
      </c>
      <c r="AA1373">
        <v>0.99991050000000004</v>
      </c>
      <c r="AB1373">
        <v>37</v>
      </c>
      <c r="AC1373">
        <v>-0.462199999999995</v>
      </c>
      <c r="AD1373">
        <v>-6.8145999999999998E-2</v>
      </c>
      <c r="AE1373">
        <v>3.8000000000124601E-3</v>
      </c>
      <c r="AF1373">
        <v>-1.00343494506574E-2</v>
      </c>
      <c r="AG1373">
        <v>-6.8145999999999998E-2</v>
      </c>
      <c r="AH1373">
        <v>0.45227106836801401</v>
      </c>
      <c r="AI1373">
        <v>98.566515650182694</v>
      </c>
      <c r="AJ1373">
        <v>91.270989030798802</v>
      </c>
      <c r="AK1373">
        <v>0.45748626729951403</v>
      </c>
      <c r="AL1373">
        <v>84.457420443863199</v>
      </c>
      <c r="AM1373">
        <v>90.215113615726096</v>
      </c>
      <c r="AN1373">
        <v>1.00000001964068</v>
      </c>
    </row>
    <row r="1374" spans="1:40" x14ac:dyDescent="0.25">
      <c r="A1374" t="str">
        <f>"20190312164501148"</f>
        <v>20190312164501148</v>
      </c>
      <c r="B1374" t="str">
        <f>"1552380301143264"</f>
        <v>1552380301143264</v>
      </c>
      <c r="C1374" t="s">
        <v>40</v>
      </c>
      <c r="D1374">
        <v>5.3057790000000002</v>
      </c>
      <c r="E1374">
        <v>0.50505649999999902</v>
      </c>
      <c r="F1374" t="s">
        <v>41</v>
      </c>
      <c r="G1374">
        <v>-242.17500000000001</v>
      </c>
      <c r="H1374">
        <v>1.0433779999999999</v>
      </c>
      <c r="I1374">
        <v>282.65280000000001</v>
      </c>
      <c r="J1374">
        <v>-241.75309999999999</v>
      </c>
      <c r="K1374">
        <v>1.1082479999999999</v>
      </c>
      <c r="L1374">
        <v>282.64749999999998</v>
      </c>
      <c r="M1374">
        <v>-0.99954480000000001</v>
      </c>
      <c r="N1374">
        <v>0</v>
      </c>
      <c r="O1374">
        <v>2.9662560000000001E-2</v>
      </c>
      <c r="P1374">
        <v>-0.99550150000000004</v>
      </c>
      <c r="Q1374">
        <v>9.0753529999999999E-2</v>
      </c>
      <c r="R1374">
        <v>2.722072E-2</v>
      </c>
      <c r="S1374">
        <v>-3.0342709999999999</v>
      </c>
      <c r="T1374">
        <v>-0.244231</v>
      </c>
      <c r="U1374">
        <v>6.2011719999999999E-2</v>
      </c>
      <c r="V1374">
        <v>-2.4621679999999998E-3</v>
      </c>
      <c r="W1374">
        <v>9.6254179999999995E-2</v>
      </c>
      <c r="X1374">
        <v>0.99535379999999996</v>
      </c>
      <c r="Y1374">
        <v>-9.1076720000000007E-3</v>
      </c>
      <c r="Z1374">
        <v>-2.7489670000000002E-3</v>
      </c>
      <c r="AA1374">
        <v>0.99995480000000003</v>
      </c>
      <c r="AB1374">
        <v>37</v>
      </c>
      <c r="AC1374">
        <v>-0.42190000000002198</v>
      </c>
      <c r="AD1374">
        <v>-6.4869999999999706E-2</v>
      </c>
      <c r="AE1374">
        <v>5.3000000000338297E-3</v>
      </c>
      <c r="AF1374">
        <v>-7.0505003630250297E-3</v>
      </c>
      <c r="AG1374">
        <v>-6.4869999999999706E-2</v>
      </c>
      <c r="AH1374">
        <v>0.41212986941252</v>
      </c>
      <c r="AI1374">
        <v>98.943783075587106</v>
      </c>
      <c r="AJ1374">
        <v>90.980090360762404</v>
      </c>
      <c r="AK1374">
        <v>0.41726353269528599</v>
      </c>
      <c r="AL1374">
        <v>84.476490454505594</v>
      </c>
      <c r="AM1374">
        <v>90.141730053287304</v>
      </c>
      <c r="AN1374">
        <v>1.00000005830658</v>
      </c>
    </row>
    <row r="1375" spans="1:40" x14ac:dyDescent="0.25">
      <c r="A1375" t="str">
        <f>"20190312164501170"</f>
        <v>20190312164501170</v>
      </c>
      <c r="B1375" t="str">
        <f>"1552380301162784"</f>
        <v>1552380301162784</v>
      </c>
      <c r="C1375" t="s">
        <v>40</v>
      </c>
      <c r="D1375">
        <v>5.2596600000000002</v>
      </c>
      <c r="E1375">
        <v>0.50587179999999998</v>
      </c>
      <c r="F1375" t="s">
        <v>47</v>
      </c>
      <c r="G1375">
        <v>-255.7809</v>
      </c>
      <c r="H1375" s="1">
        <v>1.539506E-6</v>
      </c>
      <c r="I1375">
        <v>283.05399999999997</v>
      </c>
      <c r="J1375">
        <v>-242.1362</v>
      </c>
      <c r="K1375">
        <v>1.1082650000000001</v>
      </c>
      <c r="L1375">
        <v>282.6583</v>
      </c>
      <c r="M1375">
        <v>-0.99956630000000002</v>
      </c>
      <c r="N1375">
        <v>0</v>
      </c>
      <c r="O1375">
        <v>2.8925059999999999E-2</v>
      </c>
      <c r="P1375">
        <v>-0.99554799999999999</v>
      </c>
      <c r="Q1375">
        <v>9.0092870000000005E-2</v>
      </c>
      <c r="R1375">
        <v>2.770545E-2</v>
      </c>
      <c r="S1375">
        <v>-3.03302</v>
      </c>
      <c r="T1375">
        <v>-0.2396199</v>
      </c>
      <c r="U1375">
        <v>8.7890629999999997E-2</v>
      </c>
      <c r="V1375">
        <v>-1.249114E-3</v>
      </c>
      <c r="W1375">
        <v>9.5589679999999996E-2</v>
      </c>
      <c r="X1375">
        <v>0.99541999999999997</v>
      </c>
      <c r="Y1375">
        <v>1.2989619999999999E-4</v>
      </c>
      <c r="Z1375">
        <v>-2.275591E-3</v>
      </c>
      <c r="AA1375">
        <v>0.99999740000000004</v>
      </c>
      <c r="AB1375">
        <v>38</v>
      </c>
      <c r="AC1375">
        <v>-13.6447</v>
      </c>
      <c r="AD1375">
        <v>-1.108263460494</v>
      </c>
      <c r="AE1375">
        <v>0.39570000000003303</v>
      </c>
      <c r="AF1375">
        <v>8.4903525589535801E-4</v>
      </c>
      <c r="AG1375">
        <v>-1.108263460494</v>
      </c>
      <c r="AH1375">
        <v>13.561047039784</v>
      </c>
      <c r="AI1375">
        <v>94.672059369254697</v>
      </c>
      <c r="AJ1375">
        <v>89.996412803774305</v>
      </c>
      <c r="AK1375">
        <v>13.6062575836989</v>
      </c>
      <c r="AL1375">
        <v>84.514739340918396</v>
      </c>
      <c r="AM1375">
        <v>90.071898216596693</v>
      </c>
      <c r="AN1375">
        <v>0.99999996180414297</v>
      </c>
    </row>
    <row r="1376" spans="1:40" x14ac:dyDescent="0.25">
      <c r="A1376" t="str">
        <f>"20190312164501193"</f>
        <v>20190312164501193</v>
      </c>
      <c r="B1376" t="str">
        <f>"1552380301183279"</f>
        <v>1552380301183279</v>
      </c>
      <c r="C1376" t="s">
        <v>40</v>
      </c>
      <c r="D1376">
        <v>5.2416419999999997</v>
      </c>
      <c r="E1376">
        <v>0.50605420000000001</v>
      </c>
      <c r="F1376" t="s">
        <v>41</v>
      </c>
      <c r="G1376">
        <v>-243.1688</v>
      </c>
      <c r="H1376">
        <v>1.0279720000000001</v>
      </c>
      <c r="I1376">
        <v>282.69080000000002</v>
      </c>
      <c r="J1376">
        <v>-242.5189</v>
      </c>
      <c r="K1376">
        <v>1.1082689999999999</v>
      </c>
      <c r="L1376">
        <v>282.66879999999998</v>
      </c>
      <c r="M1376">
        <v>-0.99958749999999996</v>
      </c>
      <c r="N1376">
        <v>0</v>
      </c>
      <c r="O1376">
        <v>2.818849E-2</v>
      </c>
      <c r="P1376">
        <v>-0.99555930000000004</v>
      </c>
      <c r="Q1376">
        <v>8.9836029999999997E-2</v>
      </c>
      <c r="R1376">
        <v>2.8138699999999999E-2</v>
      </c>
      <c r="S1376">
        <v>-3.0321199999999999</v>
      </c>
      <c r="T1376">
        <v>-0.2358577</v>
      </c>
      <c r="U1376">
        <v>9.5214839999999995E-2</v>
      </c>
      <c r="V1376" s="1">
        <v>-8.6969929999999998E-5</v>
      </c>
      <c r="W1376">
        <v>9.5327679999999998E-2</v>
      </c>
      <c r="X1376">
        <v>0.99544600000000005</v>
      </c>
      <c r="Y1376">
        <v>3.2742579999999999E-3</v>
      </c>
      <c r="Z1376">
        <v>-2.0612880000000001E-3</v>
      </c>
      <c r="AA1376">
        <v>0.99999249999999995</v>
      </c>
      <c r="AB1376">
        <v>38</v>
      </c>
      <c r="AC1376">
        <v>-0.64990000000000203</v>
      </c>
      <c r="AD1376">
        <v>-8.0296999999999993E-2</v>
      </c>
      <c r="AE1376">
        <v>2.20000000000482E-2</v>
      </c>
      <c r="AF1376">
        <v>3.6161425124996201E-3</v>
      </c>
      <c r="AG1376">
        <v>-8.0296999999999993E-2</v>
      </c>
      <c r="AH1376">
        <v>0.64049572156420698</v>
      </c>
      <c r="AI1376">
        <v>97.145604367062404</v>
      </c>
      <c r="AJ1376">
        <v>89.676520083245904</v>
      </c>
      <c r="AK1376">
        <v>0.64551952258450296</v>
      </c>
      <c r="AL1376">
        <v>84.529820221582895</v>
      </c>
      <c r="AM1376">
        <v>90.005005806363002</v>
      </c>
      <c r="AN1376">
        <v>1.00000005652697</v>
      </c>
    </row>
    <row r="1377" spans="1:40" x14ac:dyDescent="0.25">
      <c r="A1377" t="str">
        <f>"20190312164501214"</f>
        <v>20190312164501214</v>
      </c>
      <c r="B1377" t="str">
        <f>"1552380301202803"</f>
        <v>1552380301202803</v>
      </c>
      <c r="C1377" t="s">
        <v>40</v>
      </c>
      <c r="D1377">
        <v>5.3544580000000002</v>
      </c>
      <c r="E1377">
        <v>0.50696719999999995</v>
      </c>
      <c r="F1377" t="s">
        <v>41</v>
      </c>
      <c r="G1377">
        <v>-243.5095</v>
      </c>
      <c r="H1377">
        <v>1.0309060000000001</v>
      </c>
      <c r="I1377">
        <v>282.70069999999998</v>
      </c>
      <c r="J1377">
        <v>-242.87950000000001</v>
      </c>
      <c r="K1377">
        <v>1.1082730000000001</v>
      </c>
      <c r="L1377">
        <v>282.67840000000001</v>
      </c>
      <c r="M1377">
        <v>-0.99960689999999996</v>
      </c>
      <c r="N1377">
        <v>0</v>
      </c>
      <c r="O1377">
        <v>2.749623E-2</v>
      </c>
      <c r="P1377">
        <v>-0.99559520000000001</v>
      </c>
      <c r="Q1377">
        <v>8.9223759999999999E-2</v>
      </c>
      <c r="R1377">
        <v>2.8805730000000002E-2</v>
      </c>
      <c r="S1377">
        <v>-3.0319820000000002</v>
      </c>
      <c r="T1377">
        <v>-0.23677039999999999</v>
      </c>
      <c r="U1377">
        <v>9.765625E-2</v>
      </c>
      <c r="V1377">
        <v>1.2653759999999999E-3</v>
      </c>
      <c r="W1377">
        <v>9.4712959999999999E-2</v>
      </c>
      <c r="X1377">
        <v>0.99550380000000005</v>
      </c>
      <c r="Y1377">
        <v>4.7665529999999998E-3</v>
      </c>
      <c r="Z1377">
        <v>-1.957201E-3</v>
      </c>
      <c r="AA1377">
        <v>0.99998670000000001</v>
      </c>
      <c r="AB1377">
        <v>38</v>
      </c>
      <c r="AC1377">
        <v>-0.62999999999999501</v>
      </c>
      <c r="AD1377">
        <v>-7.7367000000000102E-2</v>
      </c>
      <c r="AE1377">
        <v>2.22999999999728E-2</v>
      </c>
      <c r="AF1377">
        <v>4.8949550213736401E-3</v>
      </c>
      <c r="AG1377">
        <v>-7.7367000000000102E-2</v>
      </c>
      <c r="AH1377">
        <v>0.621021064740641</v>
      </c>
      <c r="AI1377">
        <v>97.101120568898807</v>
      </c>
      <c r="AJ1377">
        <v>89.548397837592304</v>
      </c>
      <c r="AK1377">
        <v>0.62584085527014099</v>
      </c>
      <c r="AL1377">
        <v>84.565200756430499</v>
      </c>
      <c r="AM1377">
        <v>89.927171884977795</v>
      </c>
      <c r="AN1377">
        <v>0.99999998089141096</v>
      </c>
    </row>
    <row r="1378" spans="1:40" x14ac:dyDescent="0.25">
      <c r="A1378" t="str">
        <f>"20190312164501237"</f>
        <v>20190312164501237</v>
      </c>
      <c r="B1378" t="str">
        <f>"1552380301233057"</f>
        <v>1552380301233057</v>
      </c>
      <c r="C1378" t="s">
        <v>40</v>
      </c>
      <c r="D1378">
        <v>5.2540170000000002</v>
      </c>
      <c r="E1378">
        <v>0.50682899999999997</v>
      </c>
      <c r="F1378" t="s">
        <v>41</v>
      </c>
      <c r="G1378">
        <v>-243.8501</v>
      </c>
      <c r="H1378">
        <v>1.03196</v>
      </c>
      <c r="I1378">
        <v>282.71300000000002</v>
      </c>
      <c r="J1378">
        <v>-243.2818</v>
      </c>
      <c r="K1378">
        <v>1.108276</v>
      </c>
      <c r="L1378">
        <v>282.68889999999999</v>
      </c>
      <c r="M1378">
        <v>-0.99962770000000001</v>
      </c>
      <c r="N1378">
        <v>0</v>
      </c>
      <c r="O1378">
        <v>2.6725369999999998E-2</v>
      </c>
      <c r="P1378">
        <v>-0.99558550000000001</v>
      </c>
      <c r="Q1378">
        <v>8.8983000000000007E-2</v>
      </c>
      <c r="R1378">
        <v>2.9856710000000002E-2</v>
      </c>
      <c r="S1378">
        <v>-3.0315400000000001</v>
      </c>
      <c r="T1378">
        <v>-0.23848520000000001</v>
      </c>
      <c r="U1378">
        <v>0.1075134</v>
      </c>
      <c r="V1378">
        <v>3.080827E-3</v>
      </c>
      <c r="W1378">
        <v>9.4468960000000005E-2</v>
      </c>
      <c r="X1378">
        <v>0.99552300000000005</v>
      </c>
      <c r="Y1378">
        <v>8.7763870000000001E-3</v>
      </c>
      <c r="Z1378">
        <v>-1.753559E-3</v>
      </c>
      <c r="AA1378">
        <v>0.99995990000000001</v>
      </c>
      <c r="AB1378">
        <v>38</v>
      </c>
      <c r="AC1378">
        <v>-0.56829999999999303</v>
      </c>
      <c r="AD1378">
        <v>-7.6315999999999995E-2</v>
      </c>
      <c r="AE1378">
        <v>2.4099999999975801E-2</v>
      </c>
      <c r="AF1378">
        <v>8.7457032898471398E-3</v>
      </c>
      <c r="AG1378">
        <v>-7.6315999999999995E-2</v>
      </c>
      <c r="AH1378">
        <v>0.55868424550138496</v>
      </c>
      <c r="AI1378">
        <v>97.7774928140322</v>
      </c>
      <c r="AJ1378">
        <v>89.103158955354999</v>
      </c>
      <c r="AK1378">
        <v>0.56394033846984704</v>
      </c>
      <c r="AL1378">
        <v>84.579243778087999</v>
      </c>
      <c r="AM1378">
        <v>89.822688354759805</v>
      </c>
      <c r="AN1378">
        <v>0.999999959713742</v>
      </c>
    </row>
    <row r="1379" spans="1:40" x14ac:dyDescent="0.25">
      <c r="A1379" t="str">
        <f>"20190312164501262"</f>
        <v>20190312164501262</v>
      </c>
      <c r="B1379" t="str">
        <f>"1552380301252576"</f>
        <v>1552380301252576</v>
      </c>
      <c r="C1379" t="s">
        <v>40</v>
      </c>
      <c r="D1379">
        <v>5.2207720000000002</v>
      </c>
      <c r="E1379">
        <v>0.50650390000000001</v>
      </c>
      <c r="F1379" t="s">
        <v>41</v>
      </c>
      <c r="G1379">
        <v>-244.19390000000001</v>
      </c>
      <c r="H1379">
        <v>1.0370299999999999</v>
      </c>
      <c r="I1379">
        <v>282.72219999999999</v>
      </c>
      <c r="J1379">
        <v>-243.68979999999999</v>
      </c>
      <c r="K1379">
        <v>1.1082780000000001</v>
      </c>
      <c r="L1379">
        <v>282.69920000000002</v>
      </c>
      <c r="M1379">
        <v>-0.99964819999999999</v>
      </c>
      <c r="N1379">
        <v>0</v>
      </c>
      <c r="O1379">
        <v>2.5945070000000001E-2</v>
      </c>
      <c r="P1379">
        <v>-0.99547090000000005</v>
      </c>
      <c r="Q1379">
        <v>8.9705399999999894E-2</v>
      </c>
      <c r="R1379">
        <v>3.1472220000000002E-2</v>
      </c>
      <c r="S1379">
        <v>-3.031174</v>
      </c>
      <c r="T1379">
        <v>-0.23687739999999999</v>
      </c>
      <c r="U1379">
        <v>0.1099243</v>
      </c>
      <c r="V1379">
        <v>5.4720580000000001E-3</v>
      </c>
      <c r="W1379">
        <v>9.5186220000000002E-2</v>
      </c>
      <c r="X1379">
        <v>0.99544440000000001</v>
      </c>
      <c r="Y1379">
        <v>1.034763E-2</v>
      </c>
      <c r="Z1379">
        <v>-1.619835E-3</v>
      </c>
      <c r="AA1379">
        <v>0.99994519999999998</v>
      </c>
      <c r="AB1379">
        <v>38</v>
      </c>
      <c r="AC1379">
        <v>-0.50410000000002197</v>
      </c>
      <c r="AD1379">
        <v>-7.12480000000002E-2</v>
      </c>
      <c r="AE1379">
        <v>2.2999999999967699E-2</v>
      </c>
      <c r="AF1379">
        <v>9.7193962897840509E-3</v>
      </c>
      <c r="AG1379">
        <v>-7.12480000000002E-2</v>
      </c>
      <c r="AH1379">
        <v>0.49466604616041698</v>
      </c>
      <c r="AI1379">
        <v>98.1945289033102</v>
      </c>
      <c r="AJ1379">
        <v>88.874374449738497</v>
      </c>
      <c r="AK1379">
        <v>0.49986522322743898</v>
      </c>
      <c r="AL1379">
        <v>84.537961759505293</v>
      </c>
      <c r="AM1379">
        <v>89.685042508999103</v>
      </c>
      <c r="AN1379">
        <v>0.99999995669399999</v>
      </c>
    </row>
    <row r="1380" spans="1:40" x14ac:dyDescent="0.25">
      <c r="A1380" t="str">
        <f>"20190312164501283"</f>
        <v>20190312164501283</v>
      </c>
      <c r="B1380" t="str">
        <f>"1552380301273072"</f>
        <v>1552380301273072</v>
      </c>
      <c r="C1380" t="s">
        <v>40</v>
      </c>
      <c r="D1380">
        <v>5.254683</v>
      </c>
      <c r="E1380">
        <v>0.50624859999999905</v>
      </c>
      <c r="F1380" t="s">
        <v>41</v>
      </c>
      <c r="G1380">
        <v>-244.54079999999999</v>
      </c>
      <c r="H1380">
        <v>1.0433239999999999</v>
      </c>
      <c r="I1380">
        <v>282.73090000000002</v>
      </c>
      <c r="J1380">
        <v>-244.0651</v>
      </c>
      <c r="K1380">
        <v>1.1082749999999999</v>
      </c>
      <c r="L1380">
        <v>282.70839999999998</v>
      </c>
      <c r="M1380">
        <v>-0.99966659999999996</v>
      </c>
      <c r="N1380">
        <v>0</v>
      </c>
      <c r="O1380">
        <v>2.5231449999999999E-2</v>
      </c>
      <c r="P1380">
        <v>-0.99552879999999999</v>
      </c>
      <c r="Q1380">
        <v>8.8712929999999995E-2</v>
      </c>
      <c r="R1380">
        <v>3.244354E-2</v>
      </c>
      <c r="S1380">
        <v>-3.0309599999999999</v>
      </c>
      <c r="T1380">
        <v>-0.2316</v>
      </c>
      <c r="U1380">
        <v>0.1118774</v>
      </c>
      <c r="V1380">
        <v>7.1523159999999997E-3</v>
      </c>
      <c r="W1380">
        <v>9.4185569999999996E-2</v>
      </c>
      <c r="X1380">
        <v>0.995529</v>
      </c>
      <c r="Y1380">
        <v>1.16994E-2</v>
      </c>
      <c r="Z1380">
        <v>-1.477983E-3</v>
      </c>
      <c r="AA1380">
        <v>0.9999304</v>
      </c>
      <c r="AB1380">
        <v>38</v>
      </c>
      <c r="AC1380">
        <v>-0.47569999999998902</v>
      </c>
      <c r="AD1380">
        <v>-6.4950999999999898E-2</v>
      </c>
      <c r="AE1380">
        <v>2.25000000000363E-2</v>
      </c>
      <c r="AF1380">
        <v>1.02984937587143E-2</v>
      </c>
      <c r="AG1380">
        <v>-6.4950999999999898E-2</v>
      </c>
      <c r="AH1380">
        <v>0.46742178178245303</v>
      </c>
      <c r="AI1380">
        <v>97.909032610534993</v>
      </c>
      <c r="AJ1380">
        <v>88.737832081809302</v>
      </c>
      <c r="AK1380">
        <v>0.47202522544815501</v>
      </c>
      <c r="AL1380">
        <v>84.595553951197502</v>
      </c>
      <c r="AM1380">
        <v>89.588369128333099</v>
      </c>
      <c r="AN1380">
        <v>1.00000003353069</v>
      </c>
    </row>
    <row r="1381" spans="1:40" x14ac:dyDescent="0.25">
      <c r="A1381" t="str">
        <f>"20190312164501305"</f>
        <v>20190312164501305</v>
      </c>
      <c r="B1381" t="str">
        <f>"1552380301293568"</f>
        <v>1552380301293568</v>
      </c>
      <c r="C1381" t="s">
        <v>40</v>
      </c>
      <c r="D1381">
        <v>5.5176959999999999</v>
      </c>
      <c r="E1381">
        <v>0.50614519999999996</v>
      </c>
      <c r="F1381" t="s">
        <v>41</v>
      </c>
      <c r="G1381">
        <v>-244.886</v>
      </c>
      <c r="H1381">
        <v>1.0453440000000001</v>
      </c>
      <c r="I1381">
        <v>282.73880000000003</v>
      </c>
      <c r="J1381">
        <v>-244.43260000000001</v>
      </c>
      <c r="K1381">
        <v>1.1082689999999999</v>
      </c>
      <c r="L1381">
        <v>282.71710000000002</v>
      </c>
      <c r="M1381">
        <v>-0.99968369999999995</v>
      </c>
      <c r="N1381">
        <v>0</v>
      </c>
      <c r="O1381">
        <v>2.45458E-2</v>
      </c>
      <c r="P1381">
        <v>-0.995529</v>
      </c>
      <c r="Q1381">
        <v>8.8434970000000002E-2</v>
      </c>
      <c r="R1381">
        <v>3.3189690000000001E-2</v>
      </c>
      <c r="S1381">
        <v>-3.0304869999999999</v>
      </c>
      <c r="T1381">
        <v>-0.23229240000000001</v>
      </c>
      <c r="U1381">
        <v>0.1124573</v>
      </c>
      <c r="V1381">
        <v>8.581478E-3</v>
      </c>
      <c r="W1381">
        <v>9.3897400000000006E-2</v>
      </c>
      <c r="X1381">
        <v>0.99554489999999995</v>
      </c>
      <c r="Y1381">
        <v>1.2577710000000001E-2</v>
      </c>
      <c r="Z1381">
        <v>-1.3965729999999999E-3</v>
      </c>
      <c r="AA1381">
        <v>0.99992000000000003</v>
      </c>
      <c r="AB1381">
        <v>38</v>
      </c>
      <c r="AC1381">
        <v>-0.45339999999998698</v>
      </c>
      <c r="AD1381">
        <v>-6.2924999999999898E-2</v>
      </c>
      <c r="AE1381">
        <v>2.1700000000009802E-2</v>
      </c>
      <c r="AF1381">
        <v>1.0365042134520599E-2</v>
      </c>
      <c r="AG1381">
        <v>-6.2924999999999898E-2</v>
      </c>
      <c r="AH1381">
        <v>0.44523978646545498</v>
      </c>
      <c r="AI1381">
        <v>98.042091609973298</v>
      </c>
      <c r="AJ1381">
        <v>88.666413155892499</v>
      </c>
      <c r="AK1381">
        <v>0.44978378936468399</v>
      </c>
      <c r="AL1381">
        <v>84.612138222631501</v>
      </c>
      <c r="AM1381">
        <v>89.506129463163205</v>
      </c>
      <c r="AN1381">
        <v>1.0000000057037099</v>
      </c>
    </row>
    <row r="1382" spans="1:40" x14ac:dyDescent="0.25">
      <c r="A1382" t="str">
        <f>"20190312164501325"</f>
        <v>20190312164501325</v>
      </c>
      <c r="B1382" t="str">
        <f>"1552380301313088"</f>
        <v>1552380301313088</v>
      </c>
      <c r="C1382" t="s">
        <v>40</v>
      </c>
      <c r="D1382">
        <v>5.3962180000000002</v>
      </c>
      <c r="E1382">
        <v>0.50586439999999999</v>
      </c>
      <c r="F1382" t="s">
        <v>41</v>
      </c>
      <c r="G1382">
        <v>-245.23169999999999</v>
      </c>
      <c r="H1382">
        <v>1.046929</v>
      </c>
      <c r="I1382">
        <v>282.7475</v>
      </c>
      <c r="J1382">
        <v>-244.7885</v>
      </c>
      <c r="K1382">
        <v>1.108258</v>
      </c>
      <c r="L1382">
        <v>282.72539999999998</v>
      </c>
      <c r="M1382">
        <v>-0.99969940000000002</v>
      </c>
      <c r="N1382">
        <v>0</v>
      </c>
      <c r="O1382">
        <v>2.3901929999999998E-2</v>
      </c>
      <c r="P1382">
        <v>-0.99552399999999996</v>
      </c>
      <c r="Q1382">
        <v>8.8307590000000005E-2</v>
      </c>
      <c r="R1382">
        <v>3.3671649999999997E-2</v>
      </c>
      <c r="S1382">
        <v>-3.0303499999999999</v>
      </c>
      <c r="T1382">
        <v>-0.23277800000000001</v>
      </c>
      <c r="U1382">
        <v>0.1141052</v>
      </c>
      <c r="V1382">
        <v>9.7063070000000008E-3</v>
      </c>
      <c r="W1382">
        <v>9.3759250000000002E-2</v>
      </c>
      <c r="X1382">
        <v>0.99554759999999998</v>
      </c>
      <c r="Y1382">
        <v>1.376119E-2</v>
      </c>
      <c r="Z1382">
        <v>-1.30481E-3</v>
      </c>
      <c r="AA1382">
        <v>0.99990449999999997</v>
      </c>
      <c r="AB1382">
        <v>38</v>
      </c>
      <c r="AC1382">
        <v>-0.44319999999998999</v>
      </c>
      <c r="AD1382">
        <v>-6.1328999999999897E-2</v>
      </c>
      <c r="AE1382">
        <v>2.2100000000023101E-2</v>
      </c>
      <c r="AF1382">
        <v>1.1284645913180799E-2</v>
      </c>
      <c r="AG1382">
        <v>-6.1328999999999897E-2</v>
      </c>
      <c r="AH1382">
        <v>0.43528724176957201</v>
      </c>
      <c r="AI1382">
        <v>98.017136830097698</v>
      </c>
      <c r="AJ1382">
        <v>88.514962690820497</v>
      </c>
      <c r="AK1382">
        <v>0.439731250108231</v>
      </c>
      <c r="AL1382">
        <v>84.620088767817805</v>
      </c>
      <c r="AM1382">
        <v>89.441400084330795</v>
      </c>
      <c r="AN1382">
        <v>1.0000000166109499</v>
      </c>
    </row>
    <row r="1383" spans="1:40" x14ac:dyDescent="0.25">
      <c r="A1383" t="str">
        <f>"20190312164501348"</f>
        <v>20190312164501348</v>
      </c>
      <c r="B1383" t="str">
        <f>"1552380301342577"</f>
        <v>1552380301342577</v>
      </c>
      <c r="C1383" t="s">
        <v>40</v>
      </c>
      <c r="D1383">
        <v>5.1282779999999999</v>
      </c>
      <c r="E1383">
        <v>0.50550839999999997</v>
      </c>
      <c r="F1383" t="s">
        <v>41</v>
      </c>
      <c r="G1383">
        <v>-245.578</v>
      </c>
      <c r="H1383">
        <v>1.0479560000000001</v>
      </c>
      <c r="I1383">
        <v>282.75510000000003</v>
      </c>
      <c r="J1383">
        <v>-245.18379999999999</v>
      </c>
      <c r="K1383">
        <v>1.108231</v>
      </c>
      <c r="L1383">
        <v>282.73430000000002</v>
      </c>
      <c r="M1383">
        <v>-0.99971560000000004</v>
      </c>
      <c r="N1383">
        <v>0</v>
      </c>
      <c r="O1383">
        <v>2.3213899999999999E-2</v>
      </c>
      <c r="P1383">
        <v>-0.99546639999999997</v>
      </c>
      <c r="Q1383">
        <v>8.8883069999999995E-2</v>
      </c>
      <c r="R1383">
        <v>3.3855610000000001E-2</v>
      </c>
      <c r="S1383">
        <v>-3.0301670000000001</v>
      </c>
      <c r="T1383">
        <v>-0.23146720000000001</v>
      </c>
      <c r="U1383">
        <v>0.11386110000000001</v>
      </c>
      <c r="V1383">
        <v>1.0579359999999999E-2</v>
      </c>
      <c r="W1383">
        <v>9.4324169999999999E-2</v>
      </c>
      <c r="X1383">
        <v>0.99548530000000002</v>
      </c>
      <c r="Y1383">
        <v>1.4367080000000001E-2</v>
      </c>
      <c r="Z1383">
        <v>-1.2220250000000001E-3</v>
      </c>
      <c r="AA1383">
        <v>0.99989600000000001</v>
      </c>
      <c r="AB1383">
        <v>39</v>
      </c>
      <c r="AC1383">
        <v>-0.39420000000001199</v>
      </c>
      <c r="AD1383">
        <v>-6.0275000000000002E-2</v>
      </c>
      <c r="AE1383">
        <v>2.0800000000008301E-2</v>
      </c>
      <c r="AF1383">
        <v>1.13780603370681E-2</v>
      </c>
      <c r="AG1383">
        <v>-6.0275000000000002E-2</v>
      </c>
      <c r="AH1383">
        <v>0.385586705412644</v>
      </c>
      <c r="AI1383">
        <v>98.880782770582101</v>
      </c>
      <c r="AJ1383">
        <v>88.309781669821405</v>
      </c>
      <c r="AK1383">
        <v>0.39043519727735998</v>
      </c>
      <c r="AL1383">
        <v>84.587576939180096</v>
      </c>
      <c r="AM1383">
        <v>89.3911212352414</v>
      </c>
      <c r="AN1383">
        <v>0.999999977210144</v>
      </c>
    </row>
    <row r="1384" spans="1:40" x14ac:dyDescent="0.25">
      <c r="A1384" t="str">
        <f>"20190312164501371"</f>
        <v>20190312164501371</v>
      </c>
      <c r="B1384" t="str">
        <f>"1552380301363072"</f>
        <v>1552380301363072</v>
      </c>
      <c r="C1384" t="s">
        <v>40</v>
      </c>
      <c r="D1384">
        <v>5.1884059999999996</v>
      </c>
      <c r="E1384">
        <v>0.50524329999999995</v>
      </c>
      <c r="F1384" t="s">
        <v>47</v>
      </c>
      <c r="G1384">
        <v>-259.68830000000003</v>
      </c>
      <c r="H1384" s="1">
        <v>3.6188559999999998E-6</v>
      </c>
      <c r="I1384">
        <v>283.26949999999999</v>
      </c>
      <c r="J1384">
        <v>-245.5805</v>
      </c>
      <c r="K1384">
        <v>1.1082099999999999</v>
      </c>
      <c r="L1384">
        <v>282.74299999999999</v>
      </c>
      <c r="M1384">
        <v>-0.99973080000000003</v>
      </c>
      <c r="N1384">
        <v>0</v>
      </c>
      <c r="O1384">
        <v>2.2559530000000001E-2</v>
      </c>
      <c r="P1384">
        <v>-0.99533329999999998</v>
      </c>
      <c r="Q1384">
        <v>9.0090920000000005E-2</v>
      </c>
      <c r="R1384">
        <v>3.4571589999999999E-2</v>
      </c>
      <c r="S1384">
        <v>-3.030548</v>
      </c>
      <c r="T1384">
        <v>-0.23155120000000001</v>
      </c>
      <c r="U1384">
        <v>0.1118164</v>
      </c>
      <c r="V1384">
        <v>1.195272E-2</v>
      </c>
      <c r="W1384">
        <v>9.5522750000000003E-2</v>
      </c>
      <c r="X1384">
        <v>0.99535549999999995</v>
      </c>
      <c r="Y1384">
        <v>1.4341339999999999E-2</v>
      </c>
      <c r="Z1384">
        <v>-1.1734250000000001E-3</v>
      </c>
      <c r="AA1384">
        <v>0.99989649999999997</v>
      </c>
      <c r="AB1384">
        <v>39</v>
      </c>
      <c r="AC1384">
        <v>-14.107799999999999</v>
      </c>
      <c r="AD1384">
        <v>-1.1082063811439999</v>
      </c>
      <c r="AE1384">
        <v>0.52649999999999797</v>
      </c>
      <c r="AF1384">
        <v>0.20682156301440999</v>
      </c>
      <c r="AG1384">
        <v>-1.1082063811439999</v>
      </c>
      <c r="AH1384">
        <v>14.0296373059888</v>
      </c>
      <c r="AI1384">
        <v>94.515948918048906</v>
      </c>
      <c r="AJ1384">
        <v>89.155420477793299</v>
      </c>
      <c r="AK1384">
        <v>14.074857707264</v>
      </c>
      <c r="AL1384">
        <v>84.518592081498795</v>
      </c>
      <c r="AM1384">
        <v>89.311997076762793</v>
      </c>
      <c r="AN1384">
        <v>1.0000000173315999</v>
      </c>
    </row>
    <row r="1385" spans="1:40" x14ac:dyDescent="0.25">
      <c r="A1385" t="str">
        <f>"20190312164501382"</f>
        <v>20190312164501382</v>
      </c>
      <c r="B1385" t="str">
        <f>"1552380301372832"</f>
        <v>1552380301372832</v>
      </c>
      <c r="C1385" t="s">
        <v>40</v>
      </c>
      <c r="D1385">
        <v>5.1578379999999999</v>
      </c>
      <c r="E1385">
        <v>0.50512079999999904</v>
      </c>
      <c r="F1385" t="s">
        <v>41</v>
      </c>
      <c r="G1385">
        <v>-246.6096</v>
      </c>
      <c r="H1385">
        <v>1.031137</v>
      </c>
      <c r="I1385">
        <v>282.78089999999997</v>
      </c>
      <c r="J1385">
        <v>-245.7978</v>
      </c>
      <c r="K1385">
        <v>1.108198</v>
      </c>
      <c r="L1385">
        <v>282.74770000000001</v>
      </c>
      <c r="M1385">
        <v>-0.99973849999999997</v>
      </c>
      <c r="N1385">
        <v>0</v>
      </c>
      <c r="O1385">
        <v>2.2215970000000002E-2</v>
      </c>
      <c r="P1385">
        <v>-0.99528349999999999</v>
      </c>
      <c r="Q1385">
        <v>9.0504050000000003E-2</v>
      </c>
      <c r="R1385">
        <v>3.4927319999999998E-2</v>
      </c>
      <c r="S1385">
        <v>-3.0307770000000001</v>
      </c>
      <c r="T1385">
        <v>-0.2271281</v>
      </c>
      <c r="U1385">
        <v>0.1112061</v>
      </c>
      <c r="V1385">
        <v>1.265401E-2</v>
      </c>
      <c r="W1385">
        <v>9.5932390000000006E-2</v>
      </c>
      <c r="X1385">
        <v>0.99530739999999995</v>
      </c>
      <c r="Y1385">
        <v>1.447883E-2</v>
      </c>
      <c r="Z1385">
        <v>-1.120158E-3</v>
      </c>
      <c r="AA1385">
        <v>0.99989459999999997</v>
      </c>
      <c r="AB1385">
        <v>39</v>
      </c>
      <c r="AC1385">
        <v>-0.81180000000000496</v>
      </c>
      <c r="AD1385">
        <v>-7.7061000000000004E-2</v>
      </c>
      <c r="AE1385">
        <v>3.3199999999965202E-2</v>
      </c>
      <c r="AF1385">
        <v>1.50214844041198E-2</v>
      </c>
      <c r="AG1385">
        <v>-7.7061000000000004E-2</v>
      </c>
      <c r="AH1385">
        <v>0.80509465446269302</v>
      </c>
      <c r="AI1385">
        <v>95.466560428425396</v>
      </c>
      <c r="AJ1385">
        <v>88.931097353665706</v>
      </c>
      <c r="AK1385">
        <v>0.80891374407850603</v>
      </c>
      <c r="AL1385">
        <v>84.495012969776994</v>
      </c>
      <c r="AM1385">
        <v>89.271599601108903</v>
      </c>
      <c r="AN1385">
        <v>0.99999998395747502</v>
      </c>
    </row>
    <row r="1386" spans="1:40" x14ac:dyDescent="0.25">
      <c r="A1386" t="str">
        <f>"20190312164501404"</f>
        <v>20190312164501404</v>
      </c>
      <c r="B1386" t="str">
        <f>"1552380301393332"</f>
        <v>1552380301393332</v>
      </c>
      <c r="C1386" t="s">
        <v>40</v>
      </c>
      <c r="D1386">
        <v>5.0119040000000004</v>
      </c>
      <c r="E1386">
        <v>0.50485779999999902</v>
      </c>
      <c r="F1386" t="s">
        <v>41</v>
      </c>
      <c r="G1386">
        <v>-246.6199</v>
      </c>
      <c r="H1386">
        <v>1.0470189999999999</v>
      </c>
      <c r="I1386">
        <v>282.77800000000002</v>
      </c>
      <c r="J1386">
        <v>-246.15700000000001</v>
      </c>
      <c r="K1386">
        <v>1.1081749999999999</v>
      </c>
      <c r="L1386">
        <v>282.7552</v>
      </c>
      <c r="M1386">
        <v>-0.99975060000000004</v>
      </c>
      <c r="N1386">
        <v>0</v>
      </c>
      <c r="O1386">
        <v>2.1663729999999999E-2</v>
      </c>
      <c r="P1386">
        <v>-0.99521400000000004</v>
      </c>
      <c r="Q1386">
        <v>9.1032639999999998E-2</v>
      </c>
      <c r="R1386">
        <v>3.5528549999999999E-2</v>
      </c>
      <c r="S1386">
        <v>-3.0308229999999998</v>
      </c>
      <c r="T1386">
        <v>-0.2256919</v>
      </c>
      <c r="U1386">
        <v>0.1111755</v>
      </c>
      <c r="V1386">
        <v>1.380989E-2</v>
      </c>
      <c r="W1386">
        <v>9.6455410000000005E-2</v>
      </c>
      <c r="X1386">
        <v>0.9952415</v>
      </c>
      <c r="Y1386">
        <v>1.5017249999999999E-2</v>
      </c>
      <c r="Z1386">
        <v>-1.052028E-3</v>
      </c>
      <c r="AA1386">
        <v>0.99988670000000002</v>
      </c>
      <c r="AB1386">
        <v>39</v>
      </c>
      <c r="AC1386">
        <v>-0.46289999999998999</v>
      </c>
      <c r="AD1386">
        <v>-6.1155999999999697E-2</v>
      </c>
      <c r="AE1386">
        <v>2.28000000000179E-2</v>
      </c>
      <c r="AF1386">
        <v>1.2547875843393201E-2</v>
      </c>
      <c r="AG1386">
        <v>-6.1155999999999697E-2</v>
      </c>
      <c r="AH1386">
        <v>0.45535658116469502</v>
      </c>
      <c r="AI1386">
        <v>97.646385876776606</v>
      </c>
      <c r="AJ1386">
        <v>88.421548152570196</v>
      </c>
      <c r="AK1386">
        <v>0.45961627640258801</v>
      </c>
      <c r="AL1386">
        <v>84.464906611109797</v>
      </c>
      <c r="AM1386">
        <v>89.205019449260902</v>
      </c>
      <c r="AN1386">
        <v>1.0000000012511601</v>
      </c>
    </row>
    <row r="1387" spans="1:40" x14ac:dyDescent="0.25">
      <c r="A1387" t="str">
        <f>"20190312164501428"</f>
        <v>20190312164501428</v>
      </c>
      <c r="B1387" t="str">
        <f>"1552380301422608"</f>
        <v>1552380301422608</v>
      </c>
      <c r="C1387" t="s">
        <v>40</v>
      </c>
      <c r="D1387">
        <v>5.1511990000000001</v>
      </c>
      <c r="E1387">
        <v>0.50452549999999996</v>
      </c>
      <c r="F1387" t="s">
        <v>41</v>
      </c>
      <c r="G1387">
        <v>-246.97069999999999</v>
      </c>
      <c r="H1387">
        <v>1.048208</v>
      </c>
      <c r="I1387">
        <v>282.78489999999999</v>
      </c>
      <c r="J1387">
        <v>-246.572</v>
      </c>
      <c r="K1387">
        <v>1.10815</v>
      </c>
      <c r="L1387">
        <v>282.76369999999997</v>
      </c>
      <c r="M1387">
        <v>-0.99976379999999998</v>
      </c>
      <c r="N1387">
        <v>0</v>
      </c>
      <c r="O1387">
        <v>2.1051529999999999E-2</v>
      </c>
      <c r="P1387">
        <v>-0.9951892</v>
      </c>
      <c r="Q1387">
        <v>9.1166289999999997E-2</v>
      </c>
      <c r="R1387">
        <v>3.5880919999999997E-2</v>
      </c>
      <c r="S1387">
        <v>-3.0309300000000001</v>
      </c>
      <c r="T1387">
        <v>-0.2234293</v>
      </c>
      <c r="U1387">
        <v>0.11026</v>
      </c>
      <c r="V1387">
        <v>1.477653E-2</v>
      </c>
      <c r="W1387">
        <v>9.6585470000000007E-2</v>
      </c>
      <c r="X1387">
        <v>0.99521499999999996</v>
      </c>
      <c r="Y1387">
        <v>1.532377E-2</v>
      </c>
      <c r="Z1387">
        <v>-9.8516350000000001E-4</v>
      </c>
      <c r="AA1387">
        <v>0.9998821</v>
      </c>
      <c r="AB1387">
        <v>39</v>
      </c>
      <c r="AC1387">
        <v>-0.39869999999999001</v>
      </c>
      <c r="AD1387">
        <v>-5.9941999999999898E-2</v>
      </c>
      <c r="AE1387">
        <v>2.1200000000021601E-2</v>
      </c>
      <c r="AF1387">
        <v>1.25197458012902E-2</v>
      </c>
      <c r="AG1387">
        <v>-5.9941999999999898E-2</v>
      </c>
      <c r="AH1387">
        <v>0.39026164814018999</v>
      </c>
      <c r="AI1387">
        <v>98.727649583127302</v>
      </c>
      <c r="AJ1387">
        <v>88.162559220624004</v>
      </c>
      <c r="AK1387">
        <v>0.39503663299500003</v>
      </c>
      <c r="AL1387">
        <v>84.4574197453328</v>
      </c>
      <c r="AM1387">
        <v>89.149359083681702</v>
      </c>
      <c r="AN1387">
        <v>0.99999999753947999</v>
      </c>
    </row>
    <row r="1388" spans="1:40" x14ac:dyDescent="0.25">
      <c r="A1388" t="str">
        <f>"20190312164501451"</f>
        <v>20190312164501451</v>
      </c>
      <c r="B1388" t="str">
        <f>"1552380301443104"</f>
        <v>1552380301443104</v>
      </c>
      <c r="C1388" t="s">
        <v>40</v>
      </c>
      <c r="D1388">
        <v>4.906015</v>
      </c>
      <c r="E1388">
        <v>0.49029089999999997</v>
      </c>
      <c r="F1388" t="s">
        <v>47</v>
      </c>
      <c r="G1388">
        <v>-261.53859999999997</v>
      </c>
      <c r="H1388" s="1">
        <v>-7.1804419999999998E-7</v>
      </c>
      <c r="I1388">
        <v>283.29680000000002</v>
      </c>
      <c r="J1388">
        <v>-246.98439999999999</v>
      </c>
      <c r="K1388">
        <v>1.1081259999999999</v>
      </c>
      <c r="L1388">
        <v>282.77199999999999</v>
      </c>
      <c r="M1388">
        <v>-0.99977579999999999</v>
      </c>
      <c r="N1388">
        <v>0</v>
      </c>
      <c r="O1388">
        <v>2.04716E-2</v>
      </c>
      <c r="P1388">
        <v>-0.99524159999999995</v>
      </c>
      <c r="Q1388">
        <v>9.0535039999999997E-2</v>
      </c>
      <c r="R1388">
        <v>3.6022810000000002E-2</v>
      </c>
      <c r="S1388">
        <v>-3.031158</v>
      </c>
      <c r="T1388">
        <v>-0.2244322</v>
      </c>
      <c r="U1388">
        <v>0.1079712</v>
      </c>
      <c r="V1388">
        <v>1.5499580000000001E-2</v>
      </c>
      <c r="W1388">
        <v>9.5951369999999994E-2</v>
      </c>
      <c r="X1388">
        <v>0.99526539999999997</v>
      </c>
      <c r="Y1388">
        <v>1.514603E-2</v>
      </c>
      <c r="Z1388">
        <v>-9.5323290000000002E-4</v>
      </c>
      <c r="AA1388">
        <v>0.99988480000000002</v>
      </c>
      <c r="AB1388">
        <v>39</v>
      </c>
      <c r="AC1388">
        <v>-14.5541999999999</v>
      </c>
      <c r="AD1388">
        <v>-1.1081267180442</v>
      </c>
      <c r="AE1388">
        <v>0.52480000000002702</v>
      </c>
      <c r="AF1388">
        <v>0.22543276329103301</v>
      </c>
      <c r="AG1388">
        <v>-1.1081267180442</v>
      </c>
      <c r="AH1388">
        <v>14.478073319919799</v>
      </c>
      <c r="AI1388">
        <v>94.376258315253807</v>
      </c>
      <c r="AJ1388">
        <v>89.107940543318094</v>
      </c>
      <c r="AK1388">
        <v>14.5221682888948</v>
      </c>
      <c r="AL1388">
        <v>84.493920872767504</v>
      </c>
      <c r="AM1388">
        <v>89.1077869928328</v>
      </c>
      <c r="AN1388">
        <v>1.0000000594111</v>
      </c>
    </row>
    <row r="1389" spans="1:40" x14ac:dyDescent="0.25">
      <c r="A1389" t="str">
        <f>"20190312164501475"</f>
        <v>20190312164501475</v>
      </c>
      <c r="B1389" t="str">
        <f>"1552380301462625"</f>
        <v>1552380301462625</v>
      </c>
      <c r="C1389" t="s">
        <v>40</v>
      </c>
      <c r="D1389">
        <v>4.9384880000000004</v>
      </c>
      <c r="E1389">
        <v>0.48893789999999998</v>
      </c>
      <c r="F1389" t="s">
        <v>47</v>
      </c>
      <c r="G1389">
        <v>-263.36369999999999</v>
      </c>
      <c r="H1389" s="1">
        <v>2.5320000000000002E-7</v>
      </c>
      <c r="I1389">
        <v>282.74709999999999</v>
      </c>
      <c r="J1389">
        <v>-247.3888</v>
      </c>
      <c r="K1389">
        <v>1.1081049999999999</v>
      </c>
      <c r="L1389">
        <v>282.7799</v>
      </c>
      <c r="M1389">
        <v>-0.99978690000000003</v>
      </c>
      <c r="N1389">
        <v>0</v>
      </c>
      <c r="O1389">
        <v>1.9927750000000001E-2</v>
      </c>
      <c r="P1389">
        <v>-0.99528629999999996</v>
      </c>
      <c r="Q1389">
        <v>9.0006149999999993E-2</v>
      </c>
      <c r="R1389">
        <v>3.6112489999999997E-2</v>
      </c>
      <c r="S1389">
        <v>-3.0331570000000001</v>
      </c>
      <c r="T1389">
        <v>-0.20520540000000001</v>
      </c>
      <c r="U1389">
        <v>-4.6081539999999997E-3</v>
      </c>
      <c r="V1389">
        <v>1.613442E-2</v>
      </c>
      <c r="W1389">
        <v>9.5417390000000005E-2</v>
      </c>
      <c r="X1389">
        <v>0.99530660000000004</v>
      </c>
      <c r="Y1389">
        <v>-2.1352619999999999E-2</v>
      </c>
      <c r="Z1389">
        <v>-2.0680820000000002E-3</v>
      </c>
      <c r="AA1389">
        <v>0.99976989999999999</v>
      </c>
      <c r="AB1389">
        <v>39</v>
      </c>
      <c r="AC1389">
        <v>-15.9748999999999</v>
      </c>
      <c r="AD1389">
        <v>-1.10810474679999</v>
      </c>
      <c r="AE1389">
        <v>-3.2800000000008801E-2</v>
      </c>
      <c r="AF1389">
        <v>-0.34946048152933601</v>
      </c>
      <c r="AG1389">
        <v>-1.10810474679999</v>
      </c>
      <c r="AH1389">
        <v>15.8945966329544</v>
      </c>
      <c r="AI1389">
        <v>93.987008959537206</v>
      </c>
      <c r="AJ1389">
        <v>91.259508866861793</v>
      </c>
      <c r="AK1389">
        <v>15.9370079024375</v>
      </c>
      <c r="AL1389">
        <v>84.524656440739193</v>
      </c>
      <c r="AM1389">
        <v>89.071287973709403</v>
      </c>
      <c r="AN1389">
        <v>1.0000000129133499</v>
      </c>
    </row>
    <row r="1390" spans="1:40" x14ac:dyDescent="0.25">
      <c r="A1390" t="str">
        <f>"20190312164501493"</f>
        <v>20190312164501493</v>
      </c>
      <c r="B1390" t="str">
        <f>"1552380301483128"</f>
        <v>1552380301483128</v>
      </c>
      <c r="C1390" t="s">
        <v>40</v>
      </c>
      <c r="D1390">
        <v>4.8804489999999996</v>
      </c>
      <c r="E1390">
        <v>0.488645</v>
      </c>
      <c r="F1390" t="s">
        <v>47</v>
      </c>
      <c r="G1390">
        <v>-264.2244</v>
      </c>
      <c r="H1390" s="1">
        <v>7.1120719999999898E-7</v>
      </c>
      <c r="I1390">
        <v>282.69810000000001</v>
      </c>
      <c r="J1390">
        <v>-247.7373</v>
      </c>
      <c r="K1390">
        <v>1.1080859999999999</v>
      </c>
      <c r="L1390">
        <v>282.78649999999999</v>
      </c>
      <c r="M1390">
        <v>-0.99979589999999996</v>
      </c>
      <c r="N1390">
        <v>0</v>
      </c>
      <c r="O1390">
        <v>1.9475550000000001E-2</v>
      </c>
      <c r="P1390">
        <v>-0.995255</v>
      </c>
      <c r="Q1390">
        <v>9.0308890000000003E-2</v>
      </c>
      <c r="R1390">
        <v>3.6223430000000001E-2</v>
      </c>
      <c r="S1390">
        <v>-3.0327760000000001</v>
      </c>
      <c r="T1390">
        <v>-0.1996154</v>
      </c>
      <c r="U1390">
        <v>-1.473999E-2</v>
      </c>
      <c r="V1390">
        <v>1.669932E-2</v>
      </c>
      <c r="W1390">
        <v>9.5714519999999997E-2</v>
      </c>
      <c r="X1390">
        <v>0.99526879999999995</v>
      </c>
      <c r="Y1390">
        <v>-2.4240270000000001E-2</v>
      </c>
      <c r="Z1390">
        <v>-2.077321E-3</v>
      </c>
      <c r="AA1390">
        <v>0.99970400000000004</v>
      </c>
      <c r="AB1390">
        <v>39</v>
      </c>
      <c r="AC1390">
        <v>-16.487099999999899</v>
      </c>
      <c r="AD1390">
        <v>-1.1080852887928001</v>
      </c>
      <c r="AE1390">
        <v>-8.8399999999978704E-2</v>
      </c>
      <c r="AF1390">
        <v>-0.407641908717438</v>
      </c>
      <c r="AG1390">
        <v>-1.1080852887928001</v>
      </c>
      <c r="AH1390">
        <v>16.4081364523879</v>
      </c>
      <c r="AI1390">
        <v>93.862282709486294</v>
      </c>
      <c r="AJ1390">
        <v>91.423157192872296</v>
      </c>
      <c r="AK1390">
        <v>16.450561290520302</v>
      </c>
      <c r="AL1390">
        <v>84.507554131013606</v>
      </c>
      <c r="AM1390">
        <v>89.038741308701006</v>
      </c>
      <c r="AN1390">
        <v>1.0000000604403601</v>
      </c>
    </row>
    <row r="1391" spans="1:40" x14ac:dyDescent="0.25">
      <c r="A1391" t="str">
        <f>"20190312164501516"</f>
        <v>20190312164501516</v>
      </c>
      <c r="B1391" t="str">
        <f>"1552380301513377"</f>
        <v>1552380301513377</v>
      </c>
      <c r="C1391" t="s">
        <v>40</v>
      </c>
      <c r="D1391">
        <v>4.8625420000000004</v>
      </c>
      <c r="E1391">
        <v>0.48833589999999999</v>
      </c>
      <c r="F1391" t="s">
        <v>47</v>
      </c>
      <c r="G1391">
        <v>-264.88650000000001</v>
      </c>
      <c r="H1391" s="1">
        <v>1.0635770000000001E-6</v>
      </c>
      <c r="I1391">
        <v>282.69040000000001</v>
      </c>
      <c r="J1391">
        <v>-248.1309</v>
      </c>
      <c r="K1391">
        <v>1.108063</v>
      </c>
      <c r="L1391">
        <v>282.79379999999998</v>
      </c>
      <c r="M1391">
        <v>-0.9998051</v>
      </c>
      <c r="N1391">
        <v>0</v>
      </c>
      <c r="O1391">
        <v>1.8988049999999999E-2</v>
      </c>
      <c r="P1391">
        <v>-0.99525770000000002</v>
      </c>
      <c r="Q1391">
        <v>9.0244450000000004E-2</v>
      </c>
      <c r="R1391">
        <v>3.6300199999999998E-2</v>
      </c>
      <c r="S1391">
        <v>-3.032715</v>
      </c>
      <c r="T1391">
        <v>-0.1959562</v>
      </c>
      <c r="U1391">
        <v>-1.6998289999999999E-2</v>
      </c>
      <c r="V1391">
        <v>1.726598E-2</v>
      </c>
      <c r="W1391">
        <v>9.5644270000000003E-2</v>
      </c>
      <c r="X1391">
        <v>0.99526579999999998</v>
      </c>
      <c r="Y1391">
        <v>-2.4501220000000001E-2</v>
      </c>
      <c r="Z1391">
        <v>-2.0163189999999999E-3</v>
      </c>
      <c r="AA1391">
        <v>0.99969770000000002</v>
      </c>
      <c r="AB1391">
        <v>40</v>
      </c>
      <c r="AC1391">
        <v>-16.755600000000001</v>
      </c>
      <c r="AD1391">
        <v>-1.108061936423</v>
      </c>
      <c r="AE1391">
        <v>-0.10339999999996501</v>
      </c>
      <c r="AF1391">
        <v>-0.419706747151816</v>
      </c>
      <c r="AG1391">
        <v>-1.108061936423</v>
      </c>
      <c r="AH1391">
        <v>16.6776821296436</v>
      </c>
      <c r="AI1391">
        <v>93.799934333522103</v>
      </c>
      <c r="AJ1391">
        <v>91.441588252242497</v>
      </c>
      <c r="AK1391">
        <v>16.719719980489799</v>
      </c>
      <c r="AL1391">
        <v>84.511597248561401</v>
      </c>
      <c r="AM1391">
        <v>89.006126244112707</v>
      </c>
      <c r="AN1391">
        <v>0.99999997654941597</v>
      </c>
    </row>
    <row r="1392" spans="1:40" x14ac:dyDescent="0.25">
      <c r="A1392" t="str">
        <f>"20190312164501538"</f>
        <v>20190312164501538</v>
      </c>
      <c r="B1392" t="str">
        <f>"1552380301532897"</f>
        <v>1552380301532897</v>
      </c>
      <c r="C1392" t="s">
        <v>40</v>
      </c>
      <c r="D1392">
        <v>4.8690499999999997</v>
      </c>
      <c r="E1392">
        <v>0.48852590000000001</v>
      </c>
      <c r="F1392" t="s">
        <v>47</v>
      </c>
      <c r="G1392">
        <v>-265.29349999999999</v>
      </c>
      <c r="H1392" s="1">
        <v>1.2801700000000001E-6</v>
      </c>
      <c r="I1392">
        <v>282.685</v>
      </c>
      <c r="J1392">
        <v>-248.536</v>
      </c>
      <c r="K1392">
        <v>1.1080289999999999</v>
      </c>
      <c r="L1392">
        <v>282.80110000000002</v>
      </c>
      <c r="M1392">
        <v>-0.99981399999999998</v>
      </c>
      <c r="N1392">
        <v>0</v>
      </c>
      <c r="O1392">
        <v>1.851817E-2</v>
      </c>
      <c r="P1392">
        <v>-0.99528570000000005</v>
      </c>
      <c r="Q1392">
        <v>8.9926279999999997E-2</v>
      </c>
      <c r="R1392">
        <v>3.633012E-2</v>
      </c>
      <c r="S1392">
        <v>-3.0327449999999998</v>
      </c>
      <c r="T1392">
        <v>-0.1958009</v>
      </c>
      <c r="U1392">
        <v>-1.9226070000000001E-2</v>
      </c>
      <c r="V1392">
        <v>1.7769879999999998E-2</v>
      </c>
      <c r="W1392">
        <v>9.5321970000000006E-2</v>
      </c>
      <c r="X1392">
        <v>0.9952879</v>
      </c>
      <c r="Y1392">
        <v>-2.4766239999999998E-2</v>
      </c>
      <c r="Z1392">
        <v>-1.9929460000000002E-3</v>
      </c>
      <c r="AA1392">
        <v>0.99969129999999995</v>
      </c>
      <c r="AB1392">
        <v>40</v>
      </c>
      <c r="AC1392">
        <v>-16.7575</v>
      </c>
      <c r="AD1392">
        <v>-1.1080277198299999</v>
      </c>
      <c r="AE1392">
        <v>-0.116100000000017</v>
      </c>
      <c r="AF1392">
        <v>-0.42454679041691101</v>
      </c>
      <c r="AG1392">
        <v>-1.1080277198299999</v>
      </c>
      <c r="AH1392">
        <v>16.6795564523736</v>
      </c>
      <c r="AI1392">
        <v>93.799364059376003</v>
      </c>
      <c r="AJ1392">
        <v>91.458041668372701</v>
      </c>
      <c r="AK1392">
        <v>16.721709507496101</v>
      </c>
      <c r="AL1392">
        <v>84.530148705450401</v>
      </c>
      <c r="AM1392">
        <v>88.977149260489995</v>
      </c>
      <c r="AN1392">
        <v>1.00000002524315</v>
      </c>
    </row>
    <row r="1393" spans="1:40" x14ac:dyDescent="0.25">
      <c r="A1393" t="str">
        <f>"20190312164501561"</f>
        <v>20190312164501561</v>
      </c>
      <c r="B1393" t="str">
        <f>"1552380301553393"</f>
        <v>1552380301553393</v>
      </c>
      <c r="C1393" t="s">
        <v>40</v>
      </c>
      <c r="D1393">
        <v>4.8833950000000002</v>
      </c>
      <c r="E1393">
        <v>0.48838209999999999</v>
      </c>
      <c r="F1393" t="s">
        <v>47</v>
      </c>
      <c r="G1393">
        <v>-265.53120000000001</v>
      </c>
      <c r="H1393" s="1">
        <v>1.4066309999999901E-6</v>
      </c>
      <c r="I1393">
        <v>282.70280000000002</v>
      </c>
      <c r="J1393">
        <v>-248.93870000000001</v>
      </c>
      <c r="K1393">
        <v>1.107985</v>
      </c>
      <c r="L1393">
        <v>282.8082</v>
      </c>
      <c r="M1393">
        <v>-0.99982179999999998</v>
      </c>
      <c r="N1393">
        <v>0</v>
      </c>
      <c r="O1393">
        <v>1.8094840000000001E-2</v>
      </c>
      <c r="P1393">
        <v>-0.99542350000000002</v>
      </c>
      <c r="Q1393">
        <v>8.8304220000000003E-2</v>
      </c>
      <c r="R1393">
        <v>3.6537359999999998E-2</v>
      </c>
      <c r="S1393">
        <v>-3.0327000000000002</v>
      </c>
      <c r="T1393">
        <v>-0.19772139999999999</v>
      </c>
      <c r="U1393">
        <v>-1.7547610000000002E-2</v>
      </c>
      <c r="V1393">
        <v>1.8405879999999999E-2</v>
      </c>
      <c r="W1393">
        <v>9.3697069999999993E-2</v>
      </c>
      <c r="X1393">
        <v>0.99543060000000005</v>
      </c>
      <c r="Y1393">
        <v>-2.379096E-2</v>
      </c>
      <c r="Z1393">
        <v>-1.953158E-3</v>
      </c>
      <c r="AA1393">
        <v>0.99971500000000002</v>
      </c>
      <c r="AB1393">
        <v>40</v>
      </c>
      <c r="AC1393">
        <v>-16.592500000000001</v>
      </c>
      <c r="AD1393">
        <v>-1.1079835933689901</v>
      </c>
      <c r="AE1393">
        <v>-0.105399999999974</v>
      </c>
      <c r="AF1393">
        <v>-0.40382511440881502</v>
      </c>
      <c r="AG1393">
        <v>-1.1079835933689901</v>
      </c>
      <c r="AH1393">
        <v>16.5142411219759</v>
      </c>
      <c r="AI1393">
        <v>93.837227456092705</v>
      </c>
      <c r="AJ1393">
        <v>91.400782783023701</v>
      </c>
      <c r="AK1393">
        <v>16.556293733833101</v>
      </c>
      <c r="AL1393">
        <v>84.623667073785199</v>
      </c>
      <c r="AM1393">
        <v>88.940700554937294</v>
      </c>
      <c r="AN1393">
        <v>0.99999999838075904</v>
      </c>
    </row>
    <row r="1394" spans="1:40" x14ac:dyDescent="0.25">
      <c r="A1394" t="str">
        <f>"20190312164501573"</f>
        <v>20190312164501573</v>
      </c>
      <c r="B1394" t="str">
        <f>"1552380301563152"</f>
        <v>1552380301563152</v>
      </c>
      <c r="C1394" t="s">
        <v>40</v>
      </c>
      <c r="D1394">
        <v>4.994103</v>
      </c>
      <c r="E1394">
        <v>0.48831659999999999</v>
      </c>
      <c r="F1394" t="s">
        <v>47</v>
      </c>
      <c r="G1394">
        <v>-265.42410000000001</v>
      </c>
      <c r="H1394" s="1">
        <v>1.3496580000000001E-6</v>
      </c>
      <c r="I1394">
        <v>282.7097</v>
      </c>
      <c r="J1394">
        <v>-249.17070000000001</v>
      </c>
      <c r="K1394">
        <v>1.107952</v>
      </c>
      <c r="L1394">
        <v>282.81229999999999</v>
      </c>
      <c r="M1394">
        <v>-0.99982579999999999</v>
      </c>
      <c r="N1394">
        <v>0</v>
      </c>
      <c r="O1394">
        <v>1.7876220000000002E-2</v>
      </c>
      <c r="P1394">
        <v>-0.99551520000000004</v>
      </c>
      <c r="Q1394">
        <v>8.7310899999999997E-2</v>
      </c>
      <c r="R1394">
        <v>3.6419729999999997E-2</v>
      </c>
      <c r="S1394">
        <v>-3.0325470000000001</v>
      </c>
      <c r="T1394">
        <v>-0.20381759999999999</v>
      </c>
      <c r="U1394">
        <v>-1.8127440000000002E-2</v>
      </c>
      <c r="V1394">
        <v>1.8510990000000001E-2</v>
      </c>
      <c r="W1394">
        <v>9.2702439999999997E-2</v>
      </c>
      <c r="X1394">
        <v>0.99552180000000001</v>
      </c>
      <c r="Y1394">
        <v>-2.37588E-2</v>
      </c>
      <c r="Z1394">
        <v>-1.997591E-3</v>
      </c>
      <c r="AA1394">
        <v>0.99971569999999998</v>
      </c>
      <c r="AB1394">
        <v>40</v>
      </c>
      <c r="AC1394">
        <v>-16.253399999999999</v>
      </c>
      <c r="AD1394">
        <v>-1.107950650342</v>
      </c>
      <c r="AE1394">
        <v>-0.102599999999995</v>
      </c>
      <c r="AF1394">
        <v>-0.39131884322096</v>
      </c>
      <c r="AG1394">
        <v>-1.107950650342</v>
      </c>
      <c r="AH1394">
        <v>16.1738154141274</v>
      </c>
      <c r="AI1394">
        <v>93.917652733812801</v>
      </c>
      <c r="AJ1394">
        <v>91.385977533239696</v>
      </c>
      <c r="AK1394">
        <v>16.2164419689067</v>
      </c>
      <c r="AL1394">
        <v>84.680904457614602</v>
      </c>
      <c r="AM1394">
        <v>88.934750204489404</v>
      </c>
      <c r="AN1394">
        <v>1.0000000267039799</v>
      </c>
    </row>
    <row r="1395" spans="1:40" x14ac:dyDescent="0.25">
      <c r="A1395" t="str">
        <f>"20190312164501594"</f>
        <v>20190312164501594</v>
      </c>
      <c r="B1395" t="str">
        <f>"1552380301582676"</f>
        <v>1552380301582676</v>
      </c>
      <c r="C1395" t="s">
        <v>40</v>
      </c>
      <c r="D1395">
        <v>4.8843629999999996</v>
      </c>
      <c r="E1395">
        <v>0.48831390000000002</v>
      </c>
      <c r="F1395" t="s">
        <v>47</v>
      </c>
      <c r="G1395">
        <v>-265.36450000000002</v>
      </c>
      <c r="H1395" s="1">
        <v>1.31793999999999E-6</v>
      </c>
      <c r="I1395">
        <v>282.71140000000003</v>
      </c>
      <c r="J1395">
        <v>-249.53630000000001</v>
      </c>
      <c r="K1395">
        <v>1.1078920000000001</v>
      </c>
      <c r="L1395">
        <v>282.8186</v>
      </c>
      <c r="M1395">
        <v>-0.99983100000000003</v>
      </c>
      <c r="N1395">
        <v>0</v>
      </c>
      <c r="O1395">
        <v>1.7578799999999999E-2</v>
      </c>
      <c r="P1395">
        <v>-0.99567070000000002</v>
      </c>
      <c r="Q1395">
        <v>8.5685869999999997E-2</v>
      </c>
      <c r="R1395">
        <v>3.6030510000000002E-2</v>
      </c>
      <c r="S1395">
        <v>-3.0323790000000002</v>
      </c>
      <c r="T1395">
        <v>-0.20746990000000001</v>
      </c>
      <c r="U1395">
        <v>-1.8890379999999998E-2</v>
      </c>
      <c r="V1395">
        <v>1.8427240000000001E-2</v>
      </c>
      <c r="W1395">
        <v>9.1076180000000007E-2</v>
      </c>
      <c r="X1395">
        <v>0.99567340000000004</v>
      </c>
      <c r="Y1395">
        <v>-2.371067E-2</v>
      </c>
      <c r="Z1395">
        <v>-2.0114479999999999E-3</v>
      </c>
      <c r="AA1395">
        <v>0.99971679999999996</v>
      </c>
      <c r="AB1395">
        <v>40</v>
      </c>
      <c r="AC1395">
        <v>-15.828200000000001</v>
      </c>
      <c r="AD1395">
        <v>-1.1078906820600001</v>
      </c>
      <c r="AE1395">
        <v>-0.10719999999997699</v>
      </c>
      <c r="AF1395">
        <v>-0.38354920360384398</v>
      </c>
      <c r="AG1395">
        <v>-1.1078906820600001</v>
      </c>
      <c r="AH1395">
        <v>15.746725881992401</v>
      </c>
      <c r="AI1395">
        <v>94.023331705030401</v>
      </c>
      <c r="AJ1395">
        <v>91.395299973429303</v>
      </c>
      <c r="AK1395">
        <v>15.7903105655839</v>
      </c>
      <c r="AL1395">
        <v>84.774477926739095</v>
      </c>
      <c r="AM1395">
        <v>88.939730076095103</v>
      </c>
      <c r="AN1395">
        <v>0.99999997660248396</v>
      </c>
    </row>
    <row r="1396" spans="1:40" x14ac:dyDescent="0.25">
      <c r="A1396" t="str">
        <f>"20190312164501615"</f>
        <v>20190312164501615</v>
      </c>
      <c r="B1396" t="str">
        <f>"1552380301612928"</f>
        <v>1552380301612928</v>
      </c>
      <c r="C1396" t="s">
        <v>40</v>
      </c>
      <c r="D1396">
        <v>4.8930339999999903</v>
      </c>
      <c r="E1396">
        <v>0.48822860000000001</v>
      </c>
      <c r="F1396" t="s">
        <v>47</v>
      </c>
      <c r="G1396">
        <v>-265.2242</v>
      </c>
      <c r="H1396" s="1">
        <v>1.2432509999999999E-6</v>
      </c>
      <c r="I1396">
        <v>282.71629999999999</v>
      </c>
      <c r="J1396">
        <v>-249.9228</v>
      </c>
      <c r="K1396">
        <v>1.1078220000000001</v>
      </c>
      <c r="L1396">
        <v>282.8252</v>
      </c>
      <c r="M1396">
        <v>-0.99983529999999998</v>
      </c>
      <c r="N1396">
        <v>0</v>
      </c>
      <c r="O1396">
        <v>1.73314E-2</v>
      </c>
      <c r="P1396">
        <v>-0.9957992</v>
      </c>
      <c r="Q1396">
        <v>8.4436159999999996E-2</v>
      </c>
      <c r="R1396">
        <v>3.5424110000000002E-2</v>
      </c>
      <c r="S1396">
        <v>-3.0321959999999999</v>
      </c>
      <c r="T1396">
        <v>-0.2141361</v>
      </c>
      <c r="U1396">
        <v>-1.977539E-2</v>
      </c>
      <c r="V1396">
        <v>1.8078980000000001E-2</v>
      </c>
      <c r="W1396">
        <v>8.9825340000000004E-2</v>
      </c>
      <c r="X1396">
        <v>0.99579340000000005</v>
      </c>
      <c r="Y1396">
        <v>-2.3749659999999999E-2</v>
      </c>
      <c r="Z1396">
        <v>-2.059969E-3</v>
      </c>
      <c r="AA1396">
        <v>0.99971580000000004</v>
      </c>
      <c r="AB1396">
        <v>40</v>
      </c>
      <c r="AC1396">
        <v>-15.301399999999999</v>
      </c>
      <c r="AD1396">
        <v>-1.1078207567489999</v>
      </c>
      <c r="AE1396">
        <v>-0.10890000000000501</v>
      </c>
      <c r="AF1396">
        <v>-0.37213164764561302</v>
      </c>
      <c r="AG1396">
        <v>-1.1078207567489999</v>
      </c>
      <c r="AH1396">
        <v>15.217452141372799</v>
      </c>
      <c r="AI1396">
        <v>94.162510710715196</v>
      </c>
      <c r="AJ1396">
        <v>91.400847131294498</v>
      </c>
      <c r="AK1396">
        <v>15.262260594919599</v>
      </c>
      <c r="AL1396">
        <v>84.846440724282303</v>
      </c>
      <c r="AM1396">
        <v>88.959889206643297</v>
      </c>
      <c r="AN1396">
        <v>0.99999996835375704</v>
      </c>
    </row>
    <row r="1397" spans="1:40" x14ac:dyDescent="0.25">
      <c r="A1397" t="str">
        <f>"20190312164501640"</f>
        <v>20190312164501640</v>
      </c>
      <c r="B1397" t="str">
        <f>"1552380301633425"</f>
        <v>1552380301633425</v>
      </c>
      <c r="C1397" t="s">
        <v>40</v>
      </c>
      <c r="D1397">
        <v>4.8927889999999996</v>
      </c>
      <c r="E1397">
        <v>0.48819040000000002</v>
      </c>
      <c r="F1397" t="s">
        <v>47</v>
      </c>
      <c r="G1397">
        <v>-265.34230000000002</v>
      </c>
      <c r="H1397" s="1">
        <v>1.306149E-6</v>
      </c>
      <c r="I1397">
        <v>282.7124</v>
      </c>
      <c r="J1397">
        <v>-250.3527</v>
      </c>
      <c r="K1397">
        <v>1.107748</v>
      </c>
      <c r="L1397">
        <v>282.83260000000001</v>
      </c>
      <c r="M1397">
        <v>-0.99983880000000003</v>
      </c>
      <c r="N1397">
        <v>0</v>
      </c>
      <c r="O1397">
        <v>1.713336E-2</v>
      </c>
      <c r="P1397">
        <v>-0.99583319999999997</v>
      </c>
      <c r="Q1397">
        <v>8.4241029999999995E-2</v>
      </c>
      <c r="R1397">
        <v>3.4927590000000001E-2</v>
      </c>
      <c r="S1397">
        <v>-3.031952</v>
      </c>
      <c r="T1397">
        <v>-0.21783140000000001</v>
      </c>
      <c r="U1397">
        <v>-2.2186279999999999E-2</v>
      </c>
      <c r="V1397">
        <v>1.7794049999999999E-2</v>
      </c>
      <c r="W1397">
        <v>8.963016E-2</v>
      </c>
      <c r="X1397">
        <v>0.99581620000000004</v>
      </c>
      <c r="Y1397">
        <v>-2.434246E-2</v>
      </c>
      <c r="Z1397">
        <v>-2.1026500000000002E-3</v>
      </c>
      <c r="AA1397">
        <v>0.99970139999999996</v>
      </c>
      <c r="AB1397">
        <v>40</v>
      </c>
      <c r="AC1397">
        <v>-14.989599999999999</v>
      </c>
      <c r="AD1397">
        <v>-1.1077466938510001</v>
      </c>
      <c r="AE1397">
        <v>-0.12020000000001101</v>
      </c>
      <c r="AF1397">
        <v>-0.37496060657876001</v>
      </c>
      <c r="AG1397">
        <v>-1.1077466938510001</v>
      </c>
      <c r="AH1397">
        <v>14.903949595234399</v>
      </c>
      <c r="AI1397">
        <v>94.249394071139307</v>
      </c>
      <c r="AJ1397">
        <v>91.441170284342803</v>
      </c>
      <c r="AK1397">
        <v>14.9497629322846</v>
      </c>
      <c r="AL1397">
        <v>84.857669421857906</v>
      </c>
      <c r="AM1397">
        <v>88.976301573711396</v>
      </c>
      <c r="AN1397">
        <v>1.0000000489897301</v>
      </c>
    </row>
    <row r="1398" spans="1:40" x14ac:dyDescent="0.25">
      <c r="A1398" t="str">
        <f>"20190312164501662"</f>
        <v>20190312164501662</v>
      </c>
      <c r="B1398" t="str">
        <f>"1552380301652945"</f>
        <v>1552380301652945</v>
      </c>
      <c r="C1398" t="s">
        <v>40</v>
      </c>
      <c r="D1398">
        <v>5.0599569999999998</v>
      </c>
      <c r="E1398">
        <v>0.4881568</v>
      </c>
      <c r="F1398" t="s">
        <v>47</v>
      </c>
      <c r="G1398">
        <v>-265.69760000000002</v>
      </c>
      <c r="H1398" s="1">
        <v>1.4951699999999999E-6</v>
      </c>
      <c r="I1398">
        <v>282.71019999999999</v>
      </c>
      <c r="J1398">
        <v>-250.76859999999999</v>
      </c>
      <c r="K1398">
        <v>1.107685</v>
      </c>
      <c r="L1398">
        <v>282.83960000000002</v>
      </c>
      <c r="M1398">
        <v>-0.99984090000000003</v>
      </c>
      <c r="N1398">
        <v>0</v>
      </c>
      <c r="O1398">
        <v>1.700509E-2</v>
      </c>
      <c r="P1398">
        <v>-0.99590299999999998</v>
      </c>
      <c r="Q1398">
        <v>8.3630930000000006E-2</v>
      </c>
      <c r="R1398">
        <v>3.4395679999999998E-2</v>
      </c>
      <c r="S1398">
        <v>-3.0319060000000002</v>
      </c>
      <c r="T1398">
        <v>-0.2188737</v>
      </c>
      <c r="U1398">
        <v>-2.4169920000000001E-2</v>
      </c>
      <c r="V1398">
        <v>1.7401969999999999E-2</v>
      </c>
      <c r="W1398">
        <v>8.902177E-2</v>
      </c>
      <c r="X1398">
        <v>0.99587760000000003</v>
      </c>
      <c r="Y1398">
        <v>-2.4866300000000001E-2</v>
      </c>
      <c r="Z1398">
        <v>-2.1223499999999998E-3</v>
      </c>
      <c r="AA1398">
        <v>0.99968849999999998</v>
      </c>
      <c r="AB1398">
        <v>40</v>
      </c>
      <c r="AC1398">
        <v>-14.929</v>
      </c>
      <c r="AD1398">
        <v>-1.10768350483</v>
      </c>
      <c r="AE1398">
        <v>-0.12940000000003199</v>
      </c>
      <c r="AF1398">
        <v>-0.38115579263280502</v>
      </c>
      <c r="AG1398">
        <v>-1.10768350483</v>
      </c>
      <c r="AH1398">
        <v>14.842934170235701</v>
      </c>
      <c r="AI1398">
        <v>94.266499112704594</v>
      </c>
      <c r="AJ1398">
        <v>91.470990815643006</v>
      </c>
      <c r="AK1398">
        <v>14.889087858800499</v>
      </c>
      <c r="AL1398">
        <v>84.892666995399594</v>
      </c>
      <c r="AM1398">
        <v>88.998915154020196</v>
      </c>
      <c r="AN1398">
        <v>0.999999949137785</v>
      </c>
    </row>
    <row r="1399" spans="1:40" x14ac:dyDescent="0.25">
      <c r="A1399" t="str">
        <f>"20190312164501685"</f>
        <v>20190312164501685</v>
      </c>
      <c r="B1399" t="str">
        <f>"1552380301673441"</f>
        <v>1552380301673441</v>
      </c>
      <c r="C1399" t="s">
        <v>40</v>
      </c>
      <c r="D1399">
        <v>4.8937850000000003</v>
      </c>
      <c r="E1399">
        <v>0.48822310000000002</v>
      </c>
      <c r="F1399" t="s">
        <v>47</v>
      </c>
      <c r="G1399">
        <v>-265.96809999999999</v>
      </c>
      <c r="H1399" s="1">
        <v>1.639127E-6</v>
      </c>
      <c r="I1399">
        <v>282.70519999999999</v>
      </c>
      <c r="J1399">
        <v>-251.17490000000001</v>
      </c>
      <c r="K1399">
        <v>1.1076330000000001</v>
      </c>
      <c r="L1399">
        <v>282.84640000000002</v>
      </c>
      <c r="M1399">
        <v>-0.99984220000000001</v>
      </c>
      <c r="N1399">
        <v>0</v>
      </c>
      <c r="O1399">
        <v>1.6928370000000002E-2</v>
      </c>
      <c r="P1399">
        <v>-0.99597630000000004</v>
      </c>
      <c r="Q1399">
        <v>8.2912810000000003E-2</v>
      </c>
      <c r="R1399">
        <v>3.4010270000000002E-2</v>
      </c>
      <c r="S1399">
        <v>-3.0318149999999999</v>
      </c>
      <c r="T1399">
        <v>-0.22094820000000001</v>
      </c>
      <c r="U1399">
        <v>-2.6794430000000001E-2</v>
      </c>
      <c r="V1399">
        <v>1.7102940000000001E-2</v>
      </c>
      <c r="W1399">
        <v>8.8306480000000007E-2</v>
      </c>
      <c r="X1399">
        <v>0.99594649999999996</v>
      </c>
      <c r="Y1399">
        <v>-2.5651179999999999E-2</v>
      </c>
      <c r="Z1399">
        <v>-2.1654489999999998E-3</v>
      </c>
      <c r="AA1399">
        <v>0.99966860000000002</v>
      </c>
      <c r="AB1399">
        <v>41</v>
      </c>
      <c r="AC1399">
        <v>-14.793199999999899</v>
      </c>
      <c r="AD1399">
        <v>-1.107631360873</v>
      </c>
      <c r="AE1399">
        <v>-0.141200000000026</v>
      </c>
      <c r="AF1399">
        <v>-0.38942517644754998</v>
      </c>
      <c r="AG1399">
        <v>-1.107631360873</v>
      </c>
      <c r="AH1399">
        <v>14.706251595030899</v>
      </c>
      <c r="AI1399">
        <v>94.305712783601393</v>
      </c>
      <c r="AJ1399">
        <v>91.516851926098198</v>
      </c>
      <c r="AK1399">
        <v>14.7530449459083</v>
      </c>
      <c r="AL1399">
        <v>84.933812340330206</v>
      </c>
      <c r="AM1399">
        <v>89.016182123521403</v>
      </c>
      <c r="AN1399">
        <v>0.999999987914441</v>
      </c>
    </row>
    <row r="1400" spans="1:40" x14ac:dyDescent="0.25">
      <c r="A1400" t="str">
        <f>"20190312164501705"</f>
        <v>20190312164501705</v>
      </c>
      <c r="B1400" t="str">
        <f>"1552380301692961"</f>
        <v>1552380301692961</v>
      </c>
      <c r="C1400" t="s">
        <v>40</v>
      </c>
      <c r="D1400">
        <v>4.9189689999999997</v>
      </c>
      <c r="E1400">
        <v>0.48820429999999998</v>
      </c>
      <c r="F1400" t="s">
        <v>47</v>
      </c>
      <c r="G1400">
        <v>-266.21370000000002</v>
      </c>
      <c r="H1400" s="1">
        <v>1.7698040000000001E-6</v>
      </c>
      <c r="I1400">
        <v>282.70839999999998</v>
      </c>
      <c r="J1400">
        <v>-251.5498</v>
      </c>
      <c r="K1400">
        <v>1.107593</v>
      </c>
      <c r="L1400">
        <v>282.8528</v>
      </c>
      <c r="M1400">
        <v>-0.99984260000000003</v>
      </c>
      <c r="N1400">
        <v>0</v>
      </c>
      <c r="O1400">
        <v>1.689674E-2</v>
      </c>
      <c r="P1400">
        <v>-0.99594700000000003</v>
      </c>
      <c r="Q1400">
        <v>8.321547E-2</v>
      </c>
      <c r="R1400">
        <v>3.4131769999999999E-2</v>
      </c>
      <c r="S1400">
        <v>-3.0316619999999999</v>
      </c>
      <c r="T1400">
        <v>-0.22328690000000001</v>
      </c>
      <c r="U1400">
        <v>-2.7832030000000001E-2</v>
      </c>
      <c r="V1400">
        <v>1.7264950000000001E-2</v>
      </c>
      <c r="W1400">
        <v>8.8613300000000006E-2</v>
      </c>
      <c r="X1400">
        <v>0.99591649999999998</v>
      </c>
      <c r="Y1400">
        <v>-2.595896E-2</v>
      </c>
      <c r="Z1400">
        <v>-2.197409E-3</v>
      </c>
      <c r="AA1400">
        <v>0.99966060000000001</v>
      </c>
      <c r="AB1400">
        <v>41</v>
      </c>
      <c r="AC1400">
        <v>-14.6639</v>
      </c>
      <c r="AD1400">
        <v>-1.107591230196</v>
      </c>
      <c r="AE1400">
        <v>-0.14440000000001799</v>
      </c>
      <c r="AF1400">
        <v>-0.389930755678357</v>
      </c>
      <c r="AG1400">
        <v>-1.107591230196</v>
      </c>
      <c r="AH1400">
        <v>14.5762165016799</v>
      </c>
      <c r="AI1400">
        <v>94.343789897842399</v>
      </c>
      <c r="AJ1400">
        <v>91.5323633219502</v>
      </c>
      <c r="AK1400">
        <v>14.623436389278501</v>
      </c>
      <c r="AL1400">
        <v>84.916163902604495</v>
      </c>
      <c r="AM1400">
        <v>89.006834718146607</v>
      </c>
      <c r="AN1400">
        <v>1.0000000352038201</v>
      </c>
    </row>
    <row r="1401" spans="1:40" x14ac:dyDescent="0.25">
      <c r="A1401" t="str">
        <f>"20190312164501719"</f>
        <v>20190312164501719</v>
      </c>
      <c r="B1401" t="str">
        <f>"1552380301713458"</f>
        <v>1552380301713458</v>
      </c>
      <c r="C1401" t="s">
        <v>40</v>
      </c>
      <c r="D1401">
        <v>5.0595499999999998</v>
      </c>
      <c r="E1401">
        <v>0.48818489999999998</v>
      </c>
      <c r="F1401" t="s">
        <v>47</v>
      </c>
      <c r="G1401">
        <v>-266.6456</v>
      </c>
      <c r="H1401" s="1">
        <v>1.9996479999999999E-6</v>
      </c>
      <c r="I1401">
        <v>282.71179999999998</v>
      </c>
      <c r="J1401">
        <v>-251.7902</v>
      </c>
      <c r="K1401">
        <v>1.1075660000000001</v>
      </c>
      <c r="L1401">
        <v>282.8569</v>
      </c>
      <c r="M1401">
        <v>-0.99984260000000003</v>
      </c>
      <c r="N1401">
        <v>0</v>
      </c>
      <c r="O1401">
        <v>1.6895230000000001E-2</v>
      </c>
      <c r="P1401">
        <v>-0.99590809999999996</v>
      </c>
      <c r="Q1401">
        <v>8.3546789999999996E-2</v>
      </c>
      <c r="R1401">
        <v>3.4455390000000002E-2</v>
      </c>
      <c r="S1401">
        <v>-3.0317539999999998</v>
      </c>
      <c r="T1401">
        <v>-0.22244240000000001</v>
      </c>
      <c r="U1401">
        <v>-2.8320310000000001E-2</v>
      </c>
      <c r="V1401">
        <v>1.7595590000000001E-2</v>
      </c>
      <c r="W1401">
        <v>8.8947200000000004E-2</v>
      </c>
      <c r="X1401">
        <v>0.99588089999999996</v>
      </c>
      <c r="Y1401">
        <v>-2.6118619999999999E-2</v>
      </c>
      <c r="Z1401">
        <v>-2.1947910000000002E-3</v>
      </c>
      <c r="AA1401">
        <v>0.9996564</v>
      </c>
      <c r="AB1401">
        <v>41</v>
      </c>
      <c r="AC1401">
        <v>-14.855399999999999</v>
      </c>
      <c r="AD1401">
        <v>-1.107564000352</v>
      </c>
      <c r="AE1401">
        <v>-0.145100000000013</v>
      </c>
      <c r="AF1401">
        <v>-0.39387914309470001</v>
      </c>
      <c r="AG1401">
        <v>-1.107564000352</v>
      </c>
      <c r="AH1401">
        <v>14.768741659643901</v>
      </c>
      <c r="AI1401">
        <v>94.287281093460194</v>
      </c>
      <c r="AJ1401">
        <v>91.527703898493598</v>
      </c>
      <c r="AK1401">
        <v>14.8154503476452</v>
      </c>
      <c r="AL1401">
        <v>84.896956757793703</v>
      </c>
      <c r="AM1401">
        <v>88.987782415314896</v>
      </c>
      <c r="AN1401">
        <v>0.99999998808004897</v>
      </c>
    </row>
    <row r="1402" spans="1:40" x14ac:dyDescent="0.25">
      <c r="A1402" t="str">
        <f>"20190312164501732"</f>
        <v>20190312164501732</v>
      </c>
      <c r="B1402" t="str">
        <f>"1552380301723218"</f>
        <v>1552380301723218</v>
      </c>
      <c r="C1402" t="s">
        <v>40</v>
      </c>
      <c r="D1402">
        <v>4.9809599999999996</v>
      </c>
      <c r="E1402">
        <v>0.48818810000000001</v>
      </c>
      <c r="F1402" t="s">
        <v>47</v>
      </c>
      <c r="G1402">
        <v>-266.9264</v>
      </c>
      <c r="H1402" s="1">
        <v>2.1490979999999998E-6</v>
      </c>
      <c r="I1402">
        <v>282.71749999999997</v>
      </c>
      <c r="J1402">
        <v>-252.0377</v>
      </c>
      <c r="K1402">
        <v>1.10754</v>
      </c>
      <c r="L1402">
        <v>282.86099999999999</v>
      </c>
      <c r="M1402">
        <v>-0.99984249999999997</v>
      </c>
      <c r="N1402">
        <v>0</v>
      </c>
      <c r="O1402">
        <v>1.690235E-2</v>
      </c>
      <c r="P1402">
        <v>-0.99586520000000001</v>
      </c>
      <c r="Q1402">
        <v>8.3806080000000005E-2</v>
      </c>
      <c r="R1402">
        <v>3.5061799999999997E-2</v>
      </c>
      <c r="S1402">
        <v>-3.0319210000000001</v>
      </c>
      <c r="T1402">
        <v>-0.22185479999999999</v>
      </c>
      <c r="U1402">
        <v>-2.792358E-2</v>
      </c>
      <c r="V1402">
        <v>1.8200460000000002E-2</v>
      </c>
      <c r="W1402">
        <v>8.9209369999999996E-2</v>
      </c>
      <c r="X1402">
        <v>0.99584660000000003</v>
      </c>
      <c r="Y1402">
        <v>-2.5995359999999999E-2</v>
      </c>
      <c r="Z1402">
        <v>-2.1849069999999998E-3</v>
      </c>
      <c r="AA1402">
        <v>0.99965970000000004</v>
      </c>
      <c r="AB1402">
        <v>41</v>
      </c>
      <c r="AC1402">
        <v>-14.8887</v>
      </c>
      <c r="AD1402">
        <v>-1.107537850902</v>
      </c>
      <c r="AE1402">
        <v>-0.143500000000017</v>
      </c>
      <c r="AF1402">
        <v>-0.39296292637216501</v>
      </c>
      <c r="AG1402">
        <v>-1.107537850902</v>
      </c>
      <c r="AH1402">
        <v>14.8022461753808</v>
      </c>
      <c r="AI1402">
        <v>94.277526235128903</v>
      </c>
      <c r="AJ1402">
        <v>91.520703670412402</v>
      </c>
      <c r="AK1402">
        <v>14.848823245943001</v>
      </c>
      <c r="AL1402">
        <v>84.881875680080398</v>
      </c>
      <c r="AM1402">
        <v>88.952957756669704</v>
      </c>
      <c r="AN1402">
        <v>1.0000000095857799</v>
      </c>
    </row>
    <row r="1403" spans="1:40" x14ac:dyDescent="0.25">
      <c r="A1403" t="str">
        <f>"20190312164501751"</f>
        <v>20190312164501751</v>
      </c>
      <c r="B1403" t="str">
        <f>"1552380301742740"</f>
        <v>1552380301742740</v>
      </c>
      <c r="C1403" t="s">
        <v>40</v>
      </c>
      <c r="D1403">
        <v>5.0307269999999997</v>
      </c>
      <c r="E1403">
        <v>0.4882148</v>
      </c>
      <c r="F1403" t="s">
        <v>41</v>
      </c>
      <c r="G1403">
        <v>-253.07069999999999</v>
      </c>
      <c r="H1403">
        <v>1.0323290000000001</v>
      </c>
      <c r="I1403">
        <v>282.85230000000001</v>
      </c>
      <c r="J1403">
        <v>-252.3895</v>
      </c>
      <c r="K1403">
        <v>1.107507</v>
      </c>
      <c r="L1403">
        <v>282.86700000000002</v>
      </c>
      <c r="M1403">
        <v>-0.99984200000000001</v>
      </c>
      <c r="N1403">
        <v>0</v>
      </c>
      <c r="O1403">
        <v>1.6930980000000002E-2</v>
      </c>
      <c r="P1403">
        <v>-0.99588140000000003</v>
      </c>
      <c r="Q1403">
        <v>8.3151509999999998E-2</v>
      </c>
      <c r="R1403">
        <v>3.6144129999999997E-2</v>
      </c>
      <c r="S1403">
        <v>-3.0319820000000002</v>
      </c>
      <c r="T1403">
        <v>-0.22090609999999999</v>
      </c>
      <c r="U1403">
        <v>-2.6184079999999998E-2</v>
      </c>
      <c r="V1403">
        <v>1.9260699999999999E-2</v>
      </c>
      <c r="W1403">
        <v>8.856058E-2</v>
      </c>
      <c r="X1403">
        <v>0.99588449999999995</v>
      </c>
      <c r="Y1403">
        <v>-2.5452659999999998E-2</v>
      </c>
      <c r="Z1403">
        <v>-2.1578869999999998E-3</v>
      </c>
      <c r="AA1403">
        <v>0.9996737</v>
      </c>
      <c r="AB1403">
        <v>41</v>
      </c>
      <c r="AC1403">
        <v>-0.68119999999998904</v>
      </c>
      <c r="AD1403">
        <v>-7.5177999999999898E-2</v>
      </c>
      <c r="AE1403">
        <v>-1.47000000000048E-2</v>
      </c>
      <c r="AF1403">
        <v>-2.5915947101663301E-2</v>
      </c>
      <c r="AG1403">
        <v>-7.5177999999999898E-2</v>
      </c>
      <c r="AH1403">
        <v>0.67266450860516802</v>
      </c>
      <c r="AI1403">
        <v>96.3723109772898</v>
      </c>
      <c r="AJ1403">
        <v>92.206360426571806</v>
      </c>
      <c r="AK1403">
        <v>0.67734843997399796</v>
      </c>
      <c r="AL1403">
        <v>84.919195994634507</v>
      </c>
      <c r="AM1403">
        <v>88.8920208545305</v>
      </c>
      <c r="AN1403">
        <v>0.99999994411733595</v>
      </c>
    </row>
    <row r="1404" spans="1:40" x14ac:dyDescent="0.25">
      <c r="A1404" t="str">
        <f>"20190312164501772"</f>
        <v>20190312164501772</v>
      </c>
      <c r="B1404" t="str">
        <f>"1552380301763236"</f>
        <v>1552380301763236</v>
      </c>
      <c r="C1404" t="s">
        <v>40</v>
      </c>
      <c r="D1404">
        <v>5.2032299999999996</v>
      </c>
      <c r="E1404">
        <v>0.4881585</v>
      </c>
      <c r="F1404" t="s">
        <v>41</v>
      </c>
      <c r="G1404">
        <v>-253.43770000000001</v>
      </c>
      <c r="H1404">
        <v>1.030519</v>
      </c>
      <c r="I1404">
        <v>282.85930000000002</v>
      </c>
      <c r="J1404">
        <v>-252.79480000000001</v>
      </c>
      <c r="K1404">
        <v>1.107475</v>
      </c>
      <c r="L1404">
        <v>282.87389999999999</v>
      </c>
      <c r="M1404">
        <v>-0.99984099999999998</v>
      </c>
      <c r="N1404">
        <v>0</v>
      </c>
      <c r="O1404">
        <v>1.6981659999999999E-2</v>
      </c>
      <c r="P1404">
        <v>-0.99583569999999999</v>
      </c>
      <c r="Q1404">
        <v>8.2777820000000002E-2</v>
      </c>
      <c r="R1404">
        <v>3.8200820000000003E-2</v>
      </c>
      <c r="S1404">
        <v>-3.03186</v>
      </c>
      <c r="T1404">
        <v>-0.2227817</v>
      </c>
      <c r="U1404">
        <v>-2.2735600000000002E-2</v>
      </c>
      <c r="V1404">
        <v>2.127451E-2</v>
      </c>
      <c r="W1404">
        <v>8.819391E-2</v>
      </c>
      <c r="X1404">
        <v>0.99587610000000004</v>
      </c>
      <c r="Y1404">
        <v>-2.436756E-2</v>
      </c>
      <c r="Z1404">
        <v>-2.1401599999999999E-3</v>
      </c>
      <c r="AA1404">
        <v>0.99970079999999995</v>
      </c>
      <c r="AB1404">
        <v>41</v>
      </c>
      <c r="AC1404">
        <v>-0.64289999999999703</v>
      </c>
      <c r="AD1404">
        <v>-7.6955999999999997E-2</v>
      </c>
      <c r="AE1404">
        <v>-1.4599999999972999E-2</v>
      </c>
      <c r="AF1404">
        <v>-2.5155315438002299E-2</v>
      </c>
      <c r="AG1404">
        <v>-7.6955999999999997E-2</v>
      </c>
      <c r="AH1404">
        <v>0.63348716832180696</v>
      </c>
      <c r="AI1404">
        <v>96.920949375867295</v>
      </c>
      <c r="AJ1404">
        <v>92.273979077014403</v>
      </c>
      <c r="AK1404">
        <v>0.63863996763369502</v>
      </c>
      <c r="AL1404">
        <v>84.940287392946701</v>
      </c>
      <c r="AM1404">
        <v>88.776198907207402</v>
      </c>
      <c r="AN1404">
        <v>0.99999998854401895</v>
      </c>
    </row>
    <row r="1405" spans="1:40" x14ac:dyDescent="0.25">
      <c r="A1405" t="str">
        <f>"20190312164501795"</f>
        <v>20190312164501795</v>
      </c>
      <c r="B1405" t="str">
        <f>"1552380301782756"</f>
        <v>1552380301782756</v>
      </c>
      <c r="C1405" t="s">
        <v>40</v>
      </c>
      <c r="D1405">
        <v>4.9349910000000001</v>
      </c>
      <c r="E1405">
        <v>0.48817509999999997</v>
      </c>
      <c r="F1405" t="s">
        <v>41</v>
      </c>
      <c r="G1405">
        <v>-253.80850000000001</v>
      </c>
      <c r="H1405">
        <v>1.032821</v>
      </c>
      <c r="I1405">
        <v>282.86840000000001</v>
      </c>
      <c r="J1405">
        <v>-253.19980000000001</v>
      </c>
      <c r="K1405">
        <v>1.1074379999999999</v>
      </c>
      <c r="L1405">
        <v>282.88080000000002</v>
      </c>
      <c r="M1405">
        <v>-0.99983999999999995</v>
      </c>
      <c r="N1405">
        <v>0</v>
      </c>
      <c r="O1405">
        <v>1.7043510000000001E-2</v>
      </c>
      <c r="P1405">
        <v>-0.99576319999999996</v>
      </c>
      <c r="Q1405">
        <v>8.2899879999999995E-2</v>
      </c>
      <c r="R1405">
        <v>3.979481E-2</v>
      </c>
      <c r="S1405">
        <v>-3.0317690000000002</v>
      </c>
      <c r="T1405">
        <v>-0.22338179999999999</v>
      </c>
      <c r="U1405">
        <v>-1.690674E-2</v>
      </c>
      <c r="V1405">
        <v>2.2813980000000001E-2</v>
      </c>
      <c r="W1405">
        <v>8.8323100000000002E-2</v>
      </c>
      <c r="X1405">
        <v>0.99583060000000001</v>
      </c>
      <c r="Y1405">
        <v>-2.251191E-2</v>
      </c>
      <c r="Z1405">
        <v>-2.0822639999999999E-3</v>
      </c>
      <c r="AA1405">
        <v>0.99974439999999998</v>
      </c>
      <c r="AB1405">
        <v>41</v>
      </c>
      <c r="AC1405">
        <v>-0.60869999999999802</v>
      </c>
      <c r="AD1405">
        <v>-7.4616999999999906E-2</v>
      </c>
      <c r="AE1405">
        <v>-1.24000000000137E-2</v>
      </c>
      <c r="AF1405">
        <v>-2.2435736969815202E-2</v>
      </c>
      <c r="AG1405">
        <v>-7.4616999999999906E-2</v>
      </c>
      <c r="AH1405">
        <v>0.59939690820358704</v>
      </c>
      <c r="AI1405">
        <v>97.091147256478294</v>
      </c>
      <c r="AJ1405">
        <v>92.143610002933897</v>
      </c>
      <c r="AK1405">
        <v>0.60443999912844804</v>
      </c>
      <c r="AL1405">
        <v>84.932856490639296</v>
      </c>
      <c r="AM1405">
        <v>88.687611972333499</v>
      </c>
      <c r="AN1405">
        <v>1.0000000157866999</v>
      </c>
    </row>
    <row r="1406" spans="1:40" x14ac:dyDescent="0.25">
      <c r="A1406" t="str">
        <f>"20190312164501816"</f>
        <v>20190312164501816</v>
      </c>
      <c r="B1406" t="str">
        <f>"1552380301813009"</f>
        <v>1552380301813009</v>
      </c>
      <c r="C1406" t="s">
        <v>40</v>
      </c>
      <c r="D1406">
        <v>4.8978270000000004</v>
      </c>
      <c r="E1406">
        <v>0.48819499999999999</v>
      </c>
      <c r="F1406" t="s">
        <v>41</v>
      </c>
      <c r="G1406">
        <v>-254.1807</v>
      </c>
      <c r="H1406">
        <v>1.0353220000000001</v>
      </c>
      <c r="I1406">
        <v>282.87700000000001</v>
      </c>
      <c r="J1406">
        <v>-253.5992</v>
      </c>
      <c r="K1406">
        <v>1.1074139999999999</v>
      </c>
      <c r="L1406">
        <v>282.88760000000002</v>
      </c>
      <c r="M1406">
        <v>-0.99983869999999997</v>
      </c>
      <c r="N1406">
        <v>0</v>
      </c>
      <c r="O1406">
        <v>1.7112019999999999E-2</v>
      </c>
      <c r="P1406">
        <v>-0.99571209999999999</v>
      </c>
      <c r="Q1406">
        <v>8.2542359999999995E-2</v>
      </c>
      <c r="R1406">
        <v>4.1762399999999998E-2</v>
      </c>
      <c r="S1406">
        <v>-3.0317989999999999</v>
      </c>
      <c r="T1406">
        <v>-0.22297</v>
      </c>
      <c r="U1406">
        <v>-1.205444E-2</v>
      </c>
      <c r="V1406">
        <v>2.471893E-2</v>
      </c>
      <c r="W1406">
        <v>8.797162E-2</v>
      </c>
      <c r="X1406">
        <v>0.99581620000000004</v>
      </c>
      <c r="Y1406">
        <v>-2.0984639999999999E-2</v>
      </c>
      <c r="Z1406">
        <v>-2.0273650000000002E-3</v>
      </c>
      <c r="AA1406">
        <v>0.99977769999999999</v>
      </c>
      <c r="AB1406">
        <v>41</v>
      </c>
      <c r="AC1406">
        <v>-0.58150000000000501</v>
      </c>
      <c r="AD1406">
        <v>-7.2092000000000003E-2</v>
      </c>
      <c r="AE1406">
        <v>-1.06000000000108E-2</v>
      </c>
      <c r="AF1406">
        <v>-2.0238275972935801E-2</v>
      </c>
      <c r="AG1406">
        <v>-7.2092000000000003E-2</v>
      </c>
      <c r="AH1406">
        <v>0.57243799688346098</v>
      </c>
      <c r="AI1406">
        <v>97.173521640200605</v>
      </c>
      <c r="AJ1406">
        <v>92.024821963373697</v>
      </c>
      <c r="AK1406">
        <v>0.57731456291549199</v>
      </c>
      <c r="AL1406">
        <v>84.953073264054098</v>
      </c>
      <c r="AM1406">
        <v>88.578051272491606</v>
      </c>
      <c r="AN1406">
        <v>0.99999996780410405</v>
      </c>
    </row>
    <row r="1407" spans="1:40" x14ac:dyDescent="0.25">
      <c r="A1407" t="str">
        <f>"20190312164501829"</f>
        <v>20190312164501829</v>
      </c>
      <c r="B1407" t="str">
        <f>"1552380301822769"</f>
        <v>1552380301822769</v>
      </c>
      <c r="C1407" t="s">
        <v>40</v>
      </c>
      <c r="D1407">
        <v>5.0978139999999996</v>
      </c>
      <c r="E1407">
        <v>0.48820950000000002</v>
      </c>
      <c r="F1407" t="s">
        <v>41</v>
      </c>
      <c r="G1407">
        <v>-254.5531</v>
      </c>
      <c r="H1407">
        <v>1.0369630000000001</v>
      </c>
      <c r="I1407">
        <v>282.8861</v>
      </c>
      <c r="J1407">
        <v>-253.83519999999999</v>
      </c>
      <c r="K1407">
        <v>1.1074010000000001</v>
      </c>
      <c r="L1407">
        <v>282.89170000000001</v>
      </c>
      <c r="M1407">
        <v>-0.99983809999999995</v>
      </c>
      <c r="N1407">
        <v>0</v>
      </c>
      <c r="O1407">
        <v>1.715471E-2</v>
      </c>
      <c r="P1407">
        <v>-0.99564430000000004</v>
      </c>
      <c r="Q1407">
        <v>8.2876499999999895E-2</v>
      </c>
      <c r="R1407">
        <v>4.2707729999999999E-2</v>
      </c>
      <c r="S1407">
        <v>-3.0317080000000001</v>
      </c>
      <c r="T1407">
        <v>-0.22402520000000001</v>
      </c>
      <c r="U1407">
        <v>-5.4016109999999997E-3</v>
      </c>
      <c r="V1407">
        <v>2.5625229999999999E-2</v>
      </c>
      <c r="W1407">
        <v>8.8308380000000006E-2</v>
      </c>
      <c r="X1407">
        <v>0.99576350000000002</v>
      </c>
      <c r="Y1407">
        <v>-1.8838239999999999E-2</v>
      </c>
      <c r="Z1407">
        <v>-1.9609509999999998E-3</v>
      </c>
      <c r="AA1407">
        <v>0.99982059999999995</v>
      </c>
      <c r="AB1407">
        <v>41</v>
      </c>
      <c r="AC1407">
        <v>-0.71790000000001397</v>
      </c>
      <c r="AD1407">
        <v>-7.0438000000000195E-2</v>
      </c>
      <c r="AE1407">
        <v>-5.6000000000153696E-3</v>
      </c>
      <c r="AF1407">
        <v>-1.7743915446468299E-2</v>
      </c>
      <c r="AG1407">
        <v>-7.0438000000000195E-2</v>
      </c>
      <c r="AH1407">
        <v>0.71085537608540506</v>
      </c>
      <c r="AI1407">
        <v>95.657162260406196</v>
      </c>
      <c r="AJ1407">
        <v>91.429883534794698</v>
      </c>
      <c r="AK1407">
        <v>0.71455701248318504</v>
      </c>
      <c r="AL1407">
        <v>84.9337030374015</v>
      </c>
      <c r="AM1407">
        <v>88.525861264363201</v>
      </c>
      <c r="AN1407">
        <v>0.99999998516151301</v>
      </c>
    </row>
    <row r="1408" spans="1:40" x14ac:dyDescent="0.25">
      <c r="A1408" t="str">
        <f>"20190312164501852"</f>
        <v>20190312164501852</v>
      </c>
      <c r="B1408" t="str">
        <f>"1552380301843265"</f>
        <v>1552380301843265</v>
      </c>
      <c r="C1408" t="s">
        <v>40</v>
      </c>
      <c r="D1408">
        <v>4.9267320000000003</v>
      </c>
      <c r="E1408">
        <v>0.48463850000000003</v>
      </c>
      <c r="F1408" t="s">
        <v>41</v>
      </c>
      <c r="G1408">
        <v>-254.91839999999999</v>
      </c>
      <c r="H1408">
        <v>1.0275939999999999</v>
      </c>
      <c r="I1408">
        <v>282.89089999999999</v>
      </c>
      <c r="J1408">
        <v>-254.2603</v>
      </c>
      <c r="K1408">
        <v>1.107375</v>
      </c>
      <c r="L1408">
        <v>282.899</v>
      </c>
      <c r="M1408">
        <v>-0.99983670000000002</v>
      </c>
      <c r="N1408">
        <v>0</v>
      </c>
      <c r="O1408">
        <v>1.7234869999999999E-2</v>
      </c>
      <c r="P1408">
        <v>-0.99558279999999999</v>
      </c>
      <c r="Q1408">
        <v>8.2781569999999999E-2</v>
      </c>
      <c r="R1408">
        <v>4.4300119999999998E-2</v>
      </c>
      <c r="S1408">
        <v>-3.0317989999999999</v>
      </c>
      <c r="T1408">
        <v>-0.2234112</v>
      </c>
      <c r="U1408">
        <v>-2.3498540000000002E-3</v>
      </c>
      <c r="V1408">
        <v>2.7142960000000001E-2</v>
      </c>
      <c r="W1408">
        <v>8.8214319999999999E-2</v>
      </c>
      <c r="X1408">
        <v>0.9957317</v>
      </c>
      <c r="Y1408">
        <v>-1.791477E-2</v>
      </c>
      <c r="Z1408">
        <v>-1.92745E-3</v>
      </c>
      <c r="AA1408">
        <v>0.99983759999999999</v>
      </c>
      <c r="AB1408">
        <v>42</v>
      </c>
      <c r="AC1408">
        <v>-0.65809999999999003</v>
      </c>
      <c r="AD1408">
        <v>-7.9780999999999797E-2</v>
      </c>
      <c r="AE1408">
        <v>-8.1000000000130898E-3</v>
      </c>
      <c r="AF1408">
        <v>-1.9159693695369601E-2</v>
      </c>
      <c r="AG1408">
        <v>-7.9780999999999797E-2</v>
      </c>
      <c r="AH1408">
        <v>0.64833579290063903</v>
      </c>
      <c r="AI1408">
        <v>97.012236956801004</v>
      </c>
      <c r="AJ1408">
        <v>91.692718794940006</v>
      </c>
      <c r="AK1408">
        <v>0.65350700239523096</v>
      </c>
      <c r="AL1408">
        <v>84.9391137854291</v>
      </c>
      <c r="AM1408">
        <v>88.438543212674404</v>
      </c>
      <c r="AN1408">
        <v>1.0000000624577501</v>
      </c>
    </row>
    <row r="1409" spans="1:40" x14ac:dyDescent="0.25">
      <c r="A1409" t="str">
        <f>"20190312164501874"</f>
        <v>20190312164501874</v>
      </c>
      <c r="B1409" t="str">
        <f>"1552380301862785"</f>
        <v>1552380301862785</v>
      </c>
      <c r="C1409" t="s">
        <v>40</v>
      </c>
      <c r="D1409">
        <v>5.1656440000000003</v>
      </c>
      <c r="E1409">
        <v>0.4912705</v>
      </c>
      <c r="F1409" t="s">
        <v>41</v>
      </c>
      <c r="G1409">
        <v>-255.28800000000001</v>
      </c>
      <c r="H1409">
        <v>1.0197050000000001</v>
      </c>
      <c r="I1409">
        <v>282.88940000000002</v>
      </c>
      <c r="J1409">
        <v>-254.67320000000001</v>
      </c>
      <c r="K1409">
        <v>1.1073519999999999</v>
      </c>
      <c r="L1409">
        <v>282.90620000000001</v>
      </c>
      <c r="M1409">
        <v>-0.99983529999999998</v>
      </c>
      <c r="N1409">
        <v>0</v>
      </c>
      <c r="O1409">
        <v>1.7315199999999999E-2</v>
      </c>
      <c r="P1409">
        <v>-0.99556540000000004</v>
      </c>
      <c r="Q1409">
        <v>8.1829669999999993E-2</v>
      </c>
      <c r="R1409">
        <v>4.6410369999999999E-2</v>
      </c>
      <c r="S1409">
        <v>-3.036133</v>
      </c>
      <c r="T1409">
        <v>-0.2590846</v>
      </c>
      <c r="U1409">
        <v>-2.886963E-2</v>
      </c>
      <c r="V1409">
        <v>2.9176230000000001E-2</v>
      </c>
      <c r="W1409">
        <v>8.7259580000000003E-2</v>
      </c>
      <c r="X1409">
        <v>0.99575820000000004</v>
      </c>
      <c r="Y1409">
        <v>-2.6661689999999998E-2</v>
      </c>
      <c r="Z1409">
        <v>-2.6103369999999999E-3</v>
      </c>
      <c r="AA1409">
        <v>0.99964109999999995</v>
      </c>
      <c r="AB1409">
        <v>42</v>
      </c>
      <c r="AC1409">
        <v>-0.61479999999997403</v>
      </c>
      <c r="AD1409">
        <v>-8.7647000000000197E-2</v>
      </c>
      <c r="AE1409">
        <v>-1.6799999999989199E-2</v>
      </c>
      <c r="AF1409">
        <v>-2.6896784709704E-2</v>
      </c>
      <c r="AG1409">
        <v>-8.7647000000000197E-2</v>
      </c>
      <c r="AH1409">
        <v>0.60218728354814999</v>
      </c>
      <c r="AI1409">
        <v>98.272988190533695</v>
      </c>
      <c r="AJ1409">
        <v>92.557424762801404</v>
      </c>
      <c r="AK1409">
        <v>0.60912638926894302</v>
      </c>
      <c r="AL1409">
        <v>84.994027508348395</v>
      </c>
      <c r="AM1409">
        <v>88.321684221680101</v>
      </c>
      <c r="AN1409">
        <v>0.99999993978301205</v>
      </c>
    </row>
    <row r="1410" spans="1:40" x14ac:dyDescent="0.25">
      <c r="A1410" t="str">
        <f>"20190312164501894"</f>
        <v>20190312164501894</v>
      </c>
      <c r="B1410" t="str">
        <f>"1552380301883284"</f>
        <v>1552380301883284</v>
      </c>
      <c r="C1410" t="s">
        <v>40</v>
      </c>
      <c r="D1410">
        <v>5.2075550000000002</v>
      </c>
      <c r="E1410">
        <v>0.49491689999999999</v>
      </c>
      <c r="F1410" t="s">
        <v>41</v>
      </c>
      <c r="G1410">
        <v>-255.66669999999999</v>
      </c>
      <c r="H1410">
        <v>1.0297959999999999</v>
      </c>
      <c r="I1410">
        <v>282.91730000000001</v>
      </c>
      <c r="J1410">
        <v>-255.05950000000001</v>
      </c>
      <c r="K1410">
        <v>1.107332</v>
      </c>
      <c r="L1410">
        <v>282.91300000000001</v>
      </c>
      <c r="M1410">
        <v>-0.99983390000000005</v>
      </c>
      <c r="N1410">
        <v>0</v>
      </c>
      <c r="O1410">
        <v>1.739164E-2</v>
      </c>
      <c r="P1410">
        <v>-0.99552419999999997</v>
      </c>
      <c r="Q1410">
        <v>8.1225049999999993E-2</v>
      </c>
      <c r="R1410">
        <v>4.8315810000000001E-2</v>
      </c>
      <c r="S1410">
        <v>-3.0312809999999999</v>
      </c>
      <c r="T1410">
        <v>-0.2367291</v>
      </c>
      <c r="U1410">
        <v>3.3264160000000001E-2</v>
      </c>
      <c r="V1410">
        <v>3.100839E-2</v>
      </c>
      <c r="W1410">
        <v>8.6651069999999997E-2</v>
      </c>
      <c r="X1410">
        <v>0.99575599999999997</v>
      </c>
      <c r="Y1410">
        <v>-6.3472729999999996E-3</v>
      </c>
      <c r="Z1410">
        <v>-1.603501E-3</v>
      </c>
      <c r="AA1410">
        <v>0.99997849999999999</v>
      </c>
      <c r="AB1410">
        <v>42</v>
      </c>
      <c r="AC1410">
        <v>-0.60719999999997698</v>
      </c>
      <c r="AD1410">
        <v>-7.7535999999999994E-2</v>
      </c>
      <c r="AE1410">
        <v>4.3000000000006297E-3</v>
      </c>
      <c r="AF1410">
        <v>-6.1605628905263702E-3</v>
      </c>
      <c r="AG1410">
        <v>-7.7535999999999994E-2</v>
      </c>
      <c r="AH1410">
        <v>0.59744164466661598</v>
      </c>
      <c r="AI1410">
        <v>97.394129653968207</v>
      </c>
      <c r="AJ1410">
        <v>90.590788651226404</v>
      </c>
      <c r="AK1410">
        <v>0.60248344592451597</v>
      </c>
      <c r="AL1410">
        <v>85.029025279261205</v>
      </c>
      <c r="AM1410">
        <v>88.216354289723697</v>
      </c>
      <c r="AN1410">
        <v>0.99999996985926798</v>
      </c>
    </row>
    <row r="1411" spans="1:40" x14ac:dyDescent="0.25">
      <c r="A1411" t="str">
        <f>"20190312164501917"</f>
        <v>20190312164501917</v>
      </c>
      <c r="B1411" t="str">
        <f>"1552380301913536"</f>
        <v>1552380301913536</v>
      </c>
      <c r="C1411" t="s">
        <v>40</v>
      </c>
      <c r="D1411">
        <v>5.2061500000000001</v>
      </c>
      <c r="E1411">
        <v>0.52158099999999996</v>
      </c>
      <c r="F1411" t="s">
        <v>41</v>
      </c>
      <c r="G1411">
        <v>-256.04160000000002</v>
      </c>
      <c r="H1411">
        <v>1.0288139999999999</v>
      </c>
      <c r="I1411">
        <v>282.93520000000001</v>
      </c>
      <c r="J1411">
        <v>-255.4853</v>
      </c>
      <c r="K1411">
        <v>1.107308</v>
      </c>
      <c r="L1411">
        <v>282.92039999999997</v>
      </c>
      <c r="M1411">
        <v>-0.99983250000000001</v>
      </c>
      <c r="N1411">
        <v>0</v>
      </c>
      <c r="O1411">
        <v>1.7475939999999999E-2</v>
      </c>
      <c r="P1411">
        <v>-0.99530640000000004</v>
      </c>
      <c r="Q1411">
        <v>8.2074869999999994E-2</v>
      </c>
      <c r="R1411">
        <v>5.1273270000000003E-2</v>
      </c>
      <c r="S1411">
        <v>-3.0299680000000002</v>
      </c>
      <c r="T1411">
        <v>-0.24235029999999999</v>
      </c>
      <c r="U1411">
        <v>6.7932129999999993E-2</v>
      </c>
      <c r="V1411">
        <v>3.3887670000000002E-2</v>
      </c>
      <c r="W1411">
        <v>8.7494249999999996E-2</v>
      </c>
      <c r="X1411">
        <v>0.99558849999999999</v>
      </c>
      <c r="Y1411">
        <v>4.9790950000000002E-3</v>
      </c>
      <c r="Z1411">
        <v>-1.196517E-3</v>
      </c>
      <c r="AA1411">
        <v>0.99998690000000001</v>
      </c>
      <c r="AB1411">
        <v>42</v>
      </c>
      <c r="AC1411">
        <v>-0.556300000000021</v>
      </c>
      <c r="AD1411">
        <v>-7.8493999999999994E-2</v>
      </c>
      <c r="AE1411">
        <v>1.4800000000036499E-2</v>
      </c>
      <c r="AF1411">
        <v>4.9767179867379104E-3</v>
      </c>
      <c r="AG1411">
        <v>-7.8493999999999994E-2</v>
      </c>
      <c r="AH1411">
        <v>0.54561851950496898</v>
      </c>
      <c r="AI1411">
        <v>98.186204593340804</v>
      </c>
      <c r="AJ1411">
        <v>89.477405881709302</v>
      </c>
      <c r="AK1411">
        <v>0.55125823765701099</v>
      </c>
      <c r="AL1411">
        <v>84.980530786953196</v>
      </c>
      <c r="AM1411">
        <v>88.050528755077806</v>
      </c>
      <c r="AN1411">
        <v>1.00000003964666</v>
      </c>
    </row>
    <row r="1412" spans="1:40" x14ac:dyDescent="0.25">
      <c r="A1412" t="str">
        <f>"20190312164501940"</f>
        <v>20190312164501940</v>
      </c>
      <c r="B1412" t="str">
        <f>"1552380301933057"</f>
        <v>1552380301933057</v>
      </c>
      <c r="C1412" t="s">
        <v>40</v>
      </c>
      <c r="D1412">
        <v>5.0080739999999997</v>
      </c>
      <c r="E1412">
        <v>0.52003650000000001</v>
      </c>
      <c r="F1412" t="s">
        <v>41</v>
      </c>
      <c r="G1412">
        <v>-256.42320000000001</v>
      </c>
      <c r="H1412">
        <v>1.0425679999999999</v>
      </c>
      <c r="I1412">
        <v>283.01139999999998</v>
      </c>
      <c r="J1412">
        <v>-255.91759999999999</v>
      </c>
      <c r="K1412">
        <v>1.1072959999999901</v>
      </c>
      <c r="L1412">
        <v>282.928</v>
      </c>
      <c r="M1412">
        <v>-0.99983100000000003</v>
      </c>
      <c r="N1412">
        <v>0</v>
      </c>
      <c r="O1412">
        <v>1.7561739999999999E-2</v>
      </c>
      <c r="P1412">
        <v>-0.99509099999999995</v>
      </c>
      <c r="Q1412">
        <v>8.2940979999999997E-2</v>
      </c>
      <c r="R1412">
        <v>5.3991989999999997E-2</v>
      </c>
      <c r="S1412">
        <v>-3.0162659999999999</v>
      </c>
      <c r="T1412">
        <v>-0.2081749</v>
      </c>
      <c r="U1412">
        <v>0.29229739999999999</v>
      </c>
      <c r="V1412">
        <v>3.6526389999999999E-2</v>
      </c>
      <c r="W1412">
        <v>8.8349699999999906E-2</v>
      </c>
      <c r="X1412">
        <v>0.99541959999999996</v>
      </c>
      <c r="Y1412">
        <v>7.8815899999999994E-2</v>
      </c>
      <c r="Z1412">
        <v>1.502757E-3</v>
      </c>
      <c r="AA1412">
        <v>0.996888</v>
      </c>
      <c r="AB1412">
        <v>42</v>
      </c>
      <c r="AC1412">
        <v>-0.50560000000001504</v>
      </c>
      <c r="AD1412">
        <v>-6.4727999999999897E-2</v>
      </c>
      <c r="AE1412">
        <v>8.3399999999983196E-2</v>
      </c>
      <c r="AF1412">
        <v>7.3337649558821605E-2</v>
      </c>
      <c r="AG1412">
        <v>-6.4727999999999897E-2</v>
      </c>
      <c r="AH1412">
        <v>0.49902449396249898</v>
      </c>
      <c r="AI1412">
        <v>97.312834142905402</v>
      </c>
      <c r="AJ1412">
        <v>81.639542762434502</v>
      </c>
      <c r="AK1412">
        <v>0.50852096358099197</v>
      </c>
      <c r="AL1412">
        <v>84.931326429175002</v>
      </c>
      <c r="AM1412">
        <v>87.898504876430394</v>
      </c>
      <c r="AN1412">
        <v>1.0000000133603399</v>
      </c>
    </row>
    <row r="1413" spans="1:40" x14ac:dyDescent="0.25">
      <c r="A1413" t="str">
        <f>"20190312164501962"</f>
        <v>20190312164501962</v>
      </c>
      <c r="B1413" t="str">
        <f>"1552380301953086"</f>
        <v>1552380301953086</v>
      </c>
      <c r="C1413" t="s">
        <v>40</v>
      </c>
      <c r="D1413">
        <v>5.1630760000000002</v>
      </c>
      <c r="E1413">
        <v>0.51922089999999999</v>
      </c>
      <c r="F1413" t="s">
        <v>41</v>
      </c>
      <c r="G1413">
        <v>-256.80239999999998</v>
      </c>
      <c r="H1413">
        <v>1.045104</v>
      </c>
      <c r="I1413">
        <v>283.01240000000001</v>
      </c>
      <c r="J1413">
        <v>-256.34640000000002</v>
      </c>
      <c r="K1413">
        <v>1.1072759999999999</v>
      </c>
      <c r="L1413">
        <v>282.9357</v>
      </c>
      <c r="M1413">
        <v>-0.99982959999999999</v>
      </c>
      <c r="N1413">
        <v>0</v>
      </c>
      <c r="O1413">
        <v>1.7646760000000001E-2</v>
      </c>
      <c r="P1413">
        <v>-0.99497869999999999</v>
      </c>
      <c r="Q1413">
        <v>8.2768889999999998E-2</v>
      </c>
      <c r="R1413">
        <v>5.6274280000000003E-2</v>
      </c>
      <c r="S1413">
        <v>-3.0169069999999998</v>
      </c>
      <c r="T1413">
        <v>-0.21218809999999999</v>
      </c>
      <c r="U1413">
        <v>0.2869873</v>
      </c>
      <c r="V1413">
        <v>3.8727089999999999E-2</v>
      </c>
      <c r="W1413">
        <v>8.8160189999999999E-2</v>
      </c>
      <c r="X1413">
        <v>0.99535320000000005</v>
      </c>
      <c r="Y1413">
        <v>7.6971209999999998E-2</v>
      </c>
      <c r="Z1413">
        <v>1.4608550000000001E-3</v>
      </c>
      <c r="AA1413">
        <v>0.99703220000000004</v>
      </c>
      <c r="AB1413">
        <v>42</v>
      </c>
      <c r="AC1413">
        <v>-0.45599999999995999</v>
      </c>
      <c r="AD1413">
        <v>-6.2171999999999797E-2</v>
      </c>
      <c r="AE1413">
        <v>7.6700000000016602E-2</v>
      </c>
      <c r="AF1413">
        <v>6.7422176426052596E-2</v>
      </c>
      <c r="AG1413">
        <v>-6.2171999999999797E-2</v>
      </c>
      <c r="AH1413">
        <v>0.44916268142982302</v>
      </c>
      <c r="AI1413">
        <v>97.794435181266806</v>
      </c>
      <c r="AJ1413">
        <v>81.463274443013205</v>
      </c>
      <c r="AK1413">
        <v>0.45843017117905199</v>
      </c>
      <c r="AL1413">
        <v>84.942227018075002</v>
      </c>
      <c r="AM1413">
        <v>87.7718661557914</v>
      </c>
      <c r="AN1413">
        <v>0.99999999967547204</v>
      </c>
    </row>
    <row r="1414" spans="1:40" x14ac:dyDescent="0.25">
      <c r="A1414" t="str">
        <f>"20190312164501985"</f>
        <v>20190312164501985</v>
      </c>
      <c r="B1414" t="str">
        <f>"1552380301972609"</f>
        <v>1552380301972609</v>
      </c>
      <c r="C1414" t="s">
        <v>40</v>
      </c>
      <c r="D1414">
        <v>5.006869</v>
      </c>
      <c r="E1414">
        <v>0.51816399999999996</v>
      </c>
      <c r="F1414" t="s">
        <v>41</v>
      </c>
      <c r="G1414">
        <v>-257.18189999999998</v>
      </c>
      <c r="H1414">
        <v>1.0459590000000001</v>
      </c>
      <c r="I1414">
        <v>283.01499999999999</v>
      </c>
      <c r="J1414">
        <v>-256.75560000000002</v>
      </c>
      <c r="K1414">
        <v>1.1072649999999999</v>
      </c>
      <c r="L1414">
        <v>282.94290000000001</v>
      </c>
      <c r="M1414">
        <v>-0.9998283</v>
      </c>
      <c r="N1414">
        <v>0</v>
      </c>
      <c r="O1414">
        <v>1.7728379999999998E-2</v>
      </c>
      <c r="P1414">
        <v>-0.99487559999999997</v>
      </c>
      <c r="Q1414">
        <v>8.2749630000000005E-2</v>
      </c>
      <c r="R1414">
        <v>5.8095000000000001E-2</v>
      </c>
      <c r="S1414">
        <v>-3.017395</v>
      </c>
      <c r="T1414">
        <v>-0.2215297</v>
      </c>
      <c r="U1414">
        <v>0.28607179999999999</v>
      </c>
      <c r="V1414">
        <v>4.0469089999999999E-2</v>
      </c>
      <c r="W1414">
        <v>8.8120290000000004E-2</v>
      </c>
      <c r="X1414">
        <v>0.99528740000000004</v>
      </c>
      <c r="Y1414">
        <v>7.6563099999999995E-2</v>
      </c>
      <c r="Z1414">
        <v>1.5038810000000001E-3</v>
      </c>
      <c r="AA1414">
        <v>0.99706360000000005</v>
      </c>
      <c r="AB1414">
        <v>42</v>
      </c>
      <c r="AC1414">
        <v>-0.42629999999996898</v>
      </c>
      <c r="AD1414">
        <v>-6.1305999999999798E-2</v>
      </c>
      <c r="AE1414">
        <v>7.2099999999977599E-2</v>
      </c>
      <c r="AF1414">
        <v>6.3259060433346503E-2</v>
      </c>
      <c r="AG1414">
        <v>-6.1305999999999798E-2</v>
      </c>
      <c r="AH1414">
        <v>0.41908509038444802</v>
      </c>
      <c r="AI1414">
        <v>98.230563356603795</v>
      </c>
      <c r="AJ1414">
        <v>81.416253727162299</v>
      </c>
      <c r="AK1414">
        <v>0.42824344401922898</v>
      </c>
      <c r="AL1414">
        <v>84.944521904793206</v>
      </c>
      <c r="AM1414">
        <v>87.671595672659294</v>
      </c>
      <c r="AN1414">
        <v>0.99999997067693502</v>
      </c>
    </row>
    <row r="1415" spans="1:40" x14ac:dyDescent="0.25">
      <c r="A1415" t="str">
        <f>"20190312164502006"</f>
        <v>20190312164502006</v>
      </c>
      <c r="B1415" t="str">
        <f>"1552380302002862"</f>
        <v>1552380302002862</v>
      </c>
      <c r="C1415" t="s">
        <v>40</v>
      </c>
      <c r="D1415">
        <v>5.2352670000000003</v>
      </c>
      <c r="E1415">
        <v>0.51738450000000002</v>
      </c>
      <c r="F1415" t="s">
        <v>41</v>
      </c>
      <c r="G1415">
        <v>-257.56220000000002</v>
      </c>
      <c r="H1415">
        <v>1.0463530000000001</v>
      </c>
      <c r="I1415">
        <v>283.0188</v>
      </c>
      <c r="J1415">
        <v>-257.1694</v>
      </c>
      <c r="K1415">
        <v>1.1072500000000001</v>
      </c>
      <c r="L1415">
        <v>282.95030000000003</v>
      </c>
      <c r="M1415">
        <v>-0.99982700000000002</v>
      </c>
      <c r="N1415">
        <v>0</v>
      </c>
      <c r="O1415">
        <v>1.781114E-2</v>
      </c>
      <c r="P1415">
        <v>-0.99475690000000005</v>
      </c>
      <c r="Q1415">
        <v>8.314001E-2</v>
      </c>
      <c r="R1415">
        <v>5.9553309999999998E-2</v>
      </c>
      <c r="S1415">
        <v>-3.0179140000000002</v>
      </c>
      <c r="T1415">
        <v>-0.22816500000000001</v>
      </c>
      <c r="U1415">
        <v>0.28256229999999999</v>
      </c>
      <c r="V1415">
        <v>4.1847870000000002E-2</v>
      </c>
      <c r="W1415">
        <v>8.8487919999999998E-2</v>
      </c>
      <c r="X1415">
        <v>0.99519780000000002</v>
      </c>
      <c r="Y1415">
        <v>7.5309420000000002E-2</v>
      </c>
      <c r="Z1415">
        <v>1.4951649999999999E-3</v>
      </c>
      <c r="AA1415">
        <v>0.99715909999999996</v>
      </c>
      <c r="AB1415">
        <v>42</v>
      </c>
      <c r="AC1415">
        <v>-0.39280000000002202</v>
      </c>
      <c r="AD1415">
        <v>-6.0896999999999903E-2</v>
      </c>
      <c r="AE1415">
        <v>6.8499999999971806E-2</v>
      </c>
      <c r="AF1415">
        <v>6.0091138179990199E-2</v>
      </c>
      <c r="AG1415">
        <v>-6.0896999999999903E-2</v>
      </c>
      <c r="AH1415">
        <v>0.38497782021321902</v>
      </c>
      <c r="AI1415">
        <v>98.882933266030804</v>
      </c>
      <c r="AJ1415">
        <v>81.1282971468749</v>
      </c>
      <c r="AK1415">
        <v>0.39436951143931998</v>
      </c>
      <c r="AL1415">
        <v>84.923375843469699</v>
      </c>
      <c r="AM1415">
        <v>87.592142352780698</v>
      </c>
      <c r="AN1415">
        <v>1.0000000086671501</v>
      </c>
    </row>
    <row r="1416" spans="1:40" x14ac:dyDescent="0.25">
      <c r="A1416" t="str">
        <f>"20190312164502030"</f>
        <v>20190312164502030</v>
      </c>
      <c r="B1416" t="str">
        <f>"1552380302023358"</f>
        <v>1552380302023358</v>
      </c>
      <c r="C1416" t="s">
        <v>40</v>
      </c>
      <c r="D1416">
        <v>5.5949739999999997</v>
      </c>
      <c r="E1416">
        <v>0.51693909999999998</v>
      </c>
      <c r="F1416" t="s">
        <v>41</v>
      </c>
      <c r="G1416">
        <v>-257.94659999999999</v>
      </c>
      <c r="H1416">
        <v>1.0507839999999999</v>
      </c>
      <c r="I1416">
        <v>283.02289999999999</v>
      </c>
      <c r="J1416">
        <v>-257.61020000000002</v>
      </c>
      <c r="K1416">
        <v>1.1072420000000001</v>
      </c>
      <c r="L1416">
        <v>282.95819999999998</v>
      </c>
      <c r="M1416">
        <v>-0.99982550000000003</v>
      </c>
      <c r="N1416">
        <v>0</v>
      </c>
      <c r="O1416">
        <v>1.789961E-2</v>
      </c>
      <c r="P1416">
        <v>-0.99463469999999998</v>
      </c>
      <c r="Q1416">
        <v>8.3848530000000004E-2</v>
      </c>
      <c r="R1416">
        <v>6.0591289999999999E-2</v>
      </c>
      <c r="S1416">
        <v>-3.0172729999999999</v>
      </c>
      <c r="T1416">
        <v>-0.2192781</v>
      </c>
      <c r="U1416">
        <v>0.28134160000000002</v>
      </c>
      <c r="V1416">
        <v>4.280084E-2</v>
      </c>
      <c r="W1416">
        <v>8.9171360000000005E-2</v>
      </c>
      <c r="X1416">
        <v>0.99509630000000004</v>
      </c>
      <c r="Y1416">
        <v>7.4854660000000003E-2</v>
      </c>
      <c r="Z1416">
        <v>1.4145410000000001E-3</v>
      </c>
      <c r="AA1416">
        <v>0.99719349999999995</v>
      </c>
      <c r="AB1416">
        <v>43</v>
      </c>
      <c r="AC1416">
        <v>-0.336399999999969</v>
      </c>
      <c r="AD1416">
        <v>-5.6458000000000098E-2</v>
      </c>
      <c r="AE1416">
        <v>6.4700000000016106E-2</v>
      </c>
      <c r="AF1416">
        <v>5.7116707176575202E-2</v>
      </c>
      <c r="AG1416">
        <v>-5.6458000000000098E-2</v>
      </c>
      <c r="AH1416">
        <v>0.328579307372592</v>
      </c>
      <c r="AI1416">
        <v>99.608279644122604</v>
      </c>
      <c r="AJ1416">
        <v>80.138851053869999</v>
      </c>
      <c r="AK1416">
        <v>0.33825165962068299</v>
      </c>
      <c r="AL1416">
        <v>84.884062387519705</v>
      </c>
      <c r="AM1416">
        <v>87.537125901716905</v>
      </c>
      <c r="AN1416">
        <v>1.00000004481132</v>
      </c>
    </row>
    <row r="1417" spans="1:40" x14ac:dyDescent="0.25">
      <c r="A1417" t="str">
        <f>"20190312164502053"</f>
        <v>20190312164502053</v>
      </c>
      <c r="B1417" t="str">
        <f>"1552380302042878"</f>
        <v>1552380302042878</v>
      </c>
      <c r="C1417" t="s">
        <v>40</v>
      </c>
      <c r="D1417">
        <v>5.0492720000000002</v>
      </c>
      <c r="E1417">
        <v>0.51646389999999998</v>
      </c>
      <c r="F1417" t="s">
        <v>41</v>
      </c>
      <c r="G1417">
        <v>-258.70049999999998</v>
      </c>
      <c r="H1417">
        <v>1.0296270000000001</v>
      </c>
      <c r="I1417">
        <v>283.0598</v>
      </c>
      <c r="J1417">
        <v>-258.07060000000001</v>
      </c>
      <c r="K1417">
        <v>1.1072379999999999</v>
      </c>
      <c r="L1417">
        <v>282.9665</v>
      </c>
      <c r="M1417">
        <v>-0.99982389999999999</v>
      </c>
      <c r="N1417">
        <v>0</v>
      </c>
      <c r="O1417">
        <v>1.799255E-2</v>
      </c>
      <c r="P1417">
        <v>-0.99447649999999999</v>
      </c>
      <c r="Q1417">
        <v>8.5141610000000006E-2</v>
      </c>
      <c r="R1417">
        <v>6.137973E-2</v>
      </c>
      <c r="S1417">
        <v>-3.0171809999999999</v>
      </c>
      <c r="T1417">
        <v>-0.21486649999999999</v>
      </c>
      <c r="U1417">
        <v>0.28079219999999999</v>
      </c>
      <c r="V1417">
        <v>4.3500169999999998E-2</v>
      </c>
      <c r="W1417">
        <v>9.0439859999999997E-2</v>
      </c>
      <c r="X1417">
        <v>0.99495140000000004</v>
      </c>
      <c r="Y1417">
        <v>7.4591580000000005E-2</v>
      </c>
      <c r="Z1417">
        <v>1.37028E-3</v>
      </c>
      <c r="AA1417">
        <v>0.99721320000000002</v>
      </c>
      <c r="AB1417">
        <v>43</v>
      </c>
      <c r="AC1417">
        <v>-0.62989999999996305</v>
      </c>
      <c r="AD1417">
        <v>-7.7610999999999805E-2</v>
      </c>
      <c r="AE1417">
        <v>9.3299999999999203E-2</v>
      </c>
      <c r="AF1417">
        <v>8.0751646566652305E-2</v>
      </c>
      <c r="AG1417">
        <v>-7.7610999999999805E-2</v>
      </c>
      <c r="AH1417">
        <v>0.62223336159932097</v>
      </c>
      <c r="AI1417">
        <v>97.051240569982497</v>
      </c>
      <c r="AJ1417">
        <v>82.6056467248968</v>
      </c>
      <c r="AK1417">
        <v>0.63223306780918798</v>
      </c>
      <c r="AL1417">
        <v>84.811087384484907</v>
      </c>
      <c r="AM1417">
        <v>87.496571295002497</v>
      </c>
      <c r="AN1417">
        <v>0.999999960714403</v>
      </c>
    </row>
    <row r="1418" spans="1:40" x14ac:dyDescent="0.25">
      <c r="A1418" t="str">
        <f>"20190312164502076"</f>
        <v>20190312164502076</v>
      </c>
      <c r="B1418" t="str">
        <f>"1552380302073134"</f>
        <v>1552380302073134</v>
      </c>
      <c r="C1418" t="s">
        <v>40</v>
      </c>
      <c r="D1418">
        <v>5.0274749999999999</v>
      </c>
      <c r="E1418">
        <v>0.50546170000000001</v>
      </c>
      <c r="F1418" t="s">
        <v>41</v>
      </c>
      <c r="G1418">
        <v>-259.0883</v>
      </c>
      <c r="H1418">
        <v>1.0365409999999999</v>
      </c>
      <c r="I1418">
        <v>283.0609</v>
      </c>
      <c r="J1418">
        <v>-258.50029999999998</v>
      </c>
      <c r="K1418">
        <v>1.1072249999999999</v>
      </c>
      <c r="L1418">
        <v>282.97430000000003</v>
      </c>
      <c r="M1418">
        <v>-0.9998224</v>
      </c>
      <c r="N1418">
        <v>0</v>
      </c>
      <c r="O1418">
        <v>1.8078980000000001E-2</v>
      </c>
      <c r="P1418">
        <v>-0.99434100000000003</v>
      </c>
      <c r="Q1418">
        <v>8.647668E-2</v>
      </c>
      <c r="R1418">
        <v>6.1708180000000001E-2</v>
      </c>
      <c r="S1418">
        <v>-3.017395</v>
      </c>
      <c r="T1418">
        <v>-0.20972850000000001</v>
      </c>
      <c r="U1418">
        <v>0.27929690000000001</v>
      </c>
      <c r="V1418">
        <v>4.3745800000000001E-2</v>
      </c>
      <c r="W1418">
        <v>9.1755210000000004E-2</v>
      </c>
      <c r="X1418">
        <v>0.99482020000000004</v>
      </c>
      <c r="Y1418">
        <v>7.4017150000000004E-2</v>
      </c>
      <c r="Z1418">
        <v>1.3116460000000001E-3</v>
      </c>
      <c r="AA1418">
        <v>0.99725609999999998</v>
      </c>
      <c r="AB1418">
        <v>43</v>
      </c>
      <c r="AC1418">
        <v>-0.58800000000002195</v>
      </c>
      <c r="AD1418">
        <v>-7.06839999999999E-2</v>
      </c>
      <c r="AE1418">
        <v>8.6599999999975794E-2</v>
      </c>
      <c r="AF1418">
        <v>7.4895937356944803E-2</v>
      </c>
      <c r="AG1418">
        <v>-7.06839999999999E-2</v>
      </c>
      <c r="AH1418">
        <v>0.58124846000620201</v>
      </c>
      <c r="AI1418">
        <v>96.877228976192299</v>
      </c>
      <c r="AJ1418">
        <v>82.657691446690507</v>
      </c>
      <c r="AK1418">
        <v>0.59030111091557003</v>
      </c>
      <c r="AL1418">
        <v>84.735408757768695</v>
      </c>
      <c r="AM1418">
        <v>87.4821218648719</v>
      </c>
      <c r="AN1418">
        <v>0.99999997195391099</v>
      </c>
    </row>
    <row r="1419" spans="1:40" x14ac:dyDescent="0.25">
      <c r="A1419" t="str">
        <f>"20190312164502096"</f>
        <v>20190312164502096</v>
      </c>
      <c r="B1419" t="str">
        <f>"1552380302092653"</f>
        <v>1552380302092653</v>
      </c>
      <c r="C1419" t="s">
        <v>40</v>
      </c>
      <c r="D1419">
        <v>5.2299410000000002</v>
      </c>
      <c r="E1419">
        <v>0.51066849999999997</v>
      </c>
      <c r="F1419" t="s">
        <v>41</v>
      </c>
      <c r="G1419">
        <v>-259.46960000000001</v>
      </c>
      <c r="H1419">
        <v>1.026518</v>
      </c>
      <c r="I1419">
        <v>283.03500000000003</v>
      </c>
      <c r="J1419">
        <v>-258.89830000000001</v>
      </c>
      <c r="K1419">
        <v>1.107221</v>
      </c>
      <c r="L1419">
        <v>282.98149999999998</v>
      </c>
      <c r="M1419">
        <v>-0.99982110000000002</v>
      </c>
      <c r="N1419">
        <v>0</v>
      </c>
      <c r="O1419">
        <v>1.815926E-2</v>
      </c>
      <c r="P1419">
        <v>-0.99416760000000004</v>
      </c>
      <c r="Q1419">
        <v>8.7846770000000005E-2</v>
      </c>
      <c r="R1419">
        <v>6.2564480000000006E-2</v>
      </c>
      <c r="S1419">
        <v>-3.0272830000000002</v>
      </c>
      <c r="T1419">
        <v>-0.25213439999999998</v>
      </c>
      <c r="U1419">
        <v>0.1890259</v>
      </c>
      <c r="V1419">
        <v>4.4526070000000001E-2</v>
      </c>
      <c r="W1419">
        <v>9.3109789999999998E-2</v>
      </c>
      <c r="X1419">
        <v>0.99465970000000004</v>
      </c>
      <c r="Y1419">
        <v>4.4095490000000001E-2</v>
      </c>
      <c r="Z1419">
        <v>3.2324380000000002E-4</v>
      </c>
      <c r="AA1419">
        <v>0.99902729999999995</v>
      </c>
      <c r="AB1419">
        <v>43</v>
      </c>
      <c r="AC1419">
        <v>-0.57130000000000702</v>
      </c>
      <c r="AD1419">
        <v>-8.07029999999999E-2</v>
      </c>
      <c r="AE1419">
        <v>5.3500000000042201E-2</v>
      </c>
      <c r="AF1419">
        <v>4.22802806367929E-2</v>
      </c>
      <c r="AG1419">
        <v>-8.07029999999999E-2</v>
      </c>
      <c r="AH1419">
        <v>0.56107836379589604</v>
      </c>
      <c r="AI1419">
        <v>98.162202399194598</v>
      </c>
      <c r="AJ1419">
        <v>85.690598585268205</v>
      </c>
      <c r="AK1419">
        <v>0.56842723954751295</v>
      </c>
      <c r="AL1419">
        <v>84.657463287630193</v>
      </c>
      <c r="AM1419">
        <v>87.436858220027005</v>
      </c>
      <c r="AN1419">
        <v>0.99999996135378799</v>
      </c>
    </row>
    <row r="1420" spans="1:40" x14ac:dyDescent="0.25">
      <c r="A1420" t="str">
        <f>"20190312164502119"</f>
        <v>20190312164502119</v>
      </c>
      <c r="B1420" t="str">
        <f>"1552380302113149"</f>
        <v>1552380302113149</v>
      </c>
      <c r="C1420" t="s">
        <v>40</v>
      </c>
      <c r="D1420">
        <v>5.5219370000000003</v>
      </c>
      <c r="E1420">
        <v>0.51079649999999999</v>
      </c>
      <c r="F1420" t="s">
        <v>41</v>
      </c>
      <c r="G1420">
        <v>-259.85770000000002</v>
      </c>
      <c r="H1420">
        <v>1.0305150000000001</v>
      </c>
      <c r="I1420">
        <v>283.05599999999998</v>
      </c>
      <c r="J1420">
        <v>-259.33620000000002</v>
      </c>
      <c r="K1420">
        <v>1.1072139999999999</v>
      </c>
      <c r="L1420">
        <v>282.9896</v>
      </c>
      <c r="M1420">
        <v>-0.99981960000000003</v>
      </c>
      <c r="N1420">
        <v>0</v>
      </c>
      <c r="O1420">
        <v>1.8247630000000001E-2</v>
      </c>
      <c r="P1420">
        <v>-0.9940658</v>
      </c>
      <c r="Q1420">
        <v>8.8766289999999998E-2</v>
      </c>
      <c r="R1420">
        <v>6.287703E-2</v>
      </c>
      <c r="S1420">
        <v>-3.024292</v>
      </c>
      <c r="T1420">
        <v>-0.24202360000000001</v>
      </c>
      <c r="U1420">
        <v>0.23355100000000001</v>
      </c>
      <c r="V1420">
        <v>4.4752849999999997E-2</v>
      </c>
      <c r="W1420">
        <v>9.4015600000000005E-2</v>
      </c>
      <c r="X1420">
        <v>0.99456440000000002</v>
      </c>
      <c r="Y1420">
        <v>5.8660860000000002E-2</v>
      </c>
      <c r="Z1420">
        <v>8.8448809999999896E-4</v>
      </c>
      <c r="AA1420">
        <v>0.99827759999999999</v>
      </c>
      <c r="AB1420">
        <v>43</v>
      </c>
      <c r="AC1420">
        <v>-0.52150000000000296</v>
      </c>
      <c r="AD1420">
        <v>-7.6698999999999795E-2</v>
      </c>
      <c r="AE1420">
        <v>6.6399999999987303E-2</v>
      </c>
      <c r="AF1420">
        <v>5.5687332474532301E-2</v>
      </c>
      <c r="AG1420">
        <v>-7.6698999999999795E-2</v>
      </c>
      <c r="AH1420">
        <v>0.51173227998947801</v>
      </c>
      <c r="AI1420">
        <v>98.474804267860407</v>
      </c>
      <c r="AJ1420">
        <v>83.789441535751493</v>
      </c>
      <c r="AK1420">
        <v>0.52043610749289804</v>
      </c>
      <c r="AL1420">
        <v>84.605335999402399</v>
      </c>
      <c r="AM1420">
        <v>87.423574660628404</v>
      </c>
      <c r="AN1420">
        <v>1.00000004818692</v>
      </c>
    </row>
    <row r="1421" spans="1:40" x14ac:dyDescent="0.25">
      <c r="A1421" t="str">
        <f>"20190312164502141"</f>
        <v>20190312164502141</v>
      </c>
      <c r="B1421" t="str">
        <f>"1552380302132673"</f>
        <v>1552380302132673</v>
      </c>
      <c r="C1421" t="s">
        <v>40</v>
      </c>
      <c r="D1421">
        <v>5.1662850000000002</v>
      </c>
      <c r="E1421">
        <v>0.51155070000000002</v>
      </c>
      <c r="F1421" t="s">
        <v>41</v>
      </c>
      <c r="G1421">
        <v>-260.25020000000001</v>
      </c>
      <c r="H1421">
        <v>1.040492</v>
      </c>
      <c r="I1421">
        <v>283.06130000000002</v>
      </c>
      <c r="J1421">
        <v>-259.77449999999999</v>
      </c>
      <c r="K1421">
        <v>1.1072109999999999</v>
      </c>
      <c r="L1421">
        <v>282.99759999999998</v>
      </c>
      <c r="M1421">
        <v>-0.99981799999999998</v>
      </c>
      <c r="N1421">
        <v>0</v>
      </c>
      <c r="O1421">
        <v>1.8336060000000001E-2</v>
      </c>
      <c r="P1421">
        <v>-0.99404490000000001</v>
      </c>
      <c r="Q1421">
        <v>8.9387359999999999E-2</v>
      </c>
      <c r="R1421">
        <v>6.2329669999999997E-2</v>
      </c>
      <c r="S1421">
        <v>-3.0226440000000001</v>
      </c>
      <c r="T1421">
        <v>-0.2207472</v>
      </c>
      <c r="U1421">
        <v>0.23681640000000001</v>
      </c>
      <c r="V1421">
        <v>4.4118650000000002E-2</v>
      </c>
      <c r="W1421">
        <v>9.4626089999999996E-2</v>
      </c>
      <c r="X1421">
        <v>0.99453480000000005</v>
      </c>
      <c r="Y1421">
        <v>5.9705179999999997E-2</v>
      </c>
      <c r="Z1421">
        <v>8.3894399999999902E-4</v>
      </c>
      <c r="AA1421">
        <v>0.99821570000000004</v>
      </c>
      <c r="AB1421">
        <v>43</v>
      </c>
      <c r="AC1421">
        <v>-0.475700000000017</v>
      </c>
      <c r="AD1421">
        <v>-6.6719000000000195E-2</v>
      </c>
      <c r="AE1421">
        <v>6.3700000000039794E-2</v>
      </c>
      <c r="AF1421">
        <v>5.39246248616514E-2</v>
      </c>
      <c r="AG1421">
        <v>-6.6719000000000195E-2</v>
      </c>
      <c r="AH1421">
        <v>0.467748907714929</v>
      </c>
      <c r="AI1421">
        <v>98.065115915507704</v>
      </c>
      <c r="AJ1421">
        <v>83.423664745795705</v>
      </c>
      <c r="AK1421">
        <v>0.47555055545754399</v>
      </c>
      <c r="AL1421">
        <v>84.570200656105996</v>
      </c>
      <c r="AM1421">
        <v>87.459961952308205</v>
      </c>
      <c r="AN1421">
        <v>1.0000000102987701</v>
      </c>
    </row>
    <row r="1422" spans="1:40" x14ac:dyDescent="0.25">
      <c r="A1422" t="str">
        <f>"20190312164502162"</f>
        <v>20190312164502162</v>
      </c>
      <c r="B1422" t="str">
        <f>"1552380302153166"</f>
        <v>1552380302153166</v>
      </c>
      <c r="C1422" t="s">
        <v>40</v>
      </c>
      <c r="D1422">
        <v>5.2435330000000002</v>
      </c>
      <c r="E1422">
        <v>0.5122525</v>
      </c>
      <c r="F1422" t="s">
        <v>41</v>
      </c>
      <c r="G1422">
        <v>-260.64030000000002</v>
      </c>
      <c r="H1422">
        <v>1.0433250000000001</v>
      </c>
      <c r="I1422">
        <v>283.06689999999998</v>
      </c>
      <c r="J1422">
        <v>-260.1952</v>
      </c>
      <c r="K1422">
        <v>1.1072059999999999</v>
      </c>
      <c r="L1422">
        <v>283.00540000000001</v>
      </c>
      <c r="M1422">
        <v>-0.99981640000000005</v>
      </c>
      <c r="N1422">
        <v>0</v>
      </c>
      <c r="O1422">
        <v>1.84209E-2</v>
      </c>
      <c r="P1422">
        <v>-0.99408640000000004</v>
      </c>
      <c r="Q1422">
        <v>8.9464890000000005E-2</v>
      </c>
      <c r="R1422">
        <v>6.1549390000000002E-2</v>
      </c>
      <c r="S1422">
        <v>-3.022888</v>
      </c>
      <c r="T1422">
        <v>-0.2232121</v>
      </c>
      <c r="U1422">
        <v>0.24127199999999999</v>
      </c>
      <c r="V1422">
        <v>4.3253420000000001E-2</v>
      </c>
      <c r="W1422">
        <v>9.4697290000000003E-2</v>
      </c>
      <c r="X1422">
        <v>0.99456599999999995</v>
      </c>
      <c r="Y1422">
        <v>6.1070430000000002E-2</v>
      </c>
      <c r="Z1422">
        <v>8.9218819999999999E-4</v>
      </c>
      <c r="AA1422">
        <v>0.9981331</v>
      </c>
      <c r="AB1422">
        <v>43</v>
      </c>
      <c r="AC1422">
        <v>-0.44510000000002398</v>
      </c>
      <c r="AD1422">
        <v>-6.3880999999999799E-2</v>
      </c>
      <c r="AE1422">
        <v>6.1499999999966803E-2</v>
      </c>
      <c r="AF1422">
        <v>5.2234529207210299E-2</v>
      </c>
      <c r="AG1422">
        <v>-6.3880999999999799E-2</v>
      </c>
      <c r="AH1422">
        <v>0.43731818071372203</v>
      </c>
      <c r="AI1422">
        <v>98.252825284128704</v>
      </c>
      <c r="AJ1422">
        <v>83.188697930185896</v>
      </c>
      <c r="AK1422">
        <v>0.44503530127986302</v>
      </c>
      <c r="AL1422">
        <v>84.566102639415604</v>
      </c>
      <c r="AM1422">
        <v>87.509790426843693</v>
      </c>
      <c r="AN1422">
        <v>0.99999998171551996</v>
      </c>
    </row>
    <row r="1423" spans="1:40" x14ac:dyDescent="0.25">
      <c r="A1423" t="str">
        <f>"20190312164502185"</f>
        <v>20190312164502185</v>
      </c>
      <c r="B1423" t="str">
        <f>"1552380302172686"</f>
        <v>1552380302172686</v>
      </c>
      <c r="C1423" t="s">
        <v>40</v>
      </c>
      <c r="D1423">
        <v>4.9741530000000003</v>
      </c>
      <c r="E1423">
        <v>0.51242670000000001</v>
      </c>
      <c r="F1423" t="s">
        <v>41</v>
      </c>
      <c r="G1423">
        <v>-261.03100000000001</v>
      </c>
      <c r="H1423">
        <v>1.045199</v>
      </c>
      <c r="I1423">
        <v>283.07310000000001</v>
      </c>
      <c r="J1423">
        <v>-260.62079999999997</v>
      </c>
      <c r="K1423">
        <v>1.107199</v>
      </c>
      <c r="L1423">
        <v>283.01330000000002</v>
      </c>
      <c r="M1423">
        <v>-0.99981489999999995</v>
      </c>
      <c r="N1423">
        <v>0</v>
      </c>
      <c r="O1423">
        <v>1.850663E-2</v>
      </c>
      <c r="P1423">
        <v>-0.99415189999999998</v>
      </c>
      <c r="Q1423">
        <v>8.9380169999999995E-2</v>
      </c>
      <c r="R1423">
        <v>6.0607660000000001E-2</v>
      </c>
      <c r="S1423">
        <v>-3.022888</v>
      </c>
      <c r="T1423">
        <v>-0.224193</v>
      </c>
      <c r="U1423">
        <v>0.24468989999999999</v>
      </c>
      <c r="V1423">
        <v>4.2225489999999997E-2</v>
      </c>
      <c r="W1423">
        <v>9.4609479999999996E-2</v>
      </c>
      <c r="X1423">
        <v>0.99461849999999996</v>
      </c>
      <c r="Y1423">
        <v>6.2102579999999998E-2</v>
      </c>
      <c r="Z1423">
        <v>9.2788560000000003E-4</v>
      </c>
      <c r="AA1423">
        <v>0.99806930000000005</v>
      </c>
      <c r="AB1423">
        <v>43</v>
      </c>
      <c r="AC1423">
        <v>-0.41020000000003098</v>
      </c>
      <c r="AD1423">
        <v>-6.2E-2</v>
      </c>
      <c r="AE1423">
        <v>5.97999999999956E-2</v>
      </c>
      <c r="AF1423">
        <v>5.1056126615446298E-2</v>
      </c>
      <c r="AG1423">
        <v>-6.2E-2</v>
      </c>
      <c r="AH1423">
        <v>0.40223852865084497</v>
      </c>
      <c r="AI1423">
        <v>98.693787194579699</v>
      </c>
      <c r="AJ1423">
        <v>82.766131405947604</v>
      </c>
      <c r="AK1423">
        <v>0.41017869520023698</v>
      </c>
      <c r="AL1423">
        <v>84.5711563164854</v>
      </c>
      <c r="AM1423">
        <v>87.569027276826304</v>
      </c>
      <c r="AN1423">
        <v>0.99999995312692902</v>
      </c>
    </row>
    <row r="1424" spans="1:40" x14ac:dyDescent="0.25">
      <c r="A1424" t="str">
        <f>"20190312164502208"</f>
        <v>20190312164502208</v>
      </c>
      <c r="B1424" t="str">
        <f>"1552380302202942"</f>
        <v>1552380302202942</v>
      </c>
      <c r="C1424" t="s">
        <v>40</v>
      </c>
      <c r="D1424">
        <v>5.0040899999999997</v>
      </c>
      <c r="E1424">
        <v>0.51215119999999903</v>
      </c>
      <c r="F1424" t="s">
        <v>41</v>
      </c>
      <c r="G1424">
        <v>-261.4237</v>
      </c>
      <c r="H1424">
        <v>1.0483</v>
      </c>
      <c r="I1424">
        <v>283.07819999999998</v>
      </c>
      <c r="J1424">
        <v>-261.07549999999998</v>
      </c>
      <c r="K1424">
        <v>1.107191</v>
      </c>
      <c r="L1424">
        <v>283.02179999999998</v>
      </c>
      <c r="M1424">
        <v>-0.99981330000000002</v>
      </c>
      <c r="N1424">
        <v>0</v>
      </c>
      <c r="O1424">
        <v>1.859831E-2</v>
      </c>
      <c r="P1424">
        <v>-0.99422350000000004</v>
      </c>
      <c r="Q1424">
        <v>8.8911180000000006E-2</v>
      </c>
      <c r="R1424">
        <v>6.0121620000000001E-2</v>
      </c>
      <c r="S1424">
        <v>-3.0227659999999998</v>
      </c>
      <c r="T1424">
        <v>-0.22190550000000001</v>
      </c>
      <c r="U1424">
        <v>0.24365229999999999</v>
      </c>
      <c r="V1424">
        <v>4.1647049999999998E-2</v>
      </c>
      <c r="W1424">
        <v>9.4138570000000005E-2</v>
      </c>
      <c r="X1424">
        <v>0.99468760000000001</v>
      </c>
      <c r="Y1424">
        <v>6.167769E-2</v>
      </c>
      <c r="Z1424">
        <v>8.9623479999999896E-4</v>
      </c>
      <c r="AA1424">
        <v>0.99809570000000003</v>
      </c>
      <c r="AB1424">
        <v>44</v>
      </c>
      <c r="AC1424">
        <v>-0.34820000000001899</v>
      </c>
      <c r="AD1424">
        <v>-5.8890999999999999E-2</v>
      </c>
      <c r="AE1424">
        <v>5.6399999999996397E-2</v>
      </c>
      <c r="AF1424">
        <v>4.8560663782056403E-2</v>
      </c>
      <c r="AG1424">
        <v>-5.8890999999999999E-2</v>
      </c>
      <c r="AH1424">
        <v>0.33971952670243499</v>
      </c>
      <c r="AI1424">
        <v>99.737536239761894</v>
      </c>
      <c r="AJ1424">
        <v>81.865054445468502</v>
      </c>
      <c r="AK1424">
        <v>0.34818909341172699</v>
      </c>
      <c r="AL1424">
        <v>84.598258604650297</v>
      </c>
      <c r="AM1424">
        <v>87.602456006882804</v>
      </c>
      <c r="AN1424">
        <v>0.99999998436455295</v>
      </c>
    </row>
    <row r="1425" spans="1:40" x14ac:dyDescent="0.25">
      <c r="A1425" t="str">
        <f>"20190312164502231"</f>
        <v>20190312164502231</v>
      </c>
      <c r="B1425" t="str">
        <f>"1552380302223438"</f>
        <v>1552380302223438</v>
      </c>
      <c r="C1425" t="s">
        <v>40</v>
      </c>
      <c r="D1425">
        <v>5.0227950000000003</v>
      </c>
      <c r="E1425">
        <v>0.51184090000000004</v>
      </c>
      <c r="F1425" t="s">
        <v>41</v>
      </c>
      <c r="G1425">
        <v>-261.81900000000002</v>
      </c>
      <c r="H1425">
        <v>1.0517479999999999</v>
      </c>
      <c r="I1425">
        <v>283.08080000000001</v>
      </c>
      <c r="J1425">
        <v>-261.52010000000001</v>
      </c>
      <c r="K1425">
        <v>1.1071789999999999</v>
      </c>
      <c r="L1425">
        <v>283.0301</v>
      </c>
      <c r="M1425">
        <v>-0.99981160000000002</v>
      </c>
      <c r="N1425">
        <v>0</v>
      </c>
      <c r="O1425">
        <v>1.8687840000000001E-2</v>
      </c>
      <c r="P1425">
        <v>-0.99422509999999997</v>
      </c>
      <c r="Q1425">
        <v>8.9089829999999995E-2</v>
      </c>
      <c r="R1425">
        <v>5.9832969999999999E-2</v>
      </c>
      <c r="S1425">
        <v>-3.0231020000000002</v>
      </c>
      <c r="T1425">
        <v>-0.22549330000000001</v>
      </c>
      <c r="U1425">
        <v>0.2399597</v>
      </c>
      <c r="V1425">
        <v>4.1269649999999998E-2</v>
      </c>
      <c r="W1425">
        <v>9.4317059999999994E-2</v>
      </c>
      <c r="X1425">
        <v>0.99468639999999997</v>
      </c>
      <c r="Y1425">
        <v>6.0368119999999997E-2</v>
      </c>
      <c r="Z1425">
        <v>8.5527409999999998E-4</v>
      </c>
      <c r="AA1425">
        <v>0.99817579999999995</v>
      </c>
      <c r="AB1425">
        <v>44</v>
      </c>
      <c r="AC1425">
        <v>-0.298900000000003</v>
      </c>
      <c r="AD1425">
        <v>-5.5431000000000202E-2</v>
      </c>
      <c r="AE1425">
        <v>5.0700000000006101E-2</v>
      </c>
      <c r="AF1425">
        <v>4.3646187431333403E-2</v>
      </c>
      <c r="AG1425">
        <v>-5.5431000000000202E-2</v>
      </c>
      <c r="AH1425">
        <v>0.290097371232511</v>
      </c>
      <c r="AI1425">
        <v>100.699925806381</v>
      </c>
      <c r="AJ1425">
        <v>81.443819850635194</v>
      </c>
      <c r="AK1425">
        <v>0.29855329546716503</v>
      </c>
      <c r="AL1425">
        <v>84.587986059742704</v>
      </c>
      <c r="AM1425">
        <v>87.624154357239803</v>
      </c>
      <c r="AN1425">
        <v>0.99999996308156203</v>
      </c>
    </row>
    <row r="1426" spans="1:40" x14ac:dyDescent="0.25">
      <c r="A1426" t="str">
        <f>"20190312164502252"</f>
        <v>20190312164502252</v>
      </c>
      <c r="B1426" t="str">
        <f>"1552380302242958"</f>
        <v>1552380302242958</v>
      </c>
      <c r="C1426" t="s">
        <v>40</v>
      </c>
      <c r="D1426">
        <v>5.1972529999999999</v>
      </c>
      <c r="E1426">
        <v>0.51177969999999995</v>
      </c>
      <c r="F1426" t="s">
        <v>41</v>
      </c>
      <c r="G1426">
        <v>-262.59160000000003</v>
      </c>
      <c r="H1426">
        <v>1.026443</v>
      </c>
      <c r="I1426">
        <v>283.1139</v>
      </c>
      <c r="J1426">
        <v>-261.95319999999998</v>
      </c>
      <c r="K1426">
        <v>1.107164</v>
      </c>
      <c r="L1426">
        <v>283.03820000000002</v>
      </c>
      <c r="M1426">
        <v>-0.99980990000000003</v>
      </c>
      <c r="N1426">
        <v>0</v>
      </c>
      <c r="O1426">
        <v>1.877533E-2</v>
      </c>
      <c r="P1426">
        <v>-0.99429679999999998</v>
      </c>
      <c r="Q1426">
        <v>8.8539789999999993E-2</v>
      </c>
      <c r="R1426">
        <v>5.9454279999999998E-2</v>
      </c>
      <c r="S1426">
        <v>-3.02359</v>
      </c>
      <c r="T1426">
        <v>-0.2277989</v>
      </c>
      <c r="U1426">
        <v>0.23654169999999999</v>
      </c>
      <c r="V1426">
        <v>4.0802440000000002E-2</v>
      </c>
      <c r="W1426">
        <v>9.3770179999999995E-2</v>
      </c>
      <c r="X1426">
        <v>0.99475740000000001</v>
      </c>
      <c r="Y1426">
        <v>5.9147940000000003E-2</v>
      </c>
      <c r="Z1426">
        <v>8.1149070000000002E-4</v>
      </c>
      <c r="AA1426">
        <v>0.99824889999999999</v>
      </c>
      <c r="AB1426">
        <v>44</v>
      </c>
      <c r="AC1426">
        <v>-0.63840000000004604</v>
      </c>
      <c r="AD1426">
        <v>-8.0721000000000001E-2</v>
      </c>
      <c r="AE1426">
        <v>7.5699999999983406E-2</v>
      </c>
      <c r="AF1426">
        <v>6.27116040881988E-2</v>
      </c>
      <c r="AG1426">
        <v>-8.0721000000000001E-2</v>
      </c>
      <c r="AH1426">
        <v>0.62977962903959595</v>
      </c>
      <c r="AI1426">
        <v>97.268412182492099</v>
      </c>
      <c r="AJ1426">
        <v>84.313400599070206</v>
      </c>
      <c r="AK1426">
        <v>0.63802116444642099</v>
      </c>
      <c r="AL1426">
        <v>84.6194595848565</v>
      </c>
      <c r="AM1426">
        <v>87.6511882604823</v>
      </c>
      <c r="AN1426">
        <v>0.99999998531097201</v>
      </c>
    </row>
    <row r="1427" spans="1:40" x14ac:dyDescent="0.25">
      <c r="A1427" t="str">
        <f>"20190312164502276"</f>
        <v>20190312164502276</v>
      </c>
      <c r="B1427" t="str">
        <f>"1552380302263454"</f>
        <v>1552380302263454</v>
      </c>
      <c r="C1427" t="s">
        <v>40</v>
      </c>
      <c r="D1427">
        <v>5.0264800000000003</v>
      </c>
      <c r="E1427">
        <v>0.51176290000000002</v>
      </c>
      <c r="F1427" t="s">
        <v>41</v>
      </c>
      <c r="G1427">
        <v>-262.98849999999999</v>
      </c>
      <c r="H1427">
        <v>1.02996</v>
      </c>
      <c r="I1427">
        <v>283.11900000000003</v>
      </c>
      <c r="J1427">
        <v>-262.40440000000001</v>
      </c>
      <c r="K1427">
        <v>1.107167</v>
      </c>
      <c r="L1427">
        <v>283.04680000000002</v>
      </c>
      <c r="M1427">
        <v>-0.99980829999999998</v>
      </c>
      <c r="N1427">
        <v>0</v>
      </c>
      <c r="O1427">
        <v>1.8866339999999999E-2</v>
      </c>
      <c r="P1427">
        <v>-0.9943014</v>
      </c>
      <c r="Q1427">
        <v>8.8559139999999995E-2</v>
      </c>
      <c r="R1427">
        <v>5.9349609999999997E-2</v>
      </c>
      <c r="S1427">
        <v>-3.0232239999999999</v>
      </c>
      <c r="T1427">
        <v>-0.22559360000000001</v>
      </c>
      <c r="U1427">
        <v>0.23538210000000001</v>
      </c>
      <c r="V1427">
        <v>4.0607169999999998E-2</v>
      </c>
      <c r="W1427">
        <v>9.3793429999999997E-2</v>
      </c>
      <c r="X1427">
        <v>0.99476319999999996</v>
      </c>
      <c r="Y1427">
        <v>5.868955E-2</v>
      </c>
      <c r="Z1427">
        <v>7.7994299999999996E-4</v>
      </c>
      <c r="AA1427">
        <v>0.99827600000000005</v>
      </c>
      <c r="AB1427">
        <v>44</v>
      </c>
      <c r="AC1427">
        <v>-0.58409999999997797</v>
      </c>
      <c r="AD1427">
        <v>-7.7206999999999998E-2</v>
      </c>
      <c r="AE1427">
        <v>7.2200000000009298E-2</v>
      </c>
      <c r="AF1427">
        <v>6.0132356264857099E-2</v>
      </c>
      <c r="AG1427">
        <v>-7.7206999999999998E-2</v>
      </c>
      <c r="AH1427">
        <v>0.575455244606913</v>
      </c>
      <c r="AI1427">
        <v>97.600662882804997</v>
      </c>
      <c r="AJ1427">
        <v>84.034511589702404</v>
      </c>
      <c r="AK1427">
        <v>0.58371702019434502</v>
      </c>
      <c r="AL1427">
        <v>84.618121569677697</v>
      </c>
      <c r="AM1427">
        <v>87.662430185068104</v>
      </c>
      <c r="AN1427">
        <v>0.99999998692040604</v>
      </c>
    </row>
    <row r="1428" spans="1:40" x14ac:dyDescent="0.25">
      <c r="A1428" t="str">
        <f>"20190312164502298"</f>
        <v>20190312164502298</v>
      </c>
      <c r="B1428" t="str">
        <f>"1552380302292734"</f>
        <v>1552380302292734</v>
      </c>
      <c r="C1428" t="s">
        <v>40</v>
      </c>
      <c r="D1428">
        <v>5.1878650000000004</v>
      </c>
      <c r="E1428">
        <v>0.51169750000000003</v>
      </c>
      <c r="F1428" t="s">
        <v>41</v>
      </c>
      <c r="G1428">
        <v>-263.38709999999998</v>
      </c>
      <c r="H1428">
        <v>1.0347580000000001</v>
      </c>
      <c r="I1428">
        <v>283.12360000000001</v>
      </c>
      <c r="J1428">
        <v>-262.84570000000002</v>
      </c>
      <c r="K1428">
        <v>1.107167</v>
      </c>
      <c r="L1428">
        <v>283.05509999999998</v>
      </c>
      <c r="M1428">
        <v>-0.99980639999999998</v>
      </c>
      <c r="N1428">
        <v>0</v>
      </c>
      <c r="O1428">
        <v>1.8954849999999999E-2</v>
      </c>
      <c r="P1428">
        <v>-0.99433340000000003</v>
      </c>
      <c r="Q1428">
        <v>8.8201810000000005E-2</v>
      </c>
      <c r="R1428">
        <v>5.9342430000000002E-2</v>
      </c>
      <c r="S1428">
        <v>-3.02298</v>
      </c>
      <c r="T1428">
        <v>-0.22287680000000001</v>
      </c>
      <c r="U1428">
        <v>0.23547360000000001</v>
      </c>
      <c r="V1428">
        <v>4.0511459999999999E-2</v>
      </c>
      <c r="W1428">
        <v>9.3441170000000004E-2</v>
      </c>
      <c r="X1428">
        <v>0.99480029999999997</v>
      </c>
      <c r="Y1428">
        <v>5.864047E-2</v>
      </c>
      <c r="Z1428">
        <v>7.6232839999999997E-4</v>
      </c>
      <c r="AA1428">
        <v>0.99827889999999997</v>
      </c>
      <c r="AB1428">
        <v>44</v>
      </c>
      <c r="AC1428">
        <v>-0.54139999999995303</v>
      </c>
      <c r="AD1428">
        <v>-7.2408999999999904E-2</v>
      </c>
      <c r="AE1428">
        <v>6.8500000000028594E-2</v>
      </c>
      <c r="AF1428">
        <v>5.7218035122620303E-2</v>
      </c>
      <c r="AG1428">
        <v>-7.2408999999999904E-2</v>
      </c>
      <c r="AH1428">
        <v>0.53321359850503303</v>
      </c>
      <c r="AI1428">
        <v>97.689696830117001</v>
      </c>
      <c r="AJ1428">
        <v>83.875147275979799</v>
      </c>
      <c r="AK1428">
        <v>0.54114111695100398</v>
      </c>
      <c r="AL1428">
        <v>84.638393862818901</v>
      </c>
      <c r="AM1428">
        <v>87.668020559475707</v>
      </c>
      <c r="AN1428">
        <v>1.0000000337611901</v>
      </c>
    </row>
    <row r="1429" spans="1:40" x14ac:dyDescent="0.25">
      <c r="A1429" t="str">
        <f>"20190312164502320"</f>
        <v>20190312164502320</v>
      </c>
      <c r="B1429" t="str">
        <f>"1552380302313230"</f>
        <v>1552380302313230</v>
      </c>
      <c r="C1429" t="s">
        <v>40</v>
      </c>
      <c r="D1429">
        <v>5.0437709999999996</v>
      </c>
      <c r="E1429">
        <v>0.51195659999999998</v>
      </c>
      <c r="F1429" t="s">
        <v>41</v>
      </c>
      <c r="G1429">
        <v>-263.78620000000001</v>
      </c>
      <c r="H1429">
        <v>1.0384610000000001</v>
      </c>
      <c r="I1429">
        <v>283.12849999999997</v>
      </c>
      <c r="J1429">
        <v>-263.29270000000002</v>
      </c>
      <c r="K1429">
        <v>1.1071690000000001</v>
      </c>
      <c r="L1429">
        <v>283.06369999999998</v>
      </c>
      <c r="M1429">
        <v>-0.99980469999999999</v>
      </c>
      <c r="N1429">
        <v>0</v>
      </c>
      <c r="O1429">
        <v>1.904513E-2</v>
      </c>
      <c r="P1429">
        <v>-0.99435070000000003</v>
      </c>
      <c r="Q1429">
        <v>8.7683440000000001E-2</v>
      </c>
      <c r="R1429">
        <v>5.9821039999999999E-2</v>
      </c>
      <c r="S1429">
        <v>-3.0226440000000001</v>
      </c>
      <c r="T1429">
        <v>-0.2209488</v>
      </c>
      <c r="U1429">
        <v>0.23522950000000001</v>
      </c>
      <c r="V1429">
        <v>4.0899810000000002E-2</v>
      </c>
      <c r="W1429">
        <v>9.2929860000000003E-2</v>
      </c>
      <c r="X1429">
        <v>0.9948323</v>
      </c>
      <c r="Y1429">
        <v>5.8481209999999999E-2</v>
      </c>
      <c r="Z1429">
        <v>7.4345539999999901E-4</v>
      </c>
      <c r="AA1429">
        <v>0.99828819999999996</v>
      </c>
      <c r="AB1429">
        <v>44</v>
      </c>
      <c r="AC1429">
        <v>-0.49349999999998301</v>
      </c>
      <c r="AD1429">
        <v>-6.8707999999999894E-2</v>
      </c>
      <c r="AE1429">
        <v>6.4799999999991004E-2</v>
      </c>
      <c r="AF1429">
        <v>5.43536185354003E-2</v>
      </c>
      <c r="AG1429">
        <v>-6.8707999999999894E-2</v>
      </c>
      <c r="AH1429">
        <v>0.485395268981821</v>
      </c>
      <c r="AI1429">
        <v>98.007336903206706</v>
      </c>
      <c r="AJ1429">
        <v>83.610746419737396</v>
      </c>
      <c r="AK1429">
        <v>0.49323794689969502</v>
      </c>
      <c r="AL1429">
        <v>84.667817773452001</v>
      </c>
      <c r="AM1429">
        <v>87.645766472519696</v>
      </c>
      <c r="AN1429">
        <v>1.00000002923047</v>
      </c>
    </row>
    <row r="1430" spans="1:40" x14ac:dyDescent="0.25">
      <c r="A1430" t="str">
        <f>"20190312164502342"</f>
        <v>20190312164502342</v>
      </c>
      <c r="B1430" t="str">
        <f>"1552380302332753"</f>
        <v>1552380302332753</v>
      </c>
      <c r="C1430" t="s">
        <v>40</v>
      </c>
      <c r="D1430">
        <v>5.0301119999999999</v>
      </c>
      <c r="E1430">
        <v>0.52663769999999999</v>
      </c>
      <c r="F1430" t="s">
        <v>41</v>
      </c>
      <c r="G1430">
        <v>-264.1859</v>
      </c>
      <c r="H1430">
        <v>1.041288</v>
      </c>
      <c r="I1430">
        <v>283.13440000000003</v>
      </c>
      <c r="J1430">
        <v>-263.74590000000001</v>
      </c>
      <c r="K1430">
        <v>1.1071709999999999</v>
      </c>
      <c r="L1430">
        <v>283.07229999999998</v>
      </c>
      <c r="M1430">
        <v>-0.99980290000000005</v>
      </c>
      <c r="N1430">
        <v>0</v>
      </c>
      <c r="O1430">
        <v>1.9136130000000001E-2</v>
      </c>
      <c r="P1430">
        <v>-0.99432379999999998</v>
      </c>
      <c r="Q1430">
        <v>8.7745699999999996E-2</v>
      </c>
      <c r="R1430">
        <v>6.0172990000000003E-2</v>
      </c>
      <c r="S1430">
        <v>-3.0223689999999999</v>
      </c>
      <c r="T1430">
        <v>-0.22299340000000001</v>
      </c>
      <c r="U1430">
        <v>0.23895259999999999</v>
      </c>
      <c r="V1430">
        <v>4.1161759999999999E-2</v>
      </c>
      <c r="W1430">
        <v>9.300013E-2</v>
      </c>
      <c r="X1430">
        <v>0.99481489999999995</v>
      </c>
      <c r="Y1430">
        <v>5.9614809999999997E-2</v>
      </c>
      <c r="Z1430">
        <v>7.8535869999999904E-4</v>
      </c>
      <c r="AA1430">
        <v>0.99822120000000003</v>
      </c>
      <c r="AB1430">
        <v>44</v>
      </c>
      <c r="AC1430">
        <v>-0.439999999999997</v>
      </c>
      <c r="AD1430">
        <v>-6.58829999999999E-2</v>
      </c>
      <c r="AE1430">
        <v>6.2100000000043502E-2</v>
      </c>
      <c r="AF1430">
        <v>5.2514223732784401E-2</v>
      </c>
      <c r="AG1430">
        <v>-6.58829999999999E-2</v>
      </c>
      <c r="AH1430">
        <v>0.43161975197341101</v>
      </c>
      <c r="AI1430">
        <v>98.616138840171203</v>
      </c>
      <c r="AJ1430">
        <v>83.063044105081701</v>
      </c>
      <c r="AK1430">
        <v>0.43976576000962803</v>
      </c>
      <c r="AL1430">
        <v>84.663773930841998</v>
      </c>
      <c r="AM1430">
        <v>87.630664106441898</v>
      </c>
      <c r="AN1430">
        <v>0.999999999964162</v>
      </c>
    </row>
    <row r="1431" spans="1:40" x14ac:dyDescent="0.25">
      <c r="A1431" t="str">
        <f>"20190312164502354"</f>
        <v>20190312164502354</v>
      </c>
      <c r="B1431" t="str">
        <f>"1552380302343486"</f>
        <v>1552380302343486</v>
      </c>
      <c r="C1431" t="s">
        <v>40</v>
      </c>
      <c r="D1431">
        <v>5.0715879999999904</v>
      </c>
      <c r="E1431">
        <v>0.52689889999999995</v>
      </c>
      <c r="F1431" t="s">
        <v>41</v>
      </c>
      <c r="G1431">
        <v>-264.57979999999998</v>
      </c>
      <c r="H1431">
        <v>1.031142</v>
      </c>
      <c r="I1431">
        <v>283.17020000000002</v>
      </c>
      <c r="J1431">
        <v>-263.9701</v>
      </c>
      <c r="K1431">
        <v>1.107172</v>
      </c>
      <c r="L1431">
        <v>283.07670000000002</v>
      </c>
      <c r="M1431">
        <v>-0.99980199999999997</v>
      </c>
      <c r="N1431">
        <v>0</v>
      </c>
      <c r="O1431">
        <v>1.9181070000000001E-2</v>
      </c>
      <c r="P1431">
        <v>-0.99430289999999999</v>
      </c>
      <c r="Q1431">
        <v>8.792063E-2</v>
      </c>
      <c r="R1431">
        <v>6.0266460000000001E-2</v>
      </c>
      <c r="S1431">
        <v>-3.0200499999999999</v>
      </c>
      <c r="T1431">
        <v>-0.27548339999999999</v>
      </c>
      <c r="U1431">
        <v>0.35366819999999999</v>
      </c>
      <c r="V1431">
        <v>4.1211020000000001E-2</v>
      </c>
      <c r="W1431">
        <v>9.3179109999999996E-2</v>
      </c>
      <c r="X1431">
        <v>0.99479609999999996</v>
      </c>
      <c r="Y1431">
        <v>9.6921140000000003E-2</v>
      </c>
      <c r="Z1431">
        <v>2.6568109999999998E-3</v>
      </c>
      <c r="AA1431">
        <v>0.99528850000000002</v>
      </c>
      <c r="AB1431">
        <v>45</v>
      </c>
      <c r="AC1431">
        <v>-0.60969999999997504</v>
      </c>
      <c r="AD1431">
        <v>-7.603E-2</v>
      </c>
      <c r="AE1431">
        <v>9.3500000000005898E-2</v>
      </c>
      <c r="AF1431">
        <v>8.0563931205863706E-2</v>
      </c>
      <c r="AG1431">
        <v>-7.603E-2</v>
      </c>
      <c r="AH1431">
        <v>0.60223160409328902</v>
      </c>
      <c r="AI1431">
        <v>97.132485237042999</v>
      </c>
      <c r="AJ1431">
        <v>82.380457221321905</v>
      </c>
      <c r="AK1431">
        <v>0.61233488621841503</v>
      </c>
      <c r="AL1431">
        <v>84.653474342873395</v>
      </c>
      <c r="AM1431">
        <v>87.627787081459104</v>
      </c>
      <c r="AN1431">
        <v>0.99999998764252096</v>
      </c>
    </row>
    <row r="1432" spans="1:40" x14ac:dyDescent="0.25">
      <c r="A1432" t="str">
        <f>"20190312164502375"</f>
        <v>20190312164502375</v>
      </c>
      <c r="B1432" t="str">
        <f>"1552380302363007"</f>
        <v>1552380302363007</v>
      </c>
      <c r="C1432" t="s">
        <v>40</v>
      </c>
      <c r="D1432">
        <v>5.124987</v>
      </c>
      <c r="E1432">
        <v>0.52701940000000003</v>
      </c>
      <c r="F1432" t="s">
        <v>41</v>
      </c>
      <c r="G1432">
        <v>-264.97399999999999</v>
      </c>
      <c r="H1432">
        <v>1.0186489999999999</v>
      </c>
      <c r="I1432">
        <v>283.19540000000001</v>
      </c>
      <c r="J1432">
        <v>-264.38679999999999</v>
      </c>
      <c r="K1432">
        <v>1.1071690000000001</v>
      </c>
      <c r="L1432">
        <v>283.0847</v>
      </c>
      <c r="M1432">
        <v>-0.99980029999999998</v>
      </c>
      <c r="N1432">
        <v>0</v>
      </c>
      <c r="O1432">
        <v>1.9264670000000001E-2</v>
      </c>
      <c r="P1432">
        <v>-0.99420730000000002</v>
      </c>
      <c r="Q1432">
        <v>8.8878589999999993E-2</v>
      </c>
      <c r="R1432">
        <v>6.0436570000000002E-2</v>
      </c>
      <c r="S1432">
        <v>-3.019104</v>
      </c>
      <c r="T1432">
        <v>-0.26628669999999999</v>
      </c>
      <c r="U1432">
        <v>0.35684199999999999</v>
      </c>
      <c r="V1432">
        <v>4.1300129999999997E-2</v>
      </c>
      <c r="W1432">
        <v>9.4145220000000002E-2</v>
      </c>
      <c r="X1432">
        <v>0.99470139999999996</v>
      </c>
      <c r="Y1432">
        <v>9.7923109999999994E-2</v>
      </c>
      <c r="Z1432">
        <v>2.605726E-3</v>
      </c>
      <c r="AA1432">
        <v>0.99519060000000004</v>
      </c>
      <c r="AB1432">
        <v>45</v>
      </c>
      <c r="AC1432">
        <v>-0.58719999999999495</v>
      </c>
      <c r="AD1432">
        <v>-8.8520000000000099E-2</v>
      </c>
      <c r="AE1432">
        <v>0.110700000000008</v>
      </c>
      <c r="AF1432">
        <v>9.7233258258586003E-2</v>
      </c>
      <c r="AG1432">
        <v>-8.8520000000000099E-2</v>
      </c>
      <c r="AH1432">
        <v>0.57657057683452295</v>
      </c>
      <c r="AI1432">
        <v>98.608683771128696</v>
      </c>
      <c r="AJ1432">
        <v>80.427666940447907</v>
      </c>
      <c r="AK1432">
        <v>0.59137443889880403</v>
      </c>
      <c r="AL1432">
        <v>84.5978756973185</v>
      </c>
      <c r="AM1432">
        <v>87.622437484927104</v>
      </c>
      <c r="AN1432">
        <v>0.99999994917441104</v>
      </c>
    </row>
    <row r="1433" spans="1:40" x14ac:dyDescent="0.25">
      <c r="A1433" t="str">
        <f>"20190312164502387"</f>
        <v>20190312164502387</v>
      </c>
      <c r="B1433" t="str">
        <f>"1552380302383503"</f>
        <v>1552380302383503</v>
      </c>
      <c r="C1433" t="s">
        <v>40</v>
      </c>
      <c r="D1433">
        <v>5.0814360000000001</v>
      </c>
      <c r="E1433">
        <v>0.52656749999999997</v>
      </c>
      <c r="F1433" t="s">
        <v>41</v>
      </c>
      <c r="G1433">
        <v>-265.375</v>
      </c>
      <c r="H1433">
        <v>1.0175000000000001</v>
      </c>
      <c r="I1433">
        <v>283.20190000000002</v>
      </c>
      <c r="J1433">
        <v>-264.6311</v>
      </c>
      <c r="K1433">
        <v>1.1071690000000001</v>
      </c>
      <c r="L1433">
        <v>283.08940000000001</v>
      </c>
      <c r="M1433">
        <v>-0.99979949999999995</v>
      </c>
      <c r="N1433">
        <v>0</v>
      </c>
      <c r="O1433">
        <v>1.9313770000000001E-2</v>
      </c>
      <c r="P1433">
        <v>-0.99418419999999996</v>
      </c>
      <c r="Q1433">
        <v>8.9115639999999996E-2</v>
      </c>
      <c r="R1433">
        <v>6.0468359999999999E-2</v>
      </c>
      <c r="S1433">
        <v>-3.0202330000000002</v>
      </c>
      <c r="T1433">
        <v>-0.27409289999999997</v>
      </c>
      <c r="U1433">
        <v>0.35766599999999998</v>
      </c>
      <c r="V1433">
        <v>4.1283479999999997E-2</v>
      </c>
      <c r="W1433">
        <v>9.4387780000000004E-2</v>
      </c>
      <c r="X1433">
        <v>0.99467919999999999</v>
      </c>
      <c r="Y1433">
        <v>9.8080550000000002E-2</v>
      </c>
      <c r="Z1433">
        <v>2.6834509999999999E-3</v>
      </c>
      <c r="AA1433">
        <v>0.99517489999999997</v>
      </c>
      <c r="AB1433">
        <v>45</v>
      </c>
      <c r="AC1433">
        <v>-0.74389999999999601</v>
      </c>
      <c r="AD1433">
        <v>-8.9668999999999999E-2</v>
      </c>
      <c r="AE1433">
        <v>0.11250000000001099</v>
      </c>
      <c r="AF1433">
        <v>9.6737169416202598E-2</v>
      </c>
      <c r="AG1433">
        <v>-8.9668999999999999E-2</v>
      </c>
      <c r="AH1433">
        <v>0.73548663266445902</v>
      </c>
      <c r="AI1433">
        <v>96.892294290570902</v>
      </c>
      <c r="AJ1433">
        <v>82.507005369063407</v>
      </c>
      <c r="AK1433">
        <v>0.74722098226412503</v>
      </c>
      <c r="AL1433">
        <v>84.583916388753096</v>
      </c>
      <c r="AM1433">
        <v>87.623341909443496</v>
      </c>
      <c r="AN1433">
        <v>1.0000000448234301</v>
      </c>
    </row>
    <row r="1434" spans="1:40" x14ac:dyDescent="0.25">
      <c r="A1434" t="str">
        <f>"20190312164502400"</f>
        <v>20190312164502400</v>
      </c>
      <c r="B1434" t="str">
        <f>"1552380302393262"</f>
        <v>1552380302393262</v>
      </c>
      <c r="C1434" t="s">
        <v>40</v>
      </c>
      <c r="D1434">
        <v>5.1049069999999999</v>
      </c>
      <c r="E1434">
        <v>0.52644069999999898</v>
      </c>
      <c r="F1434" t="s">
        <v>41</v>
      </c>
      <c r="G1434">
        <v>-265.38600000000002</v>
      </c>
      <c r="H1434">
        <v>1.0395479999999999</v>
      </c>
      <c r="I1434">
        <v>283.1782</v>
      </c>
      <c r="J1434">
        <v>-264.88389999999998</v>
      </c>
      <c r="K1434">
        <v>1.1071679999999999</v>
      </c>
      <c r="L1434">
        <v>283.09440000000001</v>
      </c>
      <c r="M1434">
        <v>-0.99979850000000003</v>
      </c>
      <c r="N1434">
        <v>0</v>
      </c>
      <c r="O1434">
        <v>1.9364300000000001E-2</v>
      </c>
      <c r="P1434">
        <v>-0.99414130000000001</v>
      </c>
      <c r="Q1434">
        <v>8.9691670000000001E-2</v>
      </c>
      <c r="R1434">
        <v>6.0322470000000003E-2</v>
      </c>
      <c r="S1434">
        <v>-3.0202330000000002</v>
      </c>
      <c r="T1434">
        <v>-0.27061220000000002</v>
      </c>
      <c r="U1434">
        <v>0.3544312</v>
      </c>
      <c r="V1434">
        <v>4.10885E-2</v>
      </c>
      <c r="W1434">
        <v>9.496976E-2</v>
      </c>
      <c r="X1434">
        <v>0.99463179999999995</v>
      </c>
      <c r="Y1434">
        <v>9.6991400000000005E-2</v>
      </c>
      <c r="Z1434">
        <v>2.5966380000000001E-3</v>
      </c>
      <c r="AA1434">
        <v>0.99528179999999999</v>
      </c>
      <c r="AB1434">
        <v>45</v>
      </c>
      <c r="AC1434">
        <v>-0.502099999999984</v>
      </c>
      <c r="AD1434">
        <v>-6.762E-2</v>
      </c>
      <c r="AE1434">
        <v>8.3799999999996502E-2</v>
      </c>
      <c r="AF1434">
        <v>7.2777134908206503E-2</v>
      </c>
      <c r="AG1434">
        <v>-6.762E-2</v>
      </c>
      <c r="AH1434">
        <v>0.49489583793230302</v>
      </c>
      <c r="AI1434">
        <v>97.698630492656307</v>
      </c>
      <c r="AJ1434">
        <v>81.634302534234806</v>
      </c>
      <c r="AK1434">
        <v>0.50476813109403396</v>
      </c>
      <c r="AL1434">
        <v>84.550420511002898</v>
      </c>
      <c r="AM1434">
        <v>87.634441377831493</v>
      </c>
      <c r="AN1434">
        <v>0.99999996885897302</v>
      </c>
    </row>
    <row r="1435" spans="1:40" x14ac:dyDescent="0.25">
      <c r="A1435" t="str">
        <f>"20190312164502412"</f>
        <v>20190312164502412</v>
      </c>
      <c r="B1435" t="str">
        <f>"1552380302403022"</f>
        <v>1552380302403022</v>
      </c>
      <c r="C1435" t="s">
        <v>40</v>
      </c>
      <c r="D1435">
        <v>5.2642499999999997</v>
      </c>
      <c r="E1435">
        <v>0.52689929999999996</v>
      </c>
      <c r="F1435" t="s">
        <v>41</v>
      </c>
      <c r="G1435">
        <v>-265.78289999999998</v>
      </c>
      <c r="H1435">
        <v>1.02827</v>
      </c>
      <c r="I1435">
        <v>283.19990000000001</v>
      </c>
      <c r="J1435">
        <v>-265.142</v>
      </c>
      <c r="K1435">
        <v>1.1071709999999999</v>
      </c>
      <c r="L1435">
        <v>283.0994</v>
      </c>
      <c r="M1435">
        <v>-0.99979739999999995</v>
      </c>
      <c r="N1435">
        <v>0</v>
      </c>
      <c r="O1435">
        <v>1.9415910000000002E-2</v>
      </c>
      <c r="P1435">
        <v>-0.99413770000000001</v>
      </c>
      <c r="Q1435">
        <v>8.9916599999999999E-2</v>
      </c>
      <c r="R1435">
        <v>6.004408E-2</v>
      </c>
      <c r="S1435">
        <v>-3.0201419999999999</v>
      </c>
      <c r="T1435">
        <v>-0.2650708</v>
      </c>
      <c r="U1435">
        <v>0.35385129999999998</v>
      </c>
      <c r="V1435">
        <v>4.0758950000000002E-2</v>
      </c>
      <c r="W1435">
        <v>9.5200930000000003E-2</v>
      </c>
      <c r="X1435">
        <v>0.99462329999999999</v>
      </c>
      <c r="Y1435">
        <v>9.6768450000000006E-2</v>
      </c>
      <c r="Z1435">
        <v>2.5295399999999998E-3</v>
      </c>
      <c r="AA1435">
        <v>0.99530370000000001</v>
      </c>
      <c r="AB1435">
        <v>45</v>
      </c>
      <c r="AC1435">
        <v>-0.64089999999998704</v>
      </c>
      <c r="AD1435">
        <v>-7.8900999999999805E-2</v>
      </c>
      <c r="AE1435">
        <v>0.10050000000001</v>
      </c>
      <c r="AF1435">
        <v>8.6753935739394994E-2</v>
      </c>
      <c r="AG1435">
        <v>-7.8900999999999805E-2</v>
      </c>
      <c r="AH1435">
        <v>0.63336165899209396</v>
      </c>
      <c r="AI1435">
        <v>97.036006691717702</v>
      </c>
      <c r="AJ1435">
        <v>82.200516750241903</v>
      </c>
      <c r="AK1435">
        <v>0.64412623316279605</v>
      </c>
      <c r="AL1435">
        <v>84.537115380214402</v>
      </c>
      <c r="AM1435">
        <v>87.653372995877405</v>
      </c>
      <c r="AN1435">
        <v>1.00000000899042</v>
      </c>
    </row>
    <row r="1436" spans="1:40" x14ac:dyDescent="0.25">
      <c r="A1436" t="str">
        <f>"20190312164502433"</f>
        <v>20190312164502433</v>
      </c>
      <c r="B1436" t="str">
        <f>"1552380302423519"</f>
        <v>1552380302423519</v>
      </c>
      <c r="C1436" t="s">
        <v>40</v>
      </c>
      <c r="D1436">
        <v>5.076403</v>
      </c>
      <c r="E1436">
        <v>0.52721300000000004</v>
      </c>
      <c r="F1436" t="s">
        <v>41</v>
      </c>
      <c r="G1436">
        <v>-266.1816</v>
      </c>
      <c r="H1436">
        <v>1.0184599999999999</v>
      </c>
      <c r="I1436">
        <v>283.22250000000003</v>
      </c>
      <c r="J1436">
        <v>-265.55340000000001</v>
      </c>
      <c r="K1436">
        <v>1.107172</v>
      </c>
      <c r="L1436">
        <v>283.10739999999998</v>
      </c>
      <c r="M1436">
        <v>-0.99979569999999995</v>
      </c>
      <c r="N1436">
        <v>0</v>
      </c>
      <c r="O1436">
        <v>1.9498310000000001E-2</v>
      </c>
      <c r="P1436">
        <v>-0.99415889999999996</v>
      </c>
      <c r="Q1436">
        <v>9.0261969999999997E-2</v>
      </c>
      <c r="R1436">
        <v>5.9166940000000001E-2</v>
      </c>
      <c r="S1436">
        <v>-3.019409</v>
      </c>
      <c r="T1436">
        <v>-0.2577487</v>
      </c>
      <c r="U1436">
        <v>0.35717769999999999</v>
      </c>
      <c r="V1436">
        <v>3.9799809999999998E-2</v>
      </c>
      <c r="W1436">
        <v>9.5556920000000004E-2</v>
      </c>
      <c r="X1436">
        <v>0.99462799999999996</v>
      </c>
      <c r="Y1436">
        <v>9.7808190000000003E-2</v>
      </c>
      <c r="Z1436">
        <v>2.4975090000000002E-3</v>
      </c>
      <c r="AA1436">
        <v>0.99520209999999998</v>
      </c>
      <c r="AB1436">
        <v>45</v>
      </c>
      <c r="AC1436">
        <v>-0.62819999999999199</v>
      </c>
      <c r="AD1436">
        <v>-8.8711999999999902E-2</v>
      </c>
      <c r="AE1436">
        <v>0.11510000000004</v>
      </c>
      <c r="AF1436">
        <v>0.100882646246139</v>
      </c>
      <c r="AG1436">
        <v>-8.8711999999999902E-2</v>
      </c>
      <c r="AH1436">
        <v>0.61839339342118904</v>
      </c>
      <c r="AI1436">
        <v>98.058600098369794</v>
      </c>
      <c r="AJ1436">
        <v>80.734576659414103</v>
      </c>
      <c r="AK1436">
        <v>0.63281712704745696</v>
      </c>
      <c r="AL1436">
        <v>84.516625215139399</v>
      </c>
      <c r="AM1436">
        <v>87.708545088750697</v>
      </c>
      <c r="AN1436">
        <v>1.0000000041099599</v>
      </c>
    </row>
    <row r="1437" spans="1:40" x14ac:dyDescent="0.25">
      <c r="A1437" t="str">
        <f>"20190312164502454"</f>
        <v>20190312164502454</v>
      </c>
      <c r="B1437" t="str">
        <f>"1552380302443038"</f>
        <v>1552380302443038</v>
      </c>
      <c r="C1437" t="s">
        <v>40</v>
      </c>
      <c r="D1437">
        <v>5.095472</v>
      </c>
      <c r="E1437">
        <v>0.5268834</v>
      </c>
      <c r="F1437" t="s">
        <v>41</v>
      </c>
      <c r="G1437">
        <v>-266.58690000000001</v>
      </c>
      <c r="H1437">
        <v>1.0197700000000001</v>
      </c>
      <c r="I1437">
        <v>283.22989999999999</v>
      </c>
      <c r="J1437">
        <v>-265.99400000000003</v>
      </c>
      <c r="K1437">
        <v>1.1071610000000001</v>
      </c>
      <c r="L1437">
        <v>283.11599999999999</v>
      </c>
      <c r="M1437">
        <v>-0.99979390000000001</v>
      </c>
      <c r="N1437">
        <v>0</v>
      </c>
      <c r="O1437">
        <v>1.9586269999999999E-2</v>
      </c>
      <c r="P1437">
        <v>-0.99419500000000005</v>
      </c>
      <c r="Q1437">
        <v>9.0500349999999993E-2</v>
      </c>
      <c r="R1437">
        <v>5.8190600000000002E-2</v>
      </c>
      <c r="S1437">
        <v>-3.0195310000000002</v>
      </c>
      <c r="T1437">
        <v>-0.25535550000000001</v>
      </c>
      <c r="U1437">
        <v>0.35751339999999998</v>
      </c>
      <c r="V1437">
        <v>3.873559E-2</v>
      </c>
      <c r="W1437">
        <v>9.5807539999999997E-2</v>
      </c>
      <c r="X1437">
        <v>0.99464589999999997</v>
      </c>
      <c r="Y1437">
        <v>9.7830500000000001E-2</v>
      </c>
      <c r="Z1437">
        <v>2.4678320000000001E-3</v>
      </c>
      <c r="AA1437">
        <v>0.99519999999999997</v>
      </c>
      <c r="AB1437">
        <v>45</v>
      </c>
      <c r="AC1437">
        <v>-0.59289999999998599</v>
      </c>
      <c r="AD1437">
        <v>-8.7390999999999996E-2</v>
      </c>
      <c r="AE1437">
        <v>0.1139</v>
      </c>
      <c r="AF1437">
        <v>0.100166565540849</v>
      </c>
      <c r="AG1437">
        <v>-8.7390999999999996E-2</v>
      </c>
      <c r="AH1437">
        <v>0.58280604568725003</v>
      </c>
      <c r="AI1437">
        <v>98.406433927953003</v>
      </c>
      <c r="AJ1437">
        <v>80.247882874432506</v>
      </c>
      <c r="AK1437">
        <v>0.59777371523249301</v>
      </c>
      <c r="AL1437">
        <v>84.502199530164503</v>
      </c>
      <c r="AM1437">
        <v>87.769794417742901</v>
      </c>
      <c r="AN1437">
        <v>0.99999999852015398</v>
      </c>
    </row>
    <row r="1438" spans="1:40" x14ac:dyDescent="0.25">
      <c r="A1438" t="str">
        <f>"20190312164502478"</f>
        <v>20190312164502478</v>
      </c>
      <c r="B1438" t="str">
        <f>"1552380302473295"</f>
        <v>1552380302473295</v>
      </c>
      <c r="C1438" t="s">
        <v>40</v>
      </c>
      <c r="D1438">
        <v>5.0947550000000001</v>
      </c>
      <c r="E1438">
        <v>0.52743289999999998</v>
      </c>
      <c r="F1438" t="s">
        <v>41</v>
      </c>
      <c r="G1438">
        <v>-266.99419999999998</v>
      </c>
      <c r="H1438">
        <v>1.0229809999999999</v>
      </c>
      <c r="I1438">
        <v>283.23289999999997</v>
      </c>
      <c r="J1438">
        <v>-266.4554</v>
      </c>
      <c r="K1438">
        <v>1.107159</v>
      </c>
      <c r="L1438">
        <v>283.12509999999997</v>
      </c>
      <c r="M1438">
        <v>-0.99979220000000002</v>
      </c>
      <c r="N1438">
        <v>0</v>
      </c>
      <c r="O1438">
        <v>1.9678379999999999E-2</v>
      </c>
      <c r="P1438">
        <v>-0.99426939999999997</v>
      </c>
      <c r="Q1438">
        <v>9.042646E-2</v>
      </c>
      <c r="R1438">
        <v>5.7023150000000002E-2</v>
      </c>
      <c r="S1438">
        <v>-3.0200499999999999</v>
      </c>
      <c r="T1438">
        <v>-0.25424400000000003</v>
      </c>
      <c r="U1438">
        <v>0.35229490000000002</v>
      </c>
      <c r="V1438">
        <v>3.7475309999999998E-2</v>
      </c>
      <c r="W1438">
        <v>9.5747260000000001E-2</v>
      </c>
      <c r="X1438">
        <v>0.99470000000000003</v>
      </c>
      <c r="Y1438">
        <v>9.6031480000000002E-2</v>
      </c>
      <c r="Z1438">
        <v>2.3739009999999999E-3</v>
      </c>
      <c r="AA1438">
        <v>0.99537549999999997</v>
      </c>
      <c r="AB1438">
        <v>45</v>
      </c>
      <c r="AC1438">
        <v>-0.53879999999997996</v>
      </c>
      <c r="AD1438">
        <v>-8.4178000000000003E-2</v>
      </c>
      <c r="AE1438">
        <v>0.107799999999997</v>
      </c>
      <c r="AF1438">
        <v>9.4947922413815597E-2</v>
      </c>
      <c r="AG1438">
        <v>-8.4178000000000003E-2</v>
      </c>
      <c r="AH1438">
        <v>0.52841559008454697</v>
      </c>
      <c r="AI1438">
        <v>98.910950207139507</v>
      </c>
      <c r="AJ1438">
        <v>79.813554469347807</v>
      </c>
      <c r="AK1438">
        <v>0.54343728202902997</v>
      </c>
      <c r="AL1438">
        <v>84.505669352541801</v>
      </c>
      <c r="AM1438">
        <v>87.842402675329694</v>
      </c>
      <c r="AN1438">
        <v>1.00000001332855</v>
      </c>
    </row>
    <row r="1439" spans="1:40" x14ac:dyDescent="0.25">
      <c r="A1439" t="str">
        <f>"20190312164502499"</f>
        <v>20190312164502499</v>
      </c>
      <c r="B1439" t="str">
        <f>"1552380302492814"</f>
        <v>1552380302492814</v>
      </c>
      <c r="C1439" t="s">
        <v>40</v>
      </c>
      <c r="D1439">
        <v>5.151618</v>
      </c>
      <c r="E1439">
        <v>0.52788409999999997</v>
      </c>
      <c r="F1439" t="s">
        <v>41</v>
      </c>
      <c r="G1439">
        <v>-267.40350000000001</v>
      </c>
      <c r="H1439">
        <v>1.0279590000000001</v>
      </c>
      <c r="I1439">
        <v>283.23630000000003</v>
      </c>
      <c r="J1439">
        <v>-266.90379999999999</v>
      </c>
      <c r="K1439">
        <v>1.1071549999999999</v>
      </c>
      <c r="L1439">
        <v>283.13389999999998</v>
      </c>
      <c r="M1439">
        <v>-0.99979030000000002</v>
      </c>
      <c r="N1439">
        <v>0</v>
      </c>
      <c r="O1439">
        <v>1.9768000000000001E-2</v>
      </c>
      <c r="P1439">
        <v>-0.99435870000000004</v>
      </c>
      <c r="Q1439">
        <v>9.009644E-2</v>
      </c>
      <c r="R1439">
        <v>5.5979330000000001E-2</v>
      </c>
      <c r="S1439">
        <v>-3.0199579999999999</v>
      </c>
      <c r="T1439">
        <v>-0.25229220000000002</v>
      </c>
      <c r="U1439">
        <v>0.3537903</v>
      </c>
      <c r="V1439">
        <v>3.6340780000000003E-2</v>
      </c>
      <c r="W1439">
        <v>9.543066E-2</v>
      </c>
      <c r="X1439">
        <v>0.99477249999999995</v>
      </c>
      <c r="Y1439">
        <v>9.6434930000000002E-2</v>
      </c>
      <c r="Z1439">
        <v>2.3650680000000001E-3</v>
      </c>
      <c r="AA1439">
        <v>0.99533649999999996</v>
      </c>
      <c r="AB1439">
        <v>45</v>
      </c>
      <c r="AC1439">
        <v>-0.49970000000001802</v>
      </c>
      <c r="AD1439">
        <v>-7.9195999999999794E-2</v>
      </c>
      <c r="AE1439">
        <v>0.102400000000045</v>
      </c>
      <c r="AF1439">
        <v>9.0324430064181199E-2</v>
      </c>
      <c r="AG1439">
        <v>-7.9195999999999794E-2</v>
      </c>
      <c r="AH1439">
        <v>0.48981910893090602</v>
      </c>
      <c r="AI1439">
        <v>99.034589628814203</v>
      </c>
      <c r="AJ1439">
        <v>79.551823167655598</v>
      </c>
      <c r="AK1439">
        <v>0.504334480832202</v>
      </c>
      <c r="AL1439">
        <v>84.523892541688795</v>
      </c>
      <c r="AM1439">
        <v>87.907815313147196</v>
      </c>
      <c r="AN1439">
        <v>0.99999999495764602</v>
      </c>
    </row>
    <row r="1440" spans="1:40" x14ac:dyDescent="0.25">
      <c r="A1440" t="str">
        <f>"20190312164502522"</f>
        <v>20190312164502522</v>
      </c>
      <c r="B1440" t="str">
        <f>"1552380302513313"</f>
        <v>1552380302513313</v>
      </c>
      <c r="C1440" t="s">
        <v>40</v>
      </c>
      <c r="D1440">
        <v>5.3675790000000001</v>
      </c>
      <c r="E1440">
        <v>0.52819959999999999</v>
      </c>
      <c r="F1440" t="s">
        <v>41</v>
      </c>
      <c r="G1440">
        <v>-267.8134</v>
      </c>
      <c r="H1440">
        <v>1.0323549999999999</v>
      </c>
      <c r="I1440">
        <v>283.24119999999999</v>
      </c>
      <c r="J1440">
        <v>-267.36750000000001</v>
      </c>
      <c r="K1440">
        <v>1.107151</v>
      </c>
      <c r="L1440">
        <v>283.14319999999998</v>
      </c>
      <c r="M1440">
        <v>-0.99978829999999996</v>
      </c>
      <c r="N1440">
        <v>0</v>
      </c>
      <c r="O1440">
        <v>1.986011E-2</v>
      </c>
      <c r="P1440">
        <v>-0.99442180000000002</v>
      </c>
      <c r="Q1440">
        <v>9.0106989999999998E-2</v>
      </c>
      <c r="R1440">
        <v>5.4829219999999998E-2</v>
      </c>
      <c r="S1440">
        <v>-3.0195310000000002</v>
      </c>
      <c r="T1440">
        <v>-0.2484585</v>
      </c>
      <c r="U1440">
        <v>0.355072</v>
      </c>
      <c r="V1440">
        <v>3.5098329999999997E-2</v>
      </c>
      <c r="W1440">
        <v>9.5455360000000003E-2</v>
      </c>
      <c r="X1440">
        <v>0.9948148</v>
      </c>
      <c r="Y1440">
        <v>9.6783279999999999E-2</v>
      </c>
      <c r="Z1440">
        <v>2.3362439999999999E-3</v>
      </c>
      <c r="AA1440">
        <v>0.99530269999999998</v>
      </c>
      <c r="AB1440">
        <v>46</v>
      </c>
      <c r="AC1440">
        <v>-0.44589999999999402</v>
      </c>
      <c r="AD1440">
        <v>-7.4796000000000001E-2</v>
      </c>
      <c r="AE1440">
        <v>9.8000000000013202E-2</v>
      </c>
      <c r="AF1440">
        <v>8.6795268523151198E-2</v>
      </c>
      <c r="AG1440">
        <v>-7.4796000000000001E-2</v>
      </c>
      <c r="AH1440">
        <v>0.43605434043383701</v>
      </c>
      <c r="AI1440">
        <v>99.549388336902297</v>
      </c>
      <c r="AJ1440">
        <v>78.742584929748304</v>
      </c>
      <c r="AK1440">
        <v>0.45085612790023699</v>
      </c>
      <c r="AL1440">
        <v>84.522471161398101</v>
      </c>
      <c r="AM1440">
        <v>87.979370234730496</v>
      </c>
      <c r="AN1440">
        <v>1.0000000524102699</v>
      </c>
    </row>
    <row r="1441" spans="1:40" x14ac:dyDescent="0.25">
      <c r="A1441" t="str">
        <f>"20190312164502554"</f>
        <v>20190312164502554</v>
      </c>
      <c r="B1441" t="str">
        <f>"1552380302543570"</f>
        <v>1552380302543570</v>
      </c>
      <c r="C1441" t="s">
        <v>40</v>
      </c>
      <c r="D1441">
        <v>5.3934300000000004</v>
      </c>
      <c r="E1441">
        <v>0.52865240000000002</v>
      </c>
      <c r="F1441" t="s">
        <v>41</v>
      </c>
      <c r="G1441">
        <v>-268.22489999999999</v>
      </c>
      <c r="H1441">
        <v>1.0375449999999999</v>
      </c>
      <c r="I1441">
        <v>283.24400000000003</v>
      </c>
      <c r="J1441">
        <v>-268.0265</v>
      </c>
      <c r="K1441">
        <v>1.107146</v>
      </c>
      <c r="L1441">
        <v>283.15629999999999</v>
      </c>
      <c r="M1441">
        <v>-0.99978549999999999</v>
      </c>
      <c r="N1441">
        <v>0</v>
      </c>
      <c r="O1441">
        <v>1.999155E-2</v>
      </c>
      <c r="P1441">
        <v>-0.99457419999999996</v>
      </c>
      <c r="Q1441">
        <v>8.9559780000000005E-2</v>
      </c>
      <c r="R1441">
        <v>5.2928160000000002E-2</v>
      </c>
      <c r="S1441">
        <v>-3.0194700000000001</v>
      </c>
      <c r="T1441">
        <v>-0.2451508</v>
      </c>
      <c r="U1441">
        <v>0.35510249999999999</v>
      </c>
      <c r="V1441">
        <v>3.306361E-2</v>
      </c>
      <c r="W1441">
        <v>9.492942E-2</v>
      </c>
      <c r="X1441">
        <v>0.99493480000000001</v>
      </c>
      <c r="Y1441">
        <v>9.6672220000000003E-2</v>
      </c>
      <c r="Z1441">
        <v>2.2901929999999998E-3</v>
      </c>
      <c r="AA1441">
        <v>0.99531360000000002</v>
      </c>
      <c r="AB1441">
        <v>46</v>
      </c>
      <c r="AC1441">
        <v>-0.198399999999992</v>
      </c>
      <c r="AD1441">
        <v>-6.9600999999999802E-2</v>
      </c>
      <c r="AE1441">
        <v>8.7700000000040704E-2</v>
      </c>
      <c r="AF1441">
        <v>7.5901827837637298E-2</v>
      </c>
      <c r="AG1441">
        <v>-6.9600999999999802E-2</v>
      </c>
      <c r="AH1441">
        <v>0.18143454083997401</v>
      </c>
      <c r="AI1441">
        <v>109.488624150901</v>
      </c>
      <c r="AJ1441">
        <v>67.298356433182207</v>
      </c>
      <c r="AK1441">
        <v>0.20862377448389299</v>
      </c>
      <c r="AL1441">
        <v>84.552742628391002</v>
      </c>
      <c r="AM1441">
        <v>88.096650754702196</v>
      </c>
      <c r="AN1441">
        <v>1.0000000266694</v>
      </c>
    </row>
    <row r="1442" spans="1:40" x14ac:dyDescent="0.25">
      <c r="A1442" t="str">
        <f>"20190312164502566"</f>
        <v>20190312164502566</v>
      </c>
      <c r="B1442" t="str">
        <f>"1552380302563088"</f>
        <v>1552380302563088</v>
      </c>
      <c r="C1442" t="s">
        <v>40</v>
      </c>
      <c r="D1442">
        <v>5.0965930000000004</v>
      </c>
      <c r="E1442">
        <v>0.52901899999999902</v>
      </c>
      <c r="F1442" t="s">
        <v>41</v>
      </c>
      <c r="G1442">
        <v>-269.03989999999999</v>
      </c>
      <c r="H1442">
        <v>1.025765</v>
      </c>
      <c r="I1442">
        <v>283.27530000000002</v>
      </c>
      <c r="J1442">
        <v>-268.29070000000002</v>
      </c>
      <c r="K1442">
        <v>1.107145</v>
      </c>
      <c r="L1442">
        <v>283.16160000000002</v>
      </c>
      <c r="M1442">
        <v>-0.99978449999999996</v>
      </c>
      <c r="N1442">
        <v>0</v>
      </c>
      <c r="O1442">
        <v>2.0044099999999999E-2</v>
      </c>
      <c r="P1442">
        <v>-0.99461299999999997</v>
      </c>
      <c r="Q1442">
        <v>8.9574409999999993E-2</v>
      </c>
      <c r="R1442">
        <v>5.2168150000000003E-2</v>
      </c>
      <c r="S1442">
        <v>-3.0193479999999999</v>
      </c>
      <c r="T1442">
        <v>-0.24253759999999999</v>
      </c>
      <c r="U1442">
        <v>0.354126</v>
      </c>
      <c r="V1442">
        <v>3.2250679999999997E-2</v>
      </c>
      <c r="W1442">
        <v>9.4953159999999995E-2</v>
      </c>
      <c r="X1442">
        <v>0.99495919999999904</v>
      </c>
      <c r="Y1442">
        <v>9.6313579999999996E-2</v>
      </c>
      <c r="Z1442">
        <v>2.2474610000000001E-3</v>
      </c>
      <c r="AA1442">
        <v>0.99534849999999997</v>
      </c>
      <c r="AB1442">
        <v>46</v>
      </c>
      <c r="AC1442">
        <v>-0.749199999999973</v>
      </c>
      <c r="AD1442">
        <v>-8.1379999999999994E-2</v>
      </c>
      <c r="AE1442">
        <v>0.113699999999994</v>
      </c>
      <c r="AF1442">
        <v>9.7535004632546704E-2</v>
      </c>
      <c r="AG1442">
        <v>-8.1379999999999994E-2</v>
      </c>
      <c r="AH1442">
        <v>0.74276208432365898</v>
      </c>
      <c r="AI1442">
        <v>96.199811660626693</v>
      </c>
      <c r="AJ1442">
        <v>82.519069116500503</v>
      </c>
      <c r="AK1442">
        <v>0.75354581508856999</v>
      </c>
      <c r="AL1442">
        <v>84.551376159664898</v>
      </c>
      <c r="AM1442">
        <v>88.143460451087506</v>
      </c>
      <c r="AN1442">
        <v>1.00000000930954</v>
      </c>
    </row>
    <row r="1443" spans="1:40" x14ac:dyDescent="0.25">
      <c r="A1443" t="str">
        <f>"20190312164502588"</f>
        <v>20190312164502588</v>
      </c>
      <c r="B1443" t="str">
        <f>"1552380302582606"</f>
        <v>1552380302582606</v>
      </c>
      <c r="C1443" t="s">
        <v>40</v>
      </c>
      <c r="D1443">
        <v>5.4021790000000003</v>
      </c>
      <c r="E1443">
        <v>0.52914349999999999</v>
      </c>
      <c r="F1443" t="s">
        <v>41</v>
      </c>
      <c r="G1443">
        <v>-269.05040000000002</v>
      </c>
      <c r="H1443">
        <v>1.0467839999999999</v>
      </c>
      <c r="I1443">
        <v>283.25119999999998</v>
      </c>
      <c r="J1443">
        <v>-268.70749999999998</v>
      </c>
      <c r="K1443">
        <v>1.1071420000000001</v>
      </c>
      <c r="L1443">
        <v>283.17</v>
      </c>
      <c r="M1443">
        <v>-0.99978279999999997</v>
      </c>
      <c r="N1443">
        <v>0</v>
      </c>
      <c r="O1443">
        <v>2.0126689999999999E-2</v>
      </c>
      <c r="P1443">
        <v>-0.99472959999999999</v>
      </c>
      <c r="Q1443">
        <v>8.9116020000000004E-2</v>
      </c>
      <c r="R1443">
        <v>5.0709959999999998E-2</v>
      </c>
      <c r="S1443">
        <v>-3.0192260000000002</v>
      </c>
      <c r="T1443">
        <v>-0.23998240000000001</v>
      </c>
      <c r="U1443">
        <v>0.35549930000000002</v>
      </c>
      <c r="V1443">
        <v>3.0708340000000001E-2</v>
      </c>
      <c r="W1443">
        <v>9.4508830000000002E-2</v>
      </c>
      <c r="X1443">
        <v>0.99505030000000005</v>
      </c>
      <c r="Y1443">
        <v>9.6686739999999993E-2</v>
      </c>
      <c r="Z1443">
        <v>2.2321189999999999E-3</v>
      </c>
      <c r="AA1443">
        <v>0.99531230000000004</v>
      </c>
      <c r="AB1443">
        <v>46</v>
      </c>
      <c r="AC1443">
        <v>-0.342900000000042</v>
      </c>
      <c r="AD1443">
        <v>-6.0358000000000099E-2</v>
      </c>
      <c r="AE1443">
        <v>8.1199999999967007E-2</v>
      </c>
      <c r="AF1443">
        <v>7.2164793711141997E-2</v>
      </c>
      <c r="AG1443">
        <v>-6.0358000000000099E-2</v>
      </c>
      <c r="AH1443">
        <v>0.33464677912722501</v>
      </c>
      <c r="AI1443">
        <v>99.999080894342598</v>
      </c>
      <c r="AJ1443">
        <v>77.830819697685499</v>
      </c>
      <c r="AK1443">
        <v>0.34761949369331602</v>
      </c>
      <c r="AL1443">
        <v>84.576949404029605</v>
      </c>
      <c r="AM1443">
        <v>88.232350642647901</v>
      </c>
      <c r="AN1443">
        <v>1.0000000103118001</v>
      </c>
    </row>
    <row r="1444" spans="1:40" x14ac:dyDescent="0.25">
      <c r="A1444" t="str">
        <f>"20190312164502611"</f>
        <v>20190312164502611</v>
      </c>
      <c r="B1444" t="str">
        <f>"1552380302603102"</f>
        <v>1552380302603102</v>
      </c>
      <c r="C1444" t="s">
        <v>40</v>
      </c>
      <c r="D1444">
        <v>5.102735</v>
      </c>
      <c r="E1444">
        <v>0.52938560000000001</v>
      </c>
      <c r="F1444" t="s">
        <v>41</v>
      </c>
      <c r="G1444">
        <v>-269.46269999999998</v>
      </c>
      <c r="H1444">
        <v>1.047293</v>
      </c>
      <c r="I1444">
        <v>283.25839999999999</v>
      </c>
      <c r="J1444">
        <v>-269.21870000000001</v>
      </c>
      <c r="K1444">
        <v>1.1071390000000001</v>
      </c>
      <c r="L1444">
        <v>283.18040000000002</v>
      </c>
      <c r="M1444">
        <v>-0.99978060000000002</v>
      </c>
      <c r="N1444">
        <v>0</v>
      </c>
      <c r="O1444">
        <v>2.0228630000000001E-2</v>
      </c>
      <c r="P1444">
        <v>-0.99483880000000002</v>
      </c>
      <c r="Q1444">
        <v>8.8842149999999995E-2</v>
      </c>
      <c r="R1444">
        <v>4.9019500000000001E-2</v>
      </c>
      <c r="S1444">
        <v>-3.019409</v>
      </c>
      <c r="T1444">
        <v>-0.23950579999999999</v>
      </c>
      <c r="U1444">
        <v>0.35223389999999999</v>
      </c>
      <c r="V1444">
        <v>2.8914490000000001E-2</v>
      </c>
      <c r="W1444">
        <v>9.4252030000000001E-2</v>
      </c>
      <c r="X1444">
        <v>0.99512840000000002</v>
      </c>
      <c r="Y1444">
        <v>9.5521220000000004E-2</v>
      </c>
      <c r="Z1444">
        <v>2.1736619999999998E-3</v>
      </c>
      <c r="AA1444">
        <v>0.995425</v>
      </c>
      <c r="AB1444">
        <v>46</v>
      </c>
      <c r="AC1444">
        <v>-0.24399999999997099</v>
      </c>
      <c r="AD1444">
        <v>-5.9845999999999802E-2</v>
      </c>
      <c r="AE1444">
        <v>7.7999999999974506E-2</v>
      </c>
      <c r="AF1444">
        <v>6.9267553140053506E-2</v>
      </c>
      <c r="AG1444">
        <v>-5.9845999999999802E-2</v>
      </c>
      <c r="AH1444">
        <v>0.232820566649722</v>
      </c>
      <c r="AI1444">
        <v>103.840595627357</v>
      </c>
      <c r="AJ1444">
        <v>73.431481859737801</v>
      </c>
      <c r="AK1444">
        <v>0.250169850080116</v>
      </c>
      <c r="AL1444">
        <v>84.591728945786002</v>
      </c>
      <c r="AM1444">
        <v>88.3356798368591</v>
      </c>
      <c r="AN1444">
        <v>1.00000001268882</v>
      </c>
    </row>
    <row r="1445" spans="1:40" x14ac:dyDescent="0.25">
      <c r="A1445" t="str">
        <f>"20190312164502623"</f>
        <v>20190312164502623</v>
      </c>
      <c r="B1445" t="str">
        <f>"1552380302612863"</f>
        <v>1552380302612863</v>
      </c>
      <c r="C1445" t="s">
        <v>40</v>
      </c>
      <c r="D1445">
        <v>5.1814830000000001</v>
      </c>
      <c r="E1445">
        <v>0.52951369999999998</v>
      </c>
      <c r="F1445" t="s">
        <v>41</v>
      </c>
      <c r="G1445">
        <v>-270.27780000000001</v>
      </c>
      <c r="H1445">
        <v>1.0233650000000001</v>
      </c>
      <c r="I1445">
        <v>283.30309999999997</v>
      </c>
      <c r="J1445">
        <v>-269.46350000000001</v>
      </c>
      <c r="K1445">
        <v>1.1071359999999999</v>
      </c>
      <c r="L1445">
        <v>283.18529999999998</v>
      </c>
      <c r="M1445">
        <v>-0.99977950000000004</v>
      </c>
      <c r="N1445">
        <v>0</v>
      </c>
      <c r="O1445">
        <v>2.0277480000000001E-2</v>
      </c>
      <c r="P1445">
        <v>-0.99489130000000003</v>
      </c>
      <c r="Q1445">
        <v>8.8596289999999994E-2</v>
      </c>
      <c r="R1445">
        <v>4.8393360000000003E-2</v>
      </c>
      <c r="S1445">
        <v>-3.0196839999999998</v>
      </c>
      <c r="T1445">
        <v>-0.2389859</v>
      </c>
      <c r="U1445">
        <v>0.34930420000000001</v>
      </c>
      <c r="V1445">
        <v>2.8238579999999999E-2</v>
      </c>
      <c r="W1445">
        <v>9.4014180000000003E-2</v>
      </c>
      <c r="X1445">
        <v>0.99517029999999995</v>
      </c>
      <c r="Y1445">
        <v>9.4513490000000006E-2</v>
      </c>
      <c r="Z1445">
        <v>2.1253510000000001E-3</v>
      </c>
      <c r="AA1445">
        <v>0.99552130000000005</v>
      </c>
      <c r="AB1445">
        <v>46</v>
      </c>
      <c r="AC1445">
        <v>-0.81430000000000202</v>
      </c>
      <c r="AD1445">
        <v>-8.3771000000000206E-2</v>
      </c>
      <c r="AE1445">
        <v>0.117799999999988</v>
      </c>
      <c r="AF1445">
        <v>0.10022462277279599</v>
      </c>
      <c r="AG1445">
        <v>-8.3771000000000206E-2</v>
      </c>
      <c r="AH1445">
        <v>0.80814383323155403</v>
      </c>
      <c r="AI1445">
        <v>95.8733824639624</v>
      </c>
      <c r="AJ1445">
        <v>82.930372360661394</v>
      </c>
      <c r="AK1445">
        <v>0.81863240263328196</v>
      </c>
      <c r="AL1445">
        <v>84.605417486197396</v>
      </c>
      <c r="AM1445">
        <v>88.374632544994697</v>
      </c>
      <c r="AN1445">
        <v>1.0000000047217801</v>
      </c>
    </row>
    <row r="1446" spans="1:40" x14ac:dyDescent="0.25">
      <c r="A1446" t="str">
        <f>"20190312164502636"</f>
        <v>20190312164502636</v>
      </c>
      <c r="B1446" t="str">
        <f>"1552380302633359"</f>
        <v>1552380302633359</v>
      </c>
      <c r="C1446" t="s">
        <v>40</v>
      </c>
      <c r="D1446">
        <v>5.1121030000000003</v>
      </c>
      <c r="E1446">
        <v>0.50420450000000006</v>
      </c>
      <c r="F1446" t="s">
        <v>41</v>
      </c>
      <c r="G1446">
        <v>-270.28730000000002</v>
      </c>
      <c r="H1446">
        <v>1.0422959999999999</v>
      </c>
      <c r="I1446">
        <v>283.2808</v>
      </c>
      <c r="J1446">
        <v>-269.70690000000002</v>
      </c>
      <c r="K1446">
        <v>1.1071329999999999</v>
      </c>
      <c r="L1446">
        <v>283.1902</v>
      </c>
      <c r="M1446">
        <v>-0.99977859999999996</v>
      </c>
      <c r="N1446">
        <v>0</v>
      </c>
      <c r="O1446">
        <v>2.0325860000000001E-2</v>
      </c>
      <c r="P1446">
        <v>-0.99491640000000003</v>
      </c>
      <c r="Q1446">
        <v>8.8649329999999998E-2</v>
      </c>
      <c r="R1446">
        <v>4.7780169999999997E-2</v>
      </c>
      <c r="S1446">
        <v>-3.0196529999999999</v>
      </c>
      <c r="T1446">
        <v>-0.2378701</v>
      </c>
      <c r="U1446">
        <v>0.348999</v>
      </c>
      <c r="V1446">
        <v>2.7577109999999998E-2</v>
      </c>
      <c r="W1446">
        <v>9.4075889999999995E-2</v>
      </c>
      <c r="X1446">
        <v>0.99518300000000004</v>
      </c>
      <c r="Y1446">
        <v>9.4369889999999998E-2</v>
      </c>
      <c r="Z1446">
        <v>2.106073E-3</v>
      </c>
      <c r="AA1446">
        <v>0.99553499999999995</v>
      </c>
      <c r="AB1446">
        <v>46</v>
      </c>
      <c r="AC1446">
        <v>-0.58039999999999703</v>
      </c>
      <c r="AD1446">
        <v>-6.4837000000000006E-2</v>
      </c>
      <c r="AE1446">
        <v>9.0599999999994907E-2</v>
      </c>
      <c r="AF1446">
        <v>7.7835746576045306E-2</v>
      </c>
      <c r="AG1446">
        <v>-6.4837000000000006E-2</v>
      </c>
      <c r="AH1446">
        <v>0.57511531420734596</v>
      </c>
      <c r="AI1446">
        <v>96.374586844788297</v>
      </c>
      <c r="AJ1446">
        <v>82.292456431404005</v>
      </c>
      <c r="AK1446">
        <v>0.58396906138070703</v>
      </c>
      <c r="AL1446">
        <v>84.601865926249999</v>
      </c>
      <c r="AM1446">
        <v>88.412706234015801</v>
      </c>
      <c r="AN1446">
        <v>0.99999998678212199</v>
      </c>
    </row>
    <row r="1447" spans="1:40" x14ac:dyDescent="0.25">
      <c r="A1447" t="str">
        <f>"20190312164502653"</f>
        <v>20190312164502653</v>
      </c>
      <c r="B1447" t="str">
        <f>"1552380302643122"</f>
        <v>1552380302643122</v>
      </c>
      <c r="C1447" t="s">
        <v>40</v>
      </c>
      <c r="D1447">
        <v>5.0542020000000001</v>
      </c>
      <c r="E1447">
        <v>0.49948569999999998</v>
      </c>
      <c r="F1447" t="s">
        <v>41</v>
      </c>
      <c r="G1447">
        <v>-270.69490000000002</v>
      </c>
      <c r="H1447">
        <v>1.024125</v>
      </c>
      <c r="I1447">
        <v>283.23739999999998</v>
      </c>
      <c r="J1447">
        <v>-270.08789999999999</v>
      </c>
      <c r="K1447">
        <v>1.1071279999999999</v>
      </c>
      <c r="L1447">
        <v>283.19799999999998</v>
      </c>
      <c r="M1447">
        <v>-0.99977700000000003</v>
      </c>
      <c r="N1447">
        <v>0</v>
      </c>
      <c r="O1447">
        <v>2.0401590000000001E-2</v>
      </c>
      <c r="P1447">
        <v>-0.99501810000000002</v>
      </c>
      <c r="Q1447">
        <v>8.8229730000000006E-2</v>
      </c>
      <c r="R1447">
        <v>4.6415320000000003E-2</v>
      </c>
      <c r="S1447">
        <v>-3.0310969999999999</v>
      </c>
      <c r="T1447">
        <v>-0.2546716</v>
      </c>
      <c r="U1447">
        <v>0.14450070000000001</v>
      </c>
      <c r="V1447">
        <v>2.6134879999999999E-2</v>
      </c>
      <c r="W1447">
        <v>9.3669520000000006E-2</v>
      </c>
      <c r="X1447">
        <v>0.99526020000000004</v>
      </c>
      <c r="Y1447">
        <v>2.7206080000000001E-2</v>
      </c>
      <c r="Z1447">
        <v>-5.6961390000000005E-4</v>
      </c>
      <c r="AA1447">
        <v>0.99962969999999896</v>
      </c>
      <c r="AB1447">
        <v>46</v>
      </c>
      <c r="AC1447">
        <v>-0.60700000000002696</v>
      </c>
      <c r="AD1447">
        <v>-8.3003000000000104E-2</v>
      </c>
      <c r="AE1447">
        <v>3.9400000000000497E-2</v>
      </c>
      <c r="AF1447">
        <v>2.65141513752656E-2</v>
      </c>
      <c r="AG1447">
        <v>-8.3003000000000104E-2</v>
      </c>
      <c r="AH1447">
        <v>0.59656925668638505</v>
      </c>
      <c r="AI1447">
        <v>97.913221439679106</v>
      </c>
      <c r="AJ1447">
        <v>87.455199244457006</v>
      </c>
      <c r="AK1447">
        <v>0.602899142689303</v>
      </c>
      <c r="AL1447">
        <v>84.6252522215607</v>
      </c>
      <c r="AM1447">
        <v>88.495796093084905</v>
      </c>
      <c r="AN1447">
        <v>0.99999993831683998</v>
      </c>
    </row>
    <row r="1448" spans="1:40" x14ac:dyDescent="0.25">
      <c r="A1448" t="str">
        <f>"20190312164502667"</f>
        <v>20190312164502667</v>
      </c>
      <c r="B1448" t="str">
        <f>"1552380302662638"</f>
        <v>1552380302662638</v>
      </c>
      <c r="C1448" t="s">
        <v>40</v>
      </c>
      <c r="D1448">
        <v>5.0152910000000004</v>
      </c>
      <c r="E1448">
        <v>0.4931355</v>
      </c>
      <c r="F1448" t="s">
        <v>41</v>
      </c>
      <c r="G1448">
        <v>-271.11180000000002</v>
      </c>
      <c r="H1448">
        <v>1.024743</v>
      </c>
      <c r="I1448">
        <v>283.23340000000002</v>
      </c>
      <c r="J1448">
        <v>-270.3603</v>
      </c>
      <c r="K1448">
        <v>1.1071230000000001</v>
      </c>
      <c r="L1448">
        <v>283.20359999999999</v>
      </c>
      <c r="M1448">
        <v>-0.99977579999999999</v>
      </c>
      <c r="N1448">
        <v>0</v>
      </c>
      <c r="O1448">
        <v>2.045545E-2</v>
      </c>
      <c r="P1448">
        <v>-0.99505319999999997</v>
      </c>
      <c r="Q1448">
        <v>8.8064859999999995E-2</v>
      </c>
      <c r="R1448">
        <v>4.5977150000000001E-2</v>
      </c>
      <c r="S1448">
        <v>-3.0318299999999998</v>
      </c>
      <c r="T1448">
        <v>-0.24413570000000001</v>
      </c>
      <c r="U1448">
        <v>0.1037903</v>
      </c>
      <c r="V1448">
        <v>2.564249E-2</v>
      </c>
      <c r="W1448">
        <v>9.351429E-2</v>
      </c>
      <c r="X1448">
        <v>0.9952877</v>
      </c>
      <c r="Y1448">
        <v>1.378413E-2</v>
      </c>
      <c r="Z1448">
        <v>-1.089893E-3</v>
      </c>
      <c r="AA1448">
        <v>0.99990440000000003</v>
      </c>
      <c r="AB1448">
        <v>46</v>
      </c>
      <c r="AC1448">
        <v>-0.75150000000002104</v>
      </c>
      <c r="AD1448">
        <v>-8.2379999999999898E-2</v>
      </c>
      <c r="AE1448">
        <v>2.9800000000022898E-2</v>
      </c>
      <c r="AF1448">
        <v>1.42502911583789E-2</v>
      </c>
      <c r="AG1448">
        <v>-8.2379999999999898E-2</v>
      </c>
      <c r="AH1448">
        <v>0.74303748856516105</v>
      </c>
      <c r="AI1448">
        <v>96.325348333225094</v>
      </c>
      <c r="AJ1448">
        <v>88.901291696684893</v>
      </c>
      <c r="AK1448">
        <v>0.74772604917263696</v>
      </c>
      <c r="AL1448">
        <v>84.634185965318807</v>
      </c>
      <c r="AM1448">
        <v>88.524163910820903</v>
      </c>
      <c r="AN1448">
        <v>1.00000003274944</v>
      </c>
    </row>
    <row r="1449" spans="1:40" x14ac:dyDescent="0.25">
      <c r="A1449" t="str">
        <f>"20190312164502682"</f>
        <v>20190312164502682</v>
      </c>
      <c r="B1449" t="str">
        <f>"1552380302673375"</f>
        <v>1552380302673375</v>
      </c>
      <c r="C1449" t="s">
        <v>40</v>
      </c>
      <c r="D1449">
        <v>5.254867</v>
      </c>
      <c r="E1449">
        <v>0.49169000000000002</v>
      </c>
      <c r="F1449" t="s">
        <v>51</v>
      </c>
      <c r="G1449">
        <v>-284.31950000000001</v>
      </c>
      <c r="H1449" s="1">
        <v>6.7291630000000003E-6</v>
      </c>
      <c r="I1449">
        <v>283.44310000000002</v>
      </c>
      <c r="J1449">
        <v>-270.65469999999999</v>
      </c>
      <c r="K1449">
        <v>1.107116</v>
      </c>
      <c r="L1449">
        <v>283.2097</v>
      </c>
      <c r="M1449">
        <v>-0.99977459999999996</v>
      </c>
      <c r="N1449">
        <v>0</v>
      </c>
      <c r="O1449">
        <v>2.0514020000000001E-2</v>
      </c>
      <c r="P1449">
        <v>-0.99508969999999997</v>
      </c>
      <c r="Q1449">
        <v>8.801958E-2</v>
      </c>
      <c r="R1449">
        <v>4.5270480000000002E-2</v>
      </c>
      <c r="S1449">
        <v>-3.0337830000000001</v>
      </c>
      <c r="T1449">
        <v>-0.24061170000000001</v>
      </c>
      <c r="U1449">
        <v>5.2062990000000003E-2</v>
      </c>
      <c r="V1449">
        <v>2.4877050000000001E-2</v>
      </c>
      <c r="W1449">
        <v>9.3479160000000006E-2</v>
      </c>
      <c r="X1449">
        <v>0.99531040000000004</v>
      </c>
      <c r="Y1449">
        <v>-3.2816719999999998E-3</v>
      </c>
      <c r="Z1449">
        <v>-1.7541029999999999E-3</v>
      </c>
      <c r="AA1449">
        <v>0.99999309999999997</v>
      </c>
      <c r="AB1449">
        <v>46</v>
      </c>
      <c r="AC1449">
        <v>-13.6648</v>
      </c>
      <c r="AD1449">
        <v>-1.1071092708370001</v>
      </c>
      <c r="AE1449">
        <v>0.23340000000001701</v>
      </c>
      <c r="AF1449">
        <v>-4.6667054355021199E-2</v>
      </c>
      <c r="AG1449">
        <v>-1.1071092708370001</v>
      </c>
      <c r="AH1449">
        <v>13.5776137482568</v>
      </c>
      <c r="AI1449">
        <v>94.661518218919497</v>
      </c>
      <c r="AJ1449">
        <v>90.196928177331898</v>
      </c>
      <c r="AK1449">
        <v>13.622755369175</v>
      </c>
      <c r="AL1449">
        <v>84.6362074813253</v>
      </c>
      <c r="AM1449">
        <v>88.568232310947295</v>
      </c>
      <c r="AN1449">
        <v>1.00000000665958</v>
      </c>
    </row>
    <row r="1450" spans="1:40" x14ac:dyDescent="0.25">
      <c r="A1450" t="str">
        <f>"20190312164502700"</f>
        <v>20190312164502700</v>
      </c>
      <c r="B1450" t="str">
        <f>"1552380302692895"</f>
        <v>1552380302692895</v>
      </c>
      <c r="C1450" t="s">
        <v>40</v>
      </c>
      <c r="D1450">
        <v>5.2081470000000003</v>
      </c>
      <c r="E1450">
        <v>0.49049150000000002</v>
      </c>
      <c r="F1450" t="s">
        <v>41</v>
      </c>
      <c r="G1450">
        <v>-271.53969999999998</v>
      </c>
      <c r="H1450">
        <v>1.039704</v>
      </c>
      <c r="I1450">
        <v>283.22140000000002</v>
      </c>
      <c r="J1450">
        <v>-271.06459999999998</v>
      </c>
      <c r="K1450">
        <v>1.107113</v>
      </c>
      <c r="L1450">
        <v>283.21809999999999</v>
      </c>
      <c r="M1450">
        <v>-0.99977269999999896</v>
      </c>
      <c r="N1450">
        <v>0</v>
      </c>
      <c r="O1450">
        <v>2.0595039999999998E-2</v>
      </c>
      <c r="P1450">
        <v>-0.99512449999999997</v>
      </c>
      <c r="Q1450">
        <v>8.8146489999999994E-2</v>
      </c>
      <c r="R1450">
        <v>4.4244070000000003E-2</v>
      </c>
      <c r="S1450">
        <v>-3.0334469999999998</v>
      </c>
      <c r="T1450">
        <v>-0.23115930000000001</v>
      </c>
      <c r="U1450">
        <v>3.9642330000000003E-2</v>
      </c>
      <c r="V1450">
        <v>2.3769539999999999E-2</v>
      </c>
      <c r="W1450">
        <v>9.3621099999999999E-2</v>
      </c>
      <c r="X1450">
        <v>0.99532410000000004</v>
      </c>
      <c r="Y1450">
        <v>-7.4477950000000001E-3</v>
      </c>
      <c r="Z1450">
        <v>-1.8503149999999999E-3</v>
      </c>
      <c r="AA1450">
        <v>0.99997060000000004</v>
      </c>
      <c r="AB1450">
        <v>47</v>
      </c>
      <c r="AC1450">
        <v>-0.47509999999999702</v>
      </c>
      <c r="AD1450">
        <v>-6.7408999999999802E-2</v>
      </c>
      <c r="AE1450">
        <v>3.30000000002428E-3</v>
      </c>
      <c r="AF1450">
        <v>-6.3575738996429496E-3</v>
      </c>
      <c r="AG1450">
        <v>-6.7408999999999802E-2</v>
      </c>
      <c r="AH1450">
        <v>0.46569277597963199</v>
      </c>
      <c r="AI1450">
        <v>98.235597327777</v>
      </c>
      <c r="AJ1450">
        <v>90.782145534830505</v>
      </c>
      <c r="AK1450">
        <v>0.47058915587431999</v>
      </c>
      <c r="AL1450">
        <v>84.628038967567505</v>
      </c>
      <c r="AM1450">
        <v>88.631967707842193</v>
      </c>
      <c r="AN1450">
        <v>0.99999998271891499</v>
      </c>
    </row>
    <row r="1451" spans="1:40" x14ac:dyDescent="0.25">
      <c r="A1451" t="str">
        <f>"20190312164502723"</f>
        <v>20190312164502723</v>
      </c>
      <c r="B1451" t="str">
        <f>"1552380302713390"</f>
        <v>1552380302713390</v>
      </c>
      <c r="C1451" t="s">
        <v>40</v>
      </c>
      <c r="D1451">
        <v>5.0975020000000004</v>
      </c>
      <c r="E1451">
        <v>0.49024970000000001</v>
      </c>
      <c r="F1451" t="s">
        <v>51</v>
      </c>
      <c r="G1451">
        <v>-286.47930000000002</v>
      </c>
      <c r="H1451" s="1">
        <v>5.7881630000000004E-6</v>
      </c>
      <c r="I1451">
        <v>283.36189999999999</v>
      </c>
      <c r="J1451">
        <v>-271.52809999999999</v>
      </c>
      <c r="K1451">
        <v>1.107113</v>
      </c>
      <c r="L1451">
        <v>283.22770000000003</v>
      </c>
      <c r="M1451">
        <v>-0.99977079999999996</v>
      </c>
      <c r="N1451">
        <v>0</v>
      </c>
      <c r="O1451">
        <v>2.0686260000000001E-2</v>
      </c>
      <c r="P1451">
        <v>-0.99514259999999999</v>
      </c>
      <c r="Q1451">
        <v>8.8235450000000007E-2</v>
      </c>
      <c r="R1451">
        <v>4.3656359999999998E-2</v>
      </c>
      <c r="S1451">
        <v>-3.032715</v>
      </c>
      <c r="T1451">
        <v>-0.2178138</v>
      </c>
      <c r="U1451">
        <v>2.8289789999999999E-2</v>
      </c>
      <c r="V1451">
        <v>2.3091029999999999E-2</v>
      </c>
      <c r="W1451">
        <v>9.3726019999999993E-2</v>
      </c>
      <c r="X1451">
        <v>0.99533020000000005</v>
      </c>
      <c r="Y1451">
        <v>-1.1277560000000001E-2</v>
      </c>
      <c r="Z1451">
        <v>-1.8881359999999999E-3</v>
      </c>
      <c r="AA1451">
        <v>0.99993460000000001</v>
      </c>
      <c r="AB1451">
        <v>47</v>
      </c>
      <c r="AC1451">
        <v>-14.9512</v>
      </c>
      <c r="AD1451">
        <v>-1.107107211837</v>
      </c>
      <c r="AE1451">
        <v>0.13419999999996399</v>
      </c>
      <c r="AF1451">
        <v>-0.174162954883852</v>
      </c>
      <c r="AG1451">
        <v>-1.107107211837</v>
      </c>
      <c r="AH1451">
        <v>14.869253489193699</v>
      </c>
      <c r="AI1451">
        <v>94.257874470592498</v>
      </c>
      <c r="AJ1451">
        <v>90.671072422380007</v>
      </c>
      <c r="AK1451">
        <v>14.91142912129</v>
      </c>
      <c r="AL1451">
        <v>84.6220009558958</v>
      </c>
      <c r="AM1451">
        <v>88.671012608656994</v>
      </c>
      <c r="AN1451">
        <v>0.99999998476176999</v>
      </c>
    </row>
    <row r="1452" spans="1:40" x14ac:dyDescent="0.25">
      <c r="A1452" t="str">
        <f>"20190312164502744"</f>
        <v>20190312164502744</v>
      </c>
      <c r="B1452" t="str">
        <f>"1552380302732911"</f>
        <v>1552380302732911</v>
      </c>
      <c r="C1452" t="s">
        <v>40</v>
      </c>
      <c r="D1452">
        <v>5.1038360000000003</v>
      </c>
      <c r="E1452">
        <v>0.49048720000000001</v>
      </c>
      <c r="F1452" t="s">
        <v>51</v>
      </c>
      <c r="G1452">
        <v>-287.14150000000001</v>
      </c>
      <c r="H1452" s="1">
        <v>5.4951430000000003E-6</v>
      </c>
      <c r="I1452">
        <v>283.3587</v>
      </c>
      <c r="J1452">
        <v>-271.97550000000001</v>
      </c>
      <c r="K1452">
        <v>1.1071120000000001</v>
      </c>
      <c r="L1452">
        <v>283.23700000000002</v>
      </c>
      <c r="M1452">
        <v>-0.99976900000000002</v>
      </c>
      <c r="N1452">
        <v>0</v>
      </c>
      <c r="O1452">
        <v>2.0774790000000001E-2</v>
      </c>
      <c r="P1452">
        <v>-0.99515430000000005</v>
      </c>
      <c r="Q1452">
        <v>8.8702870000000003E-2</v>
      </c>
      <c r="R1452">
        <v>4.242725E-2</v>
      </c>
      <c r="S1452">
        <v>-3.0325929999999999</v>
      </c>
      <c r="T1452">
        <v>-0.2150339</v>
      </c>
      <c r="U1452">
        <v>2.5451660000000001E-2</v>
      </c>
      <c r="V1452">
        <v>2.1773979999999998E-2</v>
      </c>
      <c r="W1452">
        <v>9.4208829999999993E-2</v>
      </c>
      <c r="X1452">
        <v>0.99531429999999999</v>
      </c>
      <c r="Y1452">
        <v>-1.2300749999999999E-2</v>
      </c>
      <c r="Z1452">
        <v>-1.9066829999999999E-3</v>
      </c>
      <c r="AA1452">
        <v>0.99992250000000005</v>
      </c>
      <c r="AB1452">
        <v>47</v>
      </c>
      <c r="AC1452">
        <v>-15.165999999999899</v>
      </c>
      <c r="AD1452">
        <v>-1.1071065048569999</v>
      </c>
      <c r="AE1452">
        <v>0.12169999999997499</v>
      </c>
      <c r="AF1452">
        <v>-0.19237642650870801</v>
      </c>
      <c r="AG1452">
        <v>-1.1071065048569999</v>
      </c>
      <c r="AH1452">
        <v>15.084874664534199</v>
      </c>
      <c r="AI1452">
        <v>94.197176186543402</v>
      </c>
      <c r="AJ1452">
        <v>90.730649744937693</v>
      </c>
      <c r="AK1452">
        <v>15.126669730885199</v>
      </c>
      <c r="AL1452">
        <v>84.594215024224198</v>
      </c>
      <c r="AM1452">
        <v>88.746769542627803</v>
      </c>
      <c r="AN1452">
        <v>0.999999982819749</v>
      </c>
    </row>
    <row r="1453" spans="1:40" x14ac:dyDescent="0.25">
      <c r="A1453" t="str">
        <f>"20190312164502757"</f>
        <v>20190312164502757</v>
      </c>
      <c r="B1453" t="str">
        <f>"1552380302753407"</f>
        <v>1552380302753407</v>
      </c>
      <c r="C1453" t="s">
        <v>40</v>
      </c>
      <c r="D1453">
        <v>4.9221009999999996</v>
      </c>
      <c r="E1453">
        <v>0.4903361</v>
      </c>
      <c r="F1453" t="s">
        <v>51</v>
      </c>
      <c r="G1453">
        <v>-287.74430000000001</v>
      </c>
      <c r="H1453" s="1">
        <v>5.2270119999999996E-6</v>
      </c>
      <c r="I1453">
        <v>283.36270000000002</v>
      </c>
      <c r="J1453">
        <v>-272.2371</v>
      </c>
      <c r="K1453">
        <v>1.107111</v>
      </c>
      <c r="L1453">
        <v>283.24239999999998</v>
      </c>
      <c r="M1453">
        <v>-0.99976770000000004</v>
      </c>
      <c r="N1453">
        <v>0</v>
      </c>
      <c r="O1453">
        <v>2.0826330000000001E-2</v>
      </c>
      <c r="P1453">
        <v>-0.9951586</v>
      </c>
      <c r="Q1453">
        <v>8.8943030000000006E-2</v>
      </c>
      <c r="R1453">
        <v>4.1813349999999999E-2</v>
      </c>
      <c r="S1453">
        <v>-3.032562</v>
      </c>
      <c r="T1453">
        <v>-0.2129122</v>
      </c>
      <c r="U1453">
        <v>2.4169920000000001E-2</v>
      </c>
      <c r="V1453">
        <v>2.1108849999999998E-2</v>
      </c>
      <c r="W1453">
        <v>9.4458039999999993E-2</v>
      </c>
      <c r="X1453">
        <v>0.995305</v>
      </c>
      <c r="Y1453">
        <v>-1.2775140000000001E-2</v>
      </c>
      <c r="Z1453">
        <v>-1.9081860000000001E-3</v>
      </c>
      <c r="AA1453">
        <v>0.99991660000000004</v>
      </c>
      <c r="AB1453">
        <v>47</v>
      </c>
      <c r="AC1453">
        <v>-15.507199999999999</v>
      </c>
      <c r="AD1453">
        <v>-1.1071057729880001</v>
      </c>
      <c r="AE1453">
        <v>0.120300000000042</v>
      </c>
      <c r="AF1453">
        <v>-0.20166133427549601</v>
      </c>
      <c r="AG1453">
        <v>-1.1071057729880001</v>
      </c>
      <c r="AH1453">
        <v>15.4277122205872</v>
      </c>
      <c r="AI1453">
        <v>94.104208553253102</v>
      </c>
      <c r="AJ1453">
        <v>90.748891681806498</v>
      </c>
      <c r="AK1453">
        <v>15.4686991970101</v>
      </c>
      <c r="AL1453">
        <v>84.579872335761905</v>
      </c>
      <c r="AM1453">
        <v>88.785028982229505</v>
      </c>
      <c r="AN1453">
        <v>0.99999997394698104</v>
      </c>
    </row>
    <row r="1454" spans="1:40" x14ac:dyDescent="0.25">
      <c r="A1454" t="str">
        <f>"20190312164502768"</f>
        <v>20190312164502768</v>
      </c>
      <c r="B1454" t="str">
        <f>"1552380302763167"</f>
        <v>1552380302763167</v>
      </c>
      <c r="C1454" t="s">
        <v>40</v>
      </c>
      <c r="D1454">
        <v>4.9613759999999996</v>
      </c>
      <c r="E1454">
        <v>0.49011700000000002</v>
      </c>
      <c r="F1454" t="s">
        <v>41</v>
      </c>
      <c r="G1454">
        <v>-273.21910000000003</v>
      </c>
      <c r="H1454">
        <v>1.038117</v>
      </c>
      <c r="I1454">
        <v>283.24930000000001</v>
      </c>
      <c r="J1454">
        <v>-272.48250000000002</v>
      </c>
      <c r="K1454">
        <v>1.107111</v>
      </c>
      <c r="L1454">
        <v>283.24759999999998</v>
      </c>
      <c r="M1454">
        <v>-0.99976659999999995</v>
      </c>
      <c r="N1454">
        <v>0</v>
      </c>
      <c r="O1454">
        <v>2.0874529999999999E-2</v>
      </c>
      <c r="P1454">
        <v>-0.99517060000000002</v>
      </c>
      <c r="Q1454">
        <v>8.9106009999999999E-2</v>
      </c>
      <c r="R1454">
        <v>4.117846E-2</v>
      </c>
      <c r="S1454">
        <v>-3.0327449999999998</v>
      </c>
      <c r="T1454">
        <v>-0.21301339999999999</v>
      </c>
      <c r="U1454">
        <v>2.1270750000000001E-2</v>
      </c>
      <c r="V1454">
        <v>2.0426110000000001E-2</v>
      </c>
      <c r="W1454">
        <v>9.4629889999999994E-2</v>
      </c>
      <c r="X1454">
        <v>0.99530300000000005</v>
      </c>
      <c r="Y1454">
        <v>-1.3776989999999999E-2</v>
      </c>
      <c r="Z1454">
        <v>-1.947507E-3</v>
      </c>
      <c r="AA1454">
        <v>0.99990319999999999</v>
      </c>
      <c r="AB1454">
        <v>47</v>
      </c>
      <c r="AC1454">
        <v>-0.73660000000000903</v>
      </c>
      <c r="AD1454">
        <v>-6.8994E-2</v>
      </c>
      <c r="AE1454">
        <v>1.7000000000280101E-3</v>
      </c>
      <c r="AF1454">
        <v>-1.3557842212955E-2</v>
      </c>
      <c r="AG1454">
        <v>-6.8994E-2</v>
      </c>
      <c r="AH1454">
        <v>0.73006994645085499</v>
      </c>
      <c r="AI1454">
        <v>95.397680256694898</v>
      </c>
      <c r="AJ1454">
        <v>91.063895126564404</v>
      </c>
      <c r="AK1454">
        <v>0.73344809893558605</v>
      </c>
      <c r="AL1454">
        <v>84.569982177488299</v>
      </c>
      <c r="AM1454">
        <v>88.824312161699794</v>
      </c>
      <c r="AN1454">
        <v>1.00000005193007</v>
      </c>
    </row>
    <row r="1455" spans="1:40" x14ac:dyDescent="0.25">
      <c r="A1455" t="str">
        <f>"20190312164502789"</f>
        <v>20190312164502789</v>
      </c>
      <c r="B1455" t="str">
        <f>"1552380302782686"</f>
        <v>1552380302782686</v>
      </c>
      <c r="C1455" t="s">
        <v>40</v>
      </c>
      <c r="D1455">
        <v>5.2370460000000003</v>
      </c>
      <c r="E1455">
        <v>0.49009130000000001</v>
      </c>
      <c r="F1455" t="s">
        <v>51</v>
      </c>
      <c r="G1455">
        <v>-288.28859999999997</v>
      </c>
      <c r="H1455" s="1">
        <v>4.9901230000000003E-6</v>
      </c>
      <c r="I1455">
        <v>283.34089999999998</v>
      </c>
      <c r="J1455">
        <v>-272.91500000000002</v>
      </c>
      <c r="K1455">
        <v>1.1071070000000001</v>
      </c>
      <c r="L1455">
        <v>283.25659999999999</v>
      </c>
      <c r="M1455">
        <v>-0.99976480000000001</v>
      </c>
      <c r="N1455">
        <v>0</v>
      </c>
      <c r="O1455">
        <v>2.09599E-2</v>
      </c>
      <c r="P1455">
        <v>-0.99519990000000003</v>
      </c>
      <c r="Q1455">
        <v>8.9450189999999999E-2</v>
      </c>
      <c r="R1455">
        <v>3.9698589999999999E-2</v>
      </c>
      <c r="S1455">
        <v>-3.032867</v>
      </c>
      <c r="T1455">
        <v>-0.21243010000000001</v>
      </c>
      <c r="U1455">
        <v>1.791382E-2</v>
      </c>
      <c r="V1455">
        <v>1.8861139999999998E-2</v>
      </c>
      <c r="W1455">
        <v>9.4989690000000002E-2</v>
      </c>
      <c r="X1455">
        <v>0.99529959999999995</v>
      </c>
      <c r="Y1455">
        <v>-1.496669E-2</v>
      </c>
      <c r="Z1455">
        <v>-1.9897059999999999E-3</v>
      </c>
      <c r="AA1455">
        <v>0.99988600000000005</v>
      </c>
      <c r="AB1455">
        <v>47</v>
      </c>
      <c r="AC1455">
        <v>-15.3735999999999</v>
      </c>
      <c r="AD1455">
        <v>-1.1071020098769999</v>
      </c>
      <c r="AE1455">
        <v>8.4299999999984707E-2</v>
      </c>
      <c r="AF1455">
        <v>-0.23672504209400999</v>
      </c>
      <c r="AG1455">
        <v>-1.1071020098769999</v>
      </c>
      <c r="AH1455">
        <v>15.292685575070401</v>
      </c>
      <c r="AI1455">
        <v>94.140165319871798</v>
      </c>
      <c r="AJ1455">
        <v>90.886846365995297</v>
      </c>
      <c r="AK1455">
        <v>15.334534414314501</v>
      </c>
      <c r="AL1455">
        <v>84.549273802619595</v>
      </c>
      <c r="AM1455">
        <v>88.914362682947697</v>
      </c>
      <c r="AN1455">
        <v>1.00000003878427</v>
      </c>
    </row>
    <row r="1456" spans="1:40" x14ac:dyDescent="0.25">
      <c r="A1456" t="str">
        <f>"20190312164502800"</f>
        <v>20190312164502800</v>
      </c>
      <c r="B1456" t="str">
        <f>"1552380302793423"</f>
        <v>1552380302793423</v>
      </c>
      <c r="C1456" t="s">
        <v>40</v>
      </c>
      <c r="D1456">
        <v>4.9691929999999997</v>
      </c>
      <c r="E1456">
        <v>0.49006759999999999</v>
      </c>
      <c r="F1456" t="s">
        <v>41</v>
      </c>
      <c r="G1456">
        <v>-274.05860000000001</v>
      </c>
      <c r="H1456">
        <v>1.029067</v>
      </c>
      <c r="I1456">
        <v>283.26179999999999</v>
      </c>
      <c r="J1456">
        <v>-273.17529999999999</v>
      </c>
      <c r="K1456">
        <v>1.107108</v>
      </c>
      <c r="L1456">
        <v>283.26209999999998</v>
      </c>
      <c r="M1456">
        <v>-0.99976370000000003</v>
      </c>
      <c r="N1456">
        <v>0</v>
      </c>
      <c r="O1456">
        <v>2.1011080000000001E-2</v>
      </c>
      <c r="P1456">
        <v>-0.99521150000000003</v>
      </c>
      <c r="Q1456">
        <v>8.9709999999999998E-2</v>
      </c>
      <c r="R1456">
        <v>3.8811650000000003E-2</v>
      </c>
      <c r="S1456">
        <v>-3.0325009999999999</v>
      </c>
      <c r="T1456">
        <v>-0.20695150000000001</v>
      </c>
      <c r="U1456">
        <v>1.3671880000000001E-2</v>
      </c>
      <c r="V1456">
        <v>1.7923339999999999E-2</v>
      </c>
      <c r="W1456">
        <v>9.5258369999999995E-2</v>
      </c>
      <c r="X1456">
        <v>0.99529120000000004</v>
      </c>
      <c r="Y1456">
        <v>-1.6416739999999999E-2</v>
      </c>
      <c r="Z1456">
        <v>-1.991666E-3</v>
      </c>
      <c r="AA1456">
        <v>0.99986330000000001</v>
      </c>
      <c r="AB1456">
        <v>47</v>
      </c>
      <c r="AC1456">
        <v>-0.88330000000001896</v>
      </c>
      <c r="AD1456">
        <v>-7.8040999999999999E-2</v>
      </c>
      <c r="AE1456">
        <v>-2.9999999998153699E-4</v>
      </c>
      <c r="AF1456">
        <v>-1.8713233437630698E-2</v>
      </c>
      <c r="AG1456">
        <v>-7.8040999999999999E-2</v>
      </c>
      <c r="AH1456">
        <v>0.87625861169281505</v>
      </c>
      <c r="AI1456">
        <v>95.088272060951795</v>
      </c>
      <c r="AJ1456">
        <v>91.223413189809605</v>
      </c>
      <c r="AK1456">
        <v>0.87992598401940103</v>
      </c>
      <c r="AL1456">
        <v>84.533809170387599</v>
      </c>
      <c r="AM1456">
        <v>88.968321281799504</v>
      </c>
      <c r="AN1456">
        <v>0.99999998798462597</v>
      </c>
    </row>
    <row r="1457" spans="1:40" x14ac:dyDescent="0.25">
      <c r="A1457" t="str">
        <f>"20190312164502812"</f>
        <v>20190312164502812</v>
      </c>
      <c r="B1457" t="str">
        <f>"1552380302803183"</f>
        <v>1552380302803183</v>
      </c>
      <c r="C1457" t="s">
        <v>40</v>
      </c>
      <c r="D1457">
        <v>4.9794999999999998</v>
      </c>
      <c r="E1457">
        <v>0.4900176</v>
      </c>
      <c r="F1457" t="s">
        <v>51</v>
      </c>
      <c r="G1457">
        <v>-289.52300000000002</v>
      </c>
      <c r="H1457" s="1">
        <v>4.4467979999999999E-6</v>
      </c>
      <c r="I1457">
        <v>283.32130000000001</v>
      </c>
      <c r="J1457">
        <v>-273.42540000000002</v>
      </c>
      <c r="K1457">
        <v>1.1071059999999999</v>
      </c>
      <c r="L1457">
        <v>283.26740000000001</v>
      </c>
      <c r="M1457">
        <v>-0.99976279999999995</v>
      </c>
      <c r="N1457">
        <v>0</v>
      </c>
      <c r="O1457">
        <v>2.106011E-2</v>
      </c>
      <c r="P1457">
        <v>-0.99521440000000005</v>
      </c>
      <c r="Q1457">
        <v>9.0021379999999998E-2</v>
      </c>
      <c r="R1457">
        <v>3.8011709999999997E-2</v>
      </c>
      <c r="S1457">
        <v>-3.0325319999999998</v>
      </c>
      <c r="T1457">
        <v>-0.20536969999999999</v>
      </c>
      <c r="U1457">
        <v>1.0986330000000001E-2</v>
      </c>
      <c r="V1457">
        <v>1.7074740000000001E-2</v>
      </c>
      <c r="W1457">
        <v>9.5579239999999996E-2</v>
      </c>
      <c r="X1457">
        <v>0.99527540000000003</v>
      </c>
      <c r="Y1457">
        <v>-1.7350339999999999E-2</v>
      </c>
      <c r="Z1457">
        <v>-2.011358E-3</v>
      </c>
      <c r="AA1457">
        <v>0.9998475</v>
      </c>
      <c r="AB1457">
        <v>47</v>
      </c>
      <c r="AC1457">
        <v>-16.0975999999999</v>
      </c>
      <c r="AD1457">
        <v>-1.1071015532020001</v>
      </c>
      <c r="AE1457">
        <v>5.3899999999998699E-2</v>
      </c>
      <c r="AF1457">
        <v>-0.28379210972202101</v>
      </c>
      <c r="AG1457">
        <v>-1.1071015532020001</v>
      </c>
      <c r="AH1457">
        <v>16.0193953709705</v>
      </c>
      <c r="AI1457">
        <v>93.952811007417495</v>
      </c>
      <c r="AJ1457">
        <v>91.014919044527204</v>
      </c>
      <c r="AK1457">
        <v>16.060113320338399</v>
      </c>
      <c r="AL1457">
        <v>84.515340634675596</v>
      </c>
      <c r="AM1457">
        <v>89.017141812179204</v>
      </c>
      <c r="AN1457">
        <v>1.0000000298550999</v>
      </c>
    </row>
    <row r="1458" spans="1:40" x14ac:dyDescent="0.25">
      <c r="A1458" t="str">
        <f>"20190312164502825"</f>
        <v>20190312164502825</v>
      </c>
      <c r="B1458" t="str">
        <f>"1552380302812943"</f>
        <v>1552380302812943</v>
      </c>
      <c r="C1458" t="s">
        <v>40</v>
      </c>
      <c r="D1458">
        <v>5.077286</v>
      </c>
      <c r="E1458">
        <v>0.49006729999999998</v>
      </c>
      <c r="F1458" t="s">
        <v>41</v>
      </c>
      <c r="G1458">
        <v>-274.48989999999998</v>
      </c>
      <c r="H1458">
        <v>1.035968</v>
      </c>
      <c r="I1458">
        <v>283.2706</v>
      </c>
      <c r="J1458">
        <v>-273.6936</v>
      </c>
      <c r="K1458">
        <v>1.107108</v>
      </c>
      <c r="L1458">
        <v>283.27300000000002</v>
      </c>
      <c r="M1458">
        <v>-0.99976149999999997</v>
      </c>
      <c r="N1458">
        <v>0</v>
      </c>
      <c r="O1458">
        <v>2.1112780000000001E-2</v>
      </c>
      <c r="P1458">
        <v>-0.99522969999999999</v>
      </c>
      <c r="Q1458">
        <v>9.0159909999999996E-2</v>
      </c>
      <c r="R1458">
        <v>3.7269669999999998E-2</v>
      </c>
      <c r="S1458">
        <v>-3.0324710000000001</v>
      </c>
      <c r="T1458">
        <v>-0.2027737</v>
      </c>
      <c r="U1458">
        <v>8.5449219999999999E-3</v>
      </c>
      <c r="V1458">
        <v>1.6280260000000001E-2</v>
      </c>
      <c r="W1458">
        <v>9.5726859999999997E-2</v>
      </c>
      <c r="X1458">
        <v>0.99527449999999995</v>
      </c>
      <c r="Y1458">
        <v>-1.8208060000000002E-2</v>
      </c>
      <c r="Z1458">
        <v>-2.0181980000000001E-3</v>
      </c>
      <c r="AA1458">
        <v>0.99983219999999995</v>
      </c>
      <c r="AB1458">
        <v>47</v>
      </c>
      <c r="AC1458">
        <v>-0.79629999999997303</v>
      </c>
      <c r="AD1458">
        <v>-7.1139999999999898E-2</v>
      </c>
      <c r="AE1458">
        <v>-2.3999999999659801E-3</v>
      </c>
      <c r="AF1458">
        <v>-1.9059713818334299E-2</v>
      </c>
      <c r="AG1458">
        <v>-7.1139999999999898E-2</v>
      </c>
      <c r="AH1458">
        <v>0.78976849651463199</v>
      </c>
      <c r="AI1458">
        <v>95.145652329909595</v>
      </c>
      <c r="AJ1458">
        <v>91.382467434512293</v>
      </c>
      <c r="AK1458">
        <v>0.79319508973380504</v>
      </c>
      <c r="AL1458">
        <v>84.506843531249103</v>
      </c>
      <c r="AM1458">
        <v>89.062864561215505</v>
      </c>
      <c r="AN1458">
        <v>1.00000000447068</v>
      </c>
    </row>
    <row r="1459" spans="1:40" x14ac:dyDescent="0.25">
      <c r="A1459" t="str">
        <f>"20190312164502843"</f>
        <v>20190312164502843</v>
      </c>
      <c r="B1459" t="str">
        <f>"1552380302833442"</f>
        <v>1552380302833442</v>
      </c>
      <c r="C1459" t="s">
        <v>40</v>
      </c>
      <c r="D1459">
        <v>4.9535470000000004</v>
      </c>
      <c r="E1459">
        <v>0.49016589999999999</v>
      </c>
      <c r="F1459" t="s">
        <v>51</v>
      </c>
      <c r="G1459">
        <v>-290.3383</v>
      </c>
      <c r="H1459" s="1">
        <v>2.3799010000000001E-6</v>
      </c>
      <c r="I1459">
        <v>283.3107</v>
      </c>
      <c r="J1459">
        <v>-274.07870000000003</v>
      </c>
      <c r="K1459">
        <v>1.107111</v>
      </c>
      <c r="L1459">
        <v>283.28120000000001</v>
      </c>
      <c r="M1459">
        <v>-0.99975990000000003</v>
      </c>
      <c r="N1459">
        <v>0</v>
      </c>
      <c r="O1459">
        <v>2.1187310000000001E-2</v>
      </c>
      <c r="P1459">
        <v>-0.99520830000000005</v>
      </c>
      <c r="Q1459">
        <v>9.0997410000000001E-2</v>
      </c>
      <c r="R1459">
        <v>3.5780890000000003E-2</v>
      </c>
      <c r="S1459">
        <v>-3.03241</v>
      </c>
      <c r="T1459">
        <v>-0.20169809999999999</v>
      </c>
      <c r="U1459">
        <v>6.8664549999999996E-3</v>
      </c>
      <c r="V1459">
        <v>1.471829E-2</v>
      </c>
      <c r="W1459">
        <v>9.6578339999999999E-2</v>
      </c>
      <c r="X1459">
        <v>0.99521649999999995</v>
      </c>
      <c r="Y1459">
        <v>-1.8835319999999999E-2</v>
      </c>
      <c r="Z1459">
        <v>-2.0333479999999999E-3</v>
      </c>
      <c r="AA1459">
        <v>0.9998205</v>
      </c>
      <c r="AB1459">
        <v>47</v>
      </c>
      <c r="AC1459">
        <v>-16.259599999999899</v>
      </c>
      <c r="AD1459">
        <v>-1.1071086200989999</v>
      </c>
      <c r="AE1459">
        <v>2.94999999999845E-2</v>
      </c>
      <c r="AF1459">
        <v>-0.31355549268611499</v>
      </c>
      <c r="AG1459">
        <v>-1.1071086200989999</v>
      </c>
      <c r="AH1459">
        <v>16.181554594972301</v>
      </c>
      <c r="AI1459">
        <v>93.913227349188702</v>
      </c>
      <c r="AJ1459">
        <v>91.110100900187305</v>
      </c>
      <c r="AK1459">
        <v>16.222413989716799</v>
      </c>
      <c r="AL1459">
        <v>84.4578298789462</v>
      </c>
      <c r="AM1459">
        <v>89.152712574513799</v>
      </c>
      <c r="AN1459">
        <v>0.99999994284496296</v>
      </c>
    </row>
    <row r="1460" spans="1:40" x14ac:dyDescent="0.25">
      <c r="A1460" t="str">
        <f>"20190312164502855"</f>
        <v>20190312164502855</v>
      </c>
      <c r="B1460" t="str">
        <f>"1552380302843199"</f>
        <v>1552380302843199</v>
      </c>
      <c r="C1460" t="s">
        <v>40</v>
      </c>
      <c r="D1460">
        <v>4.9787059999999999</v>
      </c>
      <c r="E1460">
        <v>0.49023119999999998</v>
      </c>
      <c r="F1460" t="s">
        <v>51</v>
      </c>
      <c r="G1460">
        <v>-291.05700000000002</v>
      </c>
      <c r="H1460" s="1">
        <v>2.5083059999999999E-6</v>
      </c>
      <c r="I1460">
        <v>283.30020000000002</v>
      </c>
      <c r="J1460">
        <v>-274.32279999999997</v>
      </c>
      <c r="K1460">
        <v>1.107113</v>
      </c>
      <c r="L1460">
        <v>283.28640000000001</v>
      </c>
      <c r="M1460">
        <v>-0.99975879999999995</v>
      </c>
      <c r="N1460">
        <v>0</v>
      </c>
      <c r="O1460">
        <v>2.123396E-2</v>
      </c>
      <c r="P1460">
        <v>-0.99520730000000002</v>
      </c>
      <c r="Q1460">
        <v>9.1295490000000007E-2</v>
      </c>
      <c r="R1460">
        <v>3.5036350000000001E-2</v>
      </c>
      <c r="S1460">
        <v>-3.0324399999999998</v>
      </c>
      <c r="T1460">
        <v>-0.19773760000000001</v>
      </c>
      <c r="U1460">
        <v>3.3874510000000001E-3</v>
      </c>
      <c r="V1460">
        <v>1.392732E-2</v>
      </c>
      <c r="W1460">
        <v>9.6884919999999999E-2</v>
      </c>
      <c r="X1460">
        <v>0.99519809999999997</v>
      </c>
      <c r="Y1460">
        <v>-2.0029829999999998E-2</v>
      </c>
      <c r="Z1460">
        <v>-2.0354359999999998E-3</v>
      </c>
      <c r="AA1460">
        <v>0.9997973</v>
      </c>
      <c r="AB1460">
        <v>47</v>
      </c>
      <c r="AC1460">
        <v>-16.734200000000001</v>
      </c>
      <c r="AD1460">
        <v>-1.107110491694</v>
      </c>
      <c r="AE1460">
        <v>1.3800000000003299E-2</v>
      </c>
      <c r="AF1460">
        <v>-0.34005363637185299</v>
      </c>
      <c r="AG1460">
        <v>-1.107110491694</v>
      </c>
      <c r="AH1460">
        <v>16.657809499230201</v>
      </c>
      <c r="AI1460">
        <v>93.801607415359598</v>
      </c>
      <c r="AJ1460">
        <v>91.169477436433098</v>
      </c>
      <c r="AK1460">
        <v>16.698022261006599</v>
      </c>
      <c r="AL1460">
        <v>84.440181460231301</v>
      </c>
      <c r="AM1460">
        <v>89.198225390123199</v>
      </c>
      <c r="AN1460">
        <v>0.99999995810469799</v>
      </c>
    </row>
    <row r="1461" spans="1:40" x14ac:dyDescent="0.25">
      <c r="A1461" t="str">
        <f>"20190312164502866"</f>
        <v>20190312164502866</v>
      </c>
      <c r="B1461" t="str">
        <f>"1552380302862719"</f>
        <v>1552380302862719</v>
      </c>
      <c r="C1461" t="s">
        <v>40</v>
      </c>
      <c r="D1461">
        <v>5.6560620000000004</v>
      </c>
      <c r="E1461">
        <v>0.49032920000000002</v>
      </c>
      <c r="F1461" t="s">
        <v>51</v>
      </c>
      <c r="G1461">
        <v>-291.40159999999997</v>
      </c>
      <c r="H1461" s="1">
        <v>2.5696689999999999E-6</v>
      </c>
      <c r="I1461">
        <v>283.29739999999998</v>
      </c>
      <c r="J1461">
        <v>-274.57029999999997</v>
      </c>
      <c r="K1461">
        <v>1.107108</v>
      </c>
      <c r="L1461">
        <v>283.29169999999999</v>
      </c>
      <c r="M1461">
        <v>-0.99975769999999997</v>
      </c>
      <c r="N1461">
        <v>0</v>
      </c>
      <c r="O1461">
        <v>2.128101E-2</v>
      </c>
      <c r="P1461">
        <v>-0.99521720000000002</v>
      </c>
      <c r="Q1461">
        <v>9.1483640000000005E-2</v>
      </c>
      <c r="R1461">
        <v>3.4259089999999999E-2</v>
      </c>
      <c r="S1461">
        <v>-3.03241</v>
      </c>
      <c r="T1461">
        <v>-0.19657189999999999</v>
      </c>
      <c r="U1461">
        <v>1.953125E-3</v>
      </c>
      <c r="V1461">
        <v>1.3103389999999999E-2</v>
      </c>
      <c r="W1461">
        <v>9.7081890000000004E-2</v>
      </c>
      <c r="X1461">
        <v>0.99519009999999997</v>
      </c>
      <c r="Y1461">
        <v>-2.0549620000000001E-2</v>
      </c>
      <c r="Z1461">
        <v>-2.043361E-3</v>
      </c>
      <c r="AA1461">
        <v>0.99978670000000003</v>
      </c>
      <c r="AB1461">
        <v>48</v>
      </c>
      <c r="AC1461">
        <v>-16.831299999999999</v>
      </c>
      <c r="AD1461">
        <v>-1.107105430331</v>
      </c>
      <c r="AE1461">
        <v>5.6999999999902597E-3</v>
      </c>
      <c r="AF1461">
        <v>-0.35097550862520399</v>
      </c>
      <c r="AG1461">
        <v>-1.107105430331</v>
      </c>
      <c r="AH1461">
        <v>16.755117462562701</v>
      </c>
      <c r="AI1461">
        <v>93.779534391986502</v>
      </c>
      <c r="AJ1461">
        <v>91.200019927786798</v>
      </c>
      <c r="AK1461">
        <v>16.795321593402001</v>
      </c>
      <c r="AL1461">
        <v>84.428842489057701</v>
      </c>
      <c r="AM1461">
        <v>89.245646069270606</v>
      </c>
      <c r="AN1461">
        <v>0.99999996366673605</v>
      </c>
    </row>
    <row r="1462" spans="1:40" x14ac:dyDescent="0.25">
      <c r="A1462" t="str">
        <f>"20190312164502879"</f>
        <v>20190312164502879</v>
      </c>
      <c r="B1462" t="str">
        <f>"1552380302873455"</f>
        <v>1552380302873455</v>
      </c>
      <c r="C1462" t="s">
        <v>40</v>
      </c>
      <c r="D1462">
        <v>5.1342309999999998</v>
      </c>
      <c r="E1462">
        <v>0.49035899999999999</v>
      </c>
      <c r="F1462" t="s">
        <v>51</v>
      </c>
      <c r="G1462">
        <v>-291.74889999999999</v>
      </c>
      <c r="H1462" s="1">
        <v>2.6315090000000002E-6</v>
      </c>
      <c r="I1462">
        <v>283.29480000000001</v>
      </c>
      <c r="J1462">
        <v>-274.82729999999998</v>
      </c>
      <c r="K1462">
        <v>1.107108</v>
      </c>
      <c r="L1462">
        <v>283.2971</v>
      </c>
      <c r="M1462">
        <v>-0.9997568</v>
      </c>
      <c r="N1462">
        <v>0</v>
      </c>
      <c r="O1462">
        <v>2.1328130000000001E-2</v>
      </c>
      <c r="P1462">
        <v>-0.99522330000000003</v>
      </c>
      <c r="Q1462">
        <v>9.158993E-2</v>
      </c>
      <c r="R1462">
        <v>3.3797059999999997E-2</v>
      </c>
      <c r="S1462">
        <v>-3.032349</v>
      </c>
      <c r="T1462">
        <v>-0.19542570000000001</v>
      </c>
      <c r="U1462">
        <v>5.4931640000000002E-4</v>
      </c>
      <c r="V1462">
        <v>1.259415E-2</v>
      </c>
      <c r="W1462">
        <v>9.719767E-2</v>
      </c>
      <c r="X1462">
        <v>0.9951854</v>
      </c>
      <c r="Y1462">
        <v>-2.1059430000000001E-2</v>
      </c>
      <c r="Z1462">
        <v>-2.0509579999999999E-3</v>
      </c>
      <c r="AA1462">
        <v>0.99977609999999995</v>
      </c>
      <c r="AB1462">
        <v>48</v>
      </c>
      <c r="AC1462">
        <v>-16.921600000000002</v>
      </c>
      <c r="AD1462">
        <v>-1.1071053684909999</v>
      </c>
      <c r="AE1462">
        <v>-2.29999999999108E-3</v>
      </c>
      <c r="AF1462">
        <v>-0.36166313607246198</v>
      </c>
      <c r="AG1462">
        <v>-1.1071053684909999</v>
      </c>
      <c r="AH1462">
        <v>16.845594002535499</v>
      </c>
      <c r="AI1462">
        <v>93.759251450616304</v>
      </c>
      <c r="AJ1462">
        <v>91.229911418453796</v>
      </c>
      <c r="AK1462">
        <v>16.885808237072801</v>
      </c>
      <c r="AL1462">
        <v>84.422177409386407</v>
      </c>
      <c r="AM1462">
        <v>89.274956079499006</v>
      </c>
      <c r="AN1462">
        <v>0.99999999002040496</v>
      </c>
    </row>
    <row r="1463" spans="1:40" x14ac:dyDescent="0.25">
      <c r="A1463" t="str">
        <f>"20190312164502893"</f>
        <v>20190312164502893</v>
      </c>
      <c r="B1463" t="str">
        <f>"1552380302883215"</f>
        <v>1552380302883215</v>
      </c>
      <c r="C1463" t="s">
        <v>40</v>
      </c>
      <c r="D1463">
        <v>5.215884</v>
      </c>
      <c r="E1463">
        <v>0.49037340000000001</v>
      </c>
      <c r="F1463" t="s">
        <v>51</v>
      </c>
      <c r="G1463">
        <v>-292.07889999999998</v>
      </c>
      <c r="H1463" s="1">
        <v>2.6900660000000002E-6</v>
      </c>
      <c r="I1463">
        <v>283.2946</v>
      </c>
      <c r="J1463">
        <v>-275.13799999999998</v>
      </c>
      <c r="K1463">
        <v>1.10711</v>
      </c>
      <c r="L1463">
        <v>283.30380000000002</v>
      </c>
      <c r="M1463">
        <v>-0.99975539999999996</v>
      </c>
      <c r="N1463">
        <v>0</v>
      </c>
      <c r="O1463">
        <v>2.1384E-2</v>
      </c>
      <c r="P1463">
        <v>-0.99525830000000004</v>
      </c>
      <c r="Q1463">
        <v>9.1469019999999998E-2</v>
      </c>
      <c r="R1463">
        <v>3.3081840000000001E-2</v>
      </c>
      <c r="S1463">
        <v>-3.032349</v>
      </c>
      <c r="T1463">
        <v>-0.1945983</v>
      </c>
      <c r="U1463">
        <v>-4.577637E-4</v>
      </c>
      <c r="V1463">
        <v>1.182241E-2</v>
      </c>
      <c r="W1463">
        <v>9.7088049999999995E-2</v>
      </c>
      <c r="X1463">
        <v>0.99520560000000002</v>
      </c>
      <c r="Y1463">
        <v>-2.1447170000000002E-2</v>
      </c>
      <c r="Z1463">
        <v>-2.058303E-3</v>
      </c>
      <c r="AA1463">
        <v>0.99976779999999998</v>
      </c>
      <c r="AB1463">
        <v>48</v>
      </c>
      <c r="AC1463">
        <v>-16.940899999999999</v>
      </c>
      <c r="AD1463">
        <v>-1.1071073099339901</v>
      </c>
      <c r="AE1463">
        <v>-9.2000000000211895E-3</v>
      </c>
      <c r="AF1463">
        <v>-0.36988816579531802</v>
      </c>
      <c r="AG1463">
        <v>-1.1071073099339901</v>
      </c>
      <c r="AH1463">
        <v>16.864803643607001</v>
      </c>
      <c r="AI1463">
        <v>93.754950723254495</v>
      </c>
      <c r="AJ1463">
        <v>91.256441166524496</v>
      </c>
      <c r="AK1463">
        <v>16.905150274053302</v>
      </c>
      <c r="AL1463">
        <v>84.428488200979004</v>
      </c>
      <c r="AM1463">
        <v>89.319394569476898</v>
      </c>
      <c r="AN1463">
        <v>1.00000002255118</v>
      </c>
    </row>
    <row r="1464" spans="1:40" x14ac:dyDescent="0.25">
      <c r="A1464" t="str">
        <f>"20190312164502914"</f>
        <v>20190312164502914</v>
      </c>
      <c r="B1464" t="str">
        <f>"1552380302902735"</f>
        <v>1552380302902735</v>
      </c>
      <c r="C1464" t="s">
        <v>40</v>
      </c>
      <c r="D1464">
        <v>5.5118159999999996</v>
      </c>
      <c r="E1464">
        <v>0.49041709999999999</v>
      </c>
      <c r="F1464" t="s">
        <v>51</v>
      </c>
      <c r="G1464">
        <v>-292.37049999999999</v>
      </c>
      <c r="H1464" s="1">
        <v>2.7421669999999999E-6</v>
      </c>
      <c r="I1464">
        <v>283.2903</v>
      </c>
      <c r="J1464">
        <v>-275.57569999999998</v>
      </c>
      <c r="K1464">
        <v>1.1071120000000001</v>
      </c>
      <c r="L1464">
        <v>283.31319999999999</v>
      </c>
      <c r="M1464">
        <v>-0.99975380000000003</v>
      </c>
      <c r="N1464">
        <v>0</v>
      </c>
      <c r="O1464">
        <v>2.1459470000000001E-2</v>
      </c>
      <c r="P1464">
        <v>-0.99530909999999995</v>
      </c>
      <c r="Q1464">
        <v>9.1312679999999993E-2</v>
      </c>
      <c r="R1464">
        <v>3.1973759999999997E-2</v>
      </c>
      <c r="S1464">
        <v>-3.0323180000000001</v>
      </c>
      <c r="T1464">
        <v>-0.19481180000000001</v>
      </c>
      <c r="U1464">
        <v>-2.380371E-3</v>
      </c>
      <c r="V1464">
        <v>1.0637860000000001E-2</v>
      </c>
      <c r="W1464">
        <v>9.6948530000000005E-2</v>
      </c>
      <c r="X1464">
        <v>0.99523249999999996</v>
      </c>
      <c r="Y1464">
        <v>-2.2154710000000001E-2</v>
      </c>
      <c r="Z1464">
        <v>-2.088126E-3</v>
      </c>
      <c r="AA1464">
        <v>0.99975239999999999</v>
      </c>
      <c r="AB1464">
        <v>48</v>
      </c>
      <c r="AC1464">
        <v>-16.794799999999999</v>
      </c>
      <c r="AD1464">
        <v>-1.107109257833</v>
      </c>
      <c r="AE1464">
        <v>-2.2899999999992801E-2</v>
      </c>
      <c r="AF1464">
        <v>-0.38164954656663203</v>
      </c>
      <c r="AG1464">
        <v>-1.107109257833</v>
      </c>
      <c r="AH1464">
        <v>16.717795295972</v>
      </c>
      <c r="AI1464">
        <v>93.787805179503806</v>
      </c>
      <c r="AJ1464">
        <v>91.307774760290499</v>
      </c>
      <c r="AK1464">
        <v>16.7587597047991</v>
      </c>
      <c r="AL1464">
        <v>84.436519621809893</v>
      </c>
      <c r="AM1464">
        <v>89.387599108241503</v>
      </c>
      <c r="AN1464">
        <v>0.99999995529539398</v>
      </c>
    </row>
    <row r="1465" spans="1:40" x14ac:dyDescent="0.25">
      <c r="A1465" t="str">
        <f>"20190312164502933"</f>
        <v>20190312164502933</v>
      </c>
      <c r="B1465" t="str">
        <f>"1552380302923231"</f>
        <v>1552380302923231</v>
      </c>
      <c r="C1465" t="s">
        <v>40</v>
      </c>
      <c r="D1465">
        <v>4.9953349999999999</v>
      </c>
      <c r="E1465">
        <v>0.4904191</v>
      </c>
      <c r="F1465" t="s">
        <v>51</v>
      </c>
      <c r="G1465">
        <v>-292.78590000000003</v>
      </c>
      <c r="H1465" s="1">
        <v>2.8164790000000001E-6</v>
      </c>
      <c r="I1465">
        <v>283.28320000000002</v>
      </c>
      <c r="J1465">
        <v>-276.00170000000003</v>
      </c>
      <c r="K1465">
        <v>1.107113</v>
      </c>
      <c r="L1465">
        <v>283.32229999999998</v>
      </c>
      <c r="M1465">
        <v>-0.99975199999999997</v>
      </c>
      <c r="N1465">
        <v>0</v>
      </c>
      <c r="O1465">
        <v>2.1528780000000001E-2</v>
      </c>
      <c r="P1465">
        <v>-0.99535450000000003</v>
      </c>
      <c r="Q1465">
        <v>9.1028280000000003E-2</v>
      </c>
      <c r="R1465">
        <v>3.1356000000000002E-2</v>
      </c>
      <c r="S1465">
        <v>-3.0321959999999999</v>
      </c>
      <c r="T1465">
        <v>-0.19505600000000001</v>
      </c>
      <c r="U1465">
        <v>-5.2795409999999996E-3</v>
      </c>
      <c r="V1465">
        <v>9.9494230000000006E-3</v>
      </c>
      <c r="W1465">
        <v>9.6682740000000003E-2</v>
      </c>
      <c r="X1465">
        <v>0.99526550000000003</v>
      </c>
      <c r="Y1465">
        <v>-2.3177440000000001E-2</v>
      </c>
      <c r="Z1465">
        <v>-2.1281389999999998E-3</v>
      </c>
      <c r="AA1465">
        <v>0.99972910000000004</v>
      </c>
      <c r="AB1465">
        <v>48</v>
      </c>
      <c r="AC1465">
        <v>-16.784199999999998</v>
      </c>
      <c r="AD1465">
        <v>-1.107110183521</v>
      </c>
      <c r="AE1465">
        <v>-3.9099999999962103E-2</v>
      </c>
      <c r="AF1465">
        <v>-0.39870542648676399</v>
      </c>
      <c r="AG1465">
        <v>-1.107110183521</v>
      </c>
      <c r="AH1465">
        <v>16.7067786473315</v>
      </c>
      <c r="AI1465">
        <v>93.790207430052803</v>
      </c>
      <c r="AJ1465">
        <v>91.367097951098003</v>
      </c>
      <c r="AK1465">
        <v>16.748167414571</v>
      </c>
      <c r="AL1465">
        <v>84.4518202784907</v>
      </c>
      <c r="AM1465">
        <v>89.427247344582895</v>
      </c>
      <c r="AN1465">
        <v>0.99999997936109497</v>
      </c>
    </row>
    <row r="1466" spans="1:40" x14ac:dyDescent="0.25">
      <c r="A1466" t="str">
        <f>"20190312164502944"</f>
        <v>20190312164502944</v>
      </c>
      <c r="B1466" t="str">
        <f>"1552380302932991"</f>
        <v>1552380302932991</v>
      </c>
      <c r="C1466" t="s">
        <v>40</v>
      </c>
      <c r="D1466">
        <v>5.2197069999999997</v>
      </c>
      <c r="E1466">
        <v>0.49052600000000002</v>
      </c>
      <c r="F1466" t="s">
        <v>51</v>
      </c>
      <c r="G1466">
        <v>-293.10789999999997</v>
      </c>
      <c r="H1466" s="1">
        <v>2.8735760000000001E-6</v>
      </c>
      <c r="I1466">
        <v>283.28339999999997</v>
      </c>
      <c r="J1466">
        <v>-276.25450000000001</v>
      </c>
      <c r="K1466">
        <v>1.1071139999999999</v>
      </c>
      <c r="L1466">
        <v>283.32780000000002</v>
      </c>
      <c r="M1466">
        <v>-0.99975119999999895</v>
      </c>
      <c r="N1466">
        <v>0</v>
      </c>
      <c r="O1466">
        <v>2.156723E-2</v>
      </c>
      <c r="P1466">
        <v>-0.99536340000000001</v>
      </c>
      <c r="Q1466">
        <v>9.1091630000000007E-2</v>
      </c>
      <c r="R1466">
        <v>3.0890230000000001E-2</v>
      </c>
      <c r="S1466">
        <v>-3.0321660000000001</v>
      </c>
      <c r="T1466">
        <v>-0.19624050000000001</v>
      </c>
      <c r="U1466">
        <v>-6.8969729999999998E-3</v>
      </c>
      <c r="V1466">
        <v>9.4447490000000005E-3</v>
      </c>
      <c r="W1466">
        <v>9.6758689999999994E-2</v>
      </c>
      <c r="X1466">
        <v>0.99526300000000001</v>
      </c>
      <c r="Y1466">
        <v>-2.3746799999999998E-2</v>
      </c>
      <c r="Z1466">
        <v>-2.1619500000000002E-3</v>
      </c>
      <c r="AA1466">
        <v>0.99971569999999998</v>
      </c>
      <c r="AB1466">
        <v>48</v>
      </c>
      <c r="AC1466">
        <v>-16.853399999999901</v>
      </c>
      <c r="AD1466">
        <v>-1.1071111264239999</v>
      </c>
      <c r="AE1466">
        <v>-4.44000000000528E-2</v>
      </c>
      <c r="AF1466">
        <v>-0.40612419256806997</v>
      </c>
      <c r="AG1466">
        <v>-1.1071111264239999</v>
      </c>
      <c r="AH1466">
        <v>16.776129250958899</v>
      </c>
      <c r="AI1466">
        <v>93.774556675594297</v>
      </c>
      <c r="AJ1466">
        <v>91.386771513757694</v>
      </c>
      <c r="AK1466">
        <v>16.8175249234517</v>
      </c>
      <c r="AL1466">
        <v>84.447447964541198</v>
      </c>
      <c r="AM1466">
        <v>89.456296463356196</v>
      </c>
      <c r="AN1466">
        <v>0.99999994327159303</v>
      </c>
    </row>
    <row r="1467" spans="1:40" x14ac:dyDescent="0.25">
      <c r="A1467" t="str">
        <f>"20190312164502957"</f>
        <v>20190312164502957</v>
      </c>
      <c r="B1467" t="str">
        <f>"1552380302953486"</f>
        <v>1552380302953486</v>
      </c>
      <c r="C1467" t="s">
        <v>40</v>
      </c>
      <c r="D1467">
        <v>5.2257429999999996</v>
      </c>
      <c r="E1467">
        <v>0.49073240000000001</v>
      </c>
      <c r="F1467" t="s">
        <v>51</v>
      </c>
      <c r="G1467">
        <v>-293.37720000000002</v>
      </c>
      <c r="H1467" s="1">
        <v>2.9212800000000002E-6</v>
      </c>
      <c r="I1467">
        <v>283.28399999999999</v>
      </c>
      <c r="J1467">
        <v>-276.5059</v>
      </c>
      <c r="K1467">
        <v>1.107116</v>
      </c>
      <c r="L1467">
        <v>283.33319999999998</v>
      </c>
      <c r="M1467">
        <v>-0.99975040000000004</v>
      </c>
      <c r="N1467">
        <v>0</v>
      </c>
      <c r="O1467">
        <v>2.1602880000000001E-2</v>
      </c>
      <c r="P1467">
        <v>-0.9953803</v>
      </c>
      <c r="Q1467">
        <v>9.1014680000000001E-2</v>
      </c>
      <c r="R1467">
        <v>3.0569320000000001E-2</v>
      </c>
      <c r="S1467">
        <v>-3.0321349999999998</v>
      </c>
      <c r="T1467">
        <v>-0.1960509</v>
      </c>
      <c r="U1467">
        <v>-7.7514649999999999E-3</v>
      </c>
      <c r="V1467">
        <v>9.0874679999999996E-3</v>
      </c>
      <c r="W1467">
        <v>9.6694130000000003E-2</v>
      </c>
      <c r="X1467">
        <v>0.99527259999999995</v>
      </c>
      <c r="Y1467">
        <v>-2.4063640000000001E-2</v>
      </c>
      <c r="Z1467">
        <v>-2.1724219999999998E-3</v>
      </c>
      <c r="AA1467">
        <v>0.99970809999999999</v>
      </c>
      <c r="AB1467">
        <v>48</v>
      </c>
      <c r="AC1467">
        <v>-16.871300000000002</v>
      </c>
      <c r="AD1467">
        <v>-1.1071130787200001</v>
      </c>
      <c r="AE1467">
        <v>-4.9199999999984798E-2</v>
      </c>
      <c r="AF1467">
        <v>-0.41188946803172699</v>
      </c>
      <c r="AG1467">
        <v>-1.1071130787200001</v>
      </c>
      <c r="AH1467">
        <v>16.793983331926999</v>
      </c>
      <c r="AI1467">
        <v>93.770532991751395</v>
      </c>
      <c r="AJ1467">
        <v>91.404955422426596</v>
      </c>
      <c r="AK1467">
        <v>16.835475296408799</v>
      </c>
      <c r="AL1467">
        <v>84.451164402803897</v>
      </c>
      <c r="AM1467">
        <v>89.476867850741797</v>
      </c>
      <c r="AN1467">
        <v>0.99999994258093206</v>
      </c>
    </row>
    <row r="1468" spans="1:40" x14ac:dyDescent="0.25">
      <c r="A1468" t="str">
        <f>"20190312164502970"</f>
        <v>20190312164502970</v>
      </c>
      <c r="B1468" t="str">
        <f>"1552380302963247"</f>
        <v>1552380302963247</v>
      </c>
      <c r="C1468" t="s">
        <v>40</v>
      </c>
      <c r="D1468">
        <v>5.1313820000000003</v>
      </c>
      <c r="E1468">
        <v>0.49085630000000002</v>
      </c>
      <c r="F1468" t="s">
        <v>51</v>
      </c>
      <c r="G1468">
        <v>-293.57619999999997</v>
      </c>
      <c r="H1468" s="1">
        <v>2.9557360000000001E-6</v>
      </c>
      <c r="I1468">
        <v>283.2937</v>
      </c>
      <c r="J1468">
        <v>-276.77629999999999</v>
      </c>
      <c r="K1468">
        <v>1.107116</v>
      </c>
      <c r="L1468">
        <v>283.33909999999997</v>
      </c>
      <c r="M1468">
        <v>-0.99974949999999996</v>
      </c>
      <c r="N1468">
        <v>0</v>
      </c>
      <c r="O1468">
        <v>2.163936E-2</v>
      </c>
      <c r="P1468">
        <v>-0.9953921</v>
      </c>
      <c r="Q1468">
        <v>9.1010590000000002E-2</v>
      </c>
      <c r="R1468">
        <v>3.0198989999999998E-2</v>
      </c>
      <c r="S1468">
        <v>-3.0320740000000002</v>
      </c>
      <c r="T1468">
        <v>-0.1966482</v>
      </c>
      <c r="U1468">
        <v>-7.019043E-3</v>
      </c>
      <c r="V1468">
        <v>8.6798109999999904E-3</v>
      </c>
      <c r="W1468">
        <v>9.6704100000000001E-2</v>
      </c>
      <c r="X1468">
        <v>0.99527529999999997</v>
      </c>
      <c r="Y1468">
        <v>-2.385845E-2</v>
      </c>
      <c r="Z1468">
        <v>-2.1747870000000001E-3</v>
      </c>
      <c r="AA1468">
        <v>0.99971299999999996</v>
      </c>
      <c r="AB1468">
        <v>48</v>
      </c>
      <c r="AC1468">
        <v>-16.799899999999901</v>
      </c>
      <c r="AD1468">
        <v>-1.107113044264</v>
      </c>
      <c r="AE1468">
        <v>-4.5399999999972303E-2</v>
      </c>
      <c r="AF1468">
        <v>-0.40716616126025401</v>
      </c>
      <c r="AG1468">
        <v>-1.107113044264</v>
      </c>
      <c r="AH1468">
        <v>16.722362128177299</v>
      </c>
      <c r="AI1468">
        <v>93.786651391513004</v>
      </c>
      <c r="AJ1468">
        <v>91.394796611051405</v>
      </c>
      <c r="AK1468">
        <v>16.763915972157299</v>
      </c>
      <c r="AL1468">
        <v>84.450590640405494</v>
      </c>
      <c r="AM1468">
        <v>89.500335304352305</v>
      </c>
      <c r="AN1468">
        <v>0.99999997243294703</v>
      </c>
    </row>
    <row r="1469" spans="1:40" x14ac:dyDescent="0.25">
      <c r="A1469" t="str">
        <f>"20190312164502991"</f>
        <v>20190312164502991</v>
      </c>
      <c r="B1469" t="str">
        <f>"1552380302983743"</f>
        <v>1552380302983743</v>
      </c>
      <c r="C1469" t="s">
        <v>40</v>
      </c>
      <c r="D1469">
        <v>4.9822470000000001</v>
      </c>
      <c r="E1469">
        <v>0.49107610000000002</v>
      </c>
      <c r="F1469" t="s">
        <v>41</v>
      </c>
      <c r="G1469">
        <v>-277.92880000000002</v>
      </c>
      <c r="H1469">
        <v>1.0323850000000001</v>
      </c>
      <c r="I1469">
        <v>283.3365</v>
      </c>
      <c r="J1469">
        <v>-277.24579999999997</v>
      </c>
      <c r="K1469">
        <v>1.107124</v>
      </c>
      <c r="L1469">
        <v>283.34930000000003</v>
      </c>
      <c r="M1469">
        <v>-0.99974830000000003</v>
      </c>
      <c r="N1469">
        <v>0</v>
      </c>
      <c r="O1469">
        <v>2.1689590000000002E-2</v>
      </c>
      <c r="P1469">
        <v>-0.99539860000000002</v>
      </c>
      <c r="Q1469">
        <v>9.1028680000000001E-2</v>
      </c>
      <c r="R1469">
        <v>2.9922560000000001E-2</v>
      </c>
      <c r="S1469">
        <v>-3.0321039999999999</v>
      </c>
      <c r="T1469">
        <v>-0.19677230000000001</v>
      </c>
      <c r="U1469">
        <v>-7.3242189999999999E-3</v>
      </c>
      <c r="V1469">
        <v>8.3509900000000008E-3</v>
      </c>
      <c r="W1469">
        <v>9.6749199999999994E-2</v>
      </c>
      <c r="X1469">
        <v>0.99527379999999999</v>
      </c>
      <c r="Y1469">
        <v>-2.4008740000000001E-2</v>
      </c>
      <c r="Z1469">
        <v>-2.1842620000000002E-3</v>
      </c>
      <c r="AA1469">
        <v>0.99970939999999997</v>
      </c>
      <c r="AB1469">
        <v>48</v>
      </c>
      <c r="AC1469">
        <v>-0.68300000000004901</v>
      </c>
      <c r="AD1469">
        <v>-7.4738999999999806E-2</v>
      </c>
      <c r="AE1469">
        <v>-1.2800000000027E-2</v>
      </c>
      <c r="AF1469">
        <v>-2.7284620597283399E-2</v>
      </c>
      <c r="AG1469">
        <v>-7.4738999999999806E-2</v>
      </c>
      <c r="AH1469">
        <v>0.67448794820008495</v>
      </c>
      <c r="AI1469">
        <v>96.317939099576193</v>
      </c>
      <c r="AJ1469">
        <v>92.316485751418995</v>
      </c>
      <c r="AK1469">
        <v>0.67916445792554403</v>
      </c>
      <c r="AL1469">
        <v>84.4479948136091</v>
      </c>
      <c r="AM1469">
        <v>89.519262685792</v>
      </c>
      <c r="AN1469">
        <v>1.0000000418505199</v>
      </c>
    </row>
    <row r="1470" spans="1:40" x14ac:dyDescent="0.25">
      <c r="A1470" t="str">
        <f>"20190312164503013"</f>
        <v>20190312164503013</v>
      </c>
      <c r="B1470" t="str">
        <f>"1552380303003262"</f>
        <v>1552380303003262</v>
      </c>
      <c r="C1470" t="s">
        <v>40</v>
      </c>
      <c r="D1470">
        <v>4.9815559999999897</v>
      </c>
      <c r="E1470">
        <v>0.49127979999999999</v>
      </c>
      <c r="F1470" t="s">
        <v>51</v>
      </c>
      <c r="G1470">
        <v>-294.31020000000001</v>
      </c>
      <c r="H1470" s="1">
        <v>3.0844430000000002E-6</v>
      </c>
      <c r="I1470">
        <v>283.3107</v>
      </c>
      <c r="J1470">
        <v>-277.7124</v>
      </c>
      <c r="K1470">
        <v>1.1071340000000001</v>
      </c>
      <c r="L1470">
        <v>283.35939999999999</v>
      </c>
      <c r="M1470">
        <v>-0.99974730000000001</v>
      </c>
      <c r="N1470">
        <v>0</v>
      </c>
      <c r="O1470">
        <v>2.172663E-2</v>
      </c>
      <c r="P1470">
        <v>-0.99540620000000002</v>
      </c>
      <c r="Q1470">
        <v>9.0884270000000003E-2</v>
      </c>
      <c r="R1470">
        <v>3.0116489999999999E-2</v>
      </c>
      <c r="S1470">
        <v>-3.0320740000000002</v>
      </c>
      <c r="T1470">
        <v>-0.19671859999999999</v>
      </c>
      <c r="U1470">
        <v>-6.8664549999999996E-3</v>
      </c>
      <c r="V1470">
        <v>8.5054689999999999E-3</v>
      </c>
      <c r="W1470">
        <v>9.6634349999999994E-2</v>
      </c>
      <c r="X1470">
        <v>0.99528360000000005</v>
      </c>
      <c r="Y1470">
        <v>-2.3895090000000001E-2</v>
      </c>
      <c r="Z1470">
        <v>-2.1824050000000001E-3</v>
      </c>
      <c r="AA1470">
        <v>0.99971209999999999</v>
      </c>
      <c r="AB1470">
        <v>48</v>
      </c>
      <c r="AC1470">
        <v>-16.597799999999999</v>
      </c>
      <c r="AD1470">
        <v>-1.1071309155569999</v>
      </c>
      <c r="AE1470">
        <v>-4.86999999999966E-2</v>
      </c>
      <c r="AF1470">
        <v>-0.40749568914018303</v>
      </c>
      <c r="AG1470">
        <v>-1.1071309155569999</v>
      </c>
      <c r="AH1470">
        <v>16.519324157977199</v>
      </c>
      <c r="AI1470">
        <v>93.833086791042902</v>
      </c>
      <c r="AJ1470">
        <v>91.413075313735206</v>
      </c>
      <c r="AK1470">
        <v>16.561396747774001</v>
      </c>
      <c r="AL1470">
        <v>84.4546059377235</v>
      </c>
      <c r="AM1470">
        <v>89.510375119431203</v>
      </c>
      <c r="AN1470">
        <v>0.999999992515896</v>
      </c>
    </row>
    <row r="1471" spans="1:40" x14ac:dyDescent="0.25">
      <c r="A1471" t="str">
        <f>"20190312164503034"</f>
        <v>20190312164503034</v>
      </c>
      <c r="B1471" t="str">
        <f>"1552380303022786"</f>
        <v>1552380303022786</v>
      </c>
      <c r="C1471" t="s">
        <v>40</v>
      </c>
      <c r="D1471">
        <v>4.9869629999999896</v>
      </c>
      <c r="E1471">
        <v>0.49133339999999998</v>
      </c>
      <c r="F1471" t="s">
        <v>51</v>
      </c>
      <c r="G1471">
        <v>-294.76150000000001</v>
      </c>
      <c r="H1471" s="1">
        <v>3.162731E-6</v>
      </c>
      <c r="I1471">
        <v>283.33089999999999</v>
      </c>
      <c r="J1471">
        <v>-278.17259999999999</v>
      </c>
      <c r="K1471">
        <v>1.107138</v>
      </c>
      <c r="L1471">
        <v>283.36939999999998</v>
      </c>
      <c r="M1471">
        <v>-0.99974660000000004</v>
      </c>
      <c r="N1471">
        <v>0</v>
      </c>
      <c r="O1471">
        <v>2.17533E-2</v>
      </c>
      <c r="P1471">
        <v>-0.9953999</v>
      </c>
      <c r="Q1471">
        <v>9.0874090000000005E-2</v>
      </c>
      <c r="R1471">
        <v>3.0355420000000001E-2</v>
      </c>
      <c r="S1471">
        <v>-3.0320429999999998</v>
      </c>
      <c r="T1471">
        <v>-0.19689419999999999</v>
      </c>
      <c r="U1471">
        <v>-5.065918E-3</v>
      </c>
      <c r="V1471">
        <v>8.7154529999999997E-3</v>
      </c>
      <c r="W1471">
        <v>9.6652849999999998E-2</v>
      </c>
      <c r="X1471">
        <v>0.99528000000000005</v>
      </c>
      <c r="Y1471">
        <v>-2.3329079999999999E-2</v>
      </c>
      <c r="Z1471">
        <v>-2.1677419999999998E-3</v>
      </c>
      <c r="AA1471">
        <v>0.99972550000000004</v>
      </c>
      <c r="AB1471">
        <v>48</v>
      </c>
      <c r="AC1471">
        <v>-16.588899999999999</v>
      </c>
      <c r="AD1471">
        <v>-1.107134837269</v>
      </c>
      <c r="AE1471">
        <v>-3.8499999999999E-2</v>
      </c>
      <c r="AF1471">
        <v>-0.39758934057942802</v>
      </c>
      <c r="AG1471">
        <v>-1.107134837269</v>
      </c>
      <c r="AH1471">
        <v>16.510596454627201</v>
      </c>
      <c r="AI1471">
        <v>93.835175179148905</v>
      </c>
      <c r="AJ1471">
        <v>91.379464967883806</v>
      </c>
      <c r="AK1471">
        <v>16.5524505774579</v>
      </c>
      <c r="AL1471">
        <v>84.4535410528444</v>
      </c>
      <c r="AM1471">
        <v>89.498285999708102</v>
      </c>
      <c r="AN1471">
        <v>1.0000000054670499</v>
      </c>
    </row>
    <row r="1472" spans="1:40" x14ac:dyDescent="0.25">
      <c r="A1472" t="str">
        <f>"20190312164503045"</f>
        <v>20190312164503045</v>
      </c>
      <c r="B1472" t="str">
        <f>"1552380303033519"</f>
        <v>1552380303033519</v>
      </c>
      <c r="C1472" t="s">
        <v>40</v>
      </c>
      <c r="D1472">
        <v>5.231719</v>
      </c>
      <c r="E1472">
        <v>0.49132029999999899</v>
      </c>
      <c r="F1472" t="s">
        <v>51</v>
      </c>
      <c r="G1472">
        <v>-295.24590000000001</v>
      </c>
      <c r="H1472" s="1">
        <v>3.247497E-6</v>
      </c>
      <c r="I1472">
        <v>283.34429999999998</v>
      </c>
      <c r="J1472">
        <v>-278.43009999999998</v>
      </c>
      <c r="K1472">
        <v>1.107143</v>
      </c>
      <c r="L1472">
        <v>283.375</v>
      </c>
      <c r="M1472">
        <v>-0.99974629999999998</v>
      </c>
      <c r="N1472">
        <v>0</v>
      </c>
      <c r="O1472">
        <v>2.1764539999999999E-2</v>
      </c>
      <c r="P1472">
        <v>-0.99541409999999997</v>
      </c>
      <c r="Q1472">
        <v>9.0696159999999998E-2</v>
      </c>
      <c r="R1472">
        <v>3.0416439999999999E-2</v>
      </c>
      <c r="S1472">
        <v>-3.031952</v>
      </c>
      <c r="T1472">
        <v>-0.19660900000000001</v>
      </c>
      <c r="U1472">
        <v>-4.4555659999999898E-3</v>
      </c>
      <c r="V1472">
        <v>8.7634469999999902E-3</v>
      </c>
      <c r="W1472">
        <v>9.6491010000000002E-2</v>
      </c>
      <c r="X1472">
        <v>0.99529529999999999</v>
      </c>
      <c r="Y1472">
        <v>-2.3139759999999999E-2</v>
      </c>
      <c r="Z1472">
        <v>-2.15927E-3</v>
      </c>
      <c r="AA1472">
        <v>0.99972989999999995</v>
      </c>
      <c r="AB1472">
        <v>49</v>
      </c>
      <c r="AC1472">
        <v>-16.815799999999999</v>
      </c>
      <c r="AD1472">
        <v>-1.107139752503</v>
      </c>
      <c r="AE1472">
        <v>-3.0700000000024302E-2</v>
      </c>
      <c r="AF1472">
        <v>-0.39497490107828198</v>
      </c>
      <c r="AG1472">
        <v>-1.107139752503</v>
      </c>
      <c r="AH1472">
        <v>16.738590104560998</v>
      </c>
      <c r="AI1472">
        <v>93.783149871571993</v>
      </c>
      <c r="AJ1472">
        <v>91.351738460996899</v>
      </c>
      <c r="AK1472">
        <v>16.779814131645299</v>
      </c>
      <c r="AL1472">
        <v>84.4628574468029</v>
      </c>
      <c r="AM1472">
        <v>89.495531072796098</v>
      </c>
      <c r="AN1472">
        <v>1.0000000236081099</v>
      </c>
    </row>
    <row r="1473" spans="1:40" x14ac:dyDescent="0.25">
      <c r="A1473" t="str">
        <f>"20190312164503057"</f>
        <v>20190312164503057</v>
      </c>
      <c r="B1473" t="str">
        <f>"1552380303053039"</f>
        <v>1552380303053039</v>
      </c>
      <c r="C1473" t="s">
        <v>40</v>
      </c>
      <c r="D1473">
        <v>5.0318750000000003</v>
      </c>
      <c r="E1473">
        <v>0.49129430000000002</v>
      </c>
      <c r="F1473" t="s">
        <v>51</v>
      </c>
      <c r="G1473">
        <v>-295.52659999999997</v>
      </c>
      <c r="H1473" s="1">
        <v>3.2970139999999999E-6</v>
      </c>
      <c r="I1473">
        <v>283.34750000000003</v>
      </c>
      <c r="J1473">
        <v>-278.6832</v>
      </c>
      <c r="K1473">
        <v>1.1071489999999999</v>
      </c>
      <c r="L1473">
        <v>283.38049999999998</v>
      </c>
      <c r="M1473">
        <v>-0.99974589999999997</v>
      </c>
      <c r="N1473">
        <v>0</v>
      </c>
      <c r="O1473">
        <v>2.1773279999999999E-2</v>
      </c>
      <c r="P1473">
        <v>-0.99539759999999999</v>
      </c>
      <c r="Q1473">
        <v>9.0765330000000005E-2</v>
      </c>
      <c r="R1473">
        <v>3.0749800000000001E-2</v>
      </c>
      <c r="S1473">
        <v>-3.03186</v>
      </c>
      <c r="T1473">
        <v>-0.19633719999999999</v>
      </c>
      <c r="U1473">
        <v>-4.8828129999999997E-3</v>
      </c>
      <c r="V1473">
        <v>9.0873580000000002E-3</v>
      </c>
      <c r="W1473">
        <v>9.657549E-2</v>
      </c>
      <c r="X1473">
        <v>0.99528419999999895</v>
      </c>
      <c r="Y1473">
        <v>-2.3289359999999999E-2</v>
      </c>
      <c r="Z1473">
        <v>-2.1617619999999998E-3</v>
      </c>
      <c r="AA1473">
        <v>0.99972640000000002</v>
      </c>
      <c r="AB1473">
        <v>49</v>
      </c>
      <c r="AC1473">
        <v>-16.8433999999999</v>
      </c>
      <c r="AD1473">
        <v>-1.1071457029859999</v>
      </c>
      <c r="AE1473">
        <v>-3.2999999999958597E-2</v>
      </c>
      <c r="AF1473">
        <v>-0.39801480671284001</v>
      </c>
      <c r="AG1473">
        <v>-1.1071457029859999</v>
      </c>
      <c r="AH1473">
        <v>16.766247370340299</v>
      </c>
      <c r="AI1473">
        <v>93.776934897808601</v>
      </c>
      <c r="AJ1473">
        <v>91.3598920361231</v>
      </c>
      <c r="AK1473">
        <v>16.807475666424299</v>
      </c>
      <c r="AL1473">
        <v>84.457994379188307</v>
      </c>
      <c r="AM1473">
        <v>89.476880279358795</v>
      </c>
      <c r="AN1473">
        <v>1.0000000220568901</v>
      </c>
    </row>
    <row r="1474" spans="1:40" x14ac:dyDescent="0.25">
      <c r="A1474" t="str">
        <f>"20190312164503070"</f>
        <v>20190312164503070</v>
      </c>
      <c r="B1474" t="str">
        <f>"1552380303062799"</f>
        <v>1552380303062799</v>
      </c>
      <c r="C1474" t="s">
        <v>40</v>
      </c>
      <c r="D1474">
        <v>5.4142089999999996</v>
      </c>
      <c r="E1474">
        <v>0.49127969999999999</v>
      </c>
      <c r="F1474" t="s">
        <v>51</v>
      </c>
      <c r="G1474">
        <v>-295.87299999999999</v>
      </c>
      <c r="H1474" s="1">
        <v>3.3575710000000001E-6</v>
      </c>
      <c r="I1474">
        <v>283.35750000000002</v>
      </c>
      <c r="J1474">
        <v>-278.96469999999999</v>
      </c>
      <c r="K1474">
        <v>1.1071519999999999</v>
      </c>
      <c r="L1474">
        <v>283.38670000000002</v>
      </c>
      <c r="M1474">
        <v>-0.99974580000000002</v>
      </c>
      <c r="N1474">
        <v>0</v>
      </c>
      <c r="O1474">
        <v>2.1780580000000001E-2</v>
      </c>
      <c r="P1474">
        <v>-0.99540779999999995</v>
      </c>
      <c r="Q1474">
        <v>9.0662549999999995E-2</v>
      </c>
      <c r="R1474">
        <v>3.0724419999999999E-2</v>
      </c>
      <c r="S1474">
        <v>-3.0317989999999999</v>
      </c>
      <c r="T1474">
        <v>-0.1952701</v>
      </c>
      <c r="U1474">
        <v>-4.0588380000000004E-3</v>
      </c>
      <c r="V1474">
        <v>9.0529210000000002E-3</v>
      </c>
      <c r="W1474">
        <v>9.6490060000000002E-2</v>
      </c>
      <c r="X1474">
        <v>0.99529279999999998</v>
      </c>
      <c r="Y1474">
        <v>-2.302653E-2</v>
      </c>
      <c r="Z1474">
        <v>-2.1420929999999999E-3</v>
      </c>
      <c r="AA1474">
        <v>0.99973259999999997</v>
      </c>
      <c r="AB1474">
        <v>49</v>
      </c>
      <c r="AC1474">
        <v>-16.908299999999901</v>
      </c>
      <c r="AD1474">
        <v>-1.107148642429</v>
      </c>
      <c r="AE1474">
        <v>-2.9200000000002901E-2</v>
      </c>
      <c r="AF1474">
        <v>-0.395774992812925</v>
      </c>
      <c r="AG1474">
        <v>-1.107148642429</v>
      </c>
      <c r="AH1474">
        <v>16.8314867022053</v>
      </c>
      <c r="AI1474">
        <v>93.762367416191495</v>
      </c>
      <c r="AJ1474">
        <v>91.347002747411395</v>
      </c>
      <c r="AK1474">
        <v>16.872503091357899</v>
      </c>
      <c r="AL1474">
        <v>84.462912126223003</v>
      </c>
      <c r="AM1474">
        <v>89.478867061029007</v>
      </c>
      <c r="AN1474">
        <v>1.0000000223946299</v>
      </c>
    </row>
    <row r="1475" spans="1:40" x14ac:dyDescent="0.25">
      <c r="A1475" t="str">
        <f>"20190312164503092"</f>
        <v>20190312164503092</v>
      </c>
      <c r="B1475" t="str">
        <f>"1552380303083294"</f>
        <v>1552380303083294</v>
      </c>
      <c r="C1475" t="s">
        <v>40</v>
      </c>
      <c r="D1475">
        <v>5.2393749999999999</v>
      </c>
      <c r="E1475">
        <v>0.49125930000000001</v>
      </c>
      <c r="F1475" t="s">
        <v>51</v>
      </c>
      <c r="G1475">
        <v>-296.18579999999997</v>
      </c>
      <c r="H1475" s="1">
        <v>3.4126129999999999E-6</v>
      </c>
      <c r="I1475">
        <v>283.36250000000001</v>
      </c>
      <c r="J1475">
        <v>-279.43729999999999</v>
      </c>
      <c r="K1475">
        <v>1.107164</v>
      </c>
      <c r="L1475">
        <v>283.39690000000002</v>
      </c>
      <c r="M1475">
        <v>-0.99974549999999995</v>
      </c>
      <c r="N1475">
        <v>0</v>
      </c>
      <c r="O1475">
        <v>2.1777060000000001E-2</v>
      </c>
      <c r="P1475">
        <v>-0.99542909999999996</v>
      </c>
      <c r="Q1475">
        <v>9.0438809999999994E-2</v>
      </c>
      <c r="R1475">
        <v>3.069206E-2</v>
      </c>
      <c r="S1475">
        <v>-3.0317379999999998</v>
      </c>
      <c r="T1475">
        <v>-0.19491169999999999</v>
      </c>
      <c r="U1475">
        <v>-4.2419429999999998E-3</v>
      </c>
      <c r="V1475">
        <v>9.0207870000000006E-3</v>
      </c>
      <c r="W1475">
        <v>9.6297369999999993E-2</v>
      </c>
      <c r="X1475">
        <v>0.99531170000000002</v>
      </c>
      <c r="Y1475">
        <v>-2.3083650000000001E-2</v>
      </c>
      <c r="Z1475">
        <v>-2.139822E-3</v>
      </c>
      <c r="AA1475">
        <v>0.99973120000000004</v>
      </c>
      <c r="AB1475">
        <v>49</v>
      </c>
      <c r="AC1475">
        <v>-16.7484999999999</v>
      </c>
      <c r="AD1475">
        <v>-1.1071605873870001</v>
      </c>
      <c r="AE1475">
        <v>-3.4400000000005003E-2</v>
      </c>
      <c r="AF1475">
        <v>-0.397394699200456</v>
      </c>
      <c r="AG1475">
        <v>-1.1071605873870001</v>
      </c>
      <c r="AH1475">
        <v>16.6709292060659</v>
      </c>
      <c r="AI1475">
        <v>93.798509008228294</v>
      </c>
      <c r="AJ1475">
        <v>91.365534432190501</v>
      </c>
      <c r="AK1475">
        <v>16.712378876356102</v>
      </c>
      <c r="AL1475">
        <v>84.474003806577201</v>
      </c>
      <c r="AM1475">
        <v>89.480726618878506</v>
      </c>
      <c r="AN1475">
        <v>0.99999996911195199</v>
      </c>
    </row>
    <row r="1476" spans="1:40" x14ac:dyDescent="0.25">
      <c r="A1476" t="str">
        <f>"20190312164503114"</f>
        <v>20190312164503114</v>
      </c>
      <c r="B1476" t="str">
        <f>"1552380303102815"</f>
        <v>1552380303102815</v>
      </c>
      <c r="C1476" t="s">
        <v>40</v>
      </c>
      <c r="D1476">
        <v>5.0143930000000001</v>
      </c>
      <c r="E1476">
        <v>0.49124980000000001</v>
      </c>
      <c r="F1476" t="s">
        <v>51</v>
      </c>
      <c r="G1476">
        <v>-296.69549999999998</v>
      </c>
      <c r="H1476" s="1">
        <v>3.5023950000000002E-6</v>
      </c>
      <c r="I1476">
        <v>283.3698</v>
      </c>
      <c r="J1476">
        <v>-279.91930000000002</v>
      </c>
      <c r="K1476">
        <v>1.1071799999999901</v>
      </c>
      <c r="L1476">
        <v>283.4074</v>
      </c>
      <c r="M1476">
        <v>-0.99974580000000002</v>
      </c>
      <c r="N1476">
        <v>0</v>
      </c>
      <c r="O1476">
        <v>2.1754969999999998E-2</v>
      </c>
      <c r="P1476">
        <v>-0.99549430000000005</v>
      </c>
      <c r="Q1476">
        <v>8.9839009999999997E-2</v>
      </c>
      <c r="R1476">
        <v>3.0336559999999999E-2</v>
      </c>
      <c r="S1476">
        <v>-3.0315859999999999</v>
      </c>
      <c r="T1476">
        <v>-0.19448399999999999</v>
      </c>
      <c r="U1476">
        <v>-4.7607420000000001E-3</v>
      </c>
      <c r="V1476">
        <v>8.6818150000000007E-3</v>
      </c>
      <c r="W1476">
        <v>9.57316E-2</v>
      </c>
      <c r="X1476">
        <v>0.99536930000000001</v>
      </c>
      <c r="Y1476">
        <v>-2.3232860000000001E-2</v>
      </c>
      <c r="Z1476">
        <v>-2.1386090000000001E-3</v>
      </c>
      <c r="AA1476">
        <v>0.99972780000000006</v>
      </c>
      <c r="AB1476">
        <v>49</v>
      </c>
      <c r="AC1476">
        <v>-16.7761999999999</v>
      </c>
      <c r="AD1476">
        <v>-1.10717649760499</v>
      </c>
      <c r="AE1476">
        <v>-3.7599999999997601E-2</v>
      </c>
      <c r="AF1476">
        <v>-0.40081744032309502</v>
      </c>
      <c r="AG1476">
        <v>-1.10717649760499</v>
      </c>
      <c r="AH1476">
        <v>16.698679323150198</v>
      </c>
      <c r="AI1476">
        <v>93.792254411562496</v>
      </c>
      <c r="AJ1476">
        <v>91.375003278747798</v>
      </c>
      <c r="AK1476">
        <v>16.7401429371054</v>
      </c>
      <c r="AL1476">
        <v>84.506570551842202</v>
      </c>
      <c r="AM1476">
        <v>89.500267142807402</v>
      </c>
      <c r="AN1476">
        <v>0.99999997826637099</v>
      </c>
    </row>
    <row r="1477" spans="1:40" x14ac:dyDescent="0.25">
      <c r="A1477" t="str">
        <f>"20190312164503134"</f>
        <v>20190312164503134</v>
      </c>
      <c r="B1477" t="str">
        <f>"1552380303123314"</f>
        <v>1552380303123314</v>
      </c>
      <c r="C1477" t="s">
        <v>40</v>
      </c>
      <c r="D1477">
        <v>5.1567020000000001</v>
      </c>
      <c r="E1477">
        <v>0.49124069999999997</v>
      </c>
      <c r="F1477" t="s">
        <v>51</v>
      </c>
      <c r="G1477">
        <v>-297.11369999999999</v>
      </c>
      <c r="H1477" s="1">
        <v>3.576231E-6</v>
      </c>
      <c r="I1477">
        <v>283.37380000000002</v>
      </c>
      <c r="J1477">
        <v>-280.3657</v>
      </c>
      <c r="K1477">
        <v>1.1072029999999999</v>
      </c>
      <c r="L1477">
        <v>283.4171</v>
      </c>
      <c r="M1477">
        <v>-0.99974640000000004</v>
      </c>
      <c r="N1477">
        <v>0</v>
      </c>
      <c r="O1477">
        <v>2.1717920000000002E-2</v>
      </c>
      <c r="P1477">
        <v>-0.99556679999999997</v>
      </c>
      <c r="Q1477">
        <v>8.9151110000000006E-2</v>
      </c>
      <c r="R1477">
        <v>2.9983389999999999E-2</v>
      </c>
      <c r="S1477">
        <v>-3.0314030000000001</v>
      </c>
      <c r="T1477">
        <v>-0.1951967</v>
      </c>
      <c r="U1477">
        <v>-5.9204100000000001E-3</v>
      </c>
      <c r="V1477">
        <v>8.3600229999999994E-3</v>
      </c>
      <c r="W1477">
        <v>9.5074660000000005E-2</v>
      </c>
      <c r="X1477">
        <v>0.99543510000000002</v>
      </c>
      <c r="Y1477">
        <v>-2.3577029999999999E-2</v>
      </c>
      <c r="Z1477">
        <v>-2.1552469999999999E-3</v>
      </c>
      <c r="AA1477">
        <v>0.99971969999999999</v>
      </c>
      <c r="AB1477">
        <v>49</v>
      </c>
      <c r="AC1477">
        <v>-16.747999999999902</v>
      </c>
      <c r="AD1477">
        <v>-1.1071994237689999</v>
      </c>
      <c r="AE1477">
        <v>-4.3299999999987897E-2</v>
      </c>
      <c r="AF1477">
        <v>-0.40525682013463898</v>
      </c>
      <c r="AG1477">
        <v>-1.1071994237689999</v>
      </c>
      <c r="AH1477">
        <v>16.670253281806399</v>
      </c>
      <c r="AI1477">
        <v>93.798752364075696</v>
      </c>
      <c r="AJ1477">
        <v>91.392596292147203</v>
      </c>
      <c r="AK1477">
        <v>16.711896006552799</v>
      </c>
      <c r="AL1477">
        <v>84.544383360853203</v>
      </c>
      <c r="AM1477">
        <v>89.518820691106797</v>
      </c>
      <c r="AN1477">
        <v>1.00000005963534</v>
      </c>
    </row>
    <row r="1478" spans="1:40" x14ac:dyDescent="0.25">
      <c r="A1478" t="str">
        <f>"20190312164503145"</f>
        <v>20190312164503145</v>
      </c>
      <c r="B1478" t="str">
        <f>"1552380303133071"</f>
        <v>1552380303133071</v>
      </c>
      <c r="C1478" t="s">
        <v>40</v>
      </c>
      <c r="D1478">
        <v>5.3916009999999996</v>
      </c>
      <c r="E1478">
        <v>0.49121930000000003</v>
      </c>
      <c r="F1478" t="s">
        <v>51</v>
      </c>
      <c r="G1478">
        <v>-297.4948</v>
      </c>
      <c r="H1478" s="1">
        <v>3.6435890000000001E-6</v>
      </c>
      <c r="I1478">
        <v>283.37639999999999</v>
      </c>
      <c r="J1478">
        <v>-280.62079999999997</v>
      </c>
      <c r="K1478">
        <v>1.1072109999999999</v>
      </c>
      <c r="L1478">
        <v>283.42270000000002</v>
      </c>
      <c r="M1478">
        <v>-0.99974700000000005</v>
      </c>
      <c r="N1478">
        <v>0</v>
      </c>
      <c r="O1478">
        <v>2.1690250000000001E-2</v>
      </c>
      <c r="P1478">
        <v>-0.99556210000000001</v>
      </c>
      <c r="Q1478">
        <v>8.9272610000000002E-2</v>
      </c>
      <c r="R1478">
        <v>2.9781209999999999E-2</v>
      </c>
      <c r="S1478">
        <v>-3.031158</v>
      </c>
      <c r="T1478">
        <v>-0.1959304</v>
      </c>
      <c r="U1478">
        <v>-7.2021480000000002E-3</v>
      </c>
      <c r="V1478">
        <v>8.1830710000000001E-3</v>
      </c>
      <c r="W1478">
        <v>9.521375E-2</v>
      </c>
      <c r="X1478">
        <v>0.99542319999999995</v>
      </c>
      <c r="Y1478">
        <v>-2.3970760000000001E-2</v>
      </c>
      <c r="Z1478">
        <v>-2.1744310000000001E-3</v>
      </c>
      <c r="AA1478">
        <v>0.99971030000000005</v>
      </c>
      <c r="AB1478">
        <v>49</v>
      </c>
      <c r="AC1478">
        <v>-16.873999999999999</v>
      </c>
      <c r="AD1478">
        <v>-1.1072073564110001</v>
      </c>
      <c r="AE1478">
        <v>-4.6300000000030601E-2</v>
      </c>
      <c r="AF1478">
        <v>-0.41052936284313801</v>
      </c>
      <c r="AG1478">
        <v>-1.1072073564110001</v>
      </c>
      <c r="AH1478">
        <v>16.796708395386599</v>
      </c>
      <c r="AI1478">
        <v>93.770250954018294</v>
      </c>
      <c r="AJ1478">
        <v>91.400090858160993</v>
      </c>
      <c r="AK1478">
        <v>16.8381666284515</v>
      </c>
      <c r="AL1478">
        <v>84.536377359341401</v>
      </c>
      <c r="AM1478">
        <v>89.528999454242097</v>
      </c>
      <c r="AN1478">
        <v>0.99999998396914602</v>
      </c>
    </row>
    <row r="1479" spans="1:40" x14ac:dyDescent="0.25">
      <c r="A1479" t="str">
        <f>"20190312164503157"</f>
        <v>20190312164503157</v>
      </c>
      <c r="B1479" t="str">
        <f>"1552380303153568"</f>
        <v>1552380303153568</v>
      </c>
      <c r="C1479" t="s">
        <v>40</v>
      </c>
      <c r="D1479">
        <v>5.0953039999999996</v>
      </c>
      <c r="E1479">
        <v>0.49123909999999998</v>
      </c>
      <c r="F1479" t="s">
        <v>51</v>
      </c>
      <c r="G1479">
        <v>-297.8365</v>
      </c>
      <c r="H1479" s="1">
        <v>3.7040239999999998E-6</v>
      </c>
      <c r="I1479">
        <v>283.37860000000001</v>
      </c>
      <c r="J1479">
        <v>-280.87490000000003</v>
      </c>
      <c r="K1479">
        <v>1.107219</v>
      </c>
      <c r="L1479">
        <v>283.42809999999997</v>
      </c>
      <c r="M1479">
        <v>-0.99974759999999996</v>
      </c>
      <c r="N1479">
        <v>0</v>
      </c>
      <c r="O1479">
        <v>2.1656979999999999E-2</v>
      </c>
      <c r="P1479">
        <v>-0.99557439999999997</v>
      </c>
      <c r="Q1479">
        <v>8.9145820000000001E-2</v>
      </c>
      <c r="R1479">
        <v>2.9747010000000001E-2</v>
      </c>
      <c r="S1479">
        <v>-3.0310670000000002</v>
      </c>
      <c r="T1479">
        <v>-0.19493969999999999</v>
      </c>
      <c r="U1479">
        <v>-7.7514649999999999E-3</v>
      </c>
      <c r="V1479">
        <v>8.1792549999999999E-3</v>
      </c>
      <c r="W1479">
        <v>9.5104110000000006E-2</v>
      </c>
      <c r="X1479">
        <v>0.99543369999999998</v>
      </c>
      <c r="Y1479">
        <v>-2.4119459999999999E-2</v>
      </c>
      <c r="Z1479">
        <v>-2.1661649999999998E-3</v>
      </c>
      <c r="AA1479">
        <v>0.99970669999999995</v>
      </c>
      <c r="AB1479">
        <v>49</v>
      </c>
      <c r="AC1479">
        <v>-16.961599999999901</v>
      </c>
      <c r="AD1479">
        <v>-1.107215295976</v>
      </c>
      <c r="AE1479">
        <v>-4.94999999999663E-2</v>
      </c>
      <c r="AF1479">
        <v>-0.41506333396632</v>
      </c>
      <c r="AG1479">
        <v>-1.107215295976</v>
      </c>
      <c r="AH1479">
        <v>16.884601825593499</v>
      </c>
      <c r="AI1479">
        <v>93.750694810321804</v>
      </c>
      <c r="AJ1479">
        <v>91.408181782855905</v>
      </c>
      <c r="AK1479">
        <v>16.925955869364699</v>
      </c>
      <c r="AL1479">
        <v>84.542687837258896</v>
      </c>
      <c r="AM1479">
        <v>89.529224051028507</v>
      </c>
      <c r="AN1479">
        <v>0.99999997152346798</v>
      </c>
    </row>
    <row r="1480" spans="1:40" x14ac:dyDescent="0.25">
      <c r="A1480" t="str">
        <f>"20190312164503168"</f>
        <v>20190312164503168</v>
      </c>
      <c r="B1480" t="str">
        <f>"1552380303163327"</f>
        <v>1552380303163327</v>
      </c>
      <c r="C1480" t="s">
        <v>40</v>
      </c>
      <c r="D1480">
        <v>5.2262089999999999</v>
      </c>
      <c r="E1480">
        <v>0.49121359999999997</v>
      </c>
      <c r="F1480" t="s">
        <v>51</v>
      </c>
      <c r="G1480">
        <v>-298.15010000000001</v>
      </c>
      <c r="H1480" s="1">
        <v>3.7592789999999998E-6</v>
      </c>
      <c r="I1480">
        <v>283.38290000000001</v>
      </c>
      <c r="J1480">
        <v>-281.12470000000002</v>
      </c>
      <c r="K1480">
        <v>1.107226</v>
      </c>
      <c r="L1480">
        <v>283.43360000000001</v>
      </c>
      <c r="M1480">
        <v>-0.99974830000000003</v>
      </c>
      <c r="N1480">
        <v>0</v>
      </c>
      <c r="O1480">
        <v>2.1621990000000001E-2</v>
      </c>
      <c r="P1480">
        <v>-0.99557070000000003</v>
      </c>
      <c r="Q1480">
        <v>8.9226349999999996E-2</v>
      </c>
      <c r="R1480">
        <v>2.9629289999999999E-2</v>
      </c>
      <c r="S1480">
        <v>-3.0309750000000002</v>
      </c>
      <c r="T1480">
        <v>-0.1942632</v>
      </c>
      <c r="U1480">
        <v>-7.9345700000000002E-3</v>
      </c>
      <c r="V1480">
        <v>8.0940890000000005E-3</v>
      </c>
      <c r="W1480">
        <v>9.5200460000000001E-2</v>
      </c>
      <c r="X1480">
        <v>0.99542520000000001</v>
      </c>
      <c r="Y1480">
        <v>-2.4145610000000001E-2</v>
      </c>
      <c r="Z1480">
        <v>-2.1573249999999999E-3</v>
      </c>
      <c r="AA1480">
        <v>0.99970610000000004</v>
      </c>
      <c r="AB1480">
        <v>49</v>
      </c>
      <c r="AC1480">
        <v>-17.025399999999902</v>
      </c>
      <c r="AD1480">
        <v>-1.107222240721</v>
      </c>
      <c r="AE1480">
        <v>-5.0700000000006101E-2</v>
      </c>
      <c r="AF1480">
        <v>-0.41705391303311201</v>
      </c>
      <c r="AG1480">
        <v>-1.107222240721</v>
      </c>
      <c r="AH1480">
        <v>16.948642038852299</v>
      </c>
      <c r="AI1480">
        <v>93.7365842058976</v>
      </c>
      <c r="AJ1480">
        <v>91.409588322408695</v>
      </c>
      <c r="AK1480">
        <v>16.989889405698801</v>
      </c>
      <c r="AL1480">
        <v>84.537142302439904</v>
      </c>
      <c r="AM1480">
        <v>89.534121782094104</v>
      </c>
      <c r="AN1480">
        <v>0.99999998532799494</v>
      </c>
    </row>
    <row r="1481" spans="1:40" x14ac:dyDescent="0.25">
      <c r="A1481" t="str">
        <f>"20190312164503179"</f>
        <v>20190312164503179</v>
      </c>
      <c r="B1481" t="str">
        <f>"1552380303173088"</f>
        <v>1552380303173088</v>
      </c>
      <c r="C1481" t="s">
        <v>40</v>
      </c>
      <c r="D1481">
        <v>5.1679469999999998</v>
      </c>
      <c r="E1481">
        <v>0.49121759999999898</v>
      </c>
      <c r="F1481" t="s">
        <v>51</v>
      </c>
      <c r="G1481">
        <v>-298.47539999999998</v>
      </c>
      <c r="H1481" s="1">
        <v>3.8167140000000002E-6</v>
      </c>
      <c r="I1481">
        <v>283.38589999999999</v>
      </c>
      <c r="J1481">
        <v>-281.37610000000001</v>
      </c>
      <c r="K1481">
        <v>1.1072340000000001</v>
      </c>
      <c r="L1481">
        <v>283.43900000000002</v>
      </c>
      <c r="M1481">
        <v>-0.99974890000000005</v>
      </c>
      <c r="N1481">
        <v>0</v>
      </c>
      <c r="O1481">
        <v>2.158117E-2</v>
      </c>
      <c r="P1481">
        <v>-0.9955754</v>
      </c>
      <c r="Q1481">
        <v>8.9191140000000002E-2</v>
      </c>
      <c r="R1481">
        <v>2.957282E-2</v>
      </c>
      <c r="S1481">
        <v>-3.0309140000000001</v>
      </c>
      <c r="T1481">
        <v>-0.1934158</v>
      </c>
      <c r="U1481">
        <v>-8.3312990000000003E-3</v>
      </c>
      <c r="V1481">
        <v>8.0760169999999996E-3</v>
      </c>
      <c r="W1481">
        <v>9.5181009999999996E-2</v>
      </c>
      <c r="X1481">
        <v>0.99542730000000001</v>
      </c>
      <c r="Y1481">
        <v>-2.423641E-2</v>
      </c>
      <c r="Z1481">
        <v>-2.148269E-3</v>
      </c>
      <c r="AA1481">
        <v>0.99970389999999998</v>
      </c>
      <c r="AB1481">
        <v>49</v>
      </c>
      <c r="AC1481">
        <v>-17.0992999999999</v>
      </c>
      <c r="AD1481">
        <v>-1.1072301832860001</v>
      </c>
      <c r="AE1481">
        <v>-5.3100000000028999E-2</v>
      </c>
      <c r="AF1481">
        <v>-0.420354739954302</v>
      </c>
      <c r="AG1481">
        <v>-1.1072301832860001</v>
      </c>
      <c r="AH1481">
        <v>17.022796475794902</v>
      </c>
      <c r="AI1481">
        <v>93.720371457550797</v>
      </c>
      <c r="AJ1481">
        <v>91.4145536505076</v>
      </c>
      <c r="AK1481">
        <v>17.063946104067401</v>
      </c>
      <c r="AL1481">
        <v>84.538262297409801</v>
      </c>
      <c r="AM1481">
        <v>89.535162902148201</v>
      </c>
      <c r="AN1481">
        <v>1.0000000781502401</v>
      </c>
    </row>
    <row r="1482" spans="1:40" x14ac:dyDescent="0.25">
      <c r="A1482" t="str">
        <f>"20190312164503192"</f>
        <v>20190312164503192</v>
      </c>
      <c r="B1482" t="str">
        <f>"1552380303182847"</f>
        <v>1552380303182847</v>
      </c>
      <c r="C1482" t="s">
        <v>40</v>
      </c>
      <c r="D1482">
        <v>5.1155809999999997</v>
      </c>
      <c r="E1482">
        <v>0.49125410000000003</v>
      </c>
      <c r="F1482" t="s">
        <v>51</v>
      </c>
      <c r="G1482">
        <v>-298.78660000000002</v>
      </c>
      <c r="H1482" s="1">
        <v>3.8715409999999998E-6</v>
      </c>
      <c r="I1482">
        <v>283.39010000000002</v>
      </c>
      <c r="J1482">
        <v>-281.65730000000002</v>
      </c>
      <c r="K1482">
        <v>1.1072439999999999</v>
      </c>
      <c r="L1482">
        <v>283.44510000000002</v>
      </c>
      <c r="M1482">
        <v>-0.99975000000000003</v>
      </c>
      <c r="N1482">
        <v>0</v>
      </c>
      <c r="O1482">
        <v>2.153335E-2</v>
      </c>
      <c r="P1482">
        <v>-0.99556809999999996</v>
      </c>
      <c r="Q1482">
        <v>8.9271749999999997E-2</v>
      </c>
      <c r="R1482">
        <v>2.9578790000000001E-2</v>
      </c>
      <c r="S1482">
        <v>-3.030853</v>
      </c>
      <c r="T1482">
        <v>-0.1927497</v>
      </c>
      <c r="U1482">
        <v>-8.5144039999999997E-3</v>
      </c>
      <c r="V1482">
        <v>8.1271659999999999E-3</v>
      </c>
      <c r="W1482">
        <v>9.5278299999999996E-2</v>
      </c>
      <c r="X1482">
        <v>0.99541749999999996</v>
      </c>
      <c r="Y1482">
        <v>-2.424975E-2</v>
      </c>
      <c r="Z1482">
        <v>-2.138315E-3</v>
      </c>
      <c r="AA1482">
        <v>0.99970360000000003</v>
      </c>
      <c r="AB1482">
        <v>49</v>
      </c>
      <c r="AC1482">
        <v>-17.129300000000001</v>
      </c>
      <c r="AD1482">
        <v>-1.1072401284589899</v>
      </c>
      <c r="AE1482">
        <v>-5.50000000000068E-2</v>
      </c>
      <c r="AF1482">
        <v>-0.42208156028511101</v>
      </c>
      <c r="AG1482">
        <v>-1.1072401284589899</v>
      </c>
      <c r="AH1482">
        <v>17.0528915914532</v>
      </c>
      <c r="AI1482">
        <v>93.713852085601502</v>
      </c>
      <c r="AJ1482">
        <v>91.417856626034606</v>
      </c>
      <c r="AK1482">
        <v>17.0940119683899</v>
      </c>
      <c r="AL1482">
        <v>84.532662126411296</v>
      </c>
      <c r="AM1482">
        <v>89.532214407759199</v>
      </c>
      <c r="AN1482">
        <v>1.00000000229216</v>
      </c>
    </row>
    <row r="1483" spans="1:40" x14ac:dyDescent="0.25">
      <c r="A1483" t="str">
        <f>"20190312164503204"</f>
        <v>20190312164503204</v>
      </c>
      <c r="B1483" t="str">
        <f>"1552380303193583"</f>
        <v>1552380303193583</v>
      </c>
      <c r="C1483" t="s">
        <v>40</v>
      </c>
      <c r="D1483">
        <v>5.1741070000000002</v>
      </c>
      <c r="E1483">
        <v>0.49134090000000002</v>
      </c>
      <c r="F1483" t="s">
        <v>51</v>
      </c>
      <c r="G1483">
        <v>-299.09140000000002</v>
      </c>
      <c r="H1483" s="1">
        <v>3.9250730000000002E-6</v>
      </c>
      <c r="I1483">
        <v>283.3963</v>
      </c>
      <c r="J1483">
        <v>-281.91230000000002</v>
      </c>
      <c r="K1483">
        <v>1.1072569999999999</v>
      </c>
      <c r="L1483">
        <v>283.45049999999998</v>
      </c>
      <c r="M1483">
        <v>-0.9997509</v>
      </c>
      <c r="N1483">
        <v>0</v>
      </c>
      <c r="O1483">
        <v>2.1486870000000002E-2</v>
      </c>
      <c r="P1483">
        <v>-0.99555800000000005</v>
      </c>
      <c r="Q1483">
        <v>8.936355E-2</v>
      </c>
      <c r="R1483">
        <v>2.963586E-2</v>
      </c>
      <c r="S1483">
        <v>-3.030853</v>
      </c>
      <c r="T1483">
        <v>-0.1924903</v>
      </c>
      <c r="U1483">
        <v>-8.4838869999999903E-3</v>
      </c>
      <c r="V1483">
        <v>8.2288710000000004E-3</v>
      </c>
      <c r="W1483">
        <v>9.5385579999999998E-2</v>
      </c>
      <c r="X1483">
        <v>0.99540640000000002</v>
      </c>
      <c r="Y1483">
        <v>-2.419367E-2</v>
      </c>
      <c r="Z1483">
        <v>-2.1307159999999999E-3</v>
      </c>
      <c r="AA1483">
        <v>0.99970499999999995</v>
      </c>
      <c r="AB1483">
        <v>49</v>
      </c>
      <c r="AC1483">
        <v>-17.179099999999998</v>
      </c>
      <c r="AD1483">
        <v>-1.107253074927</v>
      </c>
      <c r="AE1483">
        <v>-5.4199999999980202E-2</v>
      </c>
      <c r="AF1483">
        <v>-0.421568019852887</v>
      </c>
      <c r="AG1483">
        <v>-1.107253074927</v>
      </c>
      <c r="AH1483">
        <v>17.1029199619576</v>
      </c>
      <c r="AI1483">
        <v>93.703071346862103</v>
      </c>
      <c r="AJ1483">
        <v>91.411991543331297</v>
      </c>
      <c r="AK1483">
        <v>17.143908544798801</v>
      </c>
      <c r="AL1483">
        <v>84.526487366507595</v>
      </c>
      <c r="AM1483">
        <v>89.526355427815602</v>
      </c>
      <c r="AN1483">
        <v>1.00000001217541</v>
      </c>
    </row>
    <row r="1484" spans="1:40" x14ac:dyDescent="0.25">
      <c r="A1484" t="str">
        <f>"20190312164503216"</f>
        <v>20190312164503216</v>
      </c>
      <c r="B1484" t="str">
        <f>"1552380303203343"</f>
        <v>1552380303203343</v>
      </c>
      <c r="C1484" t="s">
        <v>40</v>
      </c>
      <c r="D1484">
        <v>5.1523309999999896</v>
      </c>
      <c r="E1484">
        <v>0.49140689999999998</v>
      </c>
      <c r="F1484" t="s">
        <v>51</v>
      </c>
      <c r="G1484">
        <v>-299.36829999999998</v>
      </c>
      <c r="H1484" s="1">
        <v>3.9732859999999998E-6</v>
      </c>
      <c r="I1484">
        <v>283.40660000000003</v>
      </c>
      <c r="J1484">
        <v>-282.15570000000002</v>
      </c>
      <c r="K1484">
        <v>1.1072649999999999</v>
      </c>
      <c r="L1484">
        <v>283.45569999999998</v>
      </c>
      <c r="M1484">
        <v>-0.99975190000000003</v>
      </c>
      <c r="N1484">
        <v>0</v>
      </c>
      <c r="O1484">
        <v>2.14401E-2</v>
      </c>
      <c r="P1484">
        <v>-0.9955657</v>
      </c>
      <c r="Q1484">
        <v>8.9296860000000006E-2</v>
      </c>
      <c r="R1484">
        <v>2.958477E-2</v>
      </c>
      <c r="S1484">
        <v>-3.030853</v>
      </c>
      <c r="T1484">
        <v>-0.1922507</v>
      </c>
      <c r="U1484">
        <v>-7.6293949999999998E-3</v>
      </c>
      <c r="V1484">
        <v>8.2224859999999993E-3</v>
      </c>
      <c r="W1484">
        <v>9.5332890000000003E-2</v>
      </c>
      <c r="X1484">
        <v>0.9954115</v>
      </c>
      <c r="Y1484">
        <v>-2.386603E-2</v>
      </c>
      <c r="Z1484">
        <v>-2.114725E-3</v>
      </c>
      <c r="AA1484">
        <v>0.99971290000000002</v>
      </c>
      <c r="AB1484">
        <v>49</v>
      </c>
      <c r="AC1484">
        <v>-17.212599999999899</v>
      </c>
      <c r="AD1484">
        <v>-1.107261026714</v>
      </c>
      <c r="AE1484">
        <v>-4.9099999999953001E-2</v>
      </c>
      <c r="AF1484">
        <v>-0.41641214110553898</v>
      </c>
      <c r="AG1484">
        <v>-1.107261026714</v>
      </c>
      <c r="AH1484">
        <v>17.136676846652001</v>
      </c>
      <c r="AI1484">
        <v>93.695855012726298</v>
      </c>
      <c r="AJ1484">
        <v>91.391983066813495</v>
      </c>
      <c r="AK1484">
        <v>17.177459631712601</v>
      </c>
      <c r="AL1484">
        <v>84.529520099226701</v>
      </c>
      <c r="AM1484">
        <v>89.526725349249602</v>
      </c>
      <c r="AN1484">
        <v>1.00000001176201</v>
      </c>
    </row>
    <row r="1485" spans="1:40" x14ac:dyDescent="0.25">
      <c r="A1485" t="str">
        <f>"20190312164503227"</f>
        <v>20190312164503227</v>
      </c>
      <c r="B1485" t="str">
        <f>"1552380303222863"</f>
        <v>1552380303222863</v>
      </c>
      <c r="C1485" t="s">
        <v>40</v>
      </c>
      <c r="D1485">
        <v>5.0170170000000001</v>
      </c>
      <c r="E1485">
        <v>0.49139919999999998</v>
      </c>
      <c r="F1485" t="s">
        <v>51</v>
      </c>
      <c r="G1485">
        <v>-299.59100000000001</v>
      </c>
      <c r="H1485" s="1">
        <v>4.0123429999999998E-6</v>
      </c>
      <c r="I1485">
        <v>283.41180000000003</v>
      </c>
      <c r="J1485">
        <v>-282.42989999999998</v>
      </c>
      <c r="K1485">
        <v>1.10727</v>
      </c>
      <c r="L1485">
        <v>283.46159999999998</v>
      </c>
      <c r="M1485">
        <v>-0.99975290000000006</v>
      </c>
      <c r="N1485">
        <v>0</v>
      </c>
      <c r="O1485">
        <v>2.138611E-2</v>
      </c>
      <c r="P1485">
        <v>-0.9955659</v>
      </c>
      <c r="Q1485">
        <v>8.9250969999999999E-2</v>
      </c>
      <c r="R1485">
        <v>2.971729E-2</v>
      </c>
      <c r="S1485">
        <v>-3.030853</v>
      </c>
      <c r="T1485">
        <v>-0.1924795</v>
      </c>
      <c r="U1485">
        <v>-7.6293949999999998E-3</v>
      </c>
      <c r="V1485">
        <v>8.4069929999999998E-3</v>
      </c>
      <c r="W1485">
        <v>9.5302990000000004E-2</v>
      </c>
      <c r="X1485">
        <v>0.99541279999999999</v>
      </c>
      <c r="Y1485">
        <v>-2.3812050000000001E-2</v>
      </c>
      <c r="Z1485">
        <v>-2.1120990000000001E-3</v>
      </c>
      <c r="AA1485">
        <v>0.9997142</v>
      </c>
      <c r="AB1485">
        <v>50</v>
      </c>
      <c r="AC1485">
        <v>-17.161100000000001</v>
      </c>
      <c r="AD1485">
        <v>-1.1072659876569999</v>
      </c>
      <c r="AE1485">
        <v>-4.9799999999947803E-2</v>
      </c>
      <c r="AF1485">
        <v>-0.41507655239765501</v>
      </c>
      <c r="AG1485">
        <v>-1.1072659876569999</v>
      </c>
      <c r="AH1485">
        <v>17.084984528324799</v>
      </c>
      <c r="AI1485">
        <v>93.707023036479796</v>
      </c>
      <c r="AJ1485">
        <v>91.391716638882301</v>
      </c>
      <c r="AK1485">
        <v>17.1258583097277</v>
      </c>
      <c r="AL1485">
        <v>84.531240959023094</v>
      </c>
      <c r="AM1485">
        <v>89.516106518977793</v>
      </c>
      <c r="AN1485">
        <v>0.99999998991904104</v>
      </c>
    </row>
    <row r="1486" spans="1:40" x14ac:dyDescent="0.25">
      <c r="A1486" t="str">
        <f>"20190312164503246"</f>
        <v>20190312164503246</v>
      </c>
      <c r="B1486" t="str">
        <f>"1552380303243358"</f>
        <v>1552380303243358</v>
      </c>
      <c r="C1486" t="s">
        <v>40</v>
      </c>
      <c r="D1486">
        <v>5.3465800000000003</v>
      </c>
      <c r="E1486">
        <v>0.4914886</v>
      </c>
      <c r="F1486" t="s">
        <v>51</v>
      </c>
      <c r="G1486">
        <v>-299.8931</v>
      </c>
      <c r="H1486" s="1">
        <v>4.0653249999999999E-6</v>
      </c>
      <c r="I1486">
        <v>283.4187</v>
      </c>
      <c r="J1486">
        <v>-282.83780000000002</v>
      </c>
      <c r="K1486">
        <v>1.1072820000000001</v>
      </c>
      <c r="L1486">
        <v>283.47030000000001</v>
      </c>
      <c r="M1486">
        <v>-0.99975449999999999</v>
      </c>
      <c r="N1486">
        <v>0</v>
      </c>
      <c r="O1486">
        <v>2.130174E-2</v>
      </c>
      <c r="P1486">
        <v>-0.99560610000000005</v>
      </c>
      <c r="Q1486">
        <v>8.8758359999999994E-2</v>
      </c>
      <c r="R1486">
        <v>2.9839040000000001E-2</v>
      </c>
      <c r="S1486">
        <v>-3.030853</v>
      </c>
      <c r="T1486">
        <v>-0.1921736</v>
      </c>
      <c r="U1486">
        <v>-7.446289E-3</v>
      </c>
      <c r="V1486">
        <v>8.6093060000000006E-3</v>
      </c>
      <c r="W1486">
        <v>9.4833050000000002E-2</v>
      </c>
      <c r="X1486">
        <v>0.99545600000000001</v>
      </c>
      <c r="Y1486">
        <v>-2.366803E-2</v>
      </c>
      <c r="Z1486">
        <v>-2.0988449999999998E-3</v>
      </c>
      <c r="AA1486">
        <v>0.99971770000000004</v>
      </c>
      <c r="AB1486">
        <v>50</v>
      </c>
      <c r="AC1486">
        <v>-17.0552999999999</v>
      </c>
      <c r="AD1486">
        <v>-1.1072779346749999</v>
      </c>
      <c r="AE1486">
        <v>-5.1600000000007598E-2</v>
      </c>
      <c r="AF1486">
        <v>-0.41316116433821498</v>
      </c>
      <c r="AG1486">
        <v>-1.1072779346749999</v>
      </c>
      <c r="AH1486">
        <v>16.978766336739401</v>
      </c>
      <c r="AI1486">
        <v>93.7301852821154</v>
      </c>
      <c r="AJ1486">
        <v>91.393959942891797</v>
      </c>
      <c r="AK1486">
        <v>17.019849379178702</v>
      </c>
      <c r="AL1486">
        <v>84.558289305893993</v>
      </c>
      <c r="AM1486">
        <v>89.504483774150899</v>
      </c>
      <c r="AN1486">
        <v>1.0000000377290501</v>
      </c>
    </row>
    <row r="1487" spans="1:40" x14ac:dyDescent="0.25">
      <c r="A1487" t="str">
        <f>"20190312164503257"</f>
        <v>20190312164503257</v>
      </c>
      <c r="B1487" t="str">
        <f>"1552380303253119"</f>
        <v>1552380303253119</v>
      </c>
      <c r="C1487" t="s">
        <v>40</v>
      </c>
      <c r="D1487">
        <v>5.2486519999999999</v>
      </c>
      <c r="E1487">
        <v>0.4914886</v>
      </c>
      <c r="F1487" t="s">
        <v>51</v>
      </c>
      <c r="G1487">
        <v>-300.23840000000001</v>
      </c>
      <c r="H1487" s="1">
        <v>4.02589E-6</v>
      </c>
      <c r="I1487">
        <v>283.43150000000003</v>
      </c>
      <c r="J1487">
        <v>-283.10910000000001</v>
      </c>
      <c r="K1487">
        <v>1.1072869999999999</v>
      </c>
      <c r="L1487">
        <v>283.47609999999997</v>
      </c>
      <c r="M1487">
        <v>-0.99975570000000002</v>
      </c>
      <c r="N1487">
        <v>0</v>
      </c>
      <c r="O1487">
        <v>2.1243769999999999E-2</v>
      </c>
      <c r="P1487">
        <v>-0.99561630000000001</v>
      </c>
      <c r="Q1487">
        <v>8.8536399999999904E-2</v>
      </c>
      <c r="R1487">
        <v>3.0160780000000002E-2</v>
      </c>
      <c r="S1487">
        <v>-3.0306700000000002</v>
      </c>
      <c r="T1487">
        <v>-0.1928551</v>
      </c>
      <c r="U1487">
        <v>-6.7443850000000003E-3</v>
      </c>
      <c r="V1487">
        <v>8.9872330000000007E-3</v>
      </c>
      <c r="W1487">
        <v>9.4625139999999996E-2</v>
      </c>
      <c r="X1487">
        <v>0.99547240000000004</v>
      </c>
      <c r="Y1487">
        <v>-2.337873E-2</v>
      </c>
      <c r="Z1487">
        <v>-2.0935200000000002E-3</v>
      </c>
      <c r="AA1487">
        <v>0.99972450000000002</v>
      </c>
      <c r="AB1487">
        <v>50</v>
      </c>
      <c r="AC1487">
        <v>-17.129300000000001</v>
      </c>
      <c r="AD1487">
        <v>-1.1072829741099901</v>
      </c>
      <c r="AE1487">
        <v>-4.4599999999945697E-2</v>
      </c>
      <c r="AF1487">
        <v>-0.40678780010302901</v>
      </c>
      <c r="AG1487">
        <v>-1.1072829741099901</v>
      </c>
      <c r="AH1487">
        <v>17.053227406165899</v>
      </c>
      <c r="AI1487">
        <v>93.714003178680898</v>
      </c>
      <c r="AJ1487">
        <v>91.366474764425902</v>
      </c>
      <c r="AK1487">
        <v>17.093978965281199</v>
      </c>
      <c r="AL1487">
        <v>84.570255239961796</v>
      </c>
      <c r="AM1487">
        <v>89.482741529568102</v>
      </c>
      <c r="AN1487">
        <v>0.99999999331938705</v>
      </c>
    </row>
    <row r="1488" spans="1:40" x14ac:dyDescent="0.25">
      <c r="A1488" t="str">
        <f>"20190312164503281"</f>
        <v>20190312164503281</v>
      </c>
      <c r="B1488" t="str">
        <f>"1552380303273616"</f>
        <v>1552380303273616</v>
      </c>
      <c r="C1488" t="s">
        <v>40</v>
      </c>
      <c r="D1488">
        <v>5.0883770000000004</v>
      </c>
      <c r="E1488">
        <v>0.51035829999999904</v>
      </c>
      <c r="F1488" t="s">
        <v>51</v>
      </c>
      <c r="G1488">
        <v>-300.44760000000002</v>
      </c>
      <c r="H1488" s="1">
        <v>3.9877799999999996E-6</v>
      </c>
      <c r="I1488">
        <v>283.44310000000002</v>
      </c>
      <c r="J1488">
        <v>-283.62419999999997</v>
      </c>
      <c r="K1488">
        <v>1.1072949999999999</v>
      </c>
      <c r="L1488">
        <v>283.48700000000002</v>
      </c>
      <c r="M1488">
        <v>-0.99975789999999998</v>
      </c>
      <c r="N1488">
        <v>0</v>
      </c>
      <c r="O1488">
        <v>2.113166E-2</v>
      </c>
      <c r="P1488">
        <v>-0.99567600000000001</v>
      </c>
      <c r="Q1488">
        <v>8.7762039999999999E-2</v>
      </c>
      <c r="R1488">
        <v>3.0451579999999999E-2</v>
      </c>
      <c r="S1488">
        <v>-3.0305789999999999</v>
      </c>
      <c r="T1488">
        <v>-0.19354160000000001</v>
      </c>
      <c r="U1488">
        <v>-5.7678219999999997E-3</v>
      </c>
      <c r="V1488">
        <v>9.3859830000000005E-3</v>
      </c>
      <c r="W1488">
        <v>9.3879829999999997E-2</v>
      </c>
      <c r="X1488">
        <v>0.99553930000000002</v>
      </c>
      <c r="Y1488">
        <v>-2.2945009999999998E-2</v>
      </c>
      <c r="Z1488">
        <v>-2.0800340000000001E-3</v>
      </c>
      <c r="AA1488">
        <v>0.99973460000000003</v>
      </c>
      <c r="AB1488">
        <v>50</v>
      </c>
      <c r="AC1488">
        <v>-16.823399999999999</v>
      </c>
      <c r="AD1488">
        <v>-1.1072910122199999</v>
      </c>
      <c r="AE1488">
        <v>-4.3900000000007801E-2</v>
      </c>
      <c r="AF1488">
        <v>-0.39768047828522302</v>
      </c>
      <c r="AG1488">
        <v>-1.1072910122199999</v>
      </c>
      <c r="AH1488">
        <v>16.7461703434398</v>
      </c>
      <c r="AI1488">
        <v>93.781944047114195</v>
      </c>
      <c r="AJ1488">
        <v>91.360378566224497</v>
      </c>
      <c r="AK1488">
        <v>16.787449607372</v>
      </c>
      <c r="AL1488">
        <v>84.613149391145498</v>
      </c>
      <c r="AM1488">
        <v>89.459829180659497</v>
      </c>
      <c r="AN1488">
        <v>1.0000000085010901</v>
      </c>
    </row>
    <row r="1489" spans="1:40" x14ac:dyDescent="0.25">
      <c r="A1489" t="str">
        <f>"20190312164503303"</f>
        <v>20190312164503303</v>
      </c>
      <c r="B1489" t="str">
        <f>"1552380303293134"</f>
        <v>1552380303293134</v>
      </c>
      <c r="C1489" t="s">
        <v>40</v>
      </c>
      <c r="D1489">
        <v>5.5758199999999896</v>
      </c>
      <c r="E1489">
        <v>0.51317460000000004</v>
      </c>
      <c r="F1489" t="s">
        <v>41</v>
      </c>
      <c r="G1489">
        <v>-284.52539999999999</v>
      </c>
      <c r="H1489">
        <v>1.048667</v>
      </c>
      <c r="I1489">
        <v>283.53050000000002</v>
      </c>
      <c r="J1489">
        <v>-284.13420000000002</v>
      </c>
      <c r="K1489">
        <v>1.107289</v>
      </c>
      <c r="L1489">
        <v>283.49770000000001</v>
      </c>
      <c r="M1489">
        <v>-0.99976019999999999</v>
      </c>
      <c r="N1489">
        <v>0</v>
      </c>
      <c r="O1489">
        <v>2.1019599999999999E-2</v>
      </c>
      <c r="P1489">
        <v>-0.99570440000000004</v>
      </c>
      <c r="Q1489">
        <v>8.7093519999999994E-2</v>
      </c>
      <c r="R1489">
        <v>3.1428379999999999E-2</v>
      </c>
      <c r="S1489">
        <v>-3.0259399999999999</v>
      </c>
      <c r="T1489">
        <v>-0.19685150000000001</v>
      </c>
      <c r="U1489">
        <v>0.14578250000000001</v>
      </c>
      <c r="V1489">
        <v>1.047146E-2</v>
      </c>
      <c r="W1489">
        <v>9.3242259999999993E-2</v>
      </c>
      <c r="X1489">
        <v>0.99558840000000004</v>
      </c>
      <c r="Y1489">
        <v>2.7102649999999999E-2</v>
      </c>
      <c r="Z1489">
        <v>-4.8483080000000001E-4</v>
      </c>
      <c r="AA1489">
        <v>0.99963250000000003</v>
      </c>
      <c r="AB1489">
        <v>50</v>
      </c>
      <c r="AC1489">
        <v>-0.39119999999996902</v>
      </c>
      <c r="AD1489">
        <v>-5.8621999999999903E-2</v>
      </c>
      <c r="AE1489">
        <v>3.2800000000008801E-2</v>
      </c>
      <c r="AF1489">
        <v>2.4033805750883701E-2</v>
      </c>
      <c r="AG1489">
        <v>-5.8621999999999903E-2</v>
      </c>
      <c r="AH1489">
        <v>0.38325686008931198</v>
      </c>
      <c r="AI1489">
        <v>98.679626100957606</v>
      </c>
      <c r="AJ1489">
        <v>86.411715025055898</v>
      </c>
      <c r="AK1489">
        <v>0.388458470764108</v>
      </c>
      <c r="AL1489">
        <v>84.649840447321097</v>
      </c>
      <c r="AM1489">
        <v>89.397393199017401</v>
      </c>
      <c r="AN1489">
        <v>1.00000001636949</v>
      </c>
    </row>
    <row r="1490" spans="1:40" x14ac:dyDescent="0.25">
      <c r="A1490" t="str">
        <f>"20190312164503325"</f>
        <v>20190312164503325</v>
      </c>
      <c r="B1490" t="str">
        <f>"1552380303312655"</f>
        <v>1552380303312655</v>
      </c>
      <c r="C1490" t="s">
        <v>40</v>
      </c>
      <c r="D1490">
        <v>5.0966500000000003</v>
      </c>
      <c r="E1490">
        <v>0.51442529999999997</v>
      </c>
      <c r="F1490" t="s">
        <v>41</v>
      </c>
      <c r="G1490">
        <v>-284.97430000000003</v>
      </c>
      <c r="H1490">
        <v>1.0510539999999999</v>
      </c>
      <c r="I1490">
        <v>283.5455</v>
      </c>
      <c r="J1490">
        <v>-284.60379999999998</v>
      </c>
      <c r="K1490">
        <v>1.1072930000000001</v>
      </c>
      <c r="L1490">
        <v>283.50760000000002</v>
      </c>
      <c r="M1490">
        <v>-0.99976189999999998</v>
      </c>
      <c r="N1490">
        <v>0</v>
      </c>
      <c r="O1490">
        <v>2.0915019999999999E-2</v>
      </c>
      <c r="P1490">
        <v>-0.9957665</v>
      </c>
      <c r="Q1490">
        <v>8.6224679999999998E-2</v>
      </c>
      <c r="R1490">
        <v>3.1850139999999999E-2</v>
      </c>
      <c r="S1490">
        <v>-3.0252690000000002</v>
      </c>
      <c r="T1490">
        <v>-0.20271910000000001</v>
      </c>
      <c r="U1490">
        <v>0.1710815</v>
      </c>
      <c r="V1490">
        <v>1.09944E-2</v>
      </c>
      <c r="W1490">
        <v>9.2402849999999995E-2</v>
      </c>
      <c r="X1490">
        <v>0.99566100000000002</v>
      </c>
      <c r="Y1490">
        <v>3.553357E-2</v>
      </c>
      <c r="Z1490">
        <v>-2.10299E-4</v>
      </c>
      <c r="AA1490">
        <v>0.99936849999999999</v>
      </c>
      <c r="AB1490">
        <v>50</v>
      </c>
      <c r="AC1490">
        <v>-0.37050000000004901</v>
      </c>
      <c r="AD1490">
        <v>-5.62389999999999E-2</v>
      </c>
      <c r="AE1490">
        <v>3.7899999999979103E-2</v>
      </c>
      <c r="AF1490">
        <v>2.94705493574954E-2</v>
      </c>
      <c r="AG1490">
        <v>-5.62389999999999E-2</v>
      </c>
      <c r="AH1490">
        <v>0.36293588922133402</v>
      </c>
      <c r="AI1490">
        <v>98.779811765224295</v>
      </c>
      <c r="AJ1490">
        <v>85.357743253383006</v>
      </c>
      <c r="AK1490">
        <v>0.368447822744704</v>
      </c>
      <c r="AL1490">
        <v>84.698143526784406</v>
      </c>
      <c r="AM1490">
        <v>89.367347805100295</v>
      </c>
      <c r="AN1490">
        <v>0.99999999522024097</v>
      </c>
    </row>
    <row r="1491" spans="1:40" x14ac:dyDescent="0.25">
      <c r="A1491" t="str">
        <f>"20190312164503336"</f>
        <v>20190312164503336</v>
      </c>
      <c r="B1491" t="str">
        <f>"1552380303333151"</f>
        <v>1552380303333151</v>
      </c>
      <c r="C1491" t="s">
        <v>40</v>
      </c>
      <c r="D1491">
        <v>5.0972160000000004</v>
      </c>
      <c r="E1491">
        <v>0.5151983</v>
      </c>
      <c r="F1491" t="s">
        <v>41</v>
      </c>
      <c r="G1491">
        <v>-285.42840000000001</v>
      </c>
      <c r="H1491">
        <v>1.0544659999999999</v>
      </c>
      <c r="I1491">
        <v>283.55770000000001</v>
      </c>
      <c r="J1491">
        <v>-284.85390000000001</v>
      </c>
      <c r="K1491">
        <v>1.1073010000000001</v>
      </c>
      <c r="L1491">
        <v>283.51280000000003</v>
      </c>
      <c r="M1491">
        <v>-0.99976310000000002</v>
      </c>
      <c r="N1491">
        <v>0</v>
      </c>
      <c r="O1491">
        <v>2.0859389999999998E-2</v>
      </c>
      <c r="P1491">
        <v>-0.9958032</v>
      </c>
      <c r="Q1491">
        <v>8.5781979999999994E-2</v>
      </c>
      <c r="R1491">
        <v>3.1894579999999999E-2</v>
      </c>
      <c r="S1491">
        <v>-3.0236209999999999</v>
      </c>
      <c r="T1491">
        <v>-0.19374069999999999</v>
      </c>
      <c r="U1491">
        <v>0.18331910000000001</v>
      </c>
      <c r="V1491">
        <v>1.109272E-2</v>
      </c>
      <c r="W1491">
        <v>9.197553E-2</v>
      </c>
      <c r="X1491">
        <v>0.99569949999999996</v>
      </c>
      <c r="Y1491">
        <v>3.9644779999999998E-2</v>
      </c>
      <c r="Z1491" s="1">
        <v>-6.6060220000000003E-5</v>
      </c>
      <c r="AA1491">
        <v>0.99921380000000004</v>
      </c>
      <c r="AB1491">
        <v>50</v>
      </c>
      <c r="AC1491">
        <v>-0.57450000000000001</v>
      </c>
      <c r="AD1491">
        <v>-5.2835000000000097E-2</v>
      </c>
      <c r="AE1491">
        <v>4.4899999999984098E-2</v>
      </c>
      <c r="AF1491">
        <v>3.2631956496535101E-2</v>
      </c>
      <c r="AG1491">
        <v>-5.2835000000000097E-2</v>
      </c>
      <c r="AH1491">
        <v>0.57051552283168205</v>
      </c>
      <c r="AI1491">
        <v>95.2824412048966</v>
      </c>
      <c r="AJ1491">
        <v>86.726401993839204</v>
      </c>
      <c r="AK1491">
        <v>0.573885305267263</v>
      </c>
      <c r="AL1491">
        <v>84.722732002229407</v>
      </c>
      <c r="AM1491">
        <v>89.361715309549297</v>
      </c>
      <c r="AN1491">
        <v>1.00000002042801</v>
      </c>
    </row>
    <row r="1492" spans="1:40" x14ac:dyDescent="0.25">
      <c r="A1492" t="str">
        <f>"20190312164503347"</f>
        <v>20190312164503347</v>
      </c>
      <c r="B1492" t="str">
        <f>"1552380303342911"</f>
        <v>1552380303342911</v>
      </c>
      <c r="C1492" t="s">
        <v>40</v>
      </c>
      <c r="D1492">
        <v>5.115081</v>
      </c>
      <c r="E1492">
        <v>0.5153278</v>
      </c>
      <c r="F1492" t="s">
        <v>41</v>
      </c>
      <c r="G1492">
        <v>-285.8655</v>
      </c>
      <c r="H1492">
        <v>1.0424960000000001</v>
      </c>
      <c r="I1492">
        <v>283.57659999999998</v>
      </c>
      <c r="J1492">
        <v>-285.12900000000002</v>
      </c>
      <c r="K1492">
        <v>1.1073029999999999</v>
      </c>
      <c r="L1492">
        <v>283.51859999999999</v>
      </c>
      <c r="M1492">
        <v>-0.9997644</v>
      </c>
      <c r="N1492">
        <v>0</v>
      </c>
      <c r="O1492">
        <v>2.0798380000000002E-2</v>
      </c>
      <c r="P1492">
        <v>-0.99583480000000002</v>
      </c>
      <c r="Q1492">
        <v>8.5387710000000006E-2</v>
      </c>
      <c r="R1492">
        <v>3.1976280000000003E-2</v>
      </c>
      <c r="S1492">
        <v>-3.023285</v>
      </c>
      <c r="T1492">
        <v>-0.1938928</v>
      </c>
      <c r="U1492">
        <v>0.18960569999999999</v>
      </c>
      <c r="V1492">
        <v>1.1233689999999999E-2</v>
      </c>
      <c r="W1492">
        <v>9.1597559999999995E-2</v>
      </c>
      <c r="X1492">
        <v>0.99573270000000003</v>
      </c>
      <c r="Y1492">
        <v>4.1777689999999999E-2</v>
      </c>
      <c r="Z1492" s="1">
        <v>6.0528979999999996E-6</v>
      </c>
      <c r="AA1492">
        <v>0.99912690000000004</v>
      </c>
      <c r="AB1492">
        <v>50</v>
      </c>
      <c r="AC1492">
        <v>-0.73649999999997795</v>
      </c>
      <c r="AD1492">
        <v>-6.4807000000000198E-2</v>
      </c>
      <c r="AE1492">
        <v>5.7999999999992703E-2</v>
      </c>
      <c r="AF1492">
        <v>4.2343315937223701E-2</v>
      </c>
      <c r="AG1492">
        <v>-6.4807000000000198E-2</v>
      </c>
      <c r="AH1492">
        <v>0.73191486568751096</v>
      </c>
      <c r="AI1492">
        <v>95.051624260579402</v>
      </c>
      <c r="AJ1492">
        <v>86.688970038964399</v>
      </c>
      <c r="AK1492">
        <v>0.73599746892766404</v>
      </c>
      <c r="AL1492">
        <v>84.744479569885499</v>
      </c>
      <c r="AM1492">
        <v>89.353626008397598</v>
      </c>
      <c r="AN1492">
        <v>0.99999995931912899</v>
      </c>
    </row>
    <row r="1493" spans="1:40" x14ac:dyDescent="0.25">
      <c r="A1493" t="str">
        <f>"20190312164503360"</f>
        <v>20190312164503360</v>
      </c>
      <c r="B1493" t="str">
        <f>"1552380303352671"</f>
        <v>1552380303352671</v>
      </c>
      <c r="C1493" t="s">
        <v>40</v>
      </c>
      <c r="D1493">
        <v>5.3905589999999997</v>
      </c>
      <c r="E1493">
        <v>0.51532239999999996</v>
      </c>
      <c r="F1493" t="s">
        <v>51</v>
      </c>
      <c r="G1493">
        <v>-302.10149999999999</v>
      </c>
      <c r="H1493" s="1">
        <v>3.594105E-6</v>
      </c>
      <c r="I1493">
        <v>284.59030000000001</v>
      </c>
      <c r="J1493">
        <v>-285.3938</v>
      </c>
      <c r="K1493">
        <v>1.107305</v>
      </c>
      <c r="L1493">
        <v>283.524</v>
      </c>
      <c r="M1493">
        <v>-0.99976549999999997</v>
      </c>
      <c r="N1493">
        <v>0</v>
      </c>
      <c r="O1493">
        <v>2.0739230000000001E-2</v>
      </c>
      <c r="P1493">
        <v>-0.9959015</v>
      </c>
      <c r="Q1493">
        <v>8.4552710000000003E-2</v>
      </c>
      <c r="R1493">
        <v>3.2112710000000003E-2</v>
      </c>
      <c r="S1493">
        <v>-3.0234070000000002</v>
      </c>
      <c r="T1493">
        <v>-0.19724990000000001</v>
      </c>
      <c r="U1493">
        <v>0.190918</v>
      </c>
      <c r="V1493">
        <v>1.142702E-2</v>
      </c>
      <c r="W1493">
        <v>9.0779860000000004E-2</v>
      </c>
      <c r="X1493">
        <v>0.99580539999999995</v>
      </c>
      <c r="Y1493">
        <v>4.226357E-2</v>
      </c>
      <c r="Z1493" s="1">
        <v>2.5824879999999999E-5</v>
      </c>
      <c r="AA1493">
        <v>0.99910650000000001</v>
      </c>
      <c r="AB1493">
        <v>50</v>
      </c>
      <c r="AC1493">
        <v>-16.7076999999999</v>
      </c>
      <c r="AD1493">
        <v>-1.1073014058949999</v>
      </c>
      <c r="AE1493">
        <v>1.06630000000001</v>
      </c>
      <c r="AF1493">
        <v>0.71642505504297505</v>
      </c>
      <c r="AG1493">
        <v>-1.1073014058949999</v>
      </c>
      <c r="AH1493">
        <v>16.653370081711198</v>
      </c>
      <c r="AI1493">
        <v>93.800556833808699</v>
      </c>
      <c r="AJ1493">
        <v>87.536664518536</v>
      </c>
      <c r="AK1493">
        <v>16.705511555813601</v>
      </c>
      <c r="AL1493">
        <v>84.791526439815698</v>
      </c>
      <c r="AM1493">
        <v>89.342550981323299</v>
      </c>
      <c r="AN1493">
        <v>0.99999997721842904</v>
      </c>
    </row>
    <row r="1494" spans="1:40" x14ac:dyDescent="0.25">
      <c r="A1494" t="str">
        <f>"20190312164503372"</f>
        <v>20190312164503372</v>
      </c>
      <c r="B1494" t="str">
        <f>"1552380303363407"</f>
        <v>1552380303363407</v>
      </c>
      <c r="C1494" t="s">
        <v>40</v>
      </c>
      <c r="D1494">
        <v>5.1106259999999999</v>
      </c>
      <c r="E1494">
        <v>0.51551590000000003</v>
      </c>
      <c r="F1494" t="s">
        <v>41</v>
      </c>
      <c r="G1494">
        <v>-286.31880000000001</v>
      </c>
      <c r="H1494">
        <v>1.04704</v>
      </c>
      <c r="I1494">
        <v>283.58249999999998</v>
      </c>
      <c r="J1494">
        <v>-285.67570000000001</v>
      </c>
      <c r="K1494">
        <v>1.1073059999999999</v>
      </c>
      <c r="L1494">
        <v>283.5299</v>
      </c>
      <c r="M1494">
        <v>-0.99976659999999995</v>
      </c>
      <c r="N1494">
        <v>0</v>
      </c>
      <c r="O1494">
        <v>2.0676440000000001E-2</v>
      </c>
      <c r="P1494">
        <v>-0.99595959999999994</v>
      </c>
      <c r="Q1494">
        <v>8.3923949999999997E-2</v>
      </c>
      <c r="R1494">
        <v>3.1964779999999998E-2</v>
      </c>
      <c r="S1494">
        <v>-3.022888</v>
      </c>
      <c r="T1494">
        <v>-0.19692889999999999</v>
      </c>
      <c r="U1494">
        <v>0.19119259999999999</v>
      </c>
      <c r="V1494">
        <v>1.1340009999999999E-2</v>
      </c>
      <c r="W1494">
        <v>9.0169650000000004E-2</v>
      </c>
      <c r="X1494">
        <v>0.99586180000000002</v>
      </c>
      <c r="Y1494">
        <v>4.2427189999999997E-2</v>
      </c>
      <c r="Z1494" s="1">
        <v>3.5186299999999999E-5</v>
      </c>
      <c r="AA1494">
        <v>0.99909959999999998</v>
      </c>
      <c r="AB1494">
        <v>50</v>
      </c>
      <c r="AC1494">
        <v>-0.643100000000004</v>
      </c>
      <c r="AD1494">
        <v>-6.0265999999999903E-2</v>
      </c>
      <c r="AE1494">
        <v>5.2599999999983903E-2</v>
      </c>
      <c r="AF1494">
        <v>3.8951679342188801E-2</v>
      </c>
      <c r="AG1494">
        <v>-6.0265999999999903E-2</v>
      </c>
      <c r="AH1494">
        <v>0.63848031513218295</v>
      </c>
      <c r="AI1494">
        <v>95.382211106168</v>
      </c>
      <c r="AJ1494">
        <v>86.508891210107706</v>
      </c>
      <c r="AK1494">
        <v>0.64250006761934897</v>
      </c>
      <c r="AL1494">
        <v>84.826632702396793</v>
      </c>
      <c r="AM1494">
        <v>89.347593579934397</v>
      </c>
      <c r="AN1494">
        <v>0.99999994315357899</v>
      </c>
    </row>
    <row r="1495" spans="1:40" x14ac:dyDescent="0.25">
      <c r="A1495" t="str">
        <f>"20190312164503383"</f>
        <v>20190312164503383</v>
      </c>
      <c r="B1495" t="str">
        <f>"1552380303373168"</f>
        <v>1552380303373168</v>
      </c>
      <c r="C1495" t="s">
        <v>40</v>
      </c>
      <c r="D1495">
        <v>5.4680949999999999</v>
      </c>
      <c r="E1495">
        <v>0.51597890000000002</v>
      </c>
      <c r="F1495" t="s">
        <v>41</v>
      </c>
      <c r="G1495">
        <v>-286.76389999999998</v>
      </c>
      <c r="H1495">
        <v>1.0351490000000001</v>
      </c>
      <c r="I1495">
        <v>283.59910000000002</v>
      </c>
      <c r="J1495">
        <v>-285.93329999999997</v>
      </c>
      <c r="K1495">
        <v>1.107307</v>
      </c>
      <c r="L1495">
        <v>283.53519999999997</v>
      </c>
      <c r="M1495">
        <v>-0.99976770000000004</v>
      </c>
      <c r="N1495">
        <v>0</v>
      </c>
      <c r="O1495">
        <v>2.061932E-2</v>
      </c>
      <c r="P1495">
        <v>-0.99606439999999996</v>
      </c>
      <c r="Q1495">
        <v>8.2712549999999996E-2</v>
      </c>
      <c r="R1495">
        <v>3.1851869999999997E-2</v>
      </c>
      <c r="S1495">
        <v>-3.0229490000000001</v>
      </c>
      <c r="T1495">
        <v>-0.20056470000000001</v>
      </c>
      <c r="U1495">
        <v>0.191803</v>
      </c>
      <c r="V1495">
        <v>1.1281319999999999E-2</v>
      </c>
      <c r="W1495">
        <v>8.8976650000000004E-2</v>
      </c>
      <c r="X1495">
        <v>0.99596980000000002</v>
      </c>
      <c r="Y1495">
        <v>4.2681520000000001E-2</v>
      </c>
      <c r="Z1495" s="1">
        <v>4.8034129999999997E-5</v>
      </c>
      <c r="AA1495">
        <v>0.99908869999999905</v>
      </c>
      <c r="AB1495">
        <v>50</v>
      </c>
      <c r="AC1495">
        <v>-0.830600000000004</v>
      </c>
      <c r="AD1495">
        <v>-7.2158000000000097E-2</v>
      </c>
      <c r="AE1495">
        <v>6.3900000000046406E-2</v>
      </c>
      <c r="AF1495">
        <v>4.6411454774747403E-2</v>
      </c>
      <c r="AG1495">
        <v>-7.2158000000000097E-2</v>
      </c>
      <c r="AH1495">
        <v>0.82554710790360097</v>
      </c>
      <c r="AI1495">
        <v>94.987479851359694</v>
      </c>
      <c r="AJ1495">
        <v>86.782274156985395</v>
      </c>
      <c r="AK1495">
        <v>0.82999326953072805</v>
      </c>
      <c r="AL1495">
        <v>84.895262625785193</v>
      </c>
      <c r="AM1495">
        <v>89.351040179899101</v>
      </c>
      <c r="AN1495">
        <v>0.99999997746910196</v>
      </c>
    </row>
    <row r="1496" spans="1:40" x14ac:dyDescent="0.25">
      <c r="A1496" t="str">
        <f>"20190312164503402"</f>
        <v>20190312164503402</v>
      </c>
      <c r="B1496" t="str">
        <f>"1552380303393667"</f>
        <v>1552380303393667</v>
      </c>
      <c r="C1496" t="s">
        <v>40</v>
      </c>
      <c r="D1496">
        <v>5.3790889999999996</v>
      </c>
      <c r="E1496">
        <v>0.51606799999999997</v>
      </c>
      <c r="F1496" t="s">
        <v>41</v>
      </c>
      <c r="G1496">
        <v>-286.77440000000001</v>
      </c>
      <c r="H1496">
        <v>1.0514600000000001</v>
      </c>
      <c r="I1496">
        <v>283.58969999999999</v>
      </c>
      <c r="J1496">
        <v>-286.35649999999998</v>
      </c>
      <c r="K1496">
        <v>1.1073</v>
      </c>
      <c r="L1496">
        <v>283.54390000000001</v>
      </c>
      <c r="M1496">
        <v>-0.99976940000000003</v>
      </c>
      <c r="N1496">
        <v>0</v>
      </c>
      <c r="O1496">
        <v>2.052524E-2</v>
      </c>
      <c r="P1496">
        <v>-0.99625330000000001</v>
      </c>
      <c r="Q1496">
        <v>8.0489930000000001E-2</v>
      </c>
      <c r="R1496">
        <v>3.1639849999999997E-2</v>
      </c>
      <c r="S1496">
        <v>-3.022278</v>
      </c>
      <c r="T1496">
        <v>-0.20079359999999999</v>
      </c>
      <c r="U1496">
        <v>0.1953125</v>
      </c>
      <c r="V1496">
        <v>1.115909E-2</v>
      </c>
      <c r="W1496">
        <v>8.6785520000000005E-2</v>
      </c>
      <c r="X1496">
        <v>0.99616450000000001</v>
      </c>
      <c r="Y1496">
        <v>4.3941840000000003E-2</v>
      </c>
      <c r="Z1496" s="1">
        <v>9.6112370000000003E-5</v>
      </c>
      <c r="AA1496">
        <v>0.99903410000000004</v>
      </c>
      <c r="AB1496">
        <v>50</v>
      </c>
      <c r="AC1496">
        <v>-0.41790000000003102</v>
      </c>
      <c r="AD1496">
        <v>-5.58399999999998E-2</v>
      </c>
      <c r="AE1496">
        <v>4.5799999999985602E-2</v>
      </c>
      <c r="AF1496">
        <v>3.6567538662340103E-2</v>
      </c>
      <c r="AG1496">
        <v>-5.58399999999998E-2</v>
      </c>
      <c r="AH1496">
        <v>0.41149227134765898</v>
      </c>
      <c r="AI1496">
        <v>97.697931424619398</v>
      </c>
      <c r="AJ1496">
        <v>84.921711744578502</v>
      </c>
      <c r="AK1496">
        <v>0.41687069921341002</v>
      </c>
      <c r="AL1496">
        <v>85.021292789660095</v>
      </c>
      <c r="AM1496">
        <v>89.358196343809396</v>
      </c>
      <c r="AN1496">
        <v>0.99999998141577395</v>
      </c>
    </row>
    <row r="1497" spans="1:40" x14ac:dyDescent="0.25">
      <c r="A1497" t="str">
        <f>"20190312164503425"</f>
        <v>20190312164503425</v>
      </c>
      <c r="B1497" t="str">
        <f>"1552380303413183"</f>
        <v>1552380303413183</v>
      </c>
      <c r="C1497" t="s">
        <v>40</v>
      </c>
      <c r="D1497">
        <v>5.364414</v>
      </c>
      <c r="E1497">
        <v>0.51637169999999999</v>
      </c>
      <c r="F1497" t="s">
        <v>41</v>
      </c>
      <c r="G1497">
        <v>-287.22480000000002</v>
      </c>
      <c r="H1497">
        <v>1.0494460000000001</v>
      </c>
      <c r="I1497">
        <v>283.60050000000001</v>
      </c>
      <c r="J1497">
        <v>-286.8646</v>
      </c>
      <c r="K1497">
        <v>1.1072949999999999</v>
      </c>
      <c r="L1497">
        <v>283.55430000000001</v>
      </c>
      <c r="M1497">
        <v>-0.99977150000000004</v>
      </c>
      <c r="N1497">
        <v>0</v>
      </c>
      <c r="O1497">
        <v>2.041111E-2</v>
      </c>
      <c r="P1497">
        <v>-0.99646630000000003</v>
      </c>
      <c r="Q1497">
        <v>7.7930260000000001E-2</v>
      </c>
      <c r="R1497">
        <v>3.1332680000000002E-2</v>
      </c>
      <c r="S1497">
        <v>-3.0213619999999999</v>
      </c>
      <c r="T1497">
        <v>-0.20148779999999999</v>
      </c>
      <c r="U1497">
        <v>0.1959534</v>
      </c>
      <c r="V1497">
        <v>1.096105E-2</v>
      </c>
      <c r="W1497">
        <v>8.4265629999999994E-2</v>
      </c>
      <c r="X1497">
        <v>0.99638300000000002</v>
      </c>
      <c r="Y1497">
        <v>4.4284980000000002E-2</v>
      </c>
      <c r="Z1497">
        <v>1.1548050000000001E-4</v>
      </c>
      <c r="AA1497">
        <v>0.99901890000000004</v>
      </c>
      <c r="AB1497">
        <v>51</v>
      </c>
      <c r="AC1497">
        <v>-0.36020000000002</v>
      </c>
      <c r="AD1497">
        <v>-5.7849000000000199E-2</v>
      </c>
      <c r="AE1497">
        <v>4.6199999999998902E-2</v>
      </c>
      <c r="AF1497">
        <v>3.7876990161157399E-2</v>
      </c>
      <c r="AG1497">
        <v>-5.7849000000000199E-2</v>
      </c>
      <c r="AH1497">
        <v>0.35213236921031199</v>
      </c>
      <c r="AI1497">
        <v>99.276756678289502</v>
      </c>
      <c r="AJ1497">
        <v>83.860605616153293</v>
      </c>
      <c r="AK1497">
        <v>0.35885704483865999</v>
      </c>
      <c r="AL1497">
        <v>85.1662027527492</v>
      </c>
      <c r="AM1497">
        <v>89.369723718905703</v>
      </c>
      <c r="AN1497">
        <v>0.99999996185269802</v>
      </c>
    </row>
    <row r="1498" spans="1:40" x14ac:dyDescent="0.25">
      <c r="A1498" t="str">
        <f>"20190312164503437"</f>
        <v>20190312164503437</v>
      </c>
      <c r="B1498" t="str">
        <f>"1552380303433679"</f>
        <v>1552380303433679</v>
      </c>
      <c r="C1498" t="s">
        <v>40</v>
      </c>
      <c r="D1498">
        <v>5.4434740000000001</v>
      </c>
      <c r="E1498">
        <v>0.51637149999999998</v>
      </c>
      <c r="F1498" t="s">
        <v>41</v>
      </c>
      <c r="G1498">
        <v>-287.68079999999998</v>
      </c>
      <c r="H1498">
        <v>1.0523149999999999</v>
      </c>
      <c r="I1498">
        <v>283.60809999999998</v>
      </c>
      <c r="J1498">
        <v>-287.14890000000003</v>
      </c>
      <c r="K1498">
        <v>1.1072959999999901</v>
      </c>
      <c r="L1498">
        <v>283.56009999999998</v>
      </c>
      <c r="M1498">
        <v>-0.99977280000000002</v>
      </c>
      <c r="N1498">
        <v>0</v>
      </c>
      <c r="O1498">
        <v>2.0346940000000001E-2</v>
      </c>
      <c r="P1498">
        <v>-0.99656650000000002</v>
      </c>
      <c r="Q1498">
        <v>7.6582330000000004E-2</v>
      </c>
      <c r="R1498">
        <v>3.147755E-2</v>
      </c>
      <c r="S1498">
        <v>-3.0203549999999999</v>
      </c>
      <c r="T1498">
        <v>-0.20371639999999999</v>
      </c>
      <c r="U1498">
        <v>0.197876</v>
      </c>
      <c r="V1498">
        <v>1.1168030000000001E-2</v>
      </c>
      <c r="W1498">
        <v>8.2941349999999997E-2</v>
      </c>
      <c r="X1498">
        <v>0.99649180000000004</v>
      </c>
      <c r="Y1498">
        <v>4.500088E-2</v>
      </c>
      <c r="Z1498">
        <v>1.4519979999999999E-4</v>
      </c>
      <c r="AA1498">
        <v>0.99898699999999996</v>
      </c>
      <c r="AB1498">
        <v>51</v>
      </c>
      <c r="AC1498">
        <v>-0.53189999999994997</v>
      </c>
      <c r="AD1498">
        <v>-5.4980999999999898E-2</v>
      </c>
      <c r="AE1498">
        <v>4.8000000000001798E-2</v>
      </c>
      <c r="AF1498">
        <v>3.6777521717680901E-2</v>
      </c>
      <c r="AG1498">
        <v>-5.4980999999999898E-2</v>
      </c>
      <c r="AH1498">
        <v>0.527179264880693</v>
      </c>
      <c r="AI1498">
        <v>95.939679466294194</v>
      </c>
      <c r="AJ1498">
        <v>86.009349398676903</v>
      </c>
      <c r="AK1498">
        <v>0.531312971594748</v>
      </c>
      <c r="AL1498">
        <v>85.242344925828505</v>
      </c>
      <c r="AM1498">
        <v>89.357893164980695</v>
      </c>
      <c r="AN1498">
        <v>0.99999994995056996</v>
      </c>
    </row>
    <row r="1499" spans="1:40" x14ac:dyDescent="0.25">
      <c r="A1499" t="str">
        <f>"20190312164503450"</f>
        <v>20190312164503450</v>
      </c>
      <c r="B1499" t="str">
        <f>"1552380303443440"</f>
        <v>1552380303443440</v>
      </c>
      <c r="C1499" t="s">
        <v>40</v>
      </c>
      <c r="D1499">
        <v>5.0830279999999997</v>
      </c>
      <c r="E1499">
        <v>0.51635500000000001</v>
      </c>
      <c r="F1499" t="s">
        <v>41</v>
      </c>
      <c r="G1499">
        <v>-288.12639999999999</v>
      </c>
      <c r="H1499">
        <v>1.04087</v>
      </c>
      <c r="I1499">
        <v>283.62450000000001</v>
      </c>
      <c r="J1499">
        <v>-287.43619999999999</v>
      </c>
      <c r="K1499">
        <v>1.1072919999999999</v>
      </c>
      <c r="L1499">
        <v>283.5659</v>
      </c>
      <c r="M1499">
        <v>-0.99977380000000005</v>
      </c>
      <c r="N1499">
        <v>0</v>
      </c>
      <c r="O1499">
        <v>2.0282419999999999E-2</v>
      </c>
      <c r="P1499">
        <v>-0.9967144</v>
      </c>
      <c r="Q1499">
        <v>7.4682219999999994E-2</v>
      </c>
      <c r="R1499">
        <v>3.1353300000000001E-2</v>
      </c>
      <c r="S1499">
        <v>-3.0198360000000002</v>
      </c>
      <c r="T1499">
        <v>-0.2052997</v>
      </c>
      <c r="U1499">
        <v>0.1982727</v>
      </c>
      <c r="V1499">
        <v>1.110528E-2</v>
      </c>
      <c r="W1499">
        <v>8.1066079999999999E-2</v>
      </c>
      <c r="X1499">
        <v>0.9966469</v>
      </c>
      <c r="Y1499">
        <v>4.5205719999999998E-2</v>
      </c>
      <c r="Z1499">
        <v>1.5767240000000001E-4</v>
      </c>
      <c r="AA1499">
        <v>0.99897769999999997</v>
      </c>
      <c r="AB1499">
        <v>51</v>
      </c>
      <c r="AC1499">
        <v>-0.69020000000000403</v>
      </c>
      <c r="AD1499">
        <v>-6.6421999999999898E-2</v>
      </c>
      <c r="AE1499">
        <v>5.86000000000126E-2</v>
      </c>
      <c r="AF1499">
        <v>4.41824713493938E-2</v>
      </c>
      <c r="AG1499">
        <v>-6.6421999999999898E-2</v>
      </c>
      <c r="AH1499">
        <v>0.68494844514574305</v>
      </c>
      <c r="AI1499">
        <v>95.527449791062594</v>
      </c>
      <c r="AJ1499">
        <v>86.309259689014894</v>
      </c>
      <c r="AK1499">
        <v>0.68957838232220703</v>
      </c>
      <c r="AL1499">
        <v>85.350153518520003</v>
      </c>
      <c r="AM1499">
        <v>89.361600038236205</v>
      </c>
      <c r="AN1499">
        <v>1.00000003992502</v>
      </c>
    </row>
    <row r="1500" spans="1:40" x14ac:dyDescent="0.25">
      <c r="A1500" t="str">
        <f>"20190312164503470"</f>
        <v>20190312164503470</v>
      </c>
      <c r="B1500" t="str">
        <f>"1552380303462959"</f>
        <v>1552380303462959</v>
      </c>
      <c r="C1500" t="s">
        <v>40</v>
      </c>
      <c r="D1500">
        <v>5.2317770000000001</v>
      </c>
      <c r="E1500">
        <v>0.51650600000000002</v>
      </c>
      <c r="F1500" t="s">
        <v>41</v>
      </c>
      <c r="G1500">
        <v>-288.57510000000002</v>
      </c>
      <c r="H1500">
        <v>1.028246</v>
      </c>
      <c r="I1500">
        <v>283.64069999999998</v>
      </c>
      <c r="J1500">
        <v>-287.89929999999998</v>
      </c>
      <c r="K1500">
        <v>1.1072789999999999</v>
      </c>
      <c r="L1500">
        <v>283.5752</v>
      </c>
      <c r="M1500">
        <v>-0.99977559999999999</v>
      </c>
      <c r="N1500">
        <v>0</v>
      </c>
      <c r="O1500">
        <v>2.0177299999999999E-2</v>
      </c>
      <c r="P1500">
        <v>-0.99701019999999896</v>
      </c>
      <c r="Q1500">
        <v>7.0703580000000002E-2</v>
      </c>
      <c r="R1500">
        <v>3.1171810000000001E-2</v>
      </c>
      <c r="S1500">
        <v>-3.0193789999999998</v>
      </c>
      <c r="T1500">
        <v>-0.20967079999999999</v>
      </c>
      <c r="U1500">
        <v>0.1977844</v>
      </c>
      <c r="V1500">
        <v>1.102334E-2</v>
      </c>
      <c r="W1500">
        <v>7.7128810000000006E-2</v>
      </c>
      <c r="X1500">
        <v>0.99696019999999996</v>
      </c>
      <c r="Y1500">
        <v>4.5157170000000003E-2</v>
      </c>
      <c r="Z1500">
        <v>1.6664380000000001E-4</v>
      </c>
      <c r="AA1500">
        <v>0.99897990000000003</v>
      </c>
      <c r="AB1500">
        <v>51</v>
      </c>
      <c r="AC1500">
        <v>-0.67580000000003704</v>
      </c>
      <c r="AD1500">
        <v>-7.9033000000000103E-2</v>
      </c>
      <c r="AE1500">
        <v>6.5499999999985903E-2</v>
      </c>
      <c r="AF1500">
        <v>5.1157409726114197E-2</v>
      </c>
      <c r="AG1500">
        <v>-7.9033000000000103E-2</v>
      </c>
      <c r="AH1500">
        <v>0.66793395340873096</v>
      </c>
      <c r="AI1500">
        <v>96.728597550652395</v>
      </c>
      <c r="AJ1500">
        <v>85.620237073678993</v>
      </c>
      <c r="AK1500">
        <v>0.67453618270267901</v>
      </c>
      <c r="AL1500">
        <v>85.576451469976007</v>
      </c>
      <c r="AM1500">
        <v>89.366509193245093</v>
      </c>
      <c r="AN1500">
        <v>1.0000000038704</v>
      </c>
    </row>
    <row r="1501" spans="1:40" x14ac:dyDescent="0.25">
      <c r="A1501" t="str">
        <f>"20190312164503482"</f>
        <v>20190312164503482</v>
      </c>
      <c r="B1501" t="str">
        <f>"1552380303472720"</f>
        <v>1552380303472720</v>
      </c>
      <c r="C1501" t="s">
        <v>40</v>
      </c>
      <c r="D1501">
        <v>5.3551549999999999</v>
      </c>
      <c r="E1501">
        <v>0.5164957</v>
      </c>
      <c r="F1501" t="s">
        <v>41</v>
      </c>
      <c r="G1501">
        <v>-289.02960000000002</v>
      </c>
      <c r="H1501">
        <v>1.025466</v>
      </c>
      <c r="I1501">
        <v>283.6497</v>
      </c>
      <c r="J1501">
        <v>-288.18490000000003</v>
      </c>
      <c r="K1501">
        <v>1.1072709999999999</v>
      </c>
      <c r="L1501">
        <v>283.58089999999999</v>
      </c>
      <c r="M1501">
        <v>-0.99977680000000002</v>
      </c>
      <c r="N1501">
        <v>0</v>
      </c>
      <c r="O1501">
        <v>2.011247E-2</v>
      </c>
      <c r="P1501">
        <v>-0.99718759999999995</v>
      </c>
      <c r="Q1501">
        <v>6.8254280000000001E-2</v>
      </c>
      <c r="R1501">
        <v>3.0957579999999998E-2</v>
      </c>
      <c r="S1501">
        <v>-3.0183110000000002</v>
      </c>
      <c r="T1501">
        <v>-0.21851290000000001</v>
      </c>
      <c r="U1501">
        <v>0.19854740000000001</v>
      </c>
      <c r="V1501">
        <v>1.087102E-2</v>
      </c>
      <c r="W1501">
        <v>7.4704919999999994E-2</v>
      </c>
      <c r="X1501">
        <v>0.99714639999999999</v>
      </c>
      <c r="Y1501">
        <v>4.5490179999999998E-2</v>
      </c>
      <c r="Z1501">
        <v>1.904198E-4</v>
      </c>
      <c r="AA1501">
        <v>0.99896479999999999</v>
      </c>
      <c r="AB1501">
        <v>51</v>
      </c>
      <c r="AC1501">
        <v>-0.84469999999998802</v>
      </c>
      <c r="AD1501">
        <v>-8.1804999999999906E-2</v>
      </c>
      <c r="AE1501">
        <v>6.8800000000010103E-2</v>
      </c>
      <c r="AF1501">
        <v>5.1318581023899003E-2</v>
      </c>
      <c r="AG1501">
        <v>-8.1804999999999906E-2</v>
      </c>
      <c r="AH1501">
        <v>0.83810415401135197</v>
      </c>
      <c r="AI1501">
        <v>95.564465149703395</v>
      </c>
      <c r="AJ1501">
        <v>86.496054134697999</v>
      </c>
      <c r="AK1501">
        <v>0.84364935118471496</v>
      </c>
      <c r="AL1501">
        <v>85.715731984203103</v>
      </c>
      <c r="AM1501">
        <v>89.375378690987006</v>
      </c>
      <c r="AN1501">
        <v>0.99999997359050297</v>
      </c>
    </row>
    <row r="1502" spans="1:40" x14ac:dyDescent="0.25">
      <c r="A1502" t="str">
        <f>"20190312164503496"</f>
        <v>20190312164503496</v>
      </c>
      <c r="B1502" t="str">
        <f>"1552380303493216"</f>
        <v>1552380303493216</v>
      </c>
      <c r="C1502" t="s">
        <v>40</v>
      </c>
      <c r="D1502">
        <v>5.2365110000000001</v>
      </c>
      <c r="E1502">
        <v>0.51670830000000001</v>
      </c>
      <c r="F1502" t="s">
        <v>41</v>
      </c>
      <c r="G1502">
        <v>-289.03879999999998</v>
      </c>
      <c r="H1502">
        <v>1.043676</v>
      </c>
      <c r="I1502">
        <v>283.63720000000001</v>
      </c>
      <c r="J1502">
        <v>-288.48050000000001</v>
      </c>
      <c r="K1502">
        <v>1.1072610000000001</v>
      </c>
      <c r="L1502">
        <v>283.58690000000001</v>
      </c>
      <c r="M1502">
        <v>-0.9997781</v>
      </c>
      <c r="N1502">
        <v>0</v>
      </c>
      <c r="O1502">
        <v>2.0045259999999999E-2</v>
      </c>
      <c r="P1502">
        <v>-0.99734590000000001</v>
      </c>
      <c r="Q1502">
        <v>6.5971500000000002E-2</v>
      </c>
      <c r="R1502">
        <v>3.08048E-2</v>
      </c>
      <c r="S1502">
        <v>-3.0177</v>
      </c>
      <c r="T1502">
        <v>-0.2247865</v>
      </c>
      <c r="U1502">
        <v>0.1983337</v>
      </c>
      <c r="V1502">
        <v>1.0782369999999999E-2</v>
      </c>
      <c r="W1502">
        <v>7.2447510000000007E-2</v>
      </c>
      <c r="X1502">
        <v>0.99731389999999998</v>
      </c>
      <c r="Y1502">
        <v>4.5496090000000003E-2</v>
      </c>
      <c r="Z1502">
        <v>2.011224E-4</v>
      </c>
      <c r="AA1502">
        <v>0.99896450000000003</v>
      </c>
      <c r="AB1502">
        <v>51</v>
      </c>
      <c r="AC1502">
        <v>-0.55829999999997404</v>
      </c>
      <c r="AD1502">
        <v>-6.3585000000000003E-2</v>
      </c>
      <c r="AE1502">
        <v>5.0299999999992899E-2</v>
      </c>
      <c r="AF1502">
        <v>3.8601717564023703E-2</v>
      </c>
      <c r="AG1502">
        <v>-6.3585000000000003E-2</v>
      </c>
      <c r="AH1502">
        <v>0.55209257269592804</v>
      </c>
      <c r="AI1502">
        <v>96.553999535005005</v>
      </c>
      <c r="AJ1502">
        <v>86.000449857187306</v>
      </c>
      <c r="AK1502">
        <v>0.55708110150129897</v>
      </c>
      <c r="AL1502">
        <v>85.845423533674605</v>
      </c>
      <c r="AM1502">
        <v>89.380575939429207</v>
      </c>
      <c r="AN1502">
        <v>0.99999995817061205</v>
      </c>
    </row>
    <row r="1503" spans="1:40" x14ac:dyDescent="0.25">
      <c r="A1503" t="str">
        <f>"20190312164503515"</f>
        <v>20190312164503515</v>
      </c>
      <c r="B1503" t="str">
        <f>"1552380303502975"</f>
        <v>1552380303502975</v>
      </c>
      <c r="C1503" t="s">
        <v>40</v>
      </c>
      <c r="D1503">
        <v>5.1329669999999998</v>
      </c>
      <c r="E1503">
        <v>0.51667470000000004</v>
      </c>
      <c r="F1503" t="s">
        <v>41</v>
      </c>
      <c r="G1503">
        <v>-289.48930000000001</v>
      </c>
      <c r="H1503">
        <v>1.0311950000000001</v>
      </c>
      <c r="I1503">
        <v>283.65410000000003</v>
      </c>
      <c r="J1503">
        <v>-288.90769999999998</v>
      </c>
      <c r="K1503">
        <v>1.1072329999999999</v>
      </c>
      <c r="L1503">
        <v>283.59539999999998</v>
      </c>
      <c r="M1503">
        <v>-0.9997798</v>
      </c>
      <c r="N1503">
        <v>0</v>
      </c>
      <c r="O1503">
        <v>1.9948210000000001E-2</v>
      </c>
      <c r="P1503">
        <v>-0.9977336</v>
      </c>
      <c r="Q1503">
        <v>6.0252229999999997E-2</v>
      </c>
      <c r="R1503">
        <v>2.9958189999999999E-2</v>
      </c>
      <c r="S1503">
        <v>-3.0168759999999999</v>
      </c>
      <c r="T1503">
        <v>-0.22772149999999999</v>
      </c>
      <c r="U1503">
        <v>0.2000122</v>
      </c>
      <c r="V1503">
        <v>1.0026729999999999E-2</v>
      </c>
      <c r="W1503">
        <v>6.6765030000000003E-2</v>
      </c>
      <c r="X1503">
        <v>0.99771829999999995</v>
      </c>
      <c r="Y1503">
        <v>4.6160229999999997E-2</v>
      </c>
      <c r="Z1503">
        <v>2.361009E-4</v>
      </c>
      <c r="AA1503">
        <v>0.99893399999999999</v>
      </c>
      <c r="AB1503">
        <v>51</v>
      </c>
      <c r="AC1503">
        <v>-0.58160000000003698</v>
      </c>
      <c r="AD1503">
        <v>-7.60379999999998E-2</v>
      </c>
      <c r="AE1503">
        <v>5.87000000000443E-2</v>
      </c>
      <c r="AF1503">
        <v>4.6302732628253303E-2</v>
      </c>
      <c r="AG1503">
        <v>-7.60379999999998E-2</v>
      </c>
      <c r="AH1503">
        <v>0.57296052065131897</v>
      </c>
      <c r="AI1503">
        <v>97.535308232205693</v>
      </c>
      <c r="AJ1503">
        <v>85.379789138843194</v>
      </c>
      <c r="AK1503">
        <v>0.57983573425399904</v>
      </c>
      <c r="AL1503">
        <v>86.171797711161105</v>
      </c>
      <c r="AM1503">
        <v>89.424216262067404</v>
      </c>
      <c r="AN1503">
        <v>0.99999995535014097</v>
      </c>
    </row>
    <row r="1504" spans="1:40" x14ac:dyDescent="0.25">
      <c r="A1504" t="str">
        <f>"20190312164503537"</f>
        <v>20190312164503537</v>
      </c>
      <c r="B1504" t="str">
        <f>"1552380303533231"</f>
        <v>1552380303533231</v>
      </c>
      <c r="C1504" t="s">
        <v>40</v>
      </c>
      <c r="D1504">
        <v>5.2800089999999997</v>
      </c>
      <c r="E1504">
        <v>0.51697340000000003</v>
      </c>
      <c r="F1504" t="s">
        <v>41</v>
      </c>
      <c r="G1504">
        <v>-289.94330000000002</v>
      </c>
      <c r="H1504">
        <v>1.0236749999999999</v>
      </c>
      <c r="I1504">
        <v>283.6635</v>
      </c>
      <c r="J1504">
        <v>-289.40539999999999</v>
      </c>
      <c r="K1504">
        <v>1.1072059999999999</v>
      </c>
      <c r="L1504">
        <v>283.6053</v>
      </c>
      <c r="M1504">
        <v>-0.99978180000000005</v>
      </c>
      <c r="N1504">
        <v>0</v>
      </c>
      <c r="O1504">
        <v>1.98347E-2</v>
      </c>
      <c r="P1504">
        <v>-0.99807489999999999</v>
      </c>
      <c r="Q1504">
        <v>5.4572210000000003E-2</v>
      </c>
      <c r="R1504">
        <v>2.946986E-2</v>
      </c>
      <c r="S1504">
        <v>-3.0155639999999999</v>
      </c>
      <c r="T1504">
        <v>-0.24334600000000001</v>
      </c>
      <c r="U1504">
        <v>0.19799800000000001</v>
      </c>
      <c r="V1504">
        <v>9.6466269999999996E-3</v>
      </c>
      <c r="W1504">
        <v>6.1124169999999999E-2</v>
      </c>
      <c r="X1504">
        <v>0.99808350000000001</v>
      </c>
      <c r="Y1504">
        <v>4.5628769999999999E-2</v>
      </c>
      <c r="Z1504">
        <v>2.4010660000000001E-4</v>
      </c>
      <c r="AA1504">
        <v>0.99895840000000002</v>
      </c>
      <c r="AB1504">
        <v>51</v>
      </c>
      <c r="AC1504">
        <v>-0.53790000000003602</v>
      </c>
      <c r="AD1504">
        <v>-8.3530999999999994E-2</v>
      </c>
      <c r="AE1504">
        <v>5.8199999999999301E-2</v>
      </c>
      <c r="AF1504">
        <v>4.6412926659843097E-2</v>
      </c>
      <c r="AG1504">
        <v>-8.3530999999999994E-2</v>
      </c>
      <c r="AH1504">
        <v>0.52640116167317397</v>
      </c>
      <c r="AI1504">
        <v>98.982420158530104</v>
      </c>
      <c r="AJ1504">
        <v>84.961246414353596</v>
      </c>
      <c r="AK1504">
        <v>0.53500445861039203</v>
      </c>
      <c r="AL1504">
        <v>86.495658400877304</v>
      </c>
      <c r="AM1504">
        <v>89.4462449243196</v>
      </c>
      <c r="AN1504">
        <v>0.99999994727145602</v>
      </c>
    </row>
    <row r="1505" spans="1:40" x14ac:dyDescent="0.25">
      <c r="A1505" t="str">
        <f>"20190312164503548"</f>
        <v>20190312164503548</v>
      </c>
      <c r="B1505" t="str">
        <f>"1552380303542991"</f>
        <v>1552380303542991</v>
      </c>
      <c r="C1505" t="s">
        <v>40</v>
      </c>
      <c r="D1505">
        <v>5.4506709999999998</v>
      </c>
      <c r="E1505">
        <v>0.51709419999999995</v>
      </c>
      <c r="F1505" t="s">
        <v>41</v>
      </c>
      <c r="G1505">
        <v>-290.40159999999997</v>
      </c>
      <c r="H1505">
        <v>1.0231110000000001</v>
      </c>
      <c r="I1505">
        <v>283.67140000000001</v>
      </c>
      <c r="J1505">
        <v>-289.66930000000002</v>
      </c>
      <c r="K1505">
        <v>1.107192</v>
      </c>
      <c r="L1505">
        <v>283.6105</v>
      </c>
      <c r="M1505">
        <v>-0.99978290000000003</v>
      </c>
      <c r="N1505">
        <v>0</v>
      </c>
      <c r="O1505">
        <v>1.9774549999999998E-2</v>
      </c>
      <c r="P1505">
        <v>-0.99825549999999996</v>
      </c>
      <c r="Q1505">
        <v>5.1426659999999999E-2</v>
      </c>
      <c r="R1505">
        <v>2.9012779999999998E-2</v>
      </c>
      <c r="S1505">
        <v>-3.0137939999999999</v>
      </c>
      <c r="T1505">
        <v>-0.25445459999999998</v>
      </c>
      <c r="U1505">
        <v>0.19949339999999999</v>
      </c>
      <c r="V1505">
        <v>9.2471659999999994E-3</v>
      </c>
      <c r="W1505">
        <v>5.799882E-2</v>
      </c>
      <c r="X1505">
        <v>0.99827379999999999</v>
      </c>
      <c r="Y1505">
        <v>4.6210580000000001E-2</v>
      </c>
      <c r="Z1505">
        <v>2.8072710000000002E-4</v>
      </c>
      <c r="AA1505">
        <v>0.99893169999999998</v>
      </c>
      <c r="AB1505">
        <v>51</v>
      </c>
      <c r="AC1505">
        <v>-0.73229999999995199</v>
      </c>
      <c r="AD1505">
        <v>-8.4080999999999795E-2</v>
      </c>
      <c r="AE1505">
        <v>6.0900000000003701E-2</v>
      </c>
      <c r="AF1505">
        <v>4.5807143629450098E-2</v>
      </c>
      <c r="AG1505">
        <v>-8.4080999999999795E-2</v>
      </c>
      <c r="AH1505">
        <v>0.72388361300635495</v>
      </c>
      <c r="AI1505">
        <v>96.612259711193005</v>
      </c>
      <c r="AJ1505">
        <v>86.379167647204696</v>
      </c>
      <c r="AK1505">
        <v>0.73018860176506595</v>
      </c>
      <c r="AL1505">
        <v>86.675046424483895</v>
      </c>
      <c r="AM1505">
        <v>89.469275432238902</v>
      </c>
      <c r="AN1505">
        <v>0.99999997648343097</v>
      </c>
    </row>
    <row r="1506" spans="1:40" x14ac:dyDescent="0.25">
      <c r="A1506" t="str">
        <f>"20190312164503570"</f>
        <v>20190312164503570</v>
      </c>
      <c r="B1506" t="str">
        <f>"1552380303563018"</f>
        <v>1552380303563018</v>
      </c>
      <c r="C1506" t="s">
        <v>40</v>
      </c>
      <c r="D1506">
        <v>5.2193059999999996</v>
      </c>
      <c r="E1506">
        <v>0.51736930000000003</v>
      </c>
      <c r="F1506" t="s">
        <v>41</v>
      </c>
      <c r="G1506">
        <v>-290.41149999999999</v>
      </c>
      <c r="H1506">
        <v>1.0428440000000001</v>
      </c>
      <c r="I1506">
        <v>283.65969999999999</v>
      </c>
      <c r="J1506">
        <v>-290.18560000000002</v>
      </c>
      <c r="K1506">
        <v>1.107167</v>
      </c>
      <c r="L1506">
        <v>283.6207</v>
      </c>
      <c r="M1506">
        <v>-0.99978489999999998</v>
      </c>
      <c r="N1506">
        <v>0</v>
      </c>
      <c r="O1506">
        <v>1.9657109999999998E-2</v>
      </c>
      <c r="P1506">
        <v>-0.99858709999999995</v>
      </c>
      <c r="Q1506">
        <v>4.4998749999999997E-2</v>
      </c>
      <c r="R1506">
        <v>2.8269160000000002E-2</v>
      </c>
      <c r="S1506">
        <v>-3.0129090000000001</v>
      </c>
      <c r="T1506">
        <v>-0.2612911</v>
      </c>
      <c r="U1506">
        <v>0.19918820000000001</v>
      </c>
      <c r="V1506">
        <v>8.6164599999999994E-3</v>
      </c>
      <c r="W1506">
        <v>5.1608340000000003E-2</v>
      </c>
      <c r="X1506">
        <v>0.99863020000000002</v>
      </c>
      <c r="Y1506">
        <v>4.624081E-2</v>
      </c>
      <c r="Z1506">
        <v>2.9978310000000001E-4</v>
      </c>
      <c r="AA1506">
        <v>0.99893030000000005</v>
      </c>
      <c r="AB1506">
        <v>51</v>
      </c>
      <c r="AC1506">
        <v>-0.22589999999996699</v>
      </c>
      <c r="AD1506">
        <v>-6.4322999999999894E-2</v>
      </c>
      <c r="AE1506">
        <v>3.8999999999987198E-2</v>
      </c>
      <c r="AF1506">
        <v>3.20300712813276E-2</v>
      </c>
      <c r="AG1506">
        <v>-6.4322999999999894E-2</v>
      </c>
      <c r="AH1506">
        <v>0.210082983346566</v>
      </c>
      <c r="AI1506">
        <v>106.84008084242301</v>
      </c>
      <c r="AJ1506">
        <v>81.331219841075196</v>
      </c>
      <c r="AK1506">
        <v>0.22203205553946601</v>
      </c>
      <c r="AL1506">
        <v>87.041745670603106</v>
      </c>
      <c r="AM1506">
        <v>89.505648295344002</v>
      </c>
      <c r="AN1506">
        <v>0.99999997024626297</v>
      </c>
    </row>
    <row r="1507" spans="1:40" x14ac:dyDescent="0.25">
      <c r="A1507" t="str">
        <f>"20190312164503581"</f>
        <v>20190312164503581</v>
      </c>
      <c r="B1507" t="str">
        <f>"1552380303572780"</f>
        <v>1552380303572780</v>
      </c>
      <c r="C1507" t="s">
        <v>40</v>
      </c>
      <c r="D1507">
        <v>4.9388909999999999</v>
      </c>
      <c r="E1507">
        <v>0.51750090000000004</v>
      </c>
      <c r="F1507" t="s">
        <v>41</v>
      </c>
      <c r="G1507">
        <v>-291.31200000000001</v>
      </c>
      <c r="H1507">
        <v>1.0041580000000001</v>
      </c>
      <c r="I1507">
        <v>283.69549999999998</v>
      </c>
      <c r="J1507">
        <v>-290.45249999999999</v>
      </c>
      <c r="K1507">
        <v>1.107151</v>
      </c>
      <c r="L1507">
        <v>283.6259</v>
      </c>
      <c r="M1507">
        <v>-0.99978599999999995</v>
      </c>
      <c r="N1507">
        <v>0</v>
      </c>
      <c r="O1507">
        <v>1.959607E-2</v>
      </c>
      <c r="P1507">
        <v>-0.99873829999999997</v>
      </c>
      <c r="Q1507">
        <v>4.180358E-2</v>
      </c>
      <c r="R1507">
        <v>2.7828240000000001E-2</v>
      </c>
      <c r="S1507">
        <v>-3.0109859999999999</v>
      </c>
      <c r="T1507">
        <v>-0.27546999999999999</v>
      </c>
      <c r="U1507">
        <v>0.1992188</v>
      </c>
      <c r="V1507">
        <v>8.2346880000000004E-3</v>
      </c>
      <c r="W1507">
        <v>4.8430870000000001E-2</v>
      </c>
      <c r="X1507">
        <v>0.99879260000000003</v>
      </c>
      <c r="Y1507">
        <v>4.634199E-2</v>
      </c>
      <c r="Z1507">
        <v>3.2636330000000003E-4</v>
      </c>
      <c r="AA1507">
        <v>0.99892559999999997</v>
      </c>
      <c r="AB1507">
        <v>51</v>
      </c>
      <c r="AC1507">
        <v>-0.85950000000002502</v>
      </c>
      <c r="AD1507">
        <v>-0.102993</v>
      </c>
      <c r="AE1507">
        <v>6.95999999999799E-2</v>
      </c>
      <c r="AF1507">
        <v>5.2001616549306399E-2</v>
      </c>
      <c r="AG1507">
        <v>-0.102993</v>
      </c>
      <c r="AH1507">
        <v>0.84859331066511701</v>
      </c>
      <c r="AI1507">
        <v>96.907259080743501</v>
      </c>
      <c r="AJ1507">
        <v>86.493311953589298</v>
      </c>
      <c r="AK1507">
        <v>0.85640080165675103</v>
      </c>
      <c r="AL1507">
        <v>87.224029656671803</v>
      </c>
      <c r="AM1507">
        <v>89.527627479332097</v>
      </c>
      <c r="AN1507">
        <v>1.00000000853508</v>
      </c>
    </row>
    <row r="1508" spans="1:40" x14ac:dyDescent="0.25">
      <c r="A1508" t="str">
        <f>"20190312164503593"</f>
        <v>20190312164503593</v>
      </c>
      <c r="B1508" t="str">
        <f>"1552380303583514"</f>
        <v>1552380303583514</v>
      </c>
      <c r="C1508" t="s">
        <v>40</v>
      </c>
      <c r="D1508">
        <v>4.9896479999999999</v>
      </c>
      <c r="E1508">
        <v>0.51757379999999997</v>
      </c>
      <c r="F1508" t="s">
        <v>41</v>
      </c>
      <c r="G1508">
        <v>-291.32260000000002</v>
      </c>
      <c r="H1508">
        <v>1.0254190000000001</v>
      </c>
      <c r="I1508">
        <v>283.68380000000002</v>
      </c>
      <c r="J1508">
        <v>-290.71249999999998</v>
      </c>
      <c r="K1508">
        <v>1.1071359999999999</v>
      </c>
      <c r="L1508">
        <v>283.63099999999997</v>
      </c>
      <c r="M1508">
        <v>-0.99978719999999999</v>
      </c>
      <c r="N1508">
        <v>0</v>
      </c>
      <c r="O1508">
        <v>1.953676E-2</v>
      </c>
      <c r="P1508">
        <v>-0.99888469999999996</v>
      </c>
      <c r="Q1508">
        <v>3.8619359999999998E-2</v>
      </c>
      <c r="R1508">
        <v>2.717025E-2</v>
      </c>
      <c r="S1508">
        <v>-3.0100709999999999</v>
      </c>
      <c r="T1508">
        <v>-0.28291620000000001</v>
      </c>
      <c r="U1508">
        <v>0.1992188</v>
      </c>
      <c r="V1508">
        <v>7.6342559999999999E-3</v>
      </c>
      <c r="W1508">
        <v>4.526434E-2</v>
      </c>
      <c r="X1508">
        <v>0.99894590000000005</v>
      </c>
      <c r="Y1508">
        <v>4.6414539999999997E-2</v>
      </c>
      <c r="Z1508">
        <v>3.4420039999999999E-4</v>
      </c>
      <c r="AA1508">
        <v>0.99892219999999998</v>
      </c>
      <c r="AB1508">
        <v>51</v>
      </c>
      <c r="AC1508">
        <v>-0.61010000000004505</v>
      </c>
      <c r="AD1508">
        <v>-8.1716999999999998E-2</v>
      </c>
      <c r="AE1508">
        <v>5.2800000000047399E-2</v>
      </c>
      <c r="AF1508">
        <v>4.0155252956001398E-2</v>
      </c>
      <c r="AG1508">
        <v>-8.1716999999999998E-2</v>
      </c>
      <c r="AH1508">
        <v>0.60032533292919099</v>
      </c>
      <c r="AI1508">
        <v>97.734454749801003</v>
      </c>
      <c r="AJ1508">
        <v>86.173234238781504</v>
      </c>
      <c r="AK1508">
        <v>0.60719075897571495</v>
      </c>
      <c r="AL1508">
        <v>87.405658002650497</v>
      </c>
      <c r="AM1508">
        <v>89.562136314714394</v>
      </c>
      <c r="AN1508">
        <v>1.00000002673355</v>
      </c>
    </row>
    <row r="1509" spans="1:40" x14ac:dyDescent="0.25">
      <c r="A1509" t="str">
        <f>"20190312164503604"</f>
        <v>20190312164503604</v>
      </c>
      <c r="B1509" t="str">
        <f>"1552380303593276"</f>
        <v>1552380303593276</v>
      </c>
      <c r="C1509" t="s">
        <v>40</v>
      </c>
      <c r="D1509">
        <v>5.1697670000000002</v>
      </c>
      <c r="E1509">
        <v>0.51767569999999996</v>
      </c>
      <c r="F1509" t="s">
        <v>41</v>
      </c>
      <c r="G1509">
        <v>-291.77359999999999</v>
      </c>
      <c r="H1509">
        <v>1.0048900000000001</v>
      </c>
      <c r="I1509">
        <v>283.7011</v>
      </c>
      <c r="J1509">
        <v>-290.97280000000001</v>
      </c>
      <c r="K1509">
        <v>1.1071249999999999</v>
      </c>
      <c r="L1509">
        <v>283.63600000000002</v>
      </c>
      <c r="M1509">
        <v>-0.99978820000000002</v>
      </c>
      <c r="N1509">
        <v>0</v>
      </c>
      <c r="O1509">
        <v>1.9477810000000002E-2</v>
      </c>
      <c r="P1509">
        <v>-0.99903410000000004</v>
      </c>
      <c r="Q1509">
        <v>3.522571E-2</v>
      </c>
      <c r="R1509">
        <v>2.6272670000000001E-2</v>
      </c>
      <c r="S1509">
        <v>-3.0091860000000001</v>
      </c>
      <c r="T1509">
        <v>-0.2900643</v>
      </c>
      <c r="U1509">
        <v>0.1982727</v>
      </c>
      <c r="V1509">
        <v>6.7939630000000001E-3</v>
      </c>
      <c r="W1509">
        <v>4.1887250000000001E-2</v>
      </c>
      <c r="X1509">
        <v>0.99909930000000002</v>
      </c>
      <c r="Y1509">
        <v>4.6174850000000003E-2</v>
      </c>
      <c r="Z1509">
        <v>3.4711060000000002E-4</v>
      </c>
      <c r="AA1509">
        <v>0.99893330000000002</v>
      </c>
      <c r="AB1509">
        <v>51</v>
      </c>
      <c r="AC1509">
        <v>-0.80079999999998097</v>
      </c>
      <c r="AD1509">
        <v>-0.10223499999999899</v>
      </c>
      <c r="AE1509">
        <v>6.5100000000029398E-2</v>
      </c>
      <c r="AF1509">
        <v>4.8700927457818101E-2</v>
      </c>
      <c r="AG1509">
        <v>-0.10223499999999899</v>
      </c>
      <c r="AH1509">
        <v>0.789138669949348</v>
      </c>
      <c r="AI1509">
        <v>97.367842094794895</v>
      </c>
      <c r="AJ1509">
        <v>86.468525356743697</v>
      </c>
      <c r="AK1509">
        <v>0.79722243820007899</v>
      </c>
      <c r="AL1509">
        <v>87.599335132346994</v>
      </c>
      <c r="AM1509">
        <v>89.610389671775295</v>
      </c>
      <c r="AN1509">
        <v>1.0000000554531401</v>
      </c>
    </row>
    <row r="1510" spans="1:40" x14ac:dyDescent="0.25">
      <c r="A1510" t="str">
        <f>"20190312164503616"</f>
        <v>20190312164503616</v>
      </c>
      <c r="B1510" t="str">
        <f>"1552380303612795"</f>
        <v>1552380303612795</v>
      </c>
      <c r="C1510" t="s">
        <v>40</v>
      </c>
      <c r="D1510">
        <v>5.2988540000000004</v>
      </c>
      <c r="E1510">
        <v>0.51738830000000002</v>
      </c>
      <c r="F1510" t="s">
        <v>41</v>
      </c>
      <c r="G1510">
        <v>-291.78460000000001</v>
      </c>
      <c r="H1510">
        <v>1.0268759999999999</v>
      </c>
      <c r="I1510">
        <v>283.68939999999998</v>
      </c>
      <c r="J1510">
        <v>-291.23099999999999</v>
      </c>
      <c r="K1510">
        <v>1.107113</v>
      </c>
      <c r="L1510">
        <v>283.64109999999999</v>
      </c>
      <c r="M1510">
        <v>-0.99978920000000004</v>
      </c>
      <c r="N1510">
        <v>0</v>
      </c>
      <c r="O1510">
        <v>1.9419280000000001E-2</v>
      </c>
      <c r="P1510">
        <v>-0.99913050000000003</v>
      </c>
      <c r="Q1510">
        <v>3.2964279999999999E-2</v>
      </c>
      <c r="R1510">
        <v>2.553573E-2</v>
      </c>
      <c r="S1510">
        <v>-3.0082089999999999</v>
      </c>
      <c r="T1510">
        <v>-0.29753030000000003</v>
      </c>
      <c r="U1510">
        <v>0.19692989999999999</v>
      </c>
      <c r="V1510">
        <v>6.1145909999999999E-3</v>
      </c>
      <c r="W1510">
        <v>3.9641790000000003E-2</v>
      </c>
      <c r="X1510">
        <v>0.99919519999999995</v>
      </c>
      <c r="Y1510">
        <v>4.5805650000000003E-2</v>
      </c>
      <c r="Z1510">
        <v>3.4369179999999997E-4</v>
      </c>
      <c r="AA1510">
        <v>0.99895029999999996</v>
      </c>
      <c r="AB1510">
        <v>51</v>
      </c>
      <c r="AC1510">
        <v>-0.55360000000001697</v>
      </c>
      <c r="AD1510">
        <v>-8.0236999999999795E-2</v>
      </c>
      <c r="AE1510">
        <v>4.8299999999983301E-2</v>
      </c>
      <c r="AF1510">
        <v>3.6773486564539201E-2</v>
      </c>
      <c r="AG1510">
        <v>-8.0236999999999795E-2</v>
      </c>
      <c r="AH1510">
        <v>0.54311081412525497</v>
      </c>
      <c r="AI1510">
        <v>98.384933904211096</v>
      </c>
      <c r="AJ1510">
        <v>86.126472625485704</v>
      </c>
      <c r="AK1510">
        <v>0.55023596929218499</v>
      </c>
      <c r="AL1510">
        <v>87.728097331942493</v>
      </c>
      <c r="AM1510">
        <v>89.649381937972905</v>
      </c>
      <c r="AN1510">
        <v>0.99999995372026895</v>
      </c>
    </row>
    <row r="1511" spans="1:40" x14ac:dyDescent="0.25">
      <c r="A1511" t="str">
        <f>"20190312164503628"</f>
        <v>20190312164503628</v>
      </c>
      <c r="B1511" t="str">
        <f>"1552380303623531"</f>
        <v>1552380303623531</v>
      </c>
      <c r="C1511" t="s">
        <v>40</v>
      </c>
      <c r="D1511">
        <v>4.781072</v>
      </c>
      <c r="E1511">
        <v>0.51738830000000002</v>
      </c>
      <c r="F1511" t="s">
        <v>41</v>
      </c>
      <c r="G1511">
        <v>-292.23649999999998</v>
      </c>
      <c r="H1511">
        <v>1.0064850000000001</v>
      </c>
      <c r="I1511">
        <v>283.70580000000001</v>
      </c>
      <c r="J1511">
        <v>-291.52330000000001</v>
      </c>
      <c r="K1511">
        <v>1.107102</v>
      </c>
      <c r="L1511">
        <v>283.64670000000001</v>
      </c>
      <c r="M1511">
        <v>-0.99979030000000002</v>
      </c>
      <c r="N1511">
        <v>0</v>
      </c>
      <c r="O1511">
        <v>1.9352930000000001E-2</v>
      </c>
      <c r="P1511">
        <v>-0.99921919999999997</v>
      </c>
      <c r="Q1511">
        <v>3.0757179999999999E-2</v>
      </c>
      <c r="R1511">
        <v>2.4803039999999998E-2</v>
      </c>
      <c r="S1511">
        <v>-3.0075989999999999</v>
      </c>
      <c r="T1511">
        <v>-0.3011143</v>
      </c>
      <c r="U1511">
        <v>0.192749</v>
      </c>
      <c r="V1511">
        <v>5.4472100000000001E-3</v>
      </c>
      <c r="W1511">
        <v>3.7451869999999998E-2</v>
      </c>
      <c r="X1511">
        <v>0.99928360000000005</v>
      </c>
      <c r="Y1511">
        <v>4.4505219999999998E-2</v>
      </c>
      <c r="Z1511">
        <v>2.8963680000000002E-4</v>
      </c>
      <c r="AA1511">
        <v>0.99900909999999998</v>
      </c>
      <c r="AB1511">
        <v>52</v>
      </c>
      <c r="AC1511">
        <v>-0.71319999999997197</v>
      </c>
      <c r="AD1511">
        <v>-0.100616999999999</v>
      </c>
      <c r="AE1511">
        <v>5.9100000000000798E-2</v>
      </c>
      <c r="AF1511">
        <v>4.4408278747490003E-2</v>
      </c>
      <c r="AG1511">
        <v>-0.100616999999999</v>
      </c>
      <c r="AH1511">
        <v>0.70036584179296102</v>
      </c>
      <c r="AI1511">
        <v>98.159209190538206</v>
      </c>
      <c r="AJ1511">
        <v>86.371888682617097</v>
      </c>
      <c r="AK1511">
        <v>0.70894864994629703</v>
      </c>
      <c r="AL1511">
        <v>87.853663987475301</v>
      </c>
      <c r="AM1511">
        <v>89.687677200105597</v>
      </c>
      <c r="AN1511">
        <v>1.00000001394612</v>
      </c>
    </row>
    <row r="1512" spans="1:40" x14ac:dyDescent="0.25">
      <c r="A1512" t="str">
        <f>"20190312164503639"</f>
        <v>20190312164503639</v>
      </c>
      <c r="B1512" t="str">
        <f>"1552380303633290"</f>
        <v>1552380303633290</v>
      </c>
      <c r="C1512" t="s">
        <v>40</v>
      </c>
      <c r="D1512">
        <v>4.9386089999999996</v>
      </c>
      <c r="E1512">
        <v>0.51481179999999904</v>
      </c>
      <c r="F1512" t="s">
        <v>41</v>
      </c>
      <c r="G1512">
        <v>-292.24970000000002</v>
      </c>
      <c r="H1512">
        <v>1.0328189999999999</v>
      </c>
      <c r="I1512">
        <v>283.69310000000002</v>
      </c>
      <c r="J1512">
        <v>-291.77480000000003</v>
      </c>
      <c r="K1512">
        <v>1.1070899999999999</v>
      </c>
      <c r="L1512">
        <v>283.6515</v>
      </c>
      <c r="M1512">
        <v>-0.9997914</v>
      </c>
      <c r="N1512">
        <v>0</v>
      </c>
      <c r="O1512">
        <v>1.9295659999999999E-2</v>
      </c>
      <c r="P1512">
        <v>-0.99929789999999996</v>
      </c>
      <c r="Q1512">
        <v>2.884844E-2</v>
      </c>
      <c r="R1512">
        <v>2.390743E-2</v>
      </c>
      <c r="S1512">
        <v>-3.0070800000000002</v>
      </c>
      <c r="T1512">
        <v>-0.30767070000000002</v>
      </c>
      <c r="U1512">
        <v>0.1910095</v>
      </c>
      <c r="V1512">
        <v>4.6080440000000004E-3</v>
      </c>
      <c r="W1512">
        <v>3.5557709999999999E-2</v>
      </c>
      <c r="X1512">
        <v>0.99935700000000005</v>
      </c>
      <c r="Y1512">
        <v>4.3994690000000003E-2</v>
      </c>
      <c r="Z1512">
        <v>2.7577739999999997E-4</v>
      </c>
      <c r="AA1512">
        <v>0.99903169999999997</v>
      </c>
      <c r="AB1512">
        <v>52</v>
      </c>
      <c r="AC1512">
        <v>-0.474899999999991</v>
      </c>
      <c r="AD1512">
        <v>-7.4270999999999698E-2</v>
      </c>
      <c r="AE1512">
        <v>4.16000000000167E-2</v>
      </c>
      <c r="AF1512">
        <v>3.1660071287965601E-2</v>
      </c>
      <c r="AG1512">
        <v>-7.4270999999999698E-2</v>
      </c>
      <c r="AH1512">
        <v>0.46434352069388501</v>
      </c>
      <c r="AI1512">
        <v>99.066694314689201</v>
      </c>
      <c r="AJ1512">
        <v>86.099471157377906</v>
      </c>
      <c r="AK1512">
        <v>0.47131035079377498</v>
      </c>
      <c r="AL1512">
        <v>87.962263729922597</v>
      </c>
      <c r="AM1512">
        <v>89.735810524288297</v>
      </c>
      <c r="AN1512">
        <v>0.99999999912947501</v>
      </c>
    </row>
    <row r="1513" spans="1:40" x14ac:dyDescent="0.25">
      <c r="A1513" t="str">
        <f>"20190312164503651"</f>
        <v>20190312164503651</v>
      </c>
      <c r="B1513" t="str">
        <f>"1552380303643051"</f>
        <v>1552380303643051</v>
      </c>
      <c r="C1513" t="s">
        <v>40</v>
      </c>
      <c r="D1513">
        <v>5.0465090000000004</v>
      </c>
      <c r="E1513">
        <v>0.51474249999999999</v>
      </c>
      <c r="F1513" t="s">
        <v>41</v>
      </c>
      <c r="G1513">
        <v>-292.72269999999997</v>
      </c>
      <c r="H1513">
        <v>1.0500020000000001</v>
      </c>
      <c r="I1513">
        <v>283.70690000000002</v>
      </c>
      <c r="J1513">
        <v>-292.0471</v>
      </c>
      <c r="K1513">
        <v>1.1070819999999999</v>
      </c>
      <c r="L1513">
        <v>283.6567</v>
      </c>
      <c r="M1513">
        <v>-0.99979229999999997</v>
      </c>
      <c r="N1513">
        <v>0</v>
      </c>
      <c r="O1513">
        <v>1.923397E-2</v>
      </c>
      <c r="P1513">
        <v>-0.99937770000000004</v>
      </c>
      <c r="Q1513">
        <v>2.680944E-2</v>
      </c>
      <c r="R1513">
        <v>2.2925520000000001E-2</v>
      </c>
      <c r="S1513">
        <v>-3.0031430000000001</v>
      </c>
      <c r="T1513">
        <v>-0.18093880000000001</v>
      </c>
      <c r="U1513">
        <v>0.17517089999999999</v>
      </c>
      <c r="V1513">
        <v>3.6872960000000001E-3</v>
      </c>
      <c r="W1513">
        <v>3.3533790000000001E-2</v>
      </c>
      <c r="X1513">
        <v>0.99943079999999995</v>
      </c>
      <c r="Y1513">
        <v>3.8981990000000001E-2</v>
      </c>
      <c r="Z1513" s="1">
        <v>1.56477299999999E-5</v>
      </c>
      <c r="AA1513">
        <v>0.99923989999999996</v>
      </c>
      <c r="AB1513">
        <v>52</v>
      </c>
      <c r="AC1513">
        <v>-0.675599999999974</v>
      </c>
      <c r="AD1513">
        <v>-5.7079999999999798E-2</v>
      </c>
      <c r="AE1513">
        <v>5.0200000000018001E-2</v>
      </c>
      <c r="AF1513">
        <v>3.6933755006039702E-2</v>
      </c>
      <c r="AG1513">
        <v>-5.7079999999999798E-2</v>
      </c>
      <c r="AH1513">
        <v>0.67167237720224504</v>
      </c>
      <c r="AI1513">
        <v>94.850141736752207</v>
      </c>
      <c r="AJ1513">
        <v>86.852603466383698</v>
      </c>
      <c r="AK1513">
        <v>0.67510444447904605</v>
      </c>
      <c r="AL1513">
        <v>88.078295116591903</v>
      </c>
      <c r="AM1513">
        <v>89.788614139106002</v>
      </c>
      <c r="AN1513">
        <v>1.0000000176060899</v>
      </c>
    </row>
    <row r="1514" spans="1:40" x14ac:dyDescent="0.25">
      <c r="A1514" t="str">
        <f>"20190312164503663"</f>
        <v>20190312164503663</v>
      </c>
      <c r="B1514" t="str">
        <f>"1552380303653318"</f>
        <v>1552380303653318</v>
      </c>
      <c r="C1514" t="s">
        <v>40</v>
      </c>
      <c r="D1514">
        <v>5.0246930000000001</v>
      </c>
      <c r="E1514">
        <v>0.51466449999999997</v>
      </c>
      <c r="F1514" t="s">
        <v>41</v>
      </c>
      <c r="G1514">
        <v>-293.17809999999997</v>
      </c>
      <c r="H1514">
        <v>1.0370299999999999</v>
      </c>
      <c r="I1514">
        <v>283.72160000000002</v>
      </c>
      <c r="J1514">
        <v>-292.3202</v>
      </c>
      <c r="K1514">
        <v>1.107073</v>
      </c>
      <c r="L1514">
        <v>283.66199999999998</v>
      </c>
      <c r="M1514">
        <v>-0.9997935</v>
      </c>
      <c r="N1514">
        <v>0</v>
      </c>
      <c r="O1514">
        <v>1.9171629999999999E-2</v>
      </c>
      <c r="P1514">
        <v>-0.99945119999999998</v>
      </c>
      <c r="Q1514">
        <v>2.5114170000000002E-2</v>
      </c>
      <c r="R1514">
        <v>2.1602799999999998E-2</v>
      </c>
      <c r="S1514">
        <v>-3.0029300000000001</v>
      </c>
      <c r="T1514">
        <v>-0.1860945</v>
      </c>
      <c r="U1514">
        <v>0.17181399999999999</v>
      </c>
      <c r="V1514">
        <v>2.4261859999999999E-3</v>
      </c>
      <c r="W1514">
        <v>3.1852409999999998E-2</v>
      </c>
      <c r="X1514">
        <v>0.99948970000000004</v>
      </c>
      <c r="Y1514">
        <v>3.7934900000000001E-2</v>
      </c>
      <c r="Z1514" s="1">
        <v>-1.2440720000000001E-5</v>
      </c>
      <c r="AA1514">
        <v>0.99928019999999995</v>
      </c>
      <c r="AB1514">
        <v>52</v>
      </c>
      <c r="AC1514">
        <v>-0.85789999999997202</v>
      </c>
      <c r="AD1514">
        <v>-7.0042999999999994E-2</v>
      </c>
      <c r="AE1514">
        <v>5.9599999999989002E-2</v>
      </c>
      <c r="AF1514">
        <v>4.2857023944318201E-2</v>
      </c>
      <c r="AG1514">
        <v>-7.0042999999999994E-2</v>
      </c>
      <c r="AH1514">
        <v>0.85322481364119396</v>
      </c>
      <c r="AI1514">
        <v>94.687123687046594</v>
      </c>
      <c r="AJ1514">
        <v>87.124480466565203</v>
      </c>
      <c r="AK1514">
        <v>0.85716703679237105</v>
      </c>
      <c r="AL1514">
        <v>88.174682709147405</v>
      </c>
      <c r="AM1514">
        <v>89.860919081926994</v>
      </c>
      <c r="AN1514">
        <v>1.0000000614036999</v>
      </c>
    </row>
    <row r="1515" spans="1:40" x14ac:dyDescent="0.25">
      <c r="A1515" t="str">
        <f>"20190312164503673"</f>
        <v>20190312164503673</v>
      </c>
      <c r="B1515" t="str">
        <f>"1552380303663078"</f>
        <v>1552380303663078</v>
      </c>
      <c r="C1515" t="s">
        <v>40</v>
      </c>
      <c r="D1515">
        <v>4.8566880000000001</v>
      </c>
      <c r="E1515">
        <v>0.51410940000000005</v>
      </c>
      <c r="F1515" t="s">
        <v>41</v>
      </c>
      <c r="G1515">
        <v>-293.18830000000003</v>
      </c>
      <c r="H1515">
        <v>1.0516190000000001</v>
      </c>
      <c r="I1515">
        <v>283.71050000000002</v>
      </c>
      <c r="J1515">
        <v>-292.57670000000002</v>
      </c>
      <c r="K1515">
        <v>1.1070690000000001</v>
      </c>
      <c r="L1515">
        <v>283.6669</v>
      </c>
      <c r="M1515">
        <v>-0.99979470000000004</v>
      </c>
      <c r="N1515">
        <v>0</v>
      </c>
      <c r="O1515">
        <v>1.9113169999999999E-2</v>
      </c>
      <c r="P1515">
        <v>-0.99951829999999997</v>
      </c>
      <c r="Q1515">
        <v>2.3435689999999999E-2</v>
      </c>
      <c r="R1515">
        <v>2.0353389999999999E-2</v>
      </c>
      <c r="S1515">
        <v>-3.002869</v>
      </c>
      <c r="T1515">
        <v>-0.19196559999999999</v>
      </c>
      <c r="U1515">
        <v>0.1673279</v>
      </c>
      <c r="V1515">
        <v>1.234749E-3</v>
      </c>
      <c r="W1515">
        <v>3.0187140000000001E-2</v>
      </c>
      <c r="X1515">
        <v>0.99954350000000003</v>
      </c>
      <c r="Y1515">
        <v>3.6506820000000002E-2</v>
      </c>
      <c r="Z1515" s="1">
        <v>-5.4673290000000003E-5</v>
      </c>
      <c r="AA1515">
        <v>0.99933340000000004</v>
      </c>
      <c r="AB1515">
        <v>52</v>
      </c>
      <c r="AC1515">
        <v>-0.61160000000000903</v>
      </c>
      <c r="AD1515">
        <v>-5.5449999999999999E-2</v>
      </c>
      <c r="AE1515">
        <v>4.3600000000026201E-2</v>
      </c>
      <c r="AF1515">
        <v>3.1643364782063997E-2</v>
      </c>
      <c r="AG1515">
        <v>-5.5449999999999999E-2</v>
      </c>
      <c r="AH1515">
        <v>0.607354456904597</v>
      </c>
      <c r="AI1515">
        <v>95.209478534904605</v>
      </c>
      <c r="AJ1515">
        <v>87.017567846262807</v>
      </c>
      <c r="AK1515">
        <v>0.61070077890617502</v>
      </c>
      <c r="AL1515">
        <v>88.270141485334605</v>
      </c>
      <c r="AM1515">
        <v>89.9292218192885</v>
      </c>
      <c r="AN1515">
        <v>0.99999999820936103</v>
      </c>
    </row>
    <row r="1516" spans="1:40" x14ac:dyDescent="0.25">
      <c r="A1516" t="str">
        <f>"20190312164503693"</f>
        <v>20190312164503693</v>
      </c>
      <c r="B1516" t="str">
        <f>"1552380303683577"</f>
        <v>1552380303683577</v>
      </c>
      <c r="C1516" t="s">
        <v>40</v>
      </c>
      <c r="D1516">
        <v>5.0864240000000001</v>
      </c>
      <c r="E1516">
        <v>0.51375130000000002</v>
      </c>
      <c r="F1516" t="s">
        <v>41</v>
      </c>
      <c r="G1516">
        <v>-293.6422</v>
      </c>
      <c r="H1516">
        <v>1.035434</v>
      </c>
      <c r="I1516">
        <v>283.72320000000002</v>
      </c>
      <c r="J1516">
        <v>-293.02539999999999</v>
      </c>
      <c r="K1516">
        <v>1.1070599999999999</v>
      </c>
      <c r="L1516">
        <v>283.67540000000002</v>
      </c>
      <c r="M1516">
        <v>-0.99979629999999997</v>
      </c>
      <c r="N1516">
        <v>0</v>
      </c>
      <c r="O1516">
        <v>1.9011400000000001E-2</v>
      </c>
      <c r="P1516">
        <v>-0.99961679999999997</v>
      </c>
      <c r="Q1516">
        <v>2.130808E-2</v>
      </c>
      <c r="R1516">
        <v>1.7676919999999999E-2</v>
      </c>
      <c r="S1516">
        <v>-3.0029599999999999</v>
      </c>
      <c r="T1516">
        <v>-0.2019222</v>
      </c>
      <c r="U1516">
        <v>0.15878299999999901</v>
      </c>
      <c r="V1516">
        <v>-1.340639E-3</v>
      </c>
      <c r="W1516">
        <v>2.808136E-2</v>
      </c>
      <c r="X1516">
        <v>0.99960479999999996</v>
      </c>
      <c r="Y1516">
        <v>3.3773629999999999E-2</v>
      </c>
      <c r="Z1516">
        <v>-1.4241030000000001E-4</v>
      </c>
      <c r="AA1516">
        <v>0.99942949999999997</v>
      </c>
      <c r="AB1516">
        <v>52</v>
      </c>
      <c r="AC1516">
        <v>-0.61680000000001201</v>
      </c>
      <c r="AD1516">
        <v>-7.1625999999999898E-2</v>
      </c>
      <c r="AE1516">
        <v>4.7799999999995103E-2</v>
      </c>
      <c r="AF1516">
        <v>3.5587821082519899E-2</v>
      </c>
      <c r="AG1516">
        <v>-7.1625999999999898E-2</v>
      </c>
      <c r="AH1516">
        <v>0.60942817475862399</v>
      </c>
      <c r="AI1516">
        <v>96.691916203370894</v>
      </c>
      <c r="AJ1516">
        <v>86.657983586201397</v>
      </c>
      <c r="AK1516">
        <v>0.61465394904371196</v>
      </c>
      <c r="AL1516">
        <v>88.390845148702894</v>
      </c>
      <c r="AM1516">
        <v>90.076843278959103</v>
      </c>
      <c r="AN1516">
        <v>1.0000000581377</v>
      </c>
    </row>
    <row r="1517" spans="1:40" x14ac:dyDescent="0.25">
      <c r="A1517" t="str">
        <f>"20190312164503706"</f>
        <v>20190312164503706</v>
      </c>
      <c r="B1517" t="str">
        <f>"1552380303703094"</f>
        <v>1552380303703094</v>
      </c>
      <c r="C1517" t="s">
        <v>40</v>
      </c>
      <c r="D1517">
        <v>5.3455130000000004</v>
      </c>
      <c r="E1517">
        <v>0.5142004</v>
      </c>
      <c r="F1517" t="s">
        <v>41</v>
      </c>
      <c r="G1517">
        <v>-294.10660000000001</v>
      </c>
      <c r="H1517">
        <v>1.0330999999999999</v>
      </c>
      <c r="I1517">
        <v>283.72910000000002</v>
      </c>
      <c r="J1517">
        <v>-293.33179999999999</v>
      </c>
      <c r="K1517">
        <v>1.1070599999999999</v>
      </c>
      <c r="L1517">
        <v>283.68119999999999</v>
      </c>
      <c r="M1517">
        <v>-0.99979759999999995</v>
      </c>
      <c r="N1517">
        <v>0</v>
      </c>
      <c r="O1517">
        <v>1.8941719999999999E-2</v>
      </c>
      <c r="P1517">
        <v>-0.9996372</v>
      </c>
      <c r="Q1517">
        <v>2.1409649999999999E-2</v>
      </c>
      <c r="R1517">
        <v>1.634466E-2</v>
      </c>
      <c r="S1517">
        <v>-3.0029300000000001</v>
      </c>
      <c r="T1517">
        <v>-0.20558969999999999</v>
      </c>
      <c r="U1517">
        <v>0.14825439999999901</v>
      </c>
      <c r="V1517">
        <v>-2.6037479999999999E-3</v>
      </c>
      <c r="W1517">
        <v>2.819719E-2</v>
      </c>
      <c r="X1517">
        <v>0.99959900000000002</v>
      </c>
      <c r="Y1517">
        <v>3.035525E-2</v>
      </c>
      <c r="Z1517">
        <v>-2.5706490000000003E-4</v>
      </c>
      <c r="AA1517">
        <v>0.99953910000000001</v>
      </c>
      <c r="AB1517">
        <v>52</v>
      </c>
      <c r="AC1517">
        <v>-0.77480000000002702</v>
      </c>
      <c r="AD1517">
        <v>-7.3959999999999998E-2</v>
      </c>
      <c r="AE1517">
        <v>4.79000000000269E-2</v>
      </c>
      <c r="AF1517">
        <v>3.2916232516734797E-2</v>
      </c>
      <c r="AG1517">
        <v>-7.3959999999999998E-2</v>
      </c>
      <c r="AH1517">
        <v>0.76859156051912503</v>
      </c>
      <c r="AI1517">
        <v>95.491529233017999</v>
      </c>
      <c r="AJ1517">
        <v>87.547709947711397</v>
      </c>
      <c r="AK1517">
        <v>0.77284315799799896</v>
      </c>
      <c r="AL1517">
        <v>88.384205873579006</v>
      </c>
      <c r="AM1517">
        <v>90.149243280471296</v>
      </c>
      <c r="AN1517">
        <v>1.0000000109142699</v>
      </c>
    </row>
    <row r="1518" spans="1:40" x14ac:dyDescent="0.25">
      <c r="A1518" t="str">
        <f>"20190312164503727"</f>
        <v>20190312164503727</v>
      </c>
      <c r="B1518" t="str">
        <f>"1552380303723590"</f>
        <v>1552380303723590</v>
      </c>
      <c r="C1518" t="s">
        <v>40</v>
      </c>
      <c r="D1518">
        <v>5.0008520000000001</v>
      </c>
      <c r="E1518">
        <v>0.51487579999999999</v>
      </c>
      <c r="F1518" t="s">
        <v>51</v>
      </c>
      <c r="G1518">
        <v>-310.30990000000003</v>
      </c>
      <c r="H1518" s="1">
        <v>2.3627880000000002E-6</v>
      </c>
      <c r="I1518">
        <v>284.52080000000001</v>
      </c>
      <c r="J1518">
        <v>-293.80189999999999</v>
      </c>
      <c r="K1518">
        <v>1.107057</v>
      </c>
      <c r="L1518">
        <v>283.69</v>
      </c>
      <c r="M1518">
        <v>-0.99979949999999995</v>
      </c>
      <c r="N1518">
        <v>0</v>
      </c>
      <c r="O1518">
        <v>1.8834409999999999E-2</v>
      </c>
      <c r="P1518">
        <v>-0.99966480000000002</v>
      </c>
      <c r="Q1518">
        <v>2.1901170000000001E-2</v>
      </c>
      <c r="R1518">
        <v>1.3803910000000001E-2</v>
      </c>
      <c r="S1518">
        <v>-3.0028380000000001</v>
      </c>
      <c r="T1518">
        <v>-0.19579959999999999</v>
      </c>
      <c r="U1518">
        <v>0.14849849999999901</v>
      </c>
      <c r="V1518">
        <v>-5.0374189999999996E-3</v>
      </c>
      <c r="W1518">
        <v>2.8709579999999998E-2</v>
      </c>
      <c r="X1518">
        <v>0.99957510000000005</v>
      </c>
      <c r="Y1518">
        <v>3.0546940000000002E-2</v>
      </c>
      <c r="Z1518">
        <v>-2.3163449999999999E-4</v>
      </c>
      <c r="AA1518">
        <v>0.99953329999999996</v>
      </c>
      <c r="AB1518">
        <v>52</v>
      </c>
      <c r="AC1518">
        <v>-16.507999999999999</v>
      </c>
      <c r="AD1518">
        <v>-1.107054637212</v>
      </c>
      <c r="AE1518">
        <v>0.83080000000000997</v>
      </c>
      <c r="AF1518">
        <v>0.51740595983570903</v>
      </c>
      <c r="AG1518">
        <v>-1.107054637212</v>
      </c>
      <c r="AH1518">
        <v>16.446940112495199</v>
      </c>
      <c r="AI1518">
        <v>93.848910549921996</v>
      </c>
      <c r="AJ1518">
        <v>88.198120519920394</v>
      </c>
      <c r="AK1518">
        <v>16.492274493260499</v>
      </c>
      <c r="AL1518">
        <v>88.354836176774299</v>
      </c>
      <c r="AM1518">
        <v>90.288743091914995</v>
      </c>
      <c r="AN1518">
        <v>0.99999999805698403</v>
      </c>
    </row>
    <row r="1519" spans="1:40" x14ac:dyDescent="0.25">
      <c r="A1519" t="str">
        <f>"20190312164503749"</f>
        <v>20190312164503749</v>
      </c>
      <c r="B1519" t="str">
        <f>"1552380303743110"</f>
        <v>1552380303743110</v>
      </c>
      <c r="C1519" t="s">
        <v>40</v>
      </c>
      <c r="D1519">
        <v>5.0181899999999997</v>
      </c>
      <c r="E1519">
        <v>0.51523640000000004</v>
      </c>
      <c r="F1519" t="s">
        <v>51</v>
      </c>
      <c r="G1519">
        <v>-311.41890000000001</v>
      </c>
      <c r="H1519" s="1">
        <v>2.851931E-6</v>
      </c>
      <c r="I1519">
        <v>284.55099999999999</v>
      </c>
      <c r="J1519">
        <v>-294.34339999999997</v>
      </c>
      <c r="K1519">
        <v>1.1070580000000001</v>
      </c>
      <c r="L1519">
        <v>283.7002</v>
      </c>
      <c r="M1519">
        <v>-0.99980159999999996</v>
      </c>
      <c r="N1519">
        <v>0</v>
      </c>
      <c r="O1519">
        <v>1.8711410000000001E-2</v>
      </c>
      <c r="P1519">
        <v>-0.99967530000000004</v>
      </c>
      <c r="Q1519">
        <v>2.2821549999999999E-2</v>
      </c>
      <c r="R1519">
        <v>1.13419E-2</v>
      </c>
      <c r="S1519">
        <v>-3.0031430000000001</v>
      </c>
      <c r="T1519">
        <v>-0.18871760000000001</v>
      </c>
      <c r="U1519">
        <v>0.146759</v>
      </c>
      <c r="V1519">
        <v>-7.3765219999999999E-3</v>
      </c>
      <c r="W1519">
        <v>2.965332E-2</v>
      </c>
      <c r="X1519">
        <v>0.999533</v>
      </c>
      <c r="Y1519">
        <v>3.0089749999999998E-2</v>
      </c>
      <c r="Z1519">
        <v>-2.2988349999999999E-4</v>
      </c>
      <c r="AA1519">
        <v>0.99954719999999997</v>
      </c>
      <c r="AB1519">
        <v>52</v>
      </c>
      <c r="AC1519">
        <v>-17.075500000000002</v>
      </c>
      <c r="AD1519">
        <v>-1.1070551480689901</v>
      </c>
      <c r="AE1519">
        <v>0.85079999999999201</v>
      </c>
      <c r="AF1519">
        <v>0.52891920023013905</v>
      </c>
      <c r="AG1519">
        <v>-1.1070551480689901</v>
      </c>
      <c r="AH1519">
        <v>17.017079465494401</v>
      </c>
      <c r="AI1519">
        <v>93.7203707062489</v>
      </c>
      <c r="AJ1519">
        <v>88.219724793226504</v>
      </c>
      <c r="AK1519">
        <v>17.061252010218698</v>
      </c>
      <c r="AL1519">
        <v>88.300740779429802</v>
      </c>
      <c r="AM1519">
        <v>90.422833368575198</v>
      </c>
      <c r="AN1519">
        <v>0.99999997527641904</v>
      </c>
    </row>
    <row r="1520" spans="1:40" x14ac:dyDescent="0.25">
      <c r="A1520" t="str">
        <f>"20190312164503760"</f>
        <v>20190312164503760</v>
      </c>
      <c r="B1520" t="str">
        <f>"1552380303752871"</f>
        <v>1552380303752871</v>
      </c>
      <c r="C1520" t="s">
        <v>40</v>
      </c>
      <c r="D1520">
        <v>5.0632799999999998</v>
      </c>
      <c r="E1520">
        <v>0.51548400000000005</v>
      </c>
      <c r="F1520" t="s">
        <v>41</v>
      </c>
      <c r="G1520">
        <v>-295.50940000000003</v>
      </c>
      <c r="H1520">
        <v>1.03525</v>
      </c>
      <c r="I1520">
        <v>283.75529999999998</v>
      </c>
      <c r="J1520">
        <v>-294.61799999999999</v>
      </c>
      <c r="K1520">
        <v>1.1070580000000001</v>
      </c>
      <c r="L1520">
        <v>283.70530000000002</v>
      </c>
      <c r="M1520">
        <v>-0.99980259999999999</v>
      </c>
      <c r="N1520">
        <v>0</v>
      </c>
      <c r="O1520">
        <v>1.8649260000000001E-2</v>
      </c>
      <c r="P1520">
        <v>-0.99967200000000001</v>
      </c>
      <c r="Q1520">
        <v>2.3399010000000001E-2</v>
      </c>
      <c r="R1520">
        <v>1.041684E-2</v>
      </c>
      <c r="S1520">
        <v>-3.003571</v>
      </c>
      <c r="T1520">
        <v>-0.1849722</v>
      </c>
      <c r="U1520">
        <v>0.1421509</v>
      </c>
      <c r="V1520">
        <v>-8.2390469999999993E-3</v>
      </c>
      <c r="W1520">
        <v>3.024195E-2</v>
      </c>
      <c r="X1520">
        <v>0.99950870000000003</v>
      </c>
      <c r="Y1520">
        <v>2.861847E-2</v>
      </c>
      <c r="Z1520">
        <v>-2.6672510000000003E-4</v>
      </c>
      <c r="AA1520">
        <v>0.99959039999999999</v>
      </c>
      <c r="AB1520">
        <v>52</v>
      </c>
      <c r="AC1520">
        <v>-0.89140000000003194</v>
      </c>
      <c r="AD1520">
        <v>-7.1808000000000094E-2</v>
      </c>
      <c r="AE1520">
        <v>4.9999999999954498E-2</v>
      </c>
      <c r="AF1520">
        <v>3.3152500177720298E-2</v>
      </c>
      <c r="AG1520">
        <v>-7.1808000000000094E-2</v>
      </c>
      <c r="AH1520">
        <v>0.88644306506555703</v>
      </c>
      <c r="AI1520">
        <v>94.628019143094406</v>
      </c>
      <c r="AJ1520">
        <v>87.858166490869806</v>
      </c>
      <c r="AK1520">
        <v>0.88996448509749704</v>
      </c>
      <c r="AL1520">
        <v>88.266999757964498</v>
      </c>
      <c r="AM1520">
        <v>90.472283961851005</v>
      </c>
      <c r="AN1520">
        <v>1.0000000494054699</v>
      </c>
    </row>
    <row r="1521" spans="1:40" x14ac:dyDescent="0.25">
      <c r="A1521" t="str">
        <f>"20190312164503773"</f>
        <v>20190312164503773</v>
      </c>
      <c r="B1521" t="str">
        <f>"1552380303763606"</f>
        <v>1552380303763606</v>
      </c>
      <c r="C1521" t="s">
        <v>40</v>
      </c>
      <c r="D1521">
        <v>5.0426630000000001</v>
      </c>
      <c r="E1521">
        <v>0.51576729999999904</v>
      </c>
      <c r="F1521" t="s">
        <v>41</v>
      </c>
      <c r="G1521">
        <v>-295.5215</v>
      </c>
      <c r="H1521">
        <v>1.052125</v>
      </c>
      <c r="I1521">
        <v>283.74779999999998</v>
      </c>
      <c r="J1521">
        <v>-294.8802</v>
      </c>
      <c r="K1521">
        <v>1.1070610000000001</v>
      </c>
      <c r="L1521">
        <v>283.71019999999999</v>
      </c>
      <c r="M1521">
        <v>-0.99980380000000002</v>
      </c>
      <c r="N1521">
        <v>0</v>
      </c>
      <c r="O1521">
        <v>1.858955E-2</v>
      </c>
      <c r="P1521">
        <v>-0.99966160000000004</v>
      </c>
      <c r="Q1521">
        <v>2.421334E-2</v>
      </c>
      <c r="R1521">
        <v>9.5343200000000006E-3</v>
      </c>
      <c r="S1521">
        <v>-3.0037539999999998</v>
      </c>
      <c r="T1521">
        <v>-0.18260480000000001</v>
      </c>
      <c r="U1521">
        <v>0.14132690000000001</v>
      </c>
      <c r="V1521">
        <v>-9.0619069999999993E-3</v>
      </c>
      <c r="W1521">
        <v>3.1067440000000002E-2</v>
      </c>
      <c r="X1521">
        <v>0.99947620000000004</v>
      </c>
      <c r="Y1521">
        <v>2.8402469999999999E-2</v>
      </c>
      <c r="Z1521">
        <v>-2.6623670000000001E-4</v>
      </c>
      <c r="AA1521">
        <v>0.9995965</v>
      </c>
      <c r="AB1521">
        <v>52</v>
      </c>
      <c r="AC1521">
        <v>-0.64130000000000098</v>
      </c>
      <c r="AD1521">
        <v>-5.4935999999999999E-2</v>
      </c>
      <c r="AE1521">
        <v>3.7599999999997601E-2</v>
      </c>
      <c r="AF1521">
        <v>2.5485368141375999E-2</v>
      </c>
      <c r="AG1521">
        <v>-5.4935999999999999E-2</v>
      </c>
      <c r="AH1521">
        <v>0.637228051819688</v>
      </c>
      <c r="AI1521">
        <v>94.923420659141996</v>
      </c>
      <c r="AJ1521">
        <v>87.7097269495749</v>
      </c>
      <c r="AK1521">
        <v>0.64009925645263499</v>
      </c>
      <c r="AL1521">
        <v>88.219680320206606</v>
      </c>
      <c r="AM1521">
        <v>90.519466895838406</v>
      </c>
      <c r="AN1521">
        <v>0.99999998917653499</v>
      </c>
    </row>
    <row r="1522" spans="1:40" x14ac:dyDescent="0.25">
      <c r="A1522" t="str">
        <f>"20190312164503784"</f>
        <v>20190312164503784</v>
      </c>
      <c r="B1522" t="str">
        <f>"1552380303773368"</f>
        <v>1552380303773368</v>
      </c>
      <c r="C1522" t="s">
        <v>40</v>
      </c>
      <c r="D1522">
        <v>4.925109</v>
      </c>
      <c r="E1522">
        <v>0.5160612</v>
      </c>
      <c r="F1522" t="s">
        <v>41</v>
      </c>
      <c r="G1522">
        <v>-295.98140000000001</v>
      </c>
      <c r="H1522">
        <v>1.0414410000000001</v>
      </c>
      <c r="I1522">
        <v>283.76209999999998</v>
      </c>
      <c r="J1522">
        <v>-295.15050000000002</v>
      </c>
      <c r="K1522">
        <v>1.107064</v>
      </c>
      <c r="L1522">
        <v>283.71519999999998</v>
      </c>
      <c r="M1522">
        <v>-0.99980480000000005</v>
      </c>
      <c r="N1522">
        <v>0</v>
      </c>
      <c r="O1522">
        <v>1.8528409999999999E-2</v>
      </c>
      <c r="P1522">
        <v>-0.99965009999999999</v>
      </c>
      <c r="Q1522">
        <v>2.5007560000000002E-2</v>
      </c>
      <c r="R1522">
        <v>8.6260350000000006E-3</v>
      </c>
      <c r="S1522">
        <v>-3.0039980000000002</v>
      </c>
      <c r="T1522">
        <v>-0.17912500000000001</v>
      </c>
      <c r="U1522">
        <v>0.1410217</v>
      </c>
      <c r="V1522">
        <v>-9.9095020000000006E-3</v>
      </c>
      <c r="W1522">
        <v>3.1871950000000003E-2</v>
      </c>
      <c r="X1522">
        <v>0.99944279999999996</v>
      </c>
      <c r="Y1522">
        <v>2.835911E-2</v>
      </c>
      <c r="Z1522">
        <v>-2.5880389999999998E-4</v>
      </c>
      <c r="AA1522">
        <v>0.99959779999999998</v>
      </c>
      <c r="AB1522">
        <v>52</v>
      </c>
      <c r="AC1522">
        <v>-0.83089999999998498</v>
      </c>
      <c r="AD1522">
        <v>-6.5622999999999904E-2</v>
      </c>
      <c r="AE1522">
        <v>4.6899999999993697E-2</v>
      </c>
      <c r="AF1522">
        <v>3.1301704232938897E-2</v>
      </c>
      <c r="AG1522">
        <v>-6.5622999999999904E-2</v>
      </c>
      <c r="AH1522">
        <v>0.82648746764776604</v>
      </c>
      <c r="AI1522">
        <v>94.536514773981693</v>
      </c>
      <c r="AJ1522">
        <v>87.831063562158306</v>
      </c>
      <c r="AK1522">
        <v>0.82967928080415798</v>
      </c>
      <c r="AL1522">
        <v>88.173562404736202</v>
      </c>
      <c r="AM1522">
        <v>90.568070566209002</v>
      </c>
      <c r="AN1522">
        <v>0.99999996494926402</v>
      </c>
    </row>
    <row r="1523" spans="1:40" x14ac:dyDescent="0.25">
      <c r="A1523" t="str">
        <f>"20190312164503795"</f>
        <v>20190312164503795</v>
      </c>
      <c r="B1523" t="str">
        <f>"1552380303783126"</f>
        <v>1552380303783126</v>
      </c>
      <c r="C1523" t="s">
        <v>40</v>
      </c>
      <c r="D1523">
        <v>4.9955759999999998</v>
      </c>
      <c r="E1523">
        <v>0.51636249999999995</v>
      </c>
      <c r="F1523" t="s">
        <v>51</v>
      </c>
      <c r="G1523">
        <v>-314.22730000000001</v>
      </c>
      <c r="H1523" s="1">
        <v>4.0921680000000004E-6</v>
      </c>
      <c r="I1523">
        <v>284.61009999999999</v>
      </c>
      <c r="J1523">
        <v>-295.4169</v>
      </c>
      <c r="K1523">
        <v>1.107064</v>
      </c>
      <c r="L1523">
        <v>283.7201</v>
      </c>
      <c r="M1523">
        <v>-0.99980590000000003</v>
      </c>
      <c r="N1523">
        <v>0</v>
      </c>
      <c r="O1523">
        <v>1.8467750000000002E-2</v>
      </c>
      <c r="P1523">
        <v>-0.99963089999999999</v>
      </c>
      <c r="Q1523">
        <v>2.598315E-2</v>
      </c>
      <c r="R1523">
        <v>7.9376599999999992E-3</v>
      </c>
      <c r="S1523">
        <v>-3.0042110000000002</v>
      </c>
      <c r="T1523">
        <v>-0.17433999999999999</v>
      </c>
      <c r="U1523">
        <v>0.14093020000000001</v>
      </c>
      <c r="V1523">
        <v>-1.053728E-2</v>
      </c>
      <c r="W1523">
        <v>3.2858480000000002E-2</v>
      </c>
      <c r="X1523">
        <v>0.99940450000000003</v>
      </c>
      <c r="Y1523">
        <v>2.8386809999999998E-2</v>
      </c>
      <c r="Z1523">
        <v>-2.4756760000000001E-4</v>
      </c>
      <c r="AA1523">
        <v>0.99959699999999996</v>
      </c>
      <c r="AB1523">
        <v>52</v>
      </c>
      <c r="AC1523">
        <v>-18.810400000000001</v>
      </c>
      <c r="AD1523">
        <v>-1.107059907832</v>
      </c>
      <c r="AE1523">
        <v>0.88999999999998602</v>
      </c>
      <c r="AF1523">
        <v>0.54058599175990696</v>
      </c>
      <c r="AG1523">
        <v>-1.107059907832</v>
      </c>
      <c r="AH1523">
        <v>18.758797942130201</v>
      </c>
      <c r="AI1523">
        <v>93.376023628751298</v>
      </c>
      <c r="AJ1523">
        <v>88.349322482573299</v>
      </c>
      <c r="AK1523">
        <v>18.799210491073399</v>
      </c>
      <c r="AL1523">
        <v>88.117008897789503</v>
      </c>
      <c r="AM1523">
        <v>90.604079030126499</v>
      </c>
      <c r="AN1523">
        <v>1.0000000342989701</v>
      </c>
    </row>
    <row r="1524" spans="1:40" x14ac:dyDescent="0.25">
      <c r="A1524" t="str">
        <f>"20190312164503807"</f>
        <v>20190312164503807</v>
      </c>
      <c r="B1524" t="str">
        <f>"1552380303803623"</f>
        <v>1552380303803623</v>
      </c>
      <c r="C1524" t="s">
        <v>40</v>
      </c>
      <c r="D1524">
        <v>4.8898429999999999</v>
      </c>
      <c r="E1524">
        <v>0.51652929999999997</v>
      </c>
      <c r="F1524" t="s">
        <v>41</v>
      </c>
      <c r="G1524">
        <v>-296.45659999999998</v>
      </c>
      <c r="H1524">
        <v>1.0485420000000001</v>
      </c>
      <c r="I1524">
        <v>283.76940000000002</v>
      </c>
      <c r="J1524">
        <v>-295.6927</v>
      </c>
      <c r="K1524">
        <v>1.1070690000000001</v>
      </c>
      <c r="L1524">
        <v>283.72519999999997</v>
      </c>
      <c r="M1524">
        <v>-0.99980690000000005</v>
      </c>
      <c r="N1524">
        <v>0</v>
      </c>
      <c r="O1524">
        <v>1.8405060000000001E-2</v>
      </c>
      <c r="P1524">
        <v>-0.9996237</v>
      </c>
      <c r="Q1524">
        <v>2.6441409999999999E-2</v>
      </c>
      <c r="R1524">
        <v>7.3263269999999997E-3</v>
      </c>
      <c r="S1524">
        <v>-3.0044249999999999</v>
      </c>
      <c r="T1524">
        <v>-0.169325</v>
      </c>
      <c r="U1524">
        <v>0.14138789999999901</v>
      </c>
      <c r="V1524">
        <v>-1.108515E-2</v>
      </c>
      <c r="W1524">
        <v>3.3329329999999997E-2</v>
      </c>
      <c r="X1524">
        <v>0.99938300000000002</v>
      </c>
      <c r="Y1524">
        <v>2.859863E-2</v>
      </c>
      <c r="Z1524">
        <v>-2.3095120000000001E-4</v>
      </c>
      <c r="AA1524">
        <v>0.99959089999999995</v>
      </c>
      <c r="AB1524">
        <v>52</v>
      </c>
      <c r="AC1524">
        <v>-0.76389999999997804</v>
      </c>
      <c r="AD1524">
        <v>-5.8527000000000003E-2</v>
      </c>
      <c r="AE1524">
        <v>4.4200000000046202E-2</v>
      </c>
      <c r="AF1524">
        <v>2.9957290939423099E-2</v>
      </c>
      <c r="AG1524">
        <v>-5.8527000000000003E-2</v>
      </c>
      <c r="AH1524">
        <v>0.76013699165187598</v>
      </c>
      <c r="AI1524">
        <v>94.3994190956506</v>
      </c>
      <c r="AJ1524">
        <v>87.7431192748641</v>
      </c>
      <c r="AK1524">
        <v>0.76297516020313105</v>
      </c>
      <c r="AL1524">
        <v>88.090016430682795</v>
      </c>
      <c r="AM1524">
        <v>90.635498367416304</v>
      </c>
      <c r="AN1524">
        <v>1.0000000527388799</v>
      </c>
    </row>
    <row r="1525" spans="1:40" x14ac:dyDescent="0.25">
      <c r="A1525" t="str">
        <f>"20190312164503819"</f>
        <v>20190312164503819</v>
      </c>
      <c r="B1525" t="str">
        <f>"1552380303813382"</f>
        <v>1552380303813382</v>
      </c>
      <c r="C1525" t="s">
        <v>40</v>
      </c>
      <c r="D1525">
        <v>4.8326760000000002</v>
      </c>
      <c r="E1525">
        <v>0.51634619999999998</v>
      </c>
      <c r="F1525" t="s">
        <v>51</v>
      </c>
      <c r="G1525">
        <v>-315.5532</v>
      </c>
      <c r="H1525" s="1">
        <v>4.6760099999999996E-6</v>
      </c>
      <c r="I1525">
        <v>284.65750000000003</v>
      </c>
      <c r="J1525">
        <v>-295.96730000000002</v>
      </c>
      <c r="K1525">
        <v>1.10707</v>
      </c>
      <c r="L1525">
        <v>283.7303</v>
      </c>
      <c r="M1525">
        <v>-0.99980800000000003</v>
      </c>
      <c r="N1525">
        <v>0</v>
      </c>
      <c r="O1525">
        <v>1.8342830000000001E-2</v>
      </c>
      <c r="P1525">
        <v>-0.99960610000000005</v>
      </c>
      <c r="Q1525">
        <v>2.7309340000000001E-2</v>
      </c>
      <c r="R1525">
        <v>6.485907E-3</v>
      </c>
      <c r="S1525">
        <v>-3.0045470000000001</v>
      </c>
      <c r="T1525">
        <v>-0.16747889999999999</v>
      </c>
      <c r="U1525">
        <v>0.14105219999999999</v>
      </c>
      <c r="V1525">
        <v>-1.1863459999999999E-2</v>
      </c>
      <c r="W1525">
        <v>3.4210030000000002E-2</v>
      </c>
      <c r="X1525">
        <v>0.99934420000000002</v>
      </c>
      <c r="Y1525">
        <v>2.854783E-2</v>
      </c>
      <c r="Z1525">
        <v>-2.2638030000000001E-4</v>
      </c>
      <c r="AA1525">
        <v>0.99959240000000005</v>
      </c>
      <c r="AB1525">
        <v>52</v>
      </c>
      <c r="AC1525">
        <v>-19.585899999999899</v>
      </c>
      <c r="AD1525">
        <v>-1.1070653239899999</v>
      </c>
      <c r="AE1525">
        <v>0.927200000000027</v>
      </c>
      <c r="AF1525">
        <v>0.56597044474218905</v>
      </c>
      <c r="AG1525">
        <v>-1.1070653239899999</v>
      </c>
      <c r="AH1525">
        <v>19.5373319560616</v>
      </c>
      <c r="AI1525">
        <v>93.241788631427596</v>
      </c>
      <c r="AJ1525">
        <v>88.340681751536195</v>
      </c>
      <c r="AK1525">
        <v>19.5768551135581</v>
      </c>
      <c r="AL1525">
        <v>88.039527038218296</v>
      </c>
      <c r="AM1525">
        <v>90.680140296659502</v>
      </c>
      <c r="AN1525">
        <v>0.99999994895470501</v>
      </c>
    </row>
    <row r="1526" spans="1:40" x14ac:dyDescent="0.25">
      <c r="A1526" t="str">
        <f>"20190312164503838"</f>
        <v>20190312164503838</v>
      </c>
      <c r="B1526" t="str">
        <f>"1552380303832903"</f>
        <v>1552380303832903</v>
      </c>
      <c r="C1526" t="s">
        <v>40</v>
      </c>
      <c r="D1526">
        <v>5.2398290000000003</v>
      </c>
      <c r="E1526">
        <v>0.51644000000000001</v>
      </c>
      <c r="F1526" t="s">
        <v>41</v>
      </c>
      <c r="G1526">
        <v>-296.94229999999999</v>
      </c>
      <c r="H1526">
        <v>1.053164</v>
      </c>
      <c r="I1526">
        <v>283.77499999999998</v>
      </c>
      <c r="J1526">
        <v>-296.41500000000002</v>
      </c>
      <c r="K1526">
        <v>1.1070770000000001</v>
      </c>
      <c r="L1526">
        <v>283.73840000000001</v>
      </c>
      <c r="M1526">
        <v>-0.99980959999999997</v>
      </c>
      <c r="N1526">
        <v>0</v>
      </c>
      <c r="O1526">
        <v>1.8241710000000001E-2</v>
      </c>
      <c r="P1526">
        <v>-0.99956730000000005</v>
      </c>
      <c r="Q1526">
        <v>2.8951190000000002E-2</v>
      </c>
      <c r="R1526">
        <v>5.2260739999999998E-3</v>
      </c>
      <c r="S1526">
        <v>-3.0048219999999999</v>
      </c>
      <c r="T1526">
        <v>-0.166324</v>
      </c>
      <c r="U1526">
        <v>0.1370239</v>
      </c>
      <c r="V1526">
        <v>-1.302207E-2</v>
      </c>
      <c r="W1526">
        <v>3.5875070000000002E-2</v>
      </c>
      <c r="X1526">
        <v>0.99927149999999998</v>
      </c>
      <c r="Y1526">
        <v>2.7309360000000001E-2</v>
      </c>
      <c r="Z1526">
        <v>-2.5345480000000002E-4</v>
      </c>
      <c r="AA1526">
        <v>0.99962700000000004</v>
      </c>
      <c r="AB1526">
        <v>53</v>
      </c>
      <c r="AC1526">
        <v>-0.52729999999996802</v>
      </c>
      <c r="AD1526">
        <v>-5.39130000000001E-2</v>
      </c>
      <c r="AE1526">
        <v>3.6599999999964397E-2</v>
      </c>
      <c r="AF1526">
        <v>2.6697079079893399E-2</v>
      </c>
      <c r="AG1526">
        <v>-5.39130000000001E-2</v>
      </c>
      <c r="AH1526">
        <v>0.52244460795391001</v>
      </c>
      <c r="AI1526">
        <v>95.884086504794794</v>
      </c>
      <c r="AJ1526">
        <v>87.074712602058597</v>
      </c>
      <c r="AK1526">
        <v>0.52589705644784901</v>
      </c>
      <c r="AL1526">
        <v>87.944068863247395</v>
      </c>
      <c r="AM1526">
        <v>90.746611326988599</v>
      </c>
      <c r="AN1526">
        <v>1.00000006283341</v>
      </c>
    </row>
    <row r="1527" spans="1:40" x14ac:dyDescent="0.25">
      <c r="A1527" t="str">
        <f>"20190312164503849"</f>
        <v>20190312164503849</v>
      </c>
      <c r="B1527" t="str">
        <f>"1552380303843639"</f>
        <v>1552380303843639</v>
      </c>
      <c r="C1527" t="s">
        <v>40</v>
      </c>
      <c r="D1527">
        <v>5.3970750000000001</v>
      </c>
      <c r="E1527">
        <v>0.51665649999999996</v>
      </c>
      <c r="F1527" t="s">
        <v>51</v>
      </c>
      <c r="G1527">
        <v>-317.1746</v>
      </c>
      <c r="H1527" s="1">
        <v>5.3941819999999999E-6</v>
      </c>
      <c r="I1527">
        <v>284.66719999999998</v>
      </c>
      <c r="J1527">
        <v>-296.69549999999998</v>
      </c>
      <c r="K1527">
        <v>1.107081</v>
      </c>
      <c r="L1527">
        <v>283.74349999999998</v>
      </c>
      <c r="M1527">
        <v>-0.99981070000000005</v>
      </c>
      <c r="N1527">
        <v>0</v>
      </c>
      <c r="O1527">
        <v>1.8178349999999999E-2</v>
      </c>
      <c r="P1527">
        <v>-0.99954699999999996</v>
      </c>
      <c r="Q1527">
        <v>2.9754559999999999E-2</v>
      </c>
      <c r="R1527">
        <v>4.5934039999999997E-3</v>
      </c>
      <c r="S1527">
        <v>-3.0052490000000001</v>
      </c>
      <c r="T1527">
        <v>-0.16026460000000001</v>
      </c>
      <c r="U1527">
        <v>0.13446040000000001</v>
      </c>
      <c r="V1527">
        <v>-1.359107E-2</v>
      </c>
      <c r="W1527">
        <v>3.669422E-2</v>
      </c>
      <c r="X1527">
        <v>0.99923410000000001</v>
      </c>
      <c r="Y1527">
        <v>2.651732E-2</v>
      </c>
      <c r="Z1527">
        <v>-2.6192609999999998E-4</v>
      </c>
      <c r="AA1527">
        <v>0.99964830000000005</v>
      </c>
      <c r="AB1527">
        <v>53</v>
      </c>
      <c r="AC1527">
        <v>-20.479099999999999</v>
      </c>
      <c r="AD1527">
        <v>-1.107075605818</v>
      </c>
      <c r="AE1527">
        <v>0.92369999999999597</v>
      </c>
      <c r="AF1527">
        <v>0.549659120057018</v>
      </c>
      <c r="AG1527">
        <v>-1.107075605818</v>
      </c>
      <c r="AH1527">
        <v>20.432916635928201</v>
      </c>
      <c r="AI1527">
        <v>93.1001902576715</v>
      </c>
      <c r="AJ1527">
        <v>88.459076842628605</v>
      </c>
      <c r="AK1527">
        <v>20.470266822785899</v>
      </c>
      <c r="AL1527">
        <v>87.897103936379693</v>
      </c>
      <c r="AM1527">
        <v>90.779259769826396</v>
      </c>
      <c r="AN1527">
        <v>0.999999984783981</v>
      </c>
    </row>
    <row r="1528" spans="1:40" x14ac:dyDescent="0.25">
      <c r="A1528" t="str">
        <f>"20190312164503862"</f>
        <v>20190312164503862</v>
      </c>
      <c r="B1528" t="str">
        <f>"1552380303853399"</f>
        <v>1552380303853399</v>
      </c>
      <c r="C1528" t="s">
        <v>40</v>
      </c>
      <c r="D1528">
        <v>5.035005</v>
      </c>
      <c r="E1528">
        <v>0.51686330000000003</v>
      </c>
      <c r="F1528" t="s">
        <v>41</v>
      </c>
      <c r="G1528">
        <v>-297.86869999999999</v>
      </c>
      <c r="H1528">
        <v>1.0460119999999999</v>
      </c>
      <c r="I1528">
        <v>283.7962</v>
      </c>
      <c r="J1528">
        <v>-296.98090000000002</v>
      </c>
      <c r="K1528">
        <v>1.1070850000000001</v>
      </c>
      <c r="L1528">
        <v>283.74869999999999</v>
      </c>
      <c r="M1528">
        <v>-0.99981160000000002</v>
      </c>
      <c r="N1528">
        <v>0</v>
      </c>
      <c r="O1528">
        <v>1.8114439999999999E-2</v>
      </c>
      <c r="P1528">
        <v>-0.99953499999999995</v>
      </c>
      <c r="Q1528">
        <v>3.0203609999999999E-2</v>
      </c>
      <c r="R1528">
        <v>4.2186239999999998E-3</v>
      </c>
      <c r="S1528">
        <v>-3.0054319999999999</v>
      </c>
      <c r="T1528">
        <v>-0.1565994</v>
      </c>
      <c r="U1528">
        <v>0.13418579999999999</v>
      </c>
      <c r="V1528">
        <v>-1.390197E-2</v>
      </c>
      <c r="W1528">
        <v>3.7160730000000003E-2</v>
      </c>
      <c r="X1528">
        <v>0.99921260000000001</v>
      </c>
      <c r="Y1528">
        <v>2.6487819999999999E-2</v>
      </c>
      <c r="Z1528">
        <v>-2.533724E-4</v>
      </c>
      <c r="AA1528">
        <v>0.99964909999999996</v>
      </c>
      <c r="AB1528">
        <v>53</v>
      </c>
      <c r="AC1528">
        <v>-0.88779999999996995</v>
      </c>
      <c r="AD1528">
        <v>-6.1072999999999898E-2</v>
      </c>
      <c r="AE1528">
        <v>4.7500000000013601E-2</v>
      </c>
      <c r="AF1528">
        <v>3.1262296029132497E-2</v>
      </c>
      <c r="AG1528">
        <v>-6.1072999999999898E-2</v>
      </c>
      <c r="AH1528">
        <v>0.88434179334957896</v>
      </c>
      <c r="AI1528">
        <v>93.9481385781299</v>
      </c>
      <c r="AJ1528">
        <v>87.975384577540495</v>
      </c>
      <c r="AK1528">
        <v>0.88699923897755495</v>
      </c>
      <c r="AL1528">
        <v>87.870356675929798</v>
      </c>
      <c r="AM1528">
        <v>90.797100456525399</v>
      </c>
      <c r="AN1528">
        <v>1.00000000231138</v>
      </c>
    </row>
    <row r="1529" spans="1:40" x14ac:dyDescent="0.25">
      <c r="A1529" t="str">
        <f>"20190312164503873"</f>
        <v>20190312164503873</v>
      </c>
      <c r="B1529" t="str">
        <f>"1552380303863158"</f>
        <v>1552380303863158</v>
      </c>
      <c r="C1529" t="s">
        <v>40</v>
      </c>
      <c r="D1529">
        <v>5.1697989999999896</v>
      </c>
      <c r="E1529">
        <v>0.51703589999999999</v>
      </c>
      <c r="F1529" t="s">
        <v>51</v>
      </c>
      <c r="G1529">
        <v>-318.60149999999999</v>
      </c>
      <c r="H1529" s="1">
        <v>6.0223349999999998E-6</v>
      </c>
      <c r="I1529">
        <v>284.7201</v>
      </c>
      <c r="J1529">
        <v>-297.25060000000002</v>
      </c>
      <c r="K1529">
        <v>1.107084</v>
      </c>
      <c r="L1529">
        <v>283.75349999999997</v>
      </c>
      <c r="M1529">
        <v>-0.99981249999999999</v>
      </c>
      <c r="N1529">
        <v>0</v>
      </c>
      <c r="O1529">
        <v>1.8053570000000001E-2</v>
      </c>
      <c r="P1529">
        <v>-0.99951140000000005</v>
      </c>
      <c r="Q1529">
        <v>3.1021420000000001E-2</v>
      </c>
      <c r="R1529">
        <v>3.8045309999999999E-3</v>
      </c>
      <c r="S1529">
        <v>-3.005493</v>
      </c>
      <c r="T1529">
        <v>-0.15389529999999901</v>
      </c>
      <c r="U1529">
        <v>0.135040299999999</v>
      </c>
      <c r="V1529">
        <v>-1.425506E-2</v>
      </c>
      <c r="W1529">
        <v>3.799603E-2</v>
      </c>
      <c r="X1529">
        <v>0.99917619999999896</v>
      </c>
      <c r="Y1529">
        <v>2.6831259999999999E-2</v>
      </c>
      <c r="Z1529">
        <v>-2.371009E-4</v>
      </c>
      <c r="AA1529">
        <v>0.99963990000000003</v>
      </c>
      <c r="AB1529">
        <v>53</v>
      </c>
      <c r="AC1529">
        <v>-21.3508999999999</v>
      </c>
      <c r="AD1529">
        <v>-1.1070779776649999</v>
      </c>
      <c r="AE1529">
        <v>0.96660000000002799</v>
      </c>
      <c r="AF1529">
        <v>0.57941840818882995</v>
      </c>
      <c r="AG1529">
        <v>-1.1070779776649999</v>
      </c>
      <c r="AH1529">
        <v>21.307700663300501</v>
      </c>
      <c r="AI1529">
        <v>92.973128621928197</v>
      </c>
      <c r="AJ1529">
        <v>88.442344828499699</v>
      </c>
      <c r="AK1529">
        <v>21.3443073182803</v>
      </c>
      <c r="AL1529">
        <v>87.822463659574694</v>
      </c>
      <c r="AM1529">
        <v>90.817372718496998</v>
      </c>
      <c r="AN1529">
        <v>0.99999999183890198</v>
      </c>
    </row>
    <row r="1530" spans="1:40" x14ac:dyDescent="0.25">
      <c r="A1530" t="str">
        <f>"20190312164503885"</f>
        <v>20190312164503885</v>
      </c>
      <c r="B1530" t="str">
        <f>"1552380303872920"</f>
        <v>1552380303872920</v>
      </c>
      <c r="C1530" t="s">
        <v>40</v>
      </c>
      <c r="D1530">
        <v>4.9039239999999999</v>
      </c>
      <c r="E1530">
        <v>0.51703589999999999</v>
      </c>
      <c r="F1530" t="s">
        <v>41</v>
      </c>
      <c r="G1530">
        <v>-298.34750000000003</v>
      </c>
      <c r="H1530">
        <v>1.0522819999999999</v>
      </c>
      <c r="I1530">
        <v>283.80309999999997</v>
      </c>
      <c r="J1530">
        <v>-297.54020000000003</v>
      </c>
      <c r="K1530">
        <v>1.1070879999999901</v>
      </c>
      <c r="L1530">
        <v>283.75880000000001</v>
      </c>
      <c r="M1530">
        <v>-0.99981379999999997</v>
      </c>
      <c r="N1530">
        <v>0</v>
      </c>
      <c r="O1530">
        <v>1.7987989999999999E-2</v>
      </c>
      <c r="P1530">
        <v>-0.99948950000000003</v>
      </c>
      <c r="Q1530">
        <v>3.1795160000000003E-2</v>
      </c>
      <c r="R1530">
        <v>3.2015440000000002E-3</v>
      </c>
      <c r="S1530">
        <v>-3.005646</v>
      </c>
      <c r="T1530">
        <v>-0.15025849999999999</v>
      </c>
      <c r="U1530">
        <v>0.13525390000000001</v>
      </c>
      <c r="V1530">
        <v>-1.479251E-2</v>
      </c>
      <c r="W1530">
        <v>3.8788900000000001E-2</v>
      </c>
      <c r="X1530">
        <v>0.99913790000000002</v>
      </c>
      <c r="Y1530">
        <v>2.696575E-2</v>
      </c>
      <c r="Z1530">
        <v>-2.24861E-4</v>
      </c>
      <c r="AA1530">
        <v>0.99963639999999998</v>
      </c>
      <c r="AB1530">
        <v>53</v>
      </c>
      <c r="AC1530">
        <v>-0.80729999999999702</v>
      </c>
      <c r="AD1530">
        <v>-5.4805999999999903E-2</v>
      </c>
      <c r="AE1530">
        <v>4.4299999999964201E-2</v>
      </c>
      <c r="AF1530">
        <v>2.9634603949809699E-2</v>
      </c>
      <c r="AG1530">
        <v>-5.4805999999999903E-2</v>
      </c>
      <c r="AH1530">
        <v>0.80427068095741805</v>
      </c>
      <c r="AI1530">
        <v>93.895685770033396</v>
      </c>
      <c r="AJ1530">
        <v>87.889802541443302</v>
      </c>
      <c r="AK1530">
        <v>0.80668038009794896</v>
      </c>
      <c r="AL1530">
        <v>87.777001987952104</v>
      </c>
      <c r="AM1530">
        <v>90.8482177216043</v>
      </c>
      <c r="AN1530">
        <v>0.99999997016585895</v>
      </c>
    </row>
    <row r="1531" spans="1:40" x14ac:dyDescent="0.25">
      <c r="A1531" t="str">
        <f>"20190312164503897"</f>
        <v>20190312164503897</v>
      </c>
      <c r="B1531" t="str">
        <f>"1552380303893415"</f>
        <v>1552380303893415</v>
      </c>
      <c r="C1531" t="s">
        <v>40</v>
      </c>
      <c r="D1531">
        <v>4.9900089999999997</v>
      </c>
      <c r="E1531">
        <v>0.51753170000000004</v>
      </c>
      <c r="F1531" t="s">
        <v>47</v>
      </c>
      <c r="G1531">
        <v>-320.03769999999997</v>
      </c>
      <c r="H1531" s="1">
        <v>-1.522966E-6</v>
      </c>
      <c r="I1531">
        <v>284.75850000000003</v>
      </c>
      <c r="J1531">
        <v>-297.81439999999998</v>
      </c>
      <c r="K1531">
        <v>1.1070930000000001</v>
      </c>
      <c r="L1531">
        <v>283.76369999999997</v>
      </c>
      <c r="M1531">
        <v>-0.99981469999999995</v>
      </c>
      <c r="N1531">
        <v>0</v>
      </c>
      <c r="O1531">
        <v>1.7926290000000001E-2</v>
      </c>
      <c r="P1531">
        <v>-0.99945799999999996</v>
      </c>
      <c r="Q1531">
        <v>3.281307E-2</v>
      </c>
      <c r="R1531">
        <v>2.6554730000000002E-3</v>
      </c>
      <c r="S1531">
        <v>-3.0058289999999999</v>
      </c>
      <c r="T1531">
        <v>-0.14791560000000001</v>
      </c>
      <c r="U1531">
        <v>0.13357539999999901</v>
      </c>
      <c r="V1531">
        <v>-1.5276410000000001E-2</v>
      </c>
      <c r="W1531">
        <v>3.9825699999999901E-2</v>
      </c>
      <c r="X1531">
        <v>0.99908980000000003</v>
      </c>
      <c r="Y1531">
        <v>2.6468490000000001E-2</v>
      </c>
      <c r="Z1531">
        <v>-2.3053909999999999E-4</v>
      </c>
      <c r="AA1531">
        <v>0.99964960000000003</v>
      </c>
      <c r="AB1531">
        <v>53</v>
      </c>
      <c r="AC1531">
        <v>-22.223299999999899</v>
      </c>
      <c r="AD1531">
        <v>-1.1070945229660001</v>
      </c>
      <c r="AE1531">
        <v>0.99480000000005397</v>
      </c>
      <c r="AF1531">
        <v>0.59477590120888701</v>
      </c>
      <c r="AG1531">
        <v>-1.1070945229660001</v>
      </c>
      <c r="AH1531">
        <v>22.182621395449299</v>
      </c>
      <c r="AI1531">
        <v>92.856133315108806</v>
      </c>
      <c r="AJ1531">
        <v>88.4641136269165</v>
      </c>
      <c r="AK1531">
        <v>22.2181931900253</v>
      </c>
      <c r="AL1531">
        <v>87.717551709521103</v>
      </c>
      <c r="AM1531">
        <v>90.876002955280995</v>
      </c>
      <c r="AN1531">
        <v>0.99999994177350704</v>
      </c>
    </row>
    <row r="1532" spans="1:40" x14ac:dyDescent="0.25">
      <c r="A1532" t="str">
        <f>"20190312164503916"</f>
        <v>20190312164503916</v>
      </c>
      <c r="B1532" t="str">
        <f>"1552380303912935"</f>
        <v>1552380303912935</v>
      </c>
      <c r="C1532" t="s">
        <v>40</v>
      </c>
      <c r="D1532">
        <v>4.8868780000000003</v>
      </c>
      <c r="E1532">
        <v>0.51787759999999905</v>
      </c>
      <c r="F1532" t="s">
        <v>47</v>
      </c>
      <c r="G1532">
        <v>-320.87119999999999</v>
      </c>
      <c r="H1532" s="1">
        <v>-1.0814229999999999E-6</v>
      </c>
      <c r="I1532">
        <v>284.80549999999999</v>
      </c>
      <c r="J1532">
        <v>-298.27319999999997</v>
      </c>
      <c r="K1532">
        <v>1.1071089999999999</v>
      </c>
      <c r="L1532">
        <v>283.77190000000002</v>
      </c>
      <c r="M1532">
        <v>-0.99981640000000005</v>
      </c>
      <c r="N1532">
        <v>0</v>
      </c>
      <c r="O1532">
        <v>1.7823039999999998E-2</v>
      </c>
      <c r="P1532">
        <v>-0.99937039999999999</v>
      </c>
      <c r="Q1532">
        <v>3.5446390000000001E-2</v>
      </c>
      <c r="R1532">
        <v>1.659609E-3</v>
      </c>
      <c r="S1532">
        <v>-3.0060120000000001</v>
      </c>
      <c r="T1532">
        <v>-0.14433609999999999</v>
      </c>
      <c r="U1532">
        <v>0.1358337</v>
      </c>
      <c r="V1532">
        <v>-1.616836E-2</v>
      </c>
      <c r="W1532">
        <v>4.249182E-2</v>
      </c>
      <c r="X1532">
        <v>0.99896600000000002</v>
      </c>
      <c r="Y1532">
        <v>2.7317899999999999E-2</v>
      </c>
      <c r="Z1532">
        <v>-1.996267E-4</v>
      </c>
      <c r="AA1532">
        <v>0.99962680000000004</v>
      </c>
      <c r="AB1532">
        <v>53</v>
      </c>
      <c r="AC1532">
        <v>-22.597999999999999</v>
      </c>
      <c r="AD1532">
        <v>-1.1071100814229999</v>
      </c>
      <c r="AE1532">
        <v>1.0335999999999701</v>
      </c>
      <c r="AF1532">
        <v>0.62915386158836495</v>
      </c>
      <c r="AG1532">
        <v>-1.1071100814229999</v>
      </c>
      <c r="AH1532">
        <v>22.558800767137502</v>
      </c>
      <c r="AI1532">
        <v>92.808539638722806</v>
      </c>
      <c r="AJ1532">
        <v>88.402462996167202</v>
      </c>
      <c r="AK1532">
        <v>22.594712199214701</v>
      </c>
      <c r="AL1532">
        <v>87.564664868216298</v>
      </c>
      <c r="AM1532">
        <v>90.9272566952164</v>
      </c>
      <c r="AN1532">
        <v>1.000000019894</v>
      </c>
    </row>
    <row r="1533" spans="1:40" x14ac:dyDescent="0.25">
      <c r="A1533" t="str">
        <f>"20190312164503940"</f>
        <v>20190312164503940</v>
      </c>
      <c r="B1533" t="str">
        <f>"1552380303933431"</f>
        <v>1552380303933431</v>
      </c>
      <c r="C1533" t="s">
        <v>40</v>
      </c>
      <c r="D1533">
        <v>5.6431389999999997</v>
      </c>
      <c r="E1533">
        <v>0.51821320000000004</v>
      </c>
      <c r="F1533" t="s">
        <v>47</v>
      </c>
      <c r="G1533">
        <v>-322.67110000000002</v>
      </c>
      <c r="H1533" s="1">
        <v>-1.2647150000000001E-7</v>
      </c>
      <c r="I1533">
        <v>284.87090000000001</v>
      </c>
      <c r="J1533">
        <v>-298.82190000000003</v>
      </c>
      <c r="K1533">
        <v>1.107116</v>
      </c>
      <c r="L1533">
        <v>283.78160000000003</v>
      </c>
      <c r="M1533">
        <v>-0.99981830000000005</v>
      </c>
      <c r="N1533">
        <v>0</v>
      </c>
      <c r="O1533">
        <v>1.7699610000000001E-2</v>
      </c>
      <c r="P1533">
        <v>-0.99927929999999998</v>
      </c>
      <c r="Q1533">
        <v>3.795743E-2</v>
      </c>
      <c r="R1533">
        <v>7.572182E-4</v>
      </c>
      <c r="S1533">
        <v>-3.0065</v>
      </c>
      <c r="T1533">
        <v>-0.1364262</v>
      </c>
      <c r="U1533">
        <v>0.135437</v>
      </c>
      <c r="V1533">
        <v>-1.694671E-2</v>
      </c>
      <c r="W1533">
        <v>4.5044269999999997E-2</v>
      </c>
      <c r="X1533">
        <v>0.99884119999999998</v>
      </c>
      <c r="Y1533">
        <v>2.7303399999999999E-2</v>
      </c>
      <c r="Z1533">
        <v>-1.8340389999999999E-4</v>
      </c>
      <c r="AA1533">
        <v>0.99962720000000005</v>
      </c>
      <c r="AB1533">
        <v>53</v>
      </c>
      <c r="AC1533">
        <v>-23.8492</v>
      </c>
      <c r="AD1533">
        <v>-1.1071161264714999</v>
      </c>
      <c r="AE1533">
        <v>1.08929999999998</v>
      </c>
      <c r="AF1533">
        <v>0.66556596027455694</v>
      </c>
      <c r="AG1533">
        <v>-1.1071161264714999</v>
      </c>
      <c r="AH1533">
        <v>23.813534172245699</v>
      </c>
      <c r="AI1533">
        <v>92.660786547522207</v>
      </c>
      <c r="AJ1533">
        <v>88.399053437594304</v>
      </c>
      <c r="AK1533">
        <v>23.848544901894599</v>
      </c>
      <c r="AL1533">
        <v>87.418279786295201</v>
      </c>
      <c r="AM1533">
        <v>90.972008171238997</v>
      </c>
      <c r="AN1533">
        <v>0.99999996002854696</v>
      </c>
    </row>
    <row r="1534" spans="1:40" x14ac:dyDescent="0.25">
      <c r="A1534" t="str">
        <f>"20190312164503961"</f>
        <v>20190312164503961</v>
      </c>
      <c r="B1534" t="str">
        <f>"1552380303952950"</f>
        <v>1552380303952950</v>
      </c>
      <c r="C1534" t="s">
        <v>40</v>
      </c>
      <c r="D1534">
        <v>4.9303339999999896</v>
      </c>
      <c r="E1534">
        <v>0.51834670000000005</v>
      </c>
      <c r="F1534" t="s">
        <v>47</v>
      </c>
      <c r="G1534">
        <v>-324.60390000000001</v>
      </c>
      <c r="H1534" s="1">
        <v>8.9898530000000003E-7</v>
      </c>
      <c r="I1534">
        <v>284.94159999999999</v>
      </c>
      <c r="J1534">
        <v>-299.34910000000002</v>
      </c>
      <c r="K1534">
        <v>1.107124</v>
      </c>
      <c r="L1534">
        <v>283.79090000000002</v>
      </c>
      <c r="M1534">
        <v>-0.99981989999999998</v>
      </c>
      <c r="N1534">
        <v>0</v>
      </c>
      <c r="O1534">
        <v>1.7580950000000001E-2</v>
      </c>
      <c r="P1534">
        <v>-0.99918819999999997</v>
      </c>
      <c r="Q1534">
        <v>4.0285080000000001E-2</v>
      </c>
      <c r="R1534">
        <v>-4.94422E-4</v>
      </c>
      <c r="S1534">
        <v>-3.006958</v>
      </c>
      <c r="T1534">
        <v>-0.12912269999999901</v>
      </c>
      <c r="U1534">
        <v>0.1352844</v>
      </c>
      <c r="V1534">
        <v>-1.807922E-2</v>
      </c>
      <c r="W1534">
        <v>4.7414940000000003E-2</v>
      </c>
      <c r="X1534">
        <v>0.99871160000000003</v>
      </c>
      <c r="Y1534">
        <v>2.7365420000000001E-2</v>
      </c>
      <c r="Z1534">
        <v>-1.6714949999999999E-4</v>
      </c>
      <c r="AA1534">
        <v>0.99962549999999994</v>
      </c>
      <c r="AB1534">
        <v>53</v>
      </c>
      <c r="AC1534">
        <v>-25.2547999999999</v>
      </c>
      <c r="AD1534">
        <v>-1.1071231010147</v>
      </c>
      <c r="AE1534">
        <v>1.1506999999999701</v>
      </c>
      <c r="AF1534">
        <v>0.705155080206334</v>
      </c>
      <c r="AG1534">
        <v>-1.1071231010147</v>
      </c>
      <c r="AH1534">
        <v>25.222755218208</v>
      </c>
      <c r="AI1534">
        <v>92.512337035378707</v>
      </c>
      <c r="AJ1534">
        <v>88.398593317206604</v>
      </c>
      <c r="AK1534">
        <v>25.256887101255799</v>
      </c>
      <c r="AL1534">
        <v>87.282304949897295</v>
      </c>
      <c r="AM1534">
        <v>91.037086055319904</v>
      </c>
      <c r="AN1534">
        <v>0.99999994735278397</v>
      </c>
    </row>
    <row r="1535" spans="1:40" x14ac:dyDescent="0.25">
      <c r="A1535" t="str">
        <f>"20190312164503984"</f>
        <v>20190312164503984</v>
      </c>
      <c r="B1535" t="str">
        <f>"1552380303973450"</f>
        <v>1552380303973450</v>
      </c>
      <c r="C1535" t="s">
        <v>40</v>
      </c>
      <c r="D1535">
        <v>4.9227639999999999</v>
      </c>
      <c r="E1535">
        <v>0.51853570000000004</v>
      </c>
      <c r="F1535" t="s">
        <v>47</v>
      </c>
      <c r="G1535">
        <v>-326.58839999999998</v>
      </c>
      <c r="H1535" s="1">
        <v>1.952939E-6</v>
      </c>
      <c r="I1535">
        <v>284.98910000000001</v>
      </c>
      <c r="J1535">
        <v>-299.8698</v>
      </c>
      <c r="K1535">
        <v>1.1071409999999999</v>
      </c>
      <c r="L1535">
        <v>283.8</v>
      </c>
      <c r="M1535">
        <v>-0.99982170000000004</v>
      </c>
      <c r="N1535">
        <v>0</v>
      </c>
      <c r="O1535">
        <v>1.746383E-2</v>
      </c>
      <c r="P1535">
        <v>-0.99909369999999997</v>
      </c>
      <c r="Q1535">
        <v>4.2541580000000002E-2</v>
      </c>
      <c r="R1535">
        <v>-1.514332E-3</v>
      </c>
      <c r="S1535">
        <v>-3.0074770000000002</v>
      </c>
      <c r="T1535">
        <v>-0.1222366</v>
      </c>
      <c r="U1535">
        <v>0.13229369999999999</v>
      </c>
      <c r="V1535">
        <v>-1.8981439999999999E-2</v>
      </c>
      <c r="W1535">
        <v>4.9714389999999997E-2</v>
      </c>
      <c r="X1535">
        <v>0.99858309999999995</v>
      </c>
      <c r="Y1535">
        <v>2.6484230000000001E-2</v>
      </c>
      <c r="Z1535">
        <v>-1.7135769999999999E-4</v>
      </c>
      <c r="AA1535">
        <v>0.99964920000000002</v>
      </c>
      <c r="AB1535">
        <v>53</v>
      </c>
      <c r="AC1535">
        <v>-26.718599999999899</v>
      </c>
      <c r="AD1535">
        <v>-1.1071390470610001</v>
      </c>
      <c r="AE1535">
        <v>1.1890999999999901</v>
      </c>
      <c r="AF1535">
        <v>0.72106188971861895</v>
      </c>
      <c r="AG1535">
        <v>-1.1071390470610001</v>
      </c>
      <c r="AH1535">
        <v>26.6895557831925</v>
      </c>
      <c r="AI1535">
        <v>92.374522438533404</v>
      </c>
      <c r="AJ1535">
        <v>88.452437494351699</v>
      </c>
      <c r="AK1535">
        <v>26.722239333979299</v>
      </c>
      <c r="AL1535">
        <v>87.150400674815899</v>
      </c>
      <c r="AM1535">
        <v>91.088968404145703</v>
      </c>
      <c r="AN1535">
        <v>1.0000000116215699</v>
      </c>
    </row>
    <row r="1536" spans="1:40" x14ac:dyDescent="0.25">
      <c r="A1536" t="str">
        <f>"20190312164504005"</f>
        <v>20190312164504005</v>
      </c>
      <c r="B1536" t="str">
        <f>"1552380303992967"</f>
        <v>1552380303992967</v>
      </c>
      <c r="C1536" t="s">
        <v>40</v>
      </c>
      <c r="D1536">
        <v>5.1363629999999896</v>
      </c>
      <c r="E1536">
        <v>0.51899490000000004</v>
      </c>
      <c r="F1536" t="s">
        <v>47</v>
      </c>
      <c r="G1536">
        <v>-328.72550000000001</v>
      </c>
      <c r="H1536" s="1">
        <v>3.087404E-6</v>
      </c>
      <c r="I1536">
        <v>285.05250000000001</v>
      </c>
      <c r="J1536">
        <v>-300.38229999999999</v>
      </c>
      <c r="K1536">
        <v>1.1071549999999999</v>
      </c>
      <c r="L1536">
        <v>283.80900000000003</v>
      </c>
      <c r="M1536">
        <v>-0.99982349999999998</v>
      </c>
      <c r="N1536">
        <v>0</v>
      </c>
      <c r="O1536">
        <v>1.7348499999999999E-2</v>
      </c>
      <c r="P1536">
        <v>-0.99899340000000003</v>
      </c>
      <c r="Q1536">
        <v>4.4815189999999998E-2</v>
      </c>
      <c r="R1536">
        <v>-2.022668E-3</v>
      </c>
      <c r="S1536">
        <v>-3.0078429999999998</v>
      </c>
      <c r="T1536">
        <v>-0.1154053</v>
      </c>
      <c r="U1536">
        <v>0.13055419999999901</v>
      </c>
      <c r="V1536">
        <v>-1.937293E-2</v>
      </c>
      <c r="W1536">
        <v>5.20312E-2</v>
      </c>
      <c r="X1536">
        <v>0.99845759999999995</v>
      </c>
      <c r="Y1536">
        <v>2.6018240000000002E-2</v>
      </c>
      <c r="Z1536">
        <v>-1.6628419999999901E-4</v>
      </c>
      <c r="AA1536">
        <v>0.99966140000000003</v>
      </c>
      <c r="AB1536">
        <v>53</v>
      </c>
      <c r="AC1536">
        <v>-28.3432</v>
      </c>
      <c r="AD1536">
        <v>-1.1071519125960001</v>
      </c>
      <c r="AE1536">
        <v>1.2434999999999801</v>
      </c>
      <c r="AF1536">
        <v>0.75044517835090996</v>
      </c>
      <c r="AG1536">
        <v>-1.1071519125960001</v>
      </c>
      <c r="AH1536">
        <v>28.317382097133201</v>
      </c>
      <c r="AI1536">
        <v>92.238222723743803</v>
      </c>
      <c r="AJ1536">
        <v>88.481947247821196</v>
      </c>
      <c r="AK1536">
        <v>28.3489520469155</v>
      </c>
      <c r="AL1536">
        <v>87.017485271603604</v>
      </c>
      <c r="AM1536">
        <v>91.111562338406401</v>
      </c>
      <c r="AN1536">
        <v>1.00000006759399</v>
      </c>
    </row>
    <row r="1537" spans="1:40" x14ac:dyDescent="0.25">
      <c r="A1537" t="str">
        <f>"20190312164504017"</f>
        <v>20190312164504017</v>
      </c>
      <c r="B1537" t="str">
        <f>"1552380304013463"</f>
        <v>1552380304013463</v>
      </c>
      <c r="C1537" t="s">
        <v>40</v>
      </c>
      <c r="D1537">
        <v>4.9723739999999896</v>
      </c>
      <c r="E1537">
        <v>0.53437570000000001</v>
      </c>
      <c r="F1537" t="s">
        <v>47</v>
      </c>
      <c r="G1537">
        <v>-330.81659999999999</v>
      </c>
      <c r="H1537" s="1">
        <v>-1.1255789999999999E-6</v>
      </c>
      <c r="I1537">
        <v>285.15050000000002</v>
      </c>
      <c r="J1537">
        <v>-300.66230000000002</v>
      </c>
      <c r="K1537">
        <v>1.107162</v>
      </c>
      <c r="L1537">
        <v>283.81380000000001</v>
      </c>
      <c r="M1537">
        <v>-0.9998243</v>
      </c>
      <c r="N1537">
        <v>0</v>
      </c>
      <c r="O1537">
        <v>1.7285579999999998E-2</v>
      </c>
      <c r="P1537">
        <v>-0.9989557</v>
      </c>
      <c r="Q1537">
        <v>4.5625659999999998E-2</v>
      </c>
      <c r="R1537">
        <v>-2.4202479999999998E-3</v>
      </c>
      <c r="S1537">
        <v>-3.0082089999999999</v>
      </c>
      <c r="T1537">
        <v>-0.1094344</v>
      </c>
      <c r="U1537">
        <v>0.13259889999999999</v>
      </c>
      <c r="V1537">
        <v>-1.970771E-2</v>
      </c>
      <c r="W1537">
        <v>5.2864040000000001E-2</v>
      </c>
      <c r="X1537">
        <v>0.99840720000000005</v>
      </c>
      <c r="Y1537">
        <v>2.6754150000000001E-2</v>
      </c>
      <c r="Z1537">
        <v>-1.420034E-4</v>
      </c>
      <c r="AA1537">
        <v>0.99964200000000003</v>
      </c>
      <c r="AB1537">
        <v>53</v>
      </c>
      <c r="AC1537">
        <v>-30.1542999999999</v>
      </c>
      <c r="AD1537">
        <v>-1.107163125579</v>
      </c>
      <c r="AE1537">
        <v>1.3367</v>
      </c>
      <c r="AF1537">
        <v>0.81415659062120704</v>
      </c>
      <c r="AG1537">
        <v>-1.107163125579</v>
      </c>
      <c r="AH1537">
        <v>30.132358736790898</v>
      </c>
      <c r="AI1537">
        <v>92.103523947061703</v>
      </c>
      <c r="AJ1537">
        <v>88.452282138493402</v>
      </c>
      <c r="AK1537">
        <v>30.163681873792498</v>
      </c>
      <c r="AL1537">
        <v>86.969700990515193</v>
      </c>
      <c r="AM1537">
        <v>91.130823162091502</v>
      </c>
      <c r="AN1537">
        <v>0.99999996878520203</v>
      </c>
    </row>
    <row r="1538" spans="1:40" x14ac:dyDescent="0.25">
      <c r="A1538" t="str">
        <f>"20190312164504030"</f>
        <v>20190312164504030</v>
      </c>
      <c r="B1538" t="str">
        <f>"1552380304023223"</f>
        <v>1552380304023223</v>
      </c>
      <c r="C1538" t="s">
        <v>40</v>
      </c>
      <c r="D1538">
        <v>5.3836149999999998</v>
      </c>
      <c r="E1538">
        <v>0.53542239999999997</v>
      </c>
      <c r="F1538" t="s">
        <v>41</v>
      </c>
      <c r="G1538">
        <v>-301.68079999999998</v>
      </c>
      <c r="H1538">
        <v>1.053858</v>
      </c>
      <c r="I1538">
        <v>283.89909999999998</v>
      </c>
      <c r="J1538">
        <v>-300.97300000000001</v>
      </c>
      <c r="K1538">
        <v>1.107165</v>
      </c>
      <c r="L1538">
        <v>283.81920000000002</v>
      </c>
      <c r="M1538">
        <v>-0.99982539999999998</v>
      </c>
      <c r="N1538">
        <v>0</v>
      </c>
      <c r="O1538">
        <v>1.7215810000000002E-2</v>
      </c>
      <c r="P1538">
        <v>-0.99889550000000005</v>
      </c>
      <c r="Q1538">
        <v>4.6925509999999997E-2</v>
      </c>
      <c r="R1538">
        <v>-2.4864090000000002E-3</v>
      </c>
      <c r="S1538">
        <v>-3.0109560000000002</v>
      </c>
      <c r="T1538">
        <v>-0.15773119999999999</v>
      </c>
      <c r="U1538">
        <v>0.25137330000000002</v>
      </c>
      <c r="V1538">
        <v>-1.970394E-2</v>
      </c>
      <c r="W1538">
        <v>5.4188710000000001E-2</v>
      </c>
      <c r="X1538">
        <v>0.99833629999999995</v>
      </c>
      <c r="Y1538">
        <v>6.5961530000000004E-2</v>
      </c>
      <c r="Z1538">
        <v>8.2403390000000004E-4</v>
      </c>
      <c r="AA1538">
        <v>0.99782179999999998</v>
      </c>
      <c r="AB1538">
        <v>53</v>
      </c>
      <c r="AC1538">
        <v>-0.70779999999996301</v>
      </c>
      <c r="AD1538">
        <v>-5.3306999999999903E-2</v>
      </c>
      <c r="AE1538">
        <v>7.9899999999952301E-2</v>
      </c>
      <c r="AF1538">
        <v>6.7325411550846204E-2</v>
      </c>
      <c r="AG1538">
        <v>-5.3306999999999903E-2</v>
      </c>
      <c r="AH1538">
        <v>0.70512144945484601</v>
      </c>
      <c r="AI1538">
        <v>94.303822861719098</v>
      </c>
      <c r="AJ1538">
        <v>84.545899284624696</v>
      </c>
      <c r="AK1538">
        <v>0.71033133520266001</v>
      </c>
      <c r="AL1538">
        <v>86.893694164255194</v>
      </c>
      <c r="AM1538">
        <v>91.130687169418707</v>
      </c>
      <c r="AN1538">
        <v>1.0000000147203301</v>
      </c>
    </row>
    <row r="1539" spans="1:40" x14ac:dyDescent="0.25">
      <c r="A1539" t="str">
        <f>"20190312164504041"</f>
        <v>20190312164504041</v>
      </c>
      <c r="B1539" t="str">
        <f>"1552380304032983"</f>
        <v>1552380304032983</v>
      </c>
      <c r="C1539" t="s">
        <v>40</v>
      </c>
      <c r="D1539">
        <v>5.1389820000000004</v>
      </c>
      <c r="E1539">
        <v>0.53535559999999904</v>
      </c>
      <c r="F1539" t="s">
        <v>41</v>
      </c>
      <c r="G1539">
        <v>-302.15320000000003</v>
      </c>
      <c r="H1539">
        <v>1.044522</v>
      </c>
      <c r="I1539">
        <v>283.92090000000002</v>
      </c>
      <c r="J1539">
        <v>-301.27769999999998</v>
      </c>
      <c r="K1539">
        <v>1.107172</v>
      </c>
      <c r="L1539">
        <v>283.82440000000003</v>
      </c>
      <c r="M1539">
        <v>-0.99982629999999995</v>
      </c>
      <c r="N1539">
        <v>0</v>
      </c>
      <c r="O1539">
        <v>1.7146990000000001E-2</v>
      </c>
      <c r="P1539">
        <v>-0.9988551</v>
      </c>
      <c r="Q1539">
        <v>4.7755110000000003E-2</v>
      </c>
      <c r="R1539">
        <v>-2.7946780000000001E-3</v>
      </c>
      <c r="S1539">
        <v>-3.011536</v>
      </c>
      <c r="T1539">
        <v>-0.15991559999999999</v>
      </c>
      <c r="U1539">
        <v>0.2592468</v>
      </c>
      <c r="V1539">
        <v>-1.9942459999999999E-2</v>
      </c>
      <c r="W1539">
        <v>5.5040970000000002E-2</v>
      </c>
      <c r="X1539">
        <v>0.99828490000000003</v>
      </c>
      <c r="Y1539">
        <v>6.8598569999999998E-2</v>
      </c>
      <c r="Z1539">
        <v>9.0866259999999996E-4</v>
      </c>
      <c r="AA1539">
        <v>0.99764390000000003</v>
      </c>
      <c r="AB1539">
        <v>54</v>
      </c>
      <c r="AC1539">
        <v>-0.87550000000004502</v>
      </c>
      <c r="AD1539">
        <v>-6.2650000000000095E-2</v>
      </c>
      <c r="AE1539">
        <v>9.6499999999991801E-2</v>
      </c>
      <c r="AF1539">
        <v>8.1063103767320704E-2</v>
      </c>
      <c r="AG1539">
        <v>-6.2650000000000095E-2</v>
      </c>
      <c r="AH1539">
        <v>0.872611254672506</v>
      </c>
      <c r="AI1539">
        <v>94.089015775457199</v>
      </c>
      <c r="AJ1539">
        <v>84.692617422210603</v>
      </c>
      <c r="AK1539">
        <v>0.87860494596463401</v>
      </c>
      <c r="AL1539">
        <v>86.844790150336493</v>
      </c>
      <c r="AM1539">
        <v>91.144429644033096</v>
      </c>
      <c r="AN1539">
        <v>0.99999997582870004</v>
      </c>
    </row>
    <row r="1540" spans="1:40" x14ac:dyDescent="0.25">
      <c r="A1540" t="str">
        <f>"20190312164504053"</f>
        <v>20190312164504053</v>
      </c>
      <c r="B1540" t="str">
        <f>"1552380304042743"</f>
        <v>1552380304042743</v>
      </c>
      <c r="C1540" t="s">
        <v>40</v>
      </c>
      <c r="D1540">
        <v>5.1705719999999999</v>
      </c>
      <c r="E1540">
        <v>0.53578809999999999</v>
      </c>
      <c r="F1540" t="s">
        <v>47</v>
      </c>
      <c r="G1540">
        <v>-322.46600000000001</v>
      </c>
      <c r="H1540" s="1">
        <v>-2.69189799999999E-7</v>
      </c>
      <c r="I1540">
        <v>285.63839999999999</v>
      </c>
      <c r="J1540">
        <v>-301.54759999999999</v>
      </c>
      <c r="K1540">
        <v>1.1071770000000001</v>
      </c>
      <c r="L1540">
        <v>283.82900000000001</v>
      </c>
      <c r="M1540">
        <v>-0.99982720000000003</v>
      </c>
      <c r="N1540">
        <v>0</v>
      </c>
      <c r="O1540">
        <v>1.708641E-2</v>
      </c>
      <c r="P1540">
        <v>-0.99880219999999997</v>
      </c>
      <c r="Q1540">
        <v>4.8844220000000001E-2</v>
      </c>
      <c r="R1540">
        <v>-2.9007019999999998E-3</v>
      </c>
      <c r="S1540">
        <v>-3.0117189999999998</v>
      </c>
      <c r="T1540">
        <v>-0.1573744</v>
      </c>
      <c r="U1540">
        <v>0.25784299999999999</v>
      </c>
      <c r="V1540">
        <v>-1.9987870000000001E-2</v>
      </c>
      <c r="W1540">
        <v>5.61498E-2</v>
      </c>
      <c r="X1540">
        <v>0.99822230000000001</v>
      </c>
      <c r="Y1540">
        <v>6.8194969999999994E-2</v>
      </c>
      <c r="Z1540">
        <v>8.8684339999999895E-4</v>
      </c>
      <c r="AA1540">
        <v>0.99767159999999999</v>
      </c>
      <c r="AB1540">
        <v>54</v>
      </c>
      <c r="AC1540">
        <v>-20.918399999999998</v>
      </c>
      <c r="AD1540">
        <v>-1.1071772691898001</v>
      </c>
      <c r="AE1540">
        <v>1.8093999999999799</v>
      </c>
      <c r="AF1540">
        <v>1.4476804655937401</v>
      </c>
      <c r="AG1540">
        <v>-1.1071772691898001</v>
      </c>
      <c r="AH1540">
        <v>20.888181183652399</v>
      </c>
      <c r="AI1540">
        <v>93.026874006000796</v>
      </c>
      <c r="AJ1540">
        <v>86.035386934875007</v>
      </c>
      <c r="AK1540">
        <v>20.967539993927801</v>
      </c>
      <c r="AL1540">
        <v>86.7811606544293</v>
      </c>
      <c r="AM1540">
        <v>91.1471067863976</v>
      </c>
      <c r="AN1540">
        <v>1.00000003760223</v>
      </c>
    </row>
    <row r="1541" spans="1:40" x14ac:dyDescent="0.25">
      <c r="A1541" t="str">
        <f>"20190312164504072"</f>
        <v>20190312164504072</v>
      </c>
      <c r="B1541" t="str">
        <f>"1552380304063242"</f>
        <v>1552380304063242</v>
      </c>
      <c r="C1541" t="s">
        <v>40</v>
      </c>
      <c r="D1541">
        <v>5.0630540000000002</v>
      </c>
      <c r="E1541">
        <v>0.53636899999999998</v>
      </c>
      <c r="F1541" t="s">
        <v>41</v>
      </c>
      <c r="G1541">
        <v>-302.6379</v>
      </c>
      <c r="H1541">
        <v>1.0506489999999999</v>
      </c>
      <c r="I1541">
        <v>283.9237</v>
      </c>
      <c r="J1541">
        <v>-302.00799999999998</v>
      </c>
      <c r="K1541">
        <v>1.1071839999999999</v>
      </c>
      <c r="L1541">
        <v>283.83690000000001</v>
      </c>
      <c r="M1541">
        <v>-0.99982879999999996</v>
      </c>
      <c r="N1541">
        <v>0</v>
      </c>
      <c r="O1541">
        <v>1.6983160000000001E-2</v>
      </c>
      <c r="P1541">
        <v>-0.99868210000000002</v>
      </c>
      <c r="Q1541">
        <v>5.1262219999999997E-2</v>
      </c>
      <c r="R1541">
        <v>-2.5498640000000002E-3</v>
      </c>
      <c r="S1541">
        <v>-3.0120239999999998</v>
      </c>
      <c r="T1541">
        <v>-0.15631809999999999</v>
      </c>
      <c r="U1541">
        <v>0.26080320000000001</v>
      </c>
      <c r="V1541">
        <v>-1.9532919999999999E-2</v>
      </c>
      <c r="W1541">
        <v>5.8600050000000001E-2</v>
      </c>
      <c r="X1541">
        <v>0.99809040000000004</v>
      </c>
      <c r="Y1541">
        <v>6.9262039999999997E-2</v>
      </c>
      <c r="Z1541">
        <v>9.1373620000000002E-4</v>
      </c>
      <c r="AA1541">
        <v>0.99759810000000004</v>
      </c>
      <c r="AB1541">
        <v>54</v>
      </c>
      <c r="AC1541">
        <v>-0.62990000000002</v>
      </c>
      <c r="AD1541">
        <v>-5.6535000000000002E-2</v>
      </c>
      <c r="AE1541">
        <v>8.6799999999982405E-2</v>
      </c>
      <c r="AF1541">
        <v>7.5492701905407494E-2</v>
      </c>
      <c r="AG1541">
        <v>-5.6535000000000002E-2</v>
      </c>
      <c r="AH1541">
        <v>0.62633194068367704</v>
      </c>
      <c r="AI1541">
        <v>95.120883870247695</v>
      </c>
      <c r="AJ1541">
        <v>83.127210445377202</v>
      </c>
      <c r="AK1541">
        <v>0.63339328555531804</v>
      </c>
      <c r="AL1541">
        <v>86.640539781357901</v>
      </c>
      <c r="AM1541">
        <v>91.121151984953798</v>
      </c>
      <c r="AN1541">
        <v>0.99999997369794402</v>
      </c>
    </row>
    <row r="1542" spans="1:40" x14ac:dyDescent="0.25">
      <c r="A1542" t="str">
        <f>"20190312164504083"</f>
        <v>20190312164504083</v>
      </c>
      <c r="B1542" t="str">
        <f>"1552380304072999"</f>
        <v>1552380304072999</v>
      </c>
      <c r="C1542" t="s">
        <v>40</v>
      </c>
      <c r="D1542">
        <v>5.345707</v>
      </c>
      <c r="E1542">
        <v>0.53661040000000004</v>
      </c>
      <c r="F1542" t="s">
        <v>41</v>
      </c>
      <c r="G1542">
        <v>-303.11939999999998</v>
      </c>
      <c r="H1542">
        <v>1.0510839999999999</v>
      </c>
      <c r="I1542">
        <v>283.93520000000001</v>
      </c>
      <c r="J1542">
        <v>-302.28129999999999</v>
      </c>
      <c r="K1542">
        <v>1.107186</v>
      </c>
      <c r="L1542">
        <v>283.8415</v>
      </c>
      <c r="M1542">
        <v>-0.99982959999999999</v>
      </c>
      <c r="N1542">
        <v>0</v>
      </c>
      <c r="O1542">
        <v>1.6921869999999999E-2</v>
      </c>
      <c r="P1542">
        <v>-0.99861230000000001</v>
      </c>
      <c r="Q1542">
        <v>5.2611480000000002E-2</v>
      </c>
      <c r="R1542">
        <v>-2.3586409999999999E-3</v>
      </c>
      <c r="S1542">
        <v>-3.012451</v>
      </c>
      <c r="T1542">
        <v>-0.1521102</v>
      </c>
      <c r="U1542">
        <v>0.26632689999999998</v>
      </c>
      <c r="V1542">
        <v>-1.9280060000000002E-2</v>
      </c>
      <c r="W1542">
        <v>5.9967100000000002E-2</v>
      </c>
      <c r="X1542">
        <v>0.99801419999999996</v>
      </c>
      <c r="Y1542">
        <v>7.1127529999999994E-2</v>
      </c>
      <c r="Z1542">
        <v>9.390402E-4</v>
      </c>
      <c r="AA1542">
        <v>0.99746679999999999</v>
      </c>
      <c r="AB1542">
        <v>54</v>
      </c>
      <c r="AC1542">
        <v>-0.83809999999999696</v>
      </c>
      <c r="AD1542">
        <v>-5.6101999999999999E-2</v>
      </c>
      <c r="AE1542">
        <v>9.3700000000012496E-2</v>
      </c>
      <c r="AF1542">
        <v>7.91536766823982E-2</v>
      </c>
      <c r="AG1542">
        <v>-5.6101999999999999E-2</v>
      </c>
      <c r="AH1542">
        <v>0.83586641822159502</v>
      </c>
      <c r="AI1542">
        <v>93.822789802807705</v>
      </c>
      <c r="AJ1542">
        <v>84.590418167448604</v>
      </c>
      <c r="AK1542">
        <v>0.84147810907173304</v>
      </c>
      <c r="AL1542">
        <v>86.562075865705793</v>
      </c>
      <c r="AM1542">
        <v>91.106726413842594</v>
      </c>
      <c r="AN1542">
        <v>1.00000005859882</v>
      </c>
    </row>
    <row r="1543" spans="1:40" x14ac:dyDescent="0.25">
      <c r="A1543" t="str">
        <f>"20190312164504096"</f>
        <v>20190312164504096</v>
      </c>
      <c r="B1543" t="str">
        <f>"1552380304093495"</f>
        <v>1552380304093495</v>
      </c>
      <c r="C1543" t="s">
        <v>40</v>
      </c>
      <c r="D1543">
        <v>5.1182990000000004</v>
      </c>
      <c r="E1543">
        <v>0.53690070000000001</v>
      </c>
      <c r="F1543" t="s">
        <v>47</v>
      </c>
      <c r="G1543">
        <v>-324.46379999999999</v>
      </c>
      <c r="H1543" s="1">
        <v>7.8604280000000001E-7</v>
      </c>
      <c r="I1543">
        <v>285.81950000000001</v>
      </c>
      <c r="J1543">
        <v>-302.55610000000001</v>
      </c>
      <c r="K1543">
        <v>1.1071899999999999</v>
      </c>
      <c r="L1543">
        <v>283.84620000000001</v>
      </c>
      <c r="M1543">
        <v>-0.99983049999999996</v>
      </c>
      <c r="N1543">
        <v>0</v>
      </c>
      <c r="O1543">
        <v>1.6860469999999999E-2</v>
      </c>
      <c r="P1543">
        <v>-0.99855079999999996</v>
      </c>
      <c r="Q1543">
        <v>5.377519E-2</v>
      </c>
      <c r="R1543">
        <v>-2.1429750000000001E-3</v>
      </c>
      <c r="S1543">
        <v>-3.0127259999999998</v>
      </c>
      <c r="T1543">
        <v>-0.1503727</v>
      </c>
      <c r="U1543">
        <v>0.2686462</v>
      </c>
      <c r="V1543">
        <v>-1.9002209999999999E-2</v>
      </c>
      <c r="W1543">
        <v>6.114845E-2</v>
      </c>
      <c r="X1543">
        <v>0.99794780000000005</v>
      </c>
      <c r="Y1543">
        <v>7.1943149999999997E-2</v>
      </c>
      <c r="Z1543">
        <v>9.5157049999999995E-4</v>
      </c>
      <c r="AA1543">
        <v>0.99740830000000003</v>
      </c>
      <c r="AB1543">
        <v>54</v>
      </c>
      <c r="AC1543">
        <v>-21.907699999999899</v>
      </c>
      <c r="AD1543">
        <v>-1.1071892139571999</v>
      </c>
      <c r="AE1543">
        <v>1.9732999999999901</v>
      </c>
      <c r="AF1543">
        <v>1.59958253557357</v>
      </c>
      <c r="AG1543">
        <v>-1.1071892139571999</v>
      </c>
      <c r="AH1543">
        <v>21.882415731366599</v>
      </c>
      <c r="AI1543">
        <v>92.888841748044598</v>
      </c>
      <c r="AJ1543">
        <v>85.819172381027499</v>
      </c>
      <c r="AK1543">
        <v>21.968719818960199</v>
      </c>
      <c r="AL1543">
        <v>86.494264887176996</v>
      </c>
      <c r="AM1543">
        <v>91.090853530173206</v>
      </c>
      <c r="AN1543">
        <v>1.0000000142235601</v>
      </c>
    </row>
    <row r="1544" spans="1:40" x14ac:dyDescent="0.25">
      <c r="A1544" t="str">
        <f>"20190312164504109"</f>
        <v>20190312164504109</v>
      </c>
      <c r="B1544" t="str">
        <f>"1552380304103255"</f>
        <v>1552380304103255</v>
      </c>
      <c r="C1544" t="s">
        <v>40</v>
      </c>
      <c r="D1544">
        <v>5.35656</v>
      </c>
      <c r="E1544">
        <v>0.53708299999999998</v>
      </c>
      <c r="F1544" t="s">
        <v>41</v>
      </c>
      <c r="G1544">
        <v>-303.60520000000002</v>
      </c>
      <c r="H1544">
        <v>1.0556049999999999</v>
      </c>
      <c r="I1544">
        <v>283.9409</v>
      </c>
      <c r="J1544">
        <v>-302.86900000000003</v>
      </c>
      <c r="K1544">
        <v>1.1071930000000001</v>
      </c>
      <c r="L1544">
        <v>283.85140000000001</v>
      </c>
      <c r="M1544">
        <v>-0.99983160000000004</v>
      </c>
      <c r="N1544">
        <v>0</v>
      </c>
      <c r="O1544">
        <v>1.679017E-2</v>
      </c>
      <c r="P1544">
        <v>-0.99849080000000001</v>
      </c>
      <c r="Q1544">
        <v>5.4887859999999997E-2</v>
      </c>
      <c r="R1544">
        <v>-1.901804E-3</v>
      </c>
      <c r="S1544">
        <v>-3.0129090000000001</v>
      </c>
      <c r="T1544">
        <v>-0.14825199999999999</v>
      </c>
      <c r="U1544">
        <v>0.27148440000000001</v>
      </c>
      <c r="V1544">
        <v>-1.869063E-2</v>
      </c>
      <c r="W1544">
        <v>6.2280679999999998E-2</v>
      </c>
      <c r="X1544">
        <v>0.99788370000000004</v>
      </c>
      <c r="Y1544">
        <v>7.2940569999999996E-2</v>
      </c>
      <c r="Z1544">
        <v>9.6599499999999998E-4</v>
      </c>
      <c r="AA1544">
        <v>0.99733579999999999</v>
      </c>
      <c r="AB1544">
        <v>54</v>
      </c>
      <c r="AC1544">
        <v>-0.73619999999999597</v>
      </c>
      <c r="AD1544">
        <v>-5.1588000000000099E-2</v>
      </c>
      <c r="AE1544">
        <v>8.9499999999986798E-2</v>
      </c>
      <c r="AF1544">
        <v>7.6754722975275802E-2</v>
      </c>
      <c r="AG1544">
        <v>-5.1588000000000099E-2</v>
      </c>
      <c r="AH1544">
        <v>0.73404709914606903</v>
      </c>
      <c r="AI1544">
        <v>93.998345332088306</v>
      </c>
      <c r="AJ1544">
        <v>84.030630452083003</v>
      </c>
      <c r="AK1544">
        <v>0.73984981787371595</v>
      </c>
      <c r="AL1544">
        <v>86.429269122092293</v>
      </c>
      <c r="AM1544">
        <v>91.0730398846719</v>
      </c>
      <c r="AN1544">
        <v>1.0000000507383699</v>
      </c>
    </row>
    <row r="1545" spans="1:40" x14ac:dyDescent="0.25">
      <c r="A1545" t="str">
        <f>"20190312164504130"</f>
        <v>20190312164504130</v>
      </c>
      <c r="B1545" t="str">
        <f>"1552380304122774"</f>
        <v>1552380304122774</v>
      </c>
      <c r="C1545" t="s">
        <v>40</v>
      </c>
      <c r="D1545">
        <v>5.070538</v>
      </c>
      <c r="E1545">
        <v>0.53735790000000005</v>
      </c>
      <c r="F1545" t="s">
        <v>47</v>
      </c>
      <c r="G1545">
        <v>-325.76530000000002</v>
      </c>
      <c r="H1545" s="1">
        <v>1.473787E-6</v>
      </c>
      <c r="I1545">
        <v>285.93009999999998</v>
      </c>
      <c r="J1545">
        <v>-303.36320000000001</v>
      </c>
      <c r="K1545">
        <v>1.107202</v>
      </c>
      <c r="L1545">
        <v>283.85969999999998</v>
      </c>
      <c r="M1545">
        <v>-0.99983330000000004</v>
      </c>
      <c r="N1545">
        <v>0</v>
      </c>
      <c r="O1545">
        <v>1.6679070000000001E-2</v>
      </c>
      <c r="P1545">
        <v>-0.99835419999999997</v>
      </c>
      <c r="Q1545">
        <v>5.7337689999999997E-2</v>
      </c>
      <c r="R1545">
        <v>-1.2884280000000001E-3</v>
      </c>
      <c r="S1545">
        <v>-3.0131230000000002</v>
      </c>
      <c r="T1545">
        <v>-0.1457051</v>
      </c>
      <c r="U1545">
        <v>0.27355960000000001</v>
      </c>
      <c r="V1545">
        <v>-1.796501E-2</v>
      </c>
      <c r="W1545">
        <v>6.4759529999999996E-2</v>
      </c>
      <c r="X1545">
        <v>0.99773920000000005</v>
      </c>
      <c r="Y1545">
        <v>7.3727630000000002E-2</v>
      </c>
      <c r="Z1545">
        <v>9.736597E-4</v>
      </c>
      <c r="AA1545">
        <v>0.99727790000000005</v>
      </c>
      <c r="AB1545">
        <v>54</v>
      </c>
      <c r="AC1545">
        <v>-22.402100000000001</v>
      </c>
      <c r="AD1545">
        <v>-1.107200526213</v>
      </c>
      <c r="AE1545">
        <v>2.0703999999999998</v>
      </c>
      <c r="AF1545">
        <v>1.69235652121646</v>
      </c>
      <c r="AG1545">
        <v>-1.107200526213</v>
      </c>
      <c r="AH1545">
        <v>22.3793132774965</v>
      </c>
      <c r="AI1545">
        <v>92.824307386943502</v>
      </c>
      <c r="AJ1545">
        <v>85.675439999298007</v>
      </c>
      <c r="AK1545">
        <v>22.4705056990821</v>
      </c>
      <c r="AL1545">
        <v>86.286953955867801</v>
      </c>
      <c r="AM1545">
        <v>91.031540142387499</v>
      </c>
      <c r="AN1545">
        <v>1.00000002476338</v>
      </c>
    </row>
    <row r="1546" spans="1:40" x14ac:dyDescent="0.25">
      <c r="A1546" t="str">
        <f>"20190312164504152"</f>
        <v>20190312164504152</v>
      </c>
      <c r="B1546" t="str">
        <f>"1552380304143270"</f>
        <v>1552380304143270</v>
      </c>
      <c r="C1546" t="s">
        <v>40</v>
      </c>
      <c r="D1546">
        <v>5.2549479999999997</v>
      </c>
      <c r="E1546">
        <v>0.53743560000000001</v>
      </c>
      <c r="F1546" t="s">
        <v>41</v>
      </c>
      <c r="G1546">
        <v>-304.56779999999998</v>
      </c>
      <c r="H1546">
        <v>1.0514540000000001</v>
      </c>
      <c r="I1546">
        <v>283.97089999999997</v>
      </c>
      <c r="J1546">
        <v>-303.91309999999999</v>
      </c>
      <c r="K1546">
        <v>1.10721</v>
      </c>
      <c r="L1546">
        <v>283.8689</v>
      </c>
      <c r="M1546">
        <v>-0.99983520000000004</v>
      </c>
      <c r="N1546">
        <v>0</v>
      </c>
      <c r="O1546">
        <v>1.6556399999999999E-2</v>
      </c>
      <c r="P1546">
        <v>-0.9982065</v>
      </c>
      <c r="Q1546">
        <v>5.9862480000000003E-2</v>
      </c>
      <c r="R1546">
        <v>-9.1159230000000002E-4</v>
      </c>
      <c r="S1546">
        <v>-3.0133670000000001</v>
      </c>
      <c r="T1546">
        <v>-0.13959739999999901</v>
      </c>
      <c r="U1546">
        <v>0.27755740000000001</v>
      </c>
      <c r="V1546">
        <v>-1.7464400000000001E-2</v>
      </c>
      <c r="W1546">
        <v>6.7315E-2</v>
      </c>
      <c r="X1546">
        <v>0.99757890000000005</v>
      </c>
      <c r="Y1546">
        <v>7.5158550000000005E-2</v>
      </c>
      <c r="Z1546">
        <v>9.7148320000000005E-4</v>
      </c>
      <c r="AA1546">
        <v>0.99717109999999998</v>
      </c>
      <c r="AB1546">
        <v>54</v>
      </c>
      <c r="AC1546">
        <v>-0.65469999999999096</v>
      </c>
      <c r="AD1546">
        <v>-5.5755999999999903E-2</v>
      </c>
      <c r="AE1546">
        <v>0.101999999999975</v>
      </c>
      <c r="AF1546">
        <v>9.0505391208654307E-2</v>
      </c>
      <c r="AG1546">
        <v>-5.5755999999999903E-2</v>
      </c>
      <c r="AH1546">
        <v>0.65168460172200104</v>
      </c>
      <c r="AI1546">
        <v>94.8438652451986</v>
      </c>
      <c r="AJ1546">
        <v>82.093385799834294</v>
      </c>
      <c r="AK1546">
        <v>0.66029749166220197</v>
      </c>
      <c r="AL1546">
        <v>86.140215825672996</v>
      </c>
      <c r="AM1546">
        <v>91.002962475439901</v>
      </c>
      <c r="AN1546">
        <v>0.99999998810878499</v>
      </c>
    </row>
    <row r="1547" spans="1:40" x14ac:dyDescent="0.25">
      <c r="A1547" t="str">
        <f>"20190312164504163"</f>
        <v>20190312164504163</v>
      </c>
      <c r="B1547" t="str">
        <f>"1552380304153031"</f>
        <v>1552380304153031</v>
      </c>
      <c r="C1547" t="s">
        <v>40</v>
      </c>
      <c r="D1547">
        <v>5.2076789999999997</v>
      </c>
      <c r="E1547">
        <v>0.53747900000000004</v>
      </c>
      <c r="F1547" t="s">
        <v>47</v>
      </c>
      <c r="G1547">
        <v>-328.94600000000003</v>
      </c>
      <c r="H1547" s="1">
        <v>3.1550720000000002E-6</v>
      </c>
      <c r="I1547">
        <v>286.18860000000001</v>
      </c>
      <c r="J1547">
        <v>-304.2029</v>
      </c>
      <c r="K1547">
        <v>1.1072139999999999</v>
      </c>
      <c r="L1547">
        <v>283.87369999999999</v>
      </c>
      <c r="M1547">
        <v>-0.99983610000000001</v>
      </c>
      <c r="N1547">
        <v>0</v>
      </c>
      <c r="O1547">
        <v>1.6491659999999998E-2</v>
      </c>
      <c r="P1547">
        <v>-0.99814179999999997</v>
      </c>
      <c r="Q1547">
        <v>6.0932849999999997E-2</v>
      </c>
      <c r="R1547">
        <v>-5.2664550000000002E-4</v>
      </c>
      <c r="S1547">
        <v>-3.013611</v>
      </c>
      <c r="T1547">
        <v>-0.13329240000000001</v>
      </c>
      <c r="U1547">
        <v>0.27926640000000003</v>
      </c>
      <c r="V1547">
        <v>-1.7014089999999999E-2</v>
      </c>
      <c r="W1547">
        <v>6.8400160000000002E-2</v>
      </c>
      <c r="X1547">
        <v>0.99751290000000004</v>
      </c>
      <c r="Y1547">
        <v>7.5781260000000003E-2</v>
      </c>
      <c r="Z1547">
        <v>9.4414049999999995E-4</v>
      </c>
      <c r="AA1547">
        <v>0.99712400000000001</v>
      </c>
      <c r="AB1547">
        <v>54</v>
      </c>
      <c r="AC1547">
        <v>-24.743099999999899</v>
      </c>
      <c r="AD1547">
        <v>-1.10721084492799</v>
      </c>
      <c r="AE1547">
        <v>2.3149000000000202</v>
      </c>
      <c r="AF1547">
        <v>1.9027419817804301</v>
      </c>
      <c r="AG1547">
        <v>-1.10721084492799</v>
      </c>
      <c r="AH1547">
        <v>24.728824922231698</v>
      </c>
      <c r="AI1547">
        <v>92.556109264620801</v>
      </c>
      <c r="AJ1547">
        <v>85.600086133471706</v>
      </c>
      <c r="AK1547">
        <v>24.826621295269799</v>
      </c>
      <c r="AL1547">
        <v>86.077897228817505</v>
      </c>
      <c r="AM1547">
        <v>90.977171354088895</v>
      </c>
      <c r="AN1547">
        <v>1.0000000234064801</v>
      </c>
    </row>
    <row r="1548" spans="1:40" x14ac:dyDescent="0.25">
      <c r="A1548" t="str">
        <f>"20190312164504175"</f>
        <v>20190312164504175</v>
      </c>
      <c r="B1548" t="str">
        <f>"1552380304162791"</f>
        <v>1552380304162791</v>
      </c>
      <c r="C1548" t="s">
        <v>40</v>
      </c>
      <c r="D1548">
        <v>5.0006069999999996</v>
      </c>
      <c r="E1548">
        <v>0.53747900000000004</v>
      </c>
      <c r="F1548" t="s">
        <v>47</v>
      </c>
      <c r="G1548">
        <v>-329.37189999999998</v>
      </c>
      <c r="H1548" s="1">
        <v>3.3805219999999998E-6</v>
      </c>
      <c r="I1548">
        <v>286.21679999999998</v>
      </c>
      <c r="J1548">
        <v>-304.47989999999999</v>
      </c>
      <c r="K1548">
        <v>1.107219</v>
      </c>
      <c r="L1548">
        <v>283.87819999999999</v>
      </c>
      <c r="M1548">
        <v>-0.99983699999999998</v>
      </c>
      <c r="N1548">
        <v>0</v>
      </c>
      <c r="O1548">
        <v>1.642973E-2</v>
      </c>
      <c r="P1548">
        <v>-0.99808839999999999</v>
      </c>
      <c r="Q1548">
        <v>6.1802660000000002E-2</v>
      </c>
      <c r="R1548">
        <v>-2.9065470000000002E-4</v>
      </c>
      <c r="S1548">
        <v>-3.0138240000000001</v>
      </c>
      <c r="T1548">
        <v>-0.13258110000000001</v>
      </c>
      <c r="U1548">
        <v>0.28057860000000001</v>
      </c>
      <c r="V1548">
        <v>-1.671626E-2</v>
      </c>
      <c r="W1548">
        <v>6.9284029999999996E-2</v>
      </c>
      <c r="X1548">
        <v>0.99745689999999998</v>
      </c>
      <c r="Y1548">
        <v>7.6267059999999998E-2</v>
      </c>
      <c r="Z1548">
        <v>9.5239580000000003E-4</v>
      </c>
      <c r="AA1548">
        <v>0.9970869</v>
      </c>
      <c r="AB1548">
        <v>54</v>
      </c>
      <c r="AC1548">
        <v>-24.891999999999999</v>
      </c>
      <c r="AD1548">
        <v>-1.1072156194779901</v>
      </c>
      <c r="AE1548">
        <v>2.33859999999998</v>
      </c>
      <c r="AF1548">
        <v>1.9255276257573799</v>
      </c>
      <c r="AG1548">
        <v>-1.1072156194779901</v>
      </c>
      <c r="AH1548">
        <v>24.8782716163774</v>
      </c>
      <c r="AI1548">
        <v>92.540697231481602</v>
      </c>
      <c r="AJ1548">
        <v>85.574246531615302</v>
      </c>
      <c r="AK1548">
        <v>24.977229263547599</v>
      </c>
      <c r="AL1548">
        <v>86.027134639395797</v>
      </c>
      <c r="AM1548">
        <v>90.960123185074195</v>
      </c>
      <c r="AN1548">
        <v>0.99999998875951901</v>
      </c>
    </row>
    <row r="1549" spans="1:40" x14ac:dyDescent="0.25">
      <c r="A1549" t="str">
        <f>"20190312164504187"</f>
        <v>20190312164504187</v>
      </c>
      <c r="B1549" t="str">
        <f>"1552380304183287"</f>
        <v>1552380304183287</v>
      </c>
      <c r="C1549" t="s">
        <v>40</v>
      </c>
      <c r="D1549">
        <v>5.1273600000000004</v>
      </c>
      <c r="E1549">
        <v>0.53863890000000003</v>
      </c>
      <c r="F1549" t="s">
        <v>47</v>
      </c>
      <c r="G1549">
        <v>-330.1465</v>
      </c>
      <c r="H1549" s="1">
        <v>-1.531204E-6</v>
      </c>
      <c r="I1549">
        <v>286.2715</v>
      </c>
      <c r="J1549">
        <v>-304.77600000000001</v>
      </c>
      <c r="K1549">
        <v>1.1072229999999901</v>
      </c>
      <c r="L1549">
        <v>283.88310000000001</v>
      </c>
      <c r="M1549">
        <v>-0.99983789999999995</v>
      </c>
      <c r="N1549">
        <v>0</v>
      </c>
      <c r="O1549">
        <v>1.6363630000000001E-2</v>
      </c>
      <c r="P1549">
        <v>-0.99801390000000001</v>
      </c>
      <c r="Q1549">
        <v>6.2995460000000003E-2</v>
      </c>
      <c r="R1549" s="1">
        <v>-9.8942839999999993E-5</v>
      </c>
      <c r="S1549">
        <v>-3.0138850000000001</v>
      </c>
      <c r="T1549">
        <v>-0.13001489999999999</v>
      </c>
      <c r="U1549">
        <v>0.28103640000000002</v>
      </c>
      <c r="V1549">
        <v>-1.645756E-2</v>
      </c>
      <c r="W1549">
        <v>7.0491289999999998E-2</v>
      </c>
      <c r="X1549">
        <v>0.99737659999999995</v>
      </c>
      <c r="Y1549">
        <v>7.6483179999999998E-2</v>
      </c>
      <c r="Z1549">
        <v>9.4144550000000002E-4</v>
      </c>
      <c r="AA1549">
        <v>0.99707040000000002</v>
      </c>
      <c r="AB1549">
        <v>54</v>
      </c>
      <c r="AC1549">
        <v>-25.3705</v>
      </c>
      <c r="AD1549">
        <v>-1.1072245312040001</v>
      </c>
      <c r="AE1549">
        <v>2.3883999999999901</v>
      </c>
      <c r="AF1549">
        <v>1.9691973396532401</v>
      </c>
      <c r="AG1549">
        <v>-1.1072245312040001</v>
      </c>
      <c r="AH1549">
        <v>25.3583126472349</v>
      </c>
      <c r="AI1549">
        <v>92.492633006969498</v>
      </c>
      <c r="AJ1549">
        <v>85.559613020564299</v>
      </c>
      <c r="AK1549">
        <v>25.4587451505354</v>
      </c>
      <c r="AL1549">
        <v>85.957794140374702</v>
      </c>
      <c r="AM1549">
        <v>90.945343174950295</v>
      </c>
      <c r="AN1549">
        <v>0.99999997773728799</v>
      </c>
    </row>
    <row r="1550" spans="1:40" x14ac:dyDescent="0.25">
      <c r="A1550" t="str">
        <f>"20190312164504199"</f>
        <v>20190312164504199</v>
      </c>
      <c r="B1550" t="str">
        <f>"1552380304193047"</f>
        <v>1552380304193047</v>
      </c>
      <c r="C1550" t="s">
        <v>40</v>
      </c>
      <c r="D1550">
        <v>5.1117850000000002</v>
      </c>
      <c r="E1550">
        <v>0.538159099999999</v>
      </c>
      <c r="F1550" t="s">
        <v>47</v>
      </c>
      <c r="G1550">
        <v>-322.92430000000002</v>
      </c>
      <c r="H1550" s="1">
        <v>-2.4207049999999999E-8</v>
      </c>
      <c r="I1550">
        <v>285.61380000000003</v>
      </c>
      <c r="J1550">
        <v>-305.05880000000002</v>
      </c>
      <c r="K1550">
        <v>1.107227</v>
      </c>
      <c r="L1550">
        <v>283.8877</v>
      </c>
      <c r="M1550">
        <v>-0.99983889999999997</v>
      </c>
      <c r="N1550">
        <v>0</v>
      </c>
      <c r="O1550">
        <v>1.6300510000000001E-2</v>
      </c>
      <c r="P1550">
        <v>-0.99793489999999996</v>
      </c>
      <c r="Q1550">
        <v>6.4236719999999997E-2</v>
      </c>
      <c r="R1550">
        <v>1.3514779999999999E-4</v>
      </c>
      <c r="S1550">
        <v>-3.0175779999999999</v>
      </c>
      <c r="T1550">
        <v>-0.1841016</v>
      </c>
      <c r="U1550">
        <v>0.2877808</v>
      </c>
      <c r="V1550">
        <v>-1.6159819999999998E-2</v>
      </c>
      <c r="W1550">
        <v>7.1745519999999993E-2</v>
      </c>
      <c r="X1550">
        <v>0.99729199999999996</v>
      </c>
      <c r="Y1550">
        <v>7.8582700000000005E-2</v>
      </c>
      <c r="Z1550">
        <v>1.3983960000000001E-3</v>
      </c>
      <c r="AA1550">
        <v>0.99690659999999998</v>
      </c>
      <c r="AB1550">
        <v>54</v>
      </c>
      <c r="AC1550">
        <v>-17.865499999999901</v>
      </c>
      <c r="AD1550">
        <v>-1.1072270242070501</v>
      </c>
      <c r="AE1550">
        <v>1.7261000000000299</v>
      </c>
      <c r="AF1550">
        <v>1.42920687238783</v>
      </c>
      <c r="AG1550">
        <v>-1.1072270242070501</v>
      </c>
      <c r="AH1550">
        <v>17.823436848195101</v>
      </c>
      <c r="AI1550">
        <v>93.543414063247596</v>
      </c>
      <c r="AJ1550">
        <v>85.415436103082698</v>
      </c>
      <c r="AK1550">
        <v>17.914895619255301</v>
      </c>
      <c r="AL1550">
        <v>85.885749493703401</v>
      </c>
      <c r="AM1550">
        <v>90.928322359593196</v>
      </c>
      <c r="AN1550">
        <v>0.99999994634324996</v>
      </c>
    </row>
    <row r="1551" spans="1:40" x14ac:dyDescent="0.25">
      <c r="A1551" t="str">
        <f>"20190312164504218"</f>
        <v>20190312164504218</v>
      </c>
      <c r="B1551" t="str">
        <f>"1552380304213277"</f>
        <v>1552380304213277</v>
      </c>
      <c r="C1551" t="s">
        <v>40</v>
      </c>
      <c r="D1551">
        <v>5.0533109999999999</v>
      </c>
      <c r="E1551">
        <v>0.53377520000000001</v>
      </c>
      <c r="F1551" t="s">
        <v>41</v>
      </c>
      <c r="G1551">
        <v>-306.02019999999999</v>
      </c>
      <c r="H1551">
        <v>1.0492410000000001</v>
      </c>
      <c r="I1551">
        <v>283.97840000000002</v>
      </c>
      <c r="J1551">
        <v>-305.49860000000001</v>
      </c>
      <c r="K1551">
        <v>1.107227</v>
      </c>
      <c r="L1551">
        <v>283.89479999999998</v>
      </c>
      <c r="M1551">
        <v>-0.99984019999999996</v>
      </c>
      <c r="N1551">
        <v>0</v>
      </c>
      <c r="O1551">
        <v>1.6202609999999999E-2</v>
      </c>
      <c r="P1551">
        <v>-0.99778270000000002</v>
      </c>
      <c r="Q1551">
        <v>6.6553669999999995E-2</v>
      </c>
      <c r="R1551">
        <v>5.5130360000000005E-4</v>
      </c>
      <c r="S1551">
        <v>-3.0178829999999999</v>
      </c>
      <c r="T1551">
        <v>-0.18207419999999999</v>
      </c>
      <c r="U1551">
        <v>0.28448489999999999</v>
      </c>
      <c r="V1551">
        <v>-1.564449E-2</v>
      </c>
      <c r="W1551">
        <v>7.4082460000000003E-2</v>
      </c>
      <c r="X1551">
        <v>0.99712940000000005</v>
      </c>
      <c r="Y1551">
        <v>7.7595819999999996E-2</v>
      </c>
      <c r="Z1551">
        <v>1.359161E-3</v>
      </c>
      <c r="AA1551">
        <v>0.99698390000000003</v>
      </c>
      <c r="AB1551">
        <v>54</v>
      </c>
      <c r="AC1551">
        <v>-0.52159999999997797</v>
      </c>
      <c r="AD1551">
        <v>-5.7985999999999802E-2</v>
      </c>
      <c r="AE1551">
        <v>8.3600000000046706E-2</v>
      </c>
      <c r="AF1551">
        <v>7.4242939845182696E-2</v>
      </c>
      <c r="AG1551">
        <v>-5.7985999999999802E-2</v>
      </c>
      <c r="AH1551">
        <v>0.51666078909038704</v>
      </c>
      <c r="AI1551">
        <v>96.339061650277799</v>
      </c>
      <c r="AJ1551">
        <v>81.8227089990596</v>
      </c>
      <c r="AK1551">
        <v>0.52517878983861899</v>
      </c>
      <c r="AL1551">
        <v>85.751495534072504</v>
      </c>
      <c r="AM1551">
        <v>90.898870006756198</v>
      </c>
      <c r="AN1551">
        <v>1.00000000064568</v>
      </c>
    </row>
    <row r="1552" spans="1:40" x14ac:dyDescent="0.25">
      <c r="A1552" t="str">
        <f>"20190312164504228"</f>
        <v>20190312164504228</v>
      </c>
      <c r="B1552" t="str">
        <f>"1552380304223036"</f>
        <v>1552380304223036</v>
      </c>
      <c r="C1552" t="s">
        <v>40</v>
      </c>
      <c r="D1552">
        <v>4.9905929999999996</v>
      </c>
      <c r="E1552">
        <v>0.53177779999999997</v>
      </c>
      <c r="F1552" t="s">
        <v>41</v>
      </c>
      <c r="G1552">
        <v>-306.50319999999999</v>
      </c>
      <c r="H1552">
        <v>1.043825</v>
      </c>
      <c r="I1552">
        <v>283.97820000000002</v>
      </c>
      <c r="J1552">
        <v>-305.78750000000002</v>
      </c>
      <c r="K1552">
        <v>1.107229</v>
      </c>
      <c r="L1552">
        <v>283.89949999999999</v>
      </c>
      <c r="M1552">
        <v>-0.99984119999999999</v>
      </c>
      <c r="N1552">
        <v>0</v>
      </c>
      <c r="O1552">
        <v>1.6137829999999999E-2</v>
      </c>
      <c r="P1552">
        <v>-0.99769059999999998</v>
      </c>
      <c r="Q1552">
        <v>6.7921140000000005E-2</v>
      </c>
      <c r="R1552">
        <v>8.2865789999999999E-4</v>
      </c>
      <c r="S1552">
        <v>-3.0192570000000001</v>
      </c>
      <c r="T1552">
        <v>-0.19079099999999999</v>
      </c>
      <c r="U1552">
        <v>0.2498474</v>
      </c>
      <c r="V1552">
        <v>-1.5301520000000001E-2</v>
      </c>
      <c r="W1552">
        <v>7.5462370000000001E-2</v>
      </c>
      <c r="X1552">
        <v>0.99703120000000001</v>
      </c>
      <c r="Y1552">
        <v>6.6276080000000001E-2</v>
      </c>
      <c r="Z1552">
        <v>1.0715449999999999E-3</v>
      </c>
      <c r="AA1552">
        <v>0.99780080000000004</v>
      </c>
      <c r="AB1552">
        <v>54</v>
      </c>
      <c r="AC1552">
        <v>-0.71569999999996903</v>
      </c>
      <c r="AD1552">
        <v>-6.3404000000000002E-2</v>
      </c>
      <c r="AE1552">
        <v>7.8700000000026193E-2</v>
      </c>
      <c r="AF1552">
        <v>6.6622951051826806E-2</v>
      </c>
      <c r="AG1552">
        <v>-6.3404000000000002E-2</v>
      </c>
      <c r="AH1552">
        <v>0.71136066143344201</v>
      </c>
      <c r="AI1552">
        <v>95.071271827467797</v>
      </c>
      <c r="AJ1552">
        <v>84.649533289709893</v>
      </c>
      <c r="AK1552">
        <v>0.71728144786957804</v>
      </c>
      <c r="AL1552">
        <v>85.672210383040706</v>
      </c>
      <c r="AM1552">
        <v>90.879254023647505</v>
      </c>
      <c r="AN1552">
        <v>0.99999995978688205</v>
      </c>
    </row>
    <row r="1553" spans="1:40" x14ac:dyDescent="0.25">
      <c r="A1553" t="str">
        <f>"20190312164504240"</f>
        <v>20190312164504240</v>
      </c>
      <c r="B1553" t="str">
        <f>"1552380304232796"</f>
        <v>1552380304232796</v>
      </c>
      <c r="C1553" t="s">
        <v>40</v>
      </c>
      <c r="D1553">
        <v>5.0453080000000003</v>
      </c>
      <c r="E1553">
        <v>0.53036019999999995</v>
      </c>
      <c r="F1553" t="s">
        <v>41</v>
      </c>
      <c r="G1553">
        <v>-306.98719999999997</v>
      </c>
      <c r="H1553">
        <v>1.03749</v>
      </c>
      <c r="I1553">
        <v>283.99310000000003</v>
      </c>
      <c r="J1553">
        <v>-306.0677</v>
      </c>
      <c r="K1553">
        <v>1.107235</v>
      </c>
      <c r="L1553">
        <v>283.904</v>
      </c>
      <c r="M1553">
        <v>-0.99984220000000001</v>
      </c>
      <c r="N1553">
        <v>0</v>
      </c>
      <c r="O1553">
        <v>1.6075249999999999E-2</v>
      </c>
      <c r="P1553">
        <v>-0.99759949999999997</v>
      </c>
      <c r="Q1553">
        <v>6.9242209999999998E-2</v>
      </c>
      <c r="R1553">
        <v>1.12352E-3</v>
      </c>
      <c r="S1553">
        <v>-3.018707</v>
      </c>
      <c r="T1553">
        <v>-0.17561589999999999</v>
      </c>
      <c r="U1553">
        <v>0.23513790000000001</v>
      </c>
      <c r="V1553">
        <v>-1.4943430000000001E-2</v>
      </c>
      <c r="W1553">
        <v>7.6795530000000001E-2</v>
      </c>
      <c r="X1553">
        <v>0.99693489999999996</v>
      </c>
      <c r="Y1553">
        <v>6.1544769999999999E-2</v>
      </c>
      <c r="Z1553">
        <v>8.5315670000000001E-4</v>
      </c>
      <c r="AA1553">
        <v>0.99810399999999999</v>
      </c>
      <c r="AB1553">
        <v>54</v>
      </c>
      <c r="AC1553">
        <v>-0.91949999999997001</v>
      </c>
      <c r="AD1553">
        <v>-6.9744999999999904E-2</v>
      </c>
      <c r="AE1553">
        <v>8.9100000000030294E-2</v>
      </c>
      <c r="AF1553">
        <v>7.3885733440811202E-2</v>
      </c>
      <c r="AG1553">
        <v>-6.9744999999999904E-2</v>
      </c>
      <c r="AH1553">
        <v>0.91559476800849604</v>
      </c>
      <c r="AI1553">
        <v>94.342006162014798</v>
      </c>
      <c r="AJ1553">
        <v>85.386400837553794</v>
      </c>
      <c r="AK1553">
        <v>0.92121509205810204</v>
      </c>
      <c r="AL1553">
        <v>85.595603915856998</v>
      </c>
      <c r="AM1553">
        <v>90.858763551541401</v>
      </c>
      <c r="AN1553">
        <v>1.00000002718307</v>
      </c>
    </row>
    <row r="1554" spans="1:40" x14ac:dyDescent="0.25">
      <c r="A1554" t="str">
        <f>"20190312164504252"</f>
        <v>20190312164504252</v>
      </c>
      <c r="B1554" t="str">
        <f>"1552380304243533"</f>
        <v>1552380304243533</v>
      </c>
      <c r="C1554" t="s">
        <v>40</v>
      </c>
      <c r="D1554">
        <v>5.1343209999999999</v>
      </c>
      <c r="E1554">
        <v>0.52906160000000002</v>
      </c>
      <c r="F1554" t="s">
        <v>47</v>
      </c>
      <c r="G1554">
        <v>-326.76650000000001</v>
      </c>
      <c r="H1554" s="1">
        <v>2.027668E-6</v>
      </c>
      <c r="I1554">
        <v>285.44749999999999</v>
      </c>
      <c r="J1554">
        <v>-306.35660000000001</v>
      </c>
      <c r="K1554">
        <v>1.1072379999999999</v>
      </c>
      <c r="L1554">
        <v>283.90870000000001</v>
      </c>
      <c r="M1554">
        <v>-0.99984309999999998</v>
      </c>
      <c r="N1554">
        <v>0</v>
      </c>
      <c r="O1554">
        <v>1.6011009999999999E-2</v>
      </c>
      <c r="P1554">
        <v>-0.99748689999999995</v>
      </c>
      <c r="Q1554">
        <v>7.0839589999999994E-2</v>
      </c>
      <c r="R1554">
        <v>1.4315829999999999E-3</v>
      </c>
      <c r="S1554">
        <v>-3.0182190000000002</v>
      </c>
      <c r="T1554">
        <v>-0.1614527</v>
      </c>
      <c r="U1554">
        <v>0.22506709999999999</v>
      </c>
      <c r="V1554">
        <v>-1.4569850000000001E-2</v>
      </c>
      <c r="W1554">
        <v>7.8404299999999996E-2</v>
      </c>
      <c r="X1554">
        <v>0.99681509999999995</v>
      </c>
      <c r="Y1554">
        <v>5.8326250000000003E-2</v>
      </c>
      <c r="Z1554">
        <v>7.0219729999999999E-4</v>
      </c>
      <c r="AA1554">
        <v>0.99829730000000005</v>
      </c>
      <c r="AB1554">
        <v>54</v>
      </c>
      <c r="AC1554">
        <v>-20.4099</v>
      </c>
      <c r="AD1554">
        <v>-1.107235972332</v>
      </c>
      <c r="AE1554">
        <v>1.53879999999998</v>
      </c>
      <c r="AF1554">
        <v>1.2082743223607399</v>
      </c>
      <c r="AG1554">
        <v>-1.107235972332</v>
      </c>
      <c r="AH1554">
        <v>20.372304113687601</v>
      </c>
      <c r="AI1554">
        <v>93.105521789107797</v>
      </c>
      <c r="AJ1554">
        <v>86.605783247136699</v>
      </c>
      <c r="AK1554">
        <v>20.438118143240999</v>
      </c>
      <c r="AL1554">
        <v>85.503148946198095</v>
      </c>
      <c r="AM1554">
        <v>90.837398503229494</v>
      </c>
      <c r="AN1554">
        <v>0.99999992918775804</v>
      </c>
    </row>
    <row r="1555" spans="1:40" x14ac:dyDescent="0.25">
      <c r="A1555" t="str">
        <f>"20190312164504264"</f>
        <v>20190312164504264</v>
      </c>
      <c r="B1555" t="str">
        <f>"1552380304253293"</f>
        <v>1552380304253293</v>
      </c>
      <c r="C1555" t="s">
        <v>40</v>
      </c>
      <c r="D1555">
        <v>5.2580689999999999</v>
      </c>
      <c r="E1555">
        <v>0.52795029999999998</v>
      </c>
      <c r="F1555" t="s">
        <v>41</v>
      </c>
      <c r="G1555">
        <v>-307.48309999999998</v>
      </c>
      <c r="H1555">
        <v>1.0506219999999999</v>
      </c>
      <c r="I1555">
        <v>283.98930000000001</v>
      </c>
      <c r="J1555">
        <v>-306.6422</v>
      </c>
      <c r="K1555">
        <v>1.107243</v>
      </c>
      <c r="L1555">
        <v>283.91320000000002</v>
      </c>
      <c r="M1555">
        <v>-0.99984399999999996</v>
      </c>
      <c r="N1555">
        <v>0</v>
      </c>
      <c r="O1555">
        <v>1.5947240000000001E-2</v>
      </c>
      <c r="P1555">
        <v>-0.99736570000000002</v>
      </c>
      <c r="Q1555">
        <v>7.2515800000000005E-2</v>
      </c>
      <c r="R1555">
        <v>1.8260220000000001E-3</v>
      </c>
      <c r="S1555">
        <v>-3.0180359999999999</v>
      </c>
      <c r="T1555">
        <v>-0.15176629999999899</v>
      </c>
      <c r="U1555">
        <v>0.21566769999999999</v>
      </c>
      <c r="V1555">
        <v>-1.411069E-2</v>
      </c>
      <c r="W1555">
        <v>8.0091250000000003E-2</v>
      </c>
      <c r="X1555">
        <v>0.99668769999999995</v>
      </c>
      <c r="Y1555">
        <v>5.5312199999999999E-2</v>
      </c>
      <c r="Z1555">
        <v>5.8779359999999996E-4</v>
      </c>
      <c r="AA1555">
        <v>0.99846889999999999</v>
      </c>
      <c r="AB1555">
        <v>55</v>
      </c>
      <c r="AC1555">
        <v>-0.840899999999976</v>
      </c>
      <c r="AD1555">
        <v>-5.6620999999999998E-2</v>
      </c>
      <c r="AE1555">
        <v>7.6099999999996698E-2</v>
      </c>
      <c r="AF1555">
        <v>6.2399291074013603E-2</v>
      </c>
      <c r="AG1555">
        <v>-5.6620999999999998E-2</v>
      </c>
      <c r="AH1555">
        <v>0.83823711843452897</v>
      </c>
      <c r="AI1555">
        <v>93.853698158564995</v>
      </c>
      <c r="AJ1555">
        <v>85.742691628420204</v>
      </c>
      <c r="AK1555">
        <v>0.84246132011443897</v>
      </c>
      <c r="AL1555">
        <v>85.406189403951402</v>
      </c>
      <c r="AM1555">
        <v>90.811115631132097</v>
      </c>
      <c r="AN1555">
        <v>1.00000004561506</v>
      </c>
    </row>
    <row r="1556" spans="1:40" x14ac:dyDescent="0.25">
      <c r="A1556" t="str">
        <f>"20190312164504275"</f>
        <v>20190312164504275</v>
      </c>
      <c r="B1556" t="str">
        <f>"1552380304263052"</f>
        <v>1552380304263052</v>
      </c>
      <c r="C1556" t="s">
        <v>40</v>
      </c>
      <c r="D1556">
        <v>5.0472780000000004</v>
      </c>
      <c r="E1556">
        <v>0.5271129</v>
      </c>
      <c r="F1556" t="s">
        <v>47</v>
      </c>
      <c r="G1556">
        <v>-330.16739999999999</v>
      </c>
      <c r="H1556" s="1">
        <v>-1.487987E-6</v>
      </c>
      <c r="I1556">
        <v>285.5378</v>
      </c>
      <c r="J1556">
        <v>-306.91629999999998</v>
      </c>
      <c r="K1556">
        <v>1.1072519999999999</v>
      </c>
      <c r="L1556">
        <v>283.91759999999999</v>
      </c>
      <c r="M1556">
        <v>-0.99984499999999998</v>
      </c>
      <c r="N1556">
        <v>0</v>
      </c>
      <c r="O1556">
        <v>1.588616E-2</v>
      </c>
      <c r="P1556">
        <v>-0.99721530000000003</v>
      </c>
      <c r="Q1556">
        <v>7.4553289999999994E-2</v>
      </c>
      <c r="R1556">
        <v>1.9782329999999998E-3</v>
      </c>
      <c r="S1556">
        <v>-3.0178829999999999</v>
      </c>
      <c r="T1556">
        <v>-0.14204069999999999</v>
      </c>
      <c r="U1556">
        <v>0.20840449999999999</v>
      </c>
      <c r="V1556">
        <v>-1.389641E-2</v>
      </c>
      <c r="W1556">
        <v>8.2138710000000004E-2</v>
      </c>
      <c r="X1556">
        <v>0.99652399999999997</v>
      </c>
      <c r="Y1556">
        <v>5.2994029999999998E-2</v>
      </c>
      <c r="Z1556">
        <v>4.9864940000000002E-4</v>
      </c>
      <c r="AA1556">
        <v>0.99859469999999995</v>
      </c>
      <c r="AB1556">
        <v>55</v>
      </c>
      <c r="AC1556">
        <v>-23.251100000000001</v>
      </c>
      <c r="AD1556">
        <v>-1.107253487987</v>
      </c>
      <c r="AE1556">
        <v>1.6202000000000101</v>
      </c>
      <c r="AF1556">
        <v>1.2477980983210799</v>
      </c>
      <c r="AG1556">
        <v>-1.107253487987</v>
      </c>
      <c r="AH1556">
        <v>23.221497678923999</v>
      </c>
      <c r="AI1556">
        <v>92.725997834260099</v>
      </c>
      <c r="AJ1556">
        <v>86.924191785464501</v>
      </c>
      <c r="AK1556">
        <v>23.281343707636498</v>
      </c>
      <c r="AL1556">
        <v>85.288490416346605</v>
      </c>
      <c r="AM1556">
        <v>90.798931124009002</v>
      </c>
      <c r="AN1556">
        <v>0.99999998023367598</v>
      </c>
    </row>
    <row r="1557" spans="1:40" x14ac:dyDescent="0.25">
      <c r="A1557" t="str">
        <f>"20190312164504287"</f>
        <v>20190312164504287</v>
      </c>
      <c r="B1557" t="str">
        <f>"1552380304283549"</f>
        <v>1552380304283549</v>
      </c>
      <c r="C1557" t="s">
        <v>40</v>
      </c>
      <c r="D1557">
        <v>5.1799920000000004</v>
      </c>
      <c r="E1557">
        <v>0.5258931</v>
      </c>
      <c r="F1557" t="s">
        <v>47</v>
      </c>
      <c r="G1557">
        <v>-332.2389</v>
      </c>
      <c r="H1557" s="1">
        <v>-3.8891810000000001E-7</v>
      </c>
      <c r="I1557">
        <v>285.61329999999998</v>
      </c>
      <c r="J1557">
        <v>-307.20370000000003</v>
      </c>
      <c r="K1557">
        <v>1.1072580000000001</v>
      </c>
      <c r="L1557">
        <v>283.9221</v>
      </c>
      <c r="M1557">
        <v>-0.99984569999999995</v>
      </c>
      <c r="N1557">
        <v>0</v>
      </c>
      <c r="O1557">
        <v>1.5822030000000001E-2</v>
      </c>
      <c r="P1557">
        <v>-0.9970677</v>
      </c>
      <c r="Q1557">
        <v>7.6494380000000001E-2</v>
      </c>
      <c r="R1557">
        <v>2.197292E-3</v>
      </c>
      <c r="S1557">
        <v>-3.0178530000000001</v>
      </c>
      <c r="T1557">
        <v>-0.13195809999999999</v>
      </c>
      <c r="U1557">
        <v>0.2020874</v>
      </c>
      <c r="V1557">
        <v>-1.3611450000000001E-2</v>
      </c>
      <c r="W1557">
        <v>8.4090780000000004E-2</v>
      </c>
      <c r="X1557">
        <v>0.9963651</v>
      </c>
      <c r="Y1557">
        <v>5.0985410000000002E-2</v>
      </c>
      <c r="Z1557">
        <v>4.222769E-4</v>
      </c>
      <c r="AA1557">
        <v>0.99869929999999996</v>
      </c>
      <c r="AB1557">
        <v>55</v>
      </c>
      <c r="AC1557">
        <v>-25.0351999999999</v>
      </c>
      <c r="AD1557">
        <v>-1.1072583889181</v>
      </c>
      <c r="AE1557">
        <v>1.6911999999999801</v>
      </c>
      <c r="AF1557">
        <v>1.2923525544513501</v>
      </c>
      <c r="AG1557">
        <v>-1.1072583889181</v>
      </c>
      <c r="AH1557">
        <v>25.010124401554702</v>
      </c>
      <c r="AI1557">
        <v>92.531593507761997</v>
      </c>
      <c r="AJ1557">
        <v>87.041975998666899</v>
      </c>
      <c r="AK1557">
        <v>25.0679580110959</v>
      </c>
      <c r="AL1557">
        <v>85.176256651659898</v>
      </c>
      <c r="AM1557">
        <v>90.782675073943295</v>
      </c>
      <c r="AN1557">
        <v>0.99999997167505905</v>
      </c>
    </row>
    <row r="1558" spans="1:40" x14ac:dyDescent="0.25">
      <c r="A1558" t="str">
        <f>"20190312164504299"</f>
        <v>20190312164504299</v>
      </c>
      <c r="B1558" t="str">
        <f>"1552380304293308"</f>
        <v>1552380304293308</v>
      </c>
      <c r="C1558" t="s">
        <v>40</v>
      </c>
      <c r="D1558">
        <v>5.0201969999999996</v>
      </c>
      <c r="E1558">
        <v>0.5254434</v>
      </c>
      <c r="F1558" t="s">
        <v>47</v>
      </c>
      <c r="G1558">
        <v>-335.02229999999997</v>
      </c>
      <c r="H1558" s="1">
        <v>1.088214E-6</v>
      </c>
      <c r="I1558">
        <v>285.70519999999999</v>
      </c>
      <c r="J1558">
        <v>-307.48779999999999</v>
      </c>
      <c r="K1558">
        <v>1.1072649999999999</v>
      </c>
      <c r="L1558">
        <v>283.92660000000001</v>
      </c>
      <c r="M1558">
        <v>-0.99984680000000004</v>
      </c>
      <c r="N1558">
        <v>0</v>
      </c>
      <c r="O1558">
        <v>1.5758270000000001E-2</v>
      </c>
      <c r="P1558">
        <v>-0.99691359999999996</v>
      </c>
      <c r="Q1558">
        <v>7.8470250000000005E-2</v>
      </c>
      <c r="R1558">
        <v>2.4508780000000001E-3</v>
      </c>
      <c r="S1558">
        <v>-3.0176699999999999</v>
      </c>
      <c r="T1558">
        <v>-0.1201116</v>
      </c>
      <c r="U1558">
        <v>0.19342039999999999</v>
      </c>
      <c r="V1558">
        <v>-1.329324E-2</v>
      </c>
      <c r="W1558">
        <v>8.6076730000000004E-2</v>
      </c>
      <c r="X1558">
        <v>0.99619979999999997</v>
      </c>
      <c r="Y1558">
        <v>4.8204709999999998E-2</v>
      </c>
      <c r="Z1558">
        <v>3.3172639999999999E-4</v>
      </c>
      <c r="AA1558">
        <v>0.99883739999999999</v>
      </c>
      <c r="AB1558">
        <v>55</v>
      </c>
      <c r="AC1558">
        <v>-27.534499999999898</v>
      </c>
      <c r="AD1558">
        <v>-1.1072639117859999</v>
      </c>
      <c r="AE1558">
        <v>1.77859999999998</v>
      </c>
      <c r="AF1558">
        <v>1.34230877642661</v>
      </c>
      <c r="AG1558">
        <v>-1.1072639117859999</v>
      </c>
      <c r="AH1558">
        <v>27.514798912882199</v>
      </c>
      <c r="AI1558">
        <v>92.301746671029207</v>
      </c>
      <c r="AJ1558">
        <v>87.207041148708996</v>
      </c>
      <c r="AK1558">
        <v>27.569765784967402</v>
      </c>
      <c r="AL1558">
        <v>85.062055990926893</v>
      </c>
      <c r="AM1558">
        <v>90.764506624444195</v>
      </c>
      <c r="AN1558">
        <v>0.99999997759861403</v>
      </c>
    </row>
    <row r="1559" spans="1:40" x14ac:dyDescent="0.25">
      <c r="A1559" t="str">
        <f>"20190312164504309"</f>
        <v>20190312164504309</v>
      </c>
      <c r="B1559" t="str">
        <f>"1552380304303069"</f>
        <v>1552380304303069</v>
      </c>
      <c r="C1559" t="s">
        <v>40</v>
      </c>
      <c r="D1559">
        <v>5.0552849999999996</v>
      </c>
      <c r="E1559">
        <v>0.52507720000000002</v>
      </c>
      <c r="F1559" t="s">
        <v>47</v>
      </c>
      <c r="G1559">
        <v>-337.0231</v>
      </c>
      <c r="H1559" s="1">
        <v>2.1492769999999999E-6</v>
      </c>
      <c r="I1559">
        <v>285.78919999999999</v>
      </c>
      <c r="J1559">
        <v>-307.76760000000002</v>
      </c>
      <c r="K1559">
        <v>1.1072709999999999</v>
      </c>
      <c r="L1559">
        <v>283.93099999999998</v>
      </c>
      <c r="M1559">
        <v>-0.99984759999999995</v>
      </c>
      <c r="N1559">
        <v>0</v>
      </c>
      <c r="O1559">
        <v>1.5695819999999999E-2</v>
      </c>
      <c r="P1559">
        <v>-0.99674830000000003</v>
      </c>
      <c r="Q1559">
        <v>8.0538390000000001E-2</v>
      </c>
      <c r="R1559">
        <v>2.5300740000000002E-3</v>
      </c>
      <c r="S1559">
        <v>-3.0177309999999999</v>
      </c>
      <c r="T1559">
        <v>-0.1131331</v>
      </c>
      <c r="U1559">
        <v>0.19030759999999999</v>
      </c>
      <c r="V1559">
        <v>-1.3150240000000001E-2</v>
      </c>
      <c r="W1559">
        <v>8.815402E-2</v>
      </c>
      <c r="X1559">
        <v>0.99602009999999996</v>
      </c>
      <c r="Y1559">
        <v>4.7243140000000003E-2</v>
      </c>
      <c r="Z1559">
        <v>2.9680690000000003E-4</v>
      </c>
      <c r="AA1559">
        <v>0.99888339999999998</v>
      </c>
      <c r="AB1559">
        <v>55</v>
      </c>
      <c r="AC1559">
        <v>-29.255499999999898</v>
      </c>
      <c r="AD1559">
        <v>-1.107268850723</v>
      </c>
      <c r="AE1559">
        <v>1.8582000000000101</v>
      </c>
      <c r="AF1559">
        <v>1.39677578012169</v>
      </c>
      <c r="AG1559">
        <v>-1.107268850723</v>
      </c>
      <c r="AH1559">
        <v>29.239345992024798</v>
      </c>
      <c r="AI1559">
        <v>92.166237602966802</v>
      </c>
      <c r="AJ1559">
        <v>87.265035806258695</v>
      </c>
      <c r="AK1559">
        <v>29.293623554095401</v>
      </c>
      <c r="AL1559">
        <v>84.942582169104298</v>
      </c>
      <c r="AM1559">
        <v>90.7564199528953</v>
      </c>
      <c r="AN1559">
        <v>1.0000000498291099</v>
      </c>
    </row>
    <row r="1560" spans="1:40" x14ac:dyDescent="0.25">
      <c r="A1560" t="str">
        <f>"20190312164504322"</f>
        <v>20190312164504322</v>
      </c>
      <c r="B1560" t="str">
        <f>"1552380304312829"</f>
        <v>1552380304312829</v>
      </c>
      <c r="C1560" t="s">
        <v>40</v>
      </c>
      <c r="D1560">
        <v>5.1900550000000001</v>
      </c>
      <c r="E1560">
        <v>0.52479449999999905</v>
      </c>
      <c r="F1560" t="s">
        <v>47</v>
      </c>
      <c r="G1560">
        <v>-339.26670000000001</v>
      </c>
      <c r="H1560" s="1">
        <v>3.3386830000000001E-6</v>
      </c>
      <c r="I1560">
        <v>285.89280000000002</v>
      </c>
      <c r="J1560">
        <v>-308.07929999999999</v>
      </c>
      <c r="K1560">
        <v>1.10727999999999</v>
      </c>
      <c r="L1560">
        <v>283.9359</v>
      </c>
      <c r="M1560">
        <v>-0.99984850000000003</v>
      </c>
      <c r="N1560">
        <v>0</v>
      </c>
      <c r="O1560">
        <v>1.562639E-2</v>
      </c>
      <c r="P1560">
        <v>-0.99654310000000002</v>
      </c>
      <c r="Q1560">
        <v>8.3029039999999998E-2</v>
      </c>
      <c r="R1560">
        <v>2.805859E-3</v>
      </c>
      <c r="S1560">
        <v>-3.0178829999999999</v>
      </c>
      <c r="T1560">
        <v>-0.1060857</v>
      </c>
      <c r="U1560">
        <v>0.18795780000000001</v>
      </c>
      <c r="V1560">
        <v>-1.280302E-2</v>
      </c>
      <c r="W1560">
        <v>9.0654509999999994E-2</v>
      </c>
      <c r="X1560">
        <v>0.99580009999999997</v>
      </c>
      <c r="Y1560">
        <v>4.653765E-2</v>
      </c>
      <c r="Z1560">
        <v>2.6837399999999999E-4</v>
      </c>
      <c r="AA1560">
        <v>0.99891649999999998</v>
      </c>
      <c r="AB1560">
        <v>55</v>
      </c>
      <c r="AC1560">
        <v>-31.1874</v>
      </c>
      <c r="AD1560">
        <v>-1.10727666131699</v>
      </c>
      <c r="AE1560">
        <v>1.9569000000000101</v>
      </c>
      <c r="AF1560">
        <v>1.4674577235682</v>
      </c>
      <c r="AG1560">
        <v>-1.10727666131699</v>
      </c>
      <c r="AH1560">
        <v>31.175028974459799</v>
      </c>
      <c r="AI1560">
        <v>92.031932057383997</v>
      </c>
      <c r="AJ1560">
        <v>87.304986702875595</v>
      </c>
      <c r="AK1560">
        <v>31.229183872358298</v>
      </c>
      <c r="AL1560">
        <v>84.798738312362104</v>
      </c>
      <c r="AM1560">
        <v>90.736612293185402</v>
      </c>
      <c r="AN1560">
        <v>0.99999999833223496</v>
      </c>
    </row>
    <row r="1561" spans="1:40" x14ac:dyDescent="0.25">
      <c r="A1561" t="str">
        <f>"20190312164504342"</f>
        <v>20190312164504342</v>
      </c>
      <c r="B1561" t="str">
        <f>"1552380304333325"</f>
        <v>1552380304333325</v>
      </c>
      <c r="C1561" t="s">
        <v>40</v>
      </c>
      <c r="D1561">
        <v>5.2115549999999997</v>
      </c>
      <c r="E1561">
        <v>0.52425089999999996</v>
      </c>
      <c r="F1561" t="s">
        <v>47</v>
      </c>
      <c r="G1561">
        <v>-342.20740000000001</v>
      </c>
      <c r="H1561" s="1">
        <v>-3.6211709999999998E-7</v>
      </c>
      <c r="I1561">
        <v>286.04579999999999</v>
      </c>
      <c r="J1561">
        <v>-308.53649999999999</v>
      </c>
      <c r="K1561">
        <v>1.107297</v>
      </c>
      <c r="L1561">
        <v>283.94299999999998</v>
      </c>
      <c r="M1561">
        <v>-0.99985020000000002</v>
      </c>
      <c r="N1561">
        <v>0</v>
      </c>
      <c r="O1561">
        <v>1.552446E-2</v>
      </c>
      <c r="P1561">
        <v>-0.99607120000000005</v>
      </c>
      <c r="Q1561">
        <v>8.8502440000000002E-2</v>
      </c>
      <c r="R1561">
        <v>3.1813660000000001E-3</v>
      </c>
      <c r="S1561">
        <v>-3.0180359999999999</v>
      </c>
      <c r="T1561">
        <v>-9.7919820000000005E-2</v>
      </c>
      <c r="U1561">
        <v>0.18658449999999999</v>
      </c>
      <c r="V1561">
        <v>-1.2320390000000001E-2</v>
      </c>
      <c r="W1561">
        <v>9.6141219999999999E-2</v>
      </c>
      <c r="X1561">
        <v>0.9952915</v>
      </c>
      <c r="Y1561">
        <v>4.6186499999999998E-2</v>
      </c>
      <c r="Z1561">
        <v>2.4533079999999999E-4</v>
      </c>
      <c r="AA1561">
        <v>0.99893279999999995</v>
      </c>
      <c r="AB1561">
        <v>55</v>
      </c>
      <c r="AC1561">
        <v>-33.670900000000003</v>
      </c>
      <c r="AD1561">
        <v>-1.1072973621171001</v>
      </c>
      <c r="AE1561">
        <v>2.1027999999999998</v>
      </c>
      <c r="AF1561">
        <v>1.57810866001679</v>
      </c>
      <c r="AG1561">
        <v>-1.1072973621171001</v>
      </c>
      <c r="AH1561">
        <v>33.6632231034013</v>
      </c>
      <c r="AI1561">
        <v>91.881907585028998</v>
      </c>
      <c r="AJ1561">
        <v>87.315978456624606</v>
      </c>
      <c r="AK1561">
        <v>33.718379618545498</v>
      </c>
      <c r="AL1561">
        <v>84.482992684802198</v>
      </c>
      <c r="AM1561">
        <v>90.709209609999903</v>
      </c>
      <c r="AN1561">
        <v>1.0000000480825399</v>
      </c>
    </row>
    <row r="1562" spans="1:40" x14ac:dyDescent="0.25">
      <c r="A1562" t="str">
        <f>"20190312164504355"</f>
        <v>20190312164504355</v>
      </c>
      <c r="B1562" t="str">
        <f>"1552380304343084"</f>
        <v>1552380304343084</v>
      </c>
      <c r="C1562" t="s">
        <v>40</v>
      </c>
      <c r="D1562">
        <v>5.2830919999999999</v>
      </c>
      <c r="E1562">
        <v>0.52397890000000003</v>
      </c>
      <c r="F1562" t="s">
        <v>47</v>
      </c>
      <c r="G1562">
        <v>-349.55239999999998</v>
      </c>
      <c r="H1562" s="1">
        <v>3.5465010000000001E-6</v>
      </c>
      <c r="I1562">
        <v>286.4332</v>
      </c>
      <c r="J1562">
        <v>-308.85640000000001</v>
      </c>
      <c r="K1562">
        <v>1.107308</v>
      </c>
      <c r="L1562">
        <v>283.94799999999998</v>
      </c>
      <c r="M1562">
        <v>-0.99985119999999905</v>
      </c>
      <c r="N1562">
        <v>0</v>
      </c>
      <c r="O1562">
        <v>1.5453299999999901E-2</v>
      </c>
      <c r="P1562">
        <v>-0.99578880000000003</v>
      </c>
      <c r="Q1562">
        <v>9.1612830000000006E-2</v>
      </c>
      <c r="R1562">
        <v>3.4645639999999998E-3</v>
      </c>
      <c r="S1562">
        <v>-3.0184630000000001</v>
      </c>
      <c r="T1562">
        <v>-8.1488610000000003E-2</v>
      </c>
      <c r="U1562">
        <v>0.18325810000000001</v>
      </c>
      <c r="V1562">
        <v>-1.196361E-2</v>
      </c>
      <c r="W1562">
        <v>9.9261890000000005E-2</v>
      </c>
      <c r="X1562">
        <v>0.99498940000000002</v>
      </c>
      <c r="Y1562">
        <v>4.5157429999999998E-2</v>
      </c>
      <c r="Z1562">
        <v>1.9220009999999999E-4</v>
      </c>
      <c r="AA1562">
        <v>0.99897990000000003</v>
      </c>
      <c r="AB1562">
        <v>55</v>
      </c>
      <c r="AC1562">
        <v>-40.695999999999898</v>
      </c>
      <c r="AD1562">
        <v>-1.107304453499</v>
      </c>
      <c r="AE1562">
        <v>2.4852000000000198</v>
      </c>
      <c r="AF1562">
        <v>1.8546292948193099</v>
      </c>
      <c r="AG1562">
        <v>-1.107304453499</v>
      </c>
      <c r="AH1562">
        <v>40.699526402283297</v>
      </c>
      <c r="AI1562">
        <v>91.556836412820203</v>
      </c>
      <c r="AJ1562">
        <v>87.390904019656205</v>
      </c>
      <c r="AK1562">
        <v>40.756805840793</v>
      </c>
      <c r="AL1562">
        <v>84.303331459053297</v>
      </c>
      <c r="AM1562">
        <v>90.688883047761806</v>
      </c>
      <c r="AN1562">
        <v>0.99999997844148103</v>
      </c>
    </row>
    <row r="1563" spans="1:40" x14ac:dyDescent="0.25">
      <c r="A1563" t="str">
        <f>"20190312164504368"</f>
        <v>20190312164504368</v>
      </c>
      <c r="B1563" t="str">
        <f>"1552380304363580"</f>
        <v>1552380304363580</v>
      </c>
      <c r="C1563" t="s">
        <v>40</v>
      </c>
      <c r="D1563">
        <v>5.0567970000000004</v>
      </c>
      <c r="E1563">
        <v>0.5236634</v>
      </c>
      <c r="F1563" t="s">
        <v>47</v>
      </c>
      <c r="G1563">
        <v>-354.21269999999998</v>
      </c>
      <c r="H1563" s="1">
        <v>7.049821E-7</v>
      </c>
      <c r="I1563">
        <v>286.6771</v>
      </c>
      <c r="J1563">
        <v>-309.2029</v>
      </c>
      <c r="K1563">
        <v>1.1073219999999999</v>
      </c>
      <c r="L1563">
        <v>283.95330000000001</v>
      </c>
      <c r="M1563">
        <v>-0.99985210000000002</v>
      </c>
      <c r="N1563">
        <v>0</v>
      </c>
      <c r="O1563">
        <v>1.5376290000000001E-2</v>
      </c>
      <c r="P1563">
        <v>-0.99546109999999999</v>
      </c>
      <c r="Q1563">
        <v>9.5098989999999994E-2</v>
      </c>
      <c r="R1563">
        <v>3.7046589999999999E-3</v>
      </c>
      <c r="S1563">
        <v>-3.018799</v>
      </c>
      <c r="T1563">
        <v>-7.3699470000000003E-2</v>
      </c>
      <c r="U1563">
        <v>0.18164060000000001</v>
      </c>
      <c r="V1563">
        <v>-1.1643000000000001E-2</v>
      </c>
      <c r="W1563">
        <v>0.102759199999999</v>
      </c>
      <c r="X1563">
        <v>0.99463809999999997</v>
      </c>
      <c r="Y1563">
        <v>4.4696420000000001E-2</v>
      </c>
      <c r="Z1563">
        <v>1.7007329999999999E-4</v>
      </c>
      <c r="AA1563">
        <v>0.99900060000000002</v>
      </c>
      <c r="AB1563">
        <v>55</v>
      </c>
      <c r="AC1563">
        <v>-45.009799999999899</v>
      </c>
      <c r="AD1563">
        <v>-1.1073212950179001</v>
      </c>
      <c r="AE1563">
        <v>2.7237999999999798</v>
      </c>
      <c r="AF1563">
        <v>2.0301494322228399</v>
      </c>
      <c r="AG1563">
        <v>-1.1073212950179001</v>
      </c>
      <c r="AH1563">
        <v>45.019213357726201</v>
      </c>
      <c r="AI1563">
        <v>91.407569553099904</v>
      </c>
      <c r="AJ1563">
        <v>87.417985925525102</v>
      </c>
      <c r="AK1563">
        <v>45.078567396447099</v>
      </c>
      <c r="AL1563">
        <v>84.101920115021301</v>
      </c>
      <c r="AM1563">
        <v>90.670660307338196</v>
      </c>
      <c r="AN1563">
        <v>0.99999998130262402</v>
      </c>
    </row>
    <row r="1564" spans="1:40" x14ac:dyDescent="0.25">
      <c r="A1564" t="str">
        <f>"20190312164504384"</f>
        <v>20190312164504384</v>
      </c>
      <c r="B1564" t="str">
        <f>"1552380304373341"</f>
        <v>1552380304373341</v>
      </c>
      <c r="C1564" t="s">
        <v>40</v>
      </c>
      <c r="D1564">
        <v>5.0912470000000001</v>
      </c>
      <c r="E1564">
        <v>0.52351800000000004</v>
      </c>
      <c r="F1564" t="s">
        <v>47</v>
      </c>
      <c r="G1564">
        <v>-359.68740000000003</v>
      </c>
      <c r="H1564" s="1">
        <v>3.6183810000000001E-6</v>
      </c>
      <c r="I1564">
        <v>286.95679999999999</v>
      </c>
      <c r="J1564">
        <v>-309.5806</v>
      </c>
      <c r="K1564">
        <v>1.1073519999999999</v>
      </c>
      <c r="L1564">
        <v>283.95909999999998</v>
      </c>
      <c r="M1564">
        <v>-0.99985329999999994</v>
      </c>
      <c r="N1564">
        <v>0</v>
      </c>
      <c r="O1564">
        <v>1.529289E-2</v>
      </c>
      <c r="P1564">
        <v>-0.99469920000000001</v>
      </c>
      <c r="Q1564">
        <v>0.10273599999999999</v>
      </c>
      <c r="R1564">
        <v>4.3568629999999999E-3</v>
      </c>
      <c r="S1564">
        <v>-3.0193479999999999</v>
      </c>
      <c r="T1564">
        <v>-6.6225770000000003E-2</v>
      </c>
      <c r="U1564">
        <v>0.17962649999999999</v>
      </c>
      <c r="V1564">
        <v>-1.089934E-2</v>
      </c>
      <c r="W1564">
        <v>0.110407199999999</v>
      </c>
      <c r="X1564">
        <v>0.99382669999999995</v>
      </c>
      <c r="Y1564">
        <v>4.4106609999999997E-2</v>
      </c>
      <c r="Z1564">
        <v>1.4817070000000001E-4</v>
      </c>
      <c r="AA1564">
        <v>0.99902679999999999</v>
      </c>
      <c r="AB1564">
        <v>55</v>
      </c>
      <c r="AC1564">
        <v>-50.1068</v>
      </c>
      <c r="AD1564">
        <v>-1.107348381619</v>
      </c>
      <c r="AE1564">
        <v>2.9977</v>
      </c>
      <c r="AF1564">
        <v>2.2299636092389101</v>
      </c>
      <c r="AG1564">
        <v>-1.107348381619</v>
      </c>
      <c r="AH1564">
        <v>50.122392421379097</v>
      </c>
      <c r="AI1564">
        <v>91.2643730078575</v>
      </c>
      <c r="AJ1564">
        <v>87.452569672002099</v>
      </c>
      <c r="AK1564">
        <v>50.184192532903502</v>
      </c>
      <c r="AL1564">
        <v>83.661210786014806</v>
      </c>
      <c r="AM1564">
        <v>90.628340078183399</v>
      </c>
      <c r="AN1564">
        <v>1.0000000275285801</v>
      </c>
    </row>
    <row r="1565" spans="1:40" x14ac:dyDescent="0.25">
      <c r="A1565" t="str">
        <f>"20190312164504396"</f>
        <v>20190312164504396</v>
      </c>
      <c r="B1565" t="str">
        <f>"1552380304392860"</f>
        <v>1552380304392860</v>
      </c>
      <c r="C1565" t="s">
        <v>40</v>
      </c>
      <c r="D1565">
        <v>5.0908579999999999</v>
      </c>
      <c r="E1565">
        <v>0.52332820000000002</v>
      </c>
      <c r="F1565" t="s">
        <v>47</v>
      </c>
      <c r="G1565">
        <v>-385.73090000000002</v>
      </c>
      <c r="H1565" s="1">
        <v>1.512909E-6</v>
      </c>
      <c r="I1565">
        <v>288.50510000000003</v>
      </c>
      <c r="J1565">
        <v>-309.87150000000003</v>
      </c>
      <c r="K1565">
        <v>1.107369</v>
      </c>
      <c r="L1565">
        <v>283.96359999999999</v>
      </c>
      <c r="M1565">
        <v>-0.99985409999999997</v>
      </c>
      <c r="N1565">
        <v>0</v>
      </c>
      <c r="O1565">
        <v>1.52281E-2</v>
      </c>
      <c r="P1565">
        <v>-0.99419060000000004</v>
      </c>
      <c r="Q1565">
        <v>0.1075493</v>
      </c>
      <c r="R1565">
        <v>4.2858180000000003E-3</v>
      </c>
      <c r="S1565">
        <v>-3.019714</v>
      </c>
      <c r="T1565">
        <v>-4.3911579999999999E-2</v>
      </c>
      <c r="U1565">
        <v>0.18026729999999999</v>
      </c>
      <c r="V1565">
        <v>-1.089997E-2</v>
      </c>
      <c r="W1565">
        <v>0.115229399999999</v>
      </c>
      <c r="X1565">
        <v>0.99327909999999997</v>
      </c>
      <c r="Y1565">
        <v>4.4379259999999997E-2</v>
      </c>
      <c r="Z1565">
        <v>1.011615E-4</v>
      </c>
      <c r="AA1565">
        <v>0.99901470000000003</v>
      </c>
      <c r="AB1565">
        <v>55</v>
      </c>
      <c r="AC1565">
        <v>-75.859399999999994</v>
      </c>
      <c r="AD1565">
        <v>-1.107367487091</v>
      </c>
      <c r="AE1565">
        <v>4.5415000000000401</v>
      </c>
      <c r="AF1565">
        <v>3.3850255011453498</v>
      </c>
      <c r="AG1565">
        <v>-1.107367487091</v>
      </c>
      <c r="AH1565">
        <v>75.903647134765293</v>
      </c>
      <c r="AI1565">
        <v>90.835005944922202</v>
      </c>
      <c r="AJ1565">
        <v>87.446509374806197</v>
      </c>
      <c r="AK1565">
        <v>75.987158841174207</v>
      </c>
      <c r="AL1565">
        <v>83.383143319996407</v>
      </c>
      <c r="AM1565">
        <v>90.628722793788995</v>
      </c>
      <c r="AN1565">
        <v>0.99999999723358501</v>
      </c>
    </row>
    <row r="1566" spans="1:40" x14ac:dyDescent="0.25">
      <c r="A1566" t="str">
        <f>"20190312164504407"</f>
        <v>20190312164504407</v>
      </c>
      <c r="B1566" t="str">
        <f>"1552380304403597"</f>
        <v>1552380304403597</v>
      </c>
      <c r="C1566" t="s">
        <v>40</v>
      </c>
      <c r="D1566">
        <v>5.2683679999999997</v>
      </c>
      <c r="E1566">
        <v>0.51680059999999906</v>
      </c>
      <c r="F1566" t="s">
        <v>51</v>
      </c>
      <c r="G1566">
        <v>-415.21249999999998</v>
      </c>
      <c r="H1566" s="1">
        <v>2.5930840000000002E-6</v>
      </c>
      <c r="I1566">
        <v>290.18509999999998</v>
      </c>
      <c r="J1566">
        <v>-310.16800000000001</v>
      </c>
      <c r="K1566">
        <v>1.107386</v>
      </c>
      <c r="L1566">
        <v>283.96809999999999</v>
      </c>
      <c r="M1566">
        <v>-0.9998551</v>
      </c>
      <c r="N1566">
        <v>0</v>
      </c>
      <c r="O1566">
        <v>1.5162119999999999E-2</v>
      </c>
      <c r="P1566">
        <v>-0.99369850000000004</v>
      </c>
      <c r="Q1566">
        <v>0.1119956</v>
      </c>
      <c r="R1566">
        <v>4.5402619999999998E-3</v>
      </c>
      <c r="S1566">
        <v>-3.020203</v>
      </c>
      <c r="T1566">
        <v>-3.1749010000000001E-2</v>
      </c>
      <c r="U1566">
        <v>0.17837520000000001</v>
      </c>
      <c r="V1566">
        <v>-1.0574180000000001E-2</v>
      </c>
      <c r="W1566">
        <v>0.1196854</v>
      </c>
      <c r="X1566">
        <v>0.99275550000000001</v>
      </c>
      <c r="Y1566">
        <v>4.3813409999999997E-2</v>
      </c>
      <c r="Z1566" s="1">
        <v>7.0854419999999904E-5</v>
      </c>
      <c r="AA1566">
        <v>0.99903969999999997</v>
      </c>
      <c r="AB1566">
        <v>55</v>
      </c>
      <c r="AC1566">
        <v>-105.044499999999</v>
      </c>
      <c r="AD1566">
        <v>-1.107383406916</v>
      </c>
      <c r="AE1566">
        <v>6.2169999999999801</v>
      </c>
      <c r="AF1566">
        <v>4.6230283091798796</v>
      </c>
      <c r="AG1566">
        <v>-1.107383406916</v>
      </c>
      <c r="AH1566">
        <v>105.115048826739</v>
      </c>
      <c r="AI1566">
        <v>90.603003858428394</v>
      </c>
      <c r="AJ1566">
        <v>87.481717166292896</v>
      </c>
      <c r="AK1566">
        <v>105.22248893941401</v>
      </c>
      <c r="AL1566">
        <v>83.126053149657906</v>
      </c>
      <c r="AM1566">
        <v>90.6102539605114</v>
      </c>
      <c r="AN1566">
        <v>0.99999994551803895</v>
      </c>
    </row>
    <row r="1567" spans="1:40" x14ac:dyDescent="0.25">
      <c r="A1567" t="str">
        <f>"20190312164504421"</f>
        <v>20190312164504421</v>
      </c>
      <c r="B1567" t="str">
        <f>"1552380304413357"</f>
        <v>1552380304413357</v>
      </c>
      <c r="C1567" t="s">
        <v>40</v>
      </c>
      <c r="D1567">
        <v>5.3665099999999999</v>
      </c>
      <c r="E1567">
        <v>0.5173681</v>
      </c>
      <c r="F1567" t="s">
        <v>47</v>
      </c>
      <c r="G1567">
        <v>-339.9941</v>
      </c>
      <c r="H1567" s="1">
        <v>-1.539906E-6</v>
      </c>
      <c r="I1567">
        <v>285.16320000000002</v>
      </c>
      <c r="J1567">
        <v>-310.48</v>
      </c>
      <c r="K1567">
        <v>1.1073999999999999</v>
      </c>
      <c r="L1567">
        <v>283.97280000000001</v>
      </c>
      <c r="M1567">
        <v>-0.99985599999999997</v>
      </c>
      <c r="N1567">
        <v>0</v>
      </c>
      <c r="O1567">
        <v>1.5092980000000001E-2</v>
      </c>
      <c r="P1567">
        <v>-0.99319429999999997</v>
      </c>
      <c r="Q1567">
        <v>0.1163691</v>
      </c>
      <c r="R1567">
        <v>4.8706449999999998E-3</v>
      </c>
      <c r="S1567">
        <v>-3.031158</v>
      </c>
      <c r="T1567">
        <v>-0.112541</v>
      </c>
      <c r="U1567">
        <v>0.121459999999999</v>
      </c>
      <c r="V1567">
        <v>-1.0169600000000001E-2</v>
      </c>
      <c r="W1567">
        <v>0.124068899999999</v>
      </c>
      <c r="X1567">
        <v>0.99222149999999998</v>
      </c>
      <c r="Y1567">
        <v>2.4945680000000001E-2</v>
      </c>
      <c r="Z1567" s="1">
        <v>-9.7166860000000004E-5</v>
      </c>
      <c r="AA1567">
        <v>0.99968880000000004</v>
      </c>
      <c r="AB1567">
        <v>55</v>
      </c>
      <c r="AC1567">
        <v>-29.5140999999999</v>
      </c>
      <c r="AD1567">
        <v>-1.107401539906</v>
      </c>
      <c r="AE1567">
        <v>1.1904000000000099</v>
      </c>
      <c r="AF1567">
        <v>0.74374989796047897</v>
      </c>
      <c r="AG1567">
        <v>-1.107401539906</v>
      </c>
      <c r="AH1567">
        <v>29.487259487284199</v>
      </c>
      <c r="AI1567">
        <v>92.150063665255203</v>
      </c>
      <c r="AJ1567">
        <v>88.555148983548406</v>
      </c>
      <c r="AK1567">
        <v>29.517418148471801</v>
      </c>
      <c r="AL1567">
        <v>82.873010942717499</v>
      </c>
      <c r="AM1567">
        <v>90.587222467505995</v>
      </c>
      <c r="AN1567">
        <v>1.00000000888681</v>
      </c>
    </row>
    <row r="1568" spans="1:40" x14ac:dyDescent="0.25">
      <c r="A1568" t="str">
        <f>"20190312164504433"</f>
        <v>20190312164504433</v>
      </c>
      <c r="B1568" t="str">
        <f>"1552380304423117"</f>
        <v>1552380304423117</v>
      </c>
      <c r="C1568" t="s">
        <v>40</v>
      </c>
      <c r="D1568">
        <v>5.2763920000000004</v>
      </c>
      <c r="E1568">
        <v>0.51734469999999999</v>
      </c>
      <c r="F1568" t="s">
        <v>47</v>
      </c>
      <c r="G1568">
        <v>-343.77600000000001</v>
      </c>
      <c r="H1568" s="1">
        <v>4.7258769999999999E-7</v>
      </c>
      <c r="I1568">
        <v>285.36270000000002</v>
      </c>
      <c r="J1568">
        <v>-310.80259999999998</v>
      </c>
      <c r="K1568">
        <v>1.107415</v>
      </c>
      <c r="L1568">
        <v>283.97770000000003</v>
      </c>
      <c r="M1568">
        <v>-0.99985690000000005</v>
      </c>
      <c r="N1568">
        <v>0</v>
      </c>
      <c r="O1568">
        <v>1.502145E-2</v>
      </c>
      <c r="P1568">
        <v>-0.99271430000000005</v>
      </c>
      <c r="Q1568">
        <v>0.1203762</v>
      </c>
      <c r="R1568">
        <v>5.2805100000000004E-3</v>
      </c>
      <c r="S1568">
        <v>-3.0317080000000001</v>
      </c>
      <c r="T1568">
        <v>-0.1008323</v>
      </c>
      <c r="U1568">
        <v>0.12655640000000001</v>
      </c>
      <c r="V1568">
        <v>-9.6829670000000007E-3</v>
      </c>
      <c r="W1568">
        <v>0.1280869</v>
      </c>
      <c r="X1568">
        <v>0.99171569999999998</v>
      </c>
      <c r="Y1568">
        <v>2.6687949999999998E-2</v>
      </c>
      <c r="Z1568" s="1">
        <v>-5.5713700000000002E-5</v>
      </c>
      <c r="AA1568">
        <v>0.99964379999999997</v>
      </c>
      <c r="AB1568">
        <v>55</v>
      </c>
      <c r="AC1568">
        <v>-32.973399999999998</v>
      </c>
      <c r="AD1568">
        <v>-1.1074145274123</v>
      </c>
      <c r="AE1568">
        <v>1.38499999999999</v>
      </c>
      <c r="AF1568">
        <v>0.88852000303482404</v>
      </c>
      <c r="AG1568">
        <v>-1.1074145274123</v>
      </c>
      <c r="AH1568">
        <v>32.953380209707802</v>
      </c>
      <c r="AI1568">
        <v>91.924029747555593</v>
      </c>
      <c r="AJ1568">
        <v>88.455511561301293</v>
      </c>
      <c r="AK1568">
        <v>32.983952188554902</v>
      </c>
      <c r="AL1568">
        <v>82.640944622507803</v>
      </c>
      <c r="AM1568">
        <v>90.559409832143402</v>
      </c>
      <c r="AN1568">
        <v>1.0000000217140099</v>
      </c>
    </row>
    <row r="1569" spans="1:40" x14ac:dyDescent="0.25">
      <c r="A1569" t="str">
        <f>"20190312164504446"</f>
        <v>20190312164504446</v>
      </c>
      <c r="B1569" t="str">
        <f>"1552380304443613"</f>
        <v>1552380304443613</v>
      </c>
      <c r="C1569" t="s">
        <v>40</v>
      </c>
      <c r="D1569">
        <v>5.0409540000000002</v>
      </c>
      <c r="E1569">
        <v>0.51669989999999999</v>
      </c>
      <c r="F1569" t="s">
        <v>47</v>
      </c>
      <c r="G1569">
        <v>-348.19490000000002</v>
      </c>
      <c r="H1569" s="1">
        <v>2.8241070000000002E-6</v>
      </c>
      <c r="I1569">
        <v>285.54700000000003</v>
      </c>
      <c r="J1569">
        <v>-311.12849999999997</v>
      </c>
      <c r="K1569">
        <v>1.1074389999999901</v>
      </c>
      <c r="L1569">
        <v>283.98259999999999</v>
      </c>
      <c r="M1569">
        <v>-0.99985800000000002</v>
      </c>
      <c r="N1569">
        <v>0</v>
      </c>
      <c r="O1569">
        <v>1.494962E-2</v>
      </c>
      <c r="P1569">
        <v>-0.99225810000000003</v>
      </c>
      <c r="Q1569">
        <v>0.1240668</v>
      </c>
      <c r="R1569">
        <v>5.5930069999999997E-3</v>
      </c>
      <c r="S1569">
        <v>-3.032257</v>
      </c>
      <c r="T1569">
        <v>-8.9803460000000002E-2</v>
      </c>
      <c r="U1569">
        <v>0.12725829999999999</v>
      </c>
      <c r="V1569">
        <v>-9.2944340000000007E-3</v>
      </c>
      <c r="W1569">
        <v>0.13178790000000001</v>
      </c>
      <c r="X1569">
        <v>0.99123439999999996</v>
      </c>
      <c r="Y1569">
        <v>2.6984379999999999E-2</v>
      </c>
      <c r="Z1569" s="1">
        <v>-4.3101320000000002E-5</v>
      </c>
      <c r="AA1569">
        <v>0.99963590000000002</v>
      </c>
      <c r="AB1569">
        <v>55</v>
      </c>
      <c r="AC1569">
        <v>-37.066400000000002</v>
      </c>
      <c r="AD1569">
        <v>-1.10743617589299</v>
      </c>
      <c r="AE1569">
        <v>1.56440000000003</v>
      </c>
      <c r="AF1569">
        <v>1.0091805764239701</v>
      </c>
      <c r="AG1569">
        <v>-1.10743617589299</v>
      </c>
      <c r="AH1569">
        <v>37.052629537311297</v>
      </c>
      <c r="AI1569">
        <v>91.711323469041503</v>
      </c>
      <c r="AJ1569">
        <v>88.439854416443694</v>
      </c>
      <c r="AK1569">
        <v>37.0829100253573</v>
      </c>
      <c r="AL1569">
        <v>82.4270798257309</v>
      </c>
      <c r="AM1569">
        <v>90.537225337473998</v>
      </c>
      <c r="AN1569">
        <v>1.00000003641657</v>
      </c>
    </row>
    <row r="1570" spans="1:40" x14ac:dyDescent="0.25">
      <c r="A1570" t="str">
        <f>"20190312164504463"</f>
        <v>20190312164504463</v>
      </c>
      <c r="B1570" t="str">
        <f>"1552380304453373"</f>
        <v>1552380304453373</v>
      </c>
      <c r="C1570" t="s">
        <v>40</v>
      </c>
      <c r="D1570">
        <v>5.27949</v>
      </c>
      <c r="E1570">
        <v>0.51669989999999999</v>
      </c>
      <c r="F1570" t="s">
        <v>47</v>
      </c>
      <c r="G1570">
        <v>-355.37880000000001</v>
      </c>
      <c r="H1570" s="1">
        <v>1.3255390000000001E-6</v>
      </c>
      <c r="I1570">
        <v>285.77960000000002</v>
      </c>
      <c r="J1570">
        <v>-311.53930000000003</v>
      </c>
      <c r="K1570">
        <v>1.1074649999999999</v>
      </c>
      <c r="L1570">
        <v>283.98869999999999</v>
      </c>
      <c r="M1570">
        <v>-0.99985919999999895</v>
      </c>
      <c r="N1570">
        <v>0</v>
      </c>
      <c r="O1570">
        <v>1.4858710000000001E-2</v>
      </c>
      <c r="P1570">
        <v>-0.99141590000000002</v>
      </c>
      <c r="Q1570">
        <v>0.13060749999999999</v>
      </c>
      <c r="R1570">
        <v>6.0437429999999999E-3</v>
      </c>
      <c r="S1570">
        <v>-3.0322269999999998</v>
      </c>
      <c r="T1570">
        <v>-7.5886490000000001E-2</v>
      </c>
      <c r="U1570">
        <v>0.1231384</v>
      </c>
      <c r="V1570">
        <v>-8.7434650000000006E-3</v>
      </c>
      <c r="W1570">
        <v>0.1383392</v>
      </c>
      <c r="X1570">
        <v>0.99034630000000001</v>
      </c>
      <c r="Y1570">
        <v>2.572166E-2</v>
      </c>
      <c r="Z1570" s="1">
        <v>-4.9944909999999997E-5</v>
      </c>
      <c r="AA1570">
        <v>0.99966909999999998</v>
      </c>
      <c r="AB1570">
        <v>55</v>
      </c>
      <c r="AC1570">
        <v>-43.839500000000001</v>
      </c>
      <c r="AD1570">
        <v>-1.107463674461</v>
      </c>
      <c r="AE1570">
        <v>1.7909000000000199</v>
      </c>
      <c r="AF1570">
        <v>1.1385586892642601</v>
      </c>
      <c r="AG1570">
        <v>-1.107463674461</v>
      </c>
      <c r="AH1570">
        <v>43.833345272094903</v>
      </c>
      <c r="AI1570">
        <v>91.446800760453002</v>
      </c>
      <c r="AJ1570">
        <v>88.512092969446797</v>
      </c>
      <c r="AK1570">
        <v>43.862112915611299</v>
      </c>
      <c r="AL1570">
        <v>82.048245613546598</v>
      </c>
      <c r="AM1570">
        <v>90.505833795125099</v>
      </c>
      <c r="AN1570">
        <v>0.99999998818026803</v>
      </c>
    </row>
    <row r="1571" spans="1:40" x14ac:dyDescent="0.25">
      <c r="A1571" t="str">
        <f>"20190312164504477"</f>
        <v>20190312164504477</v>
      </c>
      <c r="B1571" t="str">
        <f>"1552380304472893"</f>
        <v>1552380304472893</v>
      </c>
      <c r="C1571" t="s">
        <v>40</v>
      </c>
      <c r="D1571">
        <v>5.1488110000000002</v>
      </c>
      <c r="E1571">
        <v>0.50047459999999999</v>
      </c>
      <c r="F1571" t="s">
        <v>47</v>
      </c>
      <c r="G1571">
        <v>-371.64780000000002</v>
      </c>
      <c r="H1571" s="1">
        <v>-6.5989930000000003E-7</v>
      </c>
      <c r="I1571">
        <v>286.4579</v>
      </c>
      <c r="J1571">
        <v>-311.89510000000001</v>
      </c>
      <c r="K1571">
        <v>1.107478</v>
      </c>
      <c r="L1571">
        <v>283.99400000000003</v>
      </c>
      <c r="M1571">
        <v>-0.99986030000000004</v>
      </c>
      <c r="N1571">
        <v>0</v>
      </c>
      <c r="O1571">
        <v>1.4780150000000001E-2</v>
      </c>
      <c r="P1571">
        <v>-0.99098149999999996</v>
      </c>
      <c r="Q1571">
        <v>0.1338587</v>
      </c>
      <c r="R1571">
        <v>6.1463239999999999E-3</v>
      </c>
      <c r="S1571">
        <v>-3.032562</v>
      </c>
      <c r="T1571">
        <v>-5.5873270000000003E-2</v>
      </c>
      <c r="U1571">
        <v>0.1245728</v>
      </c>
      <c r="V1571">
        <v>-8.5586120000000002E-3</v>
      </c>
      <c r="W1571">
        <v>0.1416017</v>
      </c>
      <c r="X1571">
        <v>0.98988670000000001</v>
      </c>
      <c r="Y1571">
        <v>2.6269190000000001E-2</v>
      </c>
      <c r="Z1571" s="1">
        <v>-3.0283259999999999E-5</v>
      </c>
      <c r="AA1571">
        <v>0.99965490000000001</v>
      </c>
      <c r="AB1571">
        <v>55</v>
      </c>
      <c r="AC1571">
        <v>-59.752699999999997</v>
      </c>
      <c r="AD1571">
        <v>-1.1074786598993001</v>
      </c>
      <c r="AE1571">
        <v>2.4638999999999598</v>
      </c>
      <c r="AF1571">
        <v>1.57990825817903</v>
      </c>
      <c r="AG1571">
        <v>-1.1074786598993001</v>
      </c>
      <c r="AH1571">
        <v>59.762095794164097</v>
      </c>
      <c r="AI1571">
        <v>91.061281996954804</v>
      </c>
      <c r="AJ1571">
        <v>88.485645552346696</v>
      </c>
      <c r="AK1571">
        <v>59.793233001713901</v>
      </c>
      <c r="AL1571">
        <v>81.859459545450804</v>
      </c>
      <c r="AM1571">
        <v>90.495369952444406</v>
      </c>
      <c r="AN1571">
        <v>0.99999998505957299</v>
      </c>
    </row>
    <row r="1572" spans="1:40" x14ac:dyDescent="0.25">
      <c r="A1572" t="str">
        <f>"20190312164504497"</f>
        <v>20190312164504497</v>
      </c>
      <c r="B1572" t="str">
        <f>"1552380304493389"</f>
        <v>1552380304493389</v>
      </c>
      <c r="C1572" t="s">
        <v>40</v>
      </c>
      <c r="D1572">
        <v>5.2948440000000003</v>
      </c>
      <c r="E1572">
        <v>0.48407240000000001</v>
      </c>
      <c r="F1572" t="s">
        <v>47</v>
      </c>
      <c r="G1572">
        <v>-343.89330000000001</v>
      </c>
      <c r="H1572" s="1">
        <v>5.3505049999999998E-7</v>
      </c>
      <c r="I1572">
        <v>283.90730000000002</v>
      </c>
      <c r="J1572">
        <v>-312.36079999999998</v>
      </c>
      <c r="K1572">
        <v>1.1074949999999999</v>
      </c>
      <c r="L1572">
        <v>284.0009</v>
      </c>
      <c r="M1572">
        <v>-0.99986169999999996</v>
      </c>
      <c r="N1572">
        <v>0</v>
      </c>
      <c r="O1572">
        <v>1.467713E-2</v>
      </c>
      <c r="P1572">
        <v>-0.99030700000000005</v>
      </c>
      <c r="Q1572">
        <v>0.1387428</v>
      </c>
      <c r="R1572">
        <v>6.5196380000000003E-3</v>
      </c>
      <c r="S1572">
        <v>-3.0415649999999999</v>
      </c>
      <c r="T1572">
        <v>-0.10527010000000001</v>
      </c>
      <c r="U1572">
        <v>-8.2397459999999992E-3</v>
      </c>
      <c r="V1572">
        <v>-8.0755840000000002E-3</v>
      </c>
      <c r="W1572">
        <v>0.14649960000000001</v>
      </c>
      <c r="X1572">
        <v>0.9891778</v>
      </c>
      <c r="Y1572">
        <v>-1.736708E-2</v>
      </c>
      <c r="Z1572">
        <v>-8.0828580000000001E-4</v>
      </c>
      <c r="AA1572">
        <v>0.99984879999999998</v>
      </c>
      <c r="AB1572">
        <v>55</v>
      </c>
      <c r="AC1572">
        <v>-31.532499999999999</v>
      </c>
      <c r="AD1572">
        <v>-1.1074944649495</v>
      </c>
      <c r="AE1572">
        <v>-9.3599999999980796E-2</v>
      </c>
      <c r="AF1572">
        <v>-0.55572514909126103</v>
      </c>
      <c r="AG1572">
        <v>-1.1074944649495</v>
      </c>
      <c r="AH1572">
        <v>31.4888858234882</v>
      </c>
      <c r="AI1572">
        <v>92.0140041352862</v>
      </c>
      <c r="AJ1572">
        <v>91.011067863169998</v>
      </c>
      <c r="AK1572">
        <v>31.513256017680899</v>
      </c>
      <c r="AL1572">
        <v>81.5758729296317</v>
      </c>
      <c r="AM1572">
        <v>90.467748670820995</v>
      </c>
      <c r="AN1572">
        <v>1.0000000339349699</v>
      </c>
    </row>
    <row r="1573" spans="1:40" x14ac:dyDescent="0.25">
      <c r="A1573" t="str">
        <f>"20190312164504509"</f>
        <v>20190312164504509</v>
      </c>
      <c r="B1573" t="str">
        <f>"1552380304503149"</f>
        <v>1552380304503149</v>
      </c>
      <c r="C1573" t="s">
        <v>40</v>
      </c>
      <c r="D1573">
        <v>5.2158850000000001</v>
      </c>
      <c r="E1573">
        <v>0.4839734</v>
      </c>
      <c r="F1573" t="s">
        <v>47</v>
      </c>
      <c r="G1573">
        <v>-343.35759999999999</v>
      </c>
      <c r="H1573" s="1">
        <v>2.4993940000000002E-7</v>
      </c>
      <c r="I1573">
        <v>282.58359999999999</v>
      </c>
      <c r="J1573">
        <v>-312.67849999999999</v>
      </c>
      <c r="K1573">
        <v>1.1074980000000001</v>
      </c>
      <c r="L1573">
        <v>284.00560000000002</v>
      </c>
      <c r="M1573">
        <v>-0.99986260000000005</v>
      </c>
      <c r="N1573">
        <v>0</v>
      </c>
      <c r="O1573">
        <v>1.4606620000000001E-2</v>
      </c>
      <c r="P1573">
        <v>-0.9899886</v>
      </c>
      <c r="Q1573">
        <v>0.14099879999999901</v>
      </c>
      <c r="R1573">
        <v>6.5012029999999997E-3</v>
      </c>
      <c r="S1573">
        <v>-3.0455019999999999</v>
      </c>
      <c r="T1573">
        <v>-0.1088138</v>
      </c>
      <c r="U1573">
        <v>-0.13925170000000001</v>
      </c>
      <c r="V1573">
        <v>-8.020012E-3</v>
      </c>
      <c r="W1573">
        <v>0.1487676</v>
      </c>
      <c r="X1573">
        <v>0.98883969999999999</v>
      </c>
      <c r="Y1573">
        <v>-6.0215310000000001E-2</v>
      </c>
      <c r="Z1573">
        <v>-1.5963139999999999E-3</v>
      </c>
      <c r="AA1573">
        <v>0.99818410000000002</v>
      </c>
      <c r="AB1573">
        <v>56</v>
      </c>
      <c r="AC1573">
        <v>-30.679099999999998</v>
      </c>
      <c r="AD1573">
        <v>-1.10749775006059</v>
      </c>
      <c r="AE1573">
        <v>-1.4220000000000199</v>
      </c>
      <c r="AF1573">
        <v>-1.8675514917646501</v>
      </c>
      <c r="AG1573">
        <v>-1.10749775006059</v>
      </c>
      <c r="AH1573">
        <v>30.615244345716899</v>
      </c>
      <c r="AI1573">
        <v>92.067914599164396</v>
      </c>
      <c r="AJ1573">
        <v>93.490757434469003</v>
      </c>
      <c r="AK1573">
        <v>30.692140462807899</v>
      </c>
      <c r="AL1573">
        <v>81.444486374375302</v>
      </c>
      <c r="AM1573">
        <v>90.464688830712802</v>
      </c>
      <c r="AN1573">
        <v>1.0000000358491601</v>
      </c>
    </row>
    <row r="1574" spans="1:40" x14ac:dyDescent="0.25">
      <c r="A1574" t="str">
        <f>"20190312164504522"</f>
        <v>20190312164504522</v>
      </c>
      <c r="B1574" t="str">
        <f>"1552380304512908"</f>
        <v>1552380304512908</v>
      </c>
      <c r="C1574" t="s">
        <v>40</v>
      </c>
      <c r="D1574">
        <v>5.3365429999999998</v>
      </c>
      <c r="E1574">
        <v>0.48437019999999997</v>
      </c>
      <c r="F1574" t="s">
        <v>47</v>
      </c>
      <c r="G1574">
        <v>-347.69589999999999</v>
      </c>
      <c r="H1574" s="1">
        <v>2.5585780000000002E-6</v>
      </c>
      <c r="I1574">
        <v>282.3929</v>
      </c>
      <c r="J1574">
        <v>-313.02760000000001</v>
      </c>
      <c r="K1574">
        <v>1.107505</v>
      </c>
      <c r="L1574">
        <v>284.01060000000001</v>
      </c>
      <c r="M1574">
        <v>-0.99986359999999996</v>
      </c>
      <c r="N1574">
        <v>0</v>
      </c>
      <c r="O1574">
        <v>1.4529419999999999E-2</v>
      </c>
      <c r="P1574">
        <v>-0.98969269999999998</v>
      </c>
      <c r="Q1574">
        <v>0.1430507</v>
      </c>
      <c r="R1574">
        <v>6.7027440000000001E-3</v>
      </c>
      <c r="S1574">
        <v>-3.0449830000000002</v>
      </c>
      <c r="T1574">
        <v>-9.6303700000000006E-2</v>
      </c>
      <c r="U1574">
        <v>-0.1402283</v>
      </c>
      <c r="V1574">
        <v>-7.7384239999999998E-3</v>
      </c>
      <c r="W1574">
        <v>0.150834</v>
      </c>
      <c r="X1574">
        <v>0.98852879999999999</v>
      </c>
      <c r="Y1574">
        <v>-6.0475670000000002E-2</v>
      </c>
      <c r="Z1574">
        <v>-1.414792E-3</v>
      </c>
      <c r="AA1574">
        <v>0.99816859999999996</v>
      </c>
      <c r="AB1574">
        <v>56</v>
      </c>
      <c r="AC1574">
        <v>-34.668299999999903</v>
      </c>
      <c r="AD1574">
        <v>-1.1075024414219901</v>
      </c>
      <c r="AE1574">
        <v>-1.6177000000000099</v>
      </c>
      <c r="AF1574">
        <v>-2.1190971584975999</v>
      </c>
      <c r="AG1574">
        <v>-1.1075024414219901</v>
      </c>
      <c r="AH1574">
        <v>34.605895799323299</v>
      </c>
      <c r="AI1574">
        <v>91.829602962546602</v>
      </c>
      <c r="AJ1574">
        <v>93.504140046448498</v>
      </c>
      <c r="AK1574">
        <v>34.688400921612597</v>
      </c>
      <c r="AL1574">
        <v>81.324738696162299</v>
      </c>
      <c r="AM1574">
        <v>90.448514983782701</v>
      </c>
      <c r="AN1574">
        <v>0.99999998359572095</v>
      </c>
    </row>
    <row r="1575" spans="1:40" x14ac:dyDescent="0.25">
      <c r="A1575" t="str">
        <f>"20190312164504542"</f>
        <v>20190312164504542</v>
      </c>
      <c r="B1575" t="str">
        <f>"1552380304533404"</f>
        <v>1552380304533404</v>
      </c>
      <c r="C1575" t="s">
        <v>40</v>
      </c>
      <c r="D1575">
        <v>5.3292909999999996</v>
      </c>
      <c r="E1575">
        <v>0.48465999999999998</v>
      </c>
      <c r="F1575" t="s">
        <v>47</v>
      </c>
      <c r="G1575">
        <v>-352.15469999999999</v>
      </c>
      <c r="H1575" s="1">
        <v>-3.9017330000000001E-7</v>
      </c>
      <c r="I1575">
        <v>282.25909999999999</v>
      </c>
      <c r="J1575">
        <v>-313.4948</v>
      </c>
      <c r="K1575">
        <v>1.1075200000000001</v>
      </c>
      <c r="L1575">
        <v>284.01740000000001</v>
      </c>
      <c r="M1575">
        <v>-0.99986489999999995</v>
      </c>
      <c r="N1575">
        <v>0</v>
      </c>
      <c r="O1575">
        <v>1.44262E-2</v>
      </c>
      <c r="P1575">
        <v>-0.9891219</v>
      </c>
      <c r="Q1575">
        <v>0.1469374</v>
      </c>
      <c r="R1575">
        <v>6.8950729999999998E-3</v>
      </c>
      <c r="S1575">
        <v>-3.0446469999999999</v>
      </c>
      <c r="T1575">
        <v>-8.6179850000000002E-2</v>
      </c>
      <c r="U1575">
        <v>-0.13629150000000001</v>
      </c>
      <c r="V1575">
        <v>-7.4373869999999898E-3</v>
      </c>
      <c r="W1575">
        <v>0.15473870000000001</v>
      </c>
      <c r="X1575">
        <v>0.98792740000000001</v>
      </c>
      <c r="Y1575">
        <v>-5.9097690000000001E-2</v>
      </c>
      <c r="Z1575">
        <v>-1.243893E-3</v>
      </c>
      <c r="AA1575">
        <v>0.99825140000000001</v>
      </c>
      <c r="AB1575">
        <v>56</v>
      </c>
      <c r="AC1575">
        <v>-38.659899999999901</v>
      </c>
      <c r="AD1575">
        <v>-1.1075203901733</v>
      </c>
      <c r="AE1575">
        <v>-1.75830000000001</v>
      </c>
      <c r="AF1575">
        <v>-2.3139546407026801</v>
      </c>
      <c r="AG1575">
        <v>-1.1075203901733</v>
      </c>
      <c r="AH1575">
        <v>38.598897762347796</v>
      </c>
      <c r="AI1575">
        <v>91.640596383160499</v>
      </c>
      <c r="AJ1575">
        <v>93.430702952234697</v>
      </c>
      <c r="AK1575">
        <v>38.684052217445597</v>
      </c>
      <c r="AL1575">
        <v>81.098357646035694</v>
      </c>
      <c r="AM1575">
        <v>90.431330111576898</v>
      </c>
      <c r="AN1575">
        <v>0.99999996383691803</v>
      </c>
    </row>
    <row r="1576" spans="1:40" x14ac:dyDescent="0.25">
      <c r="A1576" t="str">
        <f>"20190312164504563"</f>
        <v>20190312164504563</v>
      </c>
      <c r="B1576" t="str">
        <f>"1552380304552924"</f>
        <v>1552380304552924</v>
      </c>
      <c r="C1576" t="s">
        <v>40</v>
      </c>
      <c r="D1576">
        <v>5.2491589999999997</v>
      </c>
      <c r="E1576">
        <v>0.48500840000000001</v>
      </c>
      <c r="F1576" t="s">
        <v>47</v>
      </c>
      <c r="G1576">
        <v>-354.9948</v>
      </c>
      <c r="H1576" s="1">
        <v>1.1211759999999999E-6</v>
      </c>
      <c r="I1576">
        <v>282.19130000000001</v>
      </c>
      <c r="J1576">
        <v>-314.03019999999998</v>
      </c>
      <c r="K1576">
        <v>1.107529</v>
      </c>
      <c r="L1576">
        <v>284.02510000000001</v>
      </c>
      <c r="M1576">
        <v>-0.99986640000000004</v>
      </c>
      <c r="N1576">
        <v>0</v>
      </c>
      <c r="O1576">
        <v>1.43076E-2</v>
      </c>
      <c r="P1576">
        <v>-0.98878029999999995</v>
      </c>
      <c r="Q1576">
        <v>0.14921599999999999</v>
      </c>
      <c r="R1576">
        <v>6.9511470000000004E-3</v>
      </c>
      <c r="S1576">
        <v>-3.0459900000000002</v>
      </c>
      <c r="T1576">
        <v>-8.1289050000000002E-2</v>
      </c>
      <c r="U1576">
        <v>-0.13403319999999999</v>
      </c>
      <c r="V1576">
        <v>-7.2608859999999898E-3</v>
      </c>
      <c r="W1576">
        <v>0.1570405</v>
      </c>
      <c r="X1576">
        <v>0.98756549999999999</v>
      </c>
      <c r="Y1576">
        <v>-5.8224560000000002E-2</v>
      </c>
      <c r="Z1576">
        <v>-1.158023E-3</v>
      </c>
      <c r="AA1576">
        <v>0.99830280000000005</v>
      </c>
      <c r="AB1576">
        <v>56</v>
      </c>
      <c r="AC1576">
        <v>-40.964599999999997</v>
      </c>
      <c r="AD1576">
        <v>-1.1075278788239999</v>
      </c>
      <c r="AE1576">
        <v>-1.8337999999999901</v>
      </c>
      <c r="AF1576">
        <v>-2.4179718037026201</v>
      </c>
      <c r="AG1576">
        <v>-1.1075278788239999</v>
      </c>
      <c r="AH1576">
        <v>40.904329034701</v>
      </c>
      <c r="AI1576">
        <v>91.548263369694297</v>
      </c>
      <c r="AJ1576">
        <v>93.382980540459002</v>
      </c>
      <c r="AK1576">
        <v>40.990698206116903</v>
      </c>
      <c r="AL1576">
        <v>80.964842468915705</v>
      </c>
      <c r="AM1576">
        <v>90.421248643675995</v>
      </c>
      <c r="AN1576">
        <v>1.0000000279479999</v>
      </c>
    </row>
    <row r="1577" spans="1:40" x14ac:dyDescent="0.25">
      <c r="A1577" t="str">
        <f>"20190312164504575"</f>
        <v>20190312164504575</v>
      </c>
      <c r="B1577" t="str">
        <f>"1552380304563662"</f>
        <v>1552380304563662</v>
      </c>
      <c r="C1577" t="s">
        <v>40</v>
      </c>
      <c r="D1577">
        <v>5.1987709999999998</v>
      </c>
      <c r="E1577">
        <v>0.48512949999999999</v>
      </c>
      <c r="F1577" t="s">
        <v>47</v>
      </c>
      <c r="G1577">
        <v>-358.06990000000002</v>
      </c>
      <c r="H1577" s="1">
        <v>2.7576329999999999E-6</v>
      </c>
      <c r="I1577">
        <v>282.12329999999997</v>
      </c>
      <c r="J1577">
        <v>-314.3125</v>
      </c>
      <c r="K1577">
        <v>1.1075330000000001</v>
      </c>
      <c r="L1577">
        <v>284.0292</v>
      </c>
      <c r="M1577">
        <v>-0.99986710000000001</v>
      </c>
      <c r="N1577">
        <v>0</v>
      </c>
      <c r="O1577">
        <v>1.4245310000000001E-2</v>
      </c>
      <c r="P1577">
        <v>-0.98865360000000002</v>
      </c>
      <c r="Q1577">
        <v>0.1500418</v>
      </c>
      <c r="R1577">
        <v>7.20814E-3</v>
      </c>
      <c r="S1577">
        <v>-3.0465390000000001</v>
      </c>
      <c r="T1577">
        <v>-7.6615450000000002E-2</v>
      </c>
      <c r="U1577">
        <v>-0.13156129999999999</v>
      </c>
      <c r="V1577">
        <v>-6.9406729999999996E-3</v>
      </c>
      <c r="W1577">
        <v>0.15787870000000001</v>
      </c>
      <c r="X1577">
        <v>0.98743409999999998</v>
      </c>
      <c r="Y1577">
        <v>-5.7349160000000003E-2</v>
      </c>
      <c r="Z1577">
        <v>-1.0787209999999999E-3</v>
      </c>
      <c r="AA1577">
        <v>0.99835359999999995</v>
      </c>
      <c r="AB1577">
        <v>56</v>
      </c>
      <c r="AC1577">
        <v>-43.757399999999997</v>
      </c>
      <c r="AD1577">
        <v>-1.1075302423669999</v>
      </c>
      <c r="AE1577">
        <v>-1.9059000000000299</v>
      </c>
      <c r="AF1577">
        <v>-2.5274478188704301</v>
      </c>
      <c r="AG1577">
        <v>-1.1075302423669999</v>
      </c>
      <c r="AH1577">
        <v>43.697867471866701</v>
      </c>
      <c r="AI1577">
        <v>91.449439525473693</v>
      </c>
      <c r="AJ1577">
        <v>93.310251539449197</v>
      </c>
      <c r="AK1577">
        <v>43.784908784919303</v>
      </c>
      <c r="AL1577">
        <v>80.916210038031195</v>
      </c>
      <c r="AM1577">
        <v>90.402725327036904</v>
      </c>
      <c r="AN1577">
        <v>0.99999997934909601</v>
      </c>
    </row>
    <row r="1578" spans="1:40" x14ac:dyDescent="0.25">
      <c r="A1578" t="str">
        <f>"20190312164504587"</f>
        <v>20190312164504587</v>
      </c>
      <c r="B1578" t="str">
        <f>"1552380304583181"</f>
        <v>1552380304583181</v>
      </c>
      <c r="C1578" t="s">
        <v>40</v>
      </c>
      <c r="D1578">
        <v>5.0931379999999997</v>
      </c>
      <c r="E1578">
        <v>0.4855237</v>
      </c>
      <c r="F1578" t="s">
        <v>47</v>
      </c>
      <c r="G1578">
        <v>-358.97629999999998</v>
      </c>
      <c r="H1578" s="1">
        <v>3.2399819999999998E-6</v>
      </c>
      <c r="I1578">
        <v>282.12430000000001</v>
      </c>
      <c r="J1578">
        <v>-314.63130000000001</v>
      </c>
      <c r="K1578">
        <v>1.107537</v>
      </c>
      <c r="L1578">
        <v>284.03370000000001</v>
      </c>
      <c r="M1578">
        <v>-0.99986810000000004</v>
      </c>
      <c r="N1578">
        <v>0</v>
      </c>
      <c r="O1578">
        <v>1.4174610000000001E-2</v>
      </c>
      <c r="P1578">
        <v>-0.98854520000000001</v>
      </c>
      <c r="Q1578">
        <v>0.150754</v>
      </c>
      <c r="R1578">
        <v>7.1944269999999998E-3</v>
      </c>
      <c r="S1578">
        <v>-3.0468440000000001</v>
      </c>
      <c r="T1578">
        <v>-7.5552579999999994E-2</v>
      </c>
      <c r="U1578">
        <v>-0.1299438</v>
      </c>
      <c r="V1578">
        <v>-6.8833599999999998E-3</v>
      </c>
      <c r="W1578">
        <v>0.1586042</v>
      </c>
      <c r="X1578">
        <v>0.98731829999999998</v>
      </c>
      <c r="Y1578">
        <v>-5.6746070000000003E-2</v>
      </c>
      <c r="Z1578">
        <v>-1.0544409999999999E-3</v>
      </c>
      <c r="AA1578">
        <v>0.9983881</v>
      </c>
      <c r="AB1578">
        <v>56</v>
      </c>
      <c r="AC1578">
        <v>-44.344999999999899</v>
      </c>
      <c r="AD1578">
        <v>-1.107533760018</v>
      </c>
      <c r="AE1578">
        <v>-1.9094</v>
      </c>
      <c r="AF1578">
        <v>-2.5362219067149301</v>
      </c>
      <c r="AG1578">
        <v>-1.107533760018</v>
      </c>
      <c r="AH1578">
        <v>44.285905647283698</v>
      </c>
      <c r="AI1578">
        <v>91.430252866354095</v>
      </c>
      <c r="AJ1578">
        <v>93.277707761294593</v>
      </c>
      <c r="AK1578">
        <v>44.372294188939499</v>
      </c>
      <c r="AL1578">
        <v>80.874112168663203</v>
      </c>
      <c r="AM1578">
        <v>90.399446751101394</v>
      </c>
      <c r="AN1578">
        <v>1.0000000492087</v>
      </c>
    </row>
    <row r="1579" spans="1:40" x14ac:dyDescent="0.25">
      <c r="A1579" t="str">
        <f>"20190312164504598"</f>
        <v>20190312164504598</v>
      </c>
      <c r="B1579" t="str">
        <f>"1552380304592941"</f>
        <v>1552380304592941</v>
      </c>
      <c r="C1579" t="s">
        <v>40</v>
      </c>
      <c r="D1579">
        <v>5.0549249999999999</v>
      </c>
      <c r="E1579">
        <v>0.4855275</v>
      </c>
      <c r="F1579" t="s">
        <v>47</v>
      </c>
      <c r="G1579">
        <v>-356.96640000000002</v>
      </c>
      <c r="H1579" s="1">
        <v>2.1703880000000001E-6</v>
      </c>
      <c r="I1579">
        <v>282.26519999999999</v>
      </c>
      <c r="J1579">
        <v>-314.90910000000002</v>
      </c>
      <c r="K1579">
        <v>1.107537</v>
      </c>
      <c r="L1579">
        <v>284.0376</v>
      </c>
      <c r="M1579">
        <v>-0.99986870000000005</v>
      </c>
      <c r="N1579">
        <v>0</v>
      </c>
      <c r="O1579">
        <v>1.411256E-2</v>
      </c>
      <c r="P1579">
        <v>-0.98852269999999998</v>
      </c>
      <c r="Q1579">
        <v>0.1509096</v>
      </c>
      <c r="R1579">
        <v>7.0336390000000004E-3</v>
      </c>
      <c r="S1579">
        <v>-3.0478519999999998</v>
      </c>
      <c r="T1579">
        <v>-7.9735159999999999E-2</v>
      </c>
      <c r="U1579">
        <v>-0.1273193</v>
      </c>
      <c r="V1579">
        <v>-6.9825069999999998E-3</v>
      </c>
      <c r="W1579">
        <v>0.15877179999999999</v>
      </c>
      <c r="X1579">
        <v>0.98729060000000002</v>
      </c>
      <c r="Y1579">
        <v>-5.5809749999999998E-2</v>
      </c>
      <c r="Z1579">
        <v>-1.0985859999999999E-3</v>
      </c>
      <c r="AA1579">
        <v>0.99844080000000002</v>
      </c>
      <c r="AB1579">
        <v>56</v>
      </c>
      <c r="AC1579">
        <v>-42.057299999999998</v>
      </c>
      <c r="AD1579">
        <v>-1.107534829612</v>
      </c>
      <c r="AE1579">
        <v>-1.7724</v>
      </c>
      <c r="AF1579">
        <v>-2.3641419004153801</v>
      </c>
      <c r="AG1579">
        <v>-1.107534829612</v>
      </c>
      <c r="AH1579">
        <v>41.999023755077403</v>
      </c>
      <c r="AI1579">
        <v>91.508181262540901</v>
      </c>
      <c r="AJ1579">
        <v>93.221802413140594</v>
      </c>
      <c r="AK1579">
        <v>42.080087888497303</v>
      </c>
      <c r="AL1579">
        <v>80.864385558567903</v>
      </c>
      <c r="AM1579">
        <v>90.4052115065397</v>
      </c>
      <c r="AN1579">
        <v>0.999999984363802</v>
      </c>
    </row>
    <row r="1580" spans="1:40" x14ac:dyDescent="0.25">
      <c r="A1580" t="str">
        <f>"20190312164504610"</f>
        <v>20190312164504610</v>
      </c>
      <c r="B1580" t="str">
        <f>"1552380304603677"</f>
        <v>1552380304603677</v>
      </c>
      <c r="C1580" t="s">
        <v>40</v>
      </c>
      <c r="D1580">
        <v>5.1985429999999999</v>
      </c>
      <c r="E1580">
        <v>0.48559390000000002</v>
      </c>
      <c r="F1580" t="s">
        <v>47</v>
      </c>
      <c r="G1580">
        <v>-355.2371</v>
      </c>
      <c r="H1580" s="1">
        <v>1.250119E-6</v>
      </c>
      <c r="I1580">
        <v>282.33999999999997</v>
      </c>
      <c r="J1580">
        <v>-315.21390000000002</v>
      </c>
      <c r="K1580">
        <v>1.107537</v>
      </c>
      <c r="L1580">
        <v>284.04199999999997</v>
      </c>
      <c r="M1580">
        <v>-0.99986960000000003</v>
      </c>
      <c r="N1580">
        <v>0</v>
      </c>
      <c r="O1580">
        <v>1.4044549999999999E-2</v>
      </c>
      <c r="P1580">
        <v>-0.98854219999999904</v>
      </c>
      <c r="Q1580">
        <v>0.15078610000000001</v>
      </c>
      <c r="R1580">
        <v>6.9349240000000003E-3</v>
      </c>
      <c r="S1580">
        <v>-3.048492</v>
      </c>
      <c r="T1580">
        <v>-8.3721399999999904E-2</v>
      </c>
      <c r="U1580">
        <v>-0.12832639999999901</v>
      </c>
      <c r="V1580">
        <v>-7.0141730000000003E-3</v>
      </c>
      <c r="W1580">
        <v>0.1586621</v>
      </c>
      <c r="X1580">
        <v>0.98730799999999996</v>
      </c>
      <c r="Y1580">
        <v>-5.605984E-2</v>
      </c>
      <c r="Z1580">
        <v>-1.154803E-3</v>
      </c>
      <c r="AA1580">
        <v>0.9984267</v>
      </c>
      <c r="AB1580">
        <v>56</v>
      </c>
      <c r="AC1580">
        <v>-40.023199999999903</v>
      </c>
      <c r="AD1580">
        <v>-1.1075357498809999</v>
      </c>
      <c r="AE1580">
        <v>-1.7020000000000499</v>
      </c>
      <c r="AF1580">
        <v>-2.26222861864747</v>
      </c>
      <c r="AG1580">
        <v>-1.1075357498809999</v>
      </c>
      <c r="AH1580">
        <v>39.964799549248703</v>
      </c>
      <c r="AI1580">
        <v>91.5848833096954</v>
      </c>
      <c r="AJ1580">
        <v>93.2398005510085</v>
      </c>
      <c r="AK1580">
        <v>40.044094655416004</v>
      </c>
      <c r="AL1580">
        <v>80.870751502940905</v>
      </c>
      <c r="AM1580">
        <v>90.407041924761899</v>
      </c>
      <c r="AN1580">
        <v>0.99999997373164096</v>
      </c>
    </row>
    <row r="1581" spans="1:40" x14ac:dyDescent="0.25">
      <c r="A1581" t="str">
        <f>"20190312164504622"</f>
        <v>20190312164504622</v>
      </c>
      <c r="B1581" t="str">
        <f>"1552380304613437"</f>
        <v>1552380304613437</v>
      </c>
      <c r="C1581" t="s">
        <v>40</v>
      </c>
      <c r="D1581">
        <v>5.0485610000000003</v>
      </c>
      <c r="E1581">
        <v>0.48559659999999899</v>
      </c>
      <c r="F1581" t="s">
        <v>47</v>
      </c>
      <c r="G1581">
        <v>-355.21350000000001</v>
      </c>
      <c r="H1581" s="1">
        <v>1.2375860000000001E-6</v>
      </c>
      <c r="I1581">
        <v>282.36059999999998</v>
      </c>
      <c r="J1581">
        <v>-315.51069999999999</v>
      </c>
      <c r="K1581">
        <v>1.1075330000000001</v>
      </c>
      <c r="L1581">
        <v>284.04610000000002</v>
      </c>
      <c r="M1581">
        <v>-0.9998705</v>
      </c>
      <c r="N1581">
        <v>0</v>
      </c>
      <c r="O1581">
        <v>1.3978569999999999E-2</v>
      </c>
      <c r="P1581">
        <v>-0.9886334</v>
      </c>
      <c r="Q1581">
        <v>0.15018519999999999</v>
      </c>
      <c r="R1581">
        <v>6.9652069999999898E-3</v>
      </c>
      <c r="S1581">
        <v>-3.0485530000000001</v>
      </c>
      <c r="T1581">
        <v>-8.4410310000000002E-2</v>
      </c>
      <c r="U1581">
        <v>-0.12814329999999999</v>
      </c>
      <c r="V1581">
        <v>-6.9202059999999999E-3</v>
      </c>
      <c r="W1581">
        <v>0.15807449999999901</v>
      </c>
      <c r="X1581">
        <v>0.98740289999999997</v>
      </c>
      <c r="Y1581">
        <v>-5.5932879999999997E-2</v>
      </c>
      <c r="Z1581">
        <v>-1.160697E-3</v>
      </c>
      <c r="AA1581">
        <v>0.99843380000000004</v>
      </c>
      <c r="AB1581">
        <v>56</v>
      </c>
      <c r="AC1581">
        <v>-39.702800000000003</v>
      </c>
      <c r="AD1581">
        <v>-1.107531762414</v>
      </c>
      <c r="AE1581">
        <v>-1.68550000000004</v>
      </c>
      <c r="AF1581">
        <v>-2.2386024596185798</v>
      </c>
      <c r="AG1581">
        <v>-1.107531762414</v>
      </c>
      <c r="AH1581">
        <v>39.644564562401797</v>
      </c>
      <c r="AI1581">
        <v>91.597685570116695</v>
      </c>
      <c r="AJ1581">
        <v>93.231878388868495</v>
      </c>
      <c r="AK1581">
        <v>39.723160333984097</v>
      </c>
      <c r="AL1581">
        <v>80.904848699828094</v>
      </c>
      <c r="AM1581">
        <v>90.401550476998693</v>
      </c>
      <c r="AN1581">
        <v>0.99999996186486995</v>
      </c>
    </row>
    <row r="1582" spans="1:40" x14ac:dyDescent="0.25">
      <c r="A1582" t="str">
        <f>"20190312164504634"</f>
        <v>20190312164504634</v>
      </c>
      <c r="B1582" t="str">
        <f>"1552380304623197"</f>
        <v>1552380304623197</v>
      </c>
      <c r="C1582" t="s">
        <v>40</v>
      </c>
      <c r="D1582">
        <v>5.0400879999999999</v>
      </c>
      <c r="E1582">
        <v>0.48568280000000003</v>
      </c>
      <c r="F1582" t="s">
        <v>47</v>
      </c>
      <c r="G1582">
        <v>-354.68090000000001</v>
      </c>
      <c r="H1582" s="1">
        <v>9.5416670000000002E-7</v>
      </c>
      <c r="I1582">
        <v>282.39879999999999</v>
      </c>
      <c r="J1582">
        <v>-315.8175</v>
      </c>
      <c r="K1582">
        <v>1.1075299999999999</v>
      </c>
      <c r="L1582">
        <v>284.05040000000002</v>
      </c>
      <c r="M1582">
        <v>-0.99987139999999997</v>
      </c>
      <c r="N1582">
        <v>0</v>
      </c>
      <c r="O1582">
        <v>1.391002E-2</v>
      </c>
      <c r="P1582">
        <v>-0.98867890000000003</v>
      </c>
      <c r="Q1582">
        <v>0.1498833</v>
      </c>
      <c r="R1582">
        <v>7.0017319999999897E-3</v>
      </c>
      <c r="S1582">
        <v>-3.0484619999999998</v>
      </c>
      <c r="T1582">
        <v>-8.6194750000000001E-2</v>
      </c>
      <c r="U1582">
        <v>-0.12820429999999999</v>
      </c>
      <c r="V1582">
        <v>-6.816941E-3</v>
      </c>
      <c r="W1582">
        <v>0.15778629999999999</v>
      </c>
      <c r="X1582">
        <v>0.98744980000000004</v>
      </c>
      <c r="Y1582">
        <v>-5.5884549999999998E-2</v>
      </c>
      <c r="Z1582">
        <v>-1.18264E-3</v>
      </c>
      <c r="AA1582">
        <v>0.99843649999999995</v>
      </c>
      <c r="AB1582">
        <v>56</v>
      </c>
      <c r="AC1582">
        <v>-38.863399999999999</v>
      </c>
      <c r="AD1582">
        <v>-1.10752904583329</v>
      </c>
      <c r="AE1582">
        <v>-1.6516000000000299</v>
      </c>
      <c r="AF1582">
        <v>-2.1902724957109201</v>
      </c>
      <c r="AG1582">
        <v>-1.10752904583329</v>
      </c>
      <c r="AH1582">
        <v>38.8052069609016</v>
      </c>
      <c r="AI1582">
        <v>91.632223261398394</v>
      </c>
      <c r="AJ1582">
        <v>93.230503559879594</v>
      </c>
      <c r="AK1582">
        <v>38.882746835469803</v>
      </c>
      <c r="AL1582">
        <v>80.921571990051703</v>
      </c>
      <c r="AM1582">
        <v>90.395539847892607</v>
      </c>
      <c r="AN1582">
        <v>1.0000000473361601</v>
      </c>
    </row>
    <row r="1583" spans="1:40" x14ac:dyDescent="0.25">
      <c r="A1583" t="str">
        <f>"20190312164504646"</f>
        <v>20190312164504646</v>
      </c>
      <c r="B1583" t="str">
        <f>"1552380304643694"</f>
        <v>1552380304643694</v>
      </c>
      <c r="C1583" t="s">
        <v>40</v>
      </c>
      <c r="D1583">
        <v>5.288049</v>
      </c>
      <c r="E1583">
        <v>0.48587799999999998</v>
      </c>
      <c r="F1583" t="s">
        <v>47</v>
      </c>
      <c r="G1583">
        <v>-354.17129999999997</v>
      </c>
      <c r="H1583" s="1">
        <v>6.8295119999999997E-7</v>
      </c>
      <c r="I1583">
        <v>282.44589999999999</v>
      </c>
      <c r="J1583">
        <v>-316.11970000000002</v>
      </c>
      <c r="K1583">
        <v>1.107521</v>
      </c>
      <c r="L1583">
        <v>284.05459999999999</v>
      </c>
      <c r="M1583">
        <v>-0.99987210000000004</v>
      </c>
      <c r="N1583">
        <v>0</v>
      </c>
      <c r="O1583">
        <v>1.3842490000000001E-2</v>
      </c>
      <c r="P1583">
        <v>-0.98883089999999996</v>
      </c>
      <c r="Q1583">
        <v>0.14888599999999999</v>
      </c>
      <c r="R1583">
        <v>6.8210859999999996E-3</v>
      </c>
      <c r="S1583">
        <v>-3.048584</v>
      </c>
      <c r="T1583">
        <v>-8.803308E-2</v>
      </c>
      <c r="U1583">
        <v>-0.12753299999999901</v>
      </c>
      <c r="V1583">
        <v>-6.9319859999999898E-3</v>
      </c>
      <c r="W1583">
        <v>0.15680450000000001</v>
      </c>
      <c r="X1583">
        <v>0.98760530000000002</v>
      </c>
      <c r="Y1583">
        <v>-5.5594890000000001E-2</v>
      </c>
      <c r="Z1583">
        <v>-1.201681E-3</v>
      </c>
      <c r="AA1583">
        <v>0.99845269999999997</v>
      </c>
      <c r="AB1583">
        <v>56</v>
      </c>
      <c r="AC1583">
        <v>-38.051599999999901</v>
      </c>
      <c r="AD1583">
        <v>-1.1075203170487999</v>
      </c>
      <c r="AE1583">
        <v>-1.60869999999999</v>
      </c>
      <c r="AF1583">
        <v>-2.13348750287693</v>
      </c>
      <c r="AG1583">
        <v>-1.1075203170487999</v>
      </c>
      <c r="AH1583">
        <v>37.993556231012199</v>
      </c>
      <c r="AI1583">
        <v>91.667086609682897</v>
      </c>
      <c r="AJ1583">
        <v>93.214007831887898</v>
      </c>
      <c r="AK1583">
        <v>38.069524363415603</v>
      </c>
      <c r="AL1583">
        <v>80.978533334281593</v>
      </c>
      <c r="AM1583">
        <v>90.402151567264994</v>
      </c>
      <c r="AN1583">
        <v>0.99999996611912101</v>
      </c>
    </row>
    <row r="1584" spans="1:40" x14ac:dyDescent="0.25">
      <c r="A1584" t="str">
        <f>"20190312164504663"</f>
        <v>20190312164504663</v>
      </c>
      <c r="B1584" t="str">
        <f>"1552380304653453"</f>
        <v>1552380304653453</v>
      </c>
      <c r="C1584" t="s">
        <v>40</v>
      </c>
      <c r="D1584">
        <v>5.0011839999999896</v>
      </c>
      <c r="E1584">
        <v>0.48591849999999998</v>
      </c>
      <c r="F1584" t="s">
        <v>47</v>
      </c>
      <c r="G1584">
        <v>-352.89449999999999</v>
      </c>
      <c r="H1584" s="1">
        <v>3.5436759999999999E-9</v>
      </c>
      <c r="I1584">
        <v>282.52510000000001</v>
      </c>
      <c r="J1584">
        <v>-316.53190000000001</v>
      </c>
      <c r="K1584">
        <v>1.107518</v>
      </c>
      <c r="L1584">
        <v>284.06029999999998</v>
      </c>
      <c r="M1584">
        <v>-0.99987309999999996</v>
      </c>
      <c r="N1584">
        <v>0</v>
      </c>
      <c r="O1584">
        <v>1.375065E-2</v>
      </c>
      <c r="P1584">
        <v>-0.98889919999999998</v>
      </c>
      <c r="Q1584">
        <v>0.14842830000000001</v>
      </c>
      <c r="R1584">
        <v>6.8903719999999996E-3</v>
      </c>
      <c r="S1584">
        <v>-3.048584</v>
      </c>
      <c r="T1584">
        <v>-9.1812009999999999E-2</v>
      </c>
      <c r="U1584">
        <v>-0.12680050000000001</v>
      </c>
      <c r="V1584">
        <v>-6.7732850000000004E-3</v>
      </c>
      <c r="W1584">
        <v>0.15636939999999999</v>
      </c>
      <c r="X1584">
        <v>0.98767539999999998</v>
      </c>
      <c r="Y1584">
        <v>-5.5261379999999999E-2</v>
      </c>
      <c r="Z1584">
        <v>-1.2454650000000001E-3</v>
      </c>
      <c r="AA1584">
        <v>0.99847109999999994</v>
      </c>
      <c r="AB1584">
        <v>56</v>
      </c>
      <c r="AC1584">
        <v>-36.362599999999901</v>
      </c>
      <c r="AD1584">
        <v>-1.10751799645632</v>
      </c>
      <c r="AE1584">
        <v>-1.5351999999999699</v>
      </c>
      <c r="AF1584">
        <v>-2.03319763558157</v>
      </c>
      <c r="AG1584">
        <v>-1.10751799645632</v>
      </c>
      <c r="AH1584">
        <v>36.304432736082397</v>
      </c>
      <c r="AI1584">
        <v>91.744614638819201</v>
      </c>
      <c r="AJ1584">
        <v>93.205450981157497</v>
      </c>
      <c r="AK1584">
        <v>36.378184740673099</v>
      </c>
      <c r="AL1584">
        <v>81.003774231422497</v>
      </c>
      <c r="AM1584">
        <v>90.392917106537794</v>
      </c>
      <c r="AN1584">
        <v>0.99999998120560496</v>
      </c>
    </row>
    <row r="1585" spans="1:40" x14ac:dyDescent="0.25">
      <c r="A1585" t="str">
        <f>"20190312164504675"</f>
        <v>20190312164504675</v>
      </c>
      <c r="B1585" t="str">
        <f>"1552380304663717"</f>
        <v>1552380304663717</v>
      </c>
      <c r="C1585" t="s">
        <v>40</v>
      </c>
      <c r="D1585">
        <v>5.2305989999999998</v>
      </c>
      <c r="E1585">
        <v>0.48596810000000001</v>
      </c>
      <c r="F1585" t="s">
        <v>47</v>
      </c>
      <c r="G1585">
        <v>-352.32310000000001</v>
      </c>
      <c r="H1585" s="1">
        <v>-3.005409E-7</v>
      </c>
      <c r="I1585">
        <v>282.57709999999997</v>
      </c>
      <c r="J1585">
        <v>-316.82479999999998</v>
      </c>
      <c r="K1585">
        <v>1.107515</v>
      </c>
      <c r="L1585">
        <v>284.0643</v>
      </c>
      <c r="M1585">
        <v>-0.99987400000000004</v>
      </c>
      <c r="N1585">
        <v>0</v>
      </c>
      <c r="O1585">
        <v>1.368513E-2</v>
      </c>
      <c r="P1585">
        <v>-0.98892500000000005</v>
      </c>
      <c r="Q1585">
        <v>0.14825729999999901</v>
      </c>
      <c r="R1585">
        <v>6.8808180000000004E-3</v>
      </c>
      <c r="S1585">
        <v>-3.0487060000000001</v>
      </c>
      <c r="T1585">
        <v>-9.4338660000000005E-2</v>
      </c>
      <c r="U1585">
        <v>-0.12634280000000001</v>
      </c>
      <c r="V1585">
        <v>-6.7188200000000003E-3</v>
      </c>
      <c r="W1585">
        <v>0.1562154</v>
      </c>
      <c r="X1585">
        <v>0.98770020000000003</v>
      </c>
      <c r="Y1585">
        <v>-5.5043019999999998E-2</v>
      </c>
      <c r="Z1585">
        <v>-1.2742739999999999E-3</v>
      </c>
      <c r="AA1585">
        <v>0.99848320000000002</v>
      </c>
      <c r="AB1585">
        <v>56</v>
      </c>
      <c r="AC1585">
        <v>-35.4983</v>
      </c>
      <c r="AD1585">
        <v>-1.1075153005409</v>
      </c>
      <c r="AE1585">
        <v>-1.4872000000000201</v>
      </c>
      <c r="AF1585">
        <v>-1.97096014762117</v>
      </c>
      <c r="AG1585">
        <v>-1.1075153005409</v>
      </c>
      <c r="AH1585">
        <v>35.440185855509</v>
      </c>
      <c r="AI1585">
        <v>91.787166119323999</v>
      </c>
      <c r="AJ1585">
        <v>93.183151746808605</v>
      </c>
      <c r="AK1585">
        <v>35.5122239168074</v>
      </c>
      <c r="AL1585">
        <v>81.012708092321702</v>
      </c>
      <c r="AM1585">
        <v>90.389747912990899</v>
      </c>
      <c r="AN1585">
        <v>1.00000003940969</v>
      </c>
    </row>
    <row r="1586" spans="1:40" x14ac:dyDescent="0.25">
      <c r="A1586" t="str">
        <f>"20190312164504697"</f>
        <v>20190312164504697</v>
      </c>
      <c r="B1586" t="str">
        <f>"1552380304692996"</f>
        <v>1552380304692996</v>
      </c>
      <c r="C1586" t="s">
        <v>40</v>
      </c>
      <c r="D1586">
        <v>5.011787</v>
      </c>
      <c r="E1586">
        <v>0.48611110000000002</v>
      </c>
      <c r="F1586" t="s">
        <v>47</v>
      </c>
      <c r="G1586">
        <v>-352.08409999999998</v>
      </c>
      <c r="H1586" s="1">
        <v>-4.2775489999999999E-7</v>
      </c>
      <c r="I1586">
        <v>282.60849999999999</v>
      </c>
      <c r="J1586">
        <v>-317.3895</v>
      </c>
      <c r="K1586">
        <v>1.1075170000000001</v>
      </c>
      <c r="L1586">
        <v>284.072</v>
      </c>
      <c r="M1586">
        <v>-0.99987539999999997</v>
      </c>
      <c r="N1586">
        <v>0</v>
      </c>
      <c r="O1586">
        <v>1.355837E-2</v>
      </c>
      <c r="P1586">
        <v>-0.98894950000000004</v>
      </c>
      <c r="Q1586">
        <v>0.14808850000000001</v>
      </c>
      <c r="R1586">
        <v>6.9707409999999999E-3</v>
      </c>
      <c r="S1586">
        <v>-3.0488590000000002</v>
      </c>
      <c r="T1586">
        <v>-9.5766660000000003E-2</v>
      </c>
      <c r="U1586">
        <v>-0.125885</v>
      </c>
      <c r="V1586">
        <v>-6.5041949999999999E-3</v>
      </c>
      <c r="W1586">
        <v>0.1560821</v>
      </c>
      <c r="X1586">
        <v>0.98772269999999895</v>
      </c>
      <c r="Y1586">
        <v>-5.4763920000000001E-2</v>
      </c>
      <c r="Z1586">
        <v>-1.2851329999999999E-3</v>
      </c>
      <c r="AA1586">
        <v>0.99849849999999996</v>
      </c>
      <c r="AB1586">
        <v>56</v>
      </c>
      <c r="AC1586">
        <v>-34.694599999999902</v>
      </c>
      <c r="AD1586">
        <v>-1.10751742775489</v>
      </c>
      <c r="AE1586">
        <v>-1.46350000000001</v>
      </c>
      <c r="AF1586">
        <v>-1.93181802350359</v>
      </c>
      <c r="AG1586">
        <v>-1.10751742775489</v>
      </c>
      <c r="AH1586">
        <v>34.636335383901198</v>
      </c>
      <c r="AI1586">
        <v>91.828602580998194</v>
      </c>
      <c r="AJ1586">
        <v>93.192325631443794</v>
      </c>
      <c r="AK1586">
        <v>34.707841254604197</v>
      </c>
      <c r="AL1586">
        <v>81.020440376638504</v>
      </c>
      <c r="AM1586">
        <v>90.377289634230706</v>
      </c>
      <c r="AN1586">
        <v>1.00000002929414</v>
      </c>
    </row>
    <row r="1587" spans="1:40" x14ac:dyDescent="0.25">
      <c r="A1587" t="str">
        <f>"20190312164504709"</f>
        <v>20190312164504709</v>
      </c>
      <c r="B1587" t="str">
        <f>"1552380304702756"</f>
        <v>1552380304702756</v>
      </c>
      <c r="C1587" t="s">
        <v>40</v>
      </c>
      <c r="D1587">
        <v>5.1895879999999996</v>
      </c>
      <c r="E1587">
        <v>0.48617060000000001</v>
      </c>
      <c r="F1587" t="s">
        <v>47</v>
      </c>
      <c r="G1587">
        <v>-351.50439999999998</v>
      </c>
      <c r="H1587" s="1">
        <v>-7.3621109999999997E-7</v>
      </c>
      <c r="I1587">
        <v>282.67450000000002</v>
      </c>
      <c r="J1587">
        <v>-317.69260000000003</v>
      </c>
      <c r="K1587">
        <v>1.1075159999999999</v>
      </c>
      <c r="L1587">
        <v>284.0761</v>
      </c>
      <c r="M1587">
        <v>-0.99987619999999999</v>
      </c>
      <c r="N1587">
        <v>0</v>
      </c>
      <c r="O1587">
        <v>1.348998E-2</v>
      </c>
      <c r="P1587">
        <v>-0.98894329999999997</v>
      </c>
      <c r="Q1587">
        <v>0.1481247</v>
      </c>
      <c r="R1587">
        <v>7.1035810000000003E-3</v>
      </c>
      <c r="S1587">
        <v>-3.049194</v>
      </c>
      <c r="T1587">
        <v>-9.8990079999999994E-2</v>
      </c>
      <c r="U1587">
        <v>-0.1249084</v>
      </c>
      <c r="V1587">
        <v>-6.3034989999999997E-3</v>
      </c>
      <c r="W1587">
        <v>0.1561381</v>
      </c>
      <c r="X1587">
        <v>0.98771509999999996</v>
      </c>
      <c r="Y1587">
        <v>-5.4369779999999999E-2</v>
      </c>
      <c r="Z1587">
        <v>-1.3196169999999999E-3</v>
      </c>
      <c r="AA1587">
        <v>0.99851999999999996</v>
      </c>
      <c r="AB1587">
        <v>56</v>
      </c>
      <c r="AC1587">
        <v>-33.811799999999899</v>
      </c>
      <c r="AD1587">
        <v>-1.1075167362111</v>
      </c>
      <c r="AE1587">
        <v>-1.40159999999997</v>
      </c>
      <c r="AF1587">
        <v>-1.8556204211909699</v>
      </c>
      <c r="AG1587">
        <v>-1.1075167362111</v>
      </c>
      <c r="AH1587">
        <v>33.753662374565501</v>
      </c>
      <c r="AI1587">
        <v>91.876469120260396</v>
      </c>
      <c r="AJ1587">
        <v>93.146689739579202</v>
      </c>
      <c r="AK1587">
        <v>33.8227681327932</v>
      </c>
      <c r="AL1587">
        <v>81.017191536356194</v>
      </c>
      <c r="AM1587">
        <v>90.365650971363905</v>
      </c>
      <c r="AN1587">
        <v>0.99999997956963105</v>
      </c>
    </row>
    <row r="1588" spans="1:40" x14ac:dyDescent="0.25">
      <c r="A1588" t="str">
        <f>"20190312164504720"</f>
        <v>20190312164504720</v>
      </c>
      <c r="B1588" t="str">
        <f>"1552380304713492"</f>
        <v>1552380304713492</v>
      </c>
      <c r="C1588" t="s">
        <v>40</v>
      </c>
      <c r="D1588">
        <v>5.0376760000000003</v>
      </c>
      <c r="E1588">
        <v>0.48614810000000003</v>
      </c>
      <c r="F1588" t="s">
        <v>47</v>
      </c>
      <c r="G1588">
        <v>-351.56240000000003</v>
      </c>
      <c r="H1588" s="1">
        <v>-7.0537109999999898E-7</v>
      </c>
      <c r="I1588">
        <v>282.69720000000001</v>
      </c>
      <c r="J1588">
        <v>-317.97620000000001</v>
      </c>
      <c r="K1588">
        <v>1.107515</v>
      </c>
      <c r="L1588">
        <v>284.08</v>
      </c>
      <c r="M1588">
        <v>-0.99987700000000002</v>
      </c>
      <c r="N1588">
        <v>0</v>
      </c>
      <c r="O1588">
        <v>1.342575E-2</v>
      </c>
      <c r="P1588">
        <v>-0.98892959999999996</v>
      </c>
      <c r="Q1588">
        <v>0.14821139999999999</v>
      </c>
      <c r="R1588">
        <v>7.2156440000000002E-3</v>
      </c>
      <c r="S1588">
        <v>-3.0493769999999998</v>
      </c>
      <c r="T1588">
        <v>-9.9712369999999995E-2</v>
      </c>
      <c r="U1588">
        <v>-0.12414550000000001</v>
      </c>
      <c r="V1588">
        <v>-6.1277199999999997E-3</v>
      </c>
      <c r="W1588">
        <v>0.15624549999999901</v>
      </c>
      <c r="X1588">
        <v>0.98769929999999995</v>
      </c>
      <c r="Y1588">
        <v>-5.4053459999999998E-2</v>
      </c>
      <c r="Z1588">
        <v>-1.3219E-3</v>
      </c>
      <c r="AA1588">
        <v>0.99853720000000001</v>
      </c>
      <c r="AB1588">
        <v>56</v>
      </c>
      <c r="AC1588">
        <v>-33.586199999999998</v>
      </c>
      <c r="AD1588">
        <v>-1.1075157053711</v>
      </c>
      <c r="AE1588">
        <v>-1.3827999999999701</v>
      </c>
      <c r="AF1588">
        <v>-1.8316218231201999</v>
      </c>
      <c r="AG1588">
        <v>-1.1075157053711</v>
      </c>
      <c r="AH1588">
        <v>33.528211023528897</v>
      </c>
      <c r="AI1588">
        <v>91.8891117566574</v>
      </c>
      <c r="AJ1588">
        <v>93.126918689059096</v>
      </c>
      <c r="AK1588">
        <v>33.596463563578503</v>
      </c>
      <c r="AL1588">
        <v>81.010962201495303</v>
      </c>
      <c r="AM1588">
        <v>90.3554604013801</v>
      </c>
      <c r="AN1588">
        <v>1.0000000562215601</v>
      </c>
    </row>
    <row r="1589" spans="1:40" x14ac:dyDescent="0.25">
      <c r="A1589" t="str">
        <f>"20190312164504733"</f>
        <v>20190312164504733</v>
      </c>
      <c r="B1589" t="str">
        <f>"1552380304723252"</f>
        <v>1552380304723252</v>
      </c>
      <c r="C1589" t="s">
        <v>40</v>
      </c>
      <c r="D1589">
        <v>4.9865059999999897</v>
      </c>
      <c r="E1589">
        <v>0.48607980000000001</v>
      </c>
      <c r="F1589" t="s">
        <v>47</v>
      </c>
      <c r="G1589">
        <v>-351.17970000000003</v>
      </c>
      <c r="H1589" s="1">
        <v>-9.090155E-7</v>
      </c>
      <c r="I1589">
        <v>282.72669999999999</v>
      </c>
      <c r="J1589">
        <v>-318.30689999999998</v>
      </c>
      <c r="K1589">
        <v>1.1075170000000001</v>
      </c>
      <c r="L1589">
        <v>284.08440000000002</v>
      </c>
      <c r="M1589">
        <v>-0.99987760000000003</v>
      </c>
      <c r="N1589">
        <v>0</v>
      </c>
      <c r="O1589">
        <v>1.3350590000000001E-2</v>
      </c>
      <c r="P1589">
        <v>-0.98891510000000005</v>
      </c>
      <c r="Q1589">
        <v>0.14829919999999999</v>
      </c>
      <c r="R1589">
        <v>7.3724259999999996E-3</v>
      </c>
      <c r="S1589">
        <v>-3.0497740000000002</v>
      </c>
      <c r="T1589">
        <v>-0.1017265</v>
      </c>
      <c r="U1589">
        <v>-0.12429809999999999</v>
      </c>
      <c r="V1589">
        <v>-5.8968369999999899E-3</v>
      </c>
      <c r="W1589">
        <v>0.156358</v>
      </c>
      <c r="X1589">
        <v>0.98768279999999997</v>
      </c>
      <c r="Y1589">
        <v>-5.4021600000000003E-2</v>
      </c>
      <c r="Z1589">
        <v>-1.3453740000000001E-3</v>
      </c>
      <c r="AA1589">
        <v>0.99853890000000001</v>
      </c>
      <c r="AB1589">
        <v>56</v>
      </c>
      <c r="AC1589">
        <v>-32.872799999999998</v>
      </c>
      <c r="AD1589">
        <v>-1.1075179090154901</v>
      </c>
      <c r="AE1589">
        <v>-1.3577000000000199</v>
      </c>
      <c r="AF1589">
        <v>-1.7944315054414099</v>
      </c>
      <c r="AG1589">
        <v>-1.1075179090154901</v>
      </c>
      <c r="AH1589">
        <v>32.814559517539301</v>
      </c>
      <c r="AI1589">
        <v>91.930163525146199</v>
      </c>
      <c r="AJ1589">
        <v>93.130045156066004</v>
      </c>
      <c r="AK1589">
        <v>32.882242877830599</v>
      </c>
      <c r="AL1589">
        <v>81.004435301206698</v>
      </c>
      <c r="AM1589">
        <v>90.342073242779506</v>
      </c>
      <c r="AN1589">
        <v>0.99999995513322104</v>
      </c>
    </row>
    <row r="1590" spans="1:40" x14ac:dyDescent="0.25">
      <c r="A1590" t="str">
        <f>"20190312164504755"</f>
        <v>20190312164504755</v>
      </c>
      <c r="B1590" t="str">
        <f>"1552380304742771"</f>
        <v>1552380304742771</v>
      </c>
      <c r="C1590" t="s">
        <v>40</v>
      </c>
      <c r="D1590">
        <v>5.1376799999999996</v>
      </c>
      <c r="E1590">
        <v>0.48615760000000002</v>
      </c>
      <c r="F1590" t="s">
        <v>47</v>
      </c>
      <c r="G1590">
        <v>-350.83440000000002</v>
      </c>
      <c r="H1590" s="1">
        <v>-1.0927839999999999E-6</v>
      </c>
      <c r="I1590">
        <v>282.75389999999999</v>
      </c>
      <c r="J1590">
        <v>-318.83920000000001</v>
      </c>
      <c r="K1590">
        <v>1.1075280000000001</v>
      </c>
      <c r="L1590">
        <v>284.0915</v>
      </c>
      <c r="M1590">
        <v>-0.99987899999999996</v>
      </c>
      <c r="N1590">
        <v>0</v>
      </c>
      <c r="O1590">
        <v>1.3227300000000001E-2</v>
      </c>
      <c r="P1590">
        <v>-0.98889890000000003</v>
      </c>
      <c r="Q1590">
        <v>0.14837700000000001</v>
      </c>
      <c r="R1590">
        <v>7.9715250000000001E-3</v>
      </c>
      <c r="S1590">
        <v>-3.0501100000000001</v>
      </c>
      <c r="T1590">
        <v>-0.103852399999999</v>
      </c>
      <c r="U1590">
        <v>-0.1247559</v>
      </c>
      <c r="V1590">
        <v>-5.1766299999999998E-3</v>
      </c>
      <c r="W1590">
        <v>0.1564786</v>
      </c>
      <c r="X1590">
        <v>0.98766779999999998</v>
      </c>
      <c r="Y1590">
        <v>-5.4042119999999999E-2</v>
      </c>
      <c r="Z1590">
        <v>-1.369473E-3</v>
      </c>
      <c r="AA1590">
        <v>0.99853769999999997</v>
      </c>
      <c r="AB1590">
        <v>56</v>
      </c>
      <c r="AC1590">
        <v>-31.995200000000001</v>
      </c>
      <c r="AD1590">
        <v>-1.107529092784</v>
      </c>
      <c r="AE1590">
        <v>-1.3375999999999999</v>
      </c>
      <c r="AF1590">
        <v>-1.75860372768969</v>
      </c>
      <c r="AG1590">
        <v>-1.107529092784</v>
      </c>
      <c r="AH1590">
        <v>31.93650674337</v>
      </c>
      <c r="AI1590">
        <v>91.983167692437704</v>
      </c>
      <c r="AJ1590">
        <v>93.151844823914701</v>
      </c>
      <c r="AK1590">
        <v>32.004058660296899</v>
      </c>
      <c r="AL1590">
        <v>80.997439872248506</v>
      </c>
      <c r="AM1590">
        <v>90.300299691050597</v>
      </c>
      <c r="AN1590">
        <v>1.00000001645647</v>
      </c>
    </row>
    <row r="1591" spans="1:40" x14ac:dyDescent="0.25">
      <c r="A1591" t="str">
        <f>"20190312164504775"</f>
        <v>20190312164504775</v>
      </c>
      <c r="B1591" t="str">
        <f>"1552380304763268"</f>
        <v>1552380304763268</v>
      </c>
      <c r="C1591" t="s">
        <v>40</v>
      </c>
      <c r="D1591">
        <v>5.2314170000000004</v>
      </c>
      <c r="E1591">
        <v>0.48612820000000001</v>
      </c>
      <c r="F1591" t="s">
        <v>47</v>
      </c>
      <c r="G1591">
        <v>-351.09640000000002</v>
      </c>
      <c r="H1591" s="1">
        <v>-9.5332110000000004E-7</v>
      </c>
      <c r="I1591">
        <v>282.79770000000002</v>
      </c>
      <c r="J1591">
        <v>-319.35120000000001</v>
      </c>
      <c r="K1591">
        <v>1.1075349999999999</v>
      </c>
      <c r="L1591">
        <v>284.09820000000002</v>
      </c>
      <c r="M1591">
        <v>-0.99988030000000006</v>
      </c>
      <c r="N1591">
        <v>0</v>
      </c>
      <c r="O1591">
        <v>1.3106029999999999E-2</v>
      </c>
      <c r="P1591">
        <v>-0.98874410000000001</v>
      </c>
      <c r="Q1591">
        <v>0.14935760000000001</v>
      </c>
      <c r="R1591">
        <v>8.8014849999999995E-3</v>
      </c>
      <c r="S1591">
        <v>-3.0503849999999999</v>
      </c>
      <c r="T1591">
        <v>-0.1047326</v>
      </c>
      <c r="U1591">
        <v>-0.122345</v>
      </c>
      <c r="V1591">
        <v>-4.2264829999999996E-3</v>
      </c>
      <c r="W1591">
        <v>0.157501</v>
      </c>
      <c r="X1591">
        <v>0.98750979999999999</v>
      </c>
      <c r="Y1591">
        <v>-5.312936E-2</v>
      </c>
      <c r="Z1591">
        <v>-1.3611509999999999E-3</v>
      </c>
      <c r="AA1591">
        <v>0.99858670000000005</v>
      </c>
      <c r="AB1591">
        <v>57</v>
      </c>
      <c r="AC1591">
        <v>-31.745200000000001</v>
      </c>
      <c r="AD1591">
        <v>-1.1075359533211</v>
      </c>
      <c r="AE1591">
        <v>-1.30049999999999</v>
      </c>
      <c r="AF1591">
        <v>-1.71437267944677</v>
      </c>
      <c r="AG1591">
        <v>-1.1075359533211</v>
      </c>
      <c r="AH1591">
        <v>31.686923836974099</v>
      </c>
      <c r="AI1591">
        <v>91.998892496130793</v>
      </c>
      <c r="AJ1591">
        <v>93.096881391617501</v>
      </c>
      <c r="AK1591">
        <v>31.752588112185901</v>
      </c>
      <c r="AL1591">
        <v>80.938125178080995</v>
      </c>
      <c r="AM1591">
        <v>90.245221019054398</v>
      </c>
      <c r="AN1591">
        <v>1.00000001662779</v>
      </c>
    </row>
    <row r="1592" spans="1:40" x14ac:dyDescent="0.25">
      <c r="A1592" t="str">
        <f>"20190312164504788"</f>
        <v>20190312164504788</v>
      </c>
      <c r="B1592" t="str">
        <f>"1552380304782788"</f>
        <v>1552380304782788</v>
      </c>
      <c r="C1592" t="s">
        <v>40</v>
      </c>
      <c r="D1592">
        <v>4.9394519999999904</v>
      </c>
      <c r="E1592">
        <v>0.48611599999999999</v>
      </c>
      <c r="F1592" t="s">
        <v>47</v>
      </c>
      <c r="G1592">
        <v>-352.21469999999999</v>
      </c>
      <c r="H1592" s="1">
        <v>-3.5823809999999899E-7</v>
      </c>
      <c r="I1592">
        <v>282.79640000000001</v>
      </c>
      <c r="J1592">
        <v>-319.6893</v>
      </c>
      <c r="K1592">
        <v>1.107542</v>
      </c>
      <c r="L1592">
        <v>284.10270000000003</v>
      </c>
      <c r="M1592">
        <v>-0.99988109999999997</v>
      </c>
      <c r="N1592">
        <v>0</v>
      </c>
      <c r="O1592">
        <v>1.3024269999999999E-2</v>
      </c>
      <c r="P1592">
        <v>-0.98869980000000002</v>
      </c>
      <c r="Q1592">
        <v>0.1496297</v>
      </c>
      <c r="R1592">
        <v>9.1561690000000005E-3</v>
      </c>
      <c r="S1592">
        <v>-3.050751</v>
      </c>
      <c r="T1592">
        <v>-0.10281369999999999</v>
      </c>
      <c r="U1592">
        <v>-0.1208496</v>
      </c>
      <c r="V1592">
        <v>-3.7912050000000002E-3</v>
      </c>
      <c r="W1592">
        <v>0.1578029</v>
      </c>
      <c r="X1592">
        <v>0.98746339999999999</v>
      </c>
      <c r="Y1592">
        <v>-5.2555999999999901E-2</v>
      </c>
      <c r="Z1592">
        <v>-1.3236700000000001E-3</v>
      </c>
      <c r="AA1592">
        <v>0.99861710000000004</v>
      </c>
      <c r="AB1592">
        <v>57</v>
      </c>
      <c r="AC1592">
        <v>-32.525399999999898</v>
      </c>
      <c r="AD1592">
        <v>-1.1075423582381001</v>
      </c>
      <c r="AE1592">
        <v>-1.30630000000002</v>
      </c>
      <c r="AF1592">
        <v>-1.7278230149653799</v>
      </c>
      <c r="AG1592">
        <v>-1.1075423582381001</v>
      </c>
      <c r="AH1592">
        <v>32.468040375708597</v>
      </c>
      <c r="AI1592">
        <v>91.950944557771606</v>
      </c>
      <c r="AJ1592">
        <v>93.046185485044305</v>
      </c>
      <c r="AK1592">
        <v>32.532839843533203</v>
      </c>
      <c r="AL1592">
        <v>80.920608814130304</v>
      </c>
      <c r="AM1592">
        <v>90.219976738851102</v>
      </c>
      <c r="AN1592">
        <v>1.0000000474116599</v>
      </c>
    </row>
    <row r="1593" spans="1:40" x14ac:dyDescent="0.25">
      <c r="A1593" t="str">
        <f>"20190312164504800"</f>
        <v>20190312164504800</v>
      </c>
      <c r="B1593" t="str">
        <f>"1552380304793524"</f>
        <v>1552380304793524</v>
      </c>
      <c r="C1593" t="s">
        <v>40</v>
      </c>
      <c r="D1593">
        <v>4.9085919999999996</v>
      </c>
      <c r="E1593">
        <v>0.48611599999999999</v>
      </c>
      <c r="F1593" t="s">
        <v>47</v>
      </c>
      <c r="G1593">
        <v>-352.13979999999998</v>
      </c>
      <c r="H1593" s="1">
        <v>-3.9810240000000002E-7</v>
      </c>
      <c r="I1593">
        <v>282.82389999999998</v>
      </c>
      <c r="J1593">
        <v>-319.97449999999998</v>
      </c>
      <c r="K1593">
        <v>1.107556</v>
      </c>
      <c r="L1593">
        <v>284.10629999999998</v>
      </c>
      <c r="M1593">
        <v>-0.99988169999999998</v>
      </c>
      <c r="N1593">
        <v>0</v>
      </c>
      <c r="O1593">
        <v>1.2952119999999999E-2</v>
      </c>
      <c r="P1593">
        <v>-0.98862019999999995</v>
      </c>
      <c r="Q1593">
        <v>0.150132399999999</v>
      </c>
      <c r="R1593">
        <v>9.5229749999999995E-3</v>
      </c>
      <c r="S1593">
        <v>-3.0511469999999998</v>
      </c>
      <c r="T1593">
        <v>-0.10413650000000001</v>
      </c>
      <c r="U1593">
        <v>-0.12023929999999999</v>
      </c>
      <c r="V1593">
        <v>-3.3534889999999999E-3</v>
      </c>
      <c r="W1593">
        <v>0.15833259999999999</v>
      </c>
      <c r="X1593">
        <v>0.98738009999999998</v>
      </c>
      <c r="Y1593">
        <v>-5.2278600000000001E-2</v>
      </c>
      <c r="Z1593">
        <v>-1.3333290000000001E-3</v>
      </c>
      <c r="AA1593">
        <v>0.99863170000000001</v>
      </c>
      <c r="AB1593">
        <v>57</v>
      </c>
      <c r="AC1593">
        <v>-32.165300000000002</v>
      </c>
      <c r="AD1593">
        <v>-1.1075563981023999</v>
      </c>
      <c r="AE1593">
        <v>-1.28239999999999</v>
      </c>
      <c r="AF1593">
        <v>-1.6969068409752699</v>
      </c>
      <c r="AG1593">
        <v>-1.1075563981023999</v>
      </c>
      <c r="AH1593">
        <v>32.107982934564703</v>
      </c>
      <c r="AI1593">
        <v>91.972868324995801</v>
      </c>
      <c r="AJ1593">
        <v>93.025267293018501</v>
      </c>
      <c r="AK1593">
        <v>32.171862584069103</v>
      </c>
      <c r="AL1593">
        <v>80.889872033192106</v>
      </c>
      <c r="AM1593">
        <v>90.194595807181798</v>
      </c>
      <c r="AN1593">
        <v>0.99999995999362001</v>
      </c>
    </row>
    <row r="1594" spans="1:40" x14ac:dyDescent="0.25">
      <c r="A1594" t="str">
        <f>"20190312164504812"</f>
        <v>20190312164504812</v>
      </c>
      <c r="B1594" t="str">
        <f>"1552380304803284"</f>
        <v>1552380304803284</v>
      </c>
      <c r="C1594" t="s">
        <v>40</v>
      </c>
      <c r="D1594">
        <v>4.976928</v>
      </c>
      <c r="E1594">
        <v>0.48002119999999998</v>
      </c>
      <c r="F1594" t="s">
        <v>47</v>
      </c>
      <c r="G1594">
        <v>-352.94479999999999</v>
      </c>
      <c r="H1594" s="1">
        <v>3.0274919999999999E-8</v>
      </c>
      <c r="I1594">
        <v>282.81700000000001</v>
      </c>
      <c r="J1594">
        <v>-320.2774</v>
      </c>
      <c r="K1594">
        <v>1.107564</v>
      </c>
      <c r="L1594">
        <v>284.1103</v>
      </c>
      <c r="M1594">
        <v>-0.99988259999999995</v>
      </c>
      <c r="N1594">
        <v>0</v>
      </c>
      <c r="O1594">
        <v>1.2873920000000001E-2</v>
      </c>
      <c r="P1594">
        <v>-0.98850959999999999</v>
      </c>
      <c r="Q1594">
        <v>0.15083099999999999</v>
      </c>
      <c r="R1594">
        <v>9.954826E-3</v>
      </c>
      <c r="S1594">
        <v>-3.0512389999999998</v>
      </c>
      <c r="T1594">
        <v>-0.1024988</v>
      </c>
      <c r="U1594">
        <v>-0.1193237</v>
      </c>
      <c r="V1594">
        <v>-2.844194E-3</v>
      </c>
      <c r="W1594">
        <v>0.1590599</v>
      </c>
      <c r="X1594">
        <v>0.98726480000000005</v>
      </c>
      <c r="Y1594">
        <v>-5.1901580000000003E-2</v>
      </c>
      <c r="Z1594">
        <v>-1.303387E-3</v>
      </c>
      <c r="AA1594">
        <v>0.99865130000000002</v>
      </c>
      <c r="AB1594">
        <v>57</v>
      </c>
      <c r="AC1594">
        <v>-32.667399999999901</v>
      </c>
      <c r="AD1594">
        <v>-1.1075639697250801</v>
      </c>
      <c r="AE1594">
        <v>-1.2932999999999799</v>
      </c>
      <c r="AF1594">
        <v>-1.7118001953019799</v>
      </c>
      <c r="AG1594">
        <v>-1.1075639697250801</v>
      </c>
      <c r="AH1594">
        <v>32.610614974828202</v>
      </c>
      <c r="AI1594">
        <v>91.9425334591308</v>
      </c>
      <c r="AJ1594">
        <v>93.004818900854005</v>
      </c>
      <c r="AK1594">
        <v>32.674289080133903</v>
      </c>
      <c r="AL1594">
        <v>80.847665981764095</v>
      </c>
      <c r="AM1594">
        <v>90.1650619585442</v>
      </c>
      <c r="AN1594">
        <v>0.999999963273279</v>
      </c>
    </row>
    <row r="1595" spans="1:40" x14ac:dyDescent="0.25">
      <c r="A1595" t="str">
        <f>"20190312164504822"</f>
        <v>20190312164504822</v>
      </c>
      <c r="B1595" t="str">
        <f>"1552380304813045"</f>
        <v>1552380304813045</v>
      </c>
      <c r="C1595" t="s">
        <v>40</v>
      </c>
      <c r="D1595">
        <v>4.8245620000000002</v>
      </c>
      <c r="E1595">
        <v>0.47929899999999998</v>
      </c>
      <c r="F1595" t="s">
        <v>47</v>
      </c>
      <c r="G1595">
        <v>-344.84890000000001</v>
      </c>
      <c r="H1595" s="1">
        <v>1.0435339999999999E-6</v>
      </c>
      <c r="I1595">
        <v>282.74770000000001</v>
      </c>
      <c r="J1595">
        <v>-320.56180000000001</v>
      </c>
      <c r="K1595">
        <v>1.1075740000000001</v>
      </c>
      <c r="L1595">
        <v>284.1139</v>
      </c>
      <c r="M1595">
        <v>-0.99988330000000003</v>
      </c>
      <c r="N1595">
        <v>0</v>
      </c>
      <c r="O1595">
        <v>1.279601E-2</v>
      </c>
      <c r="P1595">
        <v>-0.98837319999999995</v>
      </c>
      <c r="Q1595">
        <v>0.1516846</v>
      </c>
      <c r="R1595">
        <v>1.0516849999999999E-2</v>
      </c>
      <c r="S1595">
        <v>-3.057617</v>
      </c>
      <c r="T1595">
        <v>-0.13782249999999999</v>
      </c>
      <c r="U1595">
        <v>-0.1695557</v>
      </c>
      <c r="V1595">
        <v>-2.2055159999999998E-3</v>
      </c>
      <c r="W1595">
        <v>0.15994439999999999</v>
      </c>
      <c r="X1595">
        <v>0.98712350000000004</v>
      </c>
      <c r="Y1595">
        <v>-6.8058889999999997E-2</v>
      </c>
      <c r="Z1595">
        <v>-2.1080349999999999E-3</v>
      </c>
      <c r="AA1595">
        <v>0.99767910000000004</v>
      </c>
      <c r="AB1595">
        <v>57</v>
      </c>
      <c r="AC1595">
        <v>-24.287099999999999</v>
      </c>
      <c r="AD1595">
        <v>-1.107572956466</v>
      </c>
      <c r="AE1595">
        <v>-1.3661999999999901</v>
      </c>
      <c r="AF1595">
        <v>-1.67340778590509</v>
      </c>
      <c r="AG1595">
        <v>-1.107572956466</v>
      </c>
      <c r="AH1595">
        <v>24.217423641562899</v>
      </c>
      <c r="AI1595">
        <v>92.612351428080601</v>
      </c>
      <c r="AJ1595">
        <v>93.952816861525505</v>
      </c>
      <c r="AK1595">
        <v>24.300424261867398</v>
      </c>
      <c r="AL1595">
        <v>80.796330426844605</v>
      </c>
      <c r="AM1595">
        <v>90.128014932451194</v>
      </c>
      <c r="AN1595">
        <v>0.99999993982221602</v>
      </c>
    </row>
    <row r="1596" spans="1:40" x14ac:dyDescent="0.25">
      <c r="A1596" t="str">
        <f>"20190312164504833"</f>
        <v>20190312164504833</v>
      </c>
      <c r="B1596" t="str">
        <f>"1552380304823780"</f>
        <v>1552380304823780</v>
      </c>
      <c r="C1596" t="s">
        <v>40</v>
      </c>
      <c r="D1596">
        <v>4.9567540000000001</v>
      </c>
      <c r="E1596">
        <v>0.47920940000000001</v>
      </c>
      <c r="F1596" t="s">
        <v>47</v>
      </c>
      <c r="G1596">
        <v>-348.04390000000001</v>
      </c>
      <c r="H1596" s="1">
        <v>2.7437539999999999E-6</v>
      </c>
      <c r="I1596">
        <v>282.55810000000002</v>
      </c>
      <c r="J1596">
        <v>-320.83429999999998</v>
      </c>
      <c r="K1596">
        <v>1.10758</v>
      </c>
      <c r="L1596">
        <v>284.11739999999998</v>
      </c>
      <c r="M1596">
        <v>-0.999884</v>
      </c>
      <c r="N1596">
        <v>0</v>
      </c>
      <c r="O1596">
        <v>1.2718210000000001E-2</v>
      </c>
      <c r="P1596">
        <v>-0.98826919999999996</v>
      </c>
      <c r="Q1596">
        <v>0.1523362</v>
      </c>
      <c r="R1596">
        <v>1.086753E-2</v>
      </c>
      <c r="S1596">
        <v>-3.0560299999999998</v>
      </c>
      <c r="T1596">
        <v>-0.1231627</v>
      </c>
      <c r="U1596">
        <v>-0.1730042</v>
      </c>
      <c r="V1596">
        <v>-1.7798079999999999E-3</v>
      </c>
      <c r="W1596">
        <v>0.1606264</v>
      </c>
      <c r="X1596">
        <v>0.98701369999999999</v>
      </c>
      <c r="Y1596">
        <v>-6.9147749999999994E-2</v>
      </c>
      <c r="Z1596">
        <v>-1.9037030000000001E-3</v>
      </c>
      <c r="AA1596">
        <v>0.99760459999999995</v>
      </c>
      <c r="AB1596">
        <v>57</v>
      </c>
      <c r="AC1596">
        <v>-27.209599999999998</v>
      </c>
      <c r="AD1596">
        <v>-1.107577256246</v>
      </c>
      <c r="AE1596">
        <v>-1.5592999999999499</v>
      </c>
      <c r="AF1596">
        <v>-1.90210210472276</v>
      </c>
      <c r="AG1596">
        <v>-1.107577256246</v>
      </c>
      <c r="AH1596">
        <v>27.1427405756749</v>
      </c>
      <c r="AI1596">
        <v>92.330985066113996</v>
      </c>
      <c r="AJ1596">
        <v>94.008605766002702</v>
      </c>
      <c r="AK1596">
        <v>27.231839558754199</v>
      </c>
      <c r="AL1596">
        <v>80.756743666875707</v>
      </c>
      <c r="AM1596">
        <v>90.103317082848207</v>
      </c>
      <c r="AN1596">
        <v>1.0000000260405799</v>
      </c>
    </row>
    <row r="1597" spans="1:40" x14ac:dyDescent="0.25">
      <c r="A1597" t="str">
        <f>"20190312164504844"</f>
        <v>20190312164504844</v>
      </c>
      <c r="B1597" t="str">
        <f>"1552380304833540"</f>
        <v>1552380304833540</v>
      </c>
      <c r="C1597" t="s">
        <v>40</v>
      </c>
      <c r="D1597">
        <v>4.9284379999999999</v>
      </c>
      <c r="E1597">
        <v>0.4791048</v>
      </c>
      <c r="F1597" t="s">
        <v>47</v>
      </c>
      <c r="G1597">
        <v>-349.52640000000002</v>
      </c>
      <c r="H1597" s="1">
        <v>3.5326770000000001E-6</v>
      </c>
      <c r="I1597">
        <v>282.49610000000001</v>
      </c>
      <c r="J1597">
        <v>-321.1234</v>
      </c>
      <c r="K1597">
        <v>1.107591</v>
      </c>
      <c r="L1597">
        <v>284.12110000000001</v>
      </c>
      <c r="M1597">
        <v>-0.99988480000000002</v>
      </c>
      <c r="N1597">
        <v>0</v>
      </c>
      <c r="O1597">
        <v>1.263192E-2</v>
      </c>
      <c r="P1597">
        <v>-0.98812529999999998</v>
      </c>
      <c r="Q1597">
        <v>0.153242299999999</v>
      </c>
      <c r="R1597">
        <v>1.120873E-2</v>
      </c>
      <c r="S1597">
        <v>-3.0556950000000001</v>
      </c>
      <c r="T1597">
        <v>-0.1179564</v>
      </c>
      <c r="U1597">
        <v>-0.1726685</v>
      </c>
      <c r="V1597">
        <v>-1.354135E-3</v>
      </c>
      <c r="W1597">
        <v>0.161565299999999</v>
      </c>
      <c r="X1597">
        <v>0.98686110000000005</v>
      </c>
      <c r="Y1597">
        <v>-6.8964269999999994E-2</v>
      </c>
      <c r="Z1597">
        <v>-1.816631E-3</v>
      </c>
      <c r="AA1597">
        <v>0.99761750000000005</v>
      </c>
      <c r="AB1597">
        <v>57</v>
      </c>
      <c r="AC1597">
        <v>-28.402999999999999</v>
      </c>
      <c r="AD1597">
        <v>-1.107587467323</v>
      </c>
      <c r="AE1597">
        <v>-1.625</v>
      </c>
      <c r="AF1597">
        <v>-1.9806654069002301</v>
      </c>
      <c r="AG1597">
        <v>-1.107587467323</v>
      </c>
      <c r="AH1597">
        <v>28.337255784418801</v>
      </c>
      <c r="AI1597">
        <v>92.232876240804401</v>
      </c>
      <c r="AJ1597">
        <v>93.998252400794698</v>
      </c>
      <c r="AK1597">
        <v>28.427976552041802</v>
      </c>
      <c r="AL1597">
        <v>80.702236536034306</v>
      </c>
      <c r="AM1597">
        <v>90.078619140725095</v>
      </c>
      <c r="AN1597">
        <v>1.00000000526944</v>
      </c>
    </row>
    <row r="1598" spans="1:40" x14ac:dyDescent="0.25">
      <c r="A1598" t="str">
        <f>"20190312164504856"</f>
        <v>20190312164504856</v>
      </c>
      <c r="B1598" t="str">
        <f>"1552380304853060"</f>
        <v>1552380304853060</v>
      </c>
      <c r="C1598" t="s">
        <v>40</v>
      </c>
      <c r="D1598">
        <v>4.7743859999999998</v>
      </c>
      <c r="E1598">
        <v>0.47871209999999997</v>
      </c>
      <c r="F1598" t="s">
        <v>47</v>
      </c>
      <c r="G1598">
        <v>-350.65320000000003</v>
      </c>
      <c r="H1598" s="1">
        <v>-1.1891979999999999E-6</v>
      </c>
      <c r="I1598">
        <v>282.45460000000003</v>
      </c>
      <c r="J1598">
        <v>-321.42090000000002</v>
      </c>
      <c r="K1598">
        <v>1.1076010000000001</v>
      </c>
      <c r="L1598">
        <v>284.12479999999999</v>
      </c>
      <c r="M1598">
        <v>-0.99988560000000004</v>
      </c>
      <c r="N1598">
        <v>0</v>
      </c>
      <c r="O1598">
        <v>1.2536179999999999E-2</v>
      </c>
      <c r="P1598">
        <v>-0.9879869</v>
      </c>
      <c r="Q1598">
        <v>0.15411629999999901</v>
      </c>
      <c r="R1598">
        <v>1.1396420000000001E-2</v>
      </c>
      <c r="S1598">
        <v>-3.0557859999999999</v>
      </c>
      <c r="T1598">
        <v>-0.1146151</v>
      </c>
      <c r="U1598">
        <v>-0.17245479999999899</v>
      </c>
      <c r="V1598">
        <v>-1.073982E-3</v>
      </c>
      <c r="W1598">
        <v>0.16247339999999999</v>
      </c>
      <c r="X1598">
        <v>0.98671229999999999</v>
      </c>
      <c r="Y1598">
        <v>-6.8801109999999999E-2</v>
      </c>
      <c r="Z1598">
        <v>-1.758515E-3</v>
      </c>
      <c r="AA1598">
        <v>0.99762890000000004</v>
      </c>
      <c r="AB1598">
        <v>57</v>
      </c>
      <c r="AC1598">
        <v>-29.232299999999999</v>
      </c>
      <c r="AD1598">
        <v>-1.1076021891979999</v>
      </c>
      <c r="AE1598">
        <v>-1.6701999999999599</v>
      </c>
      <c r="AF1598">
        <v>-2.0336332057906499</v>
      </c>
      <c r="AG1598">
        <v>-1.1076021891979999</v>
      </c>
      <c r="AH1598">
        <v>29.167326899806302</v>
      </c>
      <c r="AI1598">
        <v>92.169447442085797</v>
      </c>
      <c r="AJ1598">
        <v>93.988378453287993</v>
      </c>
      <c r="AK1598">
        <v>29.2591080709132</v>
      </c>
      <c r="AL1598">
        <v>80.649509169302704</v>
      </c>
      <c r="AM1598">
        <v>90.062363276076198</v>
      </c>
      <c r="AN1598">
        <v>0.99999996105809197</v>
      </c>
    </row>
    <row r="1599" spans="1:40" x14ac:dyDescent="0.25">
      <c r="A1599" t="str">
        <f>"20190312164504869"</f>
        <v>20190312164504869</v>
      </c>
      <c r="B1599" t="str">
        <f>"1552380304862820"</f>
        <v>1552380304862820</v>
      </c>
      <c r="C1599" t="s">
        <v>40</v>
      </c>
      <c r="D1599">
        <v>4.8606150000000001</v>
      </c>
      <c r="E1599">
        <v>0.4790819</v>
      </c>
      <c r="F1599" t="s">
        <v>47</v>
      </c>
      <c r="G1599">
        <v>-351.73500000000001</v>
      </c>
      <c r="H1599" s="1">
        <v>-6.1351590000000001E-7</v>
      </c>
      <c r="I1599">
        <v>282.38589999999999</v>
      </c>
      <c r="J1599">
        <v>-321.73149999999998</v>
      </c>
      <c r="K1599">
        <v>1.1076250000000001</v>
      </c>
      <c r="L1599">
        <v>284.12869999999998</v>
      </c>
      <c r="M1599">
        <v>-0.99988670000000002</v>
      </c>
      <c r="N1599">
        <v>0</v>
      </c>
      <c r="O1599">
        <v>1.243238E-2</v>
      </c>
      <c r="P1599">
        <v>-0.98787130000000001</v>
      </c>
      <c r="Q1599">
        <v>0.1548185</v>
      </c>
      <c r="R1599">
        <v>1.1908790000000001E-2</v>
      </c>
      <c r="S1599">
        <v>-3.0558779999999999</v>
      </c>
      <c r="T1599">
        <v>-0.1116542</v>
      </c>
      <c r="U1599">
        <v>-0.175293</v>
      </c>
      <c r="V1599">
        <v>-4.6133200000000001E-4</v>
      </c>
      <c r="W1599">
        <v>0.16321260000000001</v>
      </c>
      <c r="X1599">
        <v>0.98659079999999999</v>
      </c>
      <c r="Y1599">
        <v>-6.9621849999999999E-2</v>
      </c>
      <c r="Z1599">
        <v>-1.724209E-3</v>
      </c>
      <c r="AA1599">
        <v>0.99757189999999996</v>
      </c>
      <c r="AB1599">
        <v>57</v>
      </c>
      <c r="AC1599">
        <v>-30.003499999999999</v>
      </c>
      <c r="AD1599">
        <v>-1.1076256135158999</v>
      </c>
      <c r="AE1599">
        <v>-1.7427999999999799</v>
      </c>
      <c r="AF1599">
        <v>-2.11282390467407</v>
      </c>
      <c r="AG1599">
        <v>-1.1076256135158999</v>
      </c>
      <c r="AH1599">
        <v>29.9388486792554</v>
      </c>
      <c r="AI1599">
        <v>92.113511941093194</v>
      </c>
      <c r="AJ1599">
        <v>94.036745934111806</v>
      </c>
      <c r="AK1599">
        <v>30.033739687079201</v>
      </c>
      <c r="AL1599">
        <v>80.606583387247795</v>
      </c>
      <c r="AM1599">
        <v>90.026791628938597</v>
      </c>
      <c r="AN1599">
        <v>0.99999998613530605</v>
      </c>
    </row>
    <row r="1600" spans="1:40" x14ac:dyDescent="0.25">
      <c r="A1600" t="str">
        <f>"20190312164504880"</f>
        <v>20190312164504880</v>
      </c>
      <c r="B1600" t="str">
        <f>"1552380304873556"</f>
        <v>1552380304873556</v>
      </c>
      <c r="C1600" t="s">
        <v>40</v>
      </c>
      <c r="D1600">
        <v>4.9087180000000004</v>
      </c>
      <c r="E1600">
        <v>0.47918870000000002</v>
      </c>
      <c r="F1600" t="s">
        <v>47</v>
      </c>
      <c r="G1600">
        <v>-351.39589999999998</v>
      </c>
      <c r="H1600" s="1">
        <v>-7.9397419999999899E-7</v>
      </c>
      <c r="I1600">
        <v>282.4658</v>
      </c>
      <c r="J1600">
        <v>-322.0419</v>
      </c>
      <c r="K1600">
        <v>1.107642</v>
      </c>
      <c r="L1600">
        <v>284.13249999999999</v>
      </c>
      <c r="M1600">
        <v>-0.99988770000000005</v>
      </c>
      <c r="N1600">
        <v>0</v>
      </c>
      <c r="O1600">
        <v>1.231579E-2</v>
      </c>
      <c r="P1600">
        <v>-0.98774130000000004</v>
      </c>
      <c r="Q1600">
        <v>0.15561529999999901</v>
      </c>
      <c r="R1600">
        <v>1.229829E-2</v>
      </c>
      <c r="S1600">
        <v>-3.0568240000000002</v>
      </c>
      <c r="T1600">
        <v>-0.1141374</v>
      </c>
      <c r="U1600">
        <v>-0.17135619999999999</v>
      </c>
      <c r="V1600" s="1">
        <v>3.9583540000000001E-5</v>
      </c>
      <c r="W1600">
        <v>0.1640452</v>
      </c>
      <c r="X1600">
        <v>0.98645280000000002</v>
      </c>
      <c r="Y1600">
        <v>-6.820582E-2</v>
      </c>
      <c r="Z1600">
        <v>-1.731294E-3</v>
      </c>
      <c r="AA1600">
        <v>0.99766980000000005</v>
      </c>
      <c r="AB1600">
        <v>57</v>
      </c>
      <c r="AC1600">
        <v>-29.3539999999999</v>
      </c>
      <c r="AD1600">
        <v>-1.1076427939742</v>
      </c>
      <c r="AE1600">
        <v>-1.6666999999999901</v>
      </c>
      <c r="AF1600">
        <v>-2.0252301023721899</v>
      </c>
      <c r="AG1600">
        <v>-1.1076427939742</v>
      </c>
      <c r="AH1600">
        <v>29.289675941372298</v>
      </c>
      <c r="AI1600">
        <v>92.160559172211094</v>
      </c>
      <c r="AJ1600">
        <v>93.955412187680295</v>
      </c>
      <c r="AK1600">
        <v>29.380496018229501</v>
      </c>
      <c r="AL1600">
        <v>80.558227093859202</v>
      </c>
      <c r="AM1600">
        <v>89.997700883631694</v>
      </c>
      <c r="AN1600">
        <v>0.99999997791886797</v>
      </c>
    </row>
    <row r="1601" spans="1:40" x14ac:dyDescent="0.25">
      <c r="A1601" t="str">
        <f>"20190312164504892"</f>
        <v>20190312164504892</v>
      </c>
      <c r="B1601" t="str">
        <f>"1552380304883316"</f>
        <v>1552380304883316</v>
      </c>
      <c r="C1601" t="s">
        <v>40</v>
      </c>
      <c r="D1601">
        <v>4.8916639999999996</v>
      </c>
      <c r="E1601">
        <v>0.47925259999999997</v>
      </c>
      <c r="F1601" t="s">
        <v>47</v>
      </c>
      <c r="G1601">
        <v>-351.64670000000001</v>
      </c>
      <c r="H1601" s="1">
        <v>-6.6049920000000003E-7</v>
      </c>
      <c r="I1601">
        <v>282.48680000000002</v>
      </c>
      <c r="J1601">
        <v>-322.32850000000002</v>
      </c>
      <c r="K1601">
        <v>1.107653</v>
      </c>
      <c r="L1601">
        <v>284.13600000000002</v>
      </c>
      <c r="M1601">
        <v>-0.99988889999999997</v>
      </c>
      <c r="N1601">
        <v>0</v>
      </c>
      <c r="O1601">
        <v>1.220392E-2</v>
      </c>
      <c r="P1601">
        <v>-0.98760029999999999</v>
      </c>
      <c r="Q1601">
        <v>0.15647469999999999</v>
      </c>
      <c r="R1601">
        <v>1.27157E-2</v>
      </c>
      <c r="S1601">
        <v>-3.0573730000000001</v>
      </c>
      <c r="T1601">
        <v>-0.1143893</v>
      </c>
      <c r="U1601">
        <v>-0.169952399999999</v>
      </c>
      <c r="V1601">
        <v>5.6403879999999897E-4</v>
      </c>
      <c r="W1601">
        <v>0.16493740000000001</v>
      </c>
      <c r="X1601">
        <v>0.98630390000000001</v>
      </c>
      <c r="Y1601">
        <v>-6.7627779999999998E-2</v>
      </c>
      <c r="Z1601">
        <v>-1.71984E-3</v>
      </c>
      <c r="AA1601">
        <v>0.99770919999999996</v>
      </c>
      <c r="AB1601">
        <v>57</v>
      </c>
      <c r="AC1601">
        <v>-29.318199999999901</v>
      </c>
      <c r="AD1601">
        <v>-1.1076536604992</v>
      </c>
      <c r="AE1601">
        <v>-1.64919999999995</v>
      </c>
      <c r="AF1601">
        <v>-2.0040357900541799</v>
      </c>
      <c r="AG1601">
        <v>-1.1076536604992</v>
      </c>
      <c r="AH1601">
        <v>29.2542644130253</v>
      </c>
      <c r="AI1601">
        <v>92.163288054675604</v>
      </c>
      <c r="AJ1601">
        <v>93.918870818348694</v>
      </c>
      <c r="AK1601">
        <v>29.3437394076937</v>
      </c>
      <c r="AL1601">
        <v>80.506402298431794</v>
      </c>
      <c r="AM1601">
        <v>89.967234197088004</v>
      </c>
      <c r="AN1601">
        <v>1.00000002360686</v>
      </c>
    </row>
    <row r="1602" spans="1:40" x14ac:dyDescent="0.25">
      <c r="A1602" t="str">
        <f>"20190312164504903"</f>
        <v>20190312164504903</v>
      </c>
      <c r="B1602" t="str">
        <f>"1552380304893077"</f>
        <v>1552380304893077</v>
      </c>
      <c r="C1602" t="s">
        <v>40</v>
      </c>
      <c r="D1602">
        <v>4.8965259999999997</v>
      </c>
      <c r="E1602">
        <v>0.47945559999999998</v>
      </c>
      <c r="F1602" t="s">
        <v>47</v>
      </c>
      <c r="G1602">
        <v>-351.98039999999997</v>
      </c>
      <c r="H1602" s="1">
        <v>-4.8289409999999995E-7</v>
      </c>
      <c r="I1602">
        <v>282.5025</v>
      </c>
      <c r="J1602">
        <v>-322.63799999999998</v>
      </c>
      <c r="K1602">
        <v>1.107674</v>
      </c>
      <c r="L1602">
        <v>284.13979999999998</v>
      </c>
      <c r="M1602">
        <v>-0.99988999999999995</v>
      </c>
      <c r="N1602">
        <v>0</v>
      </c>
      <c r="O1602">
        <v>1.207425E-2</v>
      </c>
      <c r="P1602">
        <v>-0.98748899999999995</v>
      </c>
      <c r="Q1602">
        <v>0.15714310000000001</v>
      </c>
      <c r="R1602">
        <v>1.310773E-2</v>
      </c>
      <c r="S1602">
        <v>-3.057922</v>
      </c>
      <c r="T1602">
        <v>-0.11422930000000001</v>
      </c>
      <c r="U1602">
        <v>-0.168457</v>
      </c>
      <c r="V1602">
        <v>1.0795049999999999E-3</v>
      </c>
      <c r="W1602">
        <v>0.16564189999999901</v>
      </c>
      <c r="X1602">
        <v>0.98618539999999999</v>
      </c>
      <c r="Y1602">
        <v>-6.700275E-2</v>
      </c>
      <c r="Z1602">
        <v>-1.700652E-3</v>
      </c>
      <c r="AA1602">
        <v>0.99775139999999995</v>
      </c>
      <c r="AB1602">
        <v>57</v>
      </c>
      <c r="AC1602">
        <v>-29.342400000000001</v>
      </c>
      <c r="AD1602">
        <v>-1.1076744828941001</v>
      </c>
      <c r="AE1602">
        <v>-1.63729999999998</v>
      </c>
      <c r="AF1602">
        <v>-1.9886560988531801</v>
      </c>
      <c r="AG1602">
        <v>-1.1076744828941001</v>
      </c>
      <c r="AH1602">
        <v>29.278896319385701</v>
      </c>
      <c r="AI1602">
        <v>92.1615959018837</v>
      </c>
      <c r="AJ1602">
        <v>93.885626993035004</v>
      </c>
      <c r="AK1602">
        <v>29.367251582688102</v>
      </c>
      <c r="AL1602">
        <v>80.465474463725101</v>
      </c>
      <c r="AM1602">
        <v>89.937282527443799</v>
      </c>
      <c r="AN1602">
        <v>1.0000000237699</v>
      </c>
    </row>
    <row r="1603" spans="1:40" x14ac:dyDescent="0.25">
      <c r="A1603" t="str">
        <f>"20190312164504922"</f>
        <v>20190312164504922</v>
      </c>
      <c r="B1603" t="str">
        <f>"1552380304913575"</f>
        <v>1552380304913575</v>
      </c>
      <c r="C1603" t="s">
        <v>40</v>
      </c>
      <c r="D1603">
        <v>4.8581339999999997</v>
      </c>
      <c r="E1603">
        <v>0.47960049999999999</v>
      </c>
      <c r="F1603" t="s">
        <v>47</v>
      </c>
      <c r="G1603">
        <v>-351.72910000000002</v>
      </c>
      <c r="H1603" s="1">
        <v>-6.1666509999999999E-7</v>
      </c>
      <c r="I1603">
        <v>282.56139999999999</v>
      </c>
      <c r="J1603">
        <v>-323.08359999999999</v>
      </c>
      <c r="K1603">
        <v>1.107701</v>
      </c>
      <c r="L1603">
        <v>284.14510000000001</v>
      </c>
      <c r="M1603">
        <v>-0.99989220000000001</v>
      </c>
      <c r="N1603">
        <v>0</v>
      </c>
      <c r="O1603">
        <v>1.1869970000000001E-2</v>
      </c>
      <c r="P1603">
        <v>-0.98737549999999996</v>
      </c>
      <c r="Q1603">
        <v>0.15781729999999899</v>
      </c>
      <c r="R1603">
        <v>1.3553549999999999E-2</v>
      </c>
      <c r="S1603">
        <v>-3.0587460000000002</v>
      </c>
      <c r="T1603">
        <v>-0.116465</v>
      </c>
      <c r="U1603">
        <v>-0.16595460000000001</v>
      </c>
      <c r="V1603">
        <v>1.7188800000000001E-3</v>
      </c>
      <c r="W1603">
        <v>0.1663674</v>
      </c>
      <c r="X1603">
        <v>0.98606229999999995</v>
      </c>
      <c r="Y1603">
        <v>-6.5968990000000005E-2</v>
      </c>
      <c r="Z1603">
        <v>-1.706054E-3</v>
      </c>
      <c r="AA1603">
        <v>0.99782020000000005</v>
      </c>
      <c r="AB1603">
        <v>57</v>
      </c>
      <c r="AC1603">
        <v>-28.645499999999998</v>
      </c>
      <c r="AD1603">
        <v>-1.1077016166650999</v>
      </c>
      <c r="AE1603">
        <v>-1.5837000000000201</v>
      </c>
      <c r="AF1603">
        <v>-1.92075895584639</v>
      </c>
      <c r="AG1603">
        <v>-1.1077016166650999</v>
      </c>
      <c r="AH1603">
        <v>28.582073609848699</v>
      </c>
      <c r="AI1603">
        <v>92.214404403123694</v>
      </c>
      <c r="AJ1603">
        <v>93.844583318722101</v>
      </c>
      <c r="AK1603">
        <v>28.667948124636201</v>
      </c>
      <c r="AL1603">
        <v>80.4233209137128</v>
      </c>
      <c r="AM1603">
        <v>89.900123481309507</v>
      </c>
      <c r="AN1603">
        <v>0.99999996290625104</v>
      </c>
    </row>
    <row r="1604" spans="1:40" x14ac:dyDescent="0.25">
      <c r="A1604" t="str">
        <f>"20190312164504934"</f>
        <v>20190312164504934</v>
      </c>
      <c r="B1604" t="str">
        <f>"1552380304923333"</f>
        <v>1552380304923333</v>
      </c>
      <c r="C1604" t="s">
        <v>40</v>
      </c>
      <c r="D1604">
        <v>4.9334709999999999</v>
      </c>
      <c r="E1604">
        <v>0.4796107</v>
      </c>
      <c r="F1604" t="s">
        <v>47</v>
      </c>
      <c r="G1604">
        <v>-351.59230000000002</v>
      </c>
      <c r="H1604" s="1">
        <v>-6.894537E-7</v>
      </c>
      <c r="I1604">
        <v>282.61840000000001</v>
      </c>
      <c r="J1604">
        <v>-323.38709999999998</v>
      </c>
      <c r="K1604">
        <v>1.1077159999999999</v>
      </c>
      <c r="L1604">
        <v>284.14870000000002</v>
      </c>
      <c r="M1604">
        <v>-0.99989349999999999</v>
      </c>
      <c r="N1604">
        <v>0</v>
      </c>
      <c r="O1604">
        <v>1.1719769999999999E-2</v>
      </c>
      <c r="P1604">
        <v>-0.9873151</v>
      </c>
      <c r="Q1604">
        <v>0.15816820000000001</v>
      </c>
      <c r="R1604">
        <v>1.3866160000000001E-2</v>
      </c>
      <c r="S1604">
        <v>-3.059631</v>
      </c>
      <c r="T1604">
        <v>-0.11888170000000001</v>
      </c>
      <c r="U1604">
        <v>-0.16384889999999999</v>
      </c>
      <c r="V1604">
        <v>2.1735119999999998E-3</v>
      </c>
      <c r="W1604">
        <v>0.1667525</v>
      </c>
      <c r="X1604">
        <v>0.9859964</v>
      </c>
      <c r="Y1604">
        <v>-6.5117159999999993E-2</v>
      </c>
      <c r="Z1604">
        <v>-1.71859799999999E-3</v>
      </c>
      <c r="AA1604">
        <v>0.99787619999999999</v>
      </c>
      <c r="AB1604">
        <v>57</v>
      </c>
      <c r="AC1604">
        <v>-28.205200000000001</v>
      </c>
      <c r="AD1604">
        <v>-1.1077166894536901</v>
      </c>
      <c r="AE1604">
        <v>-1.53030000000001</v>
      </c>
      <c r="AF1604">
        <v>-1.8579086106516101</v>
      </c>
      <c r="AG1604">
        <v>-1.1077166894536901</v>
      </c>
      <c r="AH1604">
        <v>28.142048214625699</v>
      </c>
      <c r="AI1604">
        <v>92.249200034029798</v>
      </c>
      <c r="AJ1604">
        <v>93.777126306585203</v>
      </c>
      <c r="AK1604">
        <v>28.225055152894701</v>
      </c>
      <c r="AL1604">
        <v>80.400944190766197</v>
      </c>
      <c r="AM1604">
        <v>89.873698461163499</v>
      </c>
      <c r="AN1604">
        <v>1.0000000106118101</v>
      </c>
    </row>
    <row r="1605" spans="1:40" x14ac:dyDescent="0.25">
      <c r="A1605" t="str">
        <f>"20190312164504947"</f>
        <v>20190312164504947</v>
      </c>
      <c r="B1605" t="str">
        <f>"1552380304942851"</f>
        <v>1552380304942851</v>
      </c>
      <c r="C1605" t="s">
        <v>40</v>
      </c>
      <c r="D1605">
        <v>4.8297019999999904</v>
      </c>
      <c r="E1605">
        <v>0.47965459999999899</v>
      </c>
      <c r="F1605" t="s">
        <v>47</v>
      </c>
      <c r="G1605">
        <v>-351.79239999999999</v>
      </c>
      <c r="H1605" s="1">
        <v>-5.8294999999999996E-7</v>
      </c>
      <c r="I1605">
        <v>282.63389999999998</v>
      </c>
      <c r="J1605">
        <v>-323.74380000000002</v>
      </c>
      <c r="K1605">
        <v>1.1077410000000001</v>
      </c>
      <c r="L1605">
        <v>284.15280000000001</v>
      </c>
      <c r="M1605">
        <v>-0.99989539999999999</v>
      </c>
      <c r="N1605">
        <v>0</v>
      </c>
      <c r="O1605">
        <v>1.153128E-2</v>
      </c>
      <c r="P1605">
        <v>-0.9872609</v>
      </c>
      <c r="Q1605">
        <v>0.15848229999999999</v>
      </c>
      <c r="R1605">
        <v>1.4126690000000001E-2</v>
      </c>
      <c r="S1605">
        <v>-3.0599669999999999</v>
      </c>
      <c r="T1605">
        <v>-0.119329</v>
      </c>
      <c r="U1605">
        <v>-0.1631775</v>
      </c>
      <c r="V1605">
        <v>2.6116479999999998E-3</v>
      </c>
      <c r="W1605">
        <v>0.16710610000000001</v>
      </c>
      <c r="X1605">
        <v>0.98593540000000002</v>
      </c>
      <c r="Y1605">
        <v>-6.4704919999999999E-2</v>
      </c>
      <c r="Z1605">
        <v>-1.7095070000000001E-3</v>
      </c>
      <c r="AA1605">
        <v>0.99790299999999998</v>
      </c>
      <c r="AB1605">
        <v>57</v>
      </c>
      <c r="AC1605">
        <v>-28.048599999999901</v>
      </c>
      <c r="AD1605">
        <v>-1.1077415829499999</v>
      </c>
      <c r="AE1605">
        <v>-1.5189000000000299</v>
      </c>
      <c r="AF1605">
        <v>-1.8393869991891301</v>
      </c>
      <c r="AG1605">
        <v>-1.1077415829499999</v>
      </c>
      <c r="AH1605">
        <v>27.985696436437401</v>
      </c>
      <c r="AI1605">
        <v>92.261847148550899</v>
      </c>
      <c r="AJ1605">
        <v>93.760411945023293</v>
      </c>
      <c r="AK1605">
        <v>28.0679468607842</v>
      </c>
      <c r="AL1605">
        <v>80.380395415750399</v>
      </c>
      <c r="AM1605">
        <v>89.848229348503807</v>
      </c>
      <c r="AN1605">
        <v>0.99999994116782098</v>
      </c>
    </row>
    <row r="1606" spans="1:40" x14ac:dyDescent="0.25">
      <c r="A1606" t="str">
        <f>"20190312164504961"</f>
        <v>20190312164504961</v>
      </c>
      <c r="B1606" t="str">
        <f>"1552380304953588"</f>
        <v>1552380304953588</v>
      </c>
      <c r="C1606" t="s">
        <v>40</v>
      </c>
      <c r="D1606">
        <v>4.9238179999999998</v>
      </c>
      <c r="E1606">
        <v>0.479464</v>
      </c>
      <c r="F1606" t="s">
        <v>47</v>
      </c>
      <c r="G1606">
        <v>-351.99900000000002</v>
      </c>
      <c r="H1606" s="1">
        <v>-4.7302869999999999E-7</v>
      </c>
      <c r="I1606">
        <v>282.64909999999998</v>
      </c>
      <c r="J1606">
        <v>-324.08569999999997</v>
      </c>
      <c r="K1606">
        <v>1.107766</v>
      </c>
      <c r="L1606">
        <v>284.1567</v>
      </c>
      <c r="M1606">
        <v>-0.99989740000000005</v>
      </c>
      <c r="N1606">
        <v>0</v>
      </c>
      <c r="O1606">
        <v>1.1332729999999999E-2</v>
      </c>
      <c r="P1606">
        <v>-0.98725940000000001</v>
      </c>
      <c r="Q1606">
        <v>0.15848329999999999</v>
      </c>
      <c r="R1606">
        <v>1.4226620000000001E-2</v>
      </c>
      <c r="S1606">
        <v>-3.0603030000000002</v>
      </c>
      <c r="T1606">
        <v>-0.1199788</v>
      </c>
      <c r="U1606">
        <v>-0.1628723</v>
      </c>
      <c r="V1606">
        <v>2.898608E-3</v>
      </c>
      <c r="W1606">
        <v>0.16714270000000001</v>
      </c>
      <c r="X1606">
        <v>0.98592840000000004</v>
      </c>
      <c r="Y1606">
        <v>-6.4401490000000006E-2</v>
      </c>
      <c r="Z1606">
        <v>-1.704908E-3</v>
      </c>
      <c r="AA1606">
        <v>0.99792259999999999</v>
      </c>
      <c r="AB1606">
        <v>57</v>
      </c>
      <c r="AC1606">
        <v>-27.9133</v>
      </c>
      <c r="AD1606">
        <v>-1.10776647302869</v>
      </c>
      <c r="AE1606">
        <v>-1.50760000000002</v>
      </c>
      <c r="AF1606">
        <v>-1.82098953831118</v>
      </c>
      <c r="AG1606">
        <v>-1.10776647302869</v>
      </c>
      <c r="AH1606">
        <v>27.850684872521299</v>
      </c>
      <c r="AI1606">
        <v>92.272902111727106</v>
      </c>
      <c r="AJ1606">
        <v>93.740903175907206</v>
      </c>
      <c r="AK1606">
        <v>27.932128406655501</v>
      </c>
      <c r="AL1606">
        <v>80.378268533166505</v>
      </c>
      <c r="AM1606">
        <v>89.831552142763599</v>
      </c>
      <c r="AN1606">
        <v>0.99999994700909201</v>
      </c>
    </row>
    <row r="1607" spans="1:40" x14ac:dyDescent="0.25">
      <c r="A1607" t="str">
        <f>"20190312164504977"</f>
        <v>20190312164504977</v>
      </c>
      <c r="B1607" t="str">
        <f>"1552380304973108"</f>
        <v>1552380304973108</v>
      </c>
      <c r="C1607" t="s">
        <v>40</v>
      </c>
      <c r="D1607">
        <v>4.9311379999999998</v>
      </c>
      <c r="E1607">
        <v>0.47901709999999897</v>
      </c>
      <c r="F1607" t="s">
        <v>47</v>
      </c>
      <c r="G1607">
        <v>-352.4051</v>
      </c>
      <c r="H1607" s="1">
        <v>-2.5692149999999999E-7</v>
      </c>
      <c r="I1607">
        <v>282.63389999999998</v>
      </c>
      <c r="J1607">
        <v>-324.50970000000001</v>
      </c>
      <c r="K1607">
        <v>1.1077969999999999</v>
      </c>
      <c r="L1607">
        <v>284.16140000000001</v>
      </c>
      <c r="M1607">
        <v>-0.99989989999999995</v>
      </c>
      <c r="N1607">
        <v>0</v>
      </c>
      <c r="O1607">
        <v>1.1073039999999999E-2</v>
      </c>
      <c r="P1607">
        <v>-0.98726769999999997</v>
      </c>
      <c r="Q1607">
        <v>0.15838060000000001</v>
      </c>
      <c r="R1607">
        <v>1.4773140000000001E-2</v>
      </c>
      <c r="S1607">
        <v>-3.0602420000000001</v>
      </c>
      <c r="T1607">
        <v>-0.11970699999999999</v>
      </c>
      <c r="U1607">
        <v>-0.164550799999999</v>
      </c>
      <c r="V1607">
        <v>3.6900230000000002E-3</v>
      </c>
      <c r="W1607">
        <v>0.16708299999999901</v>
      </c>
      <c r="X1607">
        <v>0.98593589999999998</v>
      </c>
      <c r="Y1607">
        <v>-6.4689380000000005E-2</v>
      </c>
      <c r="Z1607">
        <v>-1.6965330000000001E-3</v>
      </c>
      <c r="AA1607">
        <v>0.99790400000000001</v>
      </c>
      <c r="AB1607">
        <v>57</v>
      </c>
      <c r="AC1607">
        <v>-27.895399999999899</v>
      </c>
      <c r="AD1607">
        <v>-1.1077972569215</v>
      </c>
      <c r="AE1607">
        <v>-1.5275000000000301</v>
      </c>
      <c r="AF1607">
        <v>-1.83342238604788</v>
      </c>
      <c r="AG1607">
        <v>-1.1077972569215</v>
      </c>
      <c r="AH1607">
        <v>27.8330111026245</v>
      </c>
      <c r="AI1607">
        <v>92.274334526245397</v>
      </c>
      <c r="AJ1607">
        <v>93.7687557406732</v>
      </c>
      <c r="AK1607">
        <v>27.915321231304599</v>
      </c>
      <c r="AL1607">
        <v>80.381738121081696</v>
      </c>
      <c r="AM1607">
        <v>89.785562370691494</v>
      </c>
      <c r="AN1607">
        <v>0.999999972033774</v>
      </c>
    </row>
    <row r="1608" spans="1:40" x14ac:dyDescent="0.25">
      <c r="A1608" t="str">
        <f>"20190312164504992"</f>
        <v>20190312164504992</v>
      </c>
      <c r="B1608" t="str">
        <f>"1552380304982868"</f>
        <v>1552380304982868</v>
      </c>
      <c r="C1608" t="s">
        <v>40</v>
      </c>
      <c r="D1608">
        <v>4.6921780000000002</v>
      </c>
      <c r="E1608">
        <v>0.47882750000000002</v>
      </c>
      <c r="F1608" t="s">
        <v>47</v>
      </c>
      <c r="G1608">
        <v>-352.63220000000001</v>
      </c>
      <c r="H1608" s="1">
        <v>-1.3607230000000001E-7</v>
      </c>
      <c r="I1608">
        <v>282.62869999999998</v>
      </c>
      <c r="J1608">
        <v>-324.87920000000003</v>
      </c>
      <c r="K1608">
        <v>1.1078239999999999</v>
      </c>
      <c r="L1608">
        <v>284.16550000000001</v>
      </c>
      <c r="M1608">
        <v>-0.99990210000000002</v>
      </c>
      <c r="N1608">
        <v>0</v>
      </c>
      <c r="O1608">
        <v>1.083403E-2</v>
      </c>
      <c r="P1608">
        <v>-0.98737750000000002</v>
      </c>
      <c r="Q1608">
        <v>0.15770309999999901</v>
      </c>
      <c r="R1608">
        <v>1.467766E-2</v>
      </c>
      <c r="S1608">
        <v>-3.060486</v>
      </c>
      <c r="T1608">
        <v>-0.12055829999999999</v>
      </c>
      <c r="U1608">
        <v>-0.16680909999999999</v>
      </c>
      <c r="V1608">
        <v>3.8197719999999999E-3</v>
      </c>
      <c r="W1608">
        <v>0.16644120000000001</v>
      </c>
      <c r="X1608">
        <v>0.98604400000000003</v>
      </c>
      <c r="Y1608">
        <v>-6.5179769999999998E-2</v>
      </c>
      <c r="Z1608">
        <v>-1.7086619999999999E-3</v>
      </c>
      <c r="AA1608">
        <v>0.99787210000000004</v>
      </c>
      <c r="AB1608">
        <v>57</v>
      </c>
      <c r="AC1608">
        <v>-27.752999999999901</v>
      </c>
      <c r="AD1608">
        <v>-1.1078241360723</v>
      </c>
      <c r="AE1608">
        <v>-1.5368000000000199</v>
      </c>
      <c r="AF1608">
        <v>-1.8344843110476801</v>
      </c>
      <c r="AG1608">
        <v>-1.1078241360723</v>
      </c>
      <c r="AH1608">
        <v>27.690733435546999</v>
      </c>
      <c r="AI1608">
        <v>92.2860067221132</v>
      </c>
      <c r="AJ1608">
        <v>93.790251403421195</v>
      </c>
      <c r="AK1608">
        <v>27.773536418728899</v>
      </c>
      <c r="AL1608">
        <v>80.419033218501099</v>
      </c>
      <c r="AM1608">
        <v>89.778046700201401</v>
      </c>
      <c r="AN1608">
        <v>1.0000000168257801</v>
      </c>
    </row>
    <row r="1609" spans="1:40" x14ac:dyDescent="0.25">
      <c r="A1609" t="str">
        <f>"20190312164505011"</f>
        <v>20190312164505011</v>
      </c>
      <c r="B1609" t="str">
        <f>"1552380305003364"</f>
        <v>1552380305003364</v>
      </c>
      <c r="C1609" t="s">
        <v>40</v>
      </c>
      <c r="D1609">
        <v>4.9362139999999997</v>
      </c>
      <c r="E1609">
        <v>0.47847390000000001</v>
      </c>
      <c r="F1609" t="s">
        <v>47</v>
      </c>
      <c r="G1609">
        <v>-352.46570000000003</v>
      </c>
      <c r="H1609" s="1">
        <v>-2.246549E-7</v>
      </c>
      <c r="I1609">
        <v>282.64839999999998</v>
      </c>
      <c r="J1609">
        <v>-325.36439999999999</v>
      </c>
      <c r="K1609">
        <v>1.107856</v>
      </c>
      <c r="L1609">
        <v>284.17070000000001</v>
      </c>
      <c r="M1609">
        <v>-0.9999055</v>
      </c>
      <c r="N1609">
        <v>0</v>
      </c>
      <c r="O1609">
        <v>1.050127E-2</v>
      </c>
      <c r="P1609">
        <v>-0.98741069999999997</v>
      </c>
      <c r="Q1609">
        <v>0.15752169999999999</v>
      </c>
      <c r="R1609">
        <v>1.4398559999999999E-2</v>
      </c>
      <c r="S1609">
        <v>-3.0605159999999998</v>
      </c>
      <c r="T1609">
        <v>-0.12290470000000001</v>
      </c>
      <c r="U1609">
        <v>-0.16830439999999999</v>
      </c>
      <c r="V1609">
        <v>3.8563439999999998E-3</v>
      </c>
      <c r="W1609">
        <v>0.16630259999999999</v>
      </c>
      <c r="X1609">
        <v>0.98606720000000003</v>
      </c>
      <c r="Y1609">
        <v>-6.5331089999999994E-2</v>
      </c>
      <c r="Z1609">
        <v>-1.7315360000000001E-3</v>
      </c>
      <c r="AA1609">
        <v>0.99786220000000003</v>
      </c>
      <c r="AB1609">
        <v>57</v>
      </c>
      <c r="AC1609">
        <v>-27.101299999999998</v>
      </c>
      <c r="AD1609">
        <v>-1.10785622465489</v>
      </c>
      <c r="AE1609">
        <v>-1.52230000000002</v>
      </c>
      <c r="AF1609">
        <v>-1.80382055051333</v>
      </c>
      <c r="AG1609">
        <v>-1.10785622465489</v>
      </c>
      <c r="AH1609">
        <v>27.038778068763399</v>
      </c>
      <c r="AI1609">
        <v>92.341062022272993</v>
      </c>
      <c r="AJ1609">
        <v>93.816680969366004</v>
      </c>
      <c r="AK1609">
        <v>27.121516060957902</v>
      </c>
      <c r="AL1609">
        <v>80.427086244871006</v>
      </c>
      <c r="AM1609">
        <v>89.775926925567205</v>
      </c>
      <c r="AN1609">
        <v>0.99999997453582201</v>
      </c>
    </row>
    <row r="1610" spans="1:40" x14ac:dyDescent="0.25">
      <c r="A1610" t="str">
        <f>"20190312164505022"</f>
        <v>20190312164505022</v>
      </c>
      <c r="B1610" t="str">
        <f>"1552380305013123"</f>
        <v>1552380305013123</v>
      </c>
      <c r="C1610" t="s">
        <v>40</v>
      </c>
      <c r="D1610">
        <v>4.8742260000000002</v>
      </c>
      <c r="E1610">
        <v>0.47832530000000001</v>
      </c>
      <c r="F1610" t="s">
        <v>47</v>
      </c>
      <c r="G1610">
        <v>-352.79500000000002</v>
      </c>
      <c r="H1610" s="1">
        <v>-4.9438540000000002E-8</v>
      </c>
      <c r="I1610">
        <v>282.63130000000001</v>
      </c>
      <c r="J1610">
        <v>-325.66669999999999</v>
      </c>
      <c r="K1610">
        <v>1.1078709999999901</v>
      </c>
      <c r="L1610">
        <v>284.1737</v>
      </c>
      <c r="M1610">
        <v>-0.99990749999999995</v>
      </c>
      <c r="N1610">
        <v>0</v>
      </c>
      <c r="O1610">
        <v>1.0285219999999999E-2</v>
      </c>
      <c r="P1610">
        <v>-0.98743159999999996</v>
      </c>
      <c r="Q1610">
        <v>0.15739529999999999</v>
      </c>
      <c r="R1610">
        <v>1.435429E-2</v>
      </c>
      <c r="S1610">
        <v>-3.060486</v>
      </c>
      <c r="T1610">
        <v>-0.1236056</v>
      </c>
      <c r="U1610">
        <v>-0.17175289999999999</v>
      </c>
      <c r="V1610">
        <v>4.0177529999999998E-3</v>
      </c>
      <c r="W1610">
        <v>0.1662005</v>
      </c>
      <c r="X1610">
        <v>0.98608379999999995</v>
      </c>
      <c r="Y1610">
        <v>-6.6235639999999998E-2</v>
      </c>
      <c r="Z1610">
        <v>-1.750894E-3</v>
      </c>
      <c r="AA1610">
        <v>0.99780250000000004</v>
      </c>
      <c r="AB1610">
        <v>57</v>
      </c>
      <c r="AC1610">
        <v>-27.128299999999999</v>
      </c>
      <c r="AD1610">
        <v>-1.10787104943853</v>
      </c>
      <c r="AE1610">
        <v>-1.54239999999998</v>
      </c>
      <c r="AF1610">
        <v>-1.81832723366648</v>
      </c>
      <c r="AG1610">
        <v>-1.10787104943853</v>
      </c>
      <c r="AH1610">
        <v>27.0660062769443</v>
      </c>
      <c r="AI1610">
        <v>92.338667807276096</v>
      </c>
      <c r="AJ1610">
        <v>93.843424926940799</v>
      </c>
      <c r="AK1610">
        <v>27.149629610262899</v>
      </c>
      <c r="AL1610">
        <v>80.4330189940667</v>
      </c>
      <c r="AM1610">
        <v>89.766552278646401</v>
      </c>
      <c r="AN1610">
        <v>1.0000000045809201</v>
      </c>
    </row>
    <row r="1611" spans="1:40" x14ac:dyDescent="0.25">
      <c r="A1611" t="str">
        <f>"20190312164505033"</f>
        <v>20190312164505033</v>
      </c>
      <c r="B1611" t="str">
        <f>"1552380305022884"</f>
        <v>1552380305022884</v>
      </c>
      <c r="C1611" t="s">
        <v>40</v>
      </c>
      <c r="D1611">
        <v>4.7411070000000004</v>
      </c>
      <c r="E1611">
        <v>0.47812909999999997</v>
      </c>
      <c r="F1611" t="s">
        <v>47</v>
      </c>
      <c r="G1611">
        <v>-352.95389999999998</v>
      </c>
      <c r="H1611" s="1">
        <v>3.5157029999999998E-8</v>
      </c>
      <c r="I1611">
        <v>282.63040000000001</v>
      </c>
      <c r="J1611">
        <v>-325.94990000000001</v>
      </c>
      <c r="K1611">
        <v>1.107885</v>
      </c>
      <c r="L1611">
        <v>284.17660000000001</v>
      </c>
      <c r="M1611">
        <v>-0.9999093</v>
      </c>
      <c r="N1611">
        <v>0</v>
      </c>
      <c r="O1611">
        <v>1.007945E-2</v>
      </c>
      <c r="P1611">
        <v>-0.98748939999999996</v>
      </c>
      <c r="Q1611">
        <v>0.15707499999999999</v>
      </c>
      <c r="R1611">
        <v>1.387904E-2</v>
      </c>
      <c r="S1611">
        <v>-3.0605159999999998</v>
      </c>
      <c r="T1611">
        <v>-0.1242578</v>
      </c>
      <c r="U1611">
        <v>-0.17309569999999999</v>
      </c>
      <c r="V1611">
        <v>3.7388289999999999E-3</v>
      </c>
      <c r="W1611">
        <v>0.16590289999999999</v>
      </c>
      <c r="X1611">
        <v>0.98613499999999998</v>
      </c>
      <c r="Y1611">
        <v>-6.6465469999999999E-2</v>
      </c>
      <c r="Z1611">
        <v>-1.7564010000000001E-3</v>
      </c>
      <c r="AA1611">
        <v>0.99778719999999999</v>
      </c>
      <c r="AB1611">
        <v>57</v>
      </c>
      <c r="AC1611">
        <v>-27.003999999999898</v>
      </c>
      <c r="AD1611">
        <v>-1.1078849648429601</v>
      </c>
      <c r="AE1611">
        <v>-1.54619999999999</v>
      </c>
      <c r="AF1611">
        <v>-1.8152723129427299</v>
      </c>
      <c r="AG1611">
        <v>-1.1078849648429601</v>
      </c>
      <c r="AH1611">
        <v>26.9418425970455</v>
      </c>
      <c r="AI1611">
        <v>92.349432333647599</v>
      </c>
      <c r="AJ1611">
        <v>93.854616882589397</v>
      </c>
      <c r="AK1611">
        <v>27.025645324199701</v>
      </c>
      <c r="AL1611">
        <v>80.450310176270406</v>
      </c>
      <c r="AM1611">
        <v>89.7827700106115</v>
      </c>
      <c r="AN1611">
        <v>0.99999999464785005</v>
      </c>
    </row>
    <row r="1612" spans="1:40" x14ac:dyDescent="0.25">
      <c r="A1612" t="str">
        <f>"20190312164505045"</f>
        <v>20190312164505045</v>
      </c>
      <c r="B1612" t="str">
        <f>"1552380305033620"</f>
        <v>1552380305033620</v>
      </c>
      <c r="C1612" t="s">
        <v>40</v>
      </c>
      <c r="D1612">
        <v>4.7693180000000002</v>
      </c>
      <c r="E1612">
        <v>0.47812909999999997</v>
      </c>
      <c r="F1612" t="s">
        <v>47</v>
      </c>
      <c r="G1612">
        <v>-352.82089999999999</v>
      </c>
      <c r="H1612" s="1">
        <v>-3.5632180000000002E-8</v>
      </c>
      <c r="I1612">
        <v>282.62689999999998</v>
      </c>
      <c r="J1612">
        <v>-326.24900000000002</v>
      </c>
      <c r="K1612">
        <v>1.107899</v>
      </c>
      <c r="L1612">
        <v>284.17959999999999</v>
      </c>
      <c r="M1612">
        <v>-0.99991129999999995</v>
      </c>
      <c r="N1612">
        <v>0</v>
      </c>
      <c r="O1612">
        <v>9.8575239999999995E-3</v>
      </c>
      <c r="P1612">
        <v>-0.98752390000000001</v>
      </c>
      <c r="Q1612">
        <v>0.1568899</v>
      </c>
      <c r="R1612">
        <v>1.3504210000000001E-2</v>
      </c>
      <c r="S1612">
        <v>-3.0606080000000002</v>
      </c>
      <c r="T1612">
        <v>-0.12618779999999999</v>
      </c>
      <c r="U1612">
        <v>-0.1765137</v>
      </c>
      <c r="V1612">
        <v>3.5762250000000002E-3</v>
      </c>
      <c r="W1612">
        <v>0.1657402</v>
      </c>
      <c r="X1612">
        <v>0.98616300000000001</v>
      </c>
      <c r="Y1612">
        <v>-6.7350460000000001E-2</v>
      </c>
      <c r="Z1612">
        <v>-1.792631E-3</v>
      </c>
      <c r="AA1612">
        <v>0.99772780000000005</v>
      </c>
      <c r="AB1612">
        <v>57</v>
      </c>
      <c r="AC1612">
        <v>-26.5718999999999</v>
      </c>
      <c r="AD1612">
        <v>-1.1078990356321801</v>
      </c>
      <c r="AE1612">
        <v>-1.55270000000001</v>
      </c>
      <c r="AF1612">
        <v>-1.81142988920278</v>
      </c>
      <c r="AG1612">
        <v>-1.1078990356321801</v>
      </c>
      <c r="AH1612">
        <v>26.5093748143601</v>
      </c>
      <c r="AI1612">
        <v>92.387592999430794</v>
      </c>
      <c r="AJ1612">
        <v>93.909039883781602</v>
      </c>
      <c r="AK1612">
        <v>26.594278925454599</v>
      </c>
      <c r="AL1612">
        <v>80.459763436196994</v>
      </c>
      <c r="AM1612">
        <v>89.792223292817596</v>
      </c>
      <c r="AN1612">
        <v>1.0000000329251399</v>
      </c>
    </row>
    <row r="1613" spans="1:40" x14ac:dyDescent="0.25">
      <c r="A1613" t="str">
        <f>"20190312164505057"</f>
        <v>20190312164505057</v>
      </c>
      <c r="B1613" t="str">
        <f>"1552380305053141"</f>
        <v>1552380305053141</v>
      </c>
      <c r="C1613" t="s">
        <v>40</v>
      </c>
      <c r="D1613">
        <v>4.916595</v>
      </c>
      <c r="E1613">
        <v>0.47768080000000002</v>
      </c>
      <c r="F1613" t="s">
        <v>47</v>
      </c>
      <c r="G1613">
        <v>-353.00670000000002</v>
      </c>
      <c r="H1613" s="1">
        <v>6.3239329999999994E-8</v>
      </c>
      <c r="I1613">
        <v>282.6259</v>
      </c>
      <c r="J1613">
        <v>-326.52929999999998</v>
      </c>
      <c r="K1613">
        <v>1.1079139999999901</v>
      </c>
      <c r="L1613">
        <v>284.1823</v>
      </c>
      <c r="M1613">
        <v>-0.99991319999999995</v>
      </c>
      <c r="N1613">
        <v>0</v>
      </c>
      <c r="O1613">
        <v>9.645888E-3</v>
      </c>
      <c r="P1613">
        <v>-0.98755340000000003</v>
      </c>
      <c r="Q1613">
        <v>0.1567346</v>
      </c>
      <c r="R1613">
        <v>1.3141190000000001E-2</v>
      </c>
      <c r="S1613">
        <v>-3.0604550000000001</v>
      </c>
      <c r="T1613">
        <v>-0.12671740000000001</v>
      </c>
      <c r="U1613">
        <v>-0.1777039</v>
      </c>
      <c r="V1613">
        <v>3.4162239999999998E-3</v>
      </c>
      <c r="W1613">
        <v>0.16560420000000001</v>
      </c>
      <c r="X1613">
        <v>0.98618640000000002</v>
      </c>
      <c r="Y1613">
        <v>-6.7528329999999998E-2</v>
      </c>
      <c r="Z1613">
        <v>-1.7951429999999999E-3</v>
      </c>
      <c r="AA1613">
        <v>0.99771580000000004</v>
      </c>
      <c r="AB1613">
        <v>57</v>
      </c>
      <c r="AC1613">
        <v>-26.477399999999999</v>
      </c>
      <c r="AD1613">
        <v>-1.1079139367606601</v>
      </c>
      <c r="AE1613">
        <v>-1.55639999999999</v>
      </c>
      <c r="AF1613">
        <v>-1.80858016882034</v>
      </c>
      <c r="AG1613">
        <v>-1.1079139367606601</v>
      </c>
      <c r="AH1613">
        <v>26.415063758054501</v>
      </c>
      <c r="AI1613">
        <v>92.3961176430074</v>
      </c>
      <c r="AJ1613">
        <v>93.916800709298002</v>
      </c>
      <c r="AK1613">
        <v>26.500076016125</v>
      </c>
      <c r="AL1613">
        <v>80.467664714719902</v>
      </c>
      <c r="AM1613">
        <v>89.801523896346595</v>
      </c>
      <c r="AN1613">
        <v>1.0000000185944999</v>
      </c>
    </row>
    <row r="1614" spans="1:40" x14ac:dyDescent="0.25">
      <c r="A1614" t="str">
        <f>"20190312164505068"</f>
        <v>20190312164505068</v>
      </c>
      <c r="B1614" t="str">
        <f>"1552380305062900"</f>
        <v>1552380305062900</v>
      </c>
      <c r="C1614" t="s">
        <v>40</v>
      </c>
      <c r="D1614">
        <v>4.7637850000000004</v>
      </c>
      <c r="E1614">
        <v>0.47760629999999998</v>
      </c>
      <c r="F1614" t="s">
        <v>47</v>
      </c>
      <c r="G1614">
        <v>-352.92020000000002</v>
      </c>
      <c r="H1614" s="1">
        <v>1.718951E-8</v>
      </c>
      <c r="I1614">
        <v>282.6087</v>
      </c>
      <c r="J1614">
        <v>-326.83139999999997</v>
      </c>
      <c r="K1614">
        <v>1.1079300000000001</v>
      </c>
      <c r="L1614">
        <v>284.18520000000001</v>
      </c>
      <c r="M1614">
        <v>-0.9999152</v>
      </c>
      <c r="N1614">
        <v>0</v>
      </c>
      <c r="O1614">
        <v>9.4162359999999997E-3</v>
      </c>
      <c r="P1614">
        <v>-0.98759479999999999</v>
      </c>
      <c r="Q1614">
        <v>0.15650029999999901</v>
      </c>
      <c r="R1614">
        <v>1.282018E-2</v>
      </c>
      <c r="S1614">
        <v>-3.0606080000000002</v>
      </c>
      <c r="T1614">
        <v>-0.1284872</v>
      </c>
      <c r="U1614">
        <v>-0.18249509999999999</v>
      </c>
      <c r="V1614">
        <v>3.3157120000000002E-3</v>
      </c>
      <c r="W1614">
        <v>0.16539119999999999</v>
      </c>
      <c r="X1614">
        <v>0.98622240000000005</v>
      </c>
      <c r="Y1614">
        <v>-6.8849960000000002E-2</v>
      </c>
      <c r="Z1614">
        <v>-1.8380950000000001E-3</v>
      </c>
      <c r="AA1614">
        <v>0.9976254</v>
      </c>
      <c r="AB1614">
        <v>58</v>
      </c>
      <c r="AC1614">
        <v>-26.088799999999999</v>
      </c>
      <c r="AD1614">
        <v>-1.1079299828104801</v>
      </c>
      <c r="AE1614">
        <v>-1.57650000000001</v>
      </c>
      <c r="AF1614">
        <v>-1.8188300133119799</v>
      </c>
      <c r="AG1614">
        <v>-1.1079299828104801</v>
      </c>
      <c r="AH1614">
        <v>26.026030792987399</v>
      </c>
      <c r="AI1614">
        <v>92.431689922948806</v>
      </c>
      <c r="AJ1614">
        <v>93.997617867416594</v>
      </c>
      <c r="AK1614">
        <v>26.113022236073299</v>
      </c>
      <c r="AL1614">
        <v>80.480038533660206</v>
      </c>
      <c r="AM1614">
        <v>89.807370439059497</v>
      </c>
      <c r="AN1614">
        <v>0.99999993262263098</v>
      </c>
    </row>
    <row r="1615" spans="1:40" x14ac:dyDescent="0.25">
      <c r="A1615" t="str">
        <f>"20190312164505080"</f>
        <v>20190312164505080</v>
      </c>
      <c r="B1615" t="str">
        <f>"1552380305073637"</f>
        <v>1552380305073637</v>
      </c>
      <c r="C1615" t="s">
        <v>40</v>
      </c>
      <c r="D1615">
        <v>4.8534220000000001</v>
      </c>
      <c r="E1615">
        <v>0.47746919999999998</v>
      </c>
      <c r="F1615" t="s">
        <v>47</v>
      </c>
      <c r="G1615">
        <v>-353.0301</v>
      </c>
      <c r="H1615" s="1">
        <v>7.5668199999999997E-8</v>
      </c>
      <c r="I1615">
        <v>282.60739999999998</v>
      </c>
      <c r="J1615">
        <v>-327.14080000000001</v>
      </c>
      <c r="K1615">
        <v>1.107944</v>
      </c>
      <c r="L1615">
        <v>284.18810000000002</v>
      </c>
      <c r="M1615">
        <v>-0.99991730000000001</v>
      </c>
      <c r="N1615">
        <v>0</v>
      </c>
      <c r="O1615">
        <v>9.1765240000000001E-3</v>
      </c>
      <c r="P1615">
        <v>-0.98761220000000005</v>
      </c>
      <c r="Q1615">
        <v>0.15642700000000001</v>
      </c>
      <c r="R1615">
        <v>1.237368E-2</v>
      </c>
      <c r="S1615">
        <v>-3.0605769999999999</v>
      </c>
      <c r="T1615">
        <v>-0.1294302</v>
      </c>
      <c r="U1615">
        <v>-0.1843262</v>
      </c>
      <c r="V1615">
        <v>3.1001100000000001E-3</v>
      </c>
      <c r="W1615">
        <v>0.1653376</v>
      </c>
      <c r="X1615">
        <v>0.9862322</v>
      </c>
      <c r="Y1615">
        <v>-6.9204979999999999E-2</v>
      </c>
      <c r="Z1615">
        <v>-1.8489299999999999E-3</v>
      </c>
      <c r="AA1615">
        <v>0.99760070000000001</v>
      </c>
      <c r="AB1615">
        <v>58</v>
      </c>
      <c r="AC1615">
        <v>-25.889299999999899</v>
      </c>
      <c r="AD1615">
        <v>-1.1079439243317999</v>
      </c>
      <c r="AE1615">
        <v>-1.58070000000003</v>
      </c>
      <c r="AF1615">
        <v>-1.8149053035970899</v>
      </c>
      <c r="AG1615">
        <v>-1.1079439243317999</v>
      </c>
      <c r="AH1615">
        <v>25.826579514359398</v>
      </c>
      <c r="AI1615">
        <v>92.450410983469396</v>
      </c>
      <c r="AJ1615">
        <v>94.019725055481999</v>
      </c>
      <c r="AK1615">
        <v>25.913965933681698</v>
      </c>
      <c r="AL1615">
        <v>80.483153513781701</v>
      </c>
      <c r="AM1615">
        <v>89.819897754296704</v>
      </c>
      <c r="AN1615">
        <v>1.0000000424863</v>
      </c>
    </row>
    <row r="1616" spans="1:40" x14ac:dyDescent="0.25">
      <c r="A1616" t="str">
        <f>"20190312164505091"</f>
        <v>20190312164505091</v>
      </c>
      <c r="B1616" t="str">
        <f>"1552380305083397"</f>
        <v>1552380305083397</v>
      </c>
      <c r="C1616" t="s">
        <v>40</v>
      </c>
      <c r="D1616">
        <v>4.9262059999999996</v>
      </c>
      <c r="E1616">
        <v>0.47738829999999999</v>
      </c>
      <c r="F1616" t="s">
        <v>47</v>
      </c>
      <c r="G1616">
        <v>-353.12459999999999</v>
      </c>
      <c r="H1616" s="1">
        <v>1.2596619999999999E-7</v>
      </c>
      <c r="I1616">
        <v>282.60329999999999</v>
      </c>
      <c r="J1616">
        <v>-327.4359</v>
      </c>
      <c r="K1616">
        <v>1.1079559999999999</v>
      </c>
      <c r="L1616">
        <v>284.19080000000002</v>
      </c>
      <c r="M1616">
        <v>-0.99991920000000001</v>
      </c>
      <c r="N1616">
        <v>0</v>
      </c>
      <c r="O1616">
        <v>8.9475010000000001E-3</v>
      </c>
      <c r="P1616">
        <v>-0.98760599999999998</v>
      </c>
      <c r="Q1616">
        <v>0.156474799999999</v>
      </c>
      <c r="R1616">
        <v>1.225935E-2</v>
      </c>
      <c r="S1616">
        <v>-3.060638</v>
      </c>
      <c r="T1616">
        <v>-0.13050499999999901</v>
      </c>
      <c r="U1616">
        <v>-0.18667600000000001</v>
      </c>
      <c r="V1616">
        <v>3.2064789999999999E-3</v>
      </c>
      <c r="W1616">
        <v>0.16540350000000001</v>
      </c>
      <c r="X1616">
        <v>0.98622080000000001</v>
      </c>
      <c r="Y1616">
        <v>-6.9736969999999995E-2</v>
      </c>
      <c r="Z1616">
        <v>-1.865762E-3</v>
      </c>
      <c r="AA1616">
        <v>0.99756369999999905</v>
      </c>
      <c r="AB1616">
        <v>58</v>
      </c>
      <c r="AC1616">
        <v>-25.688699999999901</v>
      </c>
      <c r="AD1616">
        <v>-1.1079558740338</v>
      </c>
      <c r="AE1616">
        <v>-1.5875000000000301</v>
      </c>
      <c r="AF1616">
        <v>-1.8139340367326899</v>
      </c>
      <c r="AG1616">
        <v>-1.1079558740338</v>
      </c>
      <c r="AH1616">
        <v>25.6259786642274</v>
      </c>
      <c r="AI1616">
        <v>92.469507152615094</v>
      </c>
      <c r="AJ1616">
        <v>94.048926437677096</v>
      </c>
      <c r="AK1616">
        <v>25.713978793797398</v>
      </c>
      <c r="AL1616">
        <v>80.479324916600802</v>
      </c>
      <c r="AM1616">
        <v>89.813716090298598</v>
      </c>
      <c r="AN1616">
        <v>1.00000003283623</v>
      </c>
    </row>
    <row r="1617" spans="1:40" x14ac:dyDescent="0.25">
      <c r="A1617" t="str">
        <f>"20190312164505103"</f>
        <v>20190312164505103</v>
      </c>
      <c r="B1617" t="str">
        <f>"1552380305093157"</f>
        <v>1552380305093157</v>
      </c>
      <c r="C1617" t="s">
        <v>40</v>
      </c>
      <c r="D1617">
        <v>4.9554970000000003</v>
      </c>
      <c r="E1617">
        <v>0.47730089999999997</v>
      </c>
      <c r="F1617" t="s">
        <v>47</v>
      </c>
      <c r="G1617">
        <v>-353.42720000000003</v>
      </c>
      <c r="H1617" s="1">
        <v>2.8701519999999999E-7</v>
      </c>
      <c r="I1617">
        <v>282.59539999999998</v>
      </c>
      <c r="J1617">
        <v>-327.74900000000002</v>
      </c>
      <c r="K1617">
        <v>1.1079650000000001</v>
      </c>
      <c r="L1617">
        <v>284.19349999999997</v>
      </c>
      <c r="M1617">
        <v>-0.99992119999999995</v>
      </c>
      <c r="N1617">
        <v>0</v>
      </c>
      <c r="O1617">
        <v>8.7022049999999993E-3</v>
      </c>
      <c r="P1617">
        <v>-0.98762110000000003</v>
      </c>
      <c r="Q1617">
        <v>0.15641269999999999</v>
      </c>
      <c r="R1617">
        <v>1.1833710000000001E-2</v>
      </c>
      <c r="S1617">
        <v>-3.060638</v>
      </c>
      <c r="T1617">
        <v>-0.13046820000000001</v>
      </c>
      <c r="U1617">
        <v>-0.18786620000000001</v>
      </c>
      <c r="V1617">
        <v>3.0177530000000002E-3</v>
      </c>
      <c r="W1617">
        <v>0.1653597</v>
      </c>
      <c r="X1617">
        <v>0.98622869999999996</v>
      </c>
      <c r="Y1617">
        <v>-6.9878860000000001E-2</v>
      </c>
      <c r="Z1617">
        <v>-1.8577929999999999E-3</v>
      </c>
      <c r="AA1617">
        <v>0.99755380000000005</v>
      </c>
      <c r="AB1617">
        <v>58</v>
      </c>
      <c r="AC1617">
        <v>-25.6782</v>
      </c>
      <c r="AD1617">
        <v>-1.10796471298479</v>
      </c>
      <c r="AE1617">
        <v>-1.5980999999999801</v>
      </c>
      <c r="AF1617">
        <v>-1.8181337300671301</v>
      </c>
      <c r="AG1617">
        <v>-1.10796471298479</v>
      </c>
      <c r="AH1617">
        <v>25.6158136718301</v>
      </c>
      <c r="AI1617">
        <v>92.470472166569394</v>
      </c>
      <c r="AJ1617">
        <v>94.059874428226905</v>
      </c>
      <c r="AK1617">
        <v>25.7041456993915</v>
      </c>
      <c r="AL1617">
        <v>80.481869128545</v>
      </c>
      <c r="AM1617">
        <v>89.824681667766697</v>
      </c>
      <c r="AN1617">
        <v>0.99999999296047404</v>
      </c>
    </row>
    <row r="1618" spans="1:40" x14ac:dyDescent="0.25">
      <c r="A1618" t="str">
        <f>"20190312164505114"</f>
        <v>20190312164505114</v>
      </c>
      <c r="B1618" t="str">
        <f>"1552380305102916"</f>
        <v>1552380305102916</v>
      </c>
      <c r="C1618" t="s">
        <v>40</v>
      </c>
      <c r="D1618">
        <v>4.8005490000000002</v>
      </c>
      <c r="E1618">
        <v>0.47723549999999998</v>
      </c>
      <c r="F1618" t="s">
        <v>47</v>
      </c>
      <c r="G1618">
        <v>-353.72070000000002</v>
      </c>
      <c r="H1618" s="1">
        <v>4.4320429999999998E-7</v>
      </c>
      <c r="I1618">
        <v>282.5822</v>
      </c>
      <c r="J1618">
        <v>-328.0335</v>
      </c>
      <c r="K1618">
        <v>1.1079760000000001</v>
      </c>
      <c r="L1618">
        <v>284.19600000000003</v>
      </c>
      <c r="M1618">
        <v>-0.99992289999999995</v>
      </c>
      <c r="N1618">
        <v>0</v>
      </c>
      <c r="O1618">
        <v>8.478579E-3</v>
      </c>
      <c r="P1618">
        <v>-0.98756279999999996</v>
      </c>
      <c r="Q1618">
        <v>0.1567897</v>
      </c>
      <c r="R1618">
        <v>1.1697839999999999E-2</v>
      </c>
      <c r="S1618">
        <v>-3.0605470000000001</v>
      </c>
      <c r="T1618">
        <v>-0.13056419999999999</v>
      </c>
      <c r="U1618">
        <v>-0.1898804</v>
      </c>
      <c r="V1618">
        <v>3.0979139999999998E-3</v>
      </c>
      <c r="W1618">
        <v>0.16575190000000001</v>
      </c>
      <c r="X1618">
        <v>0.9861626</v>
      </c>
      <c r="Y1618">
        <v>-7.0311310000000002E-2</v>
      </c>
      <c r="Z1618">
        <v>-1.858859E-3</v>
      </c>
      <c r="AA1618">
        <v>0.99752339999999995</v>
      </c>
      <c r="AB1618">
        <v>58</v>
      </c>
      <c r="AC1618">
        <v>-25.687200000000001</v>
      </c>
      <c r="AD1618">
        <v>-1.1079755567956999</v>
      </c>
      <c r="AE1618">
        <v>-1.6137999999999599</v>
      </c>
      <c r="AF1618">
        <v>-1.8281540208212801</v>
      </c>
      <c r="AG1618">
        <v>-1.1079755567956999</v>
      </c>
      <c r="AH1618">
        <v>25.625105572152801</v>
      </c>
      <c r="AI1618">
        <v>92.469537807452596</v>
      </c>
      <c r="AJ1618">
        <v>94.080698967101895</v>
      </c>
      <c r="AK1618">
        <v>25.714116600464401</v>
      </c>
      <c r="AL1618">
        <v>80.459083178515797</v>
      </c>
      <c r="AM1618">
        <v>89.820012629121194</v>
      </c>
      <c r="AN1618">
        <v>0.99999998153175995</v>
      </c>
    </row>
    <row r="1619" spans="1:40" x14ac:dyDescent="0.25">
      <c r="A1619" t="str">
        <f>"20190312164505126"</f>
        <v>20190312164505126</v>
      </c>
      <c r="B1619" t="str">
        <f>"1552380305123412"</f>
        <v>1552380305123412</v>
      </c>
      <c r="C1619" t="s">
        <v>40</v>
      </c>
      <c r="D1619">
        <v>4.7876709999999996</v>
      </c>
      <c r="E1619">
        <v>0.47711009999999998</v>
      </c>
      <c r="F1619" t="s">
        <v>47</v>
      </c>
      <c r="G1619">
        <v>-354.1859</v>
      </c>
      <c r="H1619" s="1">
        <v>6.9071370000000005E-7</v>
      </c>
      <c r="I1619">
        <v>282.56619999999998</v>
      </c>
      <c r="J1619">
        <v>-328.34769999999997</v>
      </c>
      <c r="K1619">
        <v>1.107988</v>
      </c>
      <c r="L1619">
        <v>284.1986</v>
      </c>
      <c r="M1619">
        <v>-0.99992479999999995</v>
      </c>
      <c r="N1619">
        <v>0</v>
      </c>
      <c r="O1619">
        <v>8.2306810000000001E-3</v>
      </c>
      <c r="P1619">
        <v>-0.98749600000000004</v>
      </c>
      <c r="Q1619">
        <v>0.15721729999999901</v>
      </c>
      <c r="R1619">
        <v>1.160108E-2</v>
      </c>
      <c r="S1619">
        <v>-3.0606689999999999</v>
      </c>
      <c r="T1619">
        <v>-0.12966910000000001</v>
      </c>
      <c r="U1619">
        <v>-0.19073490000000001</v>
      </c>
      <c r="V1619">
        <v>3.240962E-3</v>
      </c>
      <c r="W1619">
        <v>0.16619579999999901</v>
      </c>
      <c r="X1619">
        <v>0.98608739999999995</v>
      </c>
      <c r="Y1619">
        <v>-7.0340130000000001E-2</v>
      </c>
      <c r="Z1619">
        <v>-1.8361580000000001E-3</v>
      </c>
      <c r="AA1619">
        <v>0.9975214</v>
      </c>
      <c r="AB1619">
        <v>58</v>
      </c>
      <c r="AC1619">
        <v>-25.838200000000001</v>
      </c>
      <c r="AD1619">
        <v>-1.1079873092863</v>
      </c>
      <c r="AE1619">
        <v>-1.6324000000000101</v>
      </c>
      <c r="AF1619">
        <v>-1.8416464339562599</v>
      </c>
      <c r="AG1619">
        <v>-1.1079873092863</v>
      </c>
      <c r="AH1619">
        <v>25.7766775321019</v>
      </c>
      <c r="AI1619">
        <v>92.455042164388004</v>
      </c>
      <c r="AJ1619">
        <v>94.086623409704103</v>
      </c>
      <c r="AK1619">
        <v>25.8661246045714</v>
      </c>
      <c r="AL1619">
        <v>80.433291594815302</v>
      </c>
      <c r="AM1619">
        <v>89.811687305276806</v>
      </c>
      <c r="AN1619">
        <v>0.99999995410554099</v>
      </c>
    </row>
    <row r="1620" spans="1:40" x14ac:dyDescent="0.25">
      <c r="A1620" t="str">
        <f>"20190312164505144"</f>
        <v>20190312164505144</v>
      </c>
      <c r="B1620" t="str">
        <f>"1552380305133172"</f>
        <v>1552380305133172</v>
      </c>
      <c r="C1620" t="s">
        <v>40</v>
      </c>
      <c r="D1620">
        <v>4.7886959999999998</v>
      </c>
      <c r="E1620">
        <v>0.47703030000000002</v>
      </c>
      <c r="F1620" t="s">
        <v>47</v>
      </c>
      <c r="G1620">
        <v>-354.71190000000001</v>
      </c>
      <c r="H1620" s="1">
        <v>9.7063830000000009E-7</v>
      </c>
      <c r="I1620">
        <v>282.54469999999998</v>
      </c>
      <c r="J1620">
        <v>-328.7876</v>
      </c>
      <c r="K1620">
        <v>1.1080030000000001</v>
      </c>
      <c r="L1620">
        <v>284.2022</v>
      </c>
      <c r="M1620">
        <v>-0.99992729999999996</v>
      </c>
      <c r="N1620">
        <v>0</v>
      </c>
      <c r="O1620">
        <v>7.8825119999999995E-3</v>
      </c>
      <c r="P1620">
        <v>-0.98736120000000005</v>
      </c>
      <c r="Q1620">
        <v>0.1580529</v>
      </c>
      <c r="R1620">
        <v>1.1711879999999999E-2</v>
      </c>
      <c r="S1620">
        <v>-3.06073</v>
      </c>
      <c r="T1620">
        <v>-0.12863089999999999</v>
      </c>
      <c r="U1620">
        <v>-0.19201660000000001</v>
      </c>
      <c r="V1620">
        <v>3.6889919999999999E-3</v>
      </c>
      <c r="W1620">
        <v>0.16705249999999999</v>
      </c>
      <c r="X1620">
        <v>0.98594110000000001</v>
      </c>
      <c r="Y1620">
        <v>-7.0409029999999997E-2</v>
      </c>
      <c r="Z1620">
        <v>-1.8082420000000001E-3</v>
      </c>
      <c r="AA1620">
        <v>0.99751659999999998</v>
      </c>
      <c r="AB1620">
        <v>58</v>
      </c>
      <c r="AC1620">
        <v>-25.924299999999999</v>
      </c>
      <c r="AD1620">
        <v>-1.1080020293616999</v>
      </c>
      <c r="AE1620">
        <v>-1.65750000000002</v>
      </c>
      <c r="AF1620">
        <v>-1.85842465285021</v>
      </c>
      <c r="AG1620">
        <v>-1.1080020293616999</v>
      </c>
      <c r="AH1620">
        <v>25.863376455766399</v>
      </c>
      <c r="AI1620">
        <v>92.446783595314102</v>
      </c>
      <c r="AJ1620">
        <v>94.109950445228506</v>
      </c>
      <c r="AK1620">
        <v>25.953721358989799</v>
      </c>
      <c r="AL1620">
        <v>80.383510820261506</v>
      </c>
      <c r="AM1620">
        <v>89.785623415095401</v>
      </c>
      <c r="AN1620">
        <v>0.99999999954371799</v>
      </c>
    </row>
    <row r="1621" spans="1:40" x14ac:dyDescent="0.25">
      <c r="A1621" t="str">
        <f>"20190312164505157"</f>
        <v>20190312164505157</v>
      </c>
      <c r="B1621" t="str">
        <f>"1552380305153668"</f>
        <v>1552380305153668</v>
      </c>
      <c r="C1621" t="s">
        <v>40</v>
      </c>
      <c r="D1621">
        <v>4.7834099999999999</v>
      </c>
      <c r="E1621">
        <v>0.47694330000000001</v>
      </c>
      <c r="F1621" t="s">
        <v>47</v>
      </c>
      <c r="G1621">
        <v>-355.65730000000002</v>
      </c>
      <c r="H1621" s="1">
        <v>1.4737599999999999E-6</v>
      </c>
      <c r="I1621">
        <v>282.51420000000002</v>
      </c>
      <c r="J1621">
        <v>-329.1336</v>
      </c>
      <c r="K1621">
        <v>1.1080159999999999</v>
      </c>
      <c r="L1621">
        <v>284.20490000000001</v>
      </c>
      <c r="M1621">
        <v>-0.99992939999999997</v>
      </c>
      <c r="N1621">
        <v>0</v>
      </c>
      <c r="O1621">
        <v>7.6078589999999998E-3</v>
      </c>
      <c r="P1621">
        <v>-0.98727860000000001</v>
      </c>
      <c r="Q1621">
        <v>0.1585821</v>
      </c>
      <c r="R1621">
        <v>1.153185E-2</v>
      </c>
      <c r="S1621">
        <v>-3.060883</v>
      </c>
      <c r="T1621">
        <v>-0.12621859999999999</v>
      </c>
      <c r="U1621">
        <v>-0.1922913</v>
      </c>
      <c r="V1621">
        <v>3.7751909999999998E-3</v>
      </c>
      <c r="W1621">
        <v>0.16759689999999999</v>
      </c>
      <c r="X1621">
        <v>0.98584839999999996</v>
      </c>
      <c r="Y1621">
        <v>-7.0224060000000005E-2</v>
      </c>
      <c r="Z1621">
        <v>-1.759147E-3</v>
      </c>
      <c r="AA1621">
        <v>0.99752969999999996</v>
      </c>
      <c r="AB1621">
        <v>58</v>
      </c>
      <c r="AC1621">
        <v>-26.523700000000002</v>
      </c>
      <c r="AD1621">
        <v>-1.1080145262400001</v>
      </c>
      <c r="AE1621">
        <v>-1.6906999999999901</v>
      </c>
      <c r="AF1621">
        <v>-1.8891645851997201</v>
      </c>
      <c r="AG1621">
        <v>-1.1080145262400001</v>
      </c>
      <c r="AH1621">
        <v>26.464073374105599</v>
      </c>
      <c r="AI1621">
        <v>92.391417138855303</v>
      </c>
      <c r="AJ1621">
        <v>94.083190515105997</v>
      </c>
      <c r="AK1621">
        <v>26.554544216958</v>
      </c>
      <c r="AL1621">
        <v>80.351873164819906</v>
      </c>
      <c r="AM1621">
        <v>89.780593594445193</v>
      </c>
      <c r="AN1621">
        <v>1.00000002036962</v>
      </c>
    </row>
    <row r="1622" spans="1:40" x14ac:dyDescent="0.25">
      <c r="A1622" t="str">
        <f>"20190312164505171"</f>
        <v>20190312164505171</v>
      </c>
      <c r="B1622" t="str">
        <f>"1552380305163429"</f>
        <v>1552380305163429</v>
      </c>
      <c r="C1622" t="s">
        <v>40</v>
      </c>
      <c r="D1622">
        <v>4.7971209999999997</v>
      </c>
      <c r="E1622">
        <v>0.47687049999999997</v>
      </c>
      <c r="F1622" t="s">
        <v>47</v>
      </c>
      <c r="G1622">
        <v>-356.27809999999999</v>
      </c>
      <c r="H1622" s="1">
        <v>1.80409E-6</v>
      </c>
      <c r="I1622">
        <v>282.4905</v>
      </c>
      <c r="J1622">
        <v>-329.48329999999999</v>
      </c>
      <c r="K1622">
        <v>1.1080319999999999</v>
      </c>
      <c r="L1622">
        <v>284.20760000000001</v>
      </c>
      <c r="M1622">
        <v>-0.99993140000000003</v>
      </c>
      <c r="N1622">
        <v>0</v>
      </c>
      <c r="O1622">
        <v>7.3301729999999997E-3</v>
      </c>
      <c r="P1622">
        <v>-0.98722290000000001</v>
      </c>
      <c r="Q1622">
        <v>0.15893650000000001</v>
      </c>
      <c r="R1622">
        <v>1.142641E-2</v>
      </c>
      <c r="S1622">
        <v>-3.0609739999999999</v>
      </c>
      <c r="T1622">
        <v>-0.1249465</v>
      </c>
      <c r="U1622">
        <v>-0.1933289</v>
      </c>
      <c r="V1622">
        <v>3.9391290000000004E-3</v>
      </c>
      <c r="W1622">
        <v>0.1679668</v>
      </c>
      <c r="X1622">
        <v>0.98578480000000002</v>
      </c>
      <c r="Y1622">
        <v>-7.0283499999999999E-2</v>
      </c>
      <c r="Z1622">
        <v>-1.7312530000000001E-3</v>
      </c>
      <c r="AA1622">
        <v>0.99752560000000001</v>
      </c>
      <c r="AB1622">
        <v>58</v>
      </c>
      <c r="AC1622">
        <v>-26.794799999999999</v>
      </c>
      <c r="AD1622">
        <v>-1.1080301959099901</v>
      </c>
      <c r="AE1622">
        <v>-1.7171000000000101</v>
      </c>
      <c r="AF1622">
        <v>-1.9102194200256299</v>
      </c>
      <c r="AG1622">
        <v>-1.1080301959099901</v>
      </c>
      <c r="AH1622">
        <v>26.735960760033599</v>
      </c>
      <c r="AI1622">
        <v>92.367148877990005</v>
      </c>
      <c r="AJ1622">
        <v>94.086699774067299</v>
      </c>
      <c r="AK1622">
        <v>26.827006297940699</v>
      </c>
      <c r="AL1622">
        <v>80.330374666983602</v>
      </c>
      <c r="AM1622">
        <v>89.771051181345996</v>
      </c>
      <c r="AN1622">
        <v>1.0000000172752701</v>
      </c>
    </row>
    <row r="1623" spans="1:40" x14ac:dyDescent="0.25">
      <c r="A1623" t="str">
        <f>"20190312164505189"</f>
        <v>20190312164505189</v>
      </c>
      <c r="B1623" t="str">
        <f>"1552380305182948"</f>
        <v>1552380305182948</v>
      </c>
      <c r="C1623" t="s">
        <v>40</v>
      </c>
      <c r="D1623">
        <v>4.967517</v>
      </c>
      <c r="E1623">
        <v>0.47689559999999998</v>
      </c>
      <c r="F1623" t="s">
        <v>47</v>
      </c>
      <c r="G1623">
        <v>-356.80529999999999</v>
      </c>
      <c r="H1623" s="1">
        <v>2.0846680000000001E-6</v>
      </c>
      <c r="I1623">
        <v>282.47730000000001</v>
      </c>
      <c r="J1623">
        <v>-329.9683</v>
      </c>
      <c r="K1623">
        <v>1.1080490000000001</v>
      </c>
      <c r="L1623">
        <v>284.21100000000001</v>
      </c>
      <c r="M1623">
        <v>-0.99993379999999998</v>
      </c>
      <c r="N1623">
        <v>0</v>
      </c>
      <c r="O1623">
        <v>6.9445380000000001E-3</v>
      </c>
      <c r="P1623">
        <v>-0.98707809999999996</v>
      </c>
      <c r="Q1623">
        <v>0.15984079999999901</v>
      </c>
      <c r="R1623">
        <v>1.1314070000000001E-2</v>
      </c>
      <c r="S1623">
        <v>-3.0610659999999998</v>
      </c>
      <c r="T1623">
        <v>-0.124139899999999</v>
      </c>
      <c r="U1623">
        <v>-0.19384770000000001</v>
      </c>
      <c r="V1623">
        <v>4.2012350000000002E-3</v>
      </c>
      <c r="W1623">
        <v>0.16889089999999901</v>
      </c>
      <c r="X1623">
        <v>0.9856258</v>
      </c>
      <c r="Y1623">
        <v>-7.0066630000000005E-2</v>
      </c>
      <c r="Z1623">
        <v>-1.700015E-3</v>
      </c>
      <c r="AA1623">
        <v>0.99754089999999995</v>
      </c>
      <c r="AB1623">
        <v>58</v>
      </c>
      <c r="AC1623">
        <v>-26.8369999999999</v>
      </c>
      <c r="AD1623">
        <v>-1.1080469153320001</v>
      </c>
      <c r="AE1623">
        <v>-1.73369999999999</v>
      </c>
      <c r="AF1623">
        <v>-1.91678263822192</v>
      </c>
      <c r="AG1623">
        <v>-1.1080469153320001</v>
      </c>
      <c r="AH1623">
        <v>26.7788523239964</v>
      </c>
      <c r="AI1623">
        <v>92.363375405612501</v>
      </c>
      <c r="AJ1623">
        <v>94.094147514286007</v>
      </c>
      <c r="AK1623">
        <v>26.870220606447798</v>
      </c>
      <c r="AL1623">
        <v>80.276660112511493</v>
      </c>
      <c r="AM1623">
        <v>89.755777926649003</v>
      </c>
      <c r="AN1623">
        <v>1.0000000020519799</v>
      </c>
    </row>
    <row r="1624" spans="1:40" x14ac:dyDescent="0.25">
      <c r="A1624" t="str">
        <f>"20190312164505201"</f>
        <v>20190312164505201</v>
      </c>
      <c r="B1624" t="str">
        <f>"1552380305193684"</f>
        <v>1552380305193684</v>
      </c>
      <c r="C1624" t="s">
        <v>40</v>
      </c>
      <c r="D1624">
        <v>4.9352799999999997</v>
      </c>
      <c r="E1624">
        <v>0.49896629999999997</v>
      </c>
      <c r="F1624" t="s">
        <v>47</v>
      </c>
      <c r="G1624">
        <v>-357.88639999999998</v>
      </c>
      <c r="H1624" s="1">
        <v>2.6599869999999998E-6</v>
      </c>
      <c r="I1624">
        <v>282.44779999999997</v>
      </c>
      <c r="J1624">
        <v>-330.28230000000002</v>
      </c>
      <c r="K1624">
        <v>1.108055</v>
      </c>
      <c r="L1624">
        <v>284.21319999999997</v>
      </c>
      <c r="M1624">
        <v>-0.99993549999999998</v>
      </c>
      <c r="N1624">
        <v>0</v>
      </c>
      <c r="O1624">
        <v>6.6952260000000003E-3</v>
      </c>
      <c r="P1624">
        <v>-0.98701640000000002</v>
      </c>
      <c r="Q1624">
        <v>0.1602095</v>
      </c>
      <c r="R1624">
        <v>1.147769E-2</v>
      </c>
      <c r="S1624">
        <v>-3.0611570000000001</v>
      </c>
      <c r="T1624">
        <v>-0.121494699999999</v>
      </c>
      <c r="U1624">
        <v>-0.1933289</v>
      </c>
      <c r="V1624">
        <v>4.6075600000000001E-3</v>
      </c>
      <c r="W1624">
        <v>0.16927249999999999</v>
      </c>
      <c r="X1624">
        <v>0.9855585</v>
      </c>
      <c r="Y1624">
        <v>-6.9650809999999994E-2</v>
      </c>
      <c r="Z1624">
        <v>-1.645655E-3</v>
      </c>
      <c r="AA1624">
        <v>0.99757010000000002</v>
      </c>
      <c r="AB1624">
        <v>58</v>
      </c>
      <c r="AC1624">
        <v>-27.604099999999899</v>
      </c>
      <c r="AD1624">
        <v>-1.108052340013</v>
      </c>
      <c r="AE1624">
        <v>-1.7653999999999901</v>
      </c>
      <c r="AF1624">
        <v>-1.9470593995407299</v>
      </c>
      <c r="AG1624">
        <v>-1.108052340013</v>
      </c>
      <c r="AH1624">
        <v>27.547454906306999</v>
      </c>
      <c r="AI1624">
        <v>92.297663555824798</v>
      </c>
      <c r="AJ1624">
        <v>94.042953191044703</v>
      </c>
      <c r="AK1624">
        <v>27.6383988702053</v>
      </c>
      <c r="AL1624">
        <v>80.254476457730803</v>
      </c>
      <c r="AM1624">
        <v>89.732139879502498</v>
      </c>
      <c r="AN1624">
        <v>0.99999998289382597</v>
      </c>
    </row>
    <row r="1625" spans="1:40" x14ac:dyDescent="0.25">
      <c r="A1625" t="str">
        <f>"20190312164505213"</f>
        <v>20190312164505213</v>
      </c>
      <c r="B1625" t="str">
        <f>"1552380305203445"</f>
        <v>1552380305203445</v>
      </c>
      <c r="C1625" t="s">
        <v>40</v>
      </c>
      <c r="D1625">
        <v>4.8310510000000004</v>
      </c>
      <c r="E1625">
        <v>0.50572569999999994</v>
      </c>
      <c r="F1625" t="s">
        <v>47</v>
      </c>
      <c r="G1625">
        <v>-352.6266</v>
      </c>
      <c r="H1625" s="1">
        <v>-1.390408E-7</v>
      </c>
      <c r="I1625">
        <v>284.0772</v>
      </c>
      <c r="J1625">
        <v>-330.57650000000001</v>
      </c>
      <c r="K1625">
        <v>1.108061</v>
      </c>
      <c r="L1625">
        <v>284.21510000000001</v>
      </c>
      <c r="M1625">
        <v>-0.99993690000000002</v>
      </c>
      <c r="N1625">
        <v>0</v>
      </c>
      <c r="O1625">
        <v>6.4628569999999998E-3</v>
      </c>
      <c r="P1625">
        <v>-0.98694530000000003</v>
      </c>
      <c r="Q1625">
        <v>0.1606371</v>
      </c>
      <c r="R1625">
        <v>1.1611730000000001E-2</v>
      </c>
      <c r="S1625">
        <v>-3.0643009999999999</v>
      </c>
      <c r="T1625">
        <v>-0.15195919999999999</v>
      </c>
      <c r="U1625">
        <v>-1.8646240000000001E-2</v>
      </c>
      <c r="V1625">
        <v>4.9679609999999999E-3</v>
      </c>
      <c r="W1625">
        <v>0.1697119</v>
      </c>
      <c r="X1625">
        <v>0.98548119999999995</v>
      </c>
      <c r="Y1625">
        <v>-1.252443E-2</v>
      </c>
      <c r="Z1625">
        <v>-6.306587E-4</v>
      </c>
      <c r="AA1625">
        <v>0.99992139999999996</v>
      </c>
      <c r="AB1625">
        <v>58</v>
      </c>
      <c r="AC1625">
        <v>-22.050099999999901</v>
      </c>
      <c r="AD1625">
        <v>-1.1080611390407999</v>
      </c>
      <c r="AE1625">
        <v>-0.13790000000000099</v>
      </c>
      <c r="AF1625">
        <v>-0.27970348229209202</v>
      </c>
      <c r="AG1625">
        <v>-1.1080611390407999</v>
      </c>
      <c r="AH1625">
        <v>21.993211756553698</v>
      </c>
      <c r="AI1625">
        <v>92.884002165749095</v>
      </c>
      <c r="AJ1625">
        <v>90.728632330003506</v>
      </c>
      <c r="AK1625">
        <v>22.022883482742898</v>
      </c>
      <c r="AL1625">
        <v>80.228931283507904</v>
      </c>
      <c r="AM1625">
        <v>89.711165685465005</v>
      </c>
      <c r="AN1625">
        <v>1.00000000259577</v>
      </c>
    </row>
    <row r="1626" spans="1:40" x14ac:dyDescent="0.25">
      <c r="A1626" t="str">
        <f>"20190312164505224"</f>
        <v>20190312164505224</v>
      </c>
      <c r="B1626" t="str">
        <f>"1552380305213205"</f>
        <v>1552380305213205</v>
      </c>
      <c r="C1626" t="s">
        <v>40</v>
      </c>
      <c r="D1626">
        <v>4.9001340000000004</v>
      </c>
      <c r="E1626">
        <v>0.50915500000000002</v>
      </c>
      <c r="F1626" t="s">
        <v>47</v>
      </c>
      <c r="G1626">
        <v>-351.96850000000001</v>
      </c>
      <c r="H1626" s="1">
        <v>-4.8923499999999897E-7</v>
      </c>
      <c r="I1626">
        <v>284.4597</v>
      </c>
      <c r="J1626">
        <v>-330.88420000000002</v>
      </c>
      <c r="K1626">
        <v>1.1080669999999999</v>
      </c>
      <c r="L1626">
        <v>284.21710000000002</v>
      </c>
      <c r="M1626">
        <v>-0.99993829999999995</v>
      </c>
      <c r="N1626">
        <v>0</v>
      </c>
      <c r="O1626">
        <v>6.2211929999999999E-3</v>
      </c>
      <c r="P1626">
        <v>-0.98690919999999904</v>
      </c>
      <c r="Q1626">
        <v>0.1608589</v>
      </c>
      <c r="R1626">
        <v>1.1609619999999999E-2</v>
      </c>
      <c r="S1626">
        <v>-3.0650940000000002</v>
      </c>
      <c r="T1626">
        <v>-0.1587652</v>
      </c>
      <c r="U1626">
        <v>3.5034179999999998E-2</v>
      </c>
      <c r="V1626">
        <v>5.2016939999999998E-3</v>
      </c>
      <c r="W1626">
        <v>0.16994690000000001</v>
      </c>
      <c r="X1626">
        <v>0.98543950000000002</v>
      </c>
      <c r="Y1626">
        <v>5.2093900000000004E-3</v>
      </c>
      <c r="Z1626">
        <v>-1.8720440000000001E-4</v>
      </c>
      <c r="AA1626">
        <v>0.99998640000000005</v>
      </c>
      <c r="AB1626">
        <v>58</v>
      </c>
      <c r="AC1626">
        <v>-21.084299999999899</v>
      </c>
      <c r="AD1626">
        <v>-1.108067489235</v>
      </c>
      <c r="AE1626">
        <v>0.242599999999981</v>
      </c>
      <c r="AF1626">
        <v>0.11111340257102199</v>
      </c>
      <c r="AG1626">
        <v>-1.108067489235</v>
      </c>
      <c r="AH1626">
        <v>21.0273327530061</v>
      </c>
      <c r="AI1626">
        <v>93.016456645024405</v>
      </c>
      <c r="AJ1626">
        <v>89.697238359499494</v>
      </c>
      <c r="AK1626">
        <v>21.0568013348318</v>
      </c>
      <c r="AL1626">
        <v>80.2152683461658</v>
      </c>
      <c r="AM1626">
        <v>89.697564036653006</v>
      </c>
      <c r="AN1626">
        <v>1.00000000730016</v>
      </c>
    </row>
    <row r="1627" spans="1:40" x14ac:dyDescent="0.25">
      <c r="A1627" t="str">
        <f>"20190312164505236"</f>
        <v>20190312164505236</v>
      </c>
      <c r="B1627" t="str">
        <f>"1552380305233701"</f>
        <v>1552380305233701</v>
      </c>
      <c r="C1627" t="s">
        <v>40</v>
      </c>
      <c r="D1627">
        <v>4.9155739999999897</v>
      </c>
      <c r="E1627">
        <v>0.51270020000000005</v>
      </c>
      <c r="F1627" t="s">
        <v>47</v>
      </c>
      <c r="G1627">
        <v>-352.02030000000002</v>
      </c>
      <c r="H1627" s="1">
        <v>-4.6170789999999998E-7</v>
      </c>
      <c r="I1627">
        <v>284.64659999999998</v>
      </c>
      <c r="J1627">
        <v>-331.16550000000001</v>
      </c>
      <c r="K1627">
        <v>1.10807099999999</v>
      </c>
      <c r="L1627">
        <v>284.21879999999999</v>
      </c>
      <c r="M1627">
        <v>-0.99993969999999999</v>
      </c>
      <c r="N1627">
        <v>0</v>
      </c>
      <c r="O1627">
        <v>6.0026289999999998E-3</v>
      </c>
      <c r="P1627">
        <v>-0.98685449999999997</v>
      </c>
      <c r="Q1627">
        <v>0.16117239999999999</v>
      </c>
      <c r="R1627">
        <v>1.192266E-2</v>
      </c>
      <c r="S1627">
        <v>-3.0652469999999998</v>
      </c>
      <c r="T1627">
        <v>-0.16069720000000001</v>
      </c>
      <c r="U1627">
        <v>6.2286380000000002E-2</v>
      </c>
      <c r="V1627">
        <v>5.7287609999999997E-3</v>
      </c>
      <c r="W1627">
        <v>0.1702729</v>
      </c>
      <c r="X1627">
        <v>0.98538029999999999</v>
      </c>
      <c r="Y1627">
        <v>1.430259E-2</v>
      </c>
      <c r="Z1627" s="1">
        <v>6.0164809999999998E-5</v>
      </c>
      <c r="AA1627">
        <v>0.9998977</v>
      </c>
      <c r="AB1627">
        <v>58</v>
      </c>
      <c r="AC1627">
        <v>-20.854800000000001</v>
      </c>
      <c r="AD1627">
        <v>-1.1080714617078899</v>
      </c>
      <c r="AE1627">
        <v>0.42779999999999002</v>
      </c>
      <c r="AF1627">
        <v>0.301751859550694</v>
      </c>
      <c r="AG1627">
        <v>-1.1080714617078899</v>
      </c>
      <c r="AH1627">
        <v>20.7983016698645</v>
      </c>
      <c r="AI1627">
        <v>93.049344626754703</v>
      </c>
      <c r="AJ1627">
        <v>89.168783329371195</v>
      </c>
      <c r="AK1627">
        <v>20.829983891008698</v>
      </c>
      <c r="AL1627">
        <v>80.196313660385599</v>
      </c>
      <c r="AM1627">
        <v>89.666900049514894</v>
      </c>
      <c r="AN1627">
        <v>1.0000000074025399</v>
      </c>
    </row>
    <row r="1628" spans="1:40" x14ac:dyDescent="0.25">
      <c r="A1628" t="str">
        <f>"20190312164505247"</f>
        <v>20190312164505247</v>
      </c>
      <c r="B1628" t="str">
        <f>"1552380305243461"</f>
        <v>1552380305243461</v>
      </c>
      <c r="C1628" t="s">
        <v>40</v>
      </c>
      <c r="D1628">
        <v>5.0639849999999997</v>
      </c>
      <c r="E1628">
        <v>0.51439809999999997</v>
      </c>
      <c r="F1628" t="s">
        <v>41</v>
      </c>
      <c r="G1628">
        <v>-332.24250000000001</v>
      </c>
      <c r="H1628">
        <v>1.05132</v>
      </c>
      <c r="I1628">
        <v>284.25119999999998</v>
      </c>
      <c r="J1628">
        <v>-331.4649</v>
      </c>
      <c r="K1628">
        <v>1.108074</v>
      </c>
      <c r="L1628">
        <v>284.22070000000002</v>
      </c>
      <c r="M1628">
        <v>-0.99994079999999996</v>
      </c>
      <c r="N1628">
        <v>0</v>
      </c>
      <c r="O1628">
        <v>5.7717310000000004E-3</v>
      </c>
      <c r="P1628">
        <v>-0.98684380000000005</v>
      </c>
      <c r="Q1628">
        <v>0.16122899999999901</v>
      </c>
      <c r="R1628">
        <v>1.2035519999999999E-2</v>
      </c>
      <c r="S1628">
        <v>-3.0652469999999998</v>
      </c>
      <c r="T1628">
        <v>-0.1615684</v>
      </c>
      <c r="U1628">
        <v>9.1339110000000001E-2</v>
      </c>
      <c r="V1628">
        <v>6.0682940000000001E-3</v>
      </c>
      <c r="W1628">
        <v>0.17034389999999999</v>
      </c>
      <c r="X1628">
        <v>0.98536599999999996</v>
      </c>
      <c r="Y1628">
        <v>2.398989E-2</v>
      </c>
      <c r="Z1628">
        <v>3.2771880000000001E-4</v>
      </c>
      <c r="AA1628">
        <v>0.99971220000000005</v>
      </c>
      <c r="AB1628">
        <v>58</v>
      </c>
      <c r="AC1628">
        <v>-0.77760000000000595</v>
      </c>
      <c r="AD1628">
        <v>-5.6753999999999902E-2</v>
      </c>
      <c r="AE1628">
        <v>3.0499999999960802E-2</v>
      </c>
      <c r="AF1628">
        <v>2.5873586795805301E-2</v>
      </c>
      <c r="AG1628">
        <v>-5.6753999999999902E-2</v>
      </c>
      <c r="AH1628">
        <v>0.77364821988166999</v>
      </c>
      <c r="AI1628">
        <v>94.193305080722794</v>
      </c>
      <c r="AJ1628">
        <v>88.084536403689597</v>
      </c>
      <c r="AK1628">
        <v>0.77615850645068396</v>
      </c>
      <c r="AL1628">
        <v>80.192185386471095</v>
      </c>
      <c r="AM1628">
        <v>89.647153200265706</v>
      </c>
      <c r="AN1628">
        <v>1.0000000112076399</v>
      </c>
    </row>
    <row r="1629" spans="1:40" x14ac:dyDescent="0.25">
      <c r="A1629" t="str">
        <f>"20190312164505259"</f>
        <v>20190312164505259</v>
      </c>
      <c r="B1629" t="str">
        <f>"1552380305253221"</f>
        <v>1552380305253221</v>
      </c>
      <c r="C1629" t="s">
        <v>40</v>
      </c>
      <c r="D1629">
        <v>4.9044410000000003</v>
      </c>
      <c r="E1629">
        <v>0.51551919999999996</v>
      </c>
      <c r="F1629" t="s">
        <v>47</v>
      </c>
      <c r="G1629">
        <v>-352.7373</v>
      </c>
      <c r="H1629" s="1">
        <v>-8.0115509999999904E-8</v>
      </c>
      <c r="I1629">
        <v>284.95549999999997</v>
      </c>
      <c r="J1629">
        <v>-331.77140000000003</v>
      </c>
      <c r="K1629">
        <v>1.108077</v>
      </c>
      <c r="L1629">
        <v>284.22239999999999</v>
      </c>
      <c r="M1629">
        <v>-0.999942</v>
      </c>
      <c r="N1629">
        <v>0</v>
      </c>
      <c r="O1629">
        <v>5.5419969999999999E-3</v>
      </c>
      <c r="P1629">
        <v>-0.98686600000000002</v>
      </c>
      <c r="Q1629">
        <v>0.16109679999999901</v>
      </c>
      <c r="R1629">
        <v>1.198889E-2</v>
      </c>
      <c r="S1629">
        <v>-3.0647890000000002</v>
      </c>
      <c r="T1629">
        <v>-0.1596437</v>
      </c>
      <c r="U1629">
        <v>0.1058655</v>
      </c>
      <c r="V1629">
        <v>6.2483349999999998E-3</v>
      </c>
      <c r="W1629">
        <v>0.1702255</v>
      </c>
      <c r="X1629">
        <v>0.98538530000000002</v>
      </c>
      <c r="Y1629">
        <v>2.8950759999999999E-2</v>
      </c>
      <c r="Z1629">
        <v>4.6487839999999998E-4</v>
      </c>
      <c r="AA1629">
        <v>0.99958069999999999</v>
      </c>
      <c r="AB1629">
        <v>58</v>
      </c>
      <c r="AC1629">
        <v>-20.965899999999898</v>
      </c>
      <c r="AD1629">
        <v>-1.10807708011551</v>
      </c>
      <c r="AE1629">
        <v>0.73309999999997899</v>
      </c>
      <c r="AF1629">
        <v>0.61517458061299601</v>
      </c>
      <c r="AG1629">
        <v>-1.10807708011551</v>
      </c>
      <c r="AH1629">
        <v>20.911301427433202</v>
      </c>
      <c r="AI1629">
        <v>93.031922243256204</v>
      </c>
      <c r="AJ1629">
        <v>88.314942541554899</v>
      </c>
      <c r="AK1629">
        <v>20.949673075470201</v>
      </c>
      <c r="AL1629">
        <v>80.199069405028894</v>
      </c>
      <c r="AM1629">
        <v>89.636691935268601</v>
      </c>
      <c r="AN1629">
        <v>0.99999997599830504</v>
      </c>
    </row>
    <row r="1630" spans="1:40" x14ac:dyDescent="0.25">
      <c r="A1630" t="str">
        <f>"20190312164505271"</f>
        <v>20190312164505271</v>
      </c>
      <c r="B1630" t="str">
        <f>"1552380305262980"</f>
        <v>1552380305262980</v>
      </c>
      <c r="C1630" t="s">
        <v>40</v>
      </c>
      <c r="D1630">
        <v>5.0795260000000004</v>
      </c>
      <c r="E1630">
        <v>0.51648320000000003</v>
      </c>
      <c r="F1630" t="s">
        <v>47</v>
      </c>
      <c r="G1630">
        <v>-353.81110000000001</v>
      </c>
      <c r="H1630" s="1">
        <v>4.9126420000000001E-7</v>
      </c>
      <c r="I1630">
        <v>285.0523</v>
      </c>
      <c r="J1630">
        <v>-332.09609999999998</v>
      </c>
      <c r="K1630">
        <v>1.1080779999999999</v>
      </c>
      <c r="L1630">
        <v>284.2242</v>
      </c>
      <c r="M1630">
        <v>-0.99994329999999998</v>
      </c>
      <c r="N1630">
        <v>0</v>
      </c>
      <c r="O1630">
        <v>5.3013670000000004E-3</v>
      </c>
      <c r="P1630">
        <v>-0.98689720000000003</v>
      </c>
      <c r="Q1630">
        <v>0.1608888</v>
      </c>
      <c r="R1630">
        <v>1.22162E-2</v>
      </c>
      <c r="S1630">
        <v>-3.0636899999999998</v>
      </c>
      <c r="T1630">
        <v>-0.15403129999999901</v>
      </c>
      <c r="U1630">
        <v>0.115356399999999</v>
      </c>
      <c r="V1630">
        <v>6.7134100000000004E-3</v>
      </c>
      <c r="W1630">
        <v>0.17003279999999901</v>
      </c>
      <c r="X1630">
        <v>0.9854155</v>
      </c>
      <c r="Y1630">
        <v>3.2293710000000003E-2</v>
      </c>
      <c r="Z1630">
        <v>5.4473140000000004E-4</v>
      </c>
      <c r="AA1630">
        <v>0.99947830000000004</v>
      </c>
      <c r="AB1630">
        <v>58</v>
      </c>
      <c r="AC1630">
        <v>-21.715</v>
      </c>
      <c r="AD1630">
        <v>-1.1080775087357999</v>
      </c>
      <c r="AE1630">
        <v>0.82810000000000605</v>
      </c>
      <c r="AF1630">
        <v>0.71111529965769504</v>
      </c>
      <c r="AG1630">
        <v>-1.1080775087357999</v>
      </c>
      <c r="AH1630">
        <v>21.662759807771501</v>
      </c>
      <c r="AI1630">
        <v>92.926625714373998</v>
      </c>
      <c r="AJ1630">
        <v>88.119848062053194</v>
      </c>
      <c r="AK1630">
        <v>21.7027344642092</v>
      </c>
      <c r="AL1630">
        <v>80.210273534088699</v>
      </c>
      <c r="AM1630">
        <v>89.609663022068304</v>
      </c>
      <c r="AN1630">
        <v>0.99999996529495805</v>
      </c>
    </row>
    <row r="1631" spans="1:40" x14ac:dyDescent="0.25">
      <c r="A1631" t="str">
        <f>"20190312164505282"</f>
        <v>20190312164505282</v>
      </c>
      <c r="B1631" t="str">
        <f>"1552380305273717"</f>
        <v>1552380305273717</v>
      </c>
      <c r="C1631" t="s">
        <v>40</v>
      </c>
      <c r="D1631">
        <v>4.8988060000000004</v>
      </c>
      <c r="E1631">
        <v>0.51725639999999995</v>
      </c>
      <c r="F1631" t="s">
        <v>41</v>
      </c>
      <c r="G1631">
        <v>-333.27870000000001</v>
      </c>
      <c r="H1631">
        <v>1.050049</v>
      </c>
      <c r="I1631">
        <v>284.2722</v>
      </c>
      <c r="J1631">
        <v>-332.40039999999999</v>
      </c>
      <c r="K1631">
        <v>1.108074</v>
      </c>
      <c r="L1631">
        <v>284.22579999999999</v>
      </c>
      <c r="M1631">
        <v>-0.99994419999999995</v>
      </c>
      <c r="N1631">
        <v>0</v>
      </c>
      <c r="O1631">
        <v>5.082413E-3</v>
      </c>
      <c r="P1631">
        <v>-0.98695750000000004</v>
      </c>
      <c r="Q1631">
        <v>0.160527799999999</v>
      </c>
      <c r="R1631">
        <v>1.2079899999999999E-2</v>
      </c>
      <c r="S1631">
        <v>-3.0627749999999998</v>
      </c>
      <c r="T1631">
        <v>-0.15025089999999999</v>
      </c>
      <c r="U1631">
        <v>0.12442019999999999</v>
      </c>
      <c r="V1631">
        <v>6.7946969999999997E-3</v>
      </c>
      <c r="W1631">
        <v>0.16968559999999999</v>
      </c>
      <c r="X1631">
        <v>0.98547479999999998</v>
      </c>
      <c r="Y1631">
        <v>3.5474430000000001E-2</v>
      </c>
      <c r="Z1631">
        <v>6.2017629999999995E-4</v>
      </c>
      <c r="AA1631">
        <v>0.99937039999999999</v>
      </c>
      <c r="AB1631">
        <v>58</v>
      </c>
      <c r="AC1631">
        <v>-0.87830000000002395</v>
      </c>
      <c r="AD1631">
        <v>-5.8024999999999903E-2</v>
      </c>
      <c r="AE1631">
        <v>4.6400000000005499E-2</v>
      </c>
      <c r="AF1631">
        <v>4.1753595313753999E-2</v>
      </c>
      <c r="AG1631">
        <v>-5.8024999999999903E-2</v>
      </c>
      <c r="AH1631">
        <v>0.87471732297664095</v>
      </c>
      <c r="AI1631">
        <v>93.790892510072894</v>
      </c>
      <c r="AJ1631">
        <v>87.267128203608294</v>
      </c>
      <c r="AK1631">
        <v>0.87763355591160297</v>
      </c>
      <c r="AL1631">
        <v>80.230460078524203</v>
      </c>
      <c r="AM1631">
        <v>89.604960682644403</v>
      </c>
      <c r="AN1631">
        <v>0.99999997609486002</v>
      </c>
    </row>
    <row r="1632" spans="1:40" x14ac:dyDescent="0.25">
      <c r="A1632" t="str">
        <f>"20190312164505294"</f>
        <v>20190312164505294</v>
      </c>
      <c r="B1632" t="str">
        <f>"1552380305283477"</f>
        <v>1552380305283477</v>
      </c>
      <c r="C1632" t="s">
        <v>40</v>
      </c>
      <c r="D1632">
        <v>4.8826580000000002</v>
      </c>
      <c r="E1632">
        <v>0.51799819999999996</v>
      </c>
      <c r="F1632" t="s">
        <v>47</v>
      </c>
      <c r="G1632">
        <v>-355.21100000000001</v>
      </c>
      <c r="H1632" s="1">
        <v>1.2362370000000001E-6</v>
      </c>
      <c r="I1632">
        <v>285.19510000000002</v>
      </c>
      <c r="J1632">
        <v>-332.67899999999997</v>
      </c>
      <c r="K1632">
        <v>1.1080680000000001</v>
      </c>
      <c r="L1632">
        <v>284.22719999999998</v>
      </c>
      <c r="M1632">
        <v>-0.99994499999999997</v>
      </c>
      <c r="N1632">
        <v>0</v>
      </c>
      <c r="O1632">
        <v>4.8859439999999997E-3</v>
      </c>
      <c r="P1632">
        <v>-0.98693869999999895</v>
      </c>
      <c r="Q1632">
        <v>0.1606292</v>
      </c>
      <c r="R1632">
        <v>1.227703E-2</v>
      </c>
      <c r="S1632">
        <v>-3.0622560000000001</v>
      </c>
      <c r="T1632">
        <v>-0.14875579999999999</v>
      </c>
      <c r="U1632">
        <v>0.13012699999999999</v>
      </c>
      <c r="V1632">
        <v>7.1871959999999999E-3</v>
      </c>
      <c r="W1632">
        <v>0.169798799999999</v>
      </c>
      <c r="X1632">
        <v>0.98545249999999995</v>
      </c>
      <c r="Y1632">
        <v>3.7534820000000003E-2</v>
      </c>
      <c r="Z1632">
        <v>6.7361850000000002E-4</v>
      </c>
      <c r="AA1632">
        <v>0.99929509999999999</v>
      </c>
      <c r="AB1632">
        <v>58</v>
      </c>
      <c r="AC1632">
        <v>-22.531999999999901</v>
      </c>
      <c r="AD1632">
        <v>-1.108066763763</v>
      </c>
      <c r="AE1632">
        <v>0.96790000000004195</v>
      </c>
      <c r="AF1632">
        <v>0.85572791383093105</v>
      </c>
      <c r="AG1632">
        <v>-1.108066763763</v>
      </c>
      <c r="AH1632">
        <v>22.4821890261866</v>
      </c>
      <c r="AI1632">
        <v>92.819582604515404</v>
      </c>
      <c r="AJ1632">
        <v>87.820232668365506</v>
      </c>
      <c r="AK1632">
        <v>22.525738736491</v>
      </c>
      <c r="AL1632">
        <v>80.223878521667402</v>
      </c>
      <c r="AM1632">
        <v>89.582132374591893</v>
      </c>
      <c r="AN1632">
        <v>0.99999995901201499</v>
      </c>
    </row>
    <row r="1633" spans="1:40" x14ac:dyDescent="0.25">
      <c r="A1633" t="str">
        <f>"20190312164505305"</f>
        <v>20190312164505305</v>
      </c>
      <c r="B1633" t="str">
        <f>"1552380305293237"</f>
        <v>1552380305293237</v>
      </c>
      <c r="C1633" t="s">
        <v>40</v>
      </c>
      <c r="D1633">
        <v>4.9272859999999996</v>
      </c>
      <c r="E1633">
        <v>0.51850529999999995</v>
      </c>
      <c r="F1633" t="s">
        <v>47</v>
      </c>
      <c r="G1633">
        <v>-356.1259</v>
      </c>
      <c r="H1633" s="1">
        <v>1.72312E-6</v>
      </c>
      <c r="I1633">
        <v>285.27550000000002</v>
      </c>
      <c r="J1633">
        <v>-332.98419999999999</v>
      </c>
      <c r="K1633">
        <v>1.1080669999999999</v>
      </c>
      <c r="L1633">
        <v>284.22879999999998</v>
      </c>
      <c r="M1633">
        <v>-0.999946</v>
      </c>
      <c r="N1633">
        <v>0</v>
      </c>
      <c r="O1633">
        <v>4.6752440000000003E-3</v>
      </c>
      <c r="P1633">
        <v>-0.98694630000000005</v>
      </c>
      <c r="Q1633">
        <v>0.16058910000000001</v>
      </c>
      <c r="R1633">
        <v>1.217743E-2</v>
      </c>
      <c r="S1633">
        <v>-3.0615540000000001</v>
      </c>
      <c r="T1633">
        <v>-0.1446848</v>
      </c>
      <c r="U1633">
        <v>0.1368713</v>
      </c>
      <c r="V1633">
        <v>7.2975339999999996E-3</v>
      </c>
      <c r="W1633">
        <v>0.16977159999999999</v>
      </c>
      <c r="X1633">
        <v>0.98545640000000001</v>
      </c>
      <c r="Y1633">
        <v>3.9951319999999999E-2</v>
      </c>
      <c r="Z1633">
        <v>7.2230989999999995E-4</v>
      </c>
      <c r="AA1633">
        <v>0.99920140000000002</v>
      </c>
      <c r="AB1633">
        <v>58</v>
      </c>
      <c r="AC1633">
        <v>-23.1417</v>
      </c>
      <c r="AD1633">
        <v>-1.1080652768799999</v>
      </c>
      <c r="AE1633">
        <v>1.0467000000000399</v>
      </c>
      <c r="AF1633">
        <v>0.93634845691326696</v>
      </c>
      <c r="AG1633">
        <v>-1.1080652768799999</v>
      </c>
      <c r="AH1633">
        <v>23.0935033290299</v>
      </c>
      <c r="AI1633">
        <v>92.744789599927401</v>
      </c>
      <c r="AJ1633">
        <v>87.678158925379705</v>
      </c>
      <c r="AK1633">
        <v>23.139024462982601</v>
      </c>
      <c r="AL1633">
        <v>80.225460166307599</v>
      </c>
      <c r="AM1633">
        <v>89.575719172901103</v>
      </c>
      <c r="AN1633">
        <v>0.99999998323499995</v>
      </c>
    </row>
    <row r="1634" spans="1:40" x14ac:dyDescent="0.25">
      <c r="A1634" t="str">
        <f>"20190312164505317"</f>
        <v>20190312164505317</v>
      </c>
      <c r="B1634" t="str">
        <f>"1552380305313733"</f>
        <v>1552380305313733</v>
      </c>
      <c r="C1634" t="s">
        <v>40</v>
      </c>
      <c r="D1634">
        <v>5.16249</v>
      </c>
      <c r="E1634">
        <v>0.51915129999999998</v>
      </c>
      <c r="F1634" t="s">
        <v>47</v>
      </c>
      <c r="G1634">
        <v>-356.62369999999999</v>
      </c>
      <c r="H1634" s="1">
        <v>1.9880479999999999E-6</v>
      </c>
      <c r="I1634">
        <v>285.3152</v>
      </c>
      <c r="J1634">
        <v>-333.27100000000002</v>
      </c>
      <c r="K1634">
        <v>1.1080589999999999</v>
      </c>
      <c r="L1634">
        <v>284.23009999999999</v>
      </c>
      <c r="M1634">
        <v>-0.99994669999999997</v>
      </c>
      <c r="N1634">
        <v>0</v>
      </c>
      <c r="O1634">
        <v>4.4835140000000001E-3</v>
      </c>
      <c r="P1634">
        <v>-0.98696399999999995</v>
      </c>
      <c r="Q1634">
        <v>0.16046540000000001</v>
      </c>
      <c r="R1634">
        <v>1.2370610000000001E-2</v>
      </c>
      <c r="S1634">
        <v>-3.0612490000000001</v>
      </c>
      <c r="T1634">
        <v>-0.1434907</v>
      </c>
      <c r="U1634">
        <v>0.14068599999999901</v>
      </c>
      <c r="V1634">
        <v>7.6825019999999999E-3</v>
      </c>
      <c r="W1634">
        <v>0.16965920000000001</v>
      </c>
      <c r="X1634">
        <v>0.98547289999999998</v>
      </c>
      <c r="Y1634">
        <v>4.138874E-2</v>
      </c>
      <c r="Z1634">
        <v>7.5903530000000002E-4</v>
      </c>
      <c r="AA1634">
        <v>0.9991428</v>
      </c>
      <c r="AB1634">
        <v>58</v>
      </c>
      <c r="AC1634">
        <v>-23.352699999999999</v>
      </c>
      <c r="AD1634">
        <v>-1.1080570119519999</v>
      </c>
      <c r="AE1634">
        <v>1.0851000000000099</v>
      </c>
      <c r="AF1634">
        <v>0.978184879512903</v>
      </c>
      <c r="AG1634">
        <v>-1.1080570119519999</v>
      </c>
      <c r="AH1634">
        <v>23.304975071135502</v>
      </c>
      <c r="AI1634">
        <v>92.719740760096201</v>
      </c>
      <c r="AJ1634">
        <v>87.596522339259494</v>
      </c>
      <c r="AK1634">
        <v>23.351798625940798</v>
      </c>
      <c r="AL1634">
        <v>80.2319956788116</v>
      </c>
      <c r="AM1634">
        <v>89.553345379665302</v>
      </c>
      <c r="AN1634">
        <v>1.00000005080801</v>
      </c>
    </row>
    <row r="1635" spans="1:40" x14ac:dyDescent="0.25">
      <c r="A1635" t="str">
        <f>"20190312164505328"</f>
        <v>20190312164505328</v>
      </c>
      <c r="B1635" t="str">
        <f>"1552380305323492"</f>
        <v>1552380305323492</v>
      </c>
      <c r="C1635" t="s">
        <v>40</v>
      </c>
      <c r="D1635">
        <v>4.9634960000000001</v>
      </c>
      <c r="E1635">
        <v>0.51901900000000001</v>
      </c>
      <c r="F1635" t="s">
        <v>47</v>
      </c>
      <c r="G1635">
        <v>-357.67939999999999</v>
      </c>
      <c r="H1635" s="1">
        <v>2.549833E-6</v>
      </c>
      <c r="I1635">
        <v>285.39960000000002</v>
      </c>
      <c r="J1635">
        <v>-333.58920000000001</v>
      </c>
      <c r="K1635">
        <v>1.108052</v>
      </c>
      <c r="L1635">
        <v>284.23160000000001</v>
      </c>
      <c r="M1635">
        <v>-0.99994749999999999</v>
      </c>
      <c r="N1635">
        <v>0</v>
      </c>
      <c r="O1635">
        <v>4.2736140000000002E-3</v>
      </c>
      <c r="P1635">
        <v>-0.98700670000000001</v>
      </c>
      <c r="Q1635">
        <v>0.1602112</v>
      </c>
      <c r="R1635">
        <v>1.2258659999999999E-2</v>
      </c>
      <c r="S1635">
        <v>-3.0603940000000001</v>
      </c>
      <c r="T1635">
        <v>-0.13893079999999999</v>
      </c>
      <c r="U1635">
        <v>0.14663699999999999</v>
      </c>
      <c r="V1635">
        <v>7.7807129999999999E-3</v>
      </c>
      <c r="W1635">
        <v>0.1694177</v>
      </c>
      <c r="X1635">
        <v>0.98551359999999999</v>
      </c>
      <c r="Y1635">
        <v>4.35498E-2</v>
      </c>
      <c r="Z1635">
        <v>7.9362839999999905E-4</v>
      </c>
      <c r="AA1635">
        <v>0.99905089999999996</v>
      </c>
      <c r="AB1635">
        <v>58</v>
      </c>
      <c r="AC1635">
        <v>-24.0901999999999</v>
      </c>
      <c r="AD1635">
        <v>-1.108049450167</v>
      </c>
      <c r="AE1635">
        <v>1.1679999999999999</v>
      </c>
      <c r="AF1635">
        <v>1.06278946748336</v>
      </c>
      <c r="AG1635">
        <v>-1.108049450167</v>
      </c>
      <c r="AH1635">
        <v>24.044222670476898</v>
      </c>
      <c r="AI1635">
        <v>92.635971034063203</v>
      </c>
      <c r="AJ1635">
        <v>87.469090970646207</v>
      </c>
      <c r="AK1635">
        <v>24.093192790987398</v>
      </c>
      <c r="AL1635">
        <v>80.246035125468495</v>
      </c>
      <c r="AM1635">
        <v>89.547654386282602</v>
      </c>
      <c r="AN1635">
        <v>0.99999997617651804</v>
      </c>
    </row>
    <row r="1636" spans="1:40" x14ac:dyDescent="0.25">
      <c r="A1636" t="str">
        <f>"20190312164505344"</f>
        <v>20190312164505344</v>
      </c>
      <c r="B1636" t="str">
        <f>"1552380305333252"</f>
        <v>1552380305333252</v>
      </c>
      <c r="C1636" t="s">
        <v>40</v>
      </c>
      <c r="D1636">
        <v>5.0694720000000002</v>
      </c>
      <c r="E1636">
        <v>0.51919720000000003</v>
      </c>
      <c r="F1636" t="s">
        <v>47</v>
      </c>
      <c r="G1636">
        <v>-357.3877</v>
      </c>
      <c r="H1636" s="1">
        <v>2.3945570000000002E-6</v>
      </c>
      <c r="I1636">
        <v>285.35719999999998</v>
      </c>
      <c r="J1636">
        <v>-334.00069999999999</v>
      </c>
      <c r="K1636">
        <v>1.108039</v>
      </c>
      <c r="L1636">
        <v>284.23329999999999</v>
      </c>
      <c r="M1636">
        <v>-0.99994830000000001</v>
      </c>
      <c r="N1636">
        <v>0</v>
      </c>
      <c r="O1636">
        <v>4.0135530000000004E-3</v>
      </c>
      <c r="P1636">
        <v>-0.98706450000000001</v>
      </c>
      <c r="Q1636">
        <v>0.15983220000000001</v>
      </c>
      <c r="R1636">
        <v>1.253224E-2</v>
      </c>
      <c r="S1636">
        <v>-3.0608219999999999</v>
      </c>
      <c r="T1636">
        <v>-0.1425111</v>
      </c>
      <c r="U1636">
        <v>0.1447754</v>
      </c>
      <c r="V1636">
        <v>8.3153500000000009E-3</v>
      </c>
      <c r="W1636">
        <v>0.16905490000000001</v>
      </c>
      <c r="X1636">
        <v>0.98557159999999999</v>
      </c>
      <c r="Y1636">
        <v>4.3194719999999999E-2</v>
      </c>
      <c r="Z1636">
        <v>8.1779509999999999E-4</v>
      </c>
      <c r="AA1636">
        <v>0.99906640000000002</v>
      </c>
      <c r="AB1636">
        <v>58</v>
      </c>
      <c r="AC1636">
        <v>-23.386999999999901</v>
      </c>
      <c r="AD1636">
        <v>-1.108036605443</v>
      </c>
      <c r="AE1636">
        <v>1.1238999999999899</v>
      </c>
      <c r="AF1636">
        <v>1.02772027305544</v>
      </c>
      <c r="AG1636">
        <v>-1.108036605443</v>
      </c>
      <c r="AH1636">
        <v>23.3390540762746</v>
      </c>
      <c r="AI1636">
        <v>92.715485585642696</v>
      </c>
      <c r="AJ1636">
        <v>87.478645921474296</v>
      </c>
      <c r="AK1636">
        <v>23.387932769997501</v>
      </c>
      <c r="AL1636">
        <v>80.267126905853004</v>
      </c>
      <c r="AM1636">
        <v>89.516602187238604</v>
      </c>
      <c r="AN1636">
        <v>1.0000000414930901</v>
      </c>
    </row>
    <row r="1637" spans="1:40" x14ac:dyDescent="0.25">
      <c r="A1637" t="str">
        <f>"20190312164505359"</f>
        <v>20190312164505359</v>
      </c>
      <c r="B1637" t="str">
        <f>"1552380305353749"</f>
        <v>1552380305353749</v>
      </c>
      <c r="C1637" t="s">
        <v>40</v>
      </c>
      <c r="D1637">
        <v>5.1100019999999997</v>
      </c>
      <c r="E1637">
        <v>0.51947840000000001</v>
      </c>
      <c r="F1637" t="s">
        <v>47</v>
      </c>
      <c r="G1637">
        <v>-357.75</v>
      </c>
      <c r="H1637" s="1">
        <v>2.5873920000000002E-6</v>
      </c>
      <c r="I1637">
        <v>285.37569999999999</v>
      </c>
      <c r="J1637">
        <v>-334.35770000000002</v>
      </c>
      <c r="K1637">
        <v>1.1080289999999999</v>
      </c>
      <c r="L1637">
        <v>284.23469999999998</v>
      </c>
      <c r="M1637">
        <v>-0.99994910000000004</v>
      </c>
      <c r="N1637">
        <v>0</v>
      </c>
      <c r="O1637">
        <v>3.7945510000000002E-3</v>
      </c>
      <c r="P1637">
        <v>-0.98712800000000001</v>
      </c>
      <c r="Q1637">
        <v>0.15945709999999999</v>
      </c>
      <c r="R1637">
        <v>1.232429E-2</v>
      </c>
      <c r="S1637">
        <v>-3.0605769999999999</v>
      </c>
      <c r="T1637">
        <v>-0.14279249999999999</v>
      </c>
      <c r="U1637">
        <v>0.14721679999999901</v>
      </c>
      <c r="V1637">
        <v>8.3276940000000001E-3</v>
      </c>
      <c r="W1637">
        <v>0.16869389999999901</v>
      </c>
      <c r="X1637">
        <v>0.98563330000000005</v>
      </c>
      <c r="Y1637">
        <v>4.4210909999999999E-2</v>
      </c>
      <c r="Z1637">
        <v>8.5334240000000002E-4</v>
      </c>
      <c r="AA1637">
        <v>0.99902179999999996</v>
      </c>
      <c r="AB1637">
        <v>58</v>
      </c>
      <c r="AC1637">
        <v>-23.392299999999899</v>
      </c>
      <c r="AD1637">
        <v>-1.1080264126079999</v>
      </c>
      <c r="AE1637">
        <v>1.14100000000001</v>
      </c>
      <c r="AF1637">
        <v>1.0498746739410401</v>
      </c>
      <c r="AG1637">
        <v>-1.1080264126079999</v>
      </c>
      <c r="AH1637">
        <v>23.3442095169768</v>
      </c>
      <c r="AI1637">
        <v>92.714748752934099</v>
      </c>
      <c r="AJ1637">
        <v>87.424933968742906</v>
      </c>
      <c r="AK1637">
        <v>23.3940607277687</v>
      </c>
      <c r="AL1637">
        <v>80.288111596292893</v>
      </c>
      <c r="AM1637">
        <v>89.515914929146007</v>
      </c>
      <c r="AN1637">
        <v>0.99999999222672797</v>
      </c>
    </row>
    <row r="1638" spans="1:40" x14ac:dyDescent="0.25">
      <c r="A1638" t="str">
        <f>"20190312164505379"</f>
        <v>20190312164505379</v>
      </c>
      <c r="B1638" t="str">
        <f>"1552380305373775"</f>
        <v>1552380305373775</v>
      </c>
      <c r="C1638" t="s">
        <v>40</v>
      </c>
      <c r="D1638">
        <v>4.9235110000000004</v>
      </c>
      <c r="E1638">
        <v>0.51927609999999902</v>
      </c>
      <c r="F1638" t="s">
        <v>47</v>
      </c>
      <c r="G1638">
        <v>-358.55200000000002</v>
      </c>
      <c r="H1638" s="1">
        <v>3.0141589999999998E-6</v>
      </c>
      <c r="I1638">
        <v>285.41160000000002</v>
      </c>
      <c r="J1638">
        <v>-334.90800000000002</v>
      </c>
      <c r="K1638">
        <v>1.108009</v>
      </c>
      <c r="L1638">
        <v>284.23680000000002</v>
      </c>
      <c r="M1638">
        <v>-0.99995009999999995</v>
      </c>
      <c r="N1638">
        <v>0</v>
      </c>
      <c r="O1638">
        <v>3.4679860000000002E-3</v>
      </c>
      <c r="P1638">
        <v>-0.98721020000000004</v>
      </c>
      <c r="Q1638">
        <v>0.158933299999999</v>
      </c>
      <c r="R1638">
        <v>1.2505290000000001E-2</v>
      </c>
      <c r="S1638">
        <v>-3.0598749999999999</v>
      </c>
      <c r="T1638">
        <v>-0.1401329</v>
      </c>
      <c r="U1638">
        <v>0.1488342</v>
      </c>
      <c r="V1638">
        <v>8.8371549999999993E-3</v>
      </c>
      <c r="W1638">
        <v>0.16819339999999999</v>
      </c>
      <c r="X1638">
        <v>0.98571439999999999</v>
      </c>
      <c r="Y1638">
        <v>4.507535E-2</v>
      </c>
      <c r="Z1638">
        <v>8.7235769999999995E-4</v>
      </c>
      <c r="AA1638">
        <v>0.99898319999999996</v>
      </c>
      <c r="AB1638">
        <v>58</v>
      </c>
      <c r="AC1638">
        <v>-23.643999999999899</v>
      </c>
      <c r="AD1638">
        <v>-1.1080059858409901</v>
      </c>
      <c r="AE1638">
        <v>1.1748000000000001</v>
      </c>
      <c r="AF1638">
        <v>1.0904035909496299</v>
      </c>
      <c r="AG1638">
        <v>-1.1080059858409901</v>
      </c>
      <c r="AH1638">
        <v>23.5962412520011</v>
      </c>
      <c r="AI1638">
        <v>92.685594776132206</v>
      </c>
      <c r="AJ1638">
        <v>87.354192606905102</v>
      </c>
      <c r="AK1638">
        <v>23.647394327461399</v>
      </c>
      <c r="AL1638">
        <v>80.3172038691974</v>
      </c>
      <c r="AM1638">
        <v>89.486343996260402</v>
      </c>
      <c r="AN1638">
        <v>0.99999999673970696</v>
      </c>
    </row>
    <row r="1639" spans="1:40" x14ac:dyDescent="0.25">
      <c r="A1639" t="str">
        <f>"20190312164505392"</f>
        <v>20190312164505392</v>
      </c>
      <c r="B1639" t="str">
        <f>"1552380305383535"</f>
        <v>1552380305383535</v>
      </c>
      <c r="C1639" t="s">
        <v>40</v>
      </c>
      <c r="D1639">
        <v>5.1990790000000002</v>
      </c>
      <c r="E1639">
        <v>0.51955620000000002</v>
      </c>
      <c r="F1639" t="s">
        <v>47</v>
      </c>
      <c r="G1639">
        <v>-358.27850000000001</v>
      </c>
      <c r="H1639" s="1">
        <v>2.8686010000000002E-6</v>
      </c>
      <c r="I1639">
        <v>285.36169999999998</v>
      </c>
      <c r="J1639">
        <v>-335.24529999999999</v>
      </c>
      <c r="K1639">
        <v>1.1080000000000001</v>
      </c>
      <c r="L1639">
        <v>284.238</v>
      </c>
      <c r="M1639">
        <v>-0.99995060000000002</v>
      </c>
      <c r="N1639">
        <v>0</v>
      </c>
      <c r="O1639">
        <v>3.273298E-3</v>
      </c>
      <c r="P1639">
        <v>-0.98722989999999999</v>
      </c>
      <c r="Q1639">
        <v>0.15881389999999901</v>
      </c>
      <c r="R1639">
        <v>1.2461979999999999E-2</v>
      </c>
      <c r="S1639">
        <v>-3.0603639999999999</v>
      </c>
      <c r="T1639">
        <v>-0.14509320000000001</v>
      </c>
      <c r="U1639">
        <v>0.147308299999999</v>
      </c>
      <c r="V1639">
        <v>8.9896739999999996E-3</v>
      </c>
      <c r="W1639">
        <v>0.1680886</v>
      </c>
      <c r="X1639">
        <v>0.98573089999999997</v>
      </c>
      <c r="Y1639">
        <v>4.476219E-2</v>
      </c>
      <c r="Z1639">
        <v>9.0487429999999995E-4</v>
      </c>
      <c r="AA1639">
        <v>0.99899729999999998</v>
      </c>
      <c r="AB1639">
        <v>58</v>
      </c>
      <c r="AC1639">
        <v>-23.033200000000001</v>
      </c>
      <c r="AD1639">
        <v>-1.10799713139899</v>
      </c>
      <c r="AE1639">
        <v>1.1236999999999799</v>
      </c>
      <c r="AF1639">
        <v>1.0458816778472699</v>
      </c>
      <c r="AG1639">
        <v>-1.10799713139899</v>
      </c>
      <c r="AH1639">
        <v>22.983696315713502</v>
      </c>
      <c r="AI1639">
        <v>92.757127189130301</v>
      </c>
      <c r="AJ1639">
        <v>87.394531594754596</v>
      </c>
      <c r="AK1639">
        <v>23.0341447086751</v>
      </c>
      <c r="AL1639">
        <v>80.323295215805601</v>
      </c>
      <c r="AM1639">
        <v>89.477488125311694</v>
      </c>
      <c r="AN1639">
        <v>0.99999999945169804</v>
      </c>
    </row>
    <row r="1640" spans="1:40" x14ac:dyDescent="0.25">
      <c r="A1640" t="str">
        <f>"20190312164505404"</f>
        <v>20190312164505404</v>
      </c>
      <c r="B1640" t="str">
        <f>"1552380305393296"</f>
        <v>1552380305393296</v>
      </c>
      <c r="C1640" t="s">
        <v>40</v>
      </c>
      <c r="D1640">
        <v>5.1007860000000003</v>
      </c>
      <c r="E1640">
        <v>0.51975559999999998</v>
      </c>
      <c r="F1640" t="s">
        <v>41</v>
      </c>
      <c r="G1640">
        <v>-336.4153</v>
      </c>
      <c r="H1640">
        <v>1.0523279999999999</v>
      </c>
      <c r="I1640">
        <v>284.29520000000002</v>
      </c>
      <c r="J1640">
        <v>-335.55880000000002</v>
      </c>
      <c r="K1640">
        <v>1.1079889999999999</v>
      </c>
      <c r="L1640">
        <v>284.23899999999998</v>
      </c>
      <c r="M1640">
        <v>-0.99995100000000003</v>
      </c>
      <c r="N1640">
        <v>0</v>
      </c>
      <c r="O1640">
        <v>3.0970799999999999E-3</v>
      </c>
      <c r="P1640">
        <v>-0.98729599999999995</v>
      </c>
      <c r="Q1640">
        <v>0.15840889999999999</v>
      </c>
      <c r="R1640">
        <v>1.237575E-2</v>
      </c>
      <c r="S1640">
        <v>-3.0603639999999999</v>
      </c>
      <c r="T1640">
        <v>-0.14560780000000001</v>
      </c>
      <c r="U1640">
        <v>0.14965819999999999</v>
      </c>
      <c r="V1640">
        <v>9.0809629999999992E-3</v>
      </c>
      <c r="W1640">
        <v>0.16769790000000001</v>
      </c>
      <c r="X1640">
        <v>0.98579660000000002</v>
      </c>
      <c r="Y1640">
        <v>4.5701899999999997E-2</v>
      </c>
      <c r="Z1640">
        <v>9.3876660000000005E-4</v>
      </c>
      <c r="AA1640">
        <v>0.99895469999999997</v>
      </c>
      <c r="AB1640">
        <v>59</v>
      </c>
      <c r="AC1640">
        <v>-0.85649999999998205</v>
      </c>
      <c r="AD1640">
        <v>-5.5660999999999697E-2</v>
      </c>
      <c r="AE1640">
        <v>5.61999999999898E-2</v>
      </c>
      <c r="AF1640">
        <v>5.33227340829436E-2</v>
      </c>
      <c r="AG1640">
        <v>-5.5660999999999697E-2</v>
      </c>
      <c r="AH1640">
        <v>0.853082615405373</v>
      </c>
      <c r="AI1640">
        <v>93.7258300600583</v>
      </c>
      <c r="AJ1640">
        <v>86.423326391062801</v>
      </c>
      <c r="AK1640">
        <v>0.85655788455769399</v>
      </c>
      <c r="AL1640">
        <v>80.3460029477707</v>
      </c>
      <c r="AM1640">
        <v>89.472217557398594</v>
      </c>
      <c r="AN1640">
        <v>0.99999999306248799</v>
      </c>
    </row>
    <row r="1641" spans="1:40" x14ac:dyDescent="0.25">
      <c r="A1641" t="str">
        <f>"20190312164505417"</f>
        <v>20190312164505417</v>
      </c>
      <c r="B1641" t="str">
        <f>"1552380305413792"</f>
        <v>1552380305413792</v>
      </c>
      <c r="C1641" t="s">
        <v>40</v>
      </c>
      <c r="D1641">
        <v>5.188618</v>
      </c>
      <c r="E1641">
        <v>0.51998739999999999</v>
      </c>
      <c r="F1641" t="s">
        <v>47</v>
      </c>
      <c r="G1641">
        <v>-358.57889999999998</v>
      </c>
      <c r="H1641" s="1">
        <v>3.028497E-6</v>
      </c>
      <c r="I1641">
        <v>285.37529999999998</v>
      </c>
      <c r="J1641">
        <v>-335.89749999999998</v>
      </c>
      <c r="K1641">
        <v>1.107979</v>
      </c>
      <c r="L1641">
        <v>284.24009999999998</v>
      </c>
      <c r="M1641">
        <v>-0.99995149999999999</v>
      </c>
      <c r="N1641">
        <v>0</v>
      </c>
      <c r="O1641">
        <v>2.9103100000000002E-3</v>
      </c>
      <c r="P1641">
        <v>-0.98735139999999999</v>
      </c>
      <c r="Q1641">
        <v>0.1580676</v>
      </c>
      <c r="R1641">
        <v>1.233914E-2</v>
      </c>
      <c r="S1641">
        <v>-3.0603639999999999</v>
      </c>
      <c r="T1641">
        <v>-0.14729909999999999</v>
      </c>
      <c r="U1641">
        <v>0.151062</v>
      </c>
      <c r="V1641">
        <v>9.2325819999999996E-3</v>
      </c>
      <c r="W1641">
        <v>0.1673721</v>
      </c>
      <c r="X1641">
        <v>0.98585060000000002</v>
      </c>
      <c r="Y1641">
        <v>4.6343519999999999E-2</v>
      </c>
      <c r="Z1641">
        <v>9.7404869999999995E-4</v>
      </c>
      <c r="AA1641">
        <v>0.99892510000000001</v>
      </c>
      <c r="AB1641">
        <v>59</v>
      </c>
      <c r="AC1641">
        <v>-22.6814</v>
      </c>
      <c r="AD1641">
        <v>-1.107975971503</v>
      </c>
      <c r="AE1641">
        <v>1.13519999999999</v>
      </c>
      <c r="AF1641">
        <v>1.0666434174698201</v>
      </c>
      <c r="AG1641">
        <v>-1.107975971503</v>
      </c>
      <c r="AH1641">
        <v>22.630739578598501</v>
      </c>
      <c r="AI1641">
        <v>92.799796754048899</v>
      </c>
      <c r="AJ1641">
        <v>87.301503488663997</v>
      </c>
      <c r="AK1641">
        <v>22.682938804480401</v>
      </c>
      <c r="AL1641">
        <v>80.364937920158695</v>
      </c>
      <c r="AM1641">
        <v>89.463435414588901</v>
      </c>
      <c r="AN1641">
        <v>1.00000003297457</v>
      </c>
    </row>
    <row r="1642" spans="1:40" x14ac:dyDescent="0.25">
      <c r="A1642" t="str">
        <f>"20190312164505434"</f>
        <v>20190312164505434</v>
      </c>
      <c r="B1642" t="str">
        <f>"1552380305423552"</f>
        <v>1552380305423552</v>
      </c>
      <c r="C1642" t="s">
        <v>40</v>
      </c>
      <c r="D1642">
        <v>4.9428769999999904</v>
      </c>
      <c r="E1642">
        <v>0.52000279999999999</v>
      </c>
      <c r="F1642" t="s">
        <v>47</v>
      </c>
      <c r="G1642">
        <v>-359.07369999999997</v>
      </c>
      <c r="H1642" s="1">
        <v>3.291761E-6</v>
      </c>
      <c r="I1642">
        <v>285.399</v>
      </c>
      <c r="J1642">
        <v>-336.34039999999999</v>
      </c>
      <c r="K1642">
        <v>1.107972</v>
      </c>
      <c r="L1642">
        <v>284.24130000000002</v>
      </c>
      <c r="M1642">
        <v>-0.9999519</v>
      </c>
      <c r="N1642">
        <v>0</v>
      </c>
      <c r="O1642">
        <v>2.6706149999999999E-3</v>
      </c>
      <c r="P1642">
        <v>-0.98743610000000004</v>
      </c>
      <c r="Q1642">
        <v>0.1575242</v>
      </c>
      <c r="R1642">
        <v>1.24957E-2</v>
      </c>
      <c r="S1642">
        <v>-3.0599370000000001</v>
      </c>
      <c r="T1642">
        <v>-0.14628569999999999</v>
      </c>
      <c r="U1642">
        <v>0.15301509999999999</v>
      </c>
      <c r="V1642">
        <v>9.6306210000000007E-3</v>
      </c>
      <c r="W1642">
        <v>0.16685029999999901</v>
      </c>
      <c r="X1642">
        <v>0.98593520000000001</v>
      </c>
      <c r="Y1642">
        <v>4.7225240000000002E-2</v>
      </c>
      <c r="Z1642">
        <v>9.9997119999999996E-4</v>
      </c>
      <c r="AA1642">
        <v>0.99888379999999999</v>
      </c>
      <c r="AB1642">
        <v>59</v>
      </c>
      <c r="AC1642">
        <v>-22.7332999999999</v>
      </c>
      <c r="AD1642">
        <v>-1.107968708239</v>
      </c>
      <c r="AE1642">
        <v>1.15769999999997</v>
      </c>
      <c r="AF1642">
        <v>1.0943884295800499</v>
      </c>
      <c r="AG1642">
        <v>-1.107968708239</v>
      </c>
      <c r="AH1642">
        <v>22.682570856677501</v>
      </c>
      <c r="AI1642">
        <v>92.793242856253102</v>
      </c>
      <c r="AJ1642">
        <v>87.2377359261734</v>
      </c>
      <c r="AK1642">
        <v>22.735969329708201</v>
      </c>
      <c r="AL1642">
        <v>80.395260894615603</v>
      </c>
      <c r="AM1642">
        <v>89.440352277935602</v>
      </c>
      <c r="AN1642">
        <v>0.99999999503498704</v>
      </c>
    </row>
    <row r="1643" spans="1:40" x14ac:dyDescent="0.25">
      <c r="A1643" t="str">
        <f>"20190312164505457"</f>
        <v>20190312164505457</v>
      </c>
      <c r="B1643" t="str">
        <f>"1552380305452832"</f>
        <v>1552380305452832</v>
      </c>
      <c r="C1643" t="s">
        <v>40</v>
      </c>
      <c r="D1643">
        <v>4.8704999999999998</v>
      </c>
      <c r="E1643">
        <v>0.52010009999999995</v>
      </c>
      <c r="F1643" t="s">
        <v>41</v>
      </c>
      <c r="G1643">
        <v>-337.46600000000001</v>
      </c>
      <c r="H1643">
        <v>1.054011</v>
      </c>
      <c r="I1643">
        <v>284.29790000000003</v>
      </c>
      <c r="J1643">
        <v>-336.94630000000001</v>
      </c>
      <c r="K1643">
        <v>1.107955</v>
      </c>
      <c r="L1643">
        <v>284.24290000000002</v>
      </c>
      <c r="M1643">
        <v>-0.99995239999999996</v>
      </c>
      <c r="N1643">
        <v>0</v>
      </c>
      <c r="O1643">
        <v>2.3503880000000001E-3</v>
      </c>
      <c r="P1643">
        <v>-0.98753820000000003</v>
      </c>
      <c r="Q1643">
        <v>0.1568901</v>
      </c>
      <c r="R1643">
        <v>1.240112E-2</v>
      </c>
      <c r="S1643">
        <v>-3.059631</v>
      </c>
      <c r="T1643">
        <v>-0.14665310000000001</v>
      </c>
      <c r="U1643">
        <v>0.1540222</v>
      </c>
      <c r="V1643">
        <v>9.8588240000000004E-3</v>
      </c>
      <c r="W1643">
        <v>0.16624749999999999</v>
      </c>
      <c r="X1643">
        <v>0.98603479999999999</v>
      </c>
      <c r="Y1643">
        <v>4.7876660000000001E-2</v>
      </c>
      <c r="Z1643">
        <v>1.0334949999999999E-3</v>
      </c>
      <c r="AA1643">
        <v>0.99885270000000004</v>
      </c>
      <c r="AB1643">
        <v>59</v>
      </c>
      <c r="AC1643">
        <v>-0.51970000000000005</v>
      </c>
      <c r="AD1643">
        <v>-5.3943999999999902E-2</v>
      </c>
      <c r="AE1643">
        <v>5.50000000000068E-2</v>
      </c>
      <c r="AF1643">
        <v>5.3211342431046499E-2</v>
      </c>
      <c r="AG1643">
        <v>-5.3943999999999902E-2</v>
      </c>
      <c r="AH1643">
        <v>0.51434759004611996</v>
      </c>
      <c r="AI1643">
        <v>95.955651137069694</v>
      </c>
      <c r="AJ1643">
        <v>84.093531430756499</v>
      </c>
      <c r="AK1643">
        <v>0.519898880058003</v>
      </c>
      <c r="AL1643">
        <v>80.4302883191707</v>
      </c>
      <c r="AM1643">
        <v>89.427149848925893</v>
      </c>
      <c r="AN1643">
        <v>1.00000002723897</v>
      </c>
    </row>
    <row r="1644" spans="1:40" x14ac:dyDescent="0.25">
      <c r="A1644" t="str">
        <f>"20190312164505469"</f>
        <v>20190312164505469</v>
      </c>
      <c r="B1644" t="str">
        <f>"1552380305463101"</f>
        <v>1552380305463101</v>
      </c>
      <c r="C1644" t="s">
        <v>40</v>
      </c>
      <c r="D1644">
        <v>4.8940900000000003</v>
      </c>
      <c r="E1644">
        <v>0.51995990000000003</v>
      </c>
      <c r="F1644" t="s">
        <v>47</v>
      </c>
      <c r="G1644">
        <v>-359.87439999999998</v>
      </c>
      <c r="H1644" s="1">
        <v>3.7178619999999998E-6</v>
      </c>
      <c r="I1644">
        <v>285.40219999999999</v>
      </c>
      <c r="J1644">
        <v>-337.27010000000001</v>
      </c>
      <c r="K1644">
        <v>1.107947</v>
      </c>
      <c r="L1644">
        <v>284.24369999999999</v>
      </c>
      <c r="M1644">
        <v>-0.99995270000000003</v>
      </c>
      <c r="N1644">
        <v>0</v>
      </c>
      <c r="O1644">
        <v>2.1814740000000001E-3</v>
      </c>
      <c r="P1644">
        <v>-0.98756049999999995</v>
      </c>
      <c r="Q1644">
        <v>0.156739299999999</v>
      </c>
      <c r="R1644">
        <v>1.253538E-2</v>
      </c>
      <c r="S1644">
        <v>-3.0593870000000001</v>
      </c>
      <c r="T1644">
        <v>-0.1478382</v>
      </c>
      <c r="U1644">
        <v>0.15469359999999999</v>
      </c>
      <c r="V1644">
        <v>1.0162869999999999E-2</v>
      </c>
      <c r="W1644">
        <v>0.16611400000000001</v>
      </c>
      <c r="X1644">
        <v>0.98605419999999999</v>
      </c>
      <c r="Y1644">
        <v>4.8266530000000002E-2</v>
      </c>
      <c r="Z1644">
        <v>1.059475E-3</v>
      </c>
      <c r="AA1644">
        <v>0.998834</v>
      </c>
      <c r="AB1644">
        <v>59</v>
      </c>
      <c r="AC1644">
        <v>-22.604299999999899</v>
      </c>
      <c r="AD1644">
        <v>-1.107943282138</v>
      </c>
      <c r="AE1644">
        <v>1.1585000000000001</v>
      </c>
      <c r="AF1644">
        <v>1.1065329184859301</v>
      </c>
      <c r="AG1644">
        <v>-1.107943282138</v>
      </c>
      <c r="AH1644">
        <v>22.552733869553101</v>
      </c>
      <c r="AI1644">
        <v>92.809122486409706</v>
      </c>
      <c r="AJ1644">
        <v>87.191078215636395</v>
      </c>
      <c r="AK1644">
        <v>22.607028960193201</v>
      </c>
      <c r="AL1644">
        <v>80.438045045160095</v>
      </c>
      <c r="AM1644">
        <v>89.409496007479902</v>
      </c>
      <c r="AN1644">
        <v>1.00000001513013</v>
      </c>
    </row>
    <row r="1645" spans="1:40" x14ac:dyDescent="0.25">
      <c r="A1645" t="str">
        <f>"20190312164505482"</f>
        <v>20190312164505482</v>
      </c>
      <c r="B1645" t="str">
        <f>"1552380305472860"</f>
        <v>1552380305472860</v>
      </c>
      <c r="C1645" t="s">
        <v>40</v>
      </c>
      <c r="D1645">
        <v>5.0461199999999904</v>
      </c>
      <c r="E1645">
        <v>0.52001500000000001</v>
      </c>
      <c r="F1645" t="s">
        <v>41</v>
      </c>
      <c r="G1645">
        <v>-338.51080000000002</v>
      </c>
      <c r="H1645">
        <v>1.0473170000000001</v>
      </c>
      <c r="I1645">
        <v>284.30630000000002</v>
      </c>
      <c r="J1645">
        <v>-337.61829999999998</v>
      </c>
      <c r="K1645">
        <v>1.107939</v>
      </c>
      <c r="L1645">
        <v>284.24439999999998</v>
      </c>
      <c r="M1645">
        <v>-0.99995290000000003</v>
      </c>
      <c r="N1645">
        <v>0</v>
      </c>
      <c r="O1645">
        <v>2.0022989999999999E-3</v>
      </c>
      <c r="P1645">
        <v>-0.98761330000000003</v>
      </c>
      <c r="Q1645">
        <v>0.156397799999999</v>
      </c>
      <c r="R1645">
        <v>1.264761E-2</v>
      </c>
      <c r="S1645">
        <v>-3.0595699999999999</v>
      </c>
      <c r="T1645">
        <v>-0.1496267</v>
      </c>
      <c r="U1645">
        <v>0.1537781</v>
      </c>
      <c r="V1645">
        <v>1.04555E-2</v>
      </c>
      <c r="W1645">
        <v>0.16579279999999999</v>
      </c>
      <c r="X1645">
        <v>0.98610520000000002</v>
      </c>
      <c r="Y1645">
        <v>4.8142999999999998E-2</v>
      </c>
      <c r="Z1645">
        <v>1.0779559999999999E-3</v>
      </c>
      <c r="AA1645">
        <v>0.9988399</v>
      </c>
      <c r="AB1645">
        <v>59</v>
      </c>
      <c r="AC1645">
        <v>-0.89250000000004004</v>
      </c>
      <c r="AD1645">
        <v>-6.0621999999999898E-2</v>
      </c>
      <c r="AE1645">
        <v>6.1900000000036898E-2</v>
      </c>
      <c r="AF1645">
        <v>5.9837993865448899E-2</v>
      </c>
      <c r="AG1645">
        <v>-6.0621999999999898E-2</v>
      </c>
      <c r="AH1645">
        <v>0.88854236526428998</v>
      </c>
      <c r="AI1645">
        <v>93.894239875333895</v>
      </c>
      <c r="AJ1645">
        <v>86.147290489614704</v>
      </c>
      <c r="AK1645">
        <v>0.89261590130542701</v>
      </c>
      <c r="AL1645">
        <v>80.456707251826899</v>
      </c>
      <c r="AM1645">
        <v>89.392525690351107</v>
      </c>
      <c r="AN1645">
        <v>1.00000001773956</v>
      </c>
    </row>
    <row r="1646" spans="1:40" x14ac:dyDescent="0.25">
      <c r="A1646" t="str">
        <f>"20190312164505493"</f>
        <v>20190312164505493</v>
      </c>
      <c r="B1646" t="str">
        <f>"1552380305483595"</f>
        <v>1552380305483595</v>
      </c>
      <c r="C1646" t="s">
        <v>40</v>
      </c>
      <c r="D1646">
        <v>5.2599850000000004</v>
      </c>
      <c r="E1646">
        <v>0.52008089999999996</v>
      </c>
      <c r="F1646" t="s">
        <v>47</v>
      </c>
      <c r="G1646">
        <v>-360.1891</v>
      </c>
      <c r="H1646" s="1">
        <v>-1.4361269999999901E-6</v>
      </c>
      <c r="I1646">
        <v>285.38339999999999</v>
      </c>
      <c r="J1646">
        <v>-337.89870000000002</v>
      </c>
      <c r="K1646">
        <v>1.1079330000000001</v>
      </c>
      <c r="L1646">
        <v>284.24489999999997</v>
      </c>
      <c r="M1646">
        <v>-0.99995299999999998</v>
      </c>
      <c r="N1646">
        <v>0</v>
      </c>
      <c r="O1646">
        <v>1.859128E-3</v>
      </c>
      <c r="P1646">
        <v>-0.98760709999999996</v>
      </c>
      <c r="Q1646">
        <v>0.1564179</v>
      </c>
      <c r="R1646">
        <v>1.2875050000000001E-2</v>
      </c>
      <c r="S1646">
        <v>-3.0594480000000002</v>
      </c>
      <c r="T1646">
        <v>-0.15018010000000001</v>
      </c>
      <c r="U1646">
        <v>0.15438840000000001</v>
      </c>
      <c r="V1646">
        <v>1.082672E-2</v>
      </c>
      <c r="W1646">
        <v>0.16582859999999999</v>
      </c>
      <c r="X1646">
        <v>0.9860951</v>
      </c>
      <c r="Y1646">
        <v>4.8485769999999997E-2</v>
      </c>
      <c r="Z1646">
        <v>1.097397E-3</v>
      </c>
      <c r="AA1646">
        <v>0.99882329999999997</v>
      </c>
      <c r="AB1646">
        <v>59</v>
      </c>
      <c r="AC1646">
        <v>-22.290399999999899</v>
      </c>
      <c r="AD1646">
        <v>-1.107934436127</v>
      </c>
      <c r="AE1646">
        <v>1.1385000000000201</v>
      </c>
      <c r="AF1646">
        <v>1.0943588237145701</v>
      </c>
      <c r="AG1646">
        <v>-1.107934436127</v>
      </c>
      <c r="AH1646">
        <v>22.237681989458899</v>
      </c>
      <c r="AI1646">
        <v>92.848812268049201</v>
      </c>
      <c r="AJ1646">
        <v>87.182638112964298</v>
      </c>
      <c r="AK1646">
        <v>22.292143015289099</v>
      </c>
      <c r="AL1646">
        <v>80.454626563888397</v>
      </c>
      <c r="AM1646">
        <v>89.370952722852493</v>
      </c>
      <c r="AN1646">
        <v>0.999999944343962</v>
      </c>
    </row>
    <row r="1647" spans="1:40" x14ac:dyDescent="0.25">
      <c r="A1647" t="str">
        <f>"20190312164505504"</f>
        <v>20190312164505504</v>
      </c>
      <c r="B1647" t="str">
        <f>"1552380305493355"</f>
        <v>1552380305493355</v>
      </c>
      <c r="C1647" t="s">
        <v>40</v>
      </c>
      <c r="D1647">
        <v>5.0112500000000004</v>
      </c>
      <c r="E1647">
        <v>0.52017369999999996</v>
      </c>
      <c r="F1647" t="s">
        <v>41</v>
      </c>
      <c r="G1647">
        <v>-339.04180000000002</v>
      </c>
      <c r="H1647">
        <v>1.0522910000000001</v>
      </c>
      <c r="I1647">
        <v>284.30360000000002</v>
      </c>
      <c r="J1647">
        <v>-338.19450000000001</v>
      </c>
      <c r="K1647">
        <v>1.1079300000000001</v>
      </c>
      <c r="L1647">
        <v>284.24549999999999</v>
      </c>
      <c r="M1647">
        <v>-0.99995310000000004</v>
      </c>
      <c r="N1647">
        <v>0</v>
      </c>
      <c r="O1647">
        <v>1.7097010000000001E-3</v>
      </c>
      <c r="P1647">
        <v>-0.98763840000000003</v>
      </c>
      <c r="Q1647">
        <v>0.15621570000000001</v>
      </c>
      <c r="R1647">
        <v>1.29237E-2</v>
      </c>
      <c r="S1647">
        <v>-3.0592039999999998</v>
      </c>
      <c r="T1647">
        <v>-0.14903269999999999</v>
      </c>
      <c r="U1647">
        <v>0.15606689999999901</v>
      </c>
      <c r="V1647">
        <v>1.1025800000000001E-2</v>
      </c>
      <c r="W1647">
        <v>0.16564329999999999</v>
      </c>
      <c r="X1647">
        <v>0.98612409999999995</v>
      </c>
      <c r="Y1647">
        <v>4.9185479999999997E-2</v>
      </c>
      <c r="Z1647">
        <v>1.1133880000000001E-3</v>
      </c>
      <c r="AA1647">
        <v>0.99878900000000004</v>
      </c>
      <c r="AB1647">
        <v>59</v>
      </c>
      <c r="AC1647">
        <v>-0.84730000000001804</v>
      </c>
      <c r="AD1647">
        <v>-5.5638999999999703E-2</v>
      </c>
      <c r="AE1647">
        <v>5.8100000000024403E-2</v>
      </c>
      <c r="AF1647">
        <v>5.6409118756961502E-2</v>
      </c>
      <c r="AG1647">
        <v>-5.5638999999999703E-2</v>
      </c>
      <c r="AH1647">
        <v>0.84377671622627004</v>
      </c>
      <c r="AI1647">
        <v>93.764268415100403</v>
      </c>
      <c r="AJ1647">
        <v>86.175288720107105</v>
      </c>
      <c r="AK1647">
        <v>0.84748854496419201</v>
      </c>
      <c r="AL1647">
        <v>80.465392953576895</v>
      </c>
      <c r="AM1647">
        <v>89.359405694761307</v>
      </c>
      <c r="AN1647">
        <v>1.0000000058506699</v>
      </c>
    </row>
    <row r="1648" spans="1:40" x14ac:dyDescent="0.25">
      <c r="A1648" t="str">
        <f>"20190312164505516"</f>
        <v>20190312164505516</v>
      </c>
      <c r="B1648" t="str">
        <f>"1552380305512876"</f>
        <v>1552380305512876</v>
      </c>
      <c r="C1648" t="s">
        <v>40</v>
      </c>
      <c r="D1648">
        <v>4.8818390000000003</v>
      </c>
      <c r="E1648">
        <v>0.52005979999999996</v>
      </c>
      <c r="F1648" t="s">
        <v>47</v>
      </c>
      <c r="G1648">
        <v>-360.96679999999998</v>
      </c>
      <c r="H1648" s="1">
        <v>-1.022294E-6</v>
      </c>
      <c r="I1648">
        <v>285.41300000000001</v>
      </c>
      <c r="J1648">
        <v>-338.50560000000002</v>
      </c>
      <c r="K1648">
        <v>1.1079239999999999</v>
      </c>
      <c r="L1648">
        <v>284.24599999999998</v>
      </c>
      <c r="M1648">
        <v>-0.99995319999999999</v>
      </c>
      <c r="N1648">
        <v>0</v>
      </c>
      <c r="O1648">
        <v>1.556644E-3</v>
      </c>
      <c r="P1648">
        <v>-0.98764320000000005</v>
      </c>
      <c r="Q1648">
        <v>0.1561717</v>
      </c>
      <c r="R1648">
        <v>1.3086840000000001E-2</v>
      </c>
      <c r="S1648">
        <v>-3.059021</v>
      </c>
      <c r="T1648">
        <v>-0.14882919999999999</v>
      </c>
      <c r="U1648">
        <v>0.15682979999999899</v>
      </c>
      <c r="V1648">
        <v>1.134332E-2</v>
      </c>
      <c r="W1648">
        <v>0.16561699999999999</v>
      </c>
      <c r="X1648">
        <v>0.98612489999999997</v>
      </c>
      <c r="Y1648">
        <v>4.9589340000000003E-2</v>
      </c>
      <c r="Z1648">
        <v>1.1291789999999999E-3</v>
      </c>
      <c r="AA1648">
        <v>0.99876900000000002</v>
      </c>
      <c r="AB1648">
        <v>59</v>
      </c>
      <c r="AC1648">
        <v>-22.461199999999899</v>
      </c>
      <c r="AD1648">
        <v>-1.10792502229399</v>
      </c>
      <c r="AE1648">
        <v>1.16700000000003</v>
      </c>
      <c r="AF1648">
        <v>1.12929264740388</v>
      </c>
      <c r="AG1648">
        <v>-1.10792502229399</v>
      </c>
      <c r="AH1648">
        <v>22.408614496925299</v>
      </c>
      <c r="AI1648">
        <v>92.826927028885706</v>
      </c>
      <c r="AJ1648">
        <v>87.114992995738902</v>
      </c>
      <c r="AK1648">
        <v>22.464389673666101</v>
      </c>
      <c r="AL1648">
        <v>80.466920784642696</v>
      </c>
      <c r="AM1648">
        <v>89.340960056340606</v>
      </c>
      <c r="AN1648">
        <v>0.99999998999881601</v>
      </c>
    </row>
    <row r="1649" spans="1:40" x14ac:dyDescent="0.25">
      <c r="A1649" t="str">
        <f>"20190312164505528"</f>
        <v>20190312164505528</v>
      </c>
      <c r="B1649" t="str">
        <f>"1552380305523612"</f>
        <v>1552380305523612</v>
      </c>
      <c r="C1649" t="s">
        <v>40</v>
      </c>
      <c r="D1649">
        <v>5.0072850000000004</v>
      </c>
      <c r="E1649">
        <v>0.52017190000000002</v>
      </c>
      <c r="F1649" t="s">
        <v>41</v>
      </c>
      <c r="G1649">
        <v>-339.58150000000001</v>
      </c>
      <c r="H1649">
        <v>1.054772</v>
      </c>
      <c r="I1649">
        <v>284.30099999999999</v>
      </c>
      <c r="J1649">
        <v>-338.82589999999999</v>
      </c>
      <c r="K1649">
        <v>1.107915</v>
      </c>
      <c r="L1649">
        <v>284.24650000000003</v>
      </c>
      <c r="M1649">
        <v>-0.99995330000000004</v>
      </c>
      <c r="N1649">
        <v>0</v>
      </c>
      <c r="O1649">
        <v>1.4011469999999999E-3</v>
      </c>
      <c r="P1649">
        <v>-0.98761529999999997</v>
      </c>
      <c r="Q1649">
        <v>0.1563388</v>
      </c>
      <c r="R1649">
        <v>1.320697E-2</v>
      </c>
      <c r="S1649">
        <v>-3.0593569999999999</v>
      </c>
      <c r="T1649">
        <v>-0.15112590000000001</v>
      </c>
      <c r="U1649">
        <v>0.15637210000000001</v>
      </c>
      <c r="V1649">
        <v>1.1620170000000001E-2</v>
      </c>
      <c r="W1649">
        <v>0.1658027</v>
      </c>
      <c r="X1649">
        <v>0.98609049999999998</v>
      </c>
      <c r="Y1649">
        <v>4.9588069999999998E-2</v>
      </c>
      <c r="Z1649">
        <v>1.1541019999999999E-3</v>
      </c>
      <c r="AA1649">
        <v>0.99876909999999997</v>
      </c>
      <c r="AB1649">
        <v>59</v>
      </c>
      <c r="AC1649">
        <v>-0.75560000000001504</v>
      </c>
      <c r="AD1649">
        <v>-5.3142999999999899E-2</v>
      </c>
      <c r="AE1649">
        <v>5.4499999999961801E-2</v>
      </c>
      <c r="AF1649">
        <v>5.3179494328836702E-2</v>
      </c>
      <c r="AG1649">
        <v>-5.3142999999999899E-2</v>
      </c>
      <c r="AH1649">
        <v>0.75197514325010695</v>
      </c>
      <c r="AI1649">
        <v>94.032403960000593</v>
      </c>
      <c r="AJ1649">
        <v>85.954791555848701</v>
      </c>
      <c r="AK1649">
        <v>0.75572405885487703</v>
      </c>
      <c r="AL1649">
        <v>80.456132074384797</v>
      </c>
      <c r="AM1649">
        <v>89.324853162327699</v>
      </c>
      <c r="AN1649">
        <v>1.00000001893418</v>
      </c>
    </row>
    <row r="1650" spans="1:40" x14ac:dyDescent="0.25">
      <c r="A1650" t="str">
        <f>"20190312164505540"</f>
        <v>20190312164505540</v>
      </c>
      <c r="B1650" t="str">
        <f>"1552380305533371"</f>
        <v>1552380305533371</v>
      </c>
      <c r="C1650" t="s">
        <v>40</v>
      </c>
      <c r="D1650">
        <v>4.9896320000000003</v>
      </c>
      <c r="E1650">
        <v>0.52025969999999999</v>
      </c>
      <c r="F1650" t="s">
        <v>47</v>
      </c>
      <c r="G1650">
        <v>-361.26949999999999</v>
      </c>
      <c r="H1650" s="1">
        <v>-8.6123629999999997E-7</v>
      </c>
      <c r="I1650">
        <v>285.40350000000001</v>
      </c>
      <c r="J1650">
        <v>-339.13060000000002</v>
      </c>
      <c r="K1650">
        <v>1.107904</v>
      </c>
      <c r="L1650">
        <v>284.24689999999998</v>
      </c>
      <c r="M1650">
        <v>-0.99995330000000004</v>
      </c>
      <c r="N1650">
        <v>0</v>
      </c>
      <c r="O1650">
        <v>1.2617150000000001E-3</v>
      </c>
      <c r="P1650">
        <v>-0.98762079999999997</v>
      </c>
      <c r="Q1650">
        <v>0.1562839</v>
      </c>
      <c r="R1650">
        <v>1.34409E-2</v>
      </c>
      <c r="S1650">
        <v>-3.059418</v>
      </c>
      <c r="T1650">
        <v>-0.15102670000000001</v>
      </c>
      <c r="U1650">
        <v>0.15771479999999999</v>
      </c>
      <c r="V1650">
        <v>1.199603E-2</v>
      </c>
      <c r="W1650">
        <v>0.16576560000000001</v>
      </c>
      <c r="X1650">
        <v>0.98609219999999997</v>
      </c>
      <c r="Y1650">
        <v>5.0162720000000001E-2</v>
      </c>
      <c r="Z1650">
        <v>1.17435E-3</v>
      </c>
      <c r="AA1650">
        <v>0.99874039999999997</v>
      </c>
      <c r="AB1650">
        <v>59</v>
      </c>
      <c r="AC1650">
        <v>-22.1388999999999</v>
      </c>
      <c r="AD1650">
        <v>-1.1079048612363001</v>
      </c>
      <c r="AE1650">
        <v>1.1566000000000201</v>
      </c>
      <c r="AF1650">
        <v>1.12585297337529</v>
      </c>
      <c r="AG1650">
        <v>-1.1079048612363001</v>
      </c>
      <c r="AH1650">
        <v>22.085183533973101</v>
      </c>
      <c r="AI1650">
        <v>92.868121503152594</v>
      </c>
      <c r="AJ1650">
        <v>87.081716249314297</v>
      </c>
      <c r="AK1650">
        <v>22.141597273649602</v>
      </c>
      <c r="AL1650">
        <v>80.458287228311605</v>
      </c>
      <c r="AM1650">
        <v>89.303018534438095</v>
      </c>
      <c r="AN1650">
        <v>0.99999998288998004</v>
      </c>
    </row>
    <row r="1651" spans="1:40" x14ac:dyDescent="0.25">
      <c r="A1651" t="str">
        <f>"20190312164505551"</f>
        <v>20190312164505551</v>
      </c>
      <c r="B1651" t="str">
        <f>"1552380305543132"</f>
        <v>1552380305543132</v>
      </c>
      <c r="C1651" t="s">
        <v>40</v>
      </c>
      <c r="D1651">
        <v>4.9732729999999998</v>
      </c>
      <c r="E1651">
        <v>0.52029759999999903</v>
      </c>
      <c r="F1651" t="s">
        <v>47</v>
      </c>
      <c r="G1651">
        <v>-361.51060000000001</v>
      </c>
      <c r="H1651" s="1">
        <v>-7.3294499999999998E-7</v>
      </c>
      <c r="I1651">
        <v>285.41230000000002</v>
      </c>
      <c r="J1651">
        <v>-339.44540000000001</v>
      </c>
      <c r="K1651">
        <v>1.107893</v>
      </c>
      <c r="L1651">
        <v>284.2473</v>
      </c>
      <c r="M1651">
        <v>-0.99995319999999999</v>
      </c>
      <c r="N1651">
        <v>0</v>
      </c>
      <c r="O1651">
        <v>1.1220570000000001E-3</v>
      </c>
      <c r="P1651">
        <v>-0.98766969999999998</v>
      </c>
      <c r="Q1651">
        <v>0.1559654</v>
      </c>
      <c r="R1651">
        <v>1.3551290000000001E-2</v>
      </c>
      <c r="S1651">
        <v>-3.059418</v>
      </c>
      <c r="T1651">
        <v>-0.15145429999999999</v>
      </c>
      <c r="U1651">
        <v>0.15930179999999999</v>
      </c>
      <c r="V1651">
        <v>1.224951E-2</v>
      </c>
      <c r="W1651">
        <v>0.16546649999999999</v>
      </c>
      <c r="X1651">
        <v>0.9861394</v>
      </c>
      <c r="Y1651">
        <v>5.0817550000000003E-2</v>
      </c>
      <c r="Z1651">
        <v>1.2007470000000001E-3</v>
      </c>
      <c r="AA1651">
        <v>0.99870720000000002</v>
      </c>
      <c r="AB1651">
        <v>59</v>
      </c>
      <c r="AC1651">
        <v>-22.065200000000001</v>
      </c>
      <c r="AD1651">
        <v>-1.107893732945</v>
      </c>
      <c r="AE1651">
        <v>1.16500000000002</v>
      </c>
      <c r="AF1651">
        <v>1.13738029619328</v>
      </c>
      <c r="AG1651">
        <v>-1.107893732945</v>
      </c>
      <c r="AH1651">
        <v>22.011156523898201</v>
      </c>
      <c r="AI1651">
        <v>92.8776201767229</v>
      </c>
      <c r="AJ1651">
        <v>87.041991741326299</v>
      </c>
      <c r="AK1651">
        <v>22.0683500511754</v>
      </c>
      <c r="AL1651">
        <v>80.475665155500394</v>
      </c>
      <c r="AM1651">
        <v>89.288326650744693</v>
      </c>
      <c r="AN1651">
        <v>1.0000000646749201</v>
      </c>
    </row>
    <row r="1652" spans="1:40" x14ac:dyDescent="0.25">
      <c r="A1652" t="str">
        <f>"20190312164505569"</f>
        <v>20190312164505569</v>
      </c>
      <c r="B1652" t="str">
        <f>"1552380305563628"</f>
        <v>1552380305563628</v>
      </c>
      <c r="C1652" t="s">
        <v>40</v>
      </c>
      <c r="D1652">
        <v>5.0058089999999904</v>
      </c>
      <c r="E1652">
        <v>0.52043149999999905</v>
      </c>
      <c r="F1652" t="s">
        <v>41</v>
      </c>
      <c r="G1652">
        <v>-340.62090000000001</v>
      </c>
      <c r="H1652">
        <v>1.0491629999999901</v>
      </c>
      <c r="I1652">
        <v>284.3091</v>
      </c>
      <c r="J1652">
        <v>-339.8965</v>
      </c>
      <c r="K1652">
        <v>1.107869</v>
      </c>
      <c r="L1652">
        <v>284.24790000000002</v>
      </c>
      <c r="M1652">
        <v>-0.99995330000000004</v>
      </c>
      <c r="N1652">
        <v>0</v>
      </c>
      <c r="O1652">
        <v>9.3770360000000001E-4</v>
      </c>
      <c r="P1652">
        <v>-0.98769980000000002</v>
      </c>
      <c r="Q1652">
        <v>0.15575999999999901</v>
      </c>
      <c r="R1652">
        <v>1.3723229999999999E-2</v>
      </c>
      <c r="S1652">
        <v>-3.059418</v>
      </c>
      <c r="T1652">
        <v>-0.15295739999999999</v>
      </c>
      <c r="U1652">
        <v>0.16003419999999999</v>
      </c>
      <c r="V1652">
        <v>1.2612129999999999E-2</v>
      </c>
      <c r="W1652">
        <v>0.16528870000000001</v>
      </c>
      <c r="X1652">
        <v>0.98616459999999995</v>
      </c>
      <c r="Y1652">
        <v>5.1238150000000003E-2</v>
      </c>
      <c r="Z1652">
        <v>1.232347E-3</v>
      </c>
      <c r="AA1652">
        <v>0.99868570000000001</v>
      </c>
      <c r="AB1652">
        <v>59</v>
      </c>
      <c r="AC1652">
        <v>-0.72440000000000204</v>
      </c>
      <c r="AD1652">
        <v>-5.8706000000000098E-2</v>
      </c>
      <c r="AE1652">
        <v>6.1199999999985197E-2</v>
      </c>
      <c r="AF1652">
        <v>6.0128566165937897E-2</v>
      </c>
      <c r="AG1652">
        <v>-5.8706000000000098E-2</v>
      </c>
      <c r="AH1652">
        <v>0.71976343876799598</v>
      </c>
      <c r="AI1652">
        <v>94.646773712384402</v>
      </c>
      <c r="AJ1652">
        <v>85.224636319423894</v>
      </c>
      <c r="AK1652">
        <v>0.72465250064586295</v>
      </c>
      <c r="AL1652">
        <v>80.485994140877196</v>
      </c>
      <c r="AM1652">
        <v>89.267280101001703</v>
      </c>
      <c r="AN1652">
        <v>1.00000001923199</v>
      </c>
    </row>
    <row r="1653" spans="1:40" x14ac:dyDescent="0.25">
      <c r="A1653" t="str">
        <f>"20190312164505591"</f>
        <v>20190312164505591</v>
      </c>
      <c r="B1653" t="str">
        <f>"1552380305583147"</f>
        <v>1552380305583147</v>
      </c>
      <c r="C1653" t="s">
        <v>40</v>
      </c>
      <c r="D1653">
        <v>4.9360019999999896</v>
      </c>
      <c r="E1653">
        <v>0.52053369999999999</v>
      </c>
      <c r="F1653" t="s">
        <v>41</v>
      </c>
      <c r="G1653">
        <v>-341.14589999999998</v>
      </c>
      <c r="H1653">
        <v>1.0455380000000001</v>
      </c>
      <c r="I1653">
        <v>284.3143</v>
      </c>
      <c r="J1653">
        <v>-340.48860000000002</v>
      </c>
      <c r="K1653">
        <v>1.107836</v>
      </c>
      <c r="L1653">
        <v>284.2484</v>
      </c>
      <c r="M1653">
        <v>-0.99995299999999998</v>
      </c>
      <c r="N1653">
        <v>0</v>
      </c>
      <c r="O1653">
        <v>7.3117720000000002E-4</v>
      </c>
      <c r="P1653">
        <v>-0.98780100000000004</v>
      </c>
      <c r="Q1653">
        <v>0.15512609999999999</v>
      </c>
      <c r="R1653">
        <v>1.361586E-2</v>
      </c>
      <c r="S1653">
        <v>-3.0592039999999998</v>
      </c>
      <c r="T1653">
        <v>-0.15273699999999901</v>
      </c>
      <c r="U1653">
        <v>0.1619263</v>
      </c>
      <c r="V1653">
        <v>1.2722870000000001E-2</v>
      </c>
      <c r="W1653">
        <v>0.1646928</v>
      </c>
      <c r="X1653">
        <v>0.98626290000000005</v>
      </c>
      <c r="Y1653">
        <v>5.2062900000000002E-2</v>
      </c>
      <c r="Z1653">
        <v>1.2614989999999999E-3</v>
      </c>
      <c r="AA1653">
        <v>0.99864299999999995</v>
      </c>
      <c r="AB1653">
        <v>59</v>
      </c>
      <c r="AC1653">
        <v>-0.65729999999996302</v>
      </c>
      <c r="AD1653">
        <v>-6.2298000000000103E-2</v>
      </c>
      <c r="AE1653">
        <v>6.5899999999999098E-2</v>
      </c>
      <c r="AF1653">
        <v>6.4842672742409305E-2</v>
      </c>
      <c r="AG1653">
        <v>-6.2298000000000103E-2</v>
      </c>
      <c r="AH1653">
        <v>0.651553360051356</v>
      </c>
      <c r="AI1653">
        <v>95.435021634611104</v>
      </c>
      <c r="AJ1653">
        <v>84.3166306613698</v>
      </c>
      <c r="AK1653">
        <v>0.65772896698153005</v>
      </c>
      <c r="AL1653">
        <v>80.520611400880995</v>
      </c>
      <c r="AM1653">
        <v>89.260920874094296</v>
      </c>
      <c r="AN1653">
        <v>1.0000000488546399</v>
      </c>
    </row>
    <row r="1654" spans="1:40" x14ac:dyDescent="0.25">
      <c r="A1654" t="str">
        <f>"20190312164505602"</f>
        <v>20190312164505602</v>
      </c>
      <c r="B1654" t="str">
        <f>"1552380305592908"</f>
        <v>1552380305592908</v>
      </c>
      <c r="C1654" t="s">
        <v>40</v>
      </c>
      <c r="D1654">
        <v>5.0164600000000004</v>
      </c>
      <c r="E1654">
        <v>0.52056840000000004</v>
      </c>
      <c r="F1654" t="s">
        <v>41</v>
      </c>
      <c r="G1654">
        <v>-341.67680000000001</v>
      </c>
      <c r="H1654">
        <v>1.048138</v>
      </c>
      <c r="I1654">
        <v>284.31180000000001</v>
      </c>
      <c r="J1654">
        <v>-340.78930000000003</v>
      </c>
      <c r="K1654">
        <v>1.1078159999999999</v>
      </c>
      <c r="L1654">
        <v>284.24860000000001</v>
      </c>
      <c r="M1654">
        <v>-0.99995290000000003</v>
      </c>
      <c r="N1654">
        <v>0</v>
      </c>
      <c r="O1654">
        <v>6.4179630000000003E-4</v>
      </c>
      <c r="P1654">
        <v>-0.98785619999999996</v>
      </c>
      <c r="Q1654">
        <v>0.1547885</v>
      </c>
      <c r="R1654">
        <v>1.346256E-2</v>
      </c>
      <c r="S1654">
        <v>-3.059021</v>
      </c>
      <c r="T1654">
        <v>-0.15376419999999999</v>
      </c>
      <c r="U1654">
        <v>0.16241459999999999</v>
      </c>
      <c r="V1654">
        <v>1.266609E-2</v>
      </c>
      <c r="W1654">
        <v>0.16437589999999999</v>
      </c>
      <c r="X1654">
        <v>0.98631639999999998</v>
      </c>
      <c r="Y1654">
        <v>5.2312980000000002E-2</v>
      </c>
      <c r="Z1654">
        <v>1.2808069999999999E-3</v>
      </c>
      <c r="AA1654">
        <v>0.99862989999999996</v>
      </c>
      <c r="AB1654">
        <v>59</v>
      </c>
      <c r="AC1654">
        <v>-0.88749999999998797</v>
      </c>
      <c r="AD1654">
        <v>-5.9677999999999898E-2</v>
      </c>
      <c r="AE1654">
        <v>6.3199999999994802E-2</v>
      </c>
      <c r="AF1654">
        <v>6.2349867536936499E-2</v>
      </c>
      <c r="AG1654">
        <v>-5.9677999999999898E-2</v>
      </c>
      <c r="AH1654">
        <v>0.88356541166795399</v>
      </c>
      <c r="AI1654">
        <v>93.854461529768699</v>
      </c>
      <c r="AJ1654">
        <v>85.963544748385502</v>
      </c>
      <c r="AK1654">
        <v>0.88777069469645897</v>
      </c>
      <c r="AL1654">
        <v>80.539018398160906</v>
      </c>
      <c r="AM1654">
        <v>89.264258800836402</v>
      </c>
      <c r="AN1654">
        <v>0.99999995362282801</v>
      </c>
    </row>
    <row r="1655" spans="1:40" x14ac:dyDescent="0.25">
      <c r="A1655" t="str">
        <f>"20190312164505614"</f>
        <v>20190312164505614</v>
      </c>
      <c r="B1655" t="str">
        <f>"1552380305603644"</f>
        <v>1552380305603644</v>
      </c>
      <c r="C1655" t="s">
        <v>40</v>
      </c>
      <c r="D1655">
        <v>4.8829989999999999</v>
      </c>
      <c r="E1655">
        <v>0.52061270000000004</v>
      </c>
      <c r="F1655" t="s">
        <v>47</v>
      </c>
      <c r="G1655">
        <v>-362.72669999999999</v>
      </c>
      <c r="H1655" s="1">
        <v>-8.5793050000000002E-8</v>
      </c>
      <c r="I1655">
        <v>285.411</v>
      </c>
      <c r="J1655">
        <v>-341.0822</v>
      </c>
      <c r="K1655">
        <v>1.107796</v>
      </c>
      <c r="L1655">
        <v>284.24880000000002</v>
      </c>
      <c r="M1655">
        <v>-0.99995259999999997</v>
      </c>
      <c r="N1655">
        <v>0</v>
      </c>
      <c r="O1655">
        <v>5.6344380000000001E-4</v>
      </c>
      <c r="P1655">
        <v>-0.98790509999999998</v>
      </c>
      <c r="Q1655">
        <v>0.1544789</v>
      </c>
      <c r="R1655">
        <v>1.340535E-2</v>
      </c>
      <c r="S1655">
        <v>-3.0588679999999999</v>
      </c>
      <c r="T1655">
        <v>-0.15447</v>
      </c>
      <c r="U1655">
        <v>0.1620789</v>
      </c>
      <c r="V1655">
        <v>1.2694270000000001E-2</v>
      </c>
      <c r="W1655">
        <v>0.1640866</v>
      </c>
      <c r="X1655">
        <v>0.98636420000000002</v>
      </c>
      <c r="Y1655">
        <v>5.2283900000000001E-2</v>
      </c>
      <c r="Z1655">
        <v>1.289964E-3</v>
      </c>
      <c r="AA1655">
        <v>0.99863139999999995</v>
      </c>
      <c r="AB1655">
        <v>59</v>
      </c>
      <c r="AC1655">
        <v>-21.644499999999901</v>
      </c>
      <c r="AD1655">
        <v>-1.10779608579305</v>
      </c>
      <c r="AE1655">
        <v>1.1621999999999799</v>
      </c>
      <c r="AF1655">
        <v>1.1470077885561001</v>
      </c>
      <c r="AG1655">
        <v>-1.10779608579305</v>
      </c>
      <c r="AH1655">
        <v>21.588761450416602</v>
      </c>
      <c r="AI1655">
        <v>92.933343770437205</v>
      </c>
      <c r="AJ1655">
        <v>86.958742931777707</v>
      </c>
      <c r="AK1655">
        <v>21.6475739979726</v>
      </c>
      <c r="AL1655">
        <v>80.555822159305606</v>
      </c>
      <c r="AM1655">
        <v>89.262657806281098</v>
      </c>
      <c r="AN1655">
        <v>0.99999994591601504</v>
      </c>
    </row>
    <row r="1656" spans="1:40" x14ac:dyDescent="0.25">
      <c r="A1656" t="str">
        <f>"20190312164505625"</f>
        <v>20190312164505625</v>
      </c>
      <c r="B1656" t="str">
        <f>"1552380305613403"</f>
        <v>1552380305613403</v>
      </c>
      <c r="C1656" t="s">
        <v>40</v>
      </c>
      <c r="D1656">
        <v>4.7530739999999998</v>
      </c>
      <c r="E1656">
        <v>0.52062600000000003</v>
      </c>
      <c r="F1656" t="s">
        <v>41</v>
      </c>
      <c r="G1656">
        <v>-342.20859999999999</v>
      </c>
      <c r="H1656">
        <v>1.050764</v>
      </c>
      <c r="I1656">
        <v>284.3091</v>
      </c>
      <c r="J1656">
        <v>-341.39010000000002</v>
      </c>
      <c r="K1656">
        <v>1.107774</v>
      </c>
      <c r="L1656">
        <v>284.2491</v>
      </c>
      <c r="M1656">
        <v>-0.99995239999999996</v>
      </c>
      <c r="N1656">
        <v>0</v>
      </c>
      <c r="O1656">
        <v>4.9094630000000002E-4</v>
      </c>
      <c r="P1656">
        <v>-0.98794820000000005</v>
      </c>
      <c r="Q1656">
        <v>0.15420639999999999</v>
      </c>
      <c r="R1656">
        <v>1.3384709999999999E-2</v>
      </c>
      <c r="S1656">
        <v>-3.0587770000000001</v>
      </c>
      <c r="T1656">
        <v>-0.15509690000000001</v>
      </c>
      <c r="U1656">
        <v>0.16229250000000001</v>
      </c>
      <c r="V1656">
        <v>1.2754369999999999E-2</v>
      </c>
      <c r="W1656">
        <v>0.1638368</v>
      </c>
      <c r="X1656">
        <v>0.98640499999999998</v>
      </c>
      <c r="Y1656">
        <v>5.2426630000000002E-2</v>
      </c>
      <c r="Z1656">
        <v>1.3025139999999901E-3</v>
      </c>
      <c r="AA1656">
        <v>0.99862390000000001</v>
      </c>
      <c r="AB1656">
        <v>59</v>
      </c>
      <c r="AC1656">
        <v>-0.81849999999997103</v>
      </c>
      <c r="AD1656">
        <v>-5.7009999999999998E-2</v>
      </c>
      <c r="AE1656">
        <v>6.0000000000002197E-2</v>
      </c>
      <c r="AF1656">
        <v>5.9311927783040501E-2</v>
      </c>
      <c r="AG1656">
        <v>-5.7009999999999998E-2</v>
      </c>
      <c r="AH1656">
        <v>0.81459856016560095</v>
      </c>
      <c r="AI1656">
        <v>93.992804510047307</v>
      </c>
      <c r="AJ1656">
        <v>85.835572321411902</v>
      </c>
      <c r="AK1656">
        <v>0.81874224216245906</v>
      </c>
      <c r="AL1656">
        <v>80.570331489179395</v>
      </c>
      <c r="AM1656">
        <v>89.259197946283294</v>
      </c>
      <c r="AN1656">
        <v>0.99999999750666801</v>
      </c>
    </row>
    <row r="1657" spans="1:40" x14ac:dyDescent="0.25">
      <c r="A1657" t="str">
        <f>"20190312164505636"</f>
        <v>20190312164505636</v>
      </c>
      <c r="B1657" t="str">
        <f>"1552380305632924"</f>
        <v>1552380305632924</v>
      </c>
      <c r="C1657" t="s">
        <v>40</v>
      </c>
      <c r="D1657">
        <v>4.9077260000000003</v>
      </c>
      <c r="E1657">
        <v>0.52073930000000002</v>
      </c>
      <c r="F1657" t="s">
        <v>47</v>
      </c>
      <c r="G1657">
        <v>-363.18380000000002</v>
      </c>
      <c r="H1657" s="1">
        <v>1.57476E-7</v>
      </c>
      <c r="I1657">
        <v>285.40589999999997</v>
      </c>
      <c r="J1657">
        <v>-341.6832</v>
      </c>
      <c r="K1657">
        <v>1.107756</v>
      </c>
      <c r="L1657">
        <v>284.24919999999997</v>
      </c>
      <c r="M1657">
        <v>-0.99995230000000002</v>
      </c>
      <c r="N1657">
        <v>0</v>
      </c>
      <c r="O1657">
        <v>4.332629E-4</v>
      </c>
      <c r="P1657">
        <v>-0.98799440000000005</v>
      </c>
      <c r="Q1657">
        <v>0.15390690000000001</v>
      </c>
      <c r="R1657">
        <v>1.341237E-2</v>
      </c>
      <c r="S1657">
        <v>-3.0585939999999998</v>
      </c>
      <c r="T1657">
        <v>-0.1554681</v>
      </c>
      <c r="U1657">
        <v>0.16235350000000001</v>
      </c>
      <c r="V1657">
        <v>1.2847269999999999E-2</v>
      </c>
      <c r="W1657">
        <v>0.16356209999999999</v>
      </c>
      <c r="X1657">
        <v>0.98644940000000003</v>
      </c>
      <c r="Y1657">
        <v>5.250676E-2</v>
      </c>
      <c r="Z1657">
        <v>1.310666E-3</v>
      </c>
      <c r="AA1657">
        <v>0.9986197</v>
      </c>
      <c r="AB1657">
        <v>59</v>
      </c>
      <c r="AC1657">
        <v>-21.500599999999999</v>
      </c>
      <c r="AD1657">
        <v>-1.1077558425239999</v>
      </c>
      <c r="AE1657">
        <v>1.1567000000000001</v>
      </c>
      <c r="AF1657">
        <v>1.1443550822478701</v>
      </c>
      <c r="AG1657">
        <v>-1.1077558425239999</v>
      </c>
      <c r="AH1657">
        <v>21.444338891515599</v>
      </c>
      <c r="AI1657">
        <v>92.952920568210203</v>
      </c>
      <c r="AJ1657">
        <v>86.945367048670505</v>
      </c>
      <c r="AK1657">
        <v>21.503403034289299</v>
      </c>
      <c r="AL1657">
        <v>80.586286034323905</v>
      </c>
      <c r="AM1657">
        <v>89.253836298949494</v>
      </c>
      <c r="AN1657">
        <v>1.00000001583161</v>
      </c>
    </row>
    <row r="1658" spans="1:40" x14ac:dyDescent="0.25">
      <c r="A1658" t="str">
        <f>"20190312164505647"</f>
        <v>20190312164505647</v>
      </c>
      <c r="B1658" t="str">
        <f>"1552380305643659"</f>
        <v>1552380305643659</v>
      </c>
      <c r="C1658" t="s">
        <v>40</v>
      </c>
      <c r="D1658">
        <v>4.9648789999999998</v>
      </c>
      <c r="E1658">
        <v>0.52077929999999995</v>
      </c>
      <c r="F1658" t="s">
        <v>41</v>
      </c>
      <c r="G1658">
        <v>-342.74119999999999</v>
      </c>
      <c r="H1658">
        <v>1.053868</v>
      </c>
      <c r="I1658">
        <v>284.30590000000001</v>
      </c>
      <c r="J1658">
        <v>-341.98570000000001</v>
      </c>
      <c r="K1658">
        <v>1.1077349999999999</v>
      </c>
      <c r="L1658">
        <v>284.24939999999998</v>
      </c>
      <c r="M1658">
        <v>-0.99995210000000001</v>
      </c>
      <c r="N1658">
        <v>0</v>
      </c>
      <c r="O1658">
        <v>3.7825720000000002E-4</v>
      </c>
      <c r="P1658">
        <v>-0.98805410000000005</v>
      </c>
      <c r="Q1658">
        <v>0.15354229999999899</v>
      </c>
      <c r="R1658">
        <v>1.3210609999999999E-2</v>
      </c>
      <c r="S1658">
        <v>-3.0585019999999998</v>
      </c>
      <c r="T1658">
        <v>-0.15584149999999999</v>
      </c>
      <c r="U1658">
        <v>0.16339110000000001</v>
      </c>
      <c r="V1658">
        <v>1.270865E-2</v>
      </c>
      <c r="W1658">
        <v>0.16322429999999999</v>
      </c>
      <c r="X1658">
        <v>0.98650709999999997</v>
      </c>
      <c r="Y1658">
        <v>5.290019E-2</v>
      </c>
      <c r="Z1658">
        <v>1.3266459999999999E-3</v>
      </c>
      <c r="AA1658">
        <v>0.99859889999999996</v>
      </c>
      <c r="AB1658">
        <v>59</v>
      </c>
      <c r="AC1658">
        <v>-0.75549999999998296</v>
      </c>
      <c r="AD1658">
        <v>-5.3867000000000102E-2</v>
      </c>
      <c r="AE1658">
        <v>5.6500000000028097E-2</v>
      </c>
      <c r="AF1658">
        <v>5.5931453774074297E-2</v>
      </c>
      <c r="AG1658">
        <v>-5.3867000000000102E-2</v>
      </c>
      <c r="AH1658">
        <v>0.75172107678974798</v>
      </c>
      <c r="AI1658">
        <v>94.087448044347497</v>
      </c>
      <c r="AJ1658">
        <v>85.744775224386999</v>
      </c>
      <c r="AK1658">
        <v>0.75572121744742504</v>
      </c>
      <c r="AL1658">
        <v>80.605903763077094</v>
      </c>
      <c r="AM1658">
        <v>89.261929557916204</v>
      </c>
      <c r="AN1658">
        <v>0.99999997012286002</v>
      </c>
    </row>
    <row r="1659" spans="1:40" x14ac:dyDescent="0.25">
      <c r="A1659" t="str">
        <f>"20190312164505659"</f>
        <v>20190312164505659</v>
      </c>
      <c r="B1659" t="str">
        <f>"1552380305653420"</f>
        <v>1552380305653420</v>
      </c>
      <c r="C1659" t="s">
        <v>40</v>
      </c>
      <c r="D1659">
        <v>4.7400769999999897</v>
      </c>
      <c r="E1659">
        <v>0.52086009999999905</v>
      </c>
      <c r="F1659" t="s">
        <v>47</v>
      </c>
      <c r="G1659">
        <v>-363.596</v>
      </c>
      <c r="H1659" s="1">
        <v>3.7685069999999999E-7</v>
      </c>
      <c r="I1659">
        <v>285.4015</v>
      </c>
      <c r="J1659">
        <v>-342.30110000000002</v>
      </c>
      <c r="K1659">
        <v>1.107718</v>
      </c>
      <c r="L1659">
        <v>284.24959999999999</v>
      </c>
      <c r="M1659">
        <v>-0.9999517</v>
      </c>
      <c r="N1659">
        <v>0</v>
      </c>
      <c r="O1659">
        <v>3.3554910000000002E-4</v>
      </c>
      <c r="P1659">
        <v>-0.98812540000000004</v>
      </c>
      <c r="Q1659">
        <v>0.1530851</v>
      </c>
      <c r="R1659">
        <v>1.317607E-2</v>
      </c>
      <c r="S1659">
        <v>-3.0584720000000001</v>
      </c>
      <c r="T1659">
        <v>-0.156776</v>
      </c>
      <c r="U1659">
        <v>0.16305539999999999</v>
      </c>
      <c r="V1659">
        <v>1.272525E-2</v>
      </c>
      <c r="W1659">
        <v>0.1628037</v>
      </c>
      <c r="X1659">
        <v>0.98657640000000002</v>
      </c>
      <c r="Y1659">
        <v>5.28333E-2</v>
      </c>
      <c r="Z1659">
        <v>1.335082E-3</v>
      </c>
      <c r="AA1659">
        <v>0.9986024</v>
      </c>
      <c r="AB1659">
        <v>59</v>
      </c>
      <c r="AC1659">
        <v>-21.294899999999899</v>
      </c>
      <c r="AD1659">
        <v>-1.1077176231493</v>
      </c>
      <c r="AE1659">
        <v>1.1519000000000099</v>
      </c>
      <c r="AF1659">
        <v>1.1416738975509599</v>
      </c>
      <c r="AG1659">
        <v>-1.1077176231493</v>
      </c>
      <c r="AH1659">
        <v>21.237985771210401</v>
      </c>
      <c r="AI1659">
        <v>92.981395270684601</v>
      </c>
      <c r="AJ1659">
        <v>86.922956966133697</v>
      </c>
      <c r="AK1659">
        <v>21.2974763115051</v>
      </c>
      <c r="AL1659">
        <v>80.630329227491302</v>
      </c>
      <c r="AM1659">
        <v>89.261017505576802</v>
      </c>
      <c r="AN1659">
        <v>0.99999998487910602</v>
      </c>
    </row>
    <row r="1660" spans="1:40" x14ac:dyDescent="0.25">
      <c r="A1660" t="str">
        <f>"20190312164505671"</f>
        <v>20190312164505671</v>
      </c>
      <c r="B1660" t="str">
        <f>"1552380305663686"</f>
        <v>1552380305663686</v>
      </c>
      <c r="C1660" t="s">
        <v>40</v>
      </c>
      <c r="D1660">
        <v>4.9577080000000002</v>
      </c>
      <c r="E1660">
        <v>0.52091069999999995</v>
      </c>
      <c r="F1660" t="s">
        <v>47</v>
      </c>
      <c r="G1660">
        <v>-363.7681</v>
      </c>
      <c r="H1660" s="1">
        <v>4.6838729999999997E-7</v>
      </c>
      <c r="I1660">
        <v>285.39839999999998</v>
      </c>
      <c r="J1660">
        <v>-342.61689999999999</v>
      </c>
      <c r="K1660">
        <v>1.1076999999999999</v>
      </c>
      <c r="L1660">
        <v>284.24970000000002</v>
      </c>
      <c r="M1660">
        <v>-0.99995129999999999</v>
      </c>
      <c r="N1660">
        <v>0</v>
      </c>
      <c r="O1660">
        <v>2.9789299999999998E-4</v>
      </c>
      <c r="P1660">
        <v>-0.98814979999999997</v>
      </c>
      <c r="Q1660">
        <v>0.15293699999999999</v>
      </c>
      <c r="R1660">
        <v>1.306264E-2</v>
      </c>
      <c r="S1660">
        <v>-3.058319</v>
      </c>
      <c r="T1660">
        <v>-0.15781239999999999</v>
      </c>
      <c r="U1660">
        <v>0.1636658</v>
      </c>
      <c r="V1660">
        <v>1.265762E-2</v>
      </c>
      <c r="W1660">
        <v>0.16269359999999999</v>
      </c>
      <c r="X1660">
        <v>0.98659549999999996</v>
      </c>
      <c r="Y1660">
        <v>5.3070979999999997E-2</v>
      </c>
      <c r="Z1660">
        <v>1.35202E-3</v>
      </c>
      <c r="AA1660">
        <v>0.99858979999999997</v>
      </c>
      <c r="AB1660">
        <v>59</v>
      </c>
      <c r="AC1660">
        <v>-21.151199999999999</v>
      </c>
      <c r="AD1660">
        <v>-1.1076995316127001</v>
      </c>
      <c r="AE1660">
        <v>1.1486999999999601</v>
      </c>
      <c r="AF1660">
        <v>1.1392833561511999</v>
      </c>
      <c r="AG1660">
        <v>-1.1076995316127001</v>
      </c>
      <c r="AH1660">
        <v>21.093857863256599</v>
      </c>
      <c r="AI1660">
        <v>93.001639289626794</v>
      </c>
      <c r="AJ1660">
        <v>86.908447619781597</v>
      </c>
      <c r="AK1660">
        <v>21.153623906395101</v>
      </c>
      <c r="AL1660">
        <v>80.636723365454998</v>
      </c>
      <c r="AM1660">
        <v>89.264958721055905</v>
      </c>
      <c r="AN1660">
        <v>1.00000005172263</v>
      </c>
    </row>
    <row r="1661" spans="1:40" x14ac:dyDescent="0.25">
      <c r="A1661" t="str">
        <f>"20190312164505682"</f>
        <v>20190312164505682</v>
      </c>
      <c r="B1661" t="str">
        <f>"1552380305673447"</f>
        <v>1552380305673447</v>
      </c>
      <c r="C1661" t="s">
        <v>40</v>
      </c>
      <c r="D1661">
        <v>4.7002689999999996</v>
      </c>
      <c r="E1661">
        <v>0.52105299999999999</v>
      </c>
      <c r="F1661" t="s">
        <v>41</v>
      </c>
      <c r="G1661">
        <v>-343.79509999999999</v>
      </c>
      <c r="H1661">
        <v>1.0469170000000001</v>
      </c>
      <c r="I1661">
        <v>284.31299999999999</v>
      </c>
      <c r="J1661">
        <v>-342.91109999999998</v>
      </c>
      <c r="K1661">
        <v>1.107685</v>
      </c>
      <c r="L1661">
        <v>284.24979999999999</v>
      </c>
      <c r="M1661">
        <v>-0.99995080000000003</v>
      </c>
      <c r="N1661">
        <v>0</v>
      </c>
      <c r="O1661">
        <v>2.743275E-4</v>
      </c>
      <c r="P1661">
        <v>-0.98820249999999998</v>
      </c>
      <c r="Q1661">
        <v>0.15258459999999999</v>
      </c>
      <c r="R1661">
        <v>1.31863E-2</v>
      </c>
      <c r="S1661">
        <v>-3.0582889999999998</v>
      </c>
      <c r="T1661">
        <v>-0.1578465</v>
      </c>
      <c r="U1661">
        <v>0.1636658</v>
      </c>
      <c r="V1661">
        <v>1.281269E-2</v>
      </c>
      <c r="W1661">
        <v>0.16238259999999999</v>
      </c>
      <c r="X1661">
        <v>0.98664470000000004</v>
      </c>
      <c r="Y1661">
        <v>5.3094950000000002E-2</v>
      </c>
      <c r="Z1661">
        <v>1.3541579999999901E-3</v>
      </c>
      <c r="AA1661">
        <v>0.99858860000000005</v>
      </c>
      <c r="AB1661">
        <v>59</v>
      </c>
      <c r="AC1661">
        <v>-0.884000000000014</v>
      </c>
      <c r="AD1661">
        <v>-6.0767999999999898E-2</v>
      </c>
      <c r="AE1661">
        <v>6.3199999999994802E-2</v>
      </c>
      <c r="AF1661">
        <v>6.2662874234284099E-2</v>
      </c>
      <c r="AG1661">
        <v>-6.0767999999999898E-2</v>
      </c>
      <c r="AH1661">
        <v>0.87988059628759396</v>
      </c>
      <c r="AI1661">
        <v>93.940847722500806</v>
      </c>
      <c r="AJ1661">
        <v>85.926416947930903</v>
      </c>
      <c r="AK1661">
        <v>0.88419977909673497</v>
      </c>
      <c r="AL1661">
        <v>80.6547821882439</v>
      </c>
      <c r="AM1661">
        <v>89.255991748004305</v>
      </c>
      <c r="AN1661">
        <v>1.0000000189229401</v>
      </c>
    </row>
    <row r="1662" spans="1:40" x14ac:dyDescent="0.25">
      <c r="A1662" t="str">
        <f>"20190312164505693"</f>
        <v>20190312164505693</v>
      </c>
      <c r="B1662" t="str">
        <f>"1552380305683207"</f>
        <v>1552380305683207</v>
      </c>
      <c r="C1662" t="s">
        <v>40</v>
      </c>
      <c r="D1662">
        <v>4.6681699999999999</v>
      </c>
      <c r="E1662">
        <v>0.52124289999999995</v>
      </c>
      <c r="F1662" t="s">
        <v>47</v>
      </c>
      <c r="G1662">
        <v>-364.3605</v>
      </c>
      <c r="H1662" s="1">
        <v>7.8367680000000003E-7</v>
      </c>
      <c r="I1662">
        <v>285.40960000000001</v>
      </c>
      <c r="J1662">
        <v>-343.20800000000003</v>
      </c>
      <c r="K1662">
        <v>1.1076699999999999</v>
      </c>
      <c r="L1662">
        <v>284.24990000000003</v>
      </c>
      <c r="M1662">
        <v>-0.99995040000000002</v>
      </c>
      <c r="N1662">
        <v>0</v>
      </c>
      <c r="O1662">
        <v>2.5713020000000001E-4</v>
      </c>
      <c r="P1662">
        <v>-0.98824880000000004</v>
      </c>
      <c r="Q1662">
        <v>0.15228639999999999</v>
      </c>
      <c r="R1662">
        <v>1.317391E-2</v>
      </c>
      <c r="S1662">
        <v>-3.0579830000000001</v>
      </c>
      <c r="T1662">
        <v>-0.15791939999999999</v>
      </c>
      <c r="U1662">
        <v>0.1653442</v>
      </c>
      <c r="V1662">
        <v>1.282574E-2</v>
      </c>
      <c r="W1662">
        <v>0.1621281</v>
      </c>
      <c r="X1662">
        <v>0.98668630000000002</v>
      </c>
      <c r="Y1662">
        <v>5.366311E-2</v>
      </c>
      <c r="Z1662">
        <v>1.3704349999999999E-3</v>
      </c>
      <c r="AA1662">
        <v>0.99855819999999995</v>
      </c>
      <c r="AB1662">
        <v>59</v>
      </c>
      <c r="AC1662">
        <v>-21.1524999999999</v>
      </c>
      <c r="AD1662">
        <v>-1.1076692163232</v>
      </c>
      <c r="AE1662">
        <v>1.15969999999998</v>
      </c>
      <c r="AF1662">
        <v>1.15111363858674</v>
      </c>
      <c r="AG1662">
        <v>-1.1076692163232</v>
      </c>
      <c r="AH1662">
        <v>21.095124132256199</v>
      </c>
      <c r="AI1662">
        <v>93.001287031162903</v>
      </c>
      <c r="AJ1662">
        <v>86.876595409369997</v>
      </c>
      <c r="AK1662">
        <v>21.155525421436099</v>
      </c>
      <c r="AL1662">
        <v>80.669559018336301</v>
      </c>
      <c r="AM1662">
        <v>89.255265441711799</v>
      </c>
      <c r="AN1662">
        <v>0.99999993751192195</v>
      </c>
    </row>
    <row r="1663" spans="1:40" x14ac:dyDescent="0.25">
      <c r="A1663" t="str">
        <f>"20190312164505705"</f>
        <v>20190312164505705</v>
      </c>
      <c r="B1663" t="str">
        <f>"1552380305703703"</f>
        <v>1552380305703703</v>
      </c>
      <c r="C1663" t="s">
        <v>40</v>
      </c>
      <c r="D1663">
        <v>4.8449429999999998</v>
      </c>
      <c r="E1663">
        <v>0.5214453</v>
      </c>
      <c r="F1663" t="s">
        <v>41</v>
      </c>
      <c r="G1663">
        <v>-344.32839999999999</v>
      </c>
      <c r="H1663">
        <v>1.049744</v>
      </c>
      <c r="I1663">
        <v>284.31150000000002</v>
      </c>
      <c r="J1663">
        <v>-343.53190000000001</v>
      </c>
      <c r="K1663">
        <v>1.1076539999999999</v>
      </c>
      <c r="L1663">
        <v>284.25</v>
      </c>
      <c r="M1663">
        <v>-0.99994989999999995</v>
      </c>
      <c r="N1663">
        <v>0</v>
      </c>
      <c r="O1663">
        <v>2.4636109999999999E-4</v>
      </c>
      <c r="P1663">
        <v>-0.9882976</v>
      </c>
      <c r="Q1663">
        <v>0.1519808</v>
      </c>
      <c r="R1663">
        <v>1.303117E-2</v>
      </c>
      <c r="S1663">
        <v>-3.0577999999999999</v>
      </c>
      <c r="T1663">
        <v>-0.15824349999999901</v>
      </c>
      <c r="U1663">
        <v>0.16696169999999999</v>
      </c>
      <c r="V1663">
        <v>1.270257E-2</v>
      </c>
      <c r="W1663">
        <v>0.1618735</v>
      </c>
      <c r="X1663">
        <v>0.98672969999999904</v>
      </c>
      <c r="Y1663">
        <v>5.4202689999999998E-2</v>
      </c>
      <c r="Z1663">
        <v>1.387805E-3</v>
      </c>
      <c r="AA1663">
        <v>0.998529</v>
      </c>
      <c r="AB1663">
        <v>59</v>
      </c>
      <c r="AC1663">
        <v>-0.79649999999998</v>
      </c>
      <c r="AD1663">
        <v>-5.79100000000001E-2</v>
      </c>
      <c r="AE1663">
        <v>6.1500000000023598E-2</v>
      </c>
      <c r="AF1663">
        <v>6.09833081672672E-2</v>
      </c>
      <c r="AG1663">
        <v>-5.79100000000001E-2</v>
      </c>
      <c r="AH1663">
        <v>0.79235149944333405</v>
      </c>
      <c r="AI1663">
        <v>94.167819038416994</v>
      </c>
      <c r="AJ1663">
        <v>85.598908563015897</v>
      </c>
      <c r="AK1663">
        <v>0.79680200215933406</v>
      </c>
      <c r="AL1663">
        <v>80.684341848290202</v>
      </c>
      <c r="AM1663">
        <v>89.262449028346396</v>
      </c>
      <c r="AN1663">
        <v>0.99999994307447004</v>
      </c>
    </row>
    <row r="1664" spans="1:40" x14ac:dyDescent="0.25">
      <c r="A1664" t="str">
        <f>"20190312164505718"</f>
        <v>20190312164505718</v>
      </c>
      <c r="B1664" t="str">
        <f>"1552380305713463"</f>
        <v>1552380305713463</v>
      </c>
      <c r="C1664" t="s">
        <v>40</v>
      </c>
      <c r="D1664">
        <v>4.818371</v>
      </c>
      <c r="E1664">
        <v>0.5214548</v>
      </c>
      <c r="F1664" t="s">
        <v>47</v>
      </c>
      <c r="G1664">
        <v>-364.79590000000002</v>
      </c>
      <c r="H1664" s="1">
        <v>1.0153390000000001E-6</v>
      </c>
      <c r="I1664">
        <v>285.42059999999998</v>
      </c>
      <c r="J1664">
        <v>-343.82889999999998</v>
      </c>
      <c r="K1664">
        <v>1.1076410000000001</v>
      </c>
      <c r="L1664">
        <v>284.25020000000001</v>
      </c>
      <c r="M1664">
        <v>-0.99994950000000005</v>
      </c>
      <c r="N1664">
        <v>0</v>
      </c>
      <c r="O1664">
        <v>2.4605489999999998E-4</v>
      </c>
      <c r="P1664">
        <v>-0.98829310000000004</v>
      </c>
      <c r="Q1664">
        <v>0.1520098</v>
      </c>
      <c r="R1664">
        <v>1.304696E-2</v>
      </c>
      <c r="S1664">
        <v>-3.0578310000000002</v>
      </c>
      <c r="T1664">
        <v>-0.15928410000000001</v>
      </c>
      <c r="U1664">
        <v>0.16833499999999901</v>
      </c>
      <c r="V1664">
        <v>1.272671E-2</v>
      </c>
      <c r="W1664">
        <v>0.1619526</v>
      </c>
      <c r="X1664">
        <v>0.98671640000000005</v>
      </c>
      <c r="Y1664">
        <v>5.464799E-2</v>
      </c>
      <c r="Z1664">
        <v>1.4084849999999999E-3</v>
      </c>
      <c r="AA1664">
        <v>0.99850470000000002</v>
      </c>
      <c r="AB1664">
        <v>59</v>
      </c>
      <c r="AC1664">
        <v>-20.966999999999999</v>
      </c>
      <c r="AD1664">
        <v>-1.1076399846610001</v>
      </c>
      <c r="AE1664">
        <v>1.1703999999999699</v>
      </c>
      <c r="AF1664">
        <v>1.1620078433371701</v>
      </c>
      <c r="AG1664">
        <v>-1.1076399846610001</v>
      </c>
      <c r="AH1664">
        <v>20.909116007636001</v>
      </c>
      <c r="AI1664">
        <v>93.027690344334104</v>
      </c>
      <c r="AJ1664">
        <v>86.819103694950101</v>
      </c>
      <c r="AK1664">
        <v>20.970652369069899</v>
      </c>
      <c r="AL1664">
        <v>80.679749065197498</v>
      </c>
      <c r="AM1664">
        <v>89.261037580395495</v>
      </c>
      <c r="AN1664">
        <v>0.99999993391156905</v>
      </c>
    </row>
    <row r="1665" spans="1:40" x14ac:dyDescent="0.25">
      <c r="A1665" t="str">
        <f>"20190312164505731"</f>
        <v>20190312164505731</v>
      </c>
      <c r="B1665" t="str">
        <f>"1552380305723223"</f>
        <v>1552380305723223</v>
      </c>
      <c r="C1665" t="s">
        <v>40</v>
      </c>
      <c r="D1665">
        <v>4.6643210000000002</v>
      </c>
      <c r="E1665">
        <v>0.52159639999999996</v>
      </c>
      <c r="F1665" t="s">
        <v>41</v>
      </c>
      <c r="G1665">
        <v>-344.86329999999998</v>
      </c>
      <c r="H1665">
        <v>1.053755</v>
      </c>
      <c r="I1665">
        <v>284.3073</v>
      </c>
      <c r="J1665">
        <v>-344.1909</v>
      </c>
      <c r="K1665">
        <v>1.1076269999999999</v>
      </c>
      <c r="L1665">
        <v>284.25020000000001</v>
      </c>
      <c r="M1665">
        <v>-0.99994879999999997</v>
      </c>
      <c r="N1665">
        <v>0</v>
      </c>
      <c r="O1665">
        <v>2.5121079999999998E-4</v>
      </c>
      <c r="P1665">
        <v>-0.98828729999999998</v>
      </c>
      <c r="Q1665">
        <v>0.1520241</v>
      </c>
      <c r="R1665">
        <v>1.33191E-2</v>
      </c>
      <c r="S1665">
        <v>-3.0578310000000002</v>
      </c>
      <c r="T1665">
        <v>-0.1593928</v>
      </c>
      <c r="U1665">
        <v>0.16854859999999999</v>
      </c>
      <c r="V1665">
        <v>1.300375E-2</v>
      </c>
      <c r="W1665">
        <v>0.16203210000000001</v>
      </c>
      <c r="X1665">
        <v>0.98669980000000002</v>
      </c>
      <c r="Y1665">
        <v>5.4712200000000002E-2</v>
      </c>
      <c r="Z1665">
        <v>1.410845E-3</v>
      </c>
      <c r="AA1665">
        <v>0.99850119999999998</v>
      </c>
      <c r="AB1665">
        <v>59</v>
      </c>
      <c r="AC1665">
        <v>-0.67239999999998101</v>
      </c>
      <c r="AD1665">
        <v>-5.38720000000001E-2</v>
      </c>
      <c r="AE1665">
        <v>5.7099999999991199E-2</v>
      </c>
      <c r="AF1665">
        <v>5.6570546127716198E-2</v>
      </c>
      <c r="AG1665">
        <v>-5.38720000000001E-2</v>
      </c>
      <c r="AH1665">
        <v>0.66815610345251697</v>
      </c>
      <c r="AI1665">
        <v>94.593301394613206</v>
      </c>
      <c r="AJ1665">
        <v>85.160499546875101</v>
      </c>
      <c r="AK1665">
        <v>0.672707215402093</v>
      </c>
      <c r="AL1665">
        <v>80.675133677366304</v>
      </c>
      <c r="AM1665">
        <v>89.244940698670405</v>
      </c>
      <c r="AN1665">
        <v>0.99999999713225596</v>
      </c>
    </row>
    <row r="1666" spans="1:40" x14ac:dyDescent="0.25">
      <c r="A1666" t="str">
        <f>"20190312164505746"</f>
        <v>20190312164505746</v>
      </c>
      <c r="B1666" t="str">
        <f>"1552380305743719"</f>
        <v>1552380305743719</v>
      </c>
      <c r="C1666" t="s">
        <v>40</v>
      </c>
      <c r="D1666">
        <v>4.8698220000000001</v>
      </c>
      <c r="E1666">
        <v>0.52167140000000001</v>
      </c>
      <c r="F1666" t="s">
        <v>41</v>
      </c>
      <c r="G1666">
        <v>-345.38670000000002</v>
      </c>
      <c r="H1666">
        <v>1.045218</v>
      </c>
      <c r="I1666">
        <v>284.31720000000001</v>
      </c>
      <c r="J1666">
        <v>-344.60879999999997</v>
      </c>
      <c r="K1666">
        <v>1.1076170000000001</v>
      </c>
      <c r="L1666">
        <v>284.25040000000001</v>
      </c>
      <c r="M1666">
        <v>-0.99994799999999995</v>
      </c>
      <c r="N1666">
        <v>0</v>
      </c>
      <c r="O1666">
        <v>2.689983E-4</v>
      </c>
      <c r="P1666">
        <v>-0.9883111</v>
      </c>
      <c r="Q1666">
        <v>0.15178839999999999</v>
      </c>
      <c r="R1666">
        <v>1.419947E-2</v>
      </c>
      <c r="S1666">
        <v>-3.0577999999999999</v>
      </c>
      <c r="T1666">
        <v>-0.1597325</v>
      </c>
      <c r="U1666">
        <v>0.17037959999999999</v>
      </c>
      <c r="V1666">
        <v>1.387741E-2</v>
      </c>
      <c r="W1666">
        <v>0.16188060000000001</v>
      </c>
      <c r="X1666">
        <v>0.98671279999999995</v>
      </c>
      <c r="Y1666">
        <v>5.5289999999999999E-2</v>
      </c>
      <c r="Z1666">
        <v>1.427979E-3</v>
      </c>
      <c r="AA1666">
        <v>0.9984693</v>
      </c>
      <c r="AB1666">
        <v>59</v>
      </c>
      <c r="AC1666">
        <v>-0.777900000000045</v>
      </c>
      <c r="AD1666">
        <v>-6.2399000000000003E-2</v>
      </c>
      <c r="AE1666">
        <v>6.6800000000000595E-2</v>
      </c>
      <c r="AF1666">
        <v>6.6168097782951005E-2</v>
      </c>
      <c r="AG1666">
        <v>-6.2399000000000003E-2</v>
      </c>
      <c r="AH1666">
        <v>0.77298068633916395</v>
      </c>
      <c r="AI1666">
        <v>94.598459527700399</v>
      </c>
      <c r="AJ1666">
        <v>85.107337960196901</v>
      </c>
      <c r="AK1666">
        <v>0.77831291510457401</v>
      </c>
      <c r="AL1666">
        <v>80.683930432214694</v>
      </c>
      <c r="AM1666">
        <v>89.194228954982293</v>
      </c>
      <c r="AN1666">
        <v>1.00000003042425</v>
      </c>
    </row>
    <row r="1667" spans="1:40" x14ac:dyDescent="0.25">
      <c r="A1667" t="str">
        <f>"20190312164505760"</f>
        <v>20190312164505760</v>
      </c>
      <c r="B1667" t="str">
        <f>"1552380305753479"</f>
        <v>1552380305753479</v>
      </c>
      <c r="C1667" t="s">
        <v>40</v>
      </c>
      <c r="D1667">
        <v>4.8408759999999997</v>
      </c>
      <c r="E1667">
        <v>0.52166349999999995</v>
      </c>
      <c r="F1667" t="s">
        <v>47</v>
      </c>
      <c r="G1667">
        <v>-365.53919999999999</v>
      </c>
      <c r="H1667" s="1">
        <v>1.4108999999999999E-6</v>
      </c>
      <c r="I1667">
        <v>285.4314</v>
      </c>
      <c r="J1667">
        <v>-344.95319999999998</v>
      </c>
      <c r="K1667">
        <v>1.1076060000000001</v>
      </c>
      <c r="L1667">
        <v>284.25049999999999</v>
      </c>
      <c r="M1667">
        <v>-0.99994700000000003</v>
      </c>
      <c r="N1667">
        <v>0</v>
      </c>
      <c r="O1667">
        <v>2.9098829999999999E-4</v>
      </c>
      <c r="P1667">
        <v>-0.98833519999999997</v>
      </c>
      <c r="Q1667">
        <v>0.151595799999999</v>
      </c>
      <c r="R1667">
        <v>1.4570710000000001E-2</v>
      </c>
      <c r="S1667">
        <v>-3.0578310000000002</v>
      </c>
      <c r="T1667">
        <v>-0.16181699999999999</v>
      </c>
      <c r="U1667">
        <v>0.17254639999999999</v>
      </c>
      <c r="V1667">
        <v>1.423574E-2</v>
      </c>
      <c r="W1667">
        <v>0.1617634</v>
      </c>
      <c r="X1667">
        <v>0.98672689999999996</v>
      </c>
      <c r="Y1667">
        <v>5.5969890000000001E-2</v>
      </c>
      <c r="Z1667">
        <v>1.4633459999999999E-3</v>
      </c>
      <c r="AA1667">
        <v>0.99843139999999997</v>
      </c>
      <c r="AB1667">
        <v>59</v>
      </c>
      <c r="AC1667">
        <v>-20.585999999999999</v>
      </c>
      <c r="AD1667">
        <v>-1.1076045890999999</v>
      </c>
      <c r="AE1667">
        <v>1.1809000000000001</v>
      </c>
      <c r="AF1667">
        <v>1.1715290739558699</v>
      </c>
      <c r="AG1667">
        <v>-1.1076045890999999</v>
      </c>
      <c r="AH1667">
        <v>20.527114824677199</v>
      </c>
      <c r="AI1667">
        <v>93.083569426897398</v>
      </c>
      <c r="AJ1667">
        <v>86.733543179748594</v>
      </c>
      <c r="AK1667">
        <v>20.590330529702602</v>
      </c>
      <c r="AL1667">
        <v>80.690735034952297</v>
      </c>
      <c r="AM1667">
        <v>89.173437719916294</v>
      </c>
      <c r="AN1667">
        <v>1.0000000145282499</v>
      </c>
    </row>
    <row r="1668" spans="1:40" x14ac:dyDescent="0.25">
      <c r="A1668" t="str">
        <f>"20190312164505773"</f>
        <v>20190312164505773</v>
      </c>
      <c r="B1668" t="str">
        <f>"1552380305763238"</f>
        <v>1552380305763238</v>
      </c>
      <c r="C1668" t="s">
        <v>40</v>
      </c>
      <c r="D1668">
        <v>4.6541750000000004</v>
      </c>
      <c r="E1668">
        <v>0.52177050000000003</v>
      </c>
      <c r="F1668" t="s">
        <v>47</v>
      </c>
      <c r="G1668">
        <v>-365.76249999999999</v>
      </c>
      <c r="H1668" s="1">
        <v>1.5296999999999999E-6</v>
      </c>
      <c r="I1668">
        <v>285.4316</v>
      </c>
      <c r="J1668">
        <v>-345.32010000000002</v>
      </c>
      <c r="K1668">
        <v>1.1075950000000001</v>
      </c>
      <c r="L1668">
        <v>284.25060000000002</v>
      </c>
      <c r="M1668">
        <v>-0.99994620000000001</v>
      </c>
      <c r="N1668">
        <v>0</v>
      </c>
      <c r="O1668">
        <v>3.1794190000000001E-4</v>
      </c>
      <c r="P1668">
        <v>-0.98834200000000005</v>
      </c>
      <c r="Q1668">
        <v>0.15151990000000001</v>
      </c>
      <c r="R1668">
        <v>1.489911E-2</v>
      </c>
      <c r="S1668">
        <v>-3.0577999999999999</v>
      </c>
      <c r="T1668">
        <v>-0.16275609999999999</v>
      </c>
      <c r="U1668">
        <v>0.1735535</v>
      </c>
      <c r="V1668">
        <v>1.4546450000000001E-2</v>
      </c>
      <c r="W1668">
        <v>0.1617719</v>
      </c>
      <c r="X1668">
        <v>0.98672099999999996</v>
      </c>
      <c r="Y1668">
        <v>5.6270010000000002E-2</v>
      </c>
      <c r="Z1668">
        <v>1.4783699999999999E-3</v>
      </c>
      <c r="AA1668">
        <v>0.99841449999999998</v>
      </c>
      <c r="AB1668">
        <v>59</v>
      </c>
      <c r="AC1668">
        <v>-20.4423999999999</v>
      </c>
      <c r="AD1668">
        <v>-1.1075934703000001</v>
      </c>
      <c r="AE1668">
        <v>1.1809999999999801</v>
      </c>
      <c r="AF1668">
        <v>1.17107372627332</v>
      </c>
      <c r="AG1668">
        <v>-1.1075934703000001</v>
      </c>
      <c r="AH1668">
        <v>20.383136769545501</v>
      </c>
      <c r="AI1668">
        <v>93.105209538427701</v>
      </c>
      <c r="AJ1668">
        <v>86.711796511946503</v>
      </c>
      <c r="AK1668">
        <v>20.446770931709899</v>
      </c>
      <c r="AL1668">
        <v>80.690241753733005</v>
      </c>
      <c r="AM1668">
        <v>89.155394664672599</v>
      </c>
      <c r="AN1668">
        <v>1.0000000393391</v>
      </c>
    </row>
    <row r="1669" spans="1:40" x14ac:dyDescent="0.25">
      <c r="A1669" t="str">
        <f>"20190312164505788"</f>
        <v>20190312164505788</v>
      </c>
      <c r="B1669" t="str">
        <f>"1552380305783735"</f>
        <v>1552380305783735</v>
      </c>
      <c r="C1669" t="s">
        <v>40</v>
      </c>
      <c r="D1669">
        <v>4.8563499999999999</v>
      </c>
      <c r="E1669">
        <v>0.52204110000000004</v>
      </c>
      <c r="F1669" t="s">
        <v>41</v>
      </c>
      <c r="G1669">
        <v>-346.45159999999998</v>
      </c>
      <c r="H1669">
        <v>1.047253</v>
      </c>
      <c r="I1669">
        <v>284.3159</v>
      </c>
      <c r="J1669">
        <v>-345.7079</v>
      </c>
      <c r="K1669">
        <v>1.107586</v>
      </c>
      <c r="L1669">
        <v>284.25080000000003</v>
      </c>
      <c r="M1669">
        <v>-0.99994510000000003</v>
      </c>
      <c r="N1669">
        <v>0</v>
      </c>
      <c r="O1669">
        <v>3.5073459999999999E-4</v>
      </c>
      <c r="P1669">
        <v>-0.98839639999999995</v>
      </c>
      <c r="Q1669">
        <v>0.15111289999999999</v>
      </c>
      <c r="R1669">
        <v>1.541317E-2</v>
      </c>
      <c r="S1669">
        <v>-3.0578310000000002</v>
      </c>
      <c r="T1669">
        <v>-0.1632296</v>
      </c>
      <c r="U1669">
        <v>0.17550660000000001</v>
      </c>
      <c r="V1669">
        <v>1.503705E-2</v>
      </c>
      <c r="W1669">
        <v>0.16146170000000001</v>
      </c>
      <c r="X1669">
        <v>0.98676439999999999</v>
      </c>
      <c r="Y1669">
        <v>5.6871089999999999E-2</v>
      </c>
      <c r="Z1669">
        <v>1.4968939999999999E-3</v>
      </c>
      <c r="AA1669">
        <v>0.99838039999999995</v>
      </c>
      <c r="AB1669">
        <v>59</v>
      </c>
      <c r="AC1669">
        <v>-0.74369999999998904</v>
      </c>
      <c r="AD1669">
        <v>-6.0332999999999901E-2</v>
      </c>
      <c r="AE1669">
        <v>6.5099999999972596E-2</v>
      </c>
      <c r="AF1669">
        <v>6.4418404847500998E-2</v>
      </c>
      <c r="AG1669">
        <v>-6.0332999999999901E-2</v>
      </c>
      <c r="AH1669">
        <v>0.73889683608518097</v>
      </c>
      <c r="AI1669">
        <v>94.650443406338795</v>
      </c>
      <c r="AJ1669">
        <v>85.017445149346997</v>
      </c>
      <c r="AK1669">
        <v>0.74414940445369404</v>
      </c>
      <c r="AL1669">
        <v>80.708251181553507</v>
      </c>
      <c r="AM1669">
        <v>89.126951863722496</v>
      </c>
      <c r="AN1669">
        <v>0.99999998727347605</v>
      </c>
    </row>
    <row r="1670" spans="1:40" x14ac:dyDescent="0.25">
      <c r="A1670" t="str">
        <f>"20190312164505803"</f>
        <v>20190312164505803</v>
      </c>
      <c r="B1670" t="str">
        <f>"1552380305793495"</f>
        <v>1552380305793495</v>
      </c>
      <c r="C1670" t="s">
        <v>40</v>
      </c>
      <c r="D1670">
        <v>4.818905</v>
      </c>
      <c r="E1670">
        <v>0.52220370000000005</v>
      </c>
      <c r="F1670" t="s">
        <v>47</v>
      </c>
      <c r="G1670">
        <v>-366.33170000000001</v>
      </c>
      <c r="H1670" s="1">
        <v>1.8326400000000001E-6</v>
      </c>
      <c r="I1670">
        <v>285.46339999999998</v>
      </c>
      <c r="J1670">
        <v>-346.10809999999998</v>
      </c>
      <c r="K1670">
        <v>1.107575</v>
      </c>
      <c r="L1670">
        <v>284.2509</v>
      </c>
      <c r="M1670">
        <v>-0.99994400000000006</v>
      </c>
      <c r="N1670">
        <v>0</v>
      </c>
      <c r="O1670">
        <v>3.8970610000000001E-4</v>
      </c>
      <c r="P1670">
        <v>-0.98838959999999998</v>
      </c>
      <c r="Q1670">
        <v>0.1510466</v>
      </c>
      <c r="R1670">
        <v>1.64739E-2</v>
      </c>
      <c r="S1670">
        <v>-3.0575869999999998</v>
      </c>
      <c r="T1670">
        <v>-0.16420460000000001</v>
      </c>
      <c r="U1670">
        <v>0.1797791</v>
      </c>
      <c r="V1670">
        <v>1.6067890000000001E-2</v>
      </c>
      <c r="W1670">
        <v>0.1615037</v>
      </c>
      <c r="X1670">
        <v>0.98674130000000004</v>
      </c>
      <c r="Y1670">
        <v>5.8224209999999998E-2</v>
      </c>
      <c r="Z1670">
        <v>1.540069E-3</v>
      </c>
      <c r="AA1670">
        <v>0.99830229999999998</v>
      </c>
      <c r="AB1670">
        <v>59</v>
      </c>
      <c r="AC1670">
        <v>-20.223600000000001</v>
      </c>
      <c r="AD1670">
        <v>-1.10757316736</v>
      </c>
      <c r="AE1670">
        <v>1.2124999999999699</v>
      </c>
      <c r="AF1670">
        <v>1.2010287971170699</v>
      </c>
      <c r="AG1670">
        <v>-1.10757316736</v>
      </c>
      <c r="AH1670">
        <v>20.163809195923601</v>
      </c>
      <c r="AI1670">
        <v>93.138475718519402</v>
      </c>
      <c r="AJ1670">
        <v>86.591285232813206</v>
      </c>
      <c r="AK1670">
        <v>20.2298885261925</v>
      </c>
      <c r="AL1670">
        <v>80.705812946963505</v>
      </c>
      <c r="AM1670">
        <v>89.067089900551906</v>
      </c>
      <c r="AN1670">
        <v>1.0000000076642099</v>
      </c>
    </row>
    <row r="1671" spans="1:40" x14ac:dyDescent="0.25">
      <c r="A1671" t="str">
        <f>"20190312164505815"</f>
        <v>20190312164505815</v>
      </c>
      <c r="B1671" t="str">
        <f>"1552380305813015"</f>
        <v>1552380305813015</v>
      </c>
      <c r="C1671" t="s">
        <v>40</v>
      </c>
      <c r="D1671">
        <v>4.8097799999999999</v>
      </c>
      <c r="E1671">
        <v>0.52248720000000004</v>
      </c>
      <c r="F1671" t="s">
        <v>47</v>
      </c>
      <c r="G1671">
        <v>-366.79250000000002</v>
      </c>
      <c r="H1671" s="1">
        <v>2.077852E-6</v>
      </c>
      <c r="I1671">
        <v>285.50110000000001</v>
      </c>
      <c r="J1671">
        <v>-346.44099999999997</v>
      </c>
      <c r="K1671">
        <v>1.1075699999999999</v>
      </c>
      <c r="L1671">
        <v>284.25099999999998</v>
      </c>
      <c r="M1671">
        <v>-0.99994280000000002</v>
      </c>
      <c r="N1671">
        <v>0</v>
      </c>
      <c r="O1671">
        <v>4.2445969999999999E-4</v>
      </c>
      <c r="P1671">
        <v>-0.98843599999999998</v>
      </c>
      <c r="Q1671">
        <v>0.1506699</v>
      </c>
      <c r="R1671">
        <v>1.7104560000000001E-2</v>
      </c>
      <c r="S1671">
        <v>-3.05722</v>
      </c>
      <c r="T1671">
        <v>-0.16370279999999901</v>
      </c>
      <c r="U1671">
        <v>0.1847839</v>
      </c>
      <c r="V1671">
        <v>1.667095E-2</v>
      </c>
      <c r="W1671">
        <v>0.1612227</v>
      </c>
      <c r="X1671">
        <v>0.98677720000000002</v>
      </c>
      <c r="Y1671">
        <v>5.9823210000000002E-2</v>
      </c>
      <c r="Z1671">
        <v>1.5763610000000001E-3</v>
      </c>
      <c r="AA1671">
        <v>0.99820770000000003</v>
      </c>
      <c r="AB1671">
        <v>59</v>
      </c>
      <c r="AC1671">
        <v>-20.351500000000001</v>
      </c>
      <c r="AD1671">
        <v>-1.1075679221479999</v>
      </c>
      <c r="AE1671">
        <v>1.25010000000003</v>
      </c>
      <c r="AF1671">
        <v>1.2378087071927</v>
      </c>
      <c r="AG1671">
        <v>-1.1075679221479999</v>
      </c>
      <c r="AH1671">
        <v>20.2921545063639</v>
      </c>
      <c r="AI1671">
        <v>93.118381421782999</v>
      </c>
      <c r="AJ1671">
        <v>86.509318590612295</v>
      </c>
      <c r="AK1671">
        <v>20.3600199314224</v>
      </c>
      <c r="AL1671">
        <v>80.722126416493396</v>
      </c>
      <c r="AM1671">
        <v>89.032117669442201</v>
      </c>
      <c r="AN1671">
        <v>0.99999996100451505</v>
      </c>
    </row>
    <row r="1672" spans="1:40" x14ac:dyDescent="0.25">
      <c r="A1672" t="str">
        <f>"20190312164505828"</f>
        <v>20190312164505828</v>
      </c>
      <c r="B1672" t="str">
        <f>"1552380305823751"</f>
        <v>1552380305823751</v>
      </c>
      <c r="C1672" t="s">
        <v>40</v>
      </c>
      <c r="D1672">
        <v>4.8271680000000003</v>
      </c>
      <c r="E1672">
        <v>0.52263669999999995</v>
      </c>
      <c r="F1672" t="s">
        <v>41</v>
      </c>
      <c r="G1672">
        <v>-347.51769999999999</v>
      </c>
      <c r="H1672">
        <v>1.0498400000000001</v>
      </c>
      <c r="I1672">
        <v>284.31790000000001</v>
      </c>
      <c r="J1672">
        <v>-346.77620000000002</v>
      </c>
      <c r="K1672">
        <v>1.107564</v>
      </c>
      <c r="L1672">
        <v>284.25119999999998</v>
      </c>
      <c r="M1672">
        <v>-0.99994179999999999</v>
      </c>
      <c r="N1672">
        <v>0</v>
      </c>
      <c r="O1672">
        <v>4.6019609999999999E-4</v>
      </c>
      <c r="P1672">
        <v>-0.98844580000000004</v>
      </c>
      <c r="Q1672">
        <v>0.15054409999999999</v>
      </c>
      <c r="R1672">
        <v>1.765825E-2</v>
      </c>
      <c r="S1672">
        <v>-3.0568240000000002</v>
      </c>
      <c r="T1672">
        <v>-0.16406309999999999</v>
      </c>
      <c r="U1672">
        <v>0.18884280000000001</v>
      </c>
      <c r="V1672">
        <v>1.7195820000000001E-2</v>
      </c>
      <c r="W1672">
        <v>0.16119539999999999</v>
      </c>
      <c r="X1672">
        <v>0.98677269999999995</v>
      </c>
      <c r="Y1672">
        <v>6.1113590000000002E-2</v>
      </c>
      <c r="Z1672">
        <v>1.6126210000000001E-3</v>
      </c>
      <c r="AA1672">
        <v>0.9981295</v>
      </c>
      <c r="AB1672">
        <v>59</v>
      </c>
      <c r="AC1672">
        <v>-0.74149999999997296</v>
      </c>
      <c r="AD1672">
        <v>-5.7724000000000102E-2</v>
      </c>
      <c r="AE1672">
        <v>6.6700000000025697E-2</v>
      </c>
      <c r="AF1672">
        <v>6.5962198897239796E-2</v>
      </c>
      <c r="AG1672">
        <v>-5.7724000000000102E-2</v>
      </c>
      <c r="AH1672">
        <v>0.73709946614456801</v>
      </c>
      <c r="AI1672">
        <v>94.460078042885996</v>
      </c>
      <c r="AJ1672">
        <v>84.886287003956397</v>
      </c>
      <c r="AK1672">
        <v>0.74229286326218002</v>
      </c>
      <c r="AL1672">
        <v>80.723711755026201</v>
      </c>
      <c r="AM1672">
        <v>89.001646278678805</v>
      </c>
      <c r="AN1672">
        <v>1.0000000073359601</v>
      </c>
    </row>
    <row r="1673" spans="1:40" x14ac:dyDescent="0.25">
      <c r="A1673" t="str">
        <f>"20190312164505841"</f>
        <v>20190312164505841</v>
      </c>
      <c r="B1673" t="str">
        <f>"1552380305833510"</f>
        <v>1552380305833510</v>
      </c>
      <c r="C1673" t="s">
        <v>40</v>
      </c>
      <c r="D1673">
        <v>4.8589250000000002</v>
      </c>
      <c r="E1673">
        <v>0.52274419999999999</v>
      </c>
      <c r="F1673" t="s">
        <v>47</v>
      </c>
      <c r="G1673">
        <v>-367.41739999999999</v>
      </c>
      <c r="H1673" s="1">
        <v>2.4103879999999999E-6</v>
      </c>
      <c r="I1673">
        <v>285.54599999999999</v>
      </c>
      <c r="J1673">
        <v>-347.1275</v>
      </c>
      <c r="K1673">
        <v>1.1075600000000001</v>
      </c>
      <c r="L1673">
        <v>284.25130000000001</v>
      </c>
      <c r="M1673">
        <v>-0.99994059999999996</v>
      </c>
      <c r="N1673">
        <v>0</v>
      </c>
      <c r="O1673">
        <v>5.000982E-4</v>
      </c>
      <c r="P1673">
        <v>-0.98851089999999997</v>
      </c>
      <c r="Q1673">
        <v>0.1500736</v>
      </c>
      <c r="R1673">
        <v>1.8006669999999999E-2</v>
      </c>
      <c r="S1673">
        <v>-3.0565799999999999</v>
      </c>
      <c r="T1673">
        <v>-0.16400899999999999</v>
      </c>
      <c r="U1673">
        <v>0.19174189999999999</v>
      </c>
      <c r="V1673">
        <v>1.7511079999999998E-2</v>
      </c>
      <c r="W1673">
        <v>0.16083349999999999</v>
      </c>
      <c r="X1673">
        <v>0.98682619999999999</v>
      </c>
      <c r="Y1673">
        <v>6.2020510000000001E-2</v>
      </c>
      <c r="Z1673">
        <v>1.6343229999999901E-3</v>
      </c>
      <c r="AA1673">
        <v>0.99807349999999995</v>
      </c>
      <c r="AB1673">
        <v>59</v>
      </c>
      <c r="AC1673">
        <v>-20.2898999999999</v>
      </c>
      <c r="AD1673">
        <v>-1.107557589612</v>
      </c>
      <c r="AE1673">
        <v>1.29469999999997</v>
      </c>
      <c r="AF1673">
        <v>1.28075151210903</v>
      </c>
      <c r="AG1673">
        <v>-1.107557589612</v>
      </c>
      <c r="AH1673">
        <v>20.230508544572199</v>
      </c>
      <c r="AI1673">
        <v>93.127389573587095</v>
      </c>
      <c r="AJ1673">
        <v>86.377557396545697</v>
      </c>
      <c r="AK1673">
        <v>20.301243415665098</v>
      </c>
      <c r="AL1673">
        <v>80.744721167395298</v>
      </c>
      <c r="AM1673">
        <v>88.983401848044494</v>
      </c>
      <c r="AN1673">
        <v>1.0000000008257199</v>
      </c>
    </row>
    <row r="1674" spans="1:40" x14ac:dyDescent="0.25">
      <c r="A1674" t="str">
        <f>"20190312164505854"</f>
        <v>20190312164505854</v>
      </c>
      <c r="B1674" t="str">
        <f>"1552380305843271"</f>
        <v>1552380305843271</v>
      </c>
      <c r="C1674" t="s">
        <v>40</v>
      </c>
      <c r="D1674">
        <v>4.7915640000000002</v>
      </c>
      <c r="E1674">
        <v>0.52284419999999998</v>
      </c>
      <c r="F1674" t="s">
        <v>47</v>
      </c>
      <c r="G1674">
        <v>-367.65219999999999</v>
      </c>
      <c r="H1674" s="1">
        <v>2.5353169999999999E-6</v>
      </c>
      <c r="I1674">
        <v>285.55040000000002</v>
      </c>
      <c r="J1674">
        <v>-347.4461</v>
      </c>
      <c r="K1674">
        <v>1.107558</v>
      </c>
      <c r="L1674">
        <v>284.25150000000002</v>
      </c>
      <c r="M1674">
        <v>-0.99993940000000003</v>
      </c>
      <c r="N1674">
        <v>0</v>
      </c>
      <c r="O1674">
        <v>5.3698169999999998E-4</v>
      </c>
      <c r="P1674">
        <v>-0.98852019999999996</v>
      </c>
      <c r="Q1674">
        <v>0.14993119999999999</v>
      </c>
      <c r="R1674">
        <v>1.867098E-2</v>
      </c>
      <c r="S1674">
        <v>-3.0563959999999999</v>
      </c>
      <c r="T1674">
        <v>-0.1649301</v>
      </c>
      <c r="U1674">
        <v>0.19345090000000001</v>
      </c>
      <c r="V1674">
        <v>1.814429E-2</v>
      </c>
      <c r="W1674">
        <v>0.16079070000000001</v>
      </c>
      <c r="X1674">
        <v>0.98682170000000002</v>
      </c>
      <c r="Y1674">
        <v>6.2541589999999994E-2</v>
      </c>
      <c r="Z1674">
        <v>1.6556069999999999E-3</v>
      </c>
      <c r="AA1674">
        <v>0.99804099999999996</v>
      </c>
      <c r="AB1674">
        <v>59</v>
      </c>
      <c r="AC1674">
        <v>-20.2060999999999</v>
      </c>
      <c r="AD1674">
        <v>-1.1075554646829999</v>
      </c>
      <c r="AE1674">
        <v>1.2988999999999999</v>
      </c>
      <c r="AF1674">
        <v>1.2842063861092701</v>
      </c>
      <c r="AG1674">
        <v>-1.1075554646829999</v>
      </c>
      <c r="AH1674">
        <v>20.1465143737584</v>
      </c>
      <c r="AI1674">
        <v>93.140309781627295</v>
      </c>
      <c r="AJ1674">
        <v>86.352709443996901</v>
      </c>
      <c r="AK1674">
        <v>20.217762155132998</v>
      </c>
      <c r="AL1674">
        <v>80.747205438878495</v>
      </c>
      <c r="AM1674">
        <v>88.946644452005302</v>
      </c>
      <c r="AN1674">
        <v>0.99999996602849095</v>
      </c>
    </row>
    <row r="1675" spans="1:40" x14ac:dyDescent="0.25">
      <c r="A1675" t="str">
        <f>"20190312164505870"</f>
        <v>20190312164505870</v>
      </c>
      <c r="B1675" t="str">
        <f>"1552380305863782"</f>
        <v>1552380305863782</v>
      </c>
      <c r="C1675" t="s">
        <v>40</v>
      </c>
      <c r="D1675">
        <v>4.8331280000000003</v>
      </c>
      <c r="E1675">
        <v>0.52307769999999998</v>
      </c>
      <c r="F1675" t="s">
        <v>41</v>
      </c>
      <c r="G1675">
        <v>-348.57900000000001</v>
      </c>
      <c r="H1675">
        <v>1.0466489999999999</v>
      </c>
      <c r="I1675">
        <v>284.32479999999998</v>
      </c>
      <c r="J1675">
        <v>-347.8954</v>
      </c>
      <c r="K1675">
        <v>1.10755</v>
      </c>
      <c r="L1675">
        <v>284.2518</v>
      </c>
      <c r="M1675">
        <v>-0.99993779999999999</v>
      </c>
      <c r="N1675">
        <v>0</v>
      </c>
      <c r="O1675">
        <v>5.9019390000000001E-4</v>
      </c>
      <c r="P1675">
        <v>-0.98853709999999995</v>
      </c>
      <c r="Q1675">
        <v>0.14973</v>
      </c>
      <c r="R1675">
        <v>1.9378139999999999E-2</v>
      </c>
      <c r="S1675">
        <v>-3.0560610000000001</v>
      </c>
      <c r="T1675">
        <v>-0.1644418</v>
      </c>
      <c r="U1675">
        <v>0.19671630000000001</v>
      </c>
      <c r="V1675">
        <v>1.880619E-2</v>
      </c>
      <c r="W1675">
        <v>0.16073090000000001</v>
      </c>
      <c r="X1675">
        <v>0.98681909999999895</v>
      </c>
      <c r="Y1675">
        <v>6.3556559999999998E-2</v>
      </c>
      <c r="Z1675">
        <v>1.675237E-3</v>
      </c>
      <c r="AA1675">
        <v>0.9979768</v>
      </c>
      <c r="AB1675">
        <v>59</v>
      </c>
      <c r="AC1675">
        <v>-0.68360000000001198</v>
      </c>
      <c r="AD1675">
        <v>-6.0901000000000101E-2</v>
      </c>
      <c r="AE1675">
        <v>7.2999999999978998E-2</v>
      </c>
      <c r="AF1675">
        <v>7.2031254851411305E-2</v>
      </c>
      <c r="AG1675">
        <v>-6.0901000000000101E-2</v>
      </c>
      <c r="AH1675">
        <v>0.67831998740616795</v>
      </c>
      <c r="AI1675">
        <v>95.101848375188993</v>
      </c>
      <c r="AJ1675">
        <v>83.938438910544306</v>
      </c>
      <c r="AK1675">
        <v>0.68484701853127194</v>
      </c>
      <c r="AL1675">
        <v>80.750677340411599</v>
      </c>
      <c r="AM1675">
        <v>88.908224517799596</v>
      </c>
      <c r="AN1675">
        <v>1.0000000155609601</v>
      </c>
    </row>
    <row r="1676" spans="1:40" x14ac:dyDescent="0.25">
      <c r="A1676" t="str">
        <f>"20190312164505882"</f>
        <v>20190312164505882</v>
      </c>
      <c r="B1676" t="str">
        <f>"1552380305873526"</f>
        <v>1552380305873526</v>
      </c>
      <c r="C1676" t="s">
        <v>40</v>
      </c>
      <c r="D1676">
        <v>4.8191079999999999</v>
      </c>
      <c r="E1676">
        <v>0.52319749999999998</v>
      </c>
      <c r="F1676" t="s">
        <v>41</v>
      </c>
      <c r="G1676">
        <v>-349.10849999999999</v>
      </c>
      <c r="H1676">
        <v>1.042486</v>
      </c>
      <c r="I1676">
        <v>284.33179999999999</v>
      </c>
      <c r="J1676">
        <v>-348.21570000000003</v>
      </c>
      <c r="K1676">
        <v>1.10755</v>
      </c>
      <c r="L1676">
        <v>284.25200000000001</v>
      </c>
      <c r="M1676">
        <v>-0.99993679999999996</v>
      </c>
      <c r="N1676">
        <v>0</v>
      </c>
      <c r="O1676">
        <v>6.2942469999999998E-4</v>
      </c>
      <c r="P1676">
        <v>-0.98851259999999996</v>
      </c>
      <c r="Q1676">
        <v>0.1498302</v>
      </c>
      <c r="R1676">
        <v>1.9850340000000001E-2</v>
      </c>
      <c r="S1676">
        <v>-3.0556950000000001</v>
      </c>
      <c r="T1676">
        <v>-0.163974799999999</v>
      </c>
      <c r="U1676">
        <v>0.2012024</v>
      </c>
      <c r="V1676">
        <v>1.924416E-2</v>
      </c>
      <c r="W1676">
        <v>0.16093089999999999</v>
      </c>
      <c r="X1676">
        <v>0.98677800000000004</v>
      </c>
      <c r="Y1676">
        <v>6.4982479999999995E-2</v>
      </c>
      <c r="Z1676">
        <v>1.7066939999999999E-3</v>
      </c>
      <c r="AA1676">
        <v>0.99788489999999996</v>
      </c>
      <c r="AB1676">
        <v>59</v>
      </c>
      <c r="AC1676">
        <v>-0.89279999999996495</v>
      </c>
      <c r="AD1676">
        <v>-6.5063999999999997E-2</v>
      </c>
      <c r="AE1676">
        <v>7.9799999999977403E-2</v>
      </c>
      <c r="AF1676">
        <v>7.8822692048032703E-2</v>
      </c>
      <c r="AG1676">
        <v>-6.5063999999999997E-2</v>
      </c>
      <c r="AH1676">
        <v>0.88817040172275197</v>
      </c>
      <c r="AI1676">
        <v>94.173443075569097</v>
      </c>
      <c r="AJ1676">
        <v>84.928443205404704</v>
      </c>
      <c r="AK1676">
        <v>0.894031880513248</v>
      </c>
      <c r="AL1676">
        <v>80.7390664923348</v>
      </c>
      <c r="AM1676">
        <v>88.8827584364861</v>
      </c>
      <c r="AN1676">
        <v>0.99999995677645603</v>
      </c>
    </row>
    <row r="1677" spans="1:40" x14ac:dyDescent="0.25">
      <c r="A1677" t="str">
        <f>"20190312164505894"</f>
        <v>20190312164505894</v>
      </c>
      <c r="B1677" t="str">
        <f>"1552380305883287"</f>
        <v>1552380305883287</v>
      </c>
      <c r="C1677" t="s">
        <v>40</v>
      </c>
      <c r="D1677">
        <v>4.7967060000000004</v>
      </c>
      <c r="E1677">
        <v>0.52329110000000001</v>
      </c>
      <c r="F1677" t="s">
        <v>47</v>
      </c>
      <c r="G1677">
        <v>-368.98950000000002</v>
      </c>
      <c r="H1677" s="1">
        <v>3.2469530000000002E-6</v>
      </c>
      <c r="I1677">
        <v>285.63650000000001</v>
      </c>
      <c r="J1677">
        <v>-348.5265</v>
      </c>
      <c r="K1677">
        <v>1.107553</v>
      </c>
      <c r="L1677">
        <v>284.25209999999998</v>
      </c>
      <c r="M1677">
        <v>-0.99993549999999998</v>
      </c>
      <c r="N1677">
        <v>0</v>
      </c>
      <c r="O1677">
        <v>6.6843139999999996E-4</v>
      </c>
      <c r="P1677">
        <v>-0.98847039999999997</v>
      </c>
      <c r="Q1677">
        <v>0.1500618</v>
      </c>
      <c r="R1677">
        <v>2.019965E-2</v>
      </c>
      <c r="S1677">
        <v>-3.0554809999999999</v>
      </c>
      <c r="T1677">
        <v>-0.162902399999999</v>
      </c>
      <c r="U1677">
        <v>0.20364380000000001</v>
      </c>
      <c r="V1677">
        <v>1.955933E-2</v>
      </c>
      <c r="W1677">
        <v>0.16125699999999901</v>
      </c>
      <c r="X1677">
        <v>0.9867186</v>
      </c>
      <c r="Y1677">
        <v>6.5742140000000004E-2</v>
      </c>
      <c r="Z1677">
        <v>1.713759E-3</v>
      </c>
      <c r="AA1677">
        <v>0.99783520000000003</v>
      </c>
      <c r="AB1677">
        <v>59</v>
      </c>
      <c r="AC1677">
        <v>-20.463000000000001</v>
      </c>
      <c r="AD1677">
        <v>-1.107549753047</v>
      </c>
      <c r="AE1677">
        <v>1.3844000000000201</v>
      </c>
      <c r="AF1677">
        <v>1.3667351429803301</v>
      </c>
      <c r="AG1677">
        <v>-1.107549753047</v>
      </c>
      <c r="AH1677">
        <v>20.404419232745401</v>
      </c>
      <c r="AI1677">
        <v>93.100027032238799</v>
      </c>
      <c r="AJ1677">
        <v>86.167920510987699</v>
      </c>
      <c r="AK1677">
        <v>20.480111221186402</v>
      </c>
      <c r="AL1677">
        <v>80.720135401113595</v>
      </c>
      <c r="AM1677">
        <v>88.864397295853095</v>
      </c>
      <c r="AN1677">
        <v>0.99999999151250396</v>
      </c>
    </row>
    <row r="1678" spans="1:40" x14ac:dyDescent="0.25">
      <c r="A1678" t="str">
        <f>"20190312164505905"</f>
        <v>20190312164505905</v>
      </c>
      <c r="B1678" t="str">
        <f>"1552380305903784"</f>
        <v>1552380305903784</v>
      </c>
      <c r="C1678" t="s">
        <v>40</v>
      </c>
      <c r="D1678">
        <v>4.649152</v>
      </c>
      <c r="E1678">
        <v>0.52349209999999902</v>
      </c>
      <c r="F1678" t="s">
        <v>41</v>
      </c>
      <c r="G1678">
        <v>-349.64510000000001</v>
      </c>
      <c r="H1678">
        <v>1.0484169999999999</v>
      </c>
      <c r="I1678">
        <v>284.32780000000002</v>
      </c>
      <c r="J1678">
        <v>-348.84449999999998</v>
      </c>
      <c r="K1678">
        <v>1.1075520000000001</v>
      </c>
      <c r="L1678">
        <v>284.25240000000002</v>
      </c>
      <c r="M1678">
        <v>-0.99993460000000001</v>
      </c>
      <c r="N1678">
        <v>0</v>
      </c>
      <c r="O1678">
        <v>7.0916070000000004E-4</v>
      </c>
      <c r="P1678">
        <v>-0.9884368</v>
      </c>
      <c r="Q1678">
        <v>0.15024119999999999</v>
      </c>
      <c r="R1678">
        <v>2.0508180000000001E-2</v>
      </c>
      <c r="S1678">
        <v>-3.0553590000000002</v>
      </c>
      <c r="T1678">
        <v>-0.1616803</v>
      </c>
      <c r="U1678">
        <v>0.20587159999999999</v>
      </c>
      <c r="V1678">
        <v>1.9831999999999999E-2</v>
      </c>
      <c r="W1678">
        <v>0.16153190000000001</v>
      </c>
      <c r="X1678">
        <v>0.9866682</v>
      </c>
      <c r="Y1678">
        <v>6.6428909999999994E-2</v>
      </c>
      <c r="Z1678">
        <v>1.7169349999999999E-3</v>
      </c>
      <c r="AA1678">
        <v>0.9977897</v>
      </c>
      <c r="AB1678">
        <v>59</v>
      </c>
      <c r="AC1678">
        <v>-0.80060000000003095</v>
      </c>
      <c r="AD1678">
        <v>-5.9135000000000097E-2</v>
      </c>
      <c r="AE1678">
        <v>7.5400000000001896E-2</v>
      </c>
      <c r="AF1678">
        <v>7.4429686990579794E-2</v>
      </c>
      <c r="AG1678">
        <v>-5.9135000000000097E-2</v>
      </c>
      <c r="AH1678">
        <v>0.79634676593531595</v>
      </c>
      <c r="AI1678">
        <v>94.228505252924407</v>
      </c>
      <c r="AJ1678">
        <v>84.660424002244</v>
      </c>
      <c r="AK1678">
        <v>0.80200055994129604</v>
      </c>
      <c r="AL1678">
        <v>80.704175636066097</v>
      </c>
      <c r="AM1678">
        <v>88.848511675250705</v>
      </c>
      <c r="AN1678">
        <v>0.99999999991642496</v>
      </c>
    </row>
    <row r="1679" spans="1:40" x14ac:dyDescent="0.25">
      <c r="A1679" t="str">
        <f>"20190312164505918"</f>
        <v>20190312164505918</v>
      </c>
      <c r="B1679" t="str">
        <f>"1552380305913543"</f>
        <v>1552380305913543</v>
      </c>
      <c r="C1679" t="s">
        <v>40</v>
      </c>
      <c r="D1679">
        <v>4.8472549999999996</v>
      </c>
      <c r="E1679">
        <v>0.52359079999999902</v>
      </c>
      <c r="F1679" t="s">
        <v>47</v>
      </c>
      <c r="G1679">
        <v>-369.93880000000001</v>
      </c>
      <c r="H1679" s="1">
        <v>3.752176E-6</v>
      </c>
      <c r="I1679">
        <v>285.69069999999999</v>
      </c>
      <c r="J1679">
        <v>-349.16079999999999</v>
      </c>
      <c r="K1679">
        <v>1.1075520000000001</v>
      </c>
      <c r="L1679">
        <v>284.25259999999997</v>
      </c>
      <c r="M1679">
        <v>-0.99993319999999997</v>
      </c>
      <c r="N1679">
        <v>0</v>
      </c>
      <c r="O1679">
        <v>7.5396169999999995E-4</v>
      </c>
      <c r="P1679">
        <v>-0.98836550000000001</v>
      </c>
      <c r="Q1679">
        <v>0.15063550000000001</v>
      </c>
      <c r="R1679">
        <v>2.1043679999999999E-2</v>
      </c>
      <c r="S1679">
        <v>-3.0551149999999998</v>
      </c>
      <c r="T1679">
        <v>-0.160407299999999</v>
      </c>
      <c r="U1679">
        <v>0.208313</v>
      </c>
      <c r="V1679">
        <v>2.0327890000000001E-2</v>
      </c>
      <c r="W1679">
        <v>0.162018</v>
      </c>
      <c r="X1679">
        <v>0.98657839999999997</v>
      </c>
      <c r="Y1679">
        <v>6.7183679999999996E-2</v>
      </c>
      <c r="Z1679">
        <v>1.720954E-3</v>
      </c>
      <c r="AA1679">
        <v>0.99773909999999999</v>
      </c>
      <c r="AB1679">
        <v>59</v>
      </c>
      <c r="AC1679">
        <v>-20.777999999999999</v>
      </c>
      <c r="AD1679">
        <v>-1.107548247824</v>
      </c>
      <c r="AE1679">
        <v>1.4381000000000199</v>
      </c>
      <c r="AF1679">
        <v>1.4184217783231099</v>
      </c>
      <c r="AG1679">
        <v>-1.107548247824</v>
      </c>
      <c r="AH1679">
        <v>20.720485902890498</v>
      </c>
      <c r="AI1679">
        <v>93.052523273461503</v>
      </c>
      <c r="AJ1679">
        <v>86.083924287444205</v>
      </c>
      <c r="AK1679">
        <v>20.798488394937799</v>
      </c>
      <c r="AL1679">
        <v>80.675952367912302</v>
      </c>
      <c r="AM1679">
        <v>88.819619886856898</v>
      </c>
      <c r="AN1679">
        <v>0.99999999739120604</v>
      </c>
    </row>
    <row r="1680" spans="1:40" x14ac:dyDescent="0.25">
      <c r="A1680" t="str">
        <f>"20190312164505936"</f>
        <v>20190312164505936</v>
      </c>
      <c r="B1680" t="str">
        <f>"1552380305933063"</f>
        <v>1552380305933063</v>
      </c>
      <c r="C1680" t="s">
        <v>40</v>
      </c>
      <c r="D1680">
        <v>4.922174</v>
      </c>
      <c r="E1680">
        <v>0.5235052</v>
      </c>
      <c r="F1680" t="s">
        <v>41</v>
      </c>
      <c r="G1680">
        <v>-350.18799999999999</v>
      </c>
      <c r="H1680">
        <v>1.054241</v>
      </c>
      <c r="I1680">
        <v>284.32369999999997</v>
      </c>
      <c r="J1680">
        <v>-349.65320000000003</v>
      </c>
      <c r="K1680">
        <v>1.107558</v>
      </c>
      <c r="L1680">
        <v>284.25299999999999</v>
      </c>
      <c r="M1680">
        <v>-0.99993149999999997</v>
      </c>
      <c r="N1680">
        <v>0</v>
      </c>
      <c r="O1680">
        <v>8.3172230000000001E-4</v>
      </c>
      <c r="P1680">
        <v>-0.98829560000000005</v>
      </c>
      <c r="Q1680">
        <v>0.15108729999999901</v>
      </c>
      <c r="R1680">
        <v>2.1093500000000001E-2</v>
      </c>
      <c r="S1680">
        <v>-3.0550229999999998</v>
      </c>
      <c r="T1680">
        <v>-0.15875790000000001</v>
      </c>
      <c r="U1680">
        <v>0.21072389999999999</v>
      </c>
      <c r="V1680">
        <v>2.030877E-2</v>
      </c>
      <c r="W1680">
        <v>0.1626108</v>
      </c>
      <c r="X1680">
        <v>0.98648119999999995</v>
      </c>
      <c r="Y1680">
        <v>6.7892830000000001E-2</v>
      </c>
      <c r="Z1680">
        <v>1.7176450000000001E-3</v>
      </c>
      <c r="AA1680">
        <v>0.9976912</v>
      </c>
      <c r="AB1680">
        <v>59</v>
      </c>
      <c r="AC1680">
        <v>-0.53480000000001804</v>
      </c>
      <c r="AD1680">
        <v>-5.3317000000000003E-2</v>
      </c>
      <c r="AE1680">
        <v>7.0699999999987995E-2</v>
      </c>
      <c r="AF1680">
        <v>6.9575497653694002E-2</v>
      </c>
      <c r="AG1680">
        <v>-5.3317000000000003E-2</v>
      </c>
      <c r="AH1680">
        <v>0.52968444316374896</v>
      </c>
      <c r="AI1680">
        <v>95.699290767503797</v>
      </c>
      <c r="AJ1680">
        <v>82.516883452382601</v>
      </c>
      <c r="AK1680">
        <v>0.53688831398387704</v>
      </c>
      <c r="AL1680">
        <v>80.641530411118197</v>
      </c>
      <c r="AM1680">
        <v>88.820613651645402</v>
      </c>
      <c r="AN1680">
        <v>0.99999993818449395</v>
      </c>
    </row>
    <row r="1681" spans="1:40" x14ac:dyDescent="0.25">
      <c r="A1681" t="str">
        <f>"20190312164505948"</f>
        <v>20190312164505948</v>
      </c>
      <c r="B1681" t="str">
        <f>"1552380305943799"</f>
        <v>1552380305943799</v>
      </c>
      <c r="C1681" t="s">
        <v>40</v>
      </c>
      <c r="D1681">
        <v>4.6653769999999897</v>
      </c>
      <c r="E1681">
        <v>0.52356420000000004</v>
      </c>
      <c r="F1681" t="s">
        <v>41</v>
      </c>
      <c r="G1681">
        <v>-350.7133</v>
      </c>
      <c r="H1681">
        <v>1.052794</v>
      </c>
      <c r="I1681">
        <v>284.32619999999997</v>
      </c>
      <c r="J1681">
        <v>-349.98009999999999</v>
      </c>
      <c r="K1681">
        <v>1.107553</v>
      </c>
      <c r="L1681">
        <v>284.25330000000002</v>
      </c>
      <c r="M1681">
        <v>-0.9999304</v>
      </c>
      <c r="N1681">
        <v>0</v>
      </c>
      <c r="O1681">
        <v>8.8936810000000001E-4</v>
      </c>
      <c r="P1681">
        <v>-0.98830430000000002</v>
      </c>
      <c r="Q1681">
        <v>0.15102019999999999</v>
      </c>
      <c r="R1681">
        <v>2.1161079999999999E-2</v>
      </c>
      <c r="S1681">
        <v>-3.0552060000000001</v>
      </c>
      <c r="T1681">
        <v>-0.15796640000000001</v>
      </c>
      <c r="U1681">
        <v>0.2103882</v>
      </c>
      <c r="V1681">
        <v>2.032492E-2</v>
      </c>
      <c r="W1681">
        <v>0.16263620000000001</v>
      </c>
      <c r="X1681">
        <v>0.98647669999999998</v>
      </c>
      <c r="Y1681">
        <v>6.7723279999999997E-2</v>
      </c>
      <c r="Z1681">
        <v>1.7016469999999999E-3</v>
      </c>
      <c r="AA1681">
        <v>0.99770270000000005</v>
      </c>
      <c r="AB1681">
        <v>60</v>
      </c>
      <c r="AC1681">
        <v>-0.73320000000000995</v>
      </c>
      <c r="AD1681">
        <v>-5.4759000000000002E-2</v>
      </c>
      <c r="AE1681">
        <v>7.2899999999947299E-2</v>
      </c>
      <c r="AF1681">
        <v>7.1850991129959005E-2</v>
      </c>
      <c r="AG1681">
        <v>-5.4759000000000002E-2</v>
      </c>
      <c r="AH1681">
        <v>0.72923680009964698</v>
      </c>
      <c r="AI1681">
        <v>94.273711430186907</v>
      </c>
      <c r="AJ1681">
        <v>84.372865138459701</v>
      </c>
      <c r="AK1681">
        <v>0.73481114827343896</v>
      </c>
      <c r="AL1681">
        <v>80.640055649112199</v>
      </c>
      <c r="AM1681">
        <v>88.819670659023103</v>
      </c>
      <c r="AN1681">
        <v>0.99999995778316697</v>
      </c>
    </row>
    <row r="1682" spans="1:40" x14ac:dyDescent="0.25">
      <c r="A1682" t="str">
        <f>"20190312164505961"</f>
        <v>20190312164505961</v>
      </c>
      <c r="B1682" t="str">
        <f>"1552380305953559"</f>
        <v>1552380305953559</v>
      </c>
      <c r="C1682" t="s">
        <v>40</v>
      </c>
      <c r="D1682">
        <v>4.8251400000000002</v>
      </c>
      <c r="E1682">
        <v>0.52354469999999997</v>
      </c>
      <c r="F1682" t="s">
        <v>41</v>
      </c>
      <c r="G1682">
        <v>-351.23700000000002</v>
      </c>
      <c r="H1682">
        <v>1.042392</v>
      </c>
      <c r="I1682">
        <v>284.34019999999998</v>
      </c>
      <c r="J1682">
        <v>-350.31650000000002</v>
      </c>
      <c r="K1682">
        <v>1.1075440000000001</v>
      </c>
      <c r="L1682">
        <v>284.25360000000001</v>
      </c>
      <c r="M1682">
        <v>-0.99992919999999996</v>
      </c>
      <c r="N1682">
        <v>0</v>
      </c>
      <c r="O1682">
        <v>9.620195E-4</v>
      </c>
      <c r="P1682">
        <v>-0.98827759999999998</v>
      </c>
      <c r="Q1682">
        <v>0.15118889999999999</v>
      </c>
      <c r="R1682">
        <v>2.1201770000000002E-2</v>
      </c>
      <c r="S1682">
        <v>-3.0552060000000001</v>
      </c>
      <c r="T1682">
        <v>-0.15841830000000001</v>
      </c>
      <c r="U1682">
        <v>0.21099850000000001</v>
      </c>
      <c r="V1682">
        <v>2.0300559999999999E-2</v>
      </c>
      <c r="W1682">
        <v>0.16289589999999901</v>
      </c>
      <c r="X1682">
        <v>0.98643440000000004</v>
      </c>
      <c r="Y1682">
        <v>6.784859E-2</v>
      </c>
      <c r="Z1682">
        <v>1.705979E-3</v>
      </c>
      <c r="AA1682">
        <v>0.99769419999999998</v>
      </c>
      <c r="AB1682">
        <v>60</v>
      </c>
      <c r="AC1682">
        <v>-0.92049999999994703</v>
      </c>
      <c r="AD1682">
        <v>-6.5152000000000099E-2</v>
      </c>
      <c r="AE1682">
        <v>8.6599999999975794E-2</v>
      </c>
      <c r="AF1682">
        <v>8.5290829571719101E-2</v>
      </c>
      <c r="AG1682">
        <v>-6.5152000000000099E-2</v>
      </c>
      <c r="AH1682">
        <v>0.916034135343474</v>
      </c>
      <c r="AI1682">
        <v>94.050791531213903</v>
      </c>
      <c r="AJ1682">
        <v>84.680595687348799</v>
      </c>
      <c r="AK1682">
        <v>0.92230030132679597</v>
      </c>
      <c r="AL1682">
        <v>80.624975285428206</v>
      </c>
      <c r="AM1682">
        <v>88.821034378495298</v>
      </c>
      <c r="AN1682">
        <v>1.0000000062382399</v>
      </c>
    </row>
    <row r="1683" spans="1:40" x14ac:dyDescent="0.25">
      <c r="A1683" t="str">
        <f>"20190312164505983"</f>
        <v>20190312164505983</v>
      </c>
      <c r="B1683" t="str">
        <f>"1552380305973079"</f>
        <v>1552380305973079</v>
      </c>
      <c r="C1683" t="s">
        <v>40</v>
      </c>
      <c r="D1683">
        <v>4.7157030000000004</v>
      </c>
      <c r="E1683">
        <v>0.5235957</v>
      </c>
      <c r="F1683" t="s">
        <v>47</v>
      </c>
      <c r="G1683">
        <v>-371.7124</v>
      </c>
      <c r="H1683" s="1">
        <v>-6.2552870000000001E-7</v>
      </c>
      <c r="I1683">
        <v>285.73340000000002</v>
      </c>
      <c r="J1683">
        <v>-350.88010000000003</v>
      </c>
      <c r="K1683">
        <v>1.107529</v>
      </c>
      <c r="L1683">
        <v>284.25420000000003</v>
      </c>
      <c r="M1683">
        <v>-0.99992729999999996</v>
      </c>
      <c r="N1683">
        <v>0</v>
      </c>
      <c r="O1683">
        <v>1.102975E-3</v>
      </c>
      <c r="P1683">
        <v>-0.98824020000000001</v>
      </c>
      <c r="Q1683">
        <v>0.15146560000000001</v>
      </c>
      <c r="R1683">
        <v>2.097752E-2</v>
      </c>
      <c r="S1683">
        <v>-3.055237</v>
      </c>
      <c r="T1683">
        <v>-0.15815219999999999</v>
      </c>
      <c r="U1683">
        <v>0.21130370000000001</v>
      </c>
      <c r="V1683">
        <v>1.9950289999999999E-2</v>
      </c>
      <c r="W1683">
        <v>0.16332169999999999</v>
      </c>
      <c r="X1683">
        <v>0.9863712</v>
      </c>
      <c r="Y1683">
        <v>6.7806989999999998E-2</v>
      </c>
      <c r="Z1683">
        <v>1.694737E-3</v>
      </c>
      <c r="AA1683">
        <v>0.99769699999999994</v>
      </c>
      <c r="AB1683">
        <v>60</v>
      </c>
      <c r="AC1683">
        <v>-20.832299999999901</v>
      </c>
      <c r="AD1683">
        <v>-1.1075296255286999</v>
      </c>
      <c r="AE1683">
        <v>1.4791999999999901</v>
      </c>
      <c r="AF1683">
        <v>1.45213618394249</v>
      </c>
      <c r="AG1683">
        <v>-1.1075296255286999</v>
      </c>
      <c r="AH1683">
        <v>20.775493319840301</v>
      </c>
      <c r="AI1683">
        <v>93.044103658200697</v>
      </c>
      <c r="AJ1683">
        <v>86.001723043206198</v>
      </c>
      <c r="AK1683">
        <v>20.855609414516501</v>
      </c>
      <c r="AL1683">
        <v>80.600248176940696</v>
      </c>
      <c r="AM1683">
        <v>88.841296680946101</v>
      </c>
      <c r="AN1683">
        <v>1.0000000679757</v>
      </c>
    </row>
    <row r="1684" spans="1:40" x14ac:dyDescent="0.25">
      <c r="A1684" t="str">
        <f>"20190312164506005"</f>
        <v>20190312164506005</v>
      </c>
      <c r="B1684" t="str">
        <f>"1552380305993574"</f>
        <v>1552380305993574</v>
      </c>
      <c r="C1684" t="s">
        <v>40</v>
      </c>
      <c r="D1684">
        <v>4.8650589999999996</v>
      </c>
      <c r="E1684">
        <v>0.52357979999999904</v>
      </c>
      <c r="F1684" t="s">
        <v>47</v>
      </c>
      <c r="G1684">
        <v>-372.29750000000001</v>
      </c>
      <c r="H1684" s="1">
        <v>-3.1418010000000002E-7</v>
      </c>
      <c r="I1684">
        <v>285.73599999999999</v>
      </c>
      <c r="J1684">
        <v>-351.4572</v>
      </c>
      <c r="K1684">
        <v>1.1074980000000001</v>
      </c>
      <c r="L1684">
        <v>284.25490000000002</v>
      </c>
      <c r="M1684">
        <v>-0.99992519999999996</v>
      </c>
      <c r="N1684">
        <v>0</v>
      </c>
      <c r="O1684">
        <v>1.2890239999999999E-3</v>
      </c>
      <c r="P1684">
        <v>-0.98819360000000001</v>
      </c>
      <c r="Q1684">
        <v>0.15176990000000001</v>
      </c>
      <c r="R1684">
        <v>2.096363E-2</v>
      </c>
      <c r="S1684">
        <v>-3.0554199999999998</v>
      </c>
      <c r="T1684">
        <v>-0.1580009</v>
      </c>
      <c r="U1684">
        <v>0.21139530000000001</v>
      </c>
      <c r="V1684">
        <v>1.976988E-2</v>
      </c>
      <c r="W1684">
        <v>0.16377229999999901</v>
      </c>
      <c r="X1684">
        <v>0.98630010000000001</v>
      </c>
      <c r="Y1684">
        <v>6.764763E-2</v>
      </c>
      <c r="Z1684">
        <v>1.679299E-3</v>
      </c>
      <c r="AA1684">
        <v>0.99770780000000003</v>
      </c>
      <c r="AB1684">
        <v>59</v>
      </c>
      <c r="AC1684">
        <v>-20.840299999999999</v>
      </c>
      <c r="AD1684">
        <v>-1.10749831418009</v>
      </c>
      <c r="AE1684">
        <v>1.4810999999999599</v>
      </c>
      <c r="AF1684">
        <v>1.4501583415658399</v>
      </c>
      <c r="AG1684">
        <v>-1.10749831418009</v>
      </c>
      <c r="AH1684">
        <v>20.7837917114513</v>
      </c>
      <c r="AI1684">
        <v>93.042830627757994</v>
      </c>
      <c r="AJ1684">
        <v>86.008740241101805</v>
      </c>
      <c r="AK1684">
        <v>20.863736713170901</v>
      </c>
      <c r="AL1684">
        <v>80.574078174515407</v>
      </c>
      <c r="AM1684">
        <v>88.851689238764607</v>
      </c>
      <c r="AN1684">
        <v>1.0000000508312501</v>
      </c>
    </row>
    <row r="1685" spans="1:40" x14ac:dyDescent="0.25">
      <c r="A1685" t="str">
        <f>"20190312164506020"</f>
        <v>20190312164506020</v>
      </c>
      <c r="B1685" t="str">
        <f>"1552380306014071"</f>
        <v>1552380306014071</v>
      </c>
      <c r="C1685" t="s">
        <v>40</v>
      </c>
      <c r="D1685">
        <v>5.0016089999999904</v>
      </c>
      <c r="E1685">
        <v>0.52376389999999995</v>
      </c>
      <c r="F1685" t="s">
        <v>47</v>
      </c>
      <c r="G1685">
        <v>-372.90449999999998</v>
      </c>
      <c r="H1685" s="1">
        <v>8.8356270000000007E-9</v>
      </c>
      <c r="I1685">
        <v>285.7396</v>
      </c>
      <c r="J1685">
        <v>-351.8691</v>
      </c>
      <c r="K1685">
        <v>1.1074710000000001</v>
      </c>
      <c r="L1685">
        <v>284.25560000000002</v>
      </c>
      <c r="M1685">
        <v>-0.99992369999999997</v>
      </c>
      <c r="N1685">
        <v>0</v>
      </c>
      <c r="O1685">
        <v>1.4577570000000001E-3</v>
      </c>
      <c r="P1685">
        <v>-0.98820750000000002</v>
      </c>
      <c r="Q1685">
        <v>0.15168879999999901</v>
      </c>
      <c r="R1685">
        <v>2.0892830000000001E-2</v>
      </c>
      <c r="S1685">
        <v>-3.055634</v>
      </c>
      <c r="T1685">
        <v>-0.15778710000000001</v>
      </c>
      <c r="U1685">
        <v>0.21151729999999999</v>
      </c>
      <c r="V1685">
        <v>1.954765E-2</v>
      </c>
      <c r="W1685">
        <v>0.16379299999999999</v>
      </c>
      <c r="X1685">
        <v>0.98630099999999998</v>
      </c>
      <c r="Y1685">
        <v>6.75148E-2</v>
      </c>
      <c r="Z1685">
        <v>1.6647890000000001E-3</v>
      </c>
      <c r="AA1685">
        <v>0.99771690000000002</v>
      </c>
      <c r="AB1685">
        <v>59</v>
      </c>
      <c r="AC1685">
        <v>-21.0353999999999</v>
      </c>
      <c r="AD1685">
        <v>-1.1074709911643701</v>
      </c>
      <c r="AE1685">
        <v>1.48399999999998</v>
      </c>
      <c r="AF1685">
        <v>1.44933423253481</v>
      </c>
      <c r="AG1685">
        <v>-1.1074709911643701</v>
      </c>
      <c r="AH1685">
        <v>20.979677465395199</v>
      </c>
      <c r="AI1685">
        <v>93.014541955912406</v>
      </c>
      <c r="AJ1685">
        <v>86.048127539508201</v>
      </c>
      <c r="AK1685">
        <v>21.058820676046398</v>
      </c>
      <c r="AL1685">
        <v>80.572875053444605</v>
      </c>
      <c r="AM1685">
        <v>88.8645948505132</v>
      </c>
      <c r="AN1685">
        <v>0.99999996003526004</v>
      </c>
    </row>
    <row r="1686" spans="1:40" x14ac:dyDescent="0.25">
      <c r="A1686" t="str">
        <f>"20190312164506038"</f>
        <v>20190312164506038</v>
      </c>
      <c r="B1686" t="str">
        <f>"1552380306033591"</f>
        <v>1552380306033591</v>
      </c>
      <c r="C1686" t="s">
        <v>40</v>
      </c>
      <c r="D1686">
        <v>4.94794</v>
      </c>
      <c r="E1686">
        <v>0.52397159999999998</v>
      </c>
      <c r="F1686" t="s">
        <v>47</v>
      </c>
      <c r="G1686">
        <v>-373.30549999999999</v>
      </c>
      <c r="H1686" s="1">
        <v>2.2221789999999999E-7</v>
      </c>
      <c r="I1686">
        <v>285.74979999999999</v>
      </c>
      <c r="J1686">
        <v>-352.34370000000001</v>
      </c>
      <c r="K1686">
        <v>1.1074349999999999</v>
      </c>
      <c r="L1686">
        <v>284.25639999999999</v>
      </c>
      <c r="M1686">
        <v>-0.99992190000000003</v>
      </c>
      <c r="N1686">
        <v>0</v>
      </c>
      <c r="O1686">
        <v>1.69042E-3</v>
      </c>
      <c r="P1686">
        <v>-0.98817880000000002</v>
      </c>
      <c r="Q1686">
        <v>0.1519382</v>
      </c>
      <c r="R1686">
        <v>2.0436180000000002E-2</v>
      </c>
      <c r="S1686">
        <v>-3.0554809999999999</v>
      </c>
      <c r="T1686">
        <v>-0.15785560000000001</v>
      </c>
      <c r="U1686">
        <v>0.21298220000000001</v>
      </c>
      <c r="V1686">
        <v>1.8882059999999999E-2</v>
      </c>
      <c r="W1686">
        <v>0.16415759999999999</v>
      </c>
      <c r="X1686">
        <v>0.98625339999999995</v>
      </c>
      <c r="Y1686">
        <v>6.7761989999999994E-2</v>
      </c>
      <c r="Z1686">
        <v>1.6599410000000001E-3</v>
      </c>
      <c r="AA1686">
        <v>0.99770020000000004</v>
      </c>
      <c r="AB1686">
        <v>59</v>
      </c>
      <c r="AC1686">
        <v>-20.961799999999901</v>
      </c>
      <c r="AD1686">
        <v>-1.1074347777821001</v>
      </c>
      <c r="AE1686">
        <v>1.4934000000000001</v>
      </c>
      <c r="AF1686">
        <v>1.4539233159329099</v>
      </c>
      <c r="AG1686">
        <v>-1.1074347777821001</v>
      </c>
      <c r="AH1686">
        <v>20.9062374869163</v>
      </c>
      <c r="AI1686">
        <v>93.024916883741497</v>
      </c>
      <c r="AJ1686">
        <v>86.021772987250102</v>
      </c>
      <c r="AK1686">
        <v>20.985973188179699</v>
      </c>
      <c r="AL1686">
        <v>80.551698843997301</v>
      </c>
      <c r="AM1686">
        <v>88.903192431550593</v>
      </c>
      <c r="AN1686">
        <v>1.00000000941958</v>
      </c>
    </row>
    <row r="1687" spans="1:40" x14ac:dyDescent="0.25">
      <c r="A1687" t="str">
        <f>"20190312164506050"</f>
        <v>20190312164506050</v>
      </c>
      <c r="B1687" t="str">
        <f>"1552380306043351"</f>
        <v>1552380306043351</v>
      </c>
      <c r="C1687" t="s">
        <v>40</v>
      </c>
      <c r="D1687">
        <v>4.8663369999999997</v>
      </c>
      <c r="E1687">
        <v>0.52408459999999901</v>
      </c>
      <c r="F1687" t="s">
        <v>47</v>
      </c>
      <c r="G1687">
        <v>-374.00650000000002</v>
      </c>
      <c r="H1687" s="1">
        <v>5.9525359999999997E-7</v>
      </c>
      <c r="I1687">
        <v>285.77330000000001</v>
      </c>
      <c r="J1687">
        <v>-352.6825</v>
      </c>
      <c r="K1687">
        <v>1.1074029999999999</v>
      </c>
      <c r="L1687">
        <v>284.25700000000001</v>
      </c>
      <c r="M1687">
        <v>-0.99992049999999999</v>
      </c>
      <c r="N1687">
        <v>0</v>
      </c>
      <c r="O1687">
        <v>1.8801530000000001E-3</v>
      </c>
      <c r="P1687">
        <v>-0.98816320000000002</v>
      </c>
      <c r="Q1687">
        <v>0.15204979999999901</v>
      </c>
      <c r="R1687">
        <v>2.0358660000000001E-2</v>
      </c>
      <c r="S1687">
        <v>-3.0554809999999999</v>
      </c>
      <c r="T1687">
        <v>-0.1562009</v>
      </c>
      <c r="U1687">
        <v>0.2139587</v>
      </c>
      <c r="V1687">
        <v>1.8633139999999999E-2</v>
      </c>
      <c r="W1687">
        <v>0.16435050000000001</v>
      </c>
      <c r="X1687">
        <v>0.98622600000000005</v>
      </c>
      <c r="Y1687">
        <v>6.7891900000000005E-2</v>
      </c>
      <c r="Z1687">
        <v>1.6361780000000001E-3</v>
      </c>
      <c r="AA1687">
        <v>0.99769129999999995</v>
      </c>
      <c r="AB1687">
        <v>59</v>
      </c>
      <c r="AC1687">
        <v>-21.324000000000002</v>
      </c>
      <c r="AD1687">
        <v>-1.1074024047463999</v>
      </c>
      <c r="AE1687">
        <v>1.5163</v>
      </c>
      <c r="AF1687">
        <v>1.47225120165363</v>
      </c>
      <c r="AG1687">
        <v>-1.1074024047463999</v>
      </c>
      <c r="AH1687">
        <v>21.269738478556398</v>
      </c>
      <c r="AI1687">
        <v>92.973294673376401</v>
      </c>
      <c r="AJ1687">
        <v>86.040409752114797</v>
      </c>
      <c r="AK1687">
        <v>21.349370918905102</v>
      </c>
      <c r="AL1687">
        <v>80.540494237367298</v>
      </c>
      <c r="AM1687">
        <v>88.917617992041301</v>
      </c>
      <c r="AN1687">
        <v>1.00000000191625</v>
      </c>
    </row>
    <row r="1688" spans="1:40" x14ac:dyDescent="0.25">
      <c r="A1688" t="str">
        <f>"20190312164506074"</f>
        <v>20190312164506074</v>
      </c>
      <c r="B1688" t="str">
        <f>"1552380306062871"</f>
        <v>1552380306062871</v>
      </c>
      <c r="C1688" t="s">
        <v>40</v>
      </c>
      <c r="D1688">
        <v>4.7341059999999997</v>
      </c>
      <c r="E1688">
        <v>0.52419479999999996</v>
      </c>
      <c r="F1688" t="s">
        <v>41</v>
      </c>
      <c r="G1688">
        <v>-353.89980000000003</v>
      </c>
      <c r="H1688">
        <v>1.045509</v>
      </c>
      <c r="I1688">
        <v>284.34309999999999</v>
      </c>
      <c r="J1688">
        <v>-353.31689999999998</v>
      </c>
      <c r="K1688">
        <v>1.1073390000000001</v>
      </c>
      <c r="L1688">
        <v>284.25850000000003</v>
      </c>
      <c r="M1688">
        <v>-0.99991759999999996</v>
      </c>
      <c r="N1688">
        <v>0</v>
      </c>
      <c r="O1688">
        <v>2.3198250000000002E-3</v>
      </c>
      <c r="P1688">
        <v>-0.98815319999999995</v>
      </c>
      <c r="Q1688">
        <v>0.15219949999999999</v>
      </c>
      <c r="R1688">
        <v>1.9716230000000001E-2</v>
      </c>
      <c r="S1688">
        <v>-3.0553889999999999</v>
      </c>
      <c r="T1688">
        <v>-0.1554661</v>
      </c>
      <c r="U1688">
        <v>0.21505740000000001</v>
      </c>
      <c r="V1688">
        <v>1.758962E-2</v>
      </c>
      <c r="W1688">
        <v>0.1646463</v>
      </c>
      <c r="X1688">
        <v>0.98619579999999996</v>
      </c>
      <c r="Y1688">
        <v>6.7813760000000001E-2</v>
      </c>
      <c r="Z1688">
        <v>1.6042039999999999E-3</v>
      </c>
      <c r="AA1688">
        <v>0.99769669999999999</v>
      </c>
      <c r="AB1688">
        <v>59</v>
      </c>
      <c r="AC1688">
        <v>-0.58290000000005104</v>
      </c>
      <c r="AD1688">
        <v>-6.1829999999999802E-2</v>
      </c>
      <c r="AE1688">
        <v>8.4599999999966202E-2</v>
      </c>
      <c r="AF1688">
        <v>8.2340101635350896E-2</v>
      </c>
      <c r="AG1688">
        <v>-6.1829999999999802E-2</v>
      </c>
      <c r="AH1688">
        <v>0.57673939336299695</v>
      </c>
      <c r="AI1688">
        <v>96.058122289618694</v>
      </c>
      <c r="AJ1688">
        <v>81.874886329130703</v>
      </c>
      <c r="AK1688">
        <v>0.58585934241423299</v>
      </c>
      <c r="AL1688">
        <v>80.523311844619897</v>
      </c>
      <c r="AM1688">
        <v>88.978190596201301</v>
      </c>
      <c r="AN1688">
        <v>0.99999997738653601</v>
      </c>
    </row>
    <row r="1689" spans="1:40" x14ac:dyDescent="0.25">
      <c r="A1689" t="str">
        <f>"20190312164506087"</f>
        <v>20190312164506087</v>
      </c>
      <c r="B1689" t="str">
        <f>"1552380306083367"</f>
        <v>1552380306083367</v>
      </c>
      <c r="C1689" t="s">
        <v>40</v>
      </c>
      <c r="D1689">
        <v>5.1342230000000004</v>
      </c>
      <c r="E1689">
        <v>0.52440149999999996</v>
      </c>
      <c r="F1689" t="s">
        <v>41</v>
      </c>
      <c r="G1689">
        <v>-354.43599999999998</v>
      </c>
      <c r="H1689">
        <v>1.050678</v>
      </c>
      <c r="I1689">
        <v>284.3372</v>
      </c>
      <c r="J1689">
        <v>-353.65159999999997</v>
      </c>
      <c r="K1689">
        <v>1.1073</v>
      </c>
      <c r="L1689">
        <v>284.25940000000003</v>
      </c>
      <c r="M1689">
        <v>-0.99991600000000003</v>
      </c>
      <c r="N1689">
        <v>0</v>
      </c>
      <c r="O1689">
        <v>2.5838189999999998E-3</v>
      </c>
      <c r="P1689">
        <v>-0.98816979999999999</v>
      </c>
      <c r="Q1689">
        <v>0.152110299999999</v>
      </c>
      <c r="R1689">
        <v>1.9578890000000002E-2</v>
      </c>
      <c r="S1689">
        <v>-3.05545</v>
      </c>
      <c r="T1689">
        <v>-0.15465319999999999</v>
      </c>
      <c r="U1689">
        <v>0.2146912</v>
      </c>
      <c r="V1689">
        <v>1.7209700000000001E-2</v>
      </c>
      <c r="W1689">
        <v>0.1646331</v>
      </c>
      <c r="X1689">
        <v>0.98620469999999905</v>
      </c>
      <c r="Y1689">
        <v>6.7431669999999999E-2</v>
      </c>
      <c r="Z1689">
        <v>1.5728129999999999E-3</v>
      </c>
      <c r="AA1689">
        <v>0.99772260000000002</v>
      </c>
      <c r="AB1689">
        <v>59</v>
      </c>
      <c r="AC1689">
        <v>-0.78440000000000498</v>
      </c>
      <c r="AD1689">
        <v>-5.6621999999999902E-2</v>
      </c>
      <c r="AE1689">
        <v>7.7799999999967895E-2</v>
      </c>
      <c r="AF1689">
        <v>7.5383853780563101E-2</v>
      </c>
      <c r="AG1689">
        <v>-5.6621999999999902E-2</v>
      </c>
      <c r="AH1689">
        <v>0.78057072873324596</v>
      </c>
      <c r="AI1689">
        <v>94.129777664814895</v>
      </c>
      <c r="AJ1689">
        <v>84.483749982752101</v>
      </c>
      <c r="AK1689">
        <v>0.78624388000795298</v>
      </c>
      <c r="AL1689">
        <v>80.524078549863006</v>
      </c>
      <c r="AM1689">
        <v>89.000265253463695</v>
      </c>
      <c r="AN1689">
        <v>0.99999997084589398</v>
      </c>
    </row>
    <row r="1690" spans="1:40" x14ac:dyDescent="0.25">
      <c r="A1690" t="str">
        <f>"20190312164506099"</f>
        <v>20190312164506099</v>
      </c>
      <c r="B1690" t="str">
        <f>"1552380306093127"</f>
        <v>1552380306093127</v>
      </c>
      <c r="C1690" t="s">
        <v>40</v>
      </c>
      <c r="D1690">
        <v>4.7590059999999896</v>
      </c>
      <c r="E1690">
        <v>0.5245071</v>
      </c>
      <c r="F1690" t="s">
        <v>47</v>
      </c>
      <c r="G1690">
        <v>-375.56729999999999</v>
      </c>
      <c r="H1690" s="1">
        <v>1.425847E-6</v>
      </c>
      <c r="I1690">
        <v>285.80849999999998</v>
      </c>
      <c r="J1690">
        <v>-353.99430000000001</v>
      </c>
      <c r="K1690">
        <v>1.1072569999999999</v>
      </c>
      <c r="L1690">
        <v>284.2604</v>
      </c>
      <c r="M1690">
        <v>-0.99991419999999998</v>
      </c>
      <c r="N1690">
        <v>0</v>
      </c>
      <c r="O1690">
        <v>2.8921559999999999E-3</v>
      </c>
      <c r="P1690">
        <v>-0.988147</v>
      </c>
      <c r="Q1690">
        <v>0.1522897</v>
      </c>
      <c r="R1690">
        <v>1.9326679999999999E-2</v>
      </c>
      <c r="S1690">
        <v>-3.0553889999999999</v>
      </c>
      <c r="T1690">
        <v>-0.15437500000000001</v>
      </c>
      <c r="U1690">
        <v>0.2159729</v>
      </c>
      <c r="V1690">
        <v>1.667308E-2</v>
      </c>
      <c r="W1690">
        <v>0.16488800000000001</v>
      </c>
      <c r="X1690">
        <v>0.98617140000000003</v>
      </c>
      <c r="Y1690">
        <v>6.7542430000000001E-2</v>
      </c>
      <c r="Z1690">
        <v>1.5572369999999999E-3</v>
      </c>
      <c r="AA1690">
        <v>0.99771520000000002</v>
      </c>
      <c r="AB1690">
        <v>59</v>
      </c>
      <c r="AC1690">
        <v>-21.572999999999901</v>
      </c>
      <c r="AD1690">
        <v>-1.1072555741529999</v>
      </c>
      <c r="AE1690">
        <v>1.5480999999999701</v>
      </c>
      <c r="AF1690">
        <v>1.4818123265027501</v>
      </c>
      <c r="AG1690">
        <v>-1.1072555741529999</v>
      </c>
      <c r="AH1690">
        <v>21.5209839713111</v>
      </c>
      <c r="AI1690">
        <v>92.938328683408798</v>
      </c>
      <c r="AJ1690">
        <v>86.061155827674895</v>
      </c>
      <c r="AK1690">
        <v>21.600336427261901</v>
      </c>
      <c r="AL1690">
        <v>80.509272131175194</v>
      </c>
      <c r="AM1690">
        <v>89.031399501573702</v>
      </c>
      <c r="AN1690">
        <v>1.0000000371593201</v>
      </c>
    </row>
    <row r="1691" spans="1:40" x14ac:dyDescent="0.25">
      <c r="A1691" t="str">
        <f>"20190312164506115"</f>
        <v>20190312164506115</v>
      </c>
      <c r="B1691" t="str">
        <f>"1552380306102887"</f>
        <v>1552380306102887</v>
      </c>
      <c r="C1691" t="s">
        <v>40</v>
      </c>
      <c r="D1691">
        <v>5.0727960000000003</v>
      </c>
      <c r="E1691">
        <v>0.52452619999999905</v>
      </c>
      <c r="F1691" t="s">
        <v>47</v>
      </c>
      <c r="G1691">
        <v>-376.02289999999999</v>
      </c>
      <c r="H1691" s="1">
        <v>1.6683099999999901E-6</v>
      </c>
      <c r="I1691">
        <v>285.8193</v>
      </c>
      <c r="J1691">
        <v>-354.40179999999998</v>
      </c>
      <c r="K1691">
        <v>1.107199</v>
      </c>
      <c r="L1691">
        <v>284.26179999999999</v>
      </c>
      <c r="M1691">
        <v>-0.99991180000000002</v>
      </c>
      <c r="N1691">
        <v>0</v>
      </c>
      <c r="O1691">
        <v>3.2885509999999998E-3</v>
      </c>
      <c r="P1691">
        <v>-0.98813720000000005</v>
      </c>
      <c r="Q1691">
        <v>0.1524307</v>
      </c>
      <c r="R1691">
        <v>1.871391E-2</v>
      </c>
      <c r="S1691">
        <v>-3.0554199999999998</v>
      </c>
      <c r="T1691">
        <v>-0.15357860000000001</v>
      </c>
      <c r="U1691">
        <v>0.21621699999999999</v>
      </c>
      <c r="V1691">
        <v>1.569388E-2</v>
      </c>
      <c r="W1691">
        <v>0.16511799999999999</v>
      </c>
      <c r="X1691">
        <v>0.98614900000000005</v>
      </c>
      <c r="Y1691">
        <v>6.7227250000000002E-2</v>
      </c>
      <c r="Z1691">
        <v>1.5214009999999999E-3</v>
      </c>
      <c r="AA1691">
        <v>0.99773650000000003</v>
      </c>
      <c r="AB1691">
        <v>59</v>
      </c>
      <c r="AC1691">
        <v>-21.621099999999998</v>
      </c>
      <c r="AD1691">
        <v>-1.1071973316899999</v>
      </c>
      <c r="AE1691">
        <v>1.5575000000000001</v>
      </c>
      <c r="AF1691">
        <v>1.4825159594353301</v>
      </c>
      <c r="AG1691">
        <v>-1.1071973316899999</v>
      </c>
      <c r="AH1691">
        <v>21.569833266997001</v>
      </c>
      <c r="AI1691">
        <v>92.931556627721406</v>
      </c>
      <c r="AJ1691">
        <v>86.068187890932904</v>
      </c>
      <c r="AK1691">
        <v>21.649051865320398</v>
      </c>
      <c r="AL1691">
        <v>80.495911094412094</v>
      </c>
      <c r="AM1691">
        <v>89.088254220945402</v>
      </c>
      <c r="AN1691">
        <v>1.00000005099722</v>
      </c>
    </row>
    <row r="1692" spans="1:40" x14ac:dyDescent="0.25">
      <c r="A1692" t="str">
        <f>"20190312164506127"</f>
        <v>20190312164506127</v>
      </c>
      <c r="B1692" t="str">
        <f>"1552380306123383"</f>
        <v>1552380306123383</v>
      </c>
      <c r="C1692" t="s">
        <v>40</v>
      </c>
      <c r="D1692">
        <v>5.0675379999999999</v>
      </c>
      <c r="E1692">
        <v>0.5051966</v>
      </c>
      <c r="F1692" t="s">
        <v>41</v>
      </c>
      <c r="G1692">
        <v>-355.50110000000001</v>
      </c>
      <c r="H1692">
        <v>1.0522750000000001</v>
      </c>
      <c r="I1692">
        <v>284.33909999999997</v>
      </c>
      <c r="J1692">
        <v>-354.73700000000002</v>
      </c>
      <c r="K1692">
        <v>1.1071530000000001</v>
      </c>
      <c r="L1692">
        <v>284.26299999999998</v>
      </c>
      <c r="M1692">
        <v>-0.99990950000000001</v>
      </c>
      <c r="N1692">
        <v>0</v>
      </c>
      <c r="O1692">
        <v>3.6405729999999998E-3</v>
      </c>
      <c r="P1692">
        <v>-0.98809849999999999</v>
      </c>
      <c r="Q1692">
        <v>0.15268389999999901</v>
      </c>
      <c r="R1692">
        <v>1.868618E-2</v>
      </c>
      <c r="S1692">
        <v>-3.0555110000000001</v>
      </c>
      <c r="T1692">
        <v>-0.15272259999999999</v>
      </c>
      <c r="U1692">
        <v>0.2145386</v>
      </c>
      <c r="V1692">
        <v>1.534028E-2</v>
      </c>
      <c r="W1692">
        <v>0.16544389999999901</v>
      </c>
      <c r="X1692">
        <v>0.98609990000000003</v>
      </c>
      <c r="Y1692">
        <v>6.6330929999999996E-2</v>
      </c>
      <c r="Z1692">
        <v>1.4729929999999999E-3</v>
      </c>
      <c r="AA1692">
        <v>0.99779660000000003</v>
      </c>
      <c r="AB1692">
        <v>59</v>
      </c>
      <c r="AC1692">
        <v>-0.76410000000004097</v>
      </c>
      <c r="AD1692">
        <v>-5.4877999999999899E-2</v>
      </c>
      <c r="AE1692">
        <v>7.6099999999996698E-2</v>
      </c>
      <c r="AF1692">
        <v>7.2944933150051794E-2</v>
      </c>
      <c r="AG1692">
        <v>-5.4877999999999899E-2</v>
      </c>
      <c r="AH1692">
        <v>0.76048780397591997</v>
      </c>
      <c r="AI1692">
        <v>94.108607511339102</v>
      </c>
      <c r="AJ1692">
        <v>84.521030304968306</v>
      </c>
      <c r="AK1692">
        <v>0.76594664184418404</v>
      </c>
      <c r="AL1692">
        <v>80.476977615816807</v>
      </c>
      <c r="AM1692">
        <v>89.108749114879899</v>
      </c>
      <c r="AN1692">
        <v>1.00000001050884</v>
      </c>
    </row>
    <row r="1693" spans="1:40" x14ac:dyDescent="0.25">
      <c r="A1693" t="str">
        <f>"20190312164506140"</f>
        <v>20190312164506140</v>
      </c>
      <c r="B1693" t="str">
        <f>"1552380306133143"</f>
        <v>1552380306133143</v>
      </c>
      <c r="C1693" t="s">
        <v>40</v>
      </c>
      <c r="D1693">
        <v>4.8991759999999998</v>
      </c>
      <c r="E1693">
        <v>0.50371750000000004</v>
      </c>
      <c r="F1693" t="s">
        <v>47</v>
      </c>
      <c r="G1693">
        <v>-374.18889999999999</v>
      </c>
      <c r="H1693" s="1">
        <v>6.9231819999999998E-7</v>
      </c>
      <c r="I1693">
        <v>284.63490000000002</v>
      </c>
      <c r="J1693">
        <v>-355.0754</v>
      </c>
      <c r="K1693">
        <v>1.1071070000000001</v>
      </c>
      <c r="L1693">
        <v>284.26440000000002</v>
      </c>
      <c r="M1693">
        <v>-0.99990710000000005</v>
      </c>
      <c r="N1693">
        <v>0</v>
      </c>
      <c r="O1693">
        <v>4.0329780000000004E-3</v>
      </c>
      <c r="P1693">
        <v>-0.98808280000000004</v>
      </c>
      <c r="Q1693">
        <v>0.15279870000000001</v>
      </c>
      <c r="R1693">
        <v>1.857499E-2</v>
      </c>
      <c r="S1693">
        <v>-3.0619809999999998</v>
      </c>
      <c r="T1693">
        <v>-0.1742802</v>
      </c>
      <c r="U1693">
        <v>5.8532710000000002E-2</v>
      </c>
      <c r="V1693">
        <v>1.486403E-2</v>
      </c>
      <c r="W1693">
        <v>0.165632</v>
      </c>
      <c r="X1693">
        <v>0.98607560000000005</v>
      </c>
      <c r="Y1693">
        <v>1.506189E-2</v>
      </c>
      <c r="Z1693">
        <v>1.988994E-4</v>
      </c>
      <c r="AA1693">
        <v>0.99988659999999996</v>
      </c>
      <c r="AB1693">
        <v>59</v>
      </c>
      <c r="AC1693">
        <v>-19.113499999999899</v>
      </c>
      <c r="AD1693">
        <v>-1.1071063076818</v>
      </c>
      <c r="AE1693">
        <v>0.370499999999992</v>
      </c>
      <c r="AF1693">
        <v>0.29242539511804599</v>
      </c>
      <c r="AG1693">
        <v>-1.1071063076818</v>
      </c>
      <c r="AH1693">
        <v>19.050946125092398</v>
      </c>
      <c r="AI1693">
        <v>93.325494193846595</v>
      </c>
      <c r="AJ1693">
        <v>89.1205987793454</v>
      </c>
      <c r="AK1693">
        <v>19.085328010002598</v>
      </c>
      <c r="AL1693">
        <v>80.466049349125498</v>
      </c>
      <c r="AM1693">
        <v>89.136393102363797</v>
      </c>
      <c r="AN1693">
        <v>0.99999999386359995</v>
      </c>
    </row>
    <row r="1694" spans="1:40" x14ac:dyDescent="0.25">
      <c r="A1694" t="str">
        <f>"20190312164506152"</f>
        <v>20190312164506152</v>
      </c>
      <c r="B1694" t="str">
        <f>"1552380306142902"</f>
        <v>1552380306142902</v>
      </c>
      <c r="C1694" t="s">
        <v>40</v>
      </c>
      <c r="D1694">
        <v>4.9526190000000003</v>
      </c>
      <c r="E1694">
        <v>0.50364609999999999</v>
      </c>
      <c r="F1694" t="s">
        <v>47</v>
      </c>
      <c r="G1694">
        <v>-374.99040000000002</v>
      </c>
      <c r="H1694" s="1">
        <v>1.1188500000000001E-6</v>
      </c>
      <c r="I1694">
        <v>284.56920000000002</v>
      </c>
      <c r="J1694">
        <v>-355.38740000000001</v>
      </c>
      <c r="K1694">
        <v>1.107065</v>
      </c>
      <c r="L1694">
        <v>284.26580000000001</v>
      </c>
      <c r="M1694">
        <v>-0.99990449999999997</v>
      </c>
      <c r="N1694">
        <v>0</v>
      </c>
      <c r="O1694">
        <v>4.4082590000000003E-3</v>
      </c>
      <c r="P1694">
        <v>-0.98808260000000003</v>
      </c>
      <c r="Q1694">
        <v>0.1528062</v>
      </c>
      <c r="R1694">
        <v>1.851678E-2</v>
      </c>
      <c r="S1694">
        <v>-3.0615839999999999</v>
      </c>
      <c r="T1694">
        <v>-0.17019809999999999</v>
      </c>
      <c r="U1694">
        <v>4.6844480000000001E-2</v>
      </c>
      <c r="V1694">
        <v>1.445594E-2</v>
      </c>
      <c r="W1694">
        <v>0.16570579999999999</v>
      </c>
      <c r="X1694">
        <v>0.98606930000000004</v>
      </c>
      <c r="Y1694">
        <v>1.088068E-2</v>
      </c>
      <c r="Z1694" s="1">
        <v>5.7309019999999903E-5</v>
      </c>
      <c r="AA1694">
        <v>0.99994079999999996</v>
      </c>
      <c r="AB1694">
        <v>59</v>
      </c>
      <c r="AC1694">
        <v>-19.603000000000002</v>
      </c>
      <c r="AD1694">
        <v>-1.10706388115</v>
      </c>
      <c r="AE1694">
        <v>0.30340000000001</v>
      </c>
      <c r="AF1694">
        <v>0.216284896772545</v>
      </c>
      <c r="AG1694">
        <v>-1.10706388115</v>
      </c>
      <c r="AH1694">
        <v>19.541836519021398</v>
      </c>
      <c r="AI1694">
        <v>93.242197328739394</v>
      </c>
      <c r="AJ1694">
        <v>89.365888370617498</v>
      </c>
      <c r="AK1694">
        <v>19.5743644629827</v>
      </c>
      <c r="AL1694">
        <v>80.461761974401796</v>
      </c>
      <c r="AM1694">
        <v>89.1600945069939</v>
      </c>
      <c r="AN1694">
        <v>1.0000000253787</v>
      </c>
    </row>
    <row r="1695" spans="1:40" x14ac:dyDescent="0.25">
      <c r="A1695" t="str">
        <f>"20190312164506164"</f>
        <v>20190312164506164</v>
      </c>
      <c r="B1695" t="str">
        <f>"1552380306153640"</f>
        <v>1552380306153640</v>
      </c>
      <c r="C1695" t="s">
        <v>40</v>
      </c>
      <c r="D1695">
        <v>5.1584159999999999</v>
      </c>
      <c r="E1695">
        <v>0.50465490000000002</v>
      </c>
      <c r="F1695" t="s">
        <v>41</v>
      </c>
      <c r="G1695">
        <v>-356.55880000000002</v>
      </c>
      <c r="H1695">
        <v>1.041479</v>
      </c>
      <c r="I1695">
        <v>284.2835</v>
      </c>
      <c r="J1695">
        <v>-355.71190000000001</v>
      </c>
      <c r="K1695">
        <v>1.107019</v>
      </c>
      <c r="L1695">
        <v>284.26740000000001</v>
      </c>
      <c r="M1695">
        <v>-0.99990179999999995</v>
      </c>
      <c r="N1695">
        <v>0</v>
      </c>
      <c r="O1695">
        <v>4.8250569999999998E-3</v>
      </c>
      <c r="P1695">
        <v>-0.98808180000000001</v>
      </c>
      <c r="Q1695">
        <v>0.15280579999999999</v>
      </c>
      <c r="R1695">
        <v>1.858253E-2</v>
      </c>
      <c r="S1695">
        <v>-3.0618590000000001</v>
      </c>
      <c r="T1695">
        <v>-0.17149879999999901</v>
      </c>
      <c r="U1695">
        <v>4.6295169999999997E-2</v>
      </c>
      <c r="V1695">
        <v>1.4132399999999899E-2</v>
      </c>
      <c r="W1695">
        <v>0.165774</v>
      </c>
      <c r="X1695">
        <v>0.98606249999999995</v>
      </c>
      <c r="Y1695">
        <v>1.028457E-2</v>
      </c>
      <c r="Z1695" s="1">
        <v>1.7733309999999999E-5</v>
      </c>
      <c r="AA1695">
        <v>0.99994709999999998</v>
      </c>
      <c r="AB1695">
        <v>59</v>
      </c>
      <c r="AC1695">
        <v>-0.84690000000000498</v>
      </c>
      <c r="AD1695">
        <v>-6.5539999999999904E-2</v>
      </c>
      <c r="AE1695">
        <v>1.60999999999944E-2</v>
      </c>
      <c r="AF1695">
        <v>1.1941626418062399E-2</v>
      </c>
      <c r="AG1695">
        <v>-6.5539999999999904E-2</v>
      </c>
      <c r="AH1695">
        <v>0.84192741451572795</v>
      </c>
      <c r="AI1695">
        <v>94.450778196665198</v>
      </c>
      <c r="AJ1695">
        <v>89.187389665664696</v>
      </c>
      <c r="AK1695">
        <v>0.84455897683622205</v>
      </c>
      <c r="AL1695">
        <v>80.457799345285693</v>
      </c>
      <c r="AM1695">
        <v>89.178884260330094</v>
      </c>
      <c r="AN1695">
        <v>0.99999999885600399</v>
      </c>
    </row>
    <row r="1696" spans="1:40" x14ac:dyDescent="0.25">
      <c r="A1696" t="str">
        <f>"20190312164506183"</f>
        <v>20190312164506183</v>
      </c>
      <c r="B1696" t="str">
        <f>"1552380306173159"</f>
        <v>1552380306173159</v>
      </c>
      <c r="C1696" t="s">
        <v>40</v>
      </c>
      <c r="D1696">
        <v>4.9750899999999998</v>
      </c>
      <c r="E1696">
        <v>0.50581779999999998</v>
      </c>
      <c r="F1696" t="s">
        <v>47</v>
      </c>
      <c r="G1696">
        <v>-375.8981</v>
      </c>
      <c r="H1696" s="1">
        <v>1.6018939999999999E-6</v>
      </c>
      <c r="I1696">
        <v>284.63170000000002</v>
      </c>
      <c r="J1696">
        <v>-356.20580000000001</v>
      </c>
      <c r="K1696">
        <v>1.106949</v>
      </c>
      <c r="L1696">
        <v>284.27010000000001</v>
      </c>
      <c r="M1696">
        <v>-0.99989689999999998</v>
      </c>
      <c r="N1696">
        <v>0</v>
      </c>
      <c r="O1696">
        <v>5.4984530000000004E-3</v>
      </c>
      <c r="P1696">
        <v>-0.9880447</v>
      </c>
      <c r="Q1696">
        <v>0.15304079999999901</v>
      </c>
      <c r="R1696">
        <v>1.860639E-2</v>
      </c>
      <c r="S1696">
        <v>-3.0610659999999998</v>
      </c>
      <c r="T1696">
        <v>-0.16786960000000001</v>
      </c>
      <c r="U1696">
        <v>5.5236819999999999E-2</v>
      </c>
      <c r="V1696">
        <v>1.3525560000000001E-2</v>
      </c>
      <c r="W1696">
        <v>0.1661126</v>
      </c>
      <c r="X1696">
        <v>0.98601399999999995</v>
      </c>
      <c r="Y1696">
        <v>1.253315E-2</v>
      </c>
      <c r="Z1696" s="1">
        <v>4.2067170000000001E-5</v>
      </c>
      <c r="AA1696">
        <v>0.99992139999999996</v>
      </c>
      <c r="AB1696">
        <v>59</v>
      </c>
      <c r="AC1696">
        <v>-19.6922999999999</v>
      </c>
      <c r="AD1696">
        <v>-1.1069473981060001</v>
      </c>
      <c r="AE1696">
        <v>0.36160000000000903</v>
      </c>
      <c r="AF1696">
        <v>0.25251020404096403</v>
      </c>
      <c r="AG1696">
        <v>-1.1069473981060001</v>
      </c>
      <c r="AH1696">
        <v>19.6319782546956</v>
      </c>
      <c r="AI1696">
        <v>93.226934088440899</v>
      </c>
      <c r="AJ1696">
        <v>89.263091521516003</v>
      </c>
      <c r="AK1696">
        <v>19.664782331319099</v>
      </c>
      <c r="AL1696">
        <v>80.438125977208102</v>
      </c>
      <c r="AM1696">
        <v>89.214099493723296</v>
      </c>
      <c r="AN1696">
        <v>0.99999997242403604</v>
      </c>
    </row>
    <row r="1697" spans="1:40" x14ac:dyDescent="0.25">
      <c r="A1697" t="str">
        <f>"20190312164506205"</f>
        <v>20190312164506205</v>
      </c>
      <c r="B1697" t="str">
        <f>"1552380306193655"</f>
        <v>1552380306193655</v>
      </c>
      <c r="C1697" t="s">
        <v>40</v>
      </c>
      <c r="D1697">
        <v>5.1222200000000004</v>
      </c>
      <c r="E1697">
        <v>0.50589620000000002</v>
      </c>
      <c r="F1697" t="s">
        <v>47</v>
      </c>
      <c r="G1697">
        <v>-377.01819999999998</v>
      </c>
      <c r="H1697" s="1">
        <v>2.1979510000000001E-6</v>
      </c>
      <c r="I1697">
        <v>284.71300000000002</v>
      </c>
      <c r="J1697">
        <v>-356.79880000000003</v>
      </c>
      <c r="K1697">
        <v>1.106865</v>
      </c>
      <c r="L1697">
        <v>284.27370000000002</v>
      </c>
      <c r="M1697">
        <v>-0.99988999999999995</v>
      </c>
      <c r="N1697">
        <v>0</v>
      </c>
      <c r="O1697">
        <v>6.3608319999999899E-3</v>
      </c>
      <c r="P1697">
        <v>-0.98801719999999904</v>
      </c>
      <c r="Q1697">
        <v>0.1531247</v>
      </c>
      <c r="R1697">
        <v>1.936765E-2</v>
      </c>
      <c r="S1697">
        <v>-3.0602420000000001</v>
      </c>
      <c r="T1697">
        <v>-0.16276499999999999</v>
      </c>
      <c r="U1697">
        <v>6.5124509999999997E-2</v>
      </c>
      <c r="V1697">
        <v>1.347566E-2</v>
      </c>
      <c r="W1697">
        <v>0.1663261</v>
      </c>
      <c r="X1697">
        <v>0.98597869999999999</v>
      </c>
      <c r="Y1697">
        <v>1.490356E-2</v>
      </c>
      <c r="Z1697" s="1">
        <v>5.7953759999999998E-5</v>
      </c>
      <c r="AA1697">
        <v>0.99988900000000003</v>
      </c>
      <c r="AB1697">
        <v>59</v>
      </c>
      <c r="AC1697">
        <v>-20.219399999999901</v>
      </c>
      <c r="AD1697">
        <v>-1.1068628020489999</v>
      </c>
      <c r="AE1697">
        <v>0.43929999999994601</v>
      </c>
      <c r="AF1697">
        <v>0.30973958310942301</v>
      </c>
      <c r="AG1697">
        <v>-1.1068628020489999</v>
      </c>
      <c r="AH1697">
        <v>20.161395216858601</v>
      </c>
      <c r="AI1697">
        <v>93.142019988639305</v>
      </c>
      <c r="AJ1697">
        <v>89.119833986763894</v>
      </c>
      <c r="AK1697">
        <v>20.194131349534999</v>
      </c>
      <c r="AL1697">
        <v>80.425720838391598</v>
      </c>
      <c r="AM1697">
        <v>89.216970534093903</v>
      </c>
      <c r="AN1697">
        <v>0.99999998090366704</v>
      </c>
    </row>
    <row r="1698" spans="1:40" x14ac:dyDescent="0.25">
      <c r="A1698" t="str">
        <f>"20190312164506227"</f>
        <v>20190312164506227</v>
      </c>
      <c r="B1698" t="str">
        <f>"1552380306222935"</f>
        <v>1552380306222935</v>
      </c>
      <c r="C1698" t="s">
        <v>40</v>
      </c>
      <c r="D1698">
        <v>5.2348030000000003</v>
      </c>
      <c r="E1698">
        <v>0.50600239999999996</v>
      </c>
      <c r="F1698" t="s">
        <v>47</v>
      </c>
      <c r="G1698">
        <v>-378.8938</v>
      </c>
      <c r="H1698" s="1">
        <v>3.1960329999999998E-6</v>
      </c>
      <c r="I1698">
        <v>284.77120000000002</v>
      </c>
      <c r="J1698">
        <v>-357.37520000000001</v>
      </c>
      <c r="K1698">
        <v>1.106795</v>
      </c>
      <c r="L1698">
        <v>284.27769999999998</v>
      </c>
      <c r="M1698">
        <v>-0.99988189999999999</v>
      </c>
      <c r="N1698">
        <v>0</v>
      </c>
      <c r="O1698">
        <v>7.251019E-3</v>
      </c>
      <c r="P1698">
        <v>-0.98801570000000005</v>
      </c>
      <c r="Q1698">
        <v>0.15300629999999901</v>
      </c>
      <c r="R1698">
        <v>2.0346969999999999E-2</v>
      </c>
      <c r="S1698">
        <v>-3.0587770000000001</v>
      </c>
      <c r="T1698">
        <v>-0.15323110000000001</v>
      </c>
      <c r="U1698">
        <v>6.8878170000000002E-2</v>
      </c>
      <c r="V1698">
        <v>1.361337E-2</v>
      </c>
      <c r="W1698">
        <v>0.1663491</v>
      </c>
      <c r="X1698">
        <v>0.98597290000000004</v>
      </c>
      <c r="Y1698">
        <v>1.525203E-2</v>
      </c>
      <c r="Z1698" s="1">
        <v>1.8748050000000001E-5</v>
      </c>
      <c r="AA1698">
        <v>0.99988370000000004</v>
      </c>
      <c r="AB1698">
        <v>59</v>
      </c>
      <c r="AC1698">
        <v>-21.5185999999999</v>
      </c>
      <c r="AD1698">
        <v>-1.1067918039669999</v>
      </c>
      <c r="AE1698">
        <v>0.49350000000004002</v>
      </c>
      <c r="AF1698">
        <v>0.33655105044222899</v>
      </c>
      <c r="AG1698">
        <v>-1.1067918039669999</v>
      </c>
      <c r="AH1698">
        <v>21.464857981867802</v>
      </c>
      <c r="AI1698">
        <v>92.951364277879094</v>
      </c>
      <c r="AJ1698">
        <v>89.101723622825105</v>
      </c>
      <c r="AK1698">
        <v>21.496008533879898</v>
      </c>
      <c r="AL1698">
        <v>80.424384150029994</v>
      </c>
      <c r="AM1698">
        <v>89.208964985357994</v>
      </c>
      <c r="AN1698">
        <v>0.99999995322398705</v>
      </c>
    </row>
    <row r="1699" spans="1:40" x14ac:dyDescent="0.25">
      <c r="A1699" t="str">
        <f>"20190312164506239"</f>
        <v>20190312164506239</v>
      </c>
      <c r="B1699" t="str">
        <f>"1552380306233672"</f>
        <v>1552380306233672</v>
      </c>
      <c r="C1699" t="s">
        <v>40</v>
      </c>
      <c r="D1699">
        <v>5.0993529999999998</v>
      </c>
      <c r="E1699">
        <v>0.50608279999999894</v>
      </c>
      <c r="F1699" t="s">
        <v>47</v>
      </c>
      <c r="G1699">
        <v>-381.04840000000002</v>
      </c>
      <c r="H1699" s="1">
        <v>-9.7887649999999994E-7</v>
      </c>
      <c r="I1699">
        <v>284.84629999999999</v>
      </c>
      <c r="J1699">
        <v>-357.702</v>
      </c>
      <c r="K1699">
        <v>1.1067640000000001</v>
      </c>
      <c r="L1699">
        <v>284.28030000000001</v>
      </c>
      <c r="M1699">
        <v>-0.9998766</v>
      </c>
      <c r="N1699">
        <v>0</v>
      </c>
      <c r="O1699">
        <v>7.7788269999999899E-3</v>
      </c>
      <c r="P1699">
        <v>-0.98796119999999998</v>
      </c>
      <c r="Q1699">
        <v>0.1532665</v>
      </c>
      <c r="R1699">
        <v>2.1028149999999999E-2</v>
      </c>
      <c r="S1699">
        <v>-3.057007</v>
      </c>
      <c r="T1699">
        <v>-0.14292469999999999</v>
      </c>
      <c r="U1699">
        <v>7.3425290000000004E-2</v>
      </c>
      <c r="V1699">
        <v>1.379471E-2</v>
      </c>
      <c r="W1699">
        <v>0.16670079999999901</v>
      </c>
      <c r="X1699">
        <v>0.98591099999999998</v>
      </c>
      <c r="Y1699">
        <v>1.6224510000000001E-2</v>
      </c>
      <c r="Z1699" s="1">
        <v>1.5555420000000002E-5</v>
      </c>
      <c r="AA1699">
        <v>0.99986839999999999</v>
      </c>
      <c r="AB1699">
        <v>59</v>
      </c>
      <c r="AC1699">
        <v>-23.346399999999999</v>
      </c>
      <c r="AD1699">
        <v>-1.1067649788764999</v>
      </c>
      <c r="AE1699">
        <v>0.56599999999997397</v>
      </c>
      <c r="AF1699">
        <v>0.38349700245334101</v>
      </c>
      <c r="AG1699">
        <v>-1.1067649788764999</v>
      </c>
      <c r="AH1699">
        <v>23.2977692195728</v>
      </c>
      <c r="AI1699">
        <v>92.719434377030495</v>
      </c>
      <c r="AJ1699">
        <v>89.056957974059898</v>
      </c>
      <c r="AK1699">
        <v>23.327195486766801</v>
      </c>
      <c r="AL1699">
        <v>80.403948090695806</v>
      </c>
      <c r="AM1699">
        <v>89.198378869125193</v>
      </c>
      <c r="AN1699">
        <v>0.99999997533281104</v>
      </c>
    </row>
    <row r="1700" spans="1:40" x14ac:dyDescent="0.25">
      <c r="A1700" t="str">
        <f>"20190312164506251"</f>
        <v>20190312164506251</v>
      </c>
      <c r="B1700" t="str">
        <f>"1552380306243431"</f>
        <v>1552380306243431</v>
      </c>
      <c r="C1700" t="s">
        <v>40</v>
      </c>
      <c r="D1700">
        <v>5.121264</v>
      </c>
      <c r="E1700">
        <v>0.50605449999999996</v>
      </c>
      <c r="F1700" t="s">
        <v>47</v>
      </c>
      <c r="G1700">
        <v>-381.76900000000001</v>
      </c>
      <c r="H1700" s="1">
        <v>-5.9539009999999897E-7</v>
      </c>
      <c r="I1700">
        <v>284.88389999999998</v>
      </c>
      <c r="J1700">
        <v>-358.02480000000003</v>
      </c>
      <c r="K1700">
        <v>1.1067359999999999</v>
      </c>
      <c r="L1700">
        <v>284.28300000000002</v>
      </c>
      <c r="M1700">
        <v>-0.99987110000000001</v>
      </c>
      <c r="N1700">
        <v>0</v>
      </c>
      <c r="O1700">
        <v>8.3077859999999993E-3</v>
      </c>
      <c r="P1700">
        <v>-0.98798920000000001</v>
      </c>
      <c r="Q1700">
        <v>0.15301870000000001</v>
      </c>
      <c r="R1700">
        <v>2.1510430000000001E-2</v>
      </c>
      <c r="S1700">
        <v>-3.0567630000000001</v>
      </c>
      <c r="T1700">
        <v>-0.14057039999999901</v>
      </c>
      <c r="U1700">
        <v>7.6660160000000005E-2</v>
      </c>
      <c r="V1700">
        <v>1.3773509999999999E-2</v>
      </c>
      <c r="W1700">
        <v>0.16654849999999999</v>
      </c>
      <c r="X1700">
        <v>0.98593710000000001</v>
      </c>
      <c r="Y1700">
        <v>1.6755240000000001E-2</v>
      </c>
      <c r="Z1700" s="1">
        <v>3.1865490000000002E-6</v>
      </c>
      <c r="AA1700">
        <v>0.99985959999999996</v>
      </c>
      <c r="AB1700">
        <v>59</v>
      </c>
      <c r="AC1700">
        <v>-23.7441999999999</v>
      </c>
      <c r="AD1700">
        <v>-1.1067365953901001</v>
      </c>
      <c r="AE1700">
        <v>0.60089999999996702</v>
      </c>
      <c r="AF1700">
        <v>0.40272451937685599</v>
      </c>
      <c r="AG1700">
        <v>-1.1067365953901001</v>
      </c>
      <c r="AH1700">
        <v>23.696922812884601</v>
      </c>
      <c r="AI1700">
        <v>92.673602645655293</v>
      </c>
      <c r="AJ1700">
        <v>89.026363281110605</v>
      </c>
      <c r="AK1700">
        <v>23.726171282570899</v>
      </c>
      <c r="AL1700">
        <v>80.412798569884103</v>
      </c>
      <c r="AM1700">
        <v>89.199631842294906</v>
      </c>
      <c r="AN1700">
        <v>1.00000003879318</v>
      </c>
    </row>
    <row r="1701" spans="1:40" x14ac:dyDescent="0.25">
      <c r="A1701" t="str">
        <f>"20190312164506271"</f>
        <v>20190312164506271</v>
      </c>
      <c r="B1701" t="str">
        <f>"1552380306262951"</f>
        <v>1552380306262951</v>
      </c>
      <c r="C1701" t="s">
        <v>40</v>
      </c>
      <c r="D1701">
        <v>5.1539869999999999</v>
      </c>
      <c r="E1701">
        <v>0.50602910000000001</v>
      </c>
      <c r="F1701" t="s">
        <v>47</v>
      </c>
      <c r="G1701">
        <v>-382.16930000000002</v>
      </c>
      <c r="H1701" s="1">
        <v>-3.82366E-7</v>
      </c>
      <c r="I1701">
        <v>284.90039999999999</v>
      </c>
      <c r="J1701">
        <v>-358.56360000000001</v>
      </c>
      <c r="K1701">
        <v>1.1066849999999999</v>
      </c>
      <c r="L1701">
        <v>284.2878</v>
      </c>
      <c r="M1701">
        <v>-0.99986059999999999</v>
      </c>
      <c r="N1701">
        <v>0</v>
      </c>
      <c r="O1701">
        <v>9.2197270000000005E-3</v>
      </c>
      <c r="P1701">
        <v>-0.98791609999999996</v>
      </c>
      <c r="Q1701">
        <v>0.15334110000000001</v>
      </c>
      <c r="R1701">
        <v>2.2553279999999998E-2</v>
      </c>
      <c r="S1701">
        <v>-3.0564580000000001</v>
      </c>
      <c r="T1701">
        <v>-0.1401019</v>
      </c>
      <c r="U1701">
        <v>7.8155520000000006E-2</v>
      </c>
      <c r="V1701">
        <v>1.394828E-2</v>
      </c>
      <c r="W1701">
        <v>0.16704349999999901</v>
      </c>
      <c r="X1701">
        <v>0.98585089999999997</v>
      </c>
      <c r="Y1701">
        <v>1.6336110000000001E-2</v>
      </c>
      <c r="Z1701" s="1">
        <v>-4.819749E-5</v>
      </c>
      <c r="AA1701">
        <v>0.99986649999999999</v>
      </c>
      <c r="AB1701">
        <v>59</v>
      </c>
      <c r="AC1701">
        <v>-23.605699999999999</v>
      </c>
      <c r="AD1701">
        <v>-1.1066853823659999</v>
      </c>
      <c r="AE1701">
        <v>0.61259999999998604</v>
      </c>
      <c r="AF1701">
        <v>0.39404924730184998</v>
      </c>
      <c r="AG1701">
        <v>-1.1066853823659999</v>
      </c>
      <c r="AH1701">
        <v>23.558599664216199</v>
      </c>
      <c r="AI1701">
        <v>92.689165482599805</v>
      </c>
      <c r="AJ1701">
        <v>89.0417404271831</v>
      </c>
      <c r="AK1701">
        <v>23.587870728059599</v>
      </c>
      <c r="AL1701">
        <v>80.384034235781499</v>
      </c>
      <c r="AM1701">
        <v>89.189406576956301</v>
      </c>
      <c r="AN1701">
        <v>1.000000041219</v>
      </c>
    </row>
    <row r="1702" spans="1:40" x14ac:dyDescent="0.25">
      <c r="A1702" t="str">
        <f>"20190312164506283"</f>
        <v>20190312164506283</v>
      </c>
      <c r="B1702" t="str">
        <f>"1552380306273687"</f>
        <v>1552380306273687</v>
      </c>
      <c r="C1702" t="s">
        <v>40</v>
      </c>
      <c r="D1702">
        <v>5.2134999999999998</v>
      </c>
      <c r="E1702">
        <v>0.50604150000000003</v>
      </c>
      <c r="F1702" t="s">
        <v>47</v>
      </c>
      <c r="G1702">
        <v>-383.25869999999998</v>
      </c>
      <c r="H1702" s="1">
        <v>1.9732409999999999E-7</v>
      </c>
      <c r="I1702">
        <v>284.94499999999999</v>
      </c>
      <c r="J1702">
        <v>-358.88119999999998</v>
      </c>
      <c r="K1702">
        <v>1.106662</v>
      </c>
      <c r="L1702">
        <v>284.29090000000002</v>
      </c>
      <c r="M1702">
        <v>-0.99985389999999996</v>
      </c>
      <c r="N1702">
        <v>0</v>
      </c>
      <c r="O1702">
        <v>9.7708250000000003E-3</v>
      </c>
      <c r="P1702">
        <v>-0.98789680000000002</v>
      </c>
      <c r="Q1702">
        <v>0.15335579999999999</v>
      </c>
      <c r="R1702">
        <v>2.3288099999999999E-2</v>
      </c>
      <c r="S1702">
        <v>-3.0560909999999999</v>
      </c>
      <c r="T1702">
        <v>-0.13695539999999901</v>
      </c>
      <c r="U1702">
        <v>8.1329349999999995E-2</v>
      </c>
      <c r="V1702">
        <v>1.415602E-2</v>
      </c>
      <c r="W1702">
        <v>0.16716339999999999</v>
      </c>
      <c r="X1702">
        <v>0.98582760000000003</v>
      </c>
      <c r="Y1702">
        <v>1.682612E-2</v>
      </c>
      <c r="Z1702" s="1">
        <v>-6.0829009999999997E-5</v>
      </c>
      <c r="AA1702">
        <v>0.99985840000000004</v>
      </c>
      <c r="AB1702">
        <v>59</v>
      </c>
      <c r="AC1702">
        <v>-24.377500000000001</v>
      </c>
      <c r="AD1702">
        <v>-1.1066618026758901</v>
      </c>
      <c r="AE1702">
        <v>0.65409999999997104</v>
      </c>
      <c r="AF1702">
        <v>0.41500240063112998</v>
      </c>
      <c r="AG1702">
        <v>-1.1066618026758901</v>
      </c>
      <c r="AH1702">
        <v>24.332617431475001</v>
      </c>
      <c r="AI1702">
        <v>92.603673241792507</v>
      </c>
      <c r="AJ1702">
        <v>89.022892586138695</v>
      </c>
      <c r="AK1702">
        <v>24.361305350997799</v>
      </c>
      <c r="AL1702">
        <v>80.377066354109502</v>
      </c>
      <c r="AM1702">
        <v>89.177316134773804</v>
      </c>
      <c r="AN1702">
        <v>1.0000000260617701</v>
      </c>
    </row>
    <row r="1703" spans="1:40" x14ac:dyDescent="0.25">
      <c r="A1703" t="str">
        <f>"20190312164506297"</f>
        <v>20190312164506297</v>
      </c>
      <c r="B1703" t="str">
        <f>"1552380306293207"</f>
        <v>1552380306293207</v>
      </c>
      <c r="C1703" t="s">
        <v>40</v>
      </c>
      <c r="D1703">
        <v>5.2590000000000003</v>
      </c>
      <c r="E1703">
        <v>0.50595909999999999</v>
      </c>
      <c r="F1703" t="s">
        <v>47</v>
      </c>
      <c r="G1703">
        <v>-383.73079999999999</v>
      </c>
      <c r="H1703" s="1">
        <v>4.4855490000000002E-7</v>
      </c>
      <c r="I1703">
        <v>284.97210000000001</v>
      </c>
      <c r="J1703">
        <v>-359.21390000000002</v>
      </c>
      <c r="K1703">
        <v>1.1066370000000001</v>
      </c>
      <c r="L1703">
        <v>284.29430000000002</v>
      </c>
      <c r="M1703">
        <v>-0.99984640000000002</v>
      </c>
      <c r="N1703">
        <v>0</v>
      </c>
      <c r="O1703">
        <v>1.035677E-2</v>
      </c>
      <c r="P1703">
        <v>-0.98785219999999896</v>
      </c>
      <c r="Q1703">
        <v>0.153503799999999</v>
      </c>
      <c r="R1703">
        <v>2.418638E-2</v>
      </c>
      <c r="S1703">
        <v>-3.0559690000000002</v>
      </c>
      <c r="T1703">
        <v>-0.13609589999999999</v>
      </c>
      <c r="U1703">
        <v>8.3770750000000005E-2</v>
      </c>
      <c r="V1703">
        <v>1.449371E-2</v>
      </c>
      <c r="W1703">
        <v>0.1674187</v>
      </c>
      <c r="X1703">
        <v>0.98577930000000002</v>
      </c>
      <c r="Y1703">
        <v>1.703988E-2</v>
      </c>
      <c r="Z1703" s="1">
        <v>-8.1770119999999898E-5</v>
      </c>
      <c r="AA1703">
        <v>0.99985480000000004</v>
      </c>
      <c r="AB1703">
        <v>59</v>
      </c>
      <c r="AC1703">
        <v>-24.5168999999999</v>
      </c>
      <c r="AD1703">
        <v>-1.1066365514451</v>
      </c>
      <c r="AE1703">
        <v>0.67779999999998997</v>
      </c>
      <c r="AF1703">
        <v>0.42296127324657401</v>
      </c>
      <c r="AG1703">
        <v>-1.1066365514451</v>
      </c>
      <c r="AH1703">
        <v>24.472782282481301</v>
      </c>
      <c r="AI1703">
        <v>92.588712283632503</v>
      </c>
      <c r="AJ1703">
        <v>89.009859887492496</v>
      </c>
      <c r="AK1703">
        <v>24.501441046219899</v>
      </c>
      <c r="AL1703">
        <v>80.362228999461195</v>
      </c>
      <c r="AM1703">
        <v>89.157652649281999</v>
      </c>
      <c r="AN1703">
        <v>0.99999995852387102</v>
      </c>
    </row>
    <row r="1704" spans="1:40" x14ac:dyDescent="0.25">
      <c r="A1704" t="str">
        <f>"20190312164506316"</f>
        <v>20190312164506316</v>
      </c>
      <c r="B1704" t="str">
        <f>"1552380306313702"</f>
        <v>1552380306313702</v>
      </c>
      <c r="C1704" t="s">
        <v>40</v>
      </c>
      <c r="D1704">
        <v>5.2541339999999996</v>
      </c>
      <c r="E1704">
        <v>0.50593999999999995</v>
      </c>
      <c r="F1704" t="s">
        <v>47</v>
      </c>
      <c r="G1704">
        <v>-383.78899999999999</v>
      </c>
      <c r="H1704" s="1">
        <v>4.7950859999999999E-7</v>
      </c>
      <c r="I1704">
        <v>284.98309999999998</v>
      </c>
      <c r="J1704">
        <v>-359.73849999999999</v>
      </c>
      <c r="K1704">
        <v>1.1066</v>
      </c>
      <c r="L1704">
        <v>284.30009999999999</v>
      </c>
      <c r="M1704">
        <v>-0.99983379999999999</v>
      </c>
      <c r="N1704">
        <v>0</v>
      </c>
      <c r="O1704">
        <v>1.1295929999999999E-2</v>
      </c>
      <c r="P1704">
        <v>-0.98779019999999995</v>
      </c>
      <c r="Q1704">
        <v>0.15370029999999901</v>
      </c>
      <c r="R1704">
        <v>2.5432699999999999E-2</v>
      </c>
      <c r="S1704">
        <v>-3.0562130000000001</v>
      </c>
      <c r="T1704">
        <v>-0.13762379999999999</v>
      </c>
      <c r="U1704">
        <v>8.5662840000000004E-2</v>
      </c>
      <c r="V1704">
        <v>1.4839120000000001E-2</v>
      </c>
      <c r="W1704">
        <v>0.16777879999999901</v>
      </c>
      <c r="X1704">
        <v>0.98571299999999995</v>
      </c>
      <c r="Y1704">
        <v>1.6718139999999999E-2</v>
      </c>
      <c r="Z1704">
        <v>-1.3218020000000001E-4</v>
      </c>
      <c r="AA1704">
        <v>0.99986019999999998</v>
      </c>
      <c r="AB1704">
        <v>59</v>
      </c>
      <c r="AC1704">
        <v>-24.0505</v>
      </c>
      <c r="AD1704">
        <v>-1.1065995204913901</v>
      </c>
      <c r="AE1704">
        <v>0.68299999999999195</v>
      </c>
      <c r="AF1704">
        <v>0.41038771597149099</v>
      </c>
      <c r="AG1704">
        <v>-1.1065995204913901</v>
      </c>
      <c r="AH1704">
        <v>24.0059002217474</v>
      </c>
      <c r="AI1704">
        <v>92.638909028161294</v>
      </c>
      <c r="AJ1704">
        <v>89.020607697363303</v>
      </c>
      <c r="AK1704">
        <v>24.0348960062794</v>
      </c>
      <c r="AL1704">
        <v>80.341301381432203</v>
      </c>
      <c r="AM1704">
        <v>89.137523063656801</v>
      </c>
      <c r="AN1704">
        <v>1.0000000217903999</v>
      </c>
    </row>
    <row r="1705" spans="1:40" x14ac:dyDescent="0.25">
      <c r="A1705" t="str">
        <f>"20190312164506328"</f>
        <v>20190312164506328</v>
      </c>
      <c r="B1705" t="str">
        <f>"1552380306323463"</f>
        <v>1552380306323463</v>
      </c>
      <c r="C1705" t="s">
        <v>40</v>
      </c>
      <c r="D1705">
        <v>5.2318360000000004</v>
      </c>
      <c r="E1705">
        <v>0.50592009999999998</v>
      </c>
      <c r="F1705" t="s">
        <v>47</v>
      </c>
      <c r="G1705">
        <v>-384.6216</v>
      </c>
      <c r="H1705" s="1">
        <v>9.2260580000000004E-7</v>
      </c>
      <c r="I1705">
        <v>285.02420000000001</v>
      </c>
      <c r="J1705">
        <v>-360.05130000000003</v>
      </c>
      <c r="K1705">
        <v>1.1065780000000001</v>
      </c>
      <c r="L1705">
        <v>284.30369999999999</v>
      </c>
      <c r="M1705">
        <v>-0.99982579999999999</v>
      </c>
      <c r="N1705">
        <v>0</v>
      </c>
      <c r="O1705">
        <v>1.1862030000000001E-2</v>
      </c>
      <c r="P1705">
        <v>-0.98779609999999995</v>
      </c>
      <c r="Q1705">
        <v>0.15352650000000001</v>
      </c>
      <c r="R1705">
        <v>2.6244900000000002E-2</v>
      </c>
      <c r="S1705">
        <v>-3.0559690000000002</v>
      </c>
      <c r="T1705">
        <v>-0.13590469999999999</v>
      </c>
      <c r="U1705">
        <v>8.8928220000000002E-2</v>
      </c>
      <c r="V1705">
        <v>1.510617E-2</v>
      </c>
      <c r="W1705">
        <v>0.16769790000000001</v>
      </c>
      <c r="X1705">
        <v>0.98572269999999895</v>
      </c>
      <c r="Y1705">
        <v>1.7221960000000001E-2</v>
      </c>
      <c r="Z1705">
        <v>-1.4450110000000001E-4</v>
      </c>
      <c r="AA1705">
        <v>0.99985170000000001</v>
      </c>
      <c r="AB1705">
        <v>59</v>
      </c>
      <c r="AC1705">
        <v>-24.5702999999999</v>
      </c>
      <c r="AD1705">
        <v>-1.1065770773941901</v>
      </c>
      <c r="AE1705">
        <v>0.72050000000001502</v>
      </c>
      <c r="AF1705">
        <v>0.42809781018029902</v>
      </c>
      <c r="AG1705">
        <v>-1.1065770773941901</v>
      </c>
      <c r="AH1705">
        <v>24.527411067910201</v>
      </c>
      <c r="AI1705">
        <v>92.582808097107701</v>
      </c>
      <c r="AJ1705">
        <v>89.000069457085601</v>
      </c>
      <c r="AK1705">
        <v>24.556092406112601</v>
      </c>
      <c r="AL1705">
        <v>80.346003129086995</v>
      </c>
      <c r="AM1705">
        <v>89.122012673514405</v>
      </c>
      <c r="AN1705">
        <v>1.00000001166588</v>
      </c>
    </row>
    <row r="1706" spans="1:40" x14ac:dyDescent="0.25">
      <c r="A1706" t="str">
        <f>"20190312164506340"</f>
        <v>20190312164506340</v>
      </c>
      <c r="B1706" t="str">
        <f>"1552380306333223"</f>
        <v>1552380306333223</v>
      </c>
      <c r="C1706" t="s">
        <v>40</v>
      </c>
      <c r="D1706">
        <v>5.184469</v>
      </c>
      <c r="E1706">
        <v>0.50594170000000005</v>
      </c>
      <c r="F1706" t="s">
        <v>47</v>
      </c>
      <c r="G1706">
        <v>-384.8922</v>
      </c>
      <c r="H1706" s="1">
        <v>1.0666000000000001E-6</v>
      </c>
      <c r="I1706">
        <v>285.04520000000002</v>
      </c>
      <c r="J1706">
        <v>-360.37009999999998</v>
      </c>
      <c r="K1706">
        <v>1.1065529999999999</v>
      </c>
      <c r="L1706">
        <v>284.30770000000001</v>
      </c>
      <c r="M1706">
        <v>-0.99981739999999997</v>
      </c>
      <c r="N1706">
        <v>0</v>
      </c>
      <c r="O1706">
        <v>1.244553E-2</v>
      </c>
      <c r="P1706">
        <v>-0.98778509999999997</v>
      </c>
      <c r="Q1706">
        <v>0.1534864</v>
      </c>
      <c r="R1706">
        <v>2.6883520000000001E-2</v>
      </c>
      <c r="S1706">
        <v>-3.0557859999999999</v>
      </c>
      <c r="T1706">
        <v>-0.136125</v>
      </c>
      <c r="U1706">
        <v>9.1217039999999999E-2</v>
      </c>
      <c r="V1706">
        <v>1.518184E-2</v>
      </c>
      <c r="W1706">
        <v>0.16774449999999999</v>
      </c>
      <c r="X1706">
        <v>0.98571359999999997</v>
      </c>
      <c r="Y1706">
        <v>1.7388799999999999E-2</v>
      </c>
      <c r="Z1706">
        <v>-1.67002099999999E-4</v>
      </c>
      <c r="AA1706">
        <v>0.99984879999999998</v>
      </c>
      <c r="AB1706">
        <v>59</v>
      </c>
      <c r="AC1706">
        <v>-24.522099999999998</v>
      </c>
      <c r="AD1706">
        <v>-1.1065519334</v>
      </c>
      <c r="AE1706">
        <v>0.73750000000001104</v>
      </c>
      <c r="AF1706">
        <v>0.43134272411345498</v>
      </c>
      <c r="AG1706">
        <v>-1.1065519334</v>
      </c>
      <c r="AH1706">
        <v>24.479578767354401</v>
      </c>
      <c r="AI1706">
        <v>92.587781693194302</v>
      </c>
      <c r="AJ1706">
        <v>88.990523466113601</v>
      </c>
      <c r="AK1706">
        <v>24.5083718421699</v>
      </c>
      <c r="AL1706">
        <v>80.343294699870199</v>
      </c>
      <c r="AM1706">
        <v>89.117607198177495</v>
      </c>
      <c r="AN1706">
        <v>1.0000000033854901</v>
      </c>
    </row>
    <row r="1707" spans="1:40" x14ac:dyDescent="0.25">
      <c r="A1707" t="str">
        <f>"20190312164506352"</f>
        <v>20190312164506352</v>
      </c>
      <c r="B1707" t="str">
        <f>"1552380306342983"</f>
        <v>1552380306342983</v>
      </c>
      <c r="C1707" t="s">
        <v>40</v>
      </c>
      <c r="D1707">
        <v>5.1866110000000001</v>
      </c>
      <c r="E1707">
        <v>0.50591419999999998</v>
      </c>
      <c r="F1707" t="s">
        <v>47</v>
      </c>
      <c r="G1707">
        <v>-385.2063</v>
      </c>
      <c r="H1707" s="1">
        <v>1.2337660000000001E-6</v>
      </c>
      <c r="I1707">
        <v>285.0659</v>
      </c>
      <c r="J1707">
        <v>-360.69720000000001</v>
      </c>
      <c r="K1707">
        <v>1.1065320000000001</v>
      </c>
      <c r="L1707">
        <v>284.31189999999998</v>
      </c>
      <c r="M1707">
        <v>-0.99980840000000004</v>
      </c>
      <c r="N1707">
        <v>0</v>
      </c>
      <c r="O1707">
        <v>1.3046439999999999E-2</v>
      </c>
      <c r="P1707">
        <v>-0.98778699999999997</v>
      </c>
      <c r="Q1707">
        <v>0.15336340000000001</v>
      </c>
      <c r="R1707">
        <v>2.7503840000000002E-2</v>
      </c>
      <c r="S1707">
        <v>-3.0557560000000001</v>
      </c>
      <c r="T1707">
        <v>-0.13614560000000001</v>
      </c>
      <c r="U1707">
        <v>9.3292239999999999E-2</v>
      </c>
      <c r="V1707">
        <v>1.522128E-2</v>
      </c>
      <c r="W1707">
        <v>0.16770779999999999</v>
      </c>
      <c r="X1707">
        <v>0.98571929999999996</v>
      </c>
      <c r="Y1707">
        <v>1.746706E-2</v>
      </c>
      <c r="Z1707">
        <v>-1.920371E-4</v>
      </c>
      <c r="AA1707">
        <v>0.99984740000000005</v>
      </c>
      <c r="AB1707">
        <v>59</v>
      </c>
      <c r="AC1707">
        <v>-24.509099999999901</v>
      </c>
      <c r="AD1707">
        <v>-1.106530766234</v>
      </c>
      <c r="AE1707">
        <v>0.75400000000001899</v>
      </c>
      <c r="AF1707">
        <v>0.43326296654901802</v>
      </c>
      <c r="AG1707">
        <v>-1.106530766234</v>
      </c>
      <c r="AH1707">
        <v>24.4670272248005</v>
      </c>
      <c r="AI1707">
        <v>92.589053959197997</v>
      </c>
      <c r="AJ1707">
        <v>88.985510380005394</v>
      </c>
      <c r="AK1707">
        <v>24.495867985314099</v>
      </c>
      <c r="AL1707">
        <v>80.345428281445706</v>
      </c>
      <c r="AM1707">
        <v>89.115320361155497</v>
      </c>
      <c r="AN1707">
        <v>1.00000006596908</v>
      </c>
    </row>
    <row r="1708" spans="1:40" x14ac:dyDescent="0.25">
      <c r="A1708" t="str">
        <f>"20190312164506366"</f>
        <v>20190312164506366</v>
      </c>
      <c r="B1708" t="str">
        <f>"1552380306363479"</f>
        <v>1552380306363479</v>
      </c>
      <c r="C1708" t="s">
        <v>40</v>
      </c>
      <c r="D1708">
        <v>5.3276560000000002</v>
      </c>
      <c r="E1708">
        <v>0.50586019999999998</v>
      </c>
      <c r="F1708" t="s">
        <v>47</v>
      </c>
      <c r="G1708">
        <v>-385.59059999999999</v>
      </c>
      <c r="H1708" s="1">
        <v>1.4382540000000001E-6</v>
      </c>
      <c r="I1708">
        <v>285.08659999999998</v>
      </c>
      <c r="J1708">
        <v>-361.06639999999999</v>
      </c>
      <c r="K1708">
        <v>1.1065069999999999</v>
      </c>
      <c r="L1708">
        <v>284.3168</v>
      </c>
      <c r="M1708">
        <v>-0.99979790000000002</v>
      </c>
      <c r="N1708">
        <v>0</v>
      </c>
      <c r="O1708">
        <v>1.3729409999999999E-2</v>
      </c>
      <c r="P1708">
        <v>-0.98774949999999995</v>
      </c>
      <c r="Q1708">
        <v>0.15351239999999999</v>
      </c>
      <c r="R1708">
        <v>2.801609E-2</v>
      </c>
      <c r="S1708">
        <v>-3.0555729999999999</v>
      </c>
      <c r="T1708">
        <v>-0.13582230000000001</v>
      </c>
      <c r="U1708">
        <v>9.5092769999999993E-2</v>
      </c>
      <c r="V1708">
        <v>1.507373E-2</v>
      </c>
      <c r="W1708">
        <v>0.16794709999999999</v>
      </c>
      <c r="X1708">
        <v>0.98568080000000002</v>
      </c>
      <c r="Y1708">
        <v>1.7375270000000002E-2</v>
      </c>
      <c r="Z1708">
        <v>-2.2396450000000001E-4</v>
      </c>
      <c r="AA1708">
        <v>0.99984899999999999</v>
      </c>
      <c r="AB1708">
        <v>59</v>
      </c>
      <c r="AC1708">
        <v>-24.5242</v>
      </c>
      <c r="AD1708">
        <v>-1.106505561746</v>
      </c>
      <c r="AE1708">
        <v>0.76979999999997495</v>
      </c>
      <c r="AF1708">
        <v>0.43210953181851403</v>
      </c>
      <c r="AG1708">
        <v>-1.106505561746</v>
      </c>
      <c r="AH1708">
        <v>24.4826673316376</v>
      </c>
      <c r="AI1708">
        <v>92.587346071062697</v>
      </c>
      <c r="AJ1708">
        <v>88.988856817665194</v>
      </c>
      <c r="AK1708">
        <v>24.5114681909774</v>
      </c>
      <c r="AL1708">
        <v>80.331519906515894</v>
      </c>
      <c r="AM1708">
        <v>89.123860591887805</v>
      </c>
      <c r="AN1708">
        <v>1.00000004261158</v>
      </c>
    </row>
    <row r="1709" spans="1:40" x14ac:dyDescent="0.25">
      <c r="A1709" t="str">
        <f>"20190312164506380"</f>
        <v>20190312164506380</v>
      </c>
      <c r="B1709" t="str">
        <f>"1552380306373238"</f>
        <v>1552380306373238</v>
      </c>
      <c r="C1709" t="s">
        <v>40</v>
      </c>
      <c r="D1709">
        <v>5.1612200000000001</v>
      </c>
      <c r="E1709">
        <v>0.50586109999999995</v>
      </c>
      <c r="F1709" t="s">
        <v>47</v>
      </c>
      <c r="G1709">
        <v>-386.1583</v>
      </c>
      <c r="H1709" s="1">
        <v>1.7403389999999999E-6</v>
      </c>
      <c r="I1709">
        <v>285.11180000000002</v>
      </c>
      <c r="J1709">
        <v>-361.4203</v>
      </c>
      <c r="K1709">
        <v>1.10649</v>
      </c>
      <c r="L1709">
        <v>284.322</v>
      </c>
      <c r="M1709">
        <v>-0.99978769999999995</v>
      </c>
      <c r="N1709">
        <v>0</v>
      </c>
      <c r="O1709">
        <v>1.438764E-2</v>
      </c>
      <c r="P1709">
        <v>-0.98770429999999998</v>
      </c>
      <c r="Q1709">
        <v>0.1537212</v>
      </c>
      <c r="R1709">
        <v>2.847359E-2</v>
      </c>
      <c r="S1709">
        <v>-3.0554199999999998</v>
      </c>
      <c r="T1709">
        <v>-0.13473859999999999</v>
      </c>
      <c r="U1709">
        <v>9.6801760000000001E-2</v>
      </c>
      <c r="V1709">
        <v>1.4894279999999999E-2</v>
      </c>
      <c r="W1709">
        <v>0.16823569999999999</v>
      </c>
      <c r="X1709">
        <v>0.98563429999999996</v>
      </c>
      <c r="Y1709">
        <v>1.7278020000000002E-2</v>
      </c>
      <c r="Z1709">
        <v>-2.5333419999999998E-4</v>
      </c>
      <c r="AA1709">
        <v>0.99985069999999998</v>
      </c>
      <c r="AB1709">
        <v>59</v>
      </c>
      <c r="AC1709">
        <v>-24.738</v>
      </c>
      <c r="AD1709">
        <v>-1.106488259661</v>
      </c>
      <c r="AE1709">
        <v>0.78980000000001305</v>
      </c>
      <c r="AF1709">
        <v>0.43289289989579699</v>
      </c>
      <c r="AG1709">
        <v>-1.106488259661</v>
      </c>
      <c r="AH1709">
        <v>24.697443600845101</v>
      </c>
      <c r="AI1709">
        <v>92.564841355664697</v>
      </c>
      <c r="AJ1709">
        <v>88.995831431599299</v>
      </c>
      <c r="AK1709">
        <v>24.7260072180785</v>
      </c>
      <c r="AL1709">
        <v>80.314745566178999</v>
      </c>
      <c r="AM1709">
        <v>89.134248438356806</v>
      </c>
      <c r="AN1709">
        <v>1.00000003183384</v>
      </c>
    </row>
    <row r="1710" spans="1:40" x14ac:dyDescent="0.25">
      <c r="A1710" t="str">
        <f>"20190312164506395"</f>
        <v>20190312164506395</v>
      </c>
      <c r="B1710" t="str">
        <f>"1552380306382999"</f>
        <v>1552380306382999</v>
      </c>
      <c r="C1710" t="s">
        <v>40</v>
      </c>
      <c r="D1710">
        <v>5.2214919999999996</v>
      </c>
      <c r="E1710">
        <v>0.50582919999999998</v>
      </c>
      <c r="F1710" t="s">
        <v>47</v>
      </c>
      <c r="G1710">
        <v>-386.57170000000002</v>
      </c>
      <c r="H1710" s="1">
        <v>1.9603710000000002E-6</v>
      </c>
      <c r="I1710">
        <v>285.13290000000001</v>
      </c>
      <c r="J1710">
        <v>-361.80759999999998</v>
      </c>
      <c r="K1710">
        <v>1.106471</v>
      </c>
      <c r="L1710">
        <v>284.32769999999999</v>
      </c>
      <c r="M1710">
        <v>-0.99977559999999999</v>
      </c>
      <c r="N1710">
        <v>0</v>
      </c>
      <c r="O1710">
        <v>1.511125E-2</v>
      </c>
      <c r="P1710">
        <v>-0.98761699999999997</v>
      </c>
      <c r="Q1710">
        <v>0.15417919999999999</v>
      </c>
      <c r="R1710">
        <v>2.9012340000000001E-2</v>
      </c>
      <c r="S1710">
        <v>-3.0554199999999998</v>
      </c>
      <c r="T1710">
        <v>-0.13441689999999901</v>
      </c>
      <c r="U1710">
        <v>9.8510739999999999E-2</v>
      </c>
      <c r="V1710">
        <v>1.473322E-2</v>
      </c>
      <c r="W1710">
        <v>0.168774799999999</v>
      </c>
      <c r="X1710">
        <v>0.98554450000000005</v>
      </c>
      <c r="Y1710">
        <v>1.711389E-2</v>
      </c>
      <c r="Z1710">
        <v>-2.8814269999999999E-4</v>
      </c>
      <c r="AA1710">
        <v>0.99985349999999995</v>
      </c>
      <c r="AB1710">
        <v>59</v>
      </c>
      <c r="AC1710">
        <v>-24.764099999999999</v>
      </c>
      <c r="AD1710">
        <v>-1.106469039629</v>
      </c>
      <c r="AE1710">
        <v>0.80520000000001302</v>
      </c>
      <c r="AF1710">
        <v>0.42999278615104702</v>
      </c>
      <c r="AG1710">
        <v>-1.106469039629</v>
      </c>
      <c r="AH1710">
        <v>24.724135163717701</v>
      </c>
      <c r="AI1710">
        <v>92.562037747052102</v>
      </c>
      <c r="AJ1710">
        <v>89.003633971172903</v>
      </c>
      <c r="AK1710">
        <v>24.7526165712957</v>
      </c>
      <c r="AL1710">
        <v>80.283408830597295</v>
      </c>
      <c r="AM1710">
        <v>89.143530861556002</v>
      </c>
      <c r="AN1710">
        <v>0.99999998118342903</v>
      </c>
    </row>
    <row r="1711" spans="1:40" x14ac:dyDescent="0.25">
      <c r="A1711" t="str">
        <f>"20190312164506418"</f>
        <v>20190312164506418</v>
      </c>
      <c r="B1711" t="str">
        <f>"1552380306413256"</f>
        <v>1552380306413256</v>
      </c>
      <c r="C1711" t="s">
        <v>40</v>
      </c>
      <c r="D1711">
        <v>4.9269319999999999</v>
      </c>
      <c r="E1711">
        <v>0.50568570000000002</v>
      </c>
      <c r="F1711" t="s">
        <v>47</v>
      </c>
      <c r="G1711">
        <v>-387.35489999999999</v>
      </c>
      <c r="H1711" s="1">
        <v>2.3771550000000001E-6</v>
      </c>
      <c r="I1711">
        <v>285.16140000000001</v>
      </c>
      <c r="J1711">
        <v>-362.40730000000002</v>
      </c>
      <c r="K1711">
        <v>1.1064480000000001</v>
      </c>
      <c r="L1711">
        <v>284.33730000000003</v>
      </c>
      <c r="M1711">
        <v>-0.99975619999999998</v>
      </c>
      <c r="N1711">
        <v>0</v>
      </c>
      <c r="O1711">
        <v>1.623759E-2</v>
      </c>
      <c r="P1711">
        <v>-0.98751089999999997</v>
      </c>
      <c r="Q1711">
        <v>0.15467910000000001</v>
      </c>
      <c r="R1711">
        <v>2.9950959999999999E-2</v>
      </c>
      <c r="S1711">
        <v>-3.0553889999999999</v>
      </c>
      <c r="T1711">
        <v>-0.1323307</v>
      </c>
      <c r="U1711">
        <v>9.9700929999999993E-2</v>
      </c>
      <c r="V1711">
        <v>1.4578900000000001E-2</v>
      </c>
      <c r="W1711">
        <v>0.16938619999999999</v>
      </c>
      <c r="X1711">
        <v>0.98544189999999998</v>
      </c>
      <c r="Y1711">
        <v>1.6378609999999998E-2</v>
      </c>
      <c r="Z1711">
        <v>-3.483289E-4</v>
      </c>
      <c r="AA1711">
        <v>0.99986580000000003</v>
      </c>
      <c r="AB1711">
        <v>59</v>
      </c>
      <c r="AC1711">
        <v>-24.947599999999898</v>
      </c>
      <c r="AD1711">
        <v>-1.1064456228449999</v>
      </c>
      <c r="AE1711">
        <v>0.82409999999998695</v>
      </c>
      <c r="AF1711">
        <v>0.418035697266045</v>
      </c>
      <c r="AG1711">
        <v>-1.1064456228449999</v>
      </c>
      <c r="AH1711">
        <v>24.9087511984138</v>
      </c>
      <c r="AI1711">
        <v>92.543046398405906</v>
      </c>
      <c r="AJ1711">
        <v>89.038513308155203</v>
      </c>
      <c r="AK1711">
        <v>24.936817399679999</v>
      </c>
      <c r="AL1711">
        <v>80.247866483886597</v>
      </c>
      <c r="AM1711">
        <v>89.152412226047701</v>
      </c>
      <c r="AN1711">
        <v>0.99999998367562903</v>
      </c>
    </row>
    <row r="1712" spans="1:40" x14ac:dyDescent="0.25">
      <c r="A1712" t="str">
        <f>"20190312164506441"</f>
        <v>20190312164506441</v>
      </c>
      <c r="B1712" t="str">
        <f>"1552380306433751"</f>
        <v>1552380306433751</v>
      </c>
      <c r="C1712" t="s">
        <v>40</v>
      </c>
      <c r="D1712">
        <v>5.0934720000000002</v>
      </c>
      <c r="E1712">
        <v>0.50559319999999996</v>
      </c>
      <c r="F1712" t="s">
        <v>47</v>
      </c>
      <c r="G1712">
        <v>-388.33479999999997</v>
      </c>
      <c r="H1712" s="1">
        <v>2.8985919999999999E-6</v>
      </c>
      <c r="I1712">
        <v>285.19240000000002</v>
      </c>
      <c r="J1712">
        <v>-363.03160000000003</v>
      </c>
      <c r="K1712">
        <v>1.106425</v>
      </c>
      <c r="L1712">
        <v>284.34789999999998</v>
      </c>
      <c r="M1712">
        <v>-0.99973489999999998</v>
      </c>
      <c r="N1712">
        <v>0</v>
      </c>
      <c r="O1712">
        <v>1.7416839999999999E-2</v>
      </c>
      <c r="P1712">
        <v>-0.98746369999999895</v>
      </c>
      <c r="Q1712">
        <v>0.1548117</v>
      </c>
      <c r="R1712">
        <v>3.0806219999999999E-2</v>
      </c>
      <c r="S1712">
        <v>-3.0552670000000002</v>
      </c>
      <c r="T1712">
        <v>-0.13038230000000001</v>
      </c>
      <c r="U1712">
        <v>0.100769</v>
      </c>
      <c r="V1712">
        <v>1.4284120000000001E-2</v>
      </c>
      <c r="W1712">
        <v>0.16962260000000001</v>
      </c>
      <c r="X1712">
        <v>0.98540559999999999</v>
      </c>
      <c r="Y1712">
        <v>1.5551489999999999E-2</v>
      </c>
      <c r="Z1712">
        <v>-4.1113370000000002E-4</v>
      </c>
      <c r="AA1712">
        <v>0.99987899999999996</v>
      </c>
      <c r="AB1712">
        <v>59</v>
      </c>
      <c r="AC1712">
        <v>-25.303199999999901</v>
      </c>
      <c r="AD1712">
        <v>-1.106422101408</v>
      </c>
      <c r="AE1712">
        <v>0.844500000000039</v>
      </c>
      <c r="AF1712">
        <v>0.40285070826752301</v>
      </c>
      <c r="AG1712">
        <v>-1.106422101408</v>
      </c>
      <c r="AH1712">
        <v>25.265816399182999</v>
      </c>
      <c r="AI1712">
        <v>92.5071344835156</v>
      </c>
      <c r="AJ1712">
        <v>89.086525078029197</v>
      </c>
      <c r="AK1712">
        <v>25.293238955832798</v>
      </c>
      <c r="AL1712">
        <v>80.234123335653393</v>
      </c>
      <c r="AM1712">
        <v>89.169517126852497</v>
      </c>
      <c r="AN1712">
        <v>1.0000000295131399</v>
      </c>
    </row>
    <row r="1713" spans="1:40" x14ac:dyDescent="0.25">
      <c r="A1713" t="str">
        <f>"20190312164506463"</f>
        <v>20190312164506463</v>
      </c>
      <c r="B1713" t="str">
        <f>"1552380306453271"</f>
        <v>1552380306453271</v>
      </c>
      <c r="C1713" t="s">
        <v>40</v>
      </c>
      <c r="D1713">
        <v>4.8580940000000004</v>
      </c>
      <c r="E1713">
        <v>0.50281480000000001</v>
      </c>
      <c r="F1713" t="s">
        <v>47</v>
      </c>
      <c r="G1713">
        <v>-389.07619999999997</v>
      </c>
      <c r="H1713" s="1">
        <v>3.2931350000000002E-6</v>
      </c>
      <c r="I1713">
        <v>285.21809999999999</v>
      </c>
      <c r="J1713">
        <v>-363.58609999999999</v>
      </c>
      <c r="K1713">
        <v>1.106409</v>
      </c>
      <c r="L1713">
        <v>284.35789999999997</v>
      </c>
      <c r="M1713">
        <v>-0.99971469999999996</v>
      </c>
      <c r="N1713">
        <v>0</v>
      </c>
      <c r="O1713">
        <v>1.8469989999999999E-2</v>
      </c>
      <c r="P1713">
        <v>-0.98744589999999999</v>
      </c>
      <c r="Q1713">
        <v>0.1548002</v>
      </c>
      <c r="R1713">
        <v>3.142259E-2</v>
      </c>
      <c r="S1713">
        <v>-3.0552060000000001</v>
      </c>
      <c r="T1713">
        <v>-0.1297905</v>
      </c>
      <c r="U1713">
        <v>0.1020813</v>
      </c>
      <c r="V1713">
        <v>1.3870489999999999E-2</v>
      </c>
      <c r="W1713">
        <v>0.16969310000000001</v>
      </c>
      <c r="X1713">
        <v>0.98539940000000004</v>
      </c>
      <c r="Y1713">
        <v>1.49293E-2</v>
      </c>
      <c r="Z1713">
        <v>-4.6718129999999999E-4</v>
      </c>
      <c r="AA1713">
        <v>0.99988840000000001</v>
      </c>
      <c r="AB1713">
        <v>59</v>
      </c>
      <c r="AC1713">
        <v>-25.490099999999899</v>
      </c>
      <c r="AD1713">
        <v>-1.1064057068649999</v>
      </c>
      <c r="AE1713">
        <v>0.86020000000001995</v>
      </c>
      <c r="AF1713">
        <v>0.38846628596449501</v>
      </c>
      <c r="AG1713">
        <v>-1.1064057068649999</v>
      </c>
      <c r="AH1713">
        <v>25.453739657028699</v>
      </c>
      <c r="AI1713">
        <v>92.4886374810539</v>
      </c>
      <c r="AJ1713">
        <v>89.125639251726696</v>
      </c>
      <c r="AK1713">
        <v>25.4807359032527</v>
      </c>
      <c r="AL1713">
        <v>80.230024845561502</v>
      </c>
      <c r="AM1713">
        <v>89.193557398185206</v>
      </c>
      <c r="AN1713">
        <v>1.0000000581004</v>
      </c>
    </row>
    <row r="1714" spans="1:40" x14ac:dyDescent="0.25">
      <c r="A1714" t="str">
        <f>"20190312164506483"</f>
        <v>20190312164506483</v>
      </c>
      <c r="B1714" t="str">
        <f>"1552380306473768"</f>
        <v>1552380306473768</v>
      </c>
      <c r="C1714" t="s">
        <v>40</v>
      </c>
      <c r="D1714">
        <v>4.9994239999999897</v>
      </c>
      <c r="E1714">
        <v>0.50533689999999998</v>
      </c>
      <c r="F1714" t="s">
        <v>47</v>
      </c>
      <c r="G1714">
        <v>-380.56920000000002</v>
      </c>
      <c r="H1714" s="1">
        <v>-1.2338730000000001E-6</v>
      </c>
      <c r="I1714">
        <v>284.78969999999998</v>
      </c>
      <c r="J1714">
        <v>-364.15280000000001</v>
      </c>
      <c r="K1714">
        <v>1.1063889999999901</v>
      </c>
      <c r="L1714">
        <v>284.36880000000002</v>
      </c>
      <c r="M1714">
        <v>-0.9996931</v>
      </c>
      <c r="N1714">
        <v>0</v>
      </c>
      <c r="O1714">
        <v>1.9550669999999999E-2</v>
      </c>
      <c r="P1714">
        <v>-0.98745620000000001</v>
      </c>
      <c r="Q1714">
        <v>0.1545832</v>
      </c>
      <c r="R1714">
        <v>3.2166189999999997E-2</v>
      </c>
      <c r="S1714">
        <v>-3.0669559999999998</v>
      </c>
      <c r="T1714">
        <v>-0.19980429999999999</v>
      </c>
      <c r="U1714">
        <v>7.7972410000000006E-2</v>
      </c>
      <c r="V1714">
        <v>1.355401E-2</v>
      </c>
      <c r="W1714">
        <v>0.169548799999999</v>
      </c>
      <c r="X1714">
        <v>0.98542859999999999</v>
      </c>
      <c r="Y1714">
        <v>5.8926350000000002E-3</v>
      </c>
      <c r="Z1714">
        <v>-1.080419E-3</v>
      </c>
      <c r="AA1714">
        <v>0.99998209999999998</v>
      </c>
      <c r="AB1714">
        <v>59</v>
      </c>
      <c r="AC1714">
        <v>-16.416399999999999</v>
      </c>
      <c r="AD1714">
        <v>-1.1063902338729901</v>
      </c>
      <c r="AE1714">
        <v>0.42089999999995997</v>
      </c>
      <c r="AF1714">
        <v>9.9379661625251997E-2</v>
      </c>
      <c r="AG1714">
        <v>-1.1063902338729901</v>
      </c>
      <c r="AH1714">
        <v>16.347288447431399</v>
      </c>
      <c r="AI1714">
        <v>93.871822488257493</v>
      </c>
      <c r="AJ1714">
        <v>89.6516874921181</v>
      </c>
      <c r="AK1714">
        <v>16.3849874961893</v>
      </c>
      <c r="AL1714">
        <v>80.238413780232904</v>
      </c>
      <c r="AM1714">
        <v>89.211978826989395</v>
      </c>
      <c r="AN1714">
        <v>1.0000000162332301</v>
      </c>
    </row>
    <row r="1715" spans="1:40" x14ac:dyDescent="0.25">
      <c r="A1715" t="str">
        <f>"20190312164506497"</f>
        <v>20190312164506497</v>
      </c>
      <c r="B1715" t="str">
        <f>"1552380306493287"</f>
        <v>1552380306493287</v>
      </c>
      <c r="C1715" t="s">
        <v>40</v>
      </c>
      <c r="D1715">
        <v>4.9327670000000001</v>
      </c>
      <c r="E1715">
        <v>0.50593529999999998</v>
      </c>
      <c r="F1715" t="s">
        <v>47</v>
      </c>
      <c r="G1715">
        <v>-381.72739999999999</v>
      </c>
      <c r="H1715" s="1">
        <v>-6.1754119999999997E-7</v>
      </c>
      <c r="I1715">
        <v>284.95010000000002</v>
      </c>
      <c r="J1715">
        <v>-364.48860000000002</v>
      </c>
      <c r="K1715">
        <v>1.1063829999999999</v>
      </c>
      <c r="L1715">
        <v>284.37549999999999</v>
      </c>
      <c r="M1715">
        <v>-0.99967969999999895</v>
      </c>
      <c r="N1715">
        <v>0</v>
      </c>
      <c r="O1715">
        <v>2.0192620000000001E-2</v>
      </c>
      <c r="P1715">
        <v>-0.98747010000000002</v>
      </c>
      <c r="Q1715">
        <v>0.15441769999999999</v>
      </c>
      <c r="R1715">
        <v>3.2532329999999998E-2</v>
      </c>
      <c r="S1715">
        <v>-3.0650019999999998</v>
      </c>
      <c r="T1715">
        <v>-0.19295390000000001</v>
      </c>
      <c r="U1715">
        <v>0.10137939999999999</v>
      </c>
      <c r="V1715">
        <v>1.3289250000000001E-2</v>
      </c>
      <c r="W1715">
        <v>0.16942289999999999</v>
      </c>
      <c r="X1715">
        <v>0.98545380000000005</v>
      </c>
      <c r="Y1715">
        <v>1.288215E-2</v>
      </c>
      <c r="Z1715">
        <v>-8.6459899999999997E-4</v>
      </c>
      <c r="AA1715">
        <v>0.99991669999999999</v>
      </c>
      <c r="AB1715">
        <v>59</v>
      </c>
      <c r="AC1715">
        <v>-17.238799999999902</v>
      </c>
      <c r="AD1715">
        <v>-1.1063836175411901</v>
      </c>
      <c r="AE1715">
        <v>0.57460000000003197</v>
      </c>
      <c r="AF1715">
        <v>0.22541828163050501</v>
      </c>
      <c r="AG1715">
        <v>-1.1063836175411901</v>
      </c>
      <c r="AH1715">
        <v>17.176217125374599</v>
      </c>
      <c r="AI1715">
        <v>93.685224783694196</v>
      </c>
      <c r="AJ1715">
        <v>89.248101334510494</v>
      </c>
      <c r="AK1715">
        <v>17.213289425582499</v>
      </c>
      <c r="AL1715">
        <v>80.245732633961495</v>
      </c>
      <c r="AM1715">
        <v>89.227389668893906</v>
      </c>
      <c r="AN1715">
        <v>0.99999995757220494</v>
      </c>
    </row>
    <row r="1716" spans="1:40" x14ac:dyDescent="0.25">
      <c r="A1716" t="str">
        <f>"20190312164506509"</f>
        <v>20190312164506509</v>
      </c>
      <c r="B1716" t="str">
        <f>"1552380306503047"</f>
        <v>1552380306503047</v>
      </c>
      <c r="C1716" t="s">
        <v>40</v>
      </c>
      <c r="D1716">
        <v>5.0259850000000004</v>
      </c>
      <c r="E1716">
        <v>0.50670269999999995</v>
      </c>
      <c r="F1716" t="s">
        <v>41</v>
      </c>
      <c r="G1716">
        <v>-365.54050000000001</v>
      </c>
      <c r="H1716">
        <v>1.0391330000000001</v>
      </c>
      <c r="I1716">
        <v>284.41269999999997</v>
      </c>
      <c r="J1716">
        <v>-364.8374</v>
      </c>
      <c r="K1716">
        <v>1.1063769999999999</v>
      </c>
      <c r="L1716">
        <v>284.38279999999997</v>
      </c>
      <c r="M1716">
        <v>-0.99966540000000004</v>
      </c>
      <c r="N1716">
        <v>0</v>
      </c>
      <c r="O1716">
        <v>2.0859720000000002E-2</v>
      </c>
      <c r="P1716">
        <v>-0.98743769999999997</v>
      </c>
      <c r="Q1716">
        <v>0.15452539999999901</v>
      </c>
      <c r="R1716">
        <v>3.2997060000000002E-2</v>
      </c>
      <c r="S1716">
        <v>-3.0651549999999999</v>
      </c>
      <c r="T1716">
        <v>-0.1960537</v>
      </c>
      <c r="U1716">
        <v>0.10736080000000001</v>
      </c>
      <c r="V1716">
        <v>1.310003E-2</v>
      </c>
      <c r="W1716">
        <v>0.1695681</v>
      </c>
      <c r="X1716">
        <v>0.98543139999999996</v>
      </c>
      <c r="Y1716">
        <v>1.4161440000000001E-2</v>
      </c>
      <c r="Z1716">
        <v>-8.8012690000000005E-4</v>
      </c>
      <c r="AA1716">
        <v>0.99989930000000005</v>
      </c>
      <c r="AB1716">
        <v>59</v>
      </c>
      <c r="AC1716">
        <v>-0.70310000000000605</v>
      </c>
      <c r="AD1716">
        <v>-6.7243999999999804E-2</v>
      </c>
      <c r="AE1716">
        <v>2.98999999999978E-2</v>
      </c>
      <c r="AF1716">
        <v>1.50875526114151E-2</v>
      </c>
      <c r="AG1716">
        <v>-6.7243999999999804E-2</v>
      </c>
      <c r="AH1716">
        <v>0.69720501988786598</v>
      </c>
      <c r="AI1716">
        <v>95.507739512434</v>
      </c>
      <c r="AJ1716">
        <v>88.760309862538506</v>
      </c>
      <c r="AK1716">
        <v>0.70060276158222601</v>
      </c>
      <c r="AL1716">
        <v>80.237291541928101</v>
      </c>
      <c r="AM1716">
        <v>89.238371924613503</v>
      </c>
      <c r="AN1716">
        <v>0.99999999771478498</v>
      </c>
    </row>
    <row r="1717" spans="1:40" x14ac:dyDescent="0.25">
      <c r="A1717" t="str">
        <f>"20190312164506522"</f>
        <v>20190312164506522</v>
      </c>
      <c r="B1717" t="str">
        <f>"1552380306513784"</f>
        <v>1552380306513784</v>
      </c>
      <c r="C1717" t="s">
        <v>40</v>
      </c>
      <c r="D1717">
        <v>4.9640190000000004</v>
      </c>
      <c r="E1717">
        <v>0.50704280000000002</v>
      </c>
      <c r="F1717" t="s">
        <v>41</v>
      </c>
      <c r="G1717">
        <v>-366.05739999999997</v>
      </c>
      <c r="H1717">
        <v>1.0283880000000001</v>
      </c>
      <c r="I1717">
        <v>284.42860000000002</v>
      </c>
      <c r="J1717">
        <v>-365.18169999999998</v>
      </c>
      <c r="K1717">
        <v>1.1063730000000001</v>
      </c>
      <c r="L1717">
        <v>284.39019999999999</v>
      </c>
      <c r="M1717">
        <v>-0.99965099999999996</v>
      </c>
      <c r="N1717">
        <v>0</v>
      </c>
      <c r="O1717">
        <v>2.151691E-2</v>
      </c>
      <c r="P1717">
        <v>-0.98738309999999996</v>
      </c>
      <c r="Q1717">
        <v>0.15477539999999901</v>
      </c>
      <c r="R1717">
        <v>3.3457750000000001E-2</v>
      </c>
      <c r="S1717">
        <v>-3.0650019999999998</v>
      </c>
      <c r="T1717">
        <v>-0.19595899999999999</v>
      </c>
      <c r="U1717">
        <v>0.1149902</v>
      </c>
      <c r="V1717">
        <v>1.2916399999999899E-2</v>
      </c>
      <c r="W1717">
        <v>0.16985049999999999</v>
      </c>
      <c r="X1717">
        <v>0.98538519999999996</v>
      </c>
      <c r="Y1717">
        <v>1.5989079999999999E-2</v>
      </c>
      <c r="Z1717">
        <v>-8.6330309999999998E-4</v>
      </c>
      <c r="AA1717">
        <v>0.99987179999999998</v>
      </c>
      <c r="AB1717">
        <v>59</v>
      </c>
      <c r="AC1717">
        <v>-0.87569999999999404</v>
      </c>
      <c r="AD1717">
        <v>-7.7985000000000096E-2</v>
      </c>
      <c r="AE1717">
        <v>3.8400000000024102E-2</v>
      </c>
      <c r="AF1717">
        <v>1.9393031080398599E-2</v>
      </c>
      <c r="AG1717">
        <v>-7.7985000000000096E-2</v>
      </c>
      <c r="AH1717">
        <v>0.86944151522767399</v>
      </c>
      <c r="AI1717">
        <v>95.124190517519807</v>
      </c>
      <c r="AJ1717">
        <v>88.722220417246902</v>
      </c>
      <c r="AK1717">
        <v>0.87314735198641003</v>
      </c>
      <c r="AL1717">
        <v>80.220873161820407</v>
      </c>
      <c r="AM1717">
        <v>89.249011629444198</v>
      </c>
      <c r="AN1717">
        <v>1.0000000090591199</v>
      </c>
    </row>
    <row r="1718" spans="1:40" x14ac:dyDescent="0.25">
      <c r="A1718" t="str">
        <f>"20190312164506536"</f>
        <v>20190312164506536</v>
      </c>
      <c r="B1718" t="str">
        <f>"1552380306523543"</f>
        <v>1552380306523543</v>
      </c>
      <c r="C1718" t="s">
        <v>40</v>
      </c>
      <c r="D1718">
        <v>4.7765389999999996</v>
      </c>
      <c r="E1718">
        <v>0.5064649</v>
      </c>
      <c r="F1718" t="s">
        <v>47</v>
      </c>
      <c r="G1718">
        <v>-382.4357</v>
      </c>
      <c r="H1718" s="1">
        <v>-2.4062829999999998E-7</v>
      </c>
      <c r="I1718">
        <v>285.05970000000002</v>
      </c>
      <c r="J1718">
        <v>-365.51220000000001</v>
      </c>
      <c r="K1718">
        <v>1.1063750000000001</v>
      </c>
      <c r="L1718">
        <v>284.39749999999998</v>
      </c>
      <c r="M1718">
        <v>-0.99963679999999999</v>
      </c>
      <c r="N1718">
        <v>0</v>
      </c>
      <c r="O1718">
        <v>2.214518E-2</v>
      </c>
      <c r="P1718">
        <v>-0.98733130000000002</v>
      </c>
      <c r="Q1718">
        <v>0.15502070000000001</v>
      </c>
      <c r="R1718">
        <v>3.3846380000000002E-2</v>
      </c>
      <c r="S1718">
        <v>-3.0651549999999999</v>
      </c>
      <c r="T1718">
        <v>-0.19654569999999999</v>
      </c>
      <c r="U1718">
        <v>0.118927</v>
      </c>
      <c r="V1718">
        <v>1.2688140000000001E-2</v>
      </c>
      <c r="W1718">
        <v>0.1701249</v>
      </c>
      <c r="X1718">
        <v>0.98534080000000002</v>
      </c>
      <c r="Y1718">
        <v>1.6641139999999999E-2</v>
      </c>
      <c r="Z1718">
        <v>-8.8515709999999995E-4</v>
      </c>
      <c r="AA1718">
        <v>0.99986109999999995</v>
      </c>
      <c r="AB1718">
        <v>59</v>
      </c>
      <c r="AC1718">
        <v>-16.923499999999901</v>
      </c>
      <c r="AD1718">
        <v>-1.1063752406283001</v>
      </c>
      <c r="AE1718">
        <v>0.66220000000004098</v>
      </c>
      <c r="AF1718">
        <v>0.28599894613775401</v>
      </c>
      <c r="AG1718">
        <v>-1.1063752406283001</v>
      </c>
      <c r="AH1718">
        <v>16.862058453199701</v>
      </c>
      <c r="AI1718">
        <v>93.753445730258207</v>
      </c>
      <c r="AJ1718">
        <v>89.028294112282595</v>
      </c>
      <c r="AK1718">
        <v>16.9007359854354</v>
      </c>
      <c r="AL1718">
        <v>80.204918731791096</v>
      </c>
      <c r="AM1718">
        <v>89.262248457872502</v>
      </c>
      <c r="AN1718">
        <v>0.99999998132065404</v>
      </c>
    </row>
    <row r="1719" spans="1:40" x14ac:dyDescent="0.25">
      <c r="A1719" t="str">
        <f>"20190312164506551"</f>
        <v>20190312164506551</v>
      </c>
      <c r="B1719" t="str">
        <f>"1552380306543063"</f>
        <v>1552380306543063</v>
      </c>
      <c r="C1719" t="s">
        <v>40</v>
      </c>
      <c r="D1719">
        <v>5.017817</v>
      </c>
      <c r="E1719">
        <v>0.50606879999999999</v>
      </c>
      <c r="F1719" t="s">
        <v>41</v>
      </c>
      <c r="G1719">
        <v>-366.58839999999998</v>
      </c>
      <c r="H1719">
        <v>1.037555</v>
      </c>
      <c r="I1719">
        <v>284.43849999999998</v>
      </c>
      <c r="J1719">
        <v>-365.93090000000001</v>
      </c>
      <c r="K1719">
        <v>1.106382</v>
      </c>
      <c r="L1719">
        <v>284.40699999999998</v>
      </c>
      <c r="M1719">
        <v>-0.99961849999999997</v>
      </c>
      <c r="N1719">
        <v>0</v>
      </c>
      <c r="O1719">
        <v>2.293413E-2</v>
      </c>
      <c r="P1719">
        <v>-0.98720960000000002</v>
      </c>
      <c r="Q1719">
        <v>0.15561949999999999</v>
      </c>
      <c r="R1719">
        <v>3.4636989999999999E-2</v>
      </c>
      <c r="S1719">
        <v>-3.0653380000000001</v>
      </c>
      <c r="T1719">
        <v>-0.19620650000000001</v>
      </c>
      <c r="U1719">
        <v>0.1155701</v>
      </c>
      <c r="V1719">
        <v>1.2704999999999999E-2</v>
      </c>
      <c r="W1719">
        <v>0.1707555</v>
      </c>
      <c r="X1719">
        <v>0.98523150000000004</v>
      </c>
      <c r="Y1719">
        <v>1.4761679999999999E-2</v>
      </c>
      <c r="Z1719">
        <v>-9.9408599999999993E-4</v>
      </c>
      <c r="AA1719">
        <v>0.99989059999999996</v>
      </c>
      <c r="AB1719">
        <v>59</v>
      </c>
      <c r="AC1719">
        <v>-0.65749999999997</v>
      </c>
      <c r="AD1719">
        <v>-6.8826999999999902E-2</v>
      </c>
      <c r="AE1719">
        <v>3.1499999999993998E-2</v>
      </c>
      <c r="AF1719">
        <v>1.6233261449399999E-2</v>
      </c>
      <c r="AG1719">
        <v>-6.8826999999999902E-2</v>
      </c>
      <c r="AH1719">
        <v>0.65093302718410695</v>
      </c>
      <c r="AI1719">
        <v>96.033932654401994</v>
      </c>
      <c r="AJ1719">
        <v>88.571428112392198</v>
      </c>
      <c r="AK1719">
        <v>0.65476291937261499</v>
      </c>
      <c r="AL1719">
        <v>80.168251516338501</v>
      </c>
      <c r="AM1719">
        <v>89.261186297586207</v>
      </c>
      <c r="AN1719">
        <v>0.99999998319874905</v>
      </c>
    </row>
    <row r="1720" spans="1:40" x14ac:dyDescent="0.25">
      <c r="A1720" t="str">
        <f>"20190312164506564"</f>
        <v>20190312164506564</v>
      </c>
      <c r="B1720" t="str">
        <f>"1552380306553800"</f>
        <v>1552380306553800</v>
      </c>
      <c r="C1720" t="s">
        <v>40</v>
      </c>
      <c r="D1720">
        <v>4.9718580000000001</v>
      </c>
      <c r="E1720">
        <v>0.50595299999999999</v>
      </c>
      <c r="F1720" t="s">
        <v>41</v>
      </c>
      <c r="G1720">
        <v>-367.11099999999999</v>
      </c>
      <c r="H1720">
        <v>1.0359149999999999</v>
      </c>
      <c r="I1720">
        <v>284.45119999999997</v>
      </c>
      <c r="J1720">
        <v>-366.28089999999997</v>
      </c>
      <c r="K1720">
        <v>1.106393</v>
      </c>
      <c r="L1720">
        <v>284.41520000000003</v>
      </c>
      <c r="M1720">
        <v>-0.99960320000000003</v>
      </c>
      <c r="N1720">
        <v>0</v>
      </c>
      <c r="O1720">
        <v>2.358006E-2</v>
      </c>
      <c r="P1720">
        <v>-0.98714800000000003</v>
      </c>
      <c r="Q1720">
        <v>0.15584890000000001</v>
      </c>
      <c r="R1720">
        <v>3.53563E-2</v>
      </c>
      <c r="S1720">
        <v>-3.0637210000000001</v>
      </c>
      <c r="T1720">
        <v>-0.18296780000000001</v>
      </c>
      <c r="U1720">
        <v>0.1145325</v>
      </c>
      <c r="V1720">
        <v>1.278669E-2</v>
      </c>
      <c r="W1720">
        <v>0.1710092</v>
      </c>
      <c r="X1720">
        <v>0.98518649999999997</v>
      </c>
      <c r="Y1720">
        <v>1.379797E-2</v>
      </c>
      <c r="Z1720">
        <v>-9.948883999999999E-4</v>
      </c>
      <c r="AA1720">
        <v>0.99990429999999997</v>
      </c>
      <c r="AB1720">
        <v>59</v>
      </c>
      <c r="AC1720">
        <v>-0.83010000000001505</v>
      </c>
      <c r="AD1720">
        <v>-7.0477999999999999E-2</v>
      </c>
      <c r="AE1720">
        <v>3.59999999999445E-2</v>
      </c>
      <c r="AF1720">
        <v>1.6296602119298301E-2</v>
      </c>
      <c r="AG1720">
        <v>-7.0477999999999999E-2</v>
      </c>
      <c r="AH1720">
        <v>0.82478380814253804</v>
      </c>
      <c r="AI1720">
        <v>94.883127026982194</v>
      </c>
      <c r="AJ1720">
        <v>88.868060901540105</v>
      </c>
      <c r="AK1720">
        <v>0.82794991267512197</v>
      </c>
      <c r="AL1720">
        <v>80.153499175619103</v>
      </c>
      <c r="AM1720">
        <v>89.256402480640901</v>
      </c>
      <c r="AN1720">
        <v>1.0000000428540201</v>
      </c>
    </row>
    <row r="1721" spans="1:40" x14ac:dyDescent="0.25">
      <c r="A1721" t="str">
        <f>"20190312164506579"</f>
        <v>20190312164506579</v>
      </c>
      <c r="B1721" t="str">
        <f>"1552380306573319"</f>
        <v>1552380306573319</v>
      </c>
      <c r="C1721" t="s">
        <v>40</v>
      </c>
      <c r="D1721">
        <v>4.738035</v>
      </c>
      <c r="E1721">
        <v>0.50579379999999996</v>
      </c>
      <c r="F1721" t="s">
        <v>47</v>
      </c>
      <c r="G1721">
        <v>-385.30119999999999</v>
      </c>
      <c r="H1721" s="1">
        <v>1.284273E-6</v>
      </c>
      <c r="I1721">
        <v>285.13240000000002</v>
      </c>
      <c r="J1721">
        <v>-366.64690000000002</v>
      </c>
      <c r="K1721">
        <v>1.106409</v>
      </c>
      <c r="L1721">
        <v>284.42399999999998</v>
      </c>
      <c r="M1721">
        <v>-0.99958689999999994</v>
      </c>
      <c r="N1721">
        <v>0</v>
      </c>
      <c r="O1721">
        <v>2.4239810000000001E-2</v>
      </c>
      <c r="P1721">
        <v>-0.98711249999999995</v>
      </c>
      <c r="Q1721">
        <v>0.1559382</v>
      </c>
      <c r="R1721">
        <v>3.594957E-2</v>
      </c>
      <c r="S1721">
        <v>-3.0630489999999999</v>
      </c>
      <c r="T1721">
        <v>-0.1781741</v>
      </c>
      <c r="U1721">
        <v>0.115509</v>
      </c>
      <c r="V1721">
        <v>1.2724940000000001E-2</v>
      </c>
      <c r="W1721">
        <v>0.17112189999999999</v>
      </c>
      <c r="X1721">
        <v>0.98516769999999998</v>
      </c>
      <c r="Y1721">
        <v>1.3465309999999999E-2</v>
      </c>
      <c r="Z1721">
        <v>-1.017055E-3</v>
      </c>
      <c r="AA1721">
        <v>0.99990880000000004</v>
      </c>
      <c r="AB1721">
        <v>59</v>
      </c>
      <c r="AC1721">
        <v>-18.6542999999999</v>
      </c>
      <c r="AD1721">
        <v>-1.106407715727</v>
      </c>
      <c r="AE1721">
        <v>0.70839999999998304</v>
      </c>
      <c r="AF1721">
        <v>0.25506521341285199</v>
      </c>
      <c r="AG1721">
        <v>-1.106407715727</v>
      </c>
      <c r="AH1721">
        <v>18.600651731006799</v>
      </c>
      <c r="AI1721">
        <v>93.403748956186405</v>
      </c>
      <c r="AJ1721">
        <v>89.2143692308792</v>
      </c>
      <c r="AK1721">
        <v>18.635274108923699</v>
      </c>
      <c r="AL1721">
        <v>80.146945037972998</v>
      </c>
      <c r="AM1721">
        <v>89.259978971508104</v>
      </c>
      <c r="AN1721">
        <v>1.00000001294045</v>
      </c>
    </row>
    <row r="1722" spans="1:40" x14ac:dyDescent="0.25">
      <c r="A1722" t="str">
        <f>"20190312164506595"</f>
        <v>20190312164506595</v>
      </c>
      <c r="B1722" t="str">
        <f>"1552380306583079"</f>
        <v>1552380306583079</v>
      </c>
      <c r="C1722" t="s">
        <v>40</v>
      </c>
      <c r="D1722">
        <v>4.7148789999999998</v>
      </c>
      <c r="E1722">
        <v>0.5056908</v>
      </c>
      <c r="F1722" t="s">
        <v>47</v>
      </c>
      <c r="G1722">
        <v>-386.37619999999998</v>
      </c>
      <c r="H1722" s="1">
        <v>1.8562839999999999E-6</v>
      </c>
      <c r="I1722">
        <v>285.17200000000003</v>
      </c>
      <c r="J1722">
        <v>-367.09160000000003</v>
      </c>
      <c r="K1722">
        <v>1.1064400000000001</v>
      </c>
      <c r="L1722">
        <v>284.43509999999998</v>
      </c>
      <c r="M1722">
        <v>-0.99956739999999999</v>
      </c>
      <c r="N1722">
        <v>0</v>
      </c>
      <c r="O1722">
        <v>2.501519E-2</v>
      </c>
      <c r="P1722">
        <v>-0.98703850000000004</v>
      </c>
      <c r="Q1722">
        <v>0.1561514</v>
      </c>
      <c r="R1722">
        <v>3.7038809999999998E-2</v>
      </c>
      <c r="S1722">
        <v>-3.062103</v>
      </c>
      <c r="T1722">
        <v>-0.1717216</v>
      </c>
      <c r="U1722">
        <v>0.11608889999999999</v>
      </c>
      <c r="V1722">
        <v>1.3041509999999999E-2</v>
      </c>
      <c r="W1722">
        <v>0.1713597</v>
      </c>
      <c r="X1722">
        <v>0.98512219999999995</v>
      </c>
      <c r="Y1722">
        <v>1.28912E-2</v>
      </c>
      <c r="Z1722">
        <v>-1.0400769999999999E-3</v>
      </c>
      <c r="AA1722">
        <v>0.99991640000000004</v>
      </c>
      <c r="AB1722">
        <v>59</v>
      </c>
      <c r="AC1722">
        <v>-19.284599999999902</v>
      </c>
      <c r="AD1722">
        <v>-1.10643814371599</v>
      </c>
      <c r="AE1722">
        <v>0.73690000000004796</v>
      </c>
      <c r="AF1722">
        <v>0.25337086598478697</v>
      </c>
      <c r="AG1722">
        <v>-1.10643814371599</v>
      </c>
      <c r="AH1722">
        <v>19.233778371163002</v>
      </c>
      <c r="AI1722">
        <v>93.292071019884801</v>
      </c>
      <c r="AJ1722">
        <v>89.245273531548193</v>
      </c>
      <c r="AK1722">
        <v>19.267242475056399</v>
      </c>
      <c r="AL1722">
        <v>80.133115588360695</v>
      </c>
      <c r="AM1722">
        <v>89.241535888642602</v>
      </c>
      <c r="AN1722">
        <v>0.99999998835000403</v>
      </c>
    </row>
    <row r="1723" spans="1:40" x14ac:dyDescent="0.25">
      <c r="A1723" t="str">
        <f>"20190312164506619"</f>
        <v>20190312164506619</v>
      </c>
      <c r="B1723" t="str">
        <f>"1552380306613335"</f>
        <v>1552380306613335</v>
      </c>
      <c r="C1723" t="s">
        <v>40</v>
      </c>
      <c r="D1723">
        <v>4.8893610000000001</v>
      </c>
      <c r="E1723">
        <v>0.50546629999999904</v>
      </c>
      <c r="F1723" t="s">
        <v>47</v>
      </c>
      <c r="G1723">
        <v>-387.11619999999999</v>
      </c>
      <c r="H1723" s="1">
        <v>2.2501030000000001E-6</v>
      </c>
      <c r="I1723">
        <v>285.21030000000002</v>
      </c>
      <c r="J1723">
        <v>-367.68090000000001</v>
      </c>
      <c r="K1723">
        <v>1.1064860000000001</v>
      </c>
      <c r="L1723">
        <v>284.4502</v>
      </c>
      <c r="M1723">
        <v>-0.99954240000000005</v>
      </c>
      <c r="N1723">
        <v>0</v>
      </c>
      <c r="O1723">
        <v>2.5977320000000002E-2</v>
      </c>
      <c r="P1723">
        <v>-0.98685489999999998</v>
      </c>
      <c r="Q1723">
        <v>0.15701619999999999</v>
      </c>
      <c r="R1723">
        <v>3.8250699999999901E-2</v>
      </c>
      <c r="S1723">
        <v>-3.0617369999999999</v>
      </c>
      <c r="T1723">
        <v>-0.1691725</v>
      </c>
      <c r="U1723">
        <v>0.11853030000000001</v>
      </c>
      <c r="V1723">
        <v>1.3290700000000001E-2</v>
      </c>
      <c r="W1723">
        <v>0.17225170000000001</v>
      </c>
      <c r="X1723">
        <v>0.98496329999999999</v>
      </c>
      <c r="Y1723">
        <v>1.273054E-2</v>
      </c>
      <c r="Z1723">
        <v>-1.082281E-3</v>
      </c>
      <c r="AA1723">
        <v>0.99991839999999999</v>
      </c>
      <c r="AB1723">
        <v>59</v>
      </c>
      <c r="AC1723">
        <v>-19.435299999999899</v>
      </c>
      <c r="AD1723">
        <v>-1.1064837498969999</v>
      </c>
      <c r="AE1723">
        <v>0.76010000000002198</v>
      </c>
      <c r="AF1723">
        <v>0.254083501909244</v>
      </c>
      <c r="AG1723">
        <v>-1.1064837498969999</v>
      </c>
      <c r="AH1723">
        <v>19.385749986637101</v>
      </c>
      <c r="AI1723">
        <v>93.266456623171905</v>
      </c>
      <c r="AJ1723">
        <v>89.249083538982404</v>
      </c>
      <c r="AK1723">
        <v>19.418964113956399</v>
      </c>
      <c r="AL1723">
        <v>80.081236433295501</v>
      </c>
      <c r="AM1723">
        <v>89.226920632988296</v>
      </c>
      <c r="AN1723">
        <v>0.99999999660313499</v>
      </c>
    </row>
    <row r="1724" spans="1:40" x14ac:dyDescent="0.25">
      <c r="A1724" t="str">
        <f>"20190312164506641"</f>
        <v>20190312164506641</v>
      </c>
      <c r="B1724" t="str">
        <f>"1552380306632858"</f>
        <v>1552380306632858</v>
      </c>
      <c r="C1724" t="s">
        <v>40</v>
      </c>
      <c r="D1724">
        <v>4.7136129999999996</v>
      </c>
      <c r="E1724">
        <v>0.50523589999999996</v>
      </c>
      <c r="F1724" t="s">
        <v>47</v>
      </c>
      <c r="G1724">
        <v>-388.9092</v>
      </c>
      <c r="H1724" s="1">
        <v>3.2042440000000001E-6</v>
      </c>
      <c r="I1724">
        <v>285.28559999999999</v>
      </c>
      <c r="J1724">
        <v>-368.27780000000001</v>
      </c>
      <c r="K1724">
        <v>1.106563</v>
      </c>
      <c r="L1724">
        <v>284.46589999999998</v>
      </c>
      <c r="M1724">
        <v>-0.99951860000000003</v>
      </c>
      <c r="N1724">
        <v>0</v>
      </c>
      <c r="O1724">
        <v>2.686258E-2</v>
      </c>
      <c r="P1724">
        <v>-0.98675670000000004</v>
      </c>
      <c r="Q1724">
        <v>0.1571929</v>
      </c>
      <c r="R1724">
        <v>4.0020569999999998E-2</v>
      </c>
      <c r="S1724">
        <v>-3.0606990000000001</v>
      </c>
      <c r="T1724">
        <v>-0.15953310000000001</v>
      </c>
      <c r="U1724">
        <v>0.1204529</v>
      </c>
      <c r="V1724">
        <v>1.41599E-2</v>
      </c>
      <c r="W1724">
        <v>0.1724513</v>
      </c>
      <c r="X1724">
        <v>0.98491629999999997</v>
      </c>
      <c r="Y1724">
        <v>1.2484500000000001E-2</v>
      </c>
      <c r="Z1724">
        <v>-1.07351E-3</v>
      </c>
      <c r="AA1724">
        <v>0.99992150000000002</v>
      </c>
      <c r="AB1724">
        <v>58</v>
      </c>
      <c r="AC1724">
        <v>-20.6313999999999</v>
      </c>
      <c r="AD1724">
        <v>-1.1065597957560001</v>
      </c>
      <c r="AE1724">
        <v>0.81970000000001098</v>
      </c>
      <c r="AF1724">
        <v>0.26436541133212998</v>
      </c>
      <c r="AG1724">
        <v>-1.1065597957560001</v>
      </c>
      <c r="AH1724">
        <v>20.586846436178899</v>
      </c>
      <c r="AI1724">
        <v>93.076480971859993</v>
      </c>
      <c r="AJ1724">
        <v>89.264278292967703</v>
      </c>
      <c r="AK1724">
        <v>20.6182591369665</v>
      </c>
      <c r="AL1724">
        <v>80.069626851727307</v>
      </c>
      <c r="AM1724">
        <v>89.176329380548097</v>
      </c>
      <c r="AN1724">
        <v>1.0000000358226899</v>
      </c>
    </row>
    <row r="1725" spans="1:40" x14ac:dyDescent="0.25">
      <c r="A1725" t="str">
        <f>"20190312164506653"</f>
        <v>20190312164506653</v>
      </c>
      <c r="B1725" t="str">
        <f>"1552380306643591"</f>
        <v>1552380306643591</v>
      </c>
      <c r="C1725" t="s">
        <v>40</v>
      </c>
      <c r="D1725">
        <v>4.736675</v>
      </c>
      <c r="E1725">
        <v>0.50513140000000001</v>
      </c>
      <c r="F1725" t="s">
        <v>47</v>
      </c>
      <c r="G1725">
        <v>-389.69569999999999</v>
      </c>
      <c r="H1725" s="1">
        <v>3.6227870000000001E-6</v>
      </c>
      <c r="I1725">
        <v>285.32600000000002</v>
      </c>
      <c r="J1725">
        <v>-368.59410000000003</v>
      </c>
      <c r="K1725">
        <v>1.1066119999999999</v>
      </c>
      <c r="L1725">
        <v>284.47449999999998</v>
      </c>
      <c r="M1725">
        <v>-0.99950680000000003</v>
      </c>
      <c r="N1725">
        <v>0</v>
      </c>
      <c r="O1725">
        <v>2.7291900000000001E-2</v>
      </c>
      <c r="P1725">
        <v>-0.98673239999999995</v>
      </c>
      <c r="Q1725">
        <v>0.15711429999999901</v>
      </c>
      <c r="R1725">
        <v>4.0920360000000003E-2</v>
      </c>
      <c r="S1725">
        <v>-3.0604550000000001</v>
      </c>
      <c r="T1725">
        <v>-0.158118799999999</v>
      </c>
      <c r="U1725">
        <v>0.1228943</v>
      </c>
      <c r="V1725">
        <v>1.461688E-2</v>
      </c>
      <c r="W1725">
        <v>0.17238419999999999</v>
      </c>
      <c r="X1725">
        <v>0.9849213</v>
      </c>
      <c r="Y1725">
        <v>1.2854279999999999E-2</v>
      </c>
      <c r="Z1725">
        <v>-1.076675E-3</v>
      </c>
      <c r="AA1725">
        <v>0.99991680000000005</v>
      </c>
      <c r="AB1725">
        <v>58</v>
      </c>
      <c r="AC1725">
        <v>-21.101599999999902</v>
      </c>
      <c r="AD1725">
        <v>-1.106608377213</v>
      </c>
      <c r="AE1725">
        <v>0.85149999999998705</v>
      </c>
      <c r="AF1725">
        <v>0.27445691859071703</v>
      </c>
      <c r="AG1725">
        <v>-1.106608377213</v>
      </c>
      <c r="AH1725">
        <v>21.059157964027602</v>
      </c>
      <c r="AI1725">
        <v>93.007734639479395</v>
      </c>
      <c r="AJ1725">
        <v>89.253325660046798</v>
      </c>
      <c r="AK1725">
        <v>21.0899986452002</v>
      </c>
      <c r="AL1725">
        <v>80.073529153833206</v>
      </c>
      <c r="AM1725">
        <v>89.149755358384894</v>
      </c>
      <c r="AN1725">
        <v>0.99999996639213096</v>
      </c>
    </row>
    <row r="1726" spans="1:40" x14ac:dyDescent="0.25">
      <c r="A1726" t="str">
        <f>"20190312164506666"</f>
        <v>20190312164506666</v>
      </c>
      <c r="B1726" t="str">
        <f>"1552380306663111"</f>
        <v>1552380306663111</v>
      </c>
      <c r="C1726" t="s">
        <v>40</v>
      </c>
      <c r="D1726">
        <v>5.0013059999999996</v>
      </c>
      <c r="E1726">
        <v>0.5048376</v>
      </c>
      <c r="F1726" t="s">
        <v>47</v>
      </c>
      <c r="G1726">
        <v>-390.10239999999999</v>
      </c>
      <c r="H1726" s="1">
        <v>-1.482271E-6</v>
      </c>
      <c r="I1726">
        <v>285.3485</v>
      </c>
      <c r="J1726">
        <v>-368.94099999999997</v>
      </c>
      <c r="K1726">
        <v>1.1066689999999999</v>
      </c>
      <c r="L1726">
        <v>284.48410000000001</v>
      </c>
      <c r="M1726">
        <v>-0.99949480000000002</v>
      </c>
      <c r="N1726">
        <v>0</v>
      </c>
      <c r="O1726">
        <v>2.7726049999999999E-2</v>
      </c>
      <c r="P1726">
        <v>-0.98670789999999997</v>
      </c>
      <c r="Q1726">
        <v>0.15706410000000001</v>
      </c>
      <c r="R1726">
        <v>4.1696980000000002E-2</v>
      </c>
      <c r="S1726">
        <v>-3.0602420000000001</v>
      </c>
      <c r="T1726">
        <v>-0.15745100000000001</v>
      </c>
      <c r="U1726">
        <v>0.1243591</v>
      </c>
      <c r="V1726">
        <v>1.4941619999999999E-2</v>
      </c>
      <c r="W1726">
        <v>0.17234569999999999</v>
      </c>
      <c r="X1726">
        <v>0.9849232</v>
      </c>
      <c r="Y1726">
        <v>1.290094E-2</v>
      </c>
      <c r="Z1726">
        <v>-1.0933010000000001E-3</v>
      </c>
      <c r="AA1726">
        <v>0.99991620000000003</v>
      </c>
      <c r="AB1726">
        <v>58</v>
      </c>
      <c r="AC1726">
        <v>-21.1614</v>
      </c>
      <c r="AD1726">
        <v>-1.1066704822710001</v>
      </c>
      <c r="AE1726">
        <v>0.86439999999998895</v>
      </c>
      <c r="AF1726">
        <v>0.27651973602860402</v>
      </c>
      <c r="AG1726">
        <v>-1.1066704822710001</v>
      </c>
      <c r="AH1726">
        <v>21.1195674792862</v>
      </c>
      <c r="AI1726">
        <v>92.999312821106599</v>
      </c>
      <c r="AJ1726">
        <v>89.249865860214001</v>
      </c>
      <c r="AK1726">
        <v>21.150350191731199</v>
      </c>
      <c r="AL1726">
        <v>80.075768906241294</v>
      </c>
      <c r="AM1726">
        <v>89.130870203154402</v>
      </c>
      <c r="AN1726">
        <v>1.0000000011074699</v>
      </c>
    </row>
    <row r="1727" spans="1:40" x14ac:dyDescent="0.25">
      <c r="A1727" t="str">
        <f>"20190312164506680"</f>
        <v>20190312164506680</v>
      </c>
      <c r="B1727" t="str">
        <f>"1552380306672871"</f>
        <v>1552380306672871</v>
      </c>
      <c r="C1727" t="s">
        <v>40</v>
      </c>
      <c r="D1727">
        <v>4.9928980000000003</v>
      </c>
      <c r="E1727">
        <v>0.50467150000000005</v>
      </c>
      <c r="F1727" t="s">
        <v>47</v>
      </c>
      <c r="G1727">
        <v>-390.5881</v>
      </c>
      <c r="H1727" s="1">
        <v>-1.223813E-6</v>
      </c>
      <c r="I1727">
        <v>285.3621</v>
      </c>
      <c r="J1727">
        <v>-369.31380000000001</v>
      </c>
      <c r="K1727">
        <v>1.106735</v>
      </c>
      <c r="L1727">
        <v>284.49450000000002</v>
      </c>
      <c r="M1727">
        <v>-0.99948320000000002</v>
      </c>
      <c r="N1727">
        <v>0</v>
      </c>
      <c r="O1727">
        <v>2.813216E-2</v>
      </c>
      <c r="P1727">
        <v>-0.98669640000000003</v>
      </c>
      <c r="Q1727">
        <v>0.15690879999999999</v>
      </c>
      <c r="R1727">
        <v>4.2546309999999997E-2</v>
      </c>
      <c r="S1727">
        <v>-3.0600589999999999</v>
      </c>
      <c r="T1727">
        <v>-0.15644</v>
      </c>
      <c r="U1727">
        <v>0.124115</v>
      </c>
      <c r="V1727">
        <v>1.5360260000000001E-2</v>
      </c>
      <c r="W1727">
        <v>0.17220189999999999</v>
      </c>
      <c r="X1727">
        <v>0.98494190000000004</v>
      </c>
      <c r="Y1727">
        <v>1.241834E-2</v>
      </c>
      <c r="Z1727">
        <v>-1.1194099999999999E-3</v>
      </c>
      <c r="AA1727">
        <v>0.99992230000000004</v>
      </c>
      <c r="AB1727">
        <v>58</v>
      </c>
      <c r="AC1727">
        <v>-21.274299999999901</v>
      </c>
      <c r="AD1727">
        <v>-1.1067362238130001</v>
      </c>
      <c r="AE1727">
        <v>0.86759999999998105</v>
      </c>
      <c r="AF1727">
        <v>0.26796811413444999</v>
      </c>
      <c r="AG1727">
        <v>-1.1067362238130001</v>
      </c>
      <c r="AH1727">
        <v>21.232920798661201</v>
      </c>
      <c r="AI1727">
        <v>92.983524796745201</v>
      </c>
      <c r="AJ1727">
        <v>89.276942297801</v>
      </c>
      <c r="AK1727">
        <v>21.263433345100001</v>
      </c>
      <c r="AL1727">
        <v>80.084132971759701</v>
      </c>
      <c r="AM1727">
        <v>89.106539448051905</v>
      </c>
      <c r="AN1727">
        <v>0.99999998916324295</v>
      </c>
    </row>
    <row r="1728" spans="1:40" x14ac:dyDescent="0.25">
      <c r="A1728" t="str">
        <f>"20190312164506697"</f>
        <v>20190312164506697</v>
      </c>
      <c r="B1728" t="str">
        <f>"1552380306693367"</f>
        <v>1552380306693367</v>
      </c>
      <c r="C1728" t="s">
        <v>40</v>
      </c>
      <c r="D1728">
        <v>4.8628960000000001</v>
      </c>
      <c r="E1728">
        <v>0.50255539999999999</v>
      </c>
      <c r="F1728" t="s">
        <v>47</v>
      </c>
      <c r="G1728">
        <v>-390.9753</v>
      </c>
      <c r="H1728" s="1">
        <v>-1.017791E-6</v>
      </c>
      <c r="I1728">
        <v>285.38369999999998</v>
      </c>
      <c r="J1728">
        <v>-369.70350000000002</v>
      </c>
      <c r="K1728">
        <v>1.1068180000000001</v>
      </c>
      <c r="L1728">
        <v>284.50549999999998</v>
      </c>
      <c r="M1728">
        <v>-0.99947240000000004</v>
      </c>
      <c r="N1728">
        <v>0</v>
      </c>
      <c r="O1728">
        <v>2.8505610000000001E-2</v>
      </c>
      <c r="P1728">
        <v>-0.98670040000000003</v>
      </c>
      <c r="Q1728">
        <v>0.15659619999999999</v>
      </c>
      <c r="R1728">
        <v>4.359035E-2</v>
      </c>
      <c r="S1728">
        <v>-3.0599059999999998</v>
      </c>
      <c r="T1728">
        <v>-0.15633810000000001</v>
      </c>
      <c r="U1728">
        <v>0.12561040000000001</v>
      </c>
      <c r="V1728">
        <v>1.600012E-2</v>
      </c>
      <c r="W1728">
        <v>0.17190079999999999</v>
      </c>
      <c r="X1728">
        <v>0.98498430000000003</v>
      </c>
      <c r="Y1728">
        <v>1.253489E-2</v>
      </c>
      <c r="Z1728">
        <v>-1.1347999999999901E-3</v>
      </c>
      <c r="AA1728">
        <v>0.99992080000000005</v>
      </c>
      <c r="AB1728">
        <v>58</v>
      </c>
      <c r="AC1728">
        <v>-21.271799999999899</v>
      </c>
      <c r="AD1728">
        <v>-1.106819017791</v>
      </c>
      <c r="AE1728">
        <v>0.87819999999999199</v>
      </c>
      <c r="AF1728">
        <v>0.27067235800054001</v>
      </c>
      <c r="AG1728">
        <v>-1.106819017791</v>
      </c>
      <c r="AH1728">
        <v>21.230808924422998</v>
      </c>
      <c r="AI1728">
        <v>92.984038992512396</v>
      </c>
      <c r="AJ1728">
        <v>89.269573587710099</v>
      </c>
      <c r="AK1728">
        <v>21.261363066579001</v>
      </c>
      <c r="AL1728">
        <v>80.101645793116305</v>
      </c>
      <c r="AM1728">
        <v>89.069367169071597</v>
      </c>
      <c r="AN1728">
        <v>0.99999998006357205</v>
      </c>
    </row>
    <row r="1729" spans="1:40" x14ac:dyDescent="0.25">
      <c r="A1729" t="str">
        <f>"20190312164506709"</f>
        <v>20190312164506709</v>
      </c>
      <c r="B1729" t="str">
        <f>"1552380306703127"</f>
        <v>1552380306703127</v>
      </c>
      <c r="C1729" t="s">
        <v>40</v>
      </c>
      <c r="D1729">
        <v>4.7151050000000003</v>
      </c>
      <c r="E1729">
        <v>0.50157489999999905</v>
      </c>
      <c r="F1729" t="s">
        <v>41</v>
      </c>
      <c r="G1729">
        <v>-370.76749999999998</v>
      </c>
      <c r="H1729">
        <v>1.034319</v>
      </c>
      <c r="I1729">
        <v>284.54360000000003</v>
      </c>
      <c r="J1729">
        <v>-370.0684</v>
      </c>
      <c r="K1729">
        <v>1.1069020000000001</v>
      </c>
      <c r="L1729">
        <v>284.51589999999999</v>
      </c>
      <c r="M1729">
        <v>-0.99946360000000001</v>
      </c>
      <c r="N1729">
        <v>0</v>
      </c>
      <c r="O1729">
        <v>2.880804E-2</v>
      </c>
      <c r="P1729">
        <v>-0.98671249999999999</v>
      </c>
      <c r="Q1729">
        <v>0.15632960000000001</v>
      </c>
      <c r="R1729">
        <v>4.4269959999999997E-2</v>
      </c>
      <c r="S1729">
        <v>-3.0688170000000001</v>
      </c>
      <c r="T1729">
        <v>-0.2092639</v>
      </c>
      <c r="U1729">
        <v>0.1088257</v>
      </c>
      <c r="V1729">
        <v>1.6345720000000001E-2</v>
      </c>
      <c r="W1729">
        <v>0.1716453</v>
      </c>
      <c r="X1729">
        <v>0.98502319999999999</v>
      </c>
      <c r="Y1729">
        <v>6.6826389999999998E-3</v>
      </c>
      <c r="Z1729">
        <v>-1.733814E-3</v>
      </c>
      <c r="AA1729">
        <v>0.99997619999999998</v>
      </c>
      <c r="AB1729">
        <v>58</v>
      </c>
      <c r="AC1729">
        <v>-0.69909999999998695</v>
      </c>
      <c r="AD1729">
        <v>-7.2582999999999995E-2</v>
      </c>
      <c r="AE1729">
        <v>2.7700000000038399E-2</v>
      </c>
      <c r="AF1729">
        <v>7.4660041447511599E-3</v>
      </c>
      <c r="AG1729">
        <v>-7.2582999999999995E-2</v>
      </c>
      <c r="AH1729">
        <v>0.69215855498449996</v>
      </c>
      <c r="AI1729">
        <v>95.986079620922695</v>
      </c>
      <c r="AJ1729">
        <v>89.382000070540499</v>
      </c>
      <c r="AK1729">
        <v>0.69599389246251397</v>
      </c>
      <c r="AL1729">
        <v>80.116505914770698</v>
      </c>
      <c r="AM1729">
        <v>89.049306840174395</v>
      </c>
      <c r="AN1729">
        <v>0.999999998056324</v>
      </c>
    </row>
    <row r="1730" spans="1:40" x14ac:dyDescent="0.25">
      <c r="A1730" t="str">
        <f>"20190312164506724"</f>
        <v>20190312164506724</v>
      </c>
      <c r="B1730" t="str">
        <f>"1552380306712888"</f>
        <v>1552380306712888</v>
      </c>
      <c r="C1730" t="s">
        <v>40</v>
      </c>
      <c r="D1730">
        <v>4.8010070000000002</v>
      </c>
      <c r="E1730">
        <v>0.50066619999999995</v>
      </c>
      <c r="F1730" t="s">
        <v>41</v>
      </c>
      <c r="G1730">
        <v>-371.28289999999998</v>
      </c>
      <c r="H1730">
        <v>1.026715</v>
      </c>
      <c r="I1730">
        <v>284.55700000000002</v>
      </c>
      <c r="J1730">
        <v>-370.46230000000003</v>
      </c>
      <c r="K1730">
        <v>1.1070009999999999</v>
      </c>
      <c r="L1730">
        <v>284.52730000000003</v>
      </c>
      <c r="M1730">
        <v>-0.99945609999999996</v>
      </c>
      <c r="N1730">
        <v>0</v>
      </c>
      <c r="O1730">
        <v>2.9061989999999999E-2</v>
      </c>
      <c r="P1730">
        <v>-0.98672939999999998</v>
      </c>
      <c r="Q1730">
        <v>0.1561012</v>
      </c>
      <c r="R1730">
        <v>4.4695190000000003E-2</v>
      </c>
      <c r="S1730">
        <v>-3.0678709999999998</v>
      </c>
      <c r="T1730">
        <v>-0.20263590000000001</v>
      </c>
      <c r="U1730">
        <v>0.1036377</v>
      </c>
      <c r="V1730">
        <v>1.6479379999999998E-2</v>
      </c>
      <c r="W1730">
        <v>0.17142779999999999</v>
      </c>
      <c r="X1730">
        <v>0.98505880000000001</v>
      </c>
      <c r="Y1730">
        <v>4.7520510000000002E-3</v>
      </c>
      <c r="Z1730">
        <v>-1.7600109999999999E-3</v>
      </c>
      <c r="AA1730">
        <v>0.99998719999999996</v>
      </c>
      <c r="AB1730">
        <v>58</v>
      </c>
      <c r="AC1730">
        <v>-0.82059999999995603</v>
      </c>
      <c r="AD1730">
        <v>-8.0285999999999996E-2</v>
      </c>
      <c r="AE1730">
        <v>2.9699999999991102E-2</v>
      </c>
      <c r="AF1730">
        <v>5.78102073923948E-3</v>
      </c>
      <c r="AG1730">
        <v>-8.0285999999999996E-2</v>
      </c>
      <c r="AH1730">
        <v>0.81334118319904403</v>
      </c>
      <c r="AI1730">
        <v>95.637338761277903</v>
      </c>
      <c r="AJ1730">
        <v>89.592763137089705</v>
      </c>
      <c r="AK1730">
        <v>0.81731459199283196</v>
      </c>
      <c r="AL1730">
        <v>80.129154759289804</v>
      </c>
      <c r="AM1730">
        <v>89.041569038067095</v>
      </c>
      <c r="AN1730">
        <v>0.99999995001773101</v>
      </c>
    </row>
    <row r="1731" spans="1:40" x14ac:dyDescent="0.25">
      <c r="A1731" t="str">
        <f>"20190312164506742"</f>
        <v>20190312164506742</v>
      </c>
      <c r="B1731" t="str">
        <f>"1552380306733387"</f>
        <v>1552380306733387</v>
      </c>
      <c r="C1731" t="s">
        <v>40</v>
      </c>
      <c r="D1731">
        <v>4.6979220000000002</v>
      </c>
      <c r="E1731">
        <v>0.46876519999999999</v>
      </c>
      <c r="F1731" t="s">
        <v>47</v>
      </c>
      <c r="G1731">
        <v>-387.15480000000002</v>
      </c>
      <c r="H1731" s="1">
        <v>2.2706649999999998E-6</v>
      </c>
      <c r="I1731">
        <v>285.06060000000002</v>
      </c>
      <c r="J1731">
        <v>-370.89679999999998</v>
      </c>
      <c r="K1731">
        <v>1.107111</v>
      </c>
      <c r="L1731">
        <v>284.53989999999999</v>
      </c>
      <c r="M1731">
        <v>-0.99944940000000004</v>
      </c>
      <c r="N1731">
        <v>0</v>
      </c>
      <c r="O1731">
        <v>2.928822E-2</v>
      </c>
      <c r="P1731">
        <v>-0.98671229999999999</v>
      </c>
      <c r="Q1731">
        <v>0.15601209999999999</v>
      </c>
      <c r="R1731">
        <v>4.537894E-2</v>
      </c>
      <c r="S1731">
        <v>-3.068085</v>
      </c>
      <c r="T1731">
        <v>-0.2034657</v>
      </c>
      <c r="U1731">
        <v>9.8022460000000006E-2</v>
      </c>
      <c r="V1731">
        <v>1.6896459999999999E-2</v>
      </c>
      <c r="W1731">
        <v>0.171349799999999</v>
      </c>
      <c r="X1731">
        <v>0.98506530000000003</v>
      </c>
      <c r="Y1731">
        <v>2.7005530000000001E-3</v>
      </c>
      <c r="Z1731">
        <v>-1.8500540000000001E-3</v>
      </c>
      <c r="AA1731">
        <v>0.99999459999999996</v>
      </c>
      <c r="AB1731">
        <v>58</v>
      </c>
      <c r="AC1731">
        <v>-16.257999999999999</v>
      </c>
      <c r="AD1731">
        <v>-1.1071087293349999</v>
      </c>
      <c r="AE1731">
        <v>0.52070000000003303</v>
      </c>
      <c r="AF1731">
        <v>4.40467608947471E-2</v>
      </c>
      <c r="AG1731">
        <v>-1.1071087293349999</v>
      </c>
      <c r="AH1731">
        <v>16.191272394557</v>
      </c>
      <c r="AI1731">
        <v>93.911603809694597</v>
      </c>
      <c r="AJ1731">
        <v>89.844132862852405</v>
      </c>
      <c r="AK1731">
        <v>16.2291383508324</v>
      </c>
      <c r="AL1731">
        <v>80.133690898132599</v>
      </c>
      <c r="AM1731">
        <v>89.017323093769704</v>
      </c>
      <c r="AN1731">
        <v>0.99999994479232901</v>
      </c>
    </row>
    <row r="1732" spans="1:40" x14ac:dyDescent="0.25">
      <c r="A1732" t="str">
        <f>"20190312164506762"</f>
        <v>20190312164506762</v>
      </c>
      <c r="B1732" t="str">
        <f>"1552380306752903"</f>
        <v>1552380306752903</v>
      </c>
      <c r="C1732" t="s">
        <v>40</v>
      </c>
      <c r="D1732">
        <v>4.7463600000000001</v>
      </c>
      <c r="E1732">
        <v>0.46159040000000001</v>
      </c>
      <c r="F1732" t="s">
        <v>47</v>
      </c>
      <c r="G1732">
        <v>-389.10359999999997</v>
      </c>
      <c r="H1732" s="1">
        <v>3.307705E-6</v>
      </c>
      <c r="I1732">
        <v>283.63200000000001</v>
      </c>
      <c r="J1732">
        <v>-371.44369999999998</v>
      </c>
      <c r="K1732">
        <v>1.107246</v>
      </c>
      <c r="L1732">
        <v>284.55590000000001</v>
      </c>
      <c r="M1732">
        <v>-0.99944319999999998</v>
      </c>
      <c r="N1732">
        <v>0</v>
      </c>
      <c r="O1732">
        <v>2.9495159999999999E-2</v>
      </c>
      <c r="P1732">
        <v>-0.98657169999999905</v>
      </c>
      <c r="Q1732">
        <v>0.15662879999999901</v>
      </c>
      <c r="R1732">
        <v>4.6302080000000002E-2</v>
      </c>
      <c r="S1732">
        <v>-3.0770569999999999</v>
      </c>
      <c r="T1732">
        <v>-0.18710779999999999</v>
      </c>
      <c r="U1732">
        <v>-0.15344240000000001</v>
      </c>
      <c r="V1732">
        <v>1.7566399999999999E-2</v>
      </c>
      <c r="W1732">
        <v>0.17197689999999999</v>
      </c>
      <c r="X1732">
        <v>0.98494429999999999</v>
      </c>
      <c r="Y1732">
        <v>-7.9045160000000003E-2</v>
      </c>
      <c r="Z1732">
        <v>-4.1906729999999998E-3</v>
      </c>
      <c r="AA1732">
        <v>0.99686220000000003</v>
      </c>
      <c r="AB1732">
        <v>58</v>
      </c>
      <c r="AC1732">
        <v>-17.659899999999901</v>
      </c>
      <c r="AD1732">
        <v>-1.1072426922950001</v>
      </c>
      <c r="AE1732">
        <v>-0.92390000000000305</v>
      </c>
      <c r="AF1732">
        <v>-1.4388023207151599</v>
      </c>
      <c r="AG1732">
        <v>-1.1072426922950001</v>
      </c>
      <c r="AH1732">
        <v>17.556135056975499</v>
      </c>
      <c r="AI1732">
        <v>93.596763953122505</v>
      </c>
      <c r="AJ1732">
        <v>94.6851699712672</v>
      </c>
      <c r="AK1732">
        <v>17.649759676451701</v>
      </c>
      <c r="AL1732">
        <v>80.097219401218297</v>
      </c>
      <c r="AM1732">
        <v>88.978242844405599</v>
      </c>
      <c r="AN1732">
        <v>0.999999953322528</v>
      </c>
    </row>
    <row r="1733" spans="1:40" x14ac:dyDescent="0.25">
      <c r="A1733" t="str">
        <f>"20190312164506776"</f>
        <v>20190312164506776</v>
      </c>
      <c r="B1733" t="str">
        <f>"1552380306773399"</f>
        <v>1552380306773399</v>
      </c>
      <c r="C1733" t="s">
        <v>40</v>
      </c>
      <c r="D1733">
        <v>4.6823240000000004</v>
      </c>
      <c r="E1733">
        <v>0.45995770000000002</v>
      </c>
      <c r="F1733" t="s">
        <v>47</v>
      </c>
      <c r="G1733">
        <v>-389.61259999999999</v>
      </c>
      <c r="H1733" s="1">
        <v>3.5785659999999998E-6</v>
      </c>
      <c r="I1733">
        <v>283.3211</v>
      </c>
      <c r="J1733">
        <v>-371.7697</v>
      </c>
      <c r="K1733">
        <v>1.107324</v>
      </c>
      <c r="L1733">
        <v>284.56549999999999</v>
      </c>
      <c r="M1733">
        <v>-0.99944069999999996</v>
      </c>
      <c r="N1733">
        <v>0</v>
      </c>
      <c r="O1733">
        <v>2.9575589999999999E-2</v>
      </c>
      <c r="P1733">
        <v>-0.98653780000000002</v>
      </c>
      <c r="Q1733">
        <v>0.1567779</v>
      </c>
      <c r="R1733">
        <v>4.6522260000000003E-2</v>
      </c>
      <c r="S1733">
        <v>-3.0804749999999999</v>
      </c>
      <c r="T1733">
        <v>-0.1877286</v>
      </c>
      <c r="U1733">
        <v>-0.2093506</v>
      </c>
      <c r="V1733">
        <v>1.7676330000000001E-2</v>
      </c>
      <c r="W1733">
        <v>0.17213239999999999</v>
      </c>
      <c r="X1733">
        <v>0.98491519999999999</v>
      </c>
      <c r="Y1733">
        <v>-9.7051579999999998E-2</v>
      </c>
      <c r="Z1733">
        <v>-4.7502120000000002E-3</v>
      </c>
      <c r="AA1733">
        <v>0.99526800000000004</v>
      </c>
      <c r="AB1733">
        <v>58</v>
      </c>
      <c r="AC1733">
        <v>-17.842899999999901</v>
      </c>
      <c r="AD1733">
        <v>-1.107320421434</v>
      </c>
      <c r="AE1733">
        <v>-1.24439999999998</v>
      </c>
      <c r="AF1733">
        <v>-1.76486980172858</v>
      </c>
      <c r="AG1733">
        <v>-1.107320421434</v>
      </c>
      <c r="AH1733">
        <v>17.730328711795298</v>
      </c>
      <c r="AI1733">
        <v>93.556149802655</v>
      </c>
      <c r="AJ1733">
        <v>95.684474066244405</v>
      </c>
      <c r="AK1733">
        <v>17.852324222943398</v>
      </c>
      <c r="AL1733">
        <v>80.088175334008895</v>
      </c>
      <c r="AM1733">
        <v>88.971819716432705</v>
      </c>
      <c r="AN1733">
        <v>0.99999998348153396</v>
      </c>
    </row>
    <row r="1734" spans="1:40" x14ac:dyDescent="0.25">
      <c r="A1734" t="str">
        <f>"20190312164506797"</f>
        <v>20190312164506797</v>
      </c>
      <c r="B1734" t="str">
        <f>"1552380306792919"</f>
        <v>1552380306792919</v>
      </c>
      <c r="C1734" t="s">
        <v>40</v>
      </c>
      <c r="D1734">
        <v>4.8053460000000001</v>
      </c>
      <c r="E1734">
        <v>0.45846530000000002</v>
      </c>
      <c r="F1734" t="s">
        <v>47</v>
      </c>
      <c r="G1734">
        <v>-390.00049999999999</v>
      </c>
      <c r="H1734" s="1">
        <v>-1.5364959999999999E-6</v>
      </c>
      <c r="I1734">
        <v>283.25400000000002</v>
      </c>
      <c r="J1734">
        <v>-372.34739999999999</v>
      </c>
      <c r="K1734">
        <v>1.1074649999999999</v>
      </c>
      <c r="L1734">
        <v>284.58249999999998</v>
      </c>
      <c r="M1734">
        <v>-0.99943879999999996</v>
      </c>
      <c r="N1734">
        <v>0</v>
      </c>
      <c r="O1734">
        <v>2.9643349999999999E-2</v>
      </c>
      <c r="P1734">
        <v>-0.98647399999999996</v>
      </c>
      <c r="Q1734">
        <v>0.1571244</v>
      </c>
      <c r="R1734">
        <v>4.670796E-2</v>
      </c>
      <c r="S1734">
        <v>-3.0811769999999998</v>
      </c>
      <c r="T1734">
        <v>-0.18714829999999999</v>
      </c>
      <c r="U1734">
        <v>-0.22164919999999999</v>
      </c>
      <c r="V1734">
        <v>1.7740410000000002E-2</v>
      </c>
      <c r="W1734">
        <v>0.17248939999999999</v>
      </c>
      <c r="X1734">
        <v>0.98485160000000005</v>
      </c>
      <c r="Y1734">
        <v>-0.101050399999999</v>
      </c>
      <c r="Z1734">
        <v>-4.8591320000000004E-3</v>
      </c>
      <c r="AA1734">
        <v>0.99486949999999996</v>
      </c>
      <c r="AB1734">
        <v>58</v>
      </c>
      <c r="AC1734">
        <v>-17.653099999999899</v>
      </c>
      <c r="AD1734">
        <v>-1.1074665364959999</v>
      </c>
      <c r="AE1734">
        <v>-1.32849999999996</v>
      </c>
      <c r="AF1734">
        <v>-1.8440599921682399</v>
      </c>
      <c r="AG1734">
        <v>-1.1074665364959999</v>
      </c>
      <c r="AH1734">
        <v>17.537321777575698</v>
      </c>
      <c r="AI1734">
        <v>93.5936205742168</v>
      </c>
      <c r="AJ1734">
        <v>96.002627739662699</v>
      </c>
      <c r="AK1734">
        <v>17.6687490930853</v>
      </c>
      <c r="AL1734">
        <v>80.0674102593307</v>
      </c>
      <c r="AM1734">
        <v>88.968026550911105</v>
      </c>
      <c r="AN1734">
        <v>0.99999999464094402</v>
      </c>
    </row>
    <row r="1735" spans="1:40" x14ac:dyDescent="0.25">
      <c r="A1735" t="str">
        <f>"20190312164506820"</f>
        <v>20190312164506820</v>
      </c>
      <c r="B1735" t="str">
        <f>"1552380306813415"</f>
        <v>1552380306813415</v>
      </c>
      <c r="C1735" t="s">
        <v>40</v>
      </c>
      <c r="D1735">
        <v>4.7778850000000004</v>
      </c>
      <c r="E1735">
        <v>0.45752090000000001</v>
      </c>
      <c r="F1735" t="s">
        <v>47</v>
      </c>
      <c r="G1735">
        <v>-390.04259999999999</v>
      </c>
      <c r="H1735" s="1">
        <v>-1.5141229999999901E-6</v>
      </c>
      <c r="I1735">
        <v>283.24149999999997</v>
      </c>
      <c r="J1735">
        <v>-372.92630000000003</v>
      </c>
      <c r="K1735">
        <v>1.1076090000000001</v>
      </c>
      <c r="L1735">
        <v>284.59960000000001</v>
      </c>
      <c r="M1735">
        <v>-0.99943919999999997</v>
      </c>
      <c r="N1735">
        <v>0</v>
      </c>
      <c r="O1735">
        <v>2.962416E-2</v>
      </c>
      <c r="P1735">
        <v>-0.98641040000000002</v>
      </c>
      <c r="Q1735">
        <v>0.15759699999999999</v>
      </c>
      <c r="R1735">
        <v>4.645374E-2</v>
      </c>
      <c r="S1735">
        <v>-3.082916</v>
      </c>
      <c r="T1735">
        <v>-0.19294610000000001</v>
      </c>
      <c r="U1735">
        <v>-0.23364260000000001</v>
      </c>
      <c r="V1735">
        <v>1.745006E-2</v>
      </c>
      <c r="W1735">
        <v>0.17297219999999999</v>
      </c>
      <c r="X1735">
        <v>0.98477210000000004</v>
      </c>
      <c r="Y1735">
        <v>-0.1048177</v>
      </c>
      <c r="Z1735">
        <v>-5.1222840000000004E-3</v>
      </c>
      <c r="AA1735">
        <v>0.99447830000000004</v>
      </c>
      <c r="AB1735">
        <v>58</v>
      </c>
      <c r="AC1735">
        <v>-17.116299999999899</v>
      </c>
      <c r="AD1735">
        <v>-1.1076105141229999</v>
      </c>
      <c r="AE1735">
        <v>-1.3581000000000301</v>
      </c>
      <c r="AF1735">
        <v>-1.85689451021067</v>
      </c>
      <c r="AG1735">
        <v>-1.1076105141229999</v>
      </c>
      <c r="AH1735">
        <v>16.997815527072401</v>
      </c>
      <c r="AI1735">
        <v>93.706245228057696</v>
      </c>
      <c r="AJ1735">
        <v>96.234447761218703</v>
      </c>
      <c r="AK1735">
        <v>17.1347772371114</v>
      </c>
      <c r="AL1735">
        <v>80.039325650493595</v>
      </c>
      <c r="AM1735">
        <v>88.984830942680901</v>
      </c>
      <c r="AN1735">
        <v>0.999999987752626</v>
      </c>
    </row>
    <row r="1736" spans="1:40" x14ac:dyDescent="0.25">
      <c r="A1736" t="str">
        <f>"20190312164506841"</f>
        <v>20190312164506841</v>
      </c>
      <c r="B1736" t="str">
        <f>"1552380306832935"</f>
        <v>1552380306832935</v>
      </c>
      <c r="C1736" t="s">
        <v>40</v>
      </c>
      <c r="D1736">
        <v>4.9298539999999997</v>
      </c>
      <c r="E1736">
        <v>0.45712649999999999</v>
      </c>
      <c r="F1736" t="s">
        <v>47</v>
      </c>
      <c r="G1736">
        <v>-390.1508</v>
      </c>
      <c r="H1736" s="1">
        <v>-1.456518E-6</v>
      </c>
      <c r="I1736">
        <v>283.24529999999999</v>
      </c>
      <c r="J1736">
        <v>-373.48649999999998</v>
      </c>
      <c r="K1736">
        <v>1.1077539999999999</v>
      </c>
      <c r="L1736">
        <v>284.61610000000002</v>
      </c>
      <c r="M1736">
        <v>-0.99944180000000005</v>
      </c>
      <c r="N1736">
        <v>0</v>
      </c>
      <c r="O1736">
        <v>2.9533210000000001E-2</v>
      </c>
      <c r="P1736">
        <v>-0.98633300000000002</v>
      </c>
      <c r="Q1736">
        <v>0.1582105</v>
      </c>
      <c r="R1736">
        <v>4.6009260000000003E-2</v>
      </c>
      <c r="S1736">
        <v>-3.0844420000000001</v>
      </c>
      <c r="T1736">
        <v>-0.1983422</v>
      </c>
      <c r="U1736">
        <v>-0.24252319999999999</v>
      </c>
      <c r="V1736">
        <v>1.704336E-2</v>
      </c>
      <c r="W1736">
        <v>0.17359349999999901</v>
      </c>
      <c r="X1736">
        <v>0.98466989999999999</v>
      </c>
      <c r="Y1736">
        <v>-0.10751620000000001</v>
      </c>
      <c r="Z1736">
        <v>-5.3427989999999996E-3</v>
      </c>
      <c r="AA1736">
        <v>0.99418899999999999</v>
      </c>
      <c r="AB1736">
        <v>58</v>
      </c>
      <c r="AC1736">
        <v>-16.664300000000001</v>
      </c>
      <c r="AD1736">
        <v>-1.1077554565179999</v>
      </c>
      <c r="AE1736">
        <v>-1.37080000000003</v>
      </c>
      <c r="AF1736">
        <v>-1.8542734385994999</v>
      </c>
      <c r="AG1736">
        <v>-1.1077554565179999</v>
      </c>
      <c r="AH1736">
        <v>16.5439256837419</v>
      </c>
      <c r="AI1736">
        <v>93.806951208722296</v>
      </c>
      <c r="AJ1736">
        <v>96.395125608476405</v>
      </c>
      <c r="AK1736">
        <v>16.684331846547401</v>
      </c>
      <c r="AL1736">
        <v>80.003181068672106</v>
      </c>
      <c r="AM1736">
        <v>89.008383321109704</v>
      </c>
      <c r="AN1736">
        <v>0.99999999566417397</v>
      </c>
    </row>
    <row r="1737" spans="1:40" x14ac:dyDescent="0.25">
      <c r="A1737" t="str">
        <f>"20190312164506854"</f>
        <v>20190312164506854</v>
      </c>
      <c r="B1737" t="str">
        <f>"1552380306843672"</f>
        <v>1552380306843672</v>
      </c>
      <c r="C1737" t="s">
        <v>40</v>
      </c>
      <c r="D1737">
        <v>4.8124989999999999</v>
      </c>
      <c r="E1737">
        <v>0.45712360000000002</v>
      </c>
      <c r="F1737" t="s">
        <v>47</v>
      </c>
      <c r="G1737">
        <v>-390.4633</v>
      </c>
      <c r="H1737" s="1">
        <v>-1.2902529999999999E-6</v>
      </c>
      <c r="I1737">
        <v>283.25470000000001</v>
      </c>
      <c r="J1737">
        <v>-373.80759999999998</v>
      </c>
      <c r="K1737">
        <v>1.1078380000000001</v>
      </c>
      <c r="L1737">
        <v>284.62560000000002</v>
      </c>
      <c r="M1737">
        <v>-0.9994442</v>
      </c>
      <c r="N1737">
        <v>0</v>
      </c>
      <c r="O1737">
        <v>2.945331E-2</v>
      </c>
      <c r="P1737">
        <v>-0.98635170000000005</v>
      </c>
      <c r="Q1737">
        <v>0.15818299999999999</v>
      </c>
      <c r="R1737">
        <v>4.5702649999999997E-2</v>
      </c>
      <c r="S1737">
        <v>-3.0854189999999999</v>
      </c>
      <c r="T1737">
        <v>-0.2013267</v>
      </c>
      <c r="U1737">
        <v>-0.2474365</v>
      </c>
      <c r="V1737">
        <v>1.6783949999999999E-2</v>
      </c>
      <c r="W1737">
        <v>0.173571</v>
      </c>
      <c r="X1737">
        <v>0.98467830000000001</v>
      </c>
      <c r="Y1737">
        <v>-0.1089741</v>
      </c>
      <c r="Z1737">
        <v>-5.4632250000000004E-3</v>
      </c>
      <c r="AA1737">
        <v>0.99402959999999996</v>
      </c>
      <c r="AB1737">
        <v>58</v>
      </c>
      <c r="AC1737">
        <v>-16.6557</v>
      </c>
      <c r="AD1737">
        <v>-1.1078392902530001</v>
      </c>
      <c r="AE1737">
        <v>-1.3709</v>
      </c>
      <c r="AF1737">
        <v>-1.85278858719868</v>
      </c>
      <c r="AG1737">
        <v>-1.1078392902530001</v>
      </c>
      <c r="AH1737">
        <v>16.535427220864001</v>
      </c>
      <c r="AI1737">
        <v>93.809202988965495</v>
      </c>
      <c r="AJ1737">
        <v>96.393303952269605</v>
      </c>
      <c r="AK1737">
        <v>16.675745465147099</v>
      </c>
      <c r="AL1737">
        <v>80.004489874317599</v>
      </c>
      <c r="AM1737">
        <v>89.023481695904906</v>
      </c>
      <c r="AN1737">
        <v>0.99999997375474503</v>
      </c>
    </row>
    <row r="1738" spans="1:40" x14ac:dyDescent="0.25">
      <c r="A1738" t="str">
        <f>"20190312164506867"</f>
        <v>20190312164506867</v>
      </c>
      <c r="B1738" t="str">
        <f>"1552380306863192"</f>
        <v>1552380306863192</v>
      </c>
      <c r="C1738" t="s">
        <v>40</v>
      </c>
      <c r="D1738">
        <v>4.8173399999999997</v>
      </c>
      <c r="E1738">
        <v>0.45685559999999997</v>
      </c>
      <c r="F1738" t="s">
        <v>47</v>
      </c>
      <c r="G1738">
        <v>-390.92329999999998</v>
      </c>
      <c r="H1738" s="1">
        <v>-1.0454739999999999E-6</v>
      </c>
      <c r="I1738">
        <v>283.24689999999998</v>
      </c>
      <c r="J1738">
        <v>-374.15589999999997</v>
      </c>
      <c r="K1738">
        <v>1.10792</v>
      </c>
      <c r="L1738">
        <v>284.63589999999999</v>
      </c>
      <c r="M1738">
        <v>-0.99944719999999998</v>
      </c>
      <c r="N1738">
        <v>0</v>
      </c>
      <c r="O1738">
        <v>2.934703E-2</v>
      </c>
      <c r="P1738">
        <v>-0.98628740000000004</v>
      </c>
      <c r="Q1738">
        <v>0.15869610000000001</v>
      </c>
      <c r="R1738">
        <v>4.5310700000000002E-2</v>
      </c>
      <c r="S1738">
        <v>-3.0850219999999999</v>
      </c>
      <c r="T1738">
        <v>-0.19968350000000001</v>
      </c>
      <c r="U1738">
        <v>-0.24850459999999999</v>
      </c>
      <c r="V1738">
        <v>1.6465759999999999E-2</v>
      </c>
      <c r="W1738">
        <v>0.17408799999999999</v>
      </c>
      <c r="X1738">
        <v>0.98459240000000003</v>
      </c>
      <c r="Y1738">
        <v>-0.1092249</v>
      </c>
      <c r="Z1738">
        <v>-5.4205829999999997E-3</v>
      </c>
      <c r="AA1738">
        <v>0.99400230000000001</v>
      </c>
      <c r="AB1738">
        <v>58</v>
      </c>
      <c r="AC1738">
        <v>-16.767399999999999</v>
      </c>
      <c r="AD1738">
        <v>-1.1079210454740001</v>
      </c>
      <c r="AE1738">
        <v>-1.38900000000001</v>
      </c>
      <c r="AF1738">
        <v>-1.8724157387487299</v>
      </c>
      <c r="AG1738">
        <v>-1.1079210454740001</v>
      </c>
      <c r="AH1738">
        <v>16.6472214292024</v>
      </c>
      <c r="AI1738">
        <v>93.783796891268196</v>
      </c>
      <c r="AJ1738">
        <v>96.4174385388025</v>
      </c>
      <c r="AK1738">
        <v>16.788788254505299</v>
      </c>
      <c r="AL1738">
        <v>79.974410010308503</v>
      </c>
      <c r="AM1738">
        <v>89.041907473943297</v>
      </c>
      <c r="AN1738">
        <v>0.99999997356706805</v>
      </c>
    </row>
    <row r="1739" spans="1:40" x14ac:dyDescent="0.25">
      <c r="A1739" t="str">
        <f>"20190312164506880"</f>
        <v>20190312164506880</v>
      </c>
      <c r="B1739" t="str">
        <f>"1552380306872951"</f>
        <v>1552380306872951</v>
      </c>
      <c r="C1739" t="s">
        <v>40</v>
      </c>
      <c r="D1739">
        <v>5.0146009999999999</v>
      </c>
      <c r="E1739">
        <v>0.45675149999999998</v>
      </c>
      <c r="F1739" t="s">
        <v>47</v>
      </c>
      <c r="G1739">
        <v>-391.2801</v>
      </c>
      <c r="H1739" s="1">
        <v>-8.5557009999999902E-7</v>
      </c>
      <c r="I1739">
        <v>283.2373</v>
      </c>
      <c r="J1739">
        <v>-374.49259999999998</v>
      </c>
      <c r="K1739">
        <v>1.10799</v>
      </c>
      <c r="L1739">
        <v>284.64569999999998</v>
      </c>
      <c r="M1739">
        <v>-0.99945090000000003</v>
      </c>
      <c r="N1739">
        <v>0</v>
      </c>
      <c r="O1739">
        <v>2.9220159999999998E-2</v>
      </c>
      <c r="P1739">
        <v>-0.98625359999999995</v>
      </c>
      <c r="Q1739">
        <v>0.15894730000000001</v>
      </c>
      <c r="R1739">
        <v>4.5160239999999997E-2</v>
      </c>
      <c r="S1739">
        <v>-3.0854189999999999</v>
      </c>
      <c r="T1739">
        <v>-0.1996242</v>
      </c>
      <c r="U1739">
        <v>-0.25198359999999997</v>
      </c>
      <c r="V1739">
        <v>1.6410629999999999E-2</v>
      </c>
      <c r="W1739">
        <v>0.174342</v>
      </c>
      <c r="X1739">
        <v>0.98454839999999999</v>
      </c>
      <c r="Y1739">
        <v>-0.1102004</v>
      </c>
      <c r="Z1739">
        <v>-5.4413259999999998E-3</v>
      </c>
      <c r="AA1739">
        <v>0.99389450000000001</v>
      </c>
      <c r="AB1739">
        <v>58</v>
      </c>
      <c r="AC1739">
        <v>-16.787500000000001</v>
      </c>
      <c r="AD1739">
        <v>-1.1079908555700999</v>
      </c>
      <c r="AE1739">
        <v>-1.4083999999999699</v>
      </c>
      <c r="AF1739">
        <v>-1.8902153145843099</v>
      </c>
      <c r="AG1739">
        <v>-1.1079908555700999</v>
      </c>
      <c r="AH1739">
        <v>16.667074883988601</v>
      </c>
      <c r="AI1739">
        <v>93.779147725310096</v>
      </c>
      <c r="AJ1739">
        <v>96.470277014859207</v>
      </c>
      <c r="AK1739">
        <v>16.810471226589701</v>
      </c>
      <c r="AL1739">
        <v>79.959631110087798</v>
      </c>
      <c r="AM1739">
        <v>89.045072059681701</v>
      </c>
      <c r="AN1739">
        <v>0.99999999684177798</v>
      </c>
    </row>
    <row r="1740" spans="1:40" x14ac:dyDescent="0.25">
      <c r="A1740" t="str">
        <f>"20190312164506893"</f>
        <v>20190312164506893</v>
      </c>
      <c r="B1740" t="str">
        <f>"1552380306883687"</f>
        <v>1552380306883687</v>
      </c>
      <c r="C1740" t="s">
        <v>40</v>
      </c>
      <c r="D1740">
        <v>4.850543</v>
      </c>
      <c r="E1740">
        <v>0.45654479999999997</v>
      </c>
      <c r="F1740" t="s">
        <v>47</v>
      </c>
      <c r="G1740">
        <v>-392.09730000000002</v>
      </c>
      <c r="H1740" s="1">
        <v>-4.2070029999999998E-7</v>
      </c>
      <c r="I1740">
        <v>283.2022</v>
      </c>
      <c r="J1740">
        <v>-374.82940000000002</v>
      </c>
      <c r="K1740">
        <v>1.1080650000000001</v>
      </c>
      <c r="L1740">
        <v>284.65550000000002</v>
      </c>
      <c r="M1740">
        <v>-0.99945499999999998</v>
      </c>
      <c r="N1740">
        <v>0</v>
      </c>
      <c r="O1740">
        <v>2.9082110000000001E-2</v>
      </c>
      <c r="P1740">
        <v>-0.98624789999999996</v>
      </c>
      <c r="Q1740">
        <v>0.15913289999999999</v>
      </c>
      <c r="R1740">
        <v>4.4633239999999998E-2</v>
      </c>
      <c r="S1740">
        <v>-3.084686</v>
      </c>
      <c r="T1740">
        <v>-0.1941407</v>
      </c>
      <c r="U1740">
        <v>-0.25292969999999998</v>
      </c>
      <c r="V1740">
        <v>1.5990230000000001E-2</v>
      </c>
      <c r="W1740">
        <v>0.17453070000000001</v>
      </c>
      <c r="X1740">
        <v>0.98452189999999995</v>
      </c>
      <c r="Y1740">
        <v>-0.1104005</v>
      </c>
      <c r="Z1740">
        <v>-5.2909530000000001E-3</v>
      </c>
      <c r="AA1740">
        <v>0.99387309999999995</v>
      </c>
      <c r="AB1740">
        <v>58</v>
      </c>
      <c r="AC1740">
        <v>-17.267899999999901</v>
      </c>
      <c r="AD1740">
        <v>-1.10806542070029</v>
      </c>
      <c r="AE1740">
        <v>-1.45330000000001</v>
      </c>
      <c r="AF1740">
        <v>-1.94697276204603</v>
      </c>
      <c r="AG1740">
        <v>-1.10806542070029</v>
      </c>
      <c r="AH1740">
        <v>17.148210087113402</v>
      </c>
      <c r="AI1740">
        <v>93.673603015045998</v>
      </c>
      <c r="AJ1740">
        <v>96.477507301127403</v>
      </c>
      <c r="AK1740">
        <v>17.293918616221099</v>
      </c>
      <c r="AL1740">
        <v>79.948651210551006</v>
      </c>
      <c r="AM1740">
        <v>89.069505568067797</v>
      </c>
      <c r="AN1740">
        <v>1.00000001213877</v>
      </c>
    </row>
    <row r="1741" spans="1:40" x14ac:dyDescent="0.25">
      <c r="A1741" t="str">
        <f>"20190312164506908"</f>
        <v>20190312164506908</v>
      </c>
      <c r="B1741" t="str">
        <f>"1552380306903211"</f>
        <v>1552380306903211</v>
      </c>
      <c r="C1741" t="s">
        <v>40</v>
      </c>
      <c r="D1741">
        <v>4.8565480000000001</v>
      </c>
      <c r="E1741">
        <v>0.45630730000000003</v>
      </c>
      <c r="F1741" t="s">
        <v>47</v>
      </c>
      <c r="G1741">
        <v>-392.34300000000002</v>
      </c>
      <c r="H1741" s="1">
        <v>-2.8992819999999998E-7</v>
      </c>
      <c r="I1741">
        <v>283.20030000000003</v>
      </c>
      <c r="J1741">
        <v>-375.21949999999998</v>
      </c>
      <c r="K1741">
        <v>1.108144</v>
      </c>
      <c r="L1741">
        <v>284.66680000000002</v>
      </c>
      <c r="M1741">
        <v>-0.99946020000000002</v>
      </c>
      <c r="N1741">
        <v>0</v>
      </c>
      <c r="O1741">
        <v>2.890475E-2</v>
      </c>
      <c r="P1741">
        <v>-0.98625090000000004</v>
      </c>
      <c r="Q1741">
        <v>0.1592017</v>
      </c>
      <c r="R1741">
        <v>4.4320129999999999E-2</v>
      </c>
      <c r="S1741">
        <v>-3.0849609999999998</v>
      </c>
      <c r="T1741">
        <v>-0.1951813</v>
      </c>
      <c r="U1741">
        <v>-0.25631710000000002</v>
      </c>
      <c r="V1741">
        <v>1.5818949999999998E-2</v>
      </c>
      <c r="W1741">
        <v>0.17460349999999999</v>
      </c>
      <c r="X1741">
        <v>0.98451169999999999</v>
      </c>
      <c r="Y1741">
        <v>-0.11129650000000001</v>
      </c>
      <c r="Z1741">
        <v>-5.3356250000000001E-3</v>
      </c>
      <c r="AA1741">
        <v>0.99377289999999996</v>
      </c>
      <c r="AB1741">
        <v>58</v>
      </c>
      <c r="AC1741">
        <v>-17.1235</v>
      </c>
      <c r="AD1741">
        <v>-1.1081442899281999</v>
      </c>
      <c r="AE1741">
        <v>-1.4664999999999899</v>
      </c>
      <c r="AF1741">
        <v>-1.95277923342871</v>
      </c>
      <c r="AG1741">
        <v>-1.1081442899281999</v>
      </c>
      <c r="AH1741">
        <v>17.003258271539501</v>
      </c>
      <c r="AI1741">
        <v>93.704551080728905</v>
      </c>
      <c r="AJ1741">
        <v>96.551564473749906</v>
      </c>
      <c r="AK1741">
        <v>17.1508636036348</v>
      </c>
      <c r="AL1741">
        <v>79.944414446037399</v>
      </c>
      <c r="AM1741">
        <v>89.079461337256703</v>
      </c>
      <c r="AN1741">
        <v>0.99999995441412004</v>
      </c>
    </row>
    <row r="1742" spans="1:40" x14ac:dyDescent="0.25">
      <c r="A1742" t="str">
        <f>"20190312164506920"</f>
        <v>20190312164506920</v>
      </c>
      <c r="B1742" t="str">
        <f>"1552380306912968"</f>
        <v>1552380306912968</v>
      </c>
      <c r="C1742" t="s">
        <v>40</v>
      </c>
      <c r="D1742">
        <v>4.960108</v>
      </c>
      <c r="E1742">
        <v>0.45635189999999998</v>
      </c>
      <c r="F1742" t="s">
        <v>47</v>
      </c>
      <c r="G1742">
        <v>-392.48439999999999</v>
      </c>
      <c r="H1742" s="1">
        <v>-2.1471490000000001E-7</v>
      </c>
      <c r="I1742">
        <v>283.21339999999998</v>
      </c>
      <c r="J1742">
        <v>-375.54050000000001</v>
      </c>
      <c r="K1742">
        <v>1.1082069999999999</v>
      </c>
      <c r="L1742">
        <v>284.67599999999999</v>
      </c>
      <c r="M1742">
        <v>-0.99946480000000004</v>
      </c>
      <c r="N1742">
        <v>0</v>
      </c>
      <c r="O1742">
        <v>2.8742E-2</v>
      </c>
      <c r="P1742">
        <v>-0.98629160000000005</v>
      </c>
      <c r="Q1742">
        <v>0.15908079999999999</v>
      </c>
      <c r="R1742">
        <v>4.3844389999999997E-2</v>
      </c>
      <c r="S1742">
        <v>-3.0854490000000001</v>
      </c>
      <c r="T1742">
        <v>-0.1980383</v>
      </c>
      <c r="U1742">
        <v>-0.2597351</v>
      </c>
      <c r="V1742">
        <v>1.5477869999999999E-2</v>
      </c>
      <c r="W1742">
        <v>0.17448520000000001</v>
      </c>
      <c r="X1742">
        <v>0.98453809999999997</v>
      </c>
      <c r="Y1742">
        <v>-0.11220529999999999</v>
      </c>
      <c r="Z1742">
        <v>-5.4311400000000001E-3</v>
      </c>
      <c r="AA1742">
        <v>0.99367019999999995</v>
      </c>
      <c r="AB1742">
        <v>58</v>
      </c>
      <c r="AC1742">
        <v>-16.9438999999999</v>
      </c>
      <c r="AD1742">
        <v>-1.1082072147149</v>
      </c>
      <c r="AE1742">
        <v>-1.4625999999999999</v>
      </c>
      <c r="AF1742">
        <v>-1.9408156846351601</v>
      </c>
      <c r="AG1742">
        <v>-1.1082072147149</v>
      </c>
      <c r="AH1742">
        <v>16.823420880482399</v>
      </c>
      <c r="AI1742">
        <v>93.744032503078898</v>
      </c>
      <c r="AJ1742">
        <v>96.580774151054598</v>
      </c>
      <c r="AK1742">
        <v>16.9712220795771</v>
      </c>
      <c r="AL1742">
        <v>79.951298263396694</v>
      </c>
      <c r="AM1742">
        <v>89.099330356716493</v>
      </c>
      <c r="AN1742">
        <v>0.99999995991519197</v>
      </c>
    </row>
    <row r="1743" spans="1:40" x14ac:dyDescent="0.25">
      <c r="A1743" t="str">
        <f>"20190312164506942"</f>
        <v>20190312164506942</v>
      </c>
      <c r="B1743" t="str">
        <f>"1552380306933467"</f>
        <v>1552380306933467</v>
      </c>
      <c r="C1743" t="s">
        <v>40</v>
      </c>
      <c r="D1743">
        <v>4.9862019999999996</v>
      </c>
      <c r="E1743">
        <v>0.45642379999999999</v>
      </c>
      <c r="F1743" t="s">
        <v>47</v>
      </c>
      <c r="G1743">
        <v>-392.67590000000001</v>
      </c>
      <c r="H1743" s="1">
        <v>-1.127842E-7</v>
      </c>
      <c r="I1743">
        <v>283.2276</v>
      </c>
      <c r="J1743">
        <v>-376.09969999999998</v>
      </c>
      <c r="K1743">
        <v>1.1083130000000001</v>
      </c>
      <c r="L1743">
        <v>284.69200000000001</v>
      </c>
      <c r="M1743">
        <v>-0.99947330000000001</v>
      </c>
      <c r="N1743">
        <v>0</v>
      </c>
      <c r="O1743">
        <v>2.8441770000000002E-2</v>
      </c>
      <c r="P1743">
        <v>-0.98629009999999995</v>
      </c>
      <c r="Q1743">
        <v>0.1593135</v>
      </c>
      <c r="R1743">
        <v>4.3025849999999997E-2</v>
      </c>
      <c r="S1743">
        <v>-3.08548</v>
      </c>
      <c r="T1743">
        <v>-0.19954820000000001</v>
      </c>
      <c r="U1743">
        <v>-0.26080320000000001</v>
      </c>
      <c r="V1743">
        <v>1.4915950000000001E-2</v>
      </c>
      <c r="W1743">
        <v>0.17472089999999901</v>
      </c>
      <c r="X1743">
        <v>0.98450499999999996</v>
      </c>
      <c r="Y1743">
        <v>-0.1122437</v>
      </c>
      <c r="Z1743">
        <v>-5.4542000000000002E-3</v>
      </c>
      <c r="AA1743">
        <v>0.99366580000000004</v>
      </c>
      <c r="AB1743">
        <v>58</v>
      </c>
      <c r="AC1743">
        <v>-16.5762</v>
      </c>
      <c r="AD1743">
        <v>-1.1083131127842001</v>
      </c>
      <c r="AE1743">
        <v>-1.4644000000000099</v>
      </c>
      <c r="AF1743">
        <v>-1.9267745557675799</v>
      </c>
      <c r="AG1743">
        <v>-1.1083131127842001</v>
      </c>
      <c r="AH1743">
        <v>16.454845731706499</v>
      </c>
      <c r="AI1743">
        <v>93.827256424852095</v>
      </c>
      <c r="AJ1743">
        <v>96.678616735783507</v>
      </c>
      <c r="AK1743">
        <v>16.604299629884501</v>
      </c>
      <c r="AL1743">
        <v>79.937583238354804</v>
      </c>
      <c r="AM1743">
        <v>89.131994656820297</v>
      </c>
      <c r="AN1743">
        <v>0.99999998674310597</v>
      </c>
    </row>
    <row r="1744" spans="1:40" x14ac:dyDescent="0.25">
      <c r="A1744" t="str">
        <f>"20190312164506963"</f>
        <v>20190312164506963</v>
      </c>
      <c r="B1744" t="str">
        <f>"1552380306952983"</f>
        <v>1552380306952983</v>
      </c>
      <c r="C1744" t="s">
        <v>40</v>
      </c>
      <c r="D1744">
        <v>4.971743</v>
      </c>
      <c r="E1744">
        <v>0.45648909999999998</v>
      </c>
      <c r="F1744" t="s">
        <v>47</v>
      </c>
      <c r="G1744">
        <v>-393.29840000000002</v>
      </c>
      <c r="H1744" s="1">
        <v>2.1846710000000001E-7</v>
      </c>
      <c r="I1744">
        <v>283.2303</v>
      </c>
      <c r="J1744">
        <v>-376.65120000000002</v>
      </c>
      <c r="K1744">
        <v>1.1083989999999999</v>
      </c>
      <c r="L1744">
        <v>284.70749999999998</v>
      </c>
      <c r="M1744">
        <v>-0.99948250000000005</v>
      </c>
      <c r="N1744">
        <v>0</v>
      </c>
      <c r="O1744">
        <v>2.8122359999999999E-2</v>
      </c>
      <c r="P1744">
        <v>-0.98624630000000002</v>
      </c>
      <c r="Q1744">
        <v>0.15978970000000001</v>
      </c>
      <c r="R1744">
        <v>4.2258089999999998E-2</v>
      </c>
      <c r="S1744">
        <v>-3.0852970000000002</v>
      </c>
      <c r="T1744">
        <v>-0.19882089999999999</v>
      </c>
      <c r="U1744">
        <v>-0.26220700000000002</v>
      </c>
      <c r="V1744">
        <v>1.4430749999999999E-2</v>
      </c>
      <c r="W1744">
        <v>0.17519789999999999</v>
      </c>
      <c r="X1744">
        <v>0.98442750000000001</v>
      </c>
      <c r="Y1744">
        <v>-0.1123825</v>
      </c>
      <c r="Z1744">
        <v>-5.4185079999999998E-3</v>
      </c>
      <c r="AA1744">
        <v>0.99365029999999999</v>
      </c>
      <c r="AB1744">
        <v>58</v>
      </c>
      <c r="AC1744">
        <v>-16.647199999999899</v>
      </c>
      <c r="AD1744">
        <v>-1.1083987815328999</v>
      </c>
      <c r="AE1744">
        <v>-1.4771999999999801</v>
      </c>
      <c r="AF1744">
        <v>-1.93631439691032</v>
      </c>
      <c r="AG1744">
        <v>-1.1083987815328999</v>
      </c>
      <c r="AH1744">
        <v>16.5263757437951</v>
      </c>
      <c r="AI1744">
        <v>93.811002843966094</v>
      </c>
      <c r="AJ1744">
        <v>96.682597827155206</v>
      </c>
      <c r="AK1744">
        <v>16.6762992455666</v>
      </c>
      <c r="AL1744">
        <v>79.909825405744897</v>
      </c>
      <c r="AM1744">
        <v>89.160159734006797</v>
      </c>
      <c r="AN1744">
        <v>1.0000000267331099</v>
      </c>
    </row>
    <row r="1745" spans="1:40" x14ac:dyDescent="0.25">
      <c r="A1745" t="str">
        <f>"20190312164506978"</f>
        <v>20190312164506978</v>
      </c>
      <c r="B1745" t="str">
        <f>"1552380306973479"</f>
        <v>1552380306973479</v>
      </c>
      <c r="C1745" t="s">
        <v>40</v>
      </c>
      <c r="D1745">
        <v>4.9651860000000001</v>
      </c>
      <c r="E1745">
        <v>0.45654470000000003</v>
      </c>
      <c r="F1745" t="s">
        <v>47</v>
      </c>
      <c r="G1745">
        <v>-394.11169999999998</v>
      </c>
      <c r="H1745" s="1">
        <v>6.5125529999999997E-7</v>
      </c>
      <c r="I1745">
        <v>283.21289999999999</v>
      </c>
      <c r="J1745">
        <v>-377.02760000000001</v>
      </c>
      <c r="K1745">
        <v>1.108444</v>
      </c>
      <c r="L1745">
        <v>284.71800000000002</v>
      </c>
      <c r="M1745">
        <v>-0.99948890000000001</v>
      </c>
      <c r="N1745">
        <v>0</v>
      </c>
      <c r="O1745">
        <v>2.7893040000000001E-2</v>
      </c>
      <c r="P1745">
        <v>-0.98624469999999997</v>
      </c>
      <c r="Q1745">
        <v>0.15991459999999999</v>
      </c>
      <c r="R1745">
        <v>4.1820990000000002E-2</v>
      </c>
      <c r="S1745">
        <v>-3.0848689999999999</v>
      </c>
      <c r="T1745">
        <v>-0.19582820000000001</v>
      </c>
      <c r="U1745">
        <v>-0.26406859999999999</v>
      </c>
      <c r="V1745">
        <v>1.4199720000000001E-2</v>
      </c>
      <c r="W1745">
        <v>0.17532320000000001</v>
      </c>
      <c r="X1745">
        <v>0.98440850000000002</v>
      </c>
      <c r="Y1745">
        <v>-0.1127697</v>
      </c>
      <c r="Z1745">
        <v>-5.335444E-3</v>
      </c>
      <c r="AA1745">
        <v>0.99360680000000001</v>
      </c>
      <c r="AB1745">
        <v>58</v>
      </c>
      <c r="AC1745">
        <v>-17.0840999999999</v>
      </c>
      <c r="AD1745">
        <v>-1.1084433487446901</v>
      </c>
      <c r="AE1745">
        <v>-1.5051000000000201</v>
      </c>
      <c r="AF1745">
        <v>-1.9728588335775199</v>
      </c>
      <c r="AG1745">
        <v>-1.1084433487446901</v>
      </c>
      <c r="AH1745">
        <v>16.964599763000599</v>
      </c>
      <c r="AI1745">
        <v>93.713358131252505</v>
      </c>
      <c r="AJ1745">
        <v>96.633284226459693</v>
      </c>
      <c r="AK1745">
        <v>17.114860903711801</v>
      </c>
      <c r="AL1745">
        <v>79.902532858598406</v>
      </c>
      <c r="AM1745">
        <v>89.173587381747595</v>
      </c>
      <c r="AN1745">
        <v>0.999999975689283</v>
      </c>
    </row>
    <row r="1746" spans="1:40" x14ac:dyDescent="0.25">
      <c r="A1746" t="str">
        <f>"20190312164506995"</f>
        <v>20190312164506995</v>
      </c>
      <c r="B1746" t="str">
        <f>"1552380306983240"</f>
        <v>1552380306983240</v>
      </c>
      <c r="C1746" t="s">
        <v>40</v>
      </c>
      <c r="D1746">
        <v>4.8751119999999997</v>
      </c>
      <c r="E1746">
        <v>0.456486</v>
      </c>
      <c r="F1746" t="s">
        <v>47</v>
      </c>
      <c r="G1746">
        <v>-394.6422</v>
      </c>
      <c r="H1746" s="1">
        <v>9.3356690000000005E-7</v>
      </c>
      <c r="I1746">
        <v>283.20359999999999</v>
      </c>
      <c r="J1746">
        <v>-377.45</v>
      </c>
      <c r="K1746">
        <v>1.108495</v>
      </c>
      <c r="L1746">
        <v>284.72969999999998</v>
      </c>
      <c r="M1746">
        <v>-0.99949619999999995</v>
      </c>
      <c r="N1746">
        <v>0</v>
      </c>
      <c r="O1746">
        <v>2.7628650000000001E-2</v>
      </c>
      <c r="P1746">
        <v>-0.98627509999999996</v>
      </c>
      <c r="Q1746">
        <v>0.15987950000000001</v>
      </c>
      <c r="R1746">
        <v>4.1230629999999997E-2</v>
      </c>
      <c r="S1746">
        <v>-3.0845639999999999</v>
      </c>
      <c r="T1746">
        <v>-0.19410340000000001</v>
      </c>
      <c r="U1746">
        <v>-0.26519779999999998</v>
      </c>
      <c r="V1746">
        <v>1.384906E-2</v>
      </c>
      <c r="W1746">
        <v>0.175289</v>
      </c>
      <c r="X1746">
        <v>0.98441959999999995</v>
      </c>
      <c r="Y1746">
        <v>-0.1128815</v>
      </c>
      <c r="Z1746">
        <v>-5.2758919999999999E-3</v>
      </c>
      <c r="AA1746">
        <v>0.99359450000000005</v>
      </c>
      <c r="AB1746">
        <v>58</v>
      </c>
      <c r="AC1746">
        <v>-17.1922</v>
      </c>
      <c r="AD1746">
        <v>-1.1084940664331</v>
      </c>
      <c r="AE1746">
        <v>-1.52609999999998</v>
      </c>
      <c r="AF1746">
        <v>-1.9923545975474</v>
      </c>
      <c r="AG1746">
        <v>-1.1084940664331</v>
      </c>
      <c r="AH1746">
        <v>17.073044506221901</v>
      </c>
      <c r="AI1746">
        <v>93.689834777692198</v>
      </c>
      <c r="AJ1746">
        <v>96.656078499011997</v>
      </c>
      <c r="AK1746">
        <v>17.224606951948701</v>
      </c>
      <c r="AL1746">
        <v>79.904523336840398</v>
      </c>
      <c r="AM1746">
        <v>89.194001880663905</v>
      </c>
      <c r="AN1746">
        <v>0.99999998942402102</v>
      </c>
    </row>
    <row r="1747" spans="1:40" x14ac:dyDescent="0.25">
      <c r="A1747" t="str">
        <f>"20190312164507010"</f>
        <v>20190312164507010</v>
      </c>
      <c r="B1747" t="str">
        <f>"1552380307003736"</f>
        <v>1552380307003736</v>
      </c>
      <c r="C1747" t="s">
        <v>40</v>
      </c>
      <c r="D1747">
        <v>4.8369759999999999</v>
      </c>
      <c r="E1747">
        <v>0.45621040000000002</v>
      </c>
      <c r="F1747" t="s">
        <v>47</v>
      </c>
      <c r="G1747">
        <v>-395.32819999999998</v>
      </c>
      <c r="H1747" s="1">
        <v>1.298601E-6</v>
      </c>
      <c r="I1747">
        <v>283.17829999999998</v>
      </c>
      <c r="J1747">
        <v>-377.84070000000003</v>
      </c>
      <c r="K1747">
        <v>1.1085400000000001</v>
      </c>
      <c r="L1747">
        <v>284.7405</v>
      </c>
      <c r="M1747">
        <v>-0.99950320000000004</v>
      </c>
      <c r="N1747">
        <v>0</v>
      </c>
      <c r="O1747">
        <v>2.7378300000000001E-2</v>
      </c>
      <c r="P1747">
        <v>-0.98625249999999998</v>
      </c>
      <c r="Q1747">
        <v>0.16022549999999999</v>
      </c>
      <c r="R1747">
        <v>4.0422029999999998E-2</v>
      </c>
      <c r="S1747">
        <v>-3.083923</v>
      </c>
      <c r="T1747">
        <v>-0.19121109999999999</v>
      </c>
      <c r="U1747">
        <v>-0.26760859999999997</v>
      </c>
      <c r="V1747">
        <v>1.327089E-2</v>
      </c>
      <c r="W1747">
        <v>0.17563399999999901</v>
      </c>
      <c r="X1747">
        <v>0.98436610000000002</v>
      </c>
      <c r="Y1747">
        <v>-0.11342869999999999</v>
      </c>
      <c r="Z1747">
        <v>-5.1997650000000003E-3</v>
      </c>
      <c r="AA1747">
        <v>0.99353250000000004</v>
      </c>
      <c r="AB1747">
        <v>58</v>
      </c>
      <c r="AC1747">
        <v>-17.487499999999901</v>
      </c>
      <c r="AD1747">
        <v>-1.10853870139899</v>
      </c>
      <c r="AE1747">
        <v>-1.56220000000001</v>
      </c>
      <c r="AF1747">
        <v>-2.0323486440769001</v>
      </c>
      <c r="AG1747">
        <v>-1.10853870139899</v>
      </c>
      <c r="AH1747">
        <v>17.368925898130101</v>
      </c>
      <c r="AI1747">
        <v>93.627161748499006</v>
      </c>
      <c r="AJ1747">
        <v>96.673866248110599</v>
      </c>
      <c r="AK1747">
        <v>17.522525101089599</v>
      </c>
      <c r="AL1747">
        <v>79.884445098835698</v>
      </c>
      <c r="AM1747">
        <v>89.227604520730594</v>
      </c>
      <c r="AN1747">
        <v>1.0000000186533</v>
      </c>
    </row>
    <row r="1748" spans="1:40" x14ac:dyDescent="0.25">
      <c r="A1748" t="str">
        <f>"20190312164507033"</f>
        <v>20190312164507033</v>
      </c>
      <c r="B1748" t="str">
        <f>"1552380307023255"</f>
        <v>1552380307023255</v>
      </c>
      <c r="C1748" t="s">
        <v>40</v>
      </c>
      <c r="D1748">
        <v>4.7846869999999999</v>
      </c>
      <c r="E1748">
        <v>0.455924</v>
      </c>
      <c r="F1748" t="s">
        <v>47</v>
      </c>
      <c r="G1748">
        <v>-395.56889999999999</v>
      </c>
      <c r="H1748" s="1">
        <v>1.426707E-6</v>
      </c>
      <c r="I1748">
        <v>283.1748</v>
      </c>
      <c r="J1748">
        <v>-378.41849999999999</v>
      </c>
      <c r="K1748">
        <v>1.1086039999999999</v>
      </c>
      <c r="L1748">
        <v>284.7561</v>
      </c>
      <c r="M1748">
        <v>-0.9995136</v>
      </c>
      <c r="N1748">
        <v>0</v>
      </c>
      <c r="O1748">
        <v>2.6997940000000002E-2</v>
      </c>
      <c r="P1748">
        <v>-0.98620649999999999</v>
      </c>
      <c r="Q1748">
        <v>0.16068859999999999</v>
      </c>
      <c r="R1748">
        <v>3.9703429999999998E-2</v>
      </c>
      <c r="S1748">
        <v>-3.08432</v>
      </c>
      <c r="T1748">
        <v>-0.19286110000000001</v>
      </c>
      <c r="U1748">
        <v>-0.27239989999999997</v>
      </c>
      <c r="V1748">
        <v>1.2907389999999999E-2</v>
      </c>
      <c r="W1748">
        <v>0.17609449999999999</v>
      </c>
      <c r="X1748">
        <v>0.98428859999999996</v>
      </c>
      <c r="Y1748">
        <v>-0.11456520000000001</v>
      </c>
      <c r="Z1748">
        <v>-5.2552359999999999E-3</v>
      </c>
      <c r="AA1748">
        <v>0.9934018</v>
      </c>
      <c r="AB1748">
        <v>58</v>
      </c>
      <c r="AC1748">
        <v>-17.150399999999902</v>
      </c>
      <c r="AD1748">
        <v>-1.108602573293</v>
      </c>
      <c r="AE1748">
        <v>-1.5812999999999899</v>
      </c>
      <c r="AF1748">
        <v>-2.0353725730454202</v>
      </c>
      <c r="AG1748">
        <v>-1.108602573293</v>
      </c>
      <c r="AH1748">
        <v>17.030889017116099</v>
      </c>
      <c r="AI1748">
        <v>93.698094469687206</v>
      </c>
      <c r="AJ1748">
        <v>96.815131992152104</v>
      </c>
      <c r="AK1748">
        <v>17.187871360059201</v>
      </c>
      <c r="AL1748">
        <v>79.857642069013096</v>
      </c>
      <c r="AM1748">
        <v>89.248699431154904</v>
      </c>
      <c r="AN1748">
        <v>0.99999996086841003</v>
      </c>
    </row>
    <row r="1749" spans="1:40" x14ac:dyDescent="0.25">
      <c r="A1749" t="str">
        <f>"20190312164507053"</f>
        <v>20190312164507053</v>
      </c>
      <c r="B1749" t="str">
        <f>"1552380307043752"</f>
        <v>1552380307043752</v>
      </c>
      <c r="C1749" t="s">
        <v>40</v>
      </c>
      <c r="D1749">
        <v>4.7731190000000003</v>
      </c>
      <c r="E1749">
        <v>0.4556501</v>
      </c>
      <c r="F1749" t="s">
        <v>47</v>
      </c>
      <c r="G1749">
        <v>-396.03570000000002</v>
      </c>
      <c r="H1749" s="1">
        <v>1.6751099999999999E-6</v>
      </c>
      <c r="I1749">
        <v>283.17469999999997</v>
      </c>
      <c r="J1749">
        <v>-378.95589999999999</v>
      </c>
      <c r="K1749">
        <v>1.108649</v>
      </c>
      <c r="L1749">
        <v>284.77050000000003</v>
      </c>
      <c r="M1749">
        <v>-0.9995233</v>
      </c>
      <c r="N1749">
        <v>0</v>
      </c>
      <c r="O1749">
        <v>2.663857E-2</v>
      </c>
      <c r="P1749">
        <v>-0.98614310000000005</v>
      </c>
      <c r="Q1749">
        <v>0.1612229</v>
      </c>
      <c r="R1749">
        <v>3.9110029999999997E-2</v>
      </c>
      <c r="S1749">
        <v>-3.084778</v>
      </c>
      <c r="T1749">
        <v>-0.1941165</v>
      </c>
      <c r="U1749">
        <v>-0.27691650000000001</v>
      </c>
      <c r="V1749">
        <v>1.265253E-2</v>
      </c>
      <c r="W1749">
        <v>0.17662630000000001</v>
      </c>
      <c r="X1749">
        <v>0.98419670000000004</v>
      </c>
      <c r="Y1749">
        <v>-0.11563320000000001</v>
      </c>
      <c r="Z1749">
        <v>-5.2992109999999999E-3</v>
      </c>
      <c r="AA1749">
        <v>0.99327779999999999</v>
      </c>
      <c r="AB1749">
        <v>58</v>
      </c>
      <c r="AC1749">
        <v>-17.079799999999999</v>
      </c>
      <c r="AD1749">
        <v>-1.10864732489</v>
      </c>
      <c r="AE1749">
        <v>-1.5958000000000501</v>
      </c>
      <c r="AF1749">
        <v>-2.04174242086899</v>
      </c>
      <c r="AG1749">
        <v>-1.10864732489</v>
      </c>
      <c r="AH1749">
        <v>16.9603818253367</v>
      </c>
      <c r="AI1749">
        <v>93.713192642453706</v>
      </c>
      <c r="AJ1749">
        <v>96.864407785839006</v>
      </c>
      <c r="AK1749">
        <v>17.118772230080399</v>
      </c>
      <c r="AL1749">
        <v>79.826687788152697</v>
      </c>
      <c r="AM1749">
        <v>89.263463658585295</v>
      </c>
      <c r="AN1749">
        <v>1.0000000403289799</v>
      </c>
    </row>
    <row r="1750" spans="1:40" x14ac:dyDescent="0.25">
      <c r="A1750" t="str">
        <f>"20190312164507066"</f>
        <v>20190312164507066</v>
      </c>
      <c r="B1750" t="str">
        <f>"1552380307063272"</f>
        <v>1552380307063272</v>
      </c>
      <c r="C1750" t="s">
        <v>40</v>
      </c>
      <c r="D1750">
        <v>4.8957439999999997</v>
      </c>
      <c r="E1750">
        <v>0.45566289999999998</v>
      </c>
      <c r="F1750" t="s">
        <v>47</v>
      </c>
      <c r="G1750">
        <v>-396.46359999999999</v>
      </c>
      <c r="H1750" s="1">
        <v>1.902838E-6</v>
      </c>
      <c r="I1750">
        <v>283.17829999999998</v>
      </c>
      <c r="J1750">
        <v>-379.30090000000001</v>
      </c>
      <c r="K1750">
        <v>1.10867</v>
      </c>
      <c r="L1750">
        <v>284.77960000000002</v>
      </c>
      <c r="M1750">
        <v>-0.99952949999999996</v>
      </c>
      <c r="N1750">
        <v>0</v>
      </c>
      <c r="O1750">
        <v>2.64059E-2</v>
      </c>
      <c r="P1750">
        <v>-0.98614380000000001</v>
      </c>
      <c r="Q1750">
        <v>0.16136489999999901</v>
      </c>
      <c r="R1750">
        <v>3.8500920000000001E-2</v>
      </c>
      <c r="S1750">
        <v>-3.0852360000000001</v>
      </c>
      <c r="T1750">
        <v>-0.1953676</v>
      </c>
      <c r="U1750">
        <v>-0.28057860000000001</v>
      </c>
      <c r="V1750">
        <v>1.226292E-2</v>
      </c>
      <c r="W1750">
        <v>0.1767666</v>
      </c>
      <c r="X1750">
        <v>0.98417639999999995</v>
      </c>
      <c r="Y1750">
        <v>-0.1165534</v>
      </c>
      <c r="Z1750">
        <v>-5.3465850000000001E-3</v>
      </c>
      <c r="AA1750">
        <v>0.99317</v>
      </c>
      <c r="AB1750">
        <v>58</v>
      </c>
      <c r="AC1750">
        <v>-17.162699999999901</v>
      </c>
      <c r="AD1750">
        <v>-1.108668097162</v>
      </c>
      <c r="AE1750">
        <v>-1.6013000000000299</v>
      </c>
      <c r="AF1750">
        <v>-2.0455312098801999</v>
      </c>
      <c r="AG1750">
        <v>-1.108668097162</v>
      </c>
      <c r="AH1750">
        <v>17.043917264946899</v>
      </c>
      <c r="AI1750">
        <v>93.695273726711505</v>
      </c>
      <c r="AJ1750">
        <v>96.843638805684606</v>
      </c>
      <c r="AK1750">
        <v>17.201989960891598</v>
      </c>
      <c r="AL1750">
        <v>79.818520250939002</v>
      </c>
      <c r="AM1750">
        <v>89.286126752500607</v>
      </c>
      <c r="AN1750">
        <v>0.99999999819972296</v>
      </c>
    </row>
    <row r="1751" spans="1:40" x14ac:dyDescent="0.25">
      <c r="A1751" t="str">
        <f>"20190312164507079"</f>
        <v>20190312164507079</v>
      </c>
      <c r="B1751" t="str">
        <f>"1552380307073032"</f>
        <v>1552380307073032</v>
      </c>
      <c r="C1751" t="s">
        <v>40</v>
      </c>
      <c r="D1751">
        <v>4.8529650000000002</v>
      </c>
      <c r="E1751">
        <v>0.4556808</v>
      </c>
      <c r="F1751" t="s">
        <v>47</v>
      </c>
      <c r="G1751">
        <v>-396.69589999999999</v>
      </c>
      <c r="H1751" s="1">
        <v>2.026445E-6</v>
      </c>
      <c r="I1751">
        <v>283.18779999999998</v>
      </c>
      <c r="J1751">
        <v>-379.6275</v>
      </c>
      <c r="K1751">
        <v>1.108692</v>
      </c>
      <c r="L1751">
        <v>284.78820000000002</v>
      </c>
      <c r="M1751">
        <v>-0.99953530000000002</v>
      </c>
      <c r="N1751">
        <v>0</v>
      </c>
      <c r="O1751">
        <v>2.6182779999999999E-2</v>
      </c>
      <c r="P1751">
        <v>-0.98610929999999997</v>
      </c>
      <c r="Q1751">
        <v>0.16164300000000001</v>
      </c>
      <c r="R1751">
        <v>3.8213619999999997E-2</v>
      </c>
      <c r="S1751">
        <v>-3.0854189999999999</v>
      </c>
      <c r="T1751">
        <v>-0.1966485</v>
      </c>
      <c r="U1751">
        <v>-0.28234860000000001</v>
      </c>
      <c r="V1751">
        <v>1.2187770000000001E-2</v>
      </c>
      <c r="W1751">
        <v>0.17704300000000001</v>
      </c>
      <c r="X1751">
        <v>0.98412759999999999</v>
      </c>
      <c r="Y1751">
        <v>-0.11688759999999999</v>
      </c>
      <c r="Z1751">
        <v>-5.3775469999999999E-3</v>
      </c>
      <c r="AA1751">
        <v>0.99313059999999997</v>
      </c>
      <c r="AB1751">
        <v>58</v>
      </c>
      <c r="AC1751">
        <v>-17.068399999999901</v>
      </c>
      <c r="AD1751">
        <v>-1.108689973555</v>
      </c>
      <c r="AE1751">
        <v>-1.60040000000003</v>
      </c>
      <c r="AF1751">
        <v>-2.0382787737527601</v>
      </c>
      <c r="AG1751">
        <v>-1.108689973555</v>
      </c>
      <c r="AH1751">
        <v>16.949747168856099</v>
      </c>
      <c r="AI1751">
        <v>93.715715001007595</v>
      </c>
      <c r="AJ1751">
        <v>96.857132440213505</v>
      </c>
      <c r="AK1751">
        <v>17.1078257795997</v>
      </c>
      <c r="AL1751">
        <v>79.802429416533897</v>
      </c>
      <c r="AM1751">
        <v>89.290465905328503</v>
      </c>
      <c r="AN1751">
        <v>0.99999994933416503</v>
      </c>
    </row>
    <row r="1752" spans="1:40" x14ac:dyDescent="0.25">
      <c r="A1752" t="str">
        <f>"20190312164507092"</f>
        <v>20190312164507092</v>
      </c>
      <c r="B1752" t="str">
        <f>"1552380307083767"</f>
        <v>1552380307083767</v>
      </c>
      <c r="C1752" t="s">
        <v>40</v>
      </c>
      <c r="D1752">
        <v>4.877548</v>
      </c>
      <c r="E1752">
        <v>0.45572859999999998</v>
      </c>
      <c r="F1752" t="s">
        <v>47</v>
      </c>
      <c r="G1752">
        <v>-397.01850000000002</v>
      </c>
      <c r="H1752" s="1">
        <v>2.198101E-6</v>
      </c>
      <c r="I1752">
        <v>283.1943</v>
      </c>
      <c r="J1752">
        <v>-379.95859999999999</v>
      </c>
      <c r="K1752">
        <v>1.1087129999999901</v>
      </c>
      <c r="L1752">
        <v>284.79680000000002</v>
      </c>
      <c r="M1752">
        <v>-0.99954120000000002</v>
      </c>
      <c r="N1752">
        <v>0</v>
      </c>
      <c r="O1752">
        <v>2.5954660000000001E-2</v>
      </c>
      <c r="P1752">
        <v>-0.98613819999999996</v>
      </c>
      <c r="Q1752">
        <v>0.1615626</v>
      </c>
      <c r="R1752">
        <v>3.7798699999999998E-2</v>
      </c>
      <c r="S1752">
        <v>-3.0854490000000001</v>
      </c>
      <c r="T1752">
        <v>-0.19670019999999999</v>
      </c>
      <c r="U1752">
        <v>-0.28277590000000002</v>
      </c>
      <c r="V1752">
        <v>1.1989079999999999E-2</v>
      </c>
      <c r="W1752">
        <v>0.17696139999999999</v>
      </c>
      <c r="X1752">
        <v>0.98414469999999998</v>
      </c>
      <c r="Y1752">
        <v>-0.1167969</v>
      </c>
      <c r="Z1752">
        <v>-5.3614869999999999E-3</v>
      </c>
      <c r="AA1752">
        <v>0.99314139999999995</v>
      </c>
      <c r="AB1752">
        <v>58</v>
      </c>
      <c r="AC1752">
        <v>-17.059899999999999</v>
      </c>
      <c r="AD1752">
        <v>-1.10871080189899</v>
      </c>
      <c r="AE1752">
        <v>-1.60250000000002</v>
      </c>
      <c r="AF1752">
        <v>-2.0362727020212801</v>
      </c>
      <c r="AG1752">
        <v>-1.10871080189899</v>
      </c>
      <c r="AH1752">
        <v>16.941625127829401</v>
      </c>
      <c r="AI1752">
        <v>93.717587706830301</v>
      </c>
      <c r="AJ1752">
        <v>96.853700786840804</v>
      </c>
      <c r="AK1752">
        <v>17.0995411672695</v>
      </c>
      <c r="AL1752">
        <v>79.807179588132996</v>
      </c>
      <c r="AM1752">
        <v>89.302043992221499</v>
      </c>
      <c r="AN1752">
        <v>0.99999993283364597</v>
      </c>
    </row>
    <row r="1753" spans="1:40" x14ac:dyDescent="0.25">
      <c r="A1753" t="str">
        <f>"20190312164507111"</f>
        <v>20190312164507111</v>
      </c>
      <c r="B1753" t="str">
        <f>"1552380307103291"</f>
        <v>1552380307103291</v>
      </c>
      <c r="C1753" t="s">
        <v>40</v>
      </c>
      <c r="D1753">
        <v>4.9871160000000003</v>
      </c>
      <c r="E1753">
        <v>0.45564979999999999</v>
      </c>
      <c r="F1753" t="s">
        <v>47</v>
      </c>
      <c r="G1753">
        <v>-397.21809999999999</v>
      </c>
      <c r="H1753" s="1">
        <v>2.3043160000000001E-6</v>
      </c>
      <c r="I1753">
        <v>283.21069999999997</v>
      </c>
      <c r="J1753">
        <v>-380.4203</v>
      </c>
      <c r="K1753">
        <v>1.1087469999999999</v>
      </c>
      <c r="L1753">
        <v>284.80869999999999</v>
      </c>
      <c r="M1753">
        <v>-0.99954969999999999</v>
      </c>
      <c r="N1753">
        <v>0</v>
      </c>
      <c r="O1753">
        <v>2.563089E-2</v>
      </c>
      <c r="P1753">
        <v>-0.98614959999999996</v>
      </c>
      <c r="Q1753">
        <v>0.16162550000000001</v>
      </c>
      <c r="R1753">
        <v>3.7235579999999997E-2</v>
      </c>
      <c r="S1753">
        <v>-3.08548</v>
      </c>
      <c r="T1753">
        <v>-0.19820389999999999</v>
      </c>
      <c r="U1753">
        <v>-0.28353879999999998</v>
      </c>
      <c r="V1753">
        <v>1.1734619999999999E-2</v>
      </c>
      <c r="W1753">
        <v>0.17702290000000001</v>
      </c>
      <c r="X1753">
        <v>0.98413680000000003</v>
      </c>
      <c r="Y1753">
        <v>-0.11671430000000001</v>
      </c>
      <c r="Z1753">
        <v>-5.3788899999999999E-3</v>
      </c>
      <c r="AA1753">
        <v>0.99315089999999995</v>
      </c>
      <c r="AB1753">
        <v>57</v>
      </c>
      <c r="AC1753">
        <v>-16.797799999999899</v>
      </c>
      <c r="AD1753">
        <v>-1.1087446956839999</v>
      </c>
      <c r="AE1753">
        <v>-1.5980000000000101</v>
      </c>
      <c r="AF1753">
        <v>-2.0193510567853501</v>
      </c>
      <c r="AG1753">
        <v>-1.1087446956839999</v>
      </c>
      <c r="AH1753">
        <v>16.679301920650001</v>
      </c>
      <c r="AI1753">
        <v>93.775611158589001</v>
      </c>
      <c r="AJ1753">
        <v>96.903161227329903</v>
      </c>
      <c r="AK1753">
        <v>16.837642532461199</v>
      </c>
      <c r="AL1753">
        <v>79.803600321438395</v>
      </c>
      <c r="AM1753">
        <v>89.316850727347202</v>
      </c>
      <c r="AN1753">
        <v>1.00000002477259</v>
      </c>
    </row>
    <row r="1754" spans="1:40" x14ac:dyDescent="0.25">
      <c r="A1754" t="str">
        <f>"20190312164507131"</f>
        <v>20190312164507131</v>
      </c>
      <c r="B1754" t="str">
        <f>"1552380307123784"</f>
        <v>1552380307123784</v>
      </c>
      <c r="C1754" t="s">
        <v>40</v>
      </c>
      <c r="D1754">
        <v>4.839791</v>
      </c>
      <c r="E1754">
        <v>0.4555611</v>
      </c>
      <c r="F1754" t="s">
        <v>47</v>
      </c>
      <c r="G1754">
        <v>-397.68470000000002</v>
      </c>
      <c r="H1754" s="1">
        <v>2.5525999999999999E-6</v>
      </c>
      <c r="I1754">
        <v>283.21030000000002</v>
      </c>
      <c r="J1754">
        <v>-380.97289999999998</v>
      </c>
      <c r="K1754">
        <v>1.1087750000000001</v>
      </c>
      <c r="L1754">
        <v>284.82260000000002</v>
      </c>
      <c r="M1754">
        <v>-0.9995598</v>
      </c>
      <c r="N1754">
        <v>0</v>
      </c>
      <c r="O1754">
        <v>2.5234929999999999E-2</v>
      </c>
      <c r="P1754">
        <v>-0.98620969999999997</v>
      </c>
      <c r="Q1754">
        <v>0.16139129999999999</v>
      </c>
      <c r="R1754">
        <v>3.6651349999999999E-2</v>
      </c>
      <c r="S1754">
        <v>-3.0853579999999998</v>
      </c>
      <c r="T1754">
        <v>-0.1981465</v>
      </c>
      <c r="U1754">
        <v>-0.28564450000000002</v>
      </c>
      <c r="V1754">
        <v>1.152777E-2</v>
      </c>
      <c r="W1754">
        <v>0.17678679999999999</v>
      </c>
      <c r="X1754">
        <v>0.98418159999999999</v>
      </c>
      <c r="Y1754">
        <v>-0.1169969</v>
      </c>
      <c r="Z1754">
        <v>-5.3610680000000001E-3</v>
      </c>
      <c r="AA1754">
        <v>0.99311780000000005</v>
      </c>
      <c r="AB1754">
        <v>57</v>
      </c>
      <c r="AC1754">
        <v>-16.7118</v>
      </c>
      <c r="AD1754">
        <v>-1.1087724474</v>
      </c>
      <c r="AE1754">
        <v>-1.6123000000000001</v>
      </c>
      <c r="AF1754">
        <v>-2.0247284483669499</v>
      </c>
      <c r="AG1754">
        <v>-1.1087724474</v>
      </c>
      <c r="AH1754">
        <v>16.593416903267499</v>
      </c>
      <c r="AI1754">
        <v>93.794760028782207</v>
      </c>
      <c r="AJ1754">
        <v>96.956839558137403</v>
      </c>
      <c r="AK1754">
        <v>16.753220172712499</v>
      </c>
      <c r="AL1754">
        <v>79.817343778210699</v>
      </c>
      <c r="AM1754">
        <v>89.328922258727602</v>
      </c>
      <c r="AN1754">
        <v>0.99999994195698405</v>
      </c>
    </row>
    <row r="1755" spans="1:40" x14ac:dyDescent="0.25">
      <c r="A1755" t="str">
        <f>"20190312164507145"</f>
        <v>20190312164507145</v>
      </c>
      <c r="B1755" t="str">
        <f>"1552380307133545"</f>
        <v>1552380307133545</v>
      </c>
      <c r="C1755" t="s">
        <v>40</v>
      </c>
      <c r="D1755">
        <v>7.5462280000000002</v>
      </c>
      <c r="E1755">
        <v>0.45548909999999998</v>
      </c>
      <c r="F1755" t="s">
        <v>47</v>
      </c>
      <c r="G1755">
        <v>-398.19540000000001</v>
      </c>
      <c r="H1755" s="1">
        <v>2.8243790000000001E-6</v>
      </c>
      <c r="I1755">
        <v>283.21510000000001</v>
      </c>
      <c r="J1755">
        <v>-381.32260000000002</v>
      </c>
      <c r="K1755">
        <v>1.1087940000000001</v>
      </c>
      <c r="L1755">
        <v>284.83139999999997</v>
      </c>
      <c r="M1755">
        <v>-0.99956630000000002</v>
      </c>
      <c r="N1755">
        <v>0</v>
      </c>
      <c r="O1755">
        <v>2.4978429999999999E-2</v>
      </c>
      <c r="P1755">
        <v>-0.98620830000000004</v>
      </c>
      <c r="Q1755">
        <v>0.16144990000000001</v>
      </c>
      <c r="R1755">
        <v>3.6433260000000002E-2</v>
      </c>
      <c r="S1755">
        <v>-3.0851139999999999</v>
      </c>
      <c r="T1755">
        <v>-0.19861770000000001</v>
      </c>
      <c r="U1755">
        <v>-0.28796389999999999</v>
      </c>
      <c r="V1755">
        <v>1.1555630000000001E-2</v>
      </c>
      <c r="W1755">
        <v>0.17684449999999999</v>
      </c>
      <c r="X1755">
        <v>0.98417100000000002</v>
      </c>
      <c r="Y1755">
        <v>-0.1174876</v>
      </c>
      <c r="Z1755">
        <v>-5.3733080000000003E-3</v>
      </c>
      <c r="AA1755">
        <v>0.99305980000000005</v>
      </c>
      <c r="AB1755">
        <v>57</v>
      </c>
      <c r="AC1755">
        <v>-16.872799999999899</v>
      </c>
      <c r="AD1755">
        <v>-1.1087911756209901</v>
      </c>
      <c r="AE1755">
        <v>-1.6162999999999601</v>
      </c>
      <c r="AF1755">
        <v>-2.0286221161400402</v>
      </c>
      <c r="AG1755">
        <v>-1.1087911756209901</v>
      </c>
      <c r="AH1755">
        <v>16.755457473370601</v>
      </c>
      <c r="AI1755">
        <v>93.758655603539196</v>
      </c>
      <c r="AJ1755">
        <v>96.903332974186299</v>
      </c>
      <c r="AK1755">
        <v>16.914197607428999</v>
      </c>
      <c r="AL1755">
        <v>79.8139858312679</v>
      </c>
      <c r="AM1755">
        <v>89.327293320579003</v>
      </c>
      <c r="AN1755">
        <v>1.00000003350297</v>
      </c>
    </row>
    <row r="1756" spans="1:40" x14ac:dyDescent="0.25">
      <c r="A1756" t="str">
        <f>"20190312164507158"</f>
        <v>20190312164507158</v>
      </c>
      <c r="B1756" t="str">
        <f>"1552380307153064"</f>
        <v>1552380307153064</v>
      </c>
      <c r="C1756" t="s">
        <v>40</v>
      </c>
      <c r="D1756">
        <v>4.9075709999999999</v>
      </c>
      <c r="E1756">
        <v>0.45536989999999999</v>
      </c>
      <c r="F1756" t="s">
        <v>47</v>
      </c>
      <c r="G1756">
        <v>-398.59519999999998</v>
      </c>
      <c r="H1756" s="1">
        <v>3.037174E-6</v>
      </c>
      <c r="I1756">
        <v>283.21210000000002</v>
      </c>
      <c r="J1756">
        <v>-381.65170000000001</v>
      </c>
      <c r="K1756">
        <v>1.1088100000000001</v>
      </c>
      <c r="L1756">
        <v>284.83949999999999</v>
      </c>
      <c r="M1756">
        <v>-0.99957240000000003</v>
      </c>
      <c r="N1756">
        <v>0</v>
      </c>
      <c r="O1756">
        <v>2.4730599999999998E-2</v>
      </c>
      <c r="P1756">
        <v>-0.98621429999999999</v>
      </c>
      <c r="Q1756">
        <v>0.161469</v>
      </c>
      <c r="R1756">
        <v>3.6182989999999998E-2</v>
      </c>
      <c r="S1756">
        <v>-3.0850520000000001</v>
      </c>
      <c r="T1756">
        <v>-0.1980401</v>
      </c>
      <c r="U1756">
        <v>-0.2892151</v>
      </c>
      <c r="V1756">
        <v>1.1543100000000001E-2</v>
      </c>
      <c r="W1756">
        <v>0.1768624</v>
      </c>
      <c r="X1756">
        <v>0.98416789999999998</v>
      </c>
      <c r="Y1756">
        <v>-0.1176444</v>
      </c>
      <c r="Z1756">
        <v>-5.3468719999999999E-3</v>
      </c>
      <c r="AA1756">
        <v>0.99304139999999996</v>
      </c>
      <c r="AB1756">
        <v>57</v>
      </c>
      <c r="AC1756">
        <v>-16.943499999999901</v>
      </c>
      <c r="AD1756">
        <v>-1.108806962826</v>
      </c>
      <c r="AE1756">
        <v>-1.62739999999996</v>
      </c>
      <c r="AF1756">
        <v>-2.0373307907398002</v>
      </c>
      <c r="AG1756">
        <v>-1.108806962826</v>
      </c>
      <c r="AH1756">
        <v>16.826662286944401</v>
      </c>
      <c r="AI1756">
        <v>93.742846350684701</v>
      </c>
      <c r="AJ1756">
        <v>96.903627426489706</v>
      </c>
      <c r="AK1756">
        <v>16.985780327985701</v>
      </c>
      <c r="AL1756">
        <v>79.812943503216502</v>
      </c>
      <c r="AM1756">
        <v>89.328020566473498</v>
      </c>
      <c r="AN1756">
        <v>1.00000000354089</v>
      </c>
    </row>
    <row r="1757" spans="1:40" x14ac:dyDescent="0.25">
      <c r="A1757" t="str">
        <f>"20190312164507171"</f>
        <v>20190312164507171</v>
      </c>
      <c r="B1757" t="str">
        <f>"1552380307163800"</f>
        <v>1552380307163800</v>
      </c>
      <c r="C1757" t="s">
        <v>40</v>
      </c>
      <c r="D1757">
        <v>4.8066839999999997</v>
      </c>
      <c r="E1757">
        <v>0.45530589999999999</v>
      </c>
      <c r="F1757" t="s">
        <v>47</v>
      </c>
      <c r="G1757">
        <v>-398.99209999999999</v>
      </c>
      <c r="H1757" s="1">
        <v>3.2483330000000002E-6</v>
      </c>
      <c r="I1757">
        <v>283.20350000000002</v>
      </c>
      <c r="J1757">
        <v>-381.99299999999999</v>
      </c>
      <c r="K1757">
        <v>1.108824</v>
      </c>
      <c r="L1757">
        <v>284.84789999999998</v>
      </c>
      <c r="M1757">
        <v>-0.99957890000000005</v>
      </c>
      <c r="N1757">
        <v>0</v>
      </c>
      <c r="O1757">
        <v>2.4467539999999999E-2</v>
      </c>
      <c r="P1757">
        <v>-0.98618419999999896</v>
      </c>
      <c r="Q1757">
        <v>0.16159849999999901</v>
      </c>
      <c r="R1757">
        <v>3.6423959999999998E-2</v>
      </c>
      <c r="S1757">
        <v>-3.0849000000000002</v>
      </c>
      <c r="T1757">
        <v>-0.19725970000000001</v>
      </c>
      <c r="U1757">
        <v>-0.29104609999999997</v>
      </c>
      <c r="V1757">
        <v>1.2037040000000001E-2</v>
      </c>
      <c r="W1757">
        <v>0.17699000000000001</v>
      </c>
      <c r="X1757">
        <v>0.98413899999999999</v>
      </c>
      <c r="Y1757">
        <v>-0.117974</v>
      </c>
      <c r="Z1757">
        <v>-5.3196889999999998E-3</v>
      </c>
      <c r="AA1757">
        <v>0.99300239999999995</v>
      </c>
      <c r="AB1757">
        <v>57</v>
      </c>
      <c r="AC1757">
        <v>-16.999099999999899</v>
      </c>
      <c r="AD1757">
        <v>-1.1088207516669999</v>
      </c>
      <c r="AE1757">
        <v>-1.6443999999999599</v>
      </c>
      <c r="AF1757">
        <v>-2.0512378374794902</v>
      </c>
      <c r="AG1757">
        <v>-1.1088207516669999</v>
      </c>
      <c r="AH1757">
        <v>16.882605530169201</v>
      </c>
      <c r="AI1757">
        <v>93.730337285284904</v>
      </c>
      <c r="AJ1757">
        <v>96.927486201095206</v>
      </c>
      <c r="AK1757">
        <v>17.042870345471002</v>
      </c>
      <c r="AL1757">
        <v>79.805514936951496</v>
      </c>
      <c r="AM1757">
        <v>89.299248173586193</v>
      </c>
      <c r="AN1757">
        <v>0.99999996087648002</v>
      </c>
    </row>
    <row r="1758" spans="1:40" x14ac:dyDescent="0.25">
      <c r="A1758" t="str">
        <f>"20190312164507183"</f>
        <v>20190312164507183</v>
      </c>
      <c r="B1758" t="str">
        <f>"1552380307173560"</f>
        <v>1552380307173560</v>
      </c>
      <c r="C1758" t="s">
        <v>40</v>
      </c>
      <c r="D1758">
        <v>4.8419689999999997</v>
      </c>
      <c r="E1758">
        <v>0.45540760000000002</v>
      </c>
      <c r="F1758" t="s">
        <v>47</v>
      </c>
      <c r="G1758">
        <v>-399.41199999999998</v>
      </c>
      <c r="H1758" s="1">
        <v>3.471779E-6</v>
      </c>
      <c r="I1758">
        <v>283.2045</v>
      </c>
      <c r="J1758">
        <v>-382.3014</v>
      </c>
      <c r="K1758">
        <v>1.1088439999999999</v>
      </c>
      <c r="L1758">
        <v>284.8553</v>
      </c>
      <c r="M1758">
        <v>-0.9995851</v>
      </c>
      <c r="N1758">
        <v>0</v>
      </c>
      <c r="O1758">
        <v>2.42186E-2</v>
      </c>
      <c r="P1758">
        <v>-0.98620160000000001</v>
      </c>
      <c r="Q1758">
        <v>0.16147400000000001</v>
      </c>
      <c r="R1758">
        <v>3.6507900000000003E-2</v>
      </c>
      <c r="S1758">
        <v>-3.0849299999999999</v>
      </c>
      <c r="T1758">
        <v>-0.19637450000000001</v>
      </c>
      <c r="U1758">
        <v>-0.29104609999999997</v>
      </c>
      <c r="V1758">
        <v>1.2358849999999999E-2</v>
      </c>
      <c r="W1758">
        <v>0.1768652</v>
      </c>
      <c r="X1758">
        <v>0.98415750000000002</v>
      </c>
      <c r="Y1758">
        <v>-0.117729399999999</v>
      </c>
      <c r="Z1758">
        <v>-5.27225E-3</v>
      </c>
      <c r="AA1758">
        <v>0.99303169999999996</v>
      </c>
      <c r="AB1758">
        <v>57</v>
      </c>
      <c r="AC1758">
        <v>-17.110599999999899</v>
      </c>
      <c r="AD1758">
        <v>-1.1088405282210001</v>
      </c>
      <c r="AE1758">
        <v>-1.6508</v>
      </c>
      <c r="AF1758">
        <v>-2.05620523484798</v>
      </c>
      <c r="AG1758">
        <v>-1.1088405282210001</v>
      </c>
      <c r="AH1758">
        <v>16.994881623481199</v>
      </c>
      <c r="AI1758">
        <v>93.706053133688499</v>
      </c>
      <c r="AJ1758">
        <v>96.898666204166403</v>
      </c>
      <c r="AK1758">
        <v>17.154693488400799</v>
      </c>
      <c r="AL1758">
        <v>79.812780597417301</v>
      </c>
      <c r="AM1758">
        <v>89.280529055981901</v>
      </c>
      <c r="AN1758">
        <v>1.0000000124752999</v>
      </c>
    </row>
    <row r="1759" spans="1:40" x14ac:dyDescent="0.25">
      <c r="A1759" t="str">
        <f>"20190312164507199"</f>
        <v>20190312164507199</v>
      </c>
      <c r="B1759" t="str">
        <f>"1552380307193079"</f>
        <v>1552380307193079</v>
      </c>
      <c r="C1759" t="s">
        <v>40</v>
      </c>
      <c r="D1759">
        <v>4.8146040000000001</v>
      </c>
      <c r="E1759">
        <v>0.48953940000000001</v>
      </c>
      <c r="F1759" t="s">
        <v>47</v>
      </c>
      <c r="G1759">
        <v>-399.7439</v>
      </c>
      <c r="H1759" s="1">
        <v>3.6484300000000001E-6</v>
      </c>
      <c r="I1759">
        <v>283.21449999999999</v>
      </c>
      <c r="J1759">
        <v>-382.6934</v>
      </c>
      <c r="K1759">
        <v>1.108873</v>
      </c>
      <c r="L1759">
        <v>284.8646</v>
      </c>
      <c r="M1759">
        <v>-0.99959299999999995</v>
      </c>
      <c r="N1759">
        <v>0</v>
      </c>
      <c r="O1759">
        <v>2.3886729999999998E-2</v>
      </c>
      <c r="P1759">
        <v>-0.98614570000000001</v>
      </c>
      <c r="Q1759">
        <v>0.1617519</v>
      </c>
      <c r="R1759">
        <v>3.6787790000000001E-2</v>
      </c>
      <c r="S1759">
        <v>-3.0848390000000001</v>
      </c>
      <c r="T1759">
        <v>-0.19610710000000001</v>
      </c>
      <c r="U1759">
        <v>-0.2901917</v>
      </c>
      <c r="V1759">
        <v>1.295675E-2</v>
      </c>
      <c r="W1759">
        <v>0.17714160000000001</v>
      </c>
      <c r="X1759">
        <v>0.98410010000000003</v>
      </c>
      <c r="Y1759">
        <v>-0.117132399999999</v>
      </c>
      <c r="Z1759">
        <v>-5.2253550000000001E-3</v>
      </c>
      <c r="AA1759">
        <v>0.99310259999999995</v>
      </c>
      <c r="AB1759">
        <v>57</v>
      </c>
      <c r="AC1759">
        <v>-17.0505</v>
      </c>
      <c r="AD1759">
        <v>-1.1088693515700001</v>
      </c>
      <c r="AE1759">
        <v>-1.6500999999999999</v>
      </c>
      <c r="AF1759">
        <v>-2.04837613244448</v>
      </c>
      <c r="AG1759">
        <v>-1.1088693515700001</v>
      </c>
      <c r="AH1759">
        <v>16.935250925452699</v>
      </c>
      <c r="AI1759">
        <v>93.7191783998435</v>
      </c>
      <c r="AJ1759">
        <v>96.896617518950606</v>
      </c>
      <c r="AK1759">
        <v>17.094682211929701</v>
      </c>
      <c r="AL1759">
        <v>79.796690006414096</v>
      </c>
      <c r="AM1759">
        <v>89.2456822225368</v>
      </c>
      <c r="AN1759">
        <v>1.0000000153205599</v>
      </c>
    </row>
    <row r="1760" spans="1:40" x14ac:dyDescent="0.25">
      <c r="A1760" t="str">
        <f>"20190312164507222"</f>
        <v>20190312164507222</v>
      </c>
      <c r="B1760" t="str">
        <f>"1552380307213575"</f>
        <v>1552380307213575</v>
      </c>
      <c r="C1760" t="s">
        <v>40</v>
      </c>
      <c r="D1760">
        <v>4.7219419999999896</v>
      </c>
      <c r="E1760">
        <v>0.4998997</v>
      </c>
      <c r="F1760" t="s">
        <v>47</v>
      </c>
      <c r="G1760">
        <v>-399.37099999999998</v>
      </c>
      <c r="H1760" s="1">
        <v>3.449993E-6</v>
      </c>
      <c r="I1760">
        <v>284.76830000000001</v>
      </c>
      <c r="J1760">
        <v>-383.2722</v>
      </c>
      <c r="K1760">
        <v>1.108916</v>
      </c>
      <c r="L1760">
        <v>284.87819999999999</v>
      </c>
      <c r="M1760">
        <v>-0.99960550000000004</v>
      </c>
      <c r="N1760">
        <v>0</v>
      </c>
      <c r="O1760">
        <v>2.336235E-2</v>
      </c>
      <c r="P1760">
        <v>-0.98609069999999999</v>
      </c>
      <c r="Q1760">
        <v>0.16195660000000001</v>
      </c>
      <c r="R1760">
        <v>3.7354070000000003E-2</v>
      </c>
      <c r="S1760">
        <v>-3.0763240000000001</v>
      </c>
      <c r="T1760">
        <v>-0.20454030000000001</v>
      </c>
      <c r="U1760">
        <v>-1.7761229999999999E-2</v>
      </c>
      <c r="V1760">
        <v>1.402336E-2</v>
      </c>
      <c r="W1760">
        <v>0.1773458</v>
      </c>
      <c r="X1760">
        <v>0.9840487</v>
      </c>
      <c r="Y1760">
        <v>-2.9021000000000002E-2</v>
      </c>
      <c r="Z1760">
        <v>-2.5154209999999999E-3</v>
      </c>
      <c r="AA1760">
        <v>0.99957560000000001</v>
      </c>
      <c r="AB1760">
        <v>57</v>
      </c>
      <c r="AC1760">
        <v>-16.098799999999901</v>
      </c>
      <c r="AD1760">
        <v>-1.1089125500070001</v>
      </c>
      <c r="AE1760">
        <v>-0.109899999999981</v>
      </c>
      <c r="AF1760">
        <v>-0.483726486840304</v>
      </c>
      <c r="AG1760">
        <v>-1.1089125500070001</v>
      </c>
      <c r="AH1760">
        <v>16.015850480271101</v>
      </c>
      <c r="AI1760">
        <v>93.958949844511906</v>
      </c>
      <c r="AJ1760">
        <v>91.729977639061502</v>
      </c>
      <c r="AK1760">
        <v>16.061480161057201</v>
      </c>
      <c r="AL1760">
        <v>79.784801989070601</v>
      </c>
      <c r="AM1760">
        <v>89.183551628547704</v>
      </c>
      <c r="AN1760">
        <v>1.0000000156875</v>
      </c>
    </row>
    <row r="1761" spans="1:40" x14ac:dyDescent="0.25">
      <c r="A1761" t="str">
        <f>"20190312164507243"</f>
        <v>20190312164507243</v>
      </c>
      <c r="B1761" t="str">
        <f>"1552380307233095"</f>
        <v>1552380307233095</v>
      </c>
      <c r="C1761" t="s">
        <v>40</v>
      </c>
      <c r="D1761">
        <v>4.9241129999999904</v>
      </c>
      <c r="E1761">
        <v>0.50476140000000003</v>
      </c>
      <c r="F1761" t="s">
        <v>51</v>
      </c>
      <c r="G1761">
        <v>-400.26589999999999</v>
      </c>
      <c r="H1761" s="1">
        <v>8.1541440000000008E-6</v>
      </c>
      <c r="I1761">
        <v>285.24650000000003</v>
      </c>
      <c r="J1761">
        <v>-383.82819999999998</v>
      </c>
      <c r="K1761">
        <v>1.1089659999999999</v>
      </c>
      <c r="L1761">
        <v>284.89089999999999</v>
      </c>
      <c r="M1761">
        <v>-0.99961840000000002</v>
      </c>
      <c r="N1761">
        <v>0</v>
      </c>
      <c r="O1761">
        <v>2.2813429999999999E-2</v>
      </c>
      <c r="P1761">
        <v>-0.98610779999999998</v>
      </c>
      <c r="Q1761">
        <v>0.16180549999999999</v>
      </c>
      <c r="R1761">
        <v>3.75565E-2</v>
      </c>
      <c r="S1761">
        <v>-3.0726930000000001</v>
      </c>
      <c r="T1761">
        <v>-0.20050570000000001</v>
      </c>
      <c r="U1761">
        <v>6.658936E-2</v>
      </c>
      <c r="V1761">
        <v>1.4747110000000001E-2</v>
      </c>
      <c r="W1761">
        <v>0.17719460000000001</v>
      </c>
      <c r="X1761">
        <v>0.98406539999999998</v>
      </c>
      <c r="Y1761">
        <v>-1.0994069999999999E-3</v>
      </c>
      <c r="Z1761">
        <v>-1.522734E-3</v>
      </c>
      <c r="AA1761">
        <v>0.99999819999999995</v>
      </c>
      <c r="AB1761">
        <v>57</v>
      </c>
      <c r="AC1761">
        <v>-16.4377</v>
      </c>
      <c r="AD1761">
        <v>-1.1089578458560001</v>
      </c>
      <c r="AE1761">
        <v>0.355600000000038</v>
      </c>
      <c r="AF1761">
        <v>-1.94499019589442E-2</v>
      </c>
      <c r="AG1761">
        <v>-1.1089578458560001</v>
      </c>
      <c r="AH1761">
        <v>16.367075552352802</v>
      </c>
      <c r="AI1761">
        <v>93.876171733064396</v>
      </c>
      <c r="AJ1761">
        <v>90.068087714634501</v>
      </c>
      <c r="AK1761">
        <v>16.404613007901101</v>
      </c>
      <c r="AL1761">
        <v>79.793604954725197</v>
      </c>
      <c r="AM1761">
        <v>89.141435193693397</v>
      </c>
      <c r="AN1761">
        <v>1.00000005749983</v>
      </c>
    </row>
    <row r="1762" spans="1:40" x14ac:dyDescent="0.25">
      <c r="A1762" t="str">
        <f>"20190312164507268"</f>
        <v>20190312164507268</v>
      </c>
      <c r="B1762" t="str">
        <f>"1552380307263352"</f>
        <v>1552380307263352</v>
      </c>
      <c r="C1762" t="s">
        <v>40</v>
      </c>
      <c r="D1762">
        <v>4.6872179999999997</v>
      </c>
      <c r="E1762">
        <v>0.50787249999999995</v>
      </c>
      <c r="F1762" t="s">
        <v>51</v>
      </c>
      <c r="G1762">
        <v>-401.6259</v>
      </c>
      <c r="H1762" s="1">
        <v>7.4971259999999899E-6</v>
      </c>
      <c r="I1762">
        <v>285.50720000000001</v>
      </c>
      <c r="J1762">
        <v>-384.39049999999997</v>
      </c>
      <c r="K1762">
        <v>1.1090120000000001</v>
      </c>
      <c r="L1762">
        <v>284.90339999999998</v>
      </c>
      <c r="M1762">
        <v>-0.99963179999999996</v>
      </c>
      <c r="N1762">
        <v>0</v>
      </c>
      <c r="O1762">
        <v>2.2211209999999999E-2</v>
      </c>
      <c r="P1762">
        <v>-0.98615010000000003</v>
      </c>
      <c r="Q1762">
        <v>0.1615299</v>
      </c>
      <c r="R1762">
        <v>3.7634430000000003E-2</v>
      </c>
      <c r="S1762">
        <v>-3.0695800000000002</v>
      </c>
      <c r="T1762">
        <v>-0.19126209999999999</v>
      </c>
      <c r="U1762">
        <v>0.1062927</v>
      </c>
      <c r="V1762">
        <v>1.5396480000000001E-2</v>
      </c>
      <c r="W1762">
        <v>0.1769191</v>
      </c>
      <c r="X1762">
        <v>0.98410489999999995</v>
      </c>
      <c r="Y1762">
        <v>1.241686E-2</v>
      </c>
      <c r="Z1762">
        <v>-9.9580179999999999E-4</v>
      </c>
      <c r="AA1762">
        <v>0.99992239999999999</v>
      </c>
      <c r="AB1762">
        <v>57</v>
      </c>
      <c r="AC1762">
        <v>-17.235399999999998</v>
      </c>
      <c r="AD1762">
        <v>-1.1090045028740001</v>
      </c>
      <c r="AE1762">
        <v>0.60380000000003498</v>
      </c>
      <c r="AF1762">
        <v>0.21987619004883599</v>
      </c>
      <c r="AG1762">
        <v>-1.1090045028740001</v>
      </c>
      <c r="AH1762">
        <v>17.1735445888784</v>
      </c>
      <c r="AI1762">
        <v>93.694519049459004</v>
      </c>
      <c r="AJ1762">
        <v>89.266471208261095</v>
      </c>
      <c r="AK1762">
        <v>17.210719632616801</v>
      </c>
      <c r="AL1762">
        <v>79.8096420951494</v>
      </c>
      <c r="AM1762">
        <v>89.103671408687902</v>
      </c>
      <c r="AN1762">
        <v>0.99999993687260302</v>
      </c>
    </row>
    <row r="1763" spans="1:40" x14ac:dyDescent="0.25">
      <c r="A1763" t="str">
        <f>"20190312164507282"</f>
        <v>20190312164507282</v>
      </c>
      <c r="B1763" t="str">
        <f>"1552380307273112"</f>
        <v>1552380307273112</v>
      </c>
      <c r="C1763" t="s">
        <v>40</v>
      </c>
      <c r="D1763">
        <v>4.6958580000000003</v>
      </c>
      <c r="E1763">
        <v>0.50856250000000003</v>
      </c>
      <c r="F1763" t="s">
        <v>51</v>
      </c>
      <c r="G1763">
        <v>-404.49680000000001</v>
      </c>
      <c r="H1763" s="1">
        <v>6.1680159999999997E-6</v>
      </c>
      <c r="I1763">
        <v>285.77839999999998</v>
      </c>
      <c r="J1763">
        <v>-384.82350000000002</v>
      </c>
      <c r="K1763">
        <v>1.109056</v>
      </c>
      <c r="L1763">
        <v>284.9128</v>
      </c>
      <c r="M1763">
        <v>-0.99964280000000005</v>
      </c>
      <c r="N1763">
        <v>0</v>
      </c>
      <c r="O1763">
        <v>2.1713199999999998E-2</v>
      </c>
      <c r="P1763">
        <v>-0.98619290000000004</v>
      </c>
      <c r="Q1763">
        <v>0.16136239999999999</v>
      </c>
      <c r="R1763">
        <v>3.7225399999999999E-2</v>
      </c>
      <c r="S1763">
        <v>-3.0647280000000001</v>
      </c>
      <c r="T1763">
        <v>-0.1690422</v>
      </c>
      <c r="U1763">
        <v>0.1333618</v>
      </c>
      <c r="V1763">
        <v>1.546001E-2</v>
      </c>
      <c r="W1763">
        <v>0.1767521</v>
      </c>
      <c r="X1763">
        <v>0.98413399999999995</v>
      </c>
      <c r="Y1763">
        <v>2.1768280000000001E-2</v>
      </c>
      <c r="Z1763">
        <v>-5.9649989999999999E-4</v>
      </c>
      <c r="AA1763">
        <v>0.99976290000000001</v>
      </c>
      <c r="AB1763">
        <v>57</v>
      </c>
      <c r="AC1763">
        <v>-19.673299999999902</v>
      </c>
      <c r="AD1763">
        <v>-1.1090498319840001</v>
      </c>
      <c r="AE1763">
        <v>0.86559999999997195</v>
      </c>
      <c r="AF1763">
        <v>0.43678829829635601</v>
      </c>
      <c r="AG1763">
        <v>-1.1090498319840001</v>
      </c>
      <c r="AH1763">
        <v>19.6252104137969</v>
      </c>
      <c r="AI1763">
        <v>93.2336304574509</v>
      </c>
      <c r="AJ1763">
        <v>88.725007554493502</v>
      </c>
      <c r="AK1763">
        <v>19.661374807809199</v>
      </c>
      <c r="AL1763">
        <v>79.8193645894128</v>
      </c>
      <c r="AM1763">
        <v>89.100000132632005</v>
      </c>
      <c r="AN1763">
        <v>1.0000000233598001</v>
      </c>
    </row>
    <row r="1764" spans="1:40" x14ac:dyDescent="0.25">
      <c r="A1764" t="str">
        <f>"20190312164507294"</f>
        <v>20190312164507294</v>
      </c>
      <c r="B1764" t="str">
        <f>"1552380307283848"</f>
        <v>1552380307283848</v>
      </c>
      <c r="C1764" t="s">
        <v>40</v>
      </c>
      <c r="D1764">
        <v>4.6943049999999999</v>
      </c>
      <c r="E1764">
        <v>0.50916810000000001</v>
      </c>
      <c r="F1764" t="s">
        <v>51</v>
      </c>
      <c r="G1764">
        <v>-405.49549999999999</v>
      </c>
      <c r="H1764" s="1">
        <v>5.7117650000000002E-6</v>
      </c>
      <c r="I1764">
        <v>285.84300000000002</v>
      </c>
      <c r="J1764">
        <v>-385.13150000000002</v>
      </c>
      <c r="K1764">
        <v>1.1090880000000001</v>
      </c>
      <c r="L1764">
        <v>284.9194</v>
      </c>
      <c r="M1764">
        <v>-0.99965079999999995</v>
      </c>
      <c r="N1764">
        <v>0</v>
      </c>
      <c r="O1764">
        <v>2.1345200000000002E-2</v>
      </c>
      <c r="P1764">
        <v>-0.98616630000000005</v>
      </c>
      <c r="Q1764">
        <v>0.1615134</v>
      </c>
      <c r="R1764">
        <v>3.7278800000000001E-2</v>
      </c>
      <c r="S1764">
        <v>-3.0637210000000001</v>
      </c>
      <c r="T1764">
        <v>-0.16436779999999901</v>
      </c>
      <c r="U1764">
        <v>0.1378479</v>
      </c>
      <c r="V1764">
        <v>1.586429E-2</v>
      </c>
      <c r="W1764">
        <v>0.1769027</v>
      </c>
      <c r="X1764">
        <v>0.98410050000000004</v>
      </c>
      <c r="Y1764">
        <v>2.360845E-2</v>
      </c>
      <c r="Z1764">
        <v>-5.1118110000000002E-4</v>
      </c>
      <c r="AA1764">
        <v>0.99972119999999998</v>
      </c>
      <c r="AB1764">
        <v>57</v>
      </c>
      <c r="AC1764">
        <v>-20.363999999999901</v>
      </c>
      <c r="AD1764">
        <v>-1.10908228823499</v>
      </c>
      <c r="AE1764">
        <v>0.92360000000002096</v>
      </c>
      <c r="AF1764">
        <v>0.487220888313183</v>
      </c>
      <c r="AG1764">
        <v>-1.10908228823499</v>
      </c>
      <c r="AH1764">
        <v>20.3189296510673</v>
      </c>
      <c r="AI1764">
        <v>93.123419018699195</v>
      </c>
      <c r="AJ1764">
        <v>88.626386693391296</v>
      </c>
      <c r="AK1764">
        <v>20.355007980374499</v>
      </c>
      <c r="AL1764">
        <v>79.8105976354028</v>
      </c>
      <c r="AM1764">
        <v>89.076437684724297</v>
      </c>
      <c r="AN1764">
        <v>1.00000001753237</v>
      </c>
    </row>
    <row r="1765" spans="1:40" x14ac:dyDescent="0.25">
      <c r="A1765" t="str">
        <f>"20190312164507311"</f>
        <v>20190312164507311</v>
      </c>
      <c r="B1765" t="str">
        <f>"1552380307303368"</f>
        <v>1552380307303368</v>
      </c>
      <c r="C1765" t="s">
        <v>40</v>
      </c>
      <c r="D1765">
        <v>4.8660680000000003</v>
      </c>
      <c r="E1765">
        <v>0.50984439999999998</v>
      </c>
      <c r="F1765" t="s">
        <v>51</v>
      </c>
      <c r="G1765">
        <v>-406.64100000000002</v>
      </c>
      <c r="H1765" s="1">
        <v>5.1867639999999897E-6</v>
      </c>
      <c r="I1765">
        <v>285.92529999999999</v>
      </c>
      <c r="J1765">
        <v>-385.55700000000002</v>
      </c>
      <c r="K1765">
        <v>1.1091340000000001</v>
      </c>
      <c r="L1765">
        <v>284.92829999999998</v>
      </c>
      <c r="M1765">
        <v>-0.99966189999999999</v>
      </c>
      <c r="N1765">
        <v>0</v>
      </c>
      <c r="O1765">
        <v>2.0819339999999999E-2</v>
      </c>
      <c r="P1765">
        <v>-0.98613280000000003</v>
      </c>
      <c r="Q1765">
        <v>0.16178870000000001</v>
      </c>
      <c r="R1765">
        <v>3.6972049999999999E-2</v>
      </c>
      <c r="S1765">
        <v>-3.0625309999999999</v>
      </c>
      <c r="T1765">
        <v>-0.15791169999999999</v>
      </c>
      <c r="U1765">
        <v>0.14321900000000001</v>
      </c>
      <c r="V1765">
        <v>1.6059690000000001E-2</v>
      </c>
      <c r="W1765">
        <v>0.177176799999999</v>
      </c>
      <c r="X1765">
        <v>0.98404800000000003</v>
      </c>
      <c r="Y1765">
        <v>2.589787E-2</v>
      </c>
      <c r="Z1765">
        <v>-4.0526869999999999E-4</v>
      </c>
      <c r="AA1765">
        <v>0.99966449999999996</v>
      </c>
      <c r="AB1765">
        <v>57</v>
      </c>
      <c r="AC1765">
        <v>-21.084</v>
      </c>
      <c r="AD1765">
        <v>-1.109128813236</v>
      </c>
      <c r="AE1765">
        <v>0.99700000000001399</v>
      </c>
      <c r="AF1765">
        <v>0.55623976926793905</v>
      </c>
      <c r="AG1765">
        <v>-1.109128813236</v>
      </c>
      <c r="AH1765">
        <v>21.042088334120798</v>
      </c>
      <c r="AI1765">
        <v>93.016217464446896</v>
      </c>
      <c r="AJ1765">
        <v>88.485760050872003</v>
      </c>
      <c r="AK1765">
        <v>21.0786396825366</v>
      </c>
      <c r="AL1765">
        <v>79.794640614529698</v>
      </c>
      <c r="AM1765">
        <v>89.065014330399904</v>
      </c>
      <c r="AN1765">
        <v>0.99999999920256799</v>
      </c>
    </row>
    <row r="1766" spans="1:40" x14ac:dyDescent="0.25">
      <c r="A1766" t="str">
        <f>"20190312164507323"</f>
        <v>20190312164507323</v>
      </c>
      <c r="B1766" t="str">
        <f>"1552380307313128"</f>
        <v>1552380307313128</v>
      </c>
      <c r="C1766" t="s">
        <v>40</v>
      </c>
      <c r="D1766">
        <v>5.0412699999999999</v>
      </c>
      <c r="E1766">
        <v>0.51016779999999995</v>
      </c>
      <c r="F1766" t="s">
        <v>51</v>
      </c>
      <c r="G1766">
        <v>-408.12079999999997</v>
      </c>
      <c r="H1766" s="1">
        <v>4.5101640000000003E-6</v>
      </c>
      <c r="I1766">
        <v>286.02390000000003</v>
      </c>
      <c r="J1766">
        <v>-385.87950000000001</v>
      </c>
      <c r="K1766">
        <v>1.1091629999999999</v>
      </c>
      <c r="L1766">
        <v>284.9348</v>
      </c>
      <c r="M1766">
        <v>-0.99967039999999996</v>
      </c>
      <c r="N1766">
        <v>0</v>
      </c>
      <c r="O1766">
        <v>2.0407379999999999E-2</v>
      </c>
      <c r="P1766">
        <v>-0.98615260000000005</v>
      </c>
      <c r="Q1766">
        <v>0.1617922</v>
      </c>
      <c r="R1766">
        <v>3.6424369999999998E-2</v>
      </c>
      <c r="S1766">
        <v>-3.0613100000000002</v>
      </c>
      <c r="T1766">
        <v>-0.15047969999999999</v>
      </c>
      <c r="U1766">
        <v>0.14865110000000001</v>
      </c>
      <c r="V1766">
        <v>1.590608E-2</v>
      </c>
      <c r="W1766">
        <v>0.17717869999999999</v>
      </c>
      <c r="X1766">
        <v>0.98405019999999999</v>
      </c>
      <c r="Y1766">
        <v>2.809567E-2</v>
      </c>
      <c r="Z1766">
        <v>-3.1217849999999999E-4</v>
      </c>
      <c r="AA1766">
        <v>0.99960519999999997</v>
      </c>
      <c r="AB1766">
        <v>57</v>
      </c>
      <c r="AC1766">
        <v>-22.241299999999899</v>
      </c>
      <c r="AD1766">
        <v>-1.1091584898360001</v>
      </c>
      <c r="AE1766">
        <v>1.0891000000000299</v>
      </c>
      <c r="AF1766">
        <v>0.63336003701745502</v>
      </c>
      <c r="AG1766">
        <v>-1.1091584898360001</v>
      </c>
      <c r="AH1766">
        <v>22.203807801296801</v>
      </c>
      <c r="AI1766">
        <v>92.858588292545605</v>
      </c>
      <c r="AJ1766">
        <v>88.3660901851284</v>
      </c>
      <c r="AK1766">
        <v>22.2405138962433</v>
      </c>
      <c r="AL1766">
        <v>79.7945304813001</v>
      </c>
      <c r="AM1766">
        <v>89.073957918974401</v>
      </c>
      <c r="AN1766">
        <v>1.0000000456173399</v>
      </c>
    </row>
    <row r="1767" spans="1:40" x14ac:dyDescent="0.25">
      <c r="A1767" t="str">
        <f>"20190312164507336"</f>
        <v>20190312164507336</v>
      </c>
      <c r="B1767" t="str">
        <f>"1552380307333624"</f>
        <v>1552380307333624</v>
      </c>
      <c r="C1767" t="s">
        <v>40</v>
      </c>
      <c r="D1767">
        <v>4.6906359999999996</v>
      </c>
      <c r="E1767">
        <v>0.51031700000000002</v>
      </c>
      <c r="F1767" t="s">
        <v>51</v>
      </c>
      <c r="G1767">
        <v>-408.71749999999997</v>
      </c>
      <c r="H1767" s="1">
        <v>4.2389140000000002E-6</v>
      </c>
      <c r="I1767">
        <v>286.05619999999999</v>
      </c>
      <c r="J1767">
        <v>-386.18959999999998</v>
      </c>
      <c r="K1767">
        <v>1.109192</v>
      </c>
      <c r="L1767">
        <v>284.9409</v>
      </c>
      <c r="M1767">
        <v>-0.99967870000000003</v>
      </c>
      <c r="N1767">
        <v>0</v>
      </c>
      <c r="O1767">
        <v>2.0003050000000001E-2</v>
      </c>
      <c r="P1767">
        <v>-0.98619710000000005</v>
      </c>
      <c r="Q1767">
        <v>0.16157729999999901</v>
      </c>
      <c r="R1767">
        <v>3.6170670000000002E-2</v>
      </c>
      <c r="S1767">
        <v>-3.0609739999999999</v>
      </c>
      <c r="T1767">
        <v>-0.1486604</v>
      </c>
      <c r="U1767">
        <v>0.15029909999999999</v>
      </c>
      <c r="V1767">
        <v>1.6040169999999999E-2</v>
      </c>
      <c r="W1767">
        <v>0.1769637</v>
      </c>
      <c r="X1767">
        <v>0.98408660000000003</v>
      </c>
      <c r="Y1767">
        <v>2.904079E-2</v>
      </c>
      <c r="Z1767">
        <v>-2.6590620000000001E-4</v>
      </c>
      <c r="AA1767">
        <v>0.99957819999999997</v>
      </c>
      <c r="AB1767">
        <v>57</v>
      </c>
      <c r="AC1767">
        <v>-22.527899999999899</v>
      </c>
      <c r="AD1767">
        <v>-1.1091877610859999</v>
      </c>
      <c r="AE1767">
        <v>1.11529999999999</v>
      </c>
      <c r="AF1767">
        <v>0.66279265077673699</v>
      </c>
      <c r="AG1767">
        <v>-1.1091877610859999</v>
      </c>
      <c r="AH1767">
        <v>22.491313441444898</v>
      </c>
      <c r="AI1767">
        <v>92.822103812589205</v>
      </c>
      <c r="AJ1767">
        <v>88.312049018648395</v>
      </c>
      <c r="AK1767">
        <v>22.528399230939399</v>
      </c>
      <c r="AL1767">
        <v>79.807045740015496</v>
      </c>
      <c r="AM1767">
        <v>89.066187194900806</v>
      </c>
      <c r="AN1767">
        <v>0.99999993723543701</v>
      </c>
    </row>
    <row r="1768" spans="1:40" x14ac:dyDescent="0.25">
      <c r="A1768" t="str">
        <f>"20190312164507349"</f>
        <v>20190312164507349</v>
      </c>
      <c r="B1768" t="str">
        <f>"1552380307343383"</f>
        <v>1552380307343383</v>
      </c>
      <c r="C1768" t="s">
        <v>40</v>
      </c>
      <c r="D1768">
        <v>4.8980499999999996</v>
      </c>
      <c r="E1768">
        <v>0.51063249999999905</v>
      </c>
      <c r="F1768" t="s">
        <v>51</v>
      </c>
      <c r="G1768">
        <v>-408.74919999999997</v>
      </c>
      <c r="H1768" s="1">
        <v>4.225551E-6</v>
      </c>
      <c r="I1768">
        <v>286.05259999999998</v>
      </c>
      <c r="J1768">
        <v>-386.52670000000001</v>
      </c>
      <c r="K1768">
        <v>1.1092200000000001</v>
      </c>
      <c r="L1768">
        <v>284.94749999999999</v>
      </c>
      <c r="M1768">
        <v>-0.99968760000000001</v>
      </c>
      <c r="N1768">
        <v>0</v>
      </c>
      <c r="O1768">
        <v>1.955788E-2</v>
      </c>
      <c r="P1768">
        <v>-0.98618729999999999</v>
      </c>
      <c r="Q1768">
        <v>0.16174249999999901</v>
      </c>
      <c r="R1768">
        <v>3.5699380000000003E-2</v>
      </c>
      <c r="S1768">
        <v>-3.0611269999999999</v>
      </c>
      <c r="T1768">
        <v>-0.15050639999999901</v>
      </c>
      <c r="U1768">
        <v>0.15084839999999999</v>
      </c>
      <c r="V1768">
        <v>1.599689E-2</v>
      </c>
      <c r="W1768">
        <v>0.17712800000000001</v>
      </c>
      <c r="X1768">
        <v>0.98405779999999998</v>
      </c>
      <c r="Y1768">
        <v>2.9660849999999999E-2</v>
      </c>
      <c r="Z1768">
        <v>-2.3210860000000001E-4</v>
      </c>
      <c r="AA1768">
        <v>0.99956</v>
      </c>
      <c r="AB1768">
        <v>57</v>
      </c>
      <c r="AC1768">
        <v>-22.222499999999901</v>
      </c>
      <c r="AD1768">
        <v>-1.1092157744490001</v>
      </c>
      <c r="AE1768">
        <v>1.10509999999999</v>
      </c>
      <c r="AF1768">
        <v>0.668549417342162</v>
      </c>
      <c r="AG1768">
        <v>-1.1092157744490001</v>
      </c>
      <c r="AH1768">
        <v>22.1847293806394</v>
      </c>
      <c r="AI1768">
        <v>92.861055229318595</v>
      </c>
      <c r="AJ1768">
        <v>88.273881549082404</v>
      </c>
      <c r="AK1768">
        <v>22.222500661489899</v>
      </c>
      <c r="AL1768">
        <v>79.797481501529205</v>
      </c>
      <c r="AM1768">
        <v>89.068679137336602</v>
      </c>
      <c r="AN1768">
        <v>0.99999999130725503</v>
      </c>
    </row>
    <row r="1769" spans="1:40" x14ac:dyDescent="0.25">
      <c r="A1769" t="str">
        <f>"20190312164507361"</f>
        <v>20190312164507361</v>
      </c>
      <c r="B1769" t="str">
        <f>"1552380307353144"</f>
        <v>1552380307353144</v>
      </c>
      <c r="C1769" t="s">
        <v>40</v>
      </c>
      <c r="D1769">
        <v>4.6896849999999999</v>
      </c>
      <c r="E1769">
        <v>0.51086500000000001</v>
      </c>
      <c r="F1769" t="s">
        <v>41</v>
      </c>
      <c r="G1769">
        <v>-387.75290000000001</v>
      </c>
      <c r="H1769">
        <v>1.048716</v>
      </c>
      <c r="I1769">
        <v>285.00819999999999</v>
      </c>
      <c r="J1769">
        <v>-386.84719999999999</v>
      </c>
      <c r="K1769">
        <v>1.109245</v>
      </c>
      <c r="L1769">
        <v>284.95359999999999</v>
      </c>
      <c r="M1769">
        <v>-0.99969580000000002</v>
      </c>
      <c r="N1769">
        <v>0</v>
      </c>
      <c r="O1769">
        <v>1.9125079999999999E-2</v>
      </c>
      <c r="P1769">
        <v>-0.98623629999999995</v>
      </c>
      <c r="Q1769">
        <v>0.1615164</v>
      </c>
      <c r="R1769">
        <v>3.5362360000000002E-2</v>
      </c>
      <c r="S1769">
        <v>-3.0612789999999999</v>
      </c>
      <c r="T1769">
        <v>-0.1509972</v>
      </c>
      <c r="U1769">
        <v>0.15164179999999999</v>
      </c>
      <c r="V1769">
        <v>1.6077250000000001E-2</v>
      </c>
      <c r="W1769">
        <v>0.17690129999999901</v>
      </c>
      <c r="X1769">
        <v>0.98409729999999995</v>
      </c>
      <c r="Y1769">
        <v>3.0348159999999999E-2</v>
      </c>
      <c r="Z1769">
        <v>-1.9460460000000001E-4</v>
      </c>
      <c r="AA1769">
        <v>0.99953939999999997</v>
      </c>
      <c r="AB1769">
        <v>57</v>
      </c>
      <c r="AC1769">
        <v>-0.90570000000002404</v>
      </c>
      <c r="AD1769">
        <v>-6.0528999999999999E-2</v>
      </c>
      <c r="AE1769">
        <v>5.4599999999993501E-2</v>
      </c>
      <c r="AF1769">
        <v>3.7101216193462697E-2</v>
      </c>
      <c r="AG1769">
        <v>-6.0528999999999999E-2</v>
      </c>
      <c r="AH1769">
        <v>0.90256205061072303</v>
      </c>
      <c r="AI1769">
        <v>93.833484616443101</v>
      </c>
      <c r="AJ1769">
        <v>87.646093152575901</v>
      </c>
      <c r="AK1769">
        <v>0.90534994078901199</v>
      </c>
      <c r="AL1769">
        <v>79.810679179721305</v>
      </c>
      <c r="AM1769">
        <v>89.064039061886803</v>
      </c>
      <c r="AN1769">
        <v>1.0000000218882701</v>
      </c>
    </row>
    <row r="1770" spans="1:40" x14ac:dyDescent="0.25">
      <c r="A1770" t="str">
        <f>"20190312164507377"</f>
        <v>20190312164507377</v>
      </c>
      <c r="B1770" t="str">
        <f>"1552380307373172"</f>
        <v>1552380307373172</v>
      </c>
      <c r="C1770" t="s">
        <v>40</v>
      </c>
      <c r="D1770">
        <v>4.9127159999999996</v>
      </c>
      <c r="E1770">
        <v>0.51118209999999997</v>
      </c>
      <c r="F1770" t="s">
        <v>51</v>
      </c>
      <c r="G1770">
        <v>-409.4203</v>
      </c>
      <c r="H1770" s="1">
        <v>3.9230369999999999E-6</v>
      </c>
      <c r="I1770">
        <v>286.07639999999998</v>
      </c>
      <c r="J1770">
        <v>-387.22210000000001</v>
      </c>
      <c r="K1770">
        <v>1.1092690000000001</v>
      </c>
      <c r="L1770">
        <v>284.9606</v>
      </c>
      <c r="M1770">
        <v>-0.99970539999999997</v>
      </c>
      <c r="N1770">
        <v>0</v>
      </c>
      <c r="O1770">
        <v>1.8614329999999998E-2</v>
      </c>
      <c r="P1770">
        <v>-0.98636679999999999</v>
      </c>
      <c r="Q1770">
        <v>0.1608637</v>
      </c>
      <c r="R1770">
        <v>3.4686839999999997E-2</v>
      </c>
      <c r="S1770">
        <v>-3.061035</v>
      </c>
      <c r="T1770">
        <v>-0.15041879999999999</v>
      </c>
      <c r="U1770">
        <v>0.1522522</v>
      </c>
      <c r="V1770">
        <v>1.5894539999999999E-2</v>
      </c>
      <c r="W1770">
        <v>0.17624889999999999</v>
      </c>
      <c r="X1770">
        <v>0.98421729999999996</v>
      </c>
      <c r="Y1770">
        <v>3.10602E-2</v>
      </c>
      <c r="Z1770">
        <v>-1.513393E-4</v>
      </c>
      <c r="AA1770">
        <v>0.99951749999999995</v>
      </c>
      <c r="AB1770">
        <v>57</v>
      </c>
      <c r="AC1770">
        <v>-22.1981999999999</v>
      </c>
      <c r="AD1770">
        <v>-1.1092650769629999</v>
      </c>
      <c r="AE1770">
        <v>1.1157999999999699</v>
      </c>
      <c r="AF1770">
        <v>0.70060679955074701</v>
      </c>
      <c r="AG1770">
        <v>-1.1092650769629999</v>
      </c>
      <c r="AH1770">
        <v>22.159929356713398</v>
      </c>
      <c r="AI1770">
        <v>92.864248337636894</v>
      </c>
      <c r="AJ1770">
        <v>88.189143779729505</v>
      </c>
      <c r="AK1770">
        <v>22.198733927705799</v>
      </c>
      <c r="AL1770">
        <v>79.848655464135703</v>
      </c>
      <c r="AM1770">
        <v>89.074786735400707</v>
      </c>
      <c r="AN1770">
        <v>1.0000000023861499</v>
      </c>
    </row>
    <row r="1771" spans="1:40" x14ac:dyDescent="0.25">
      <c r="A1771" t="str">
        <f>"20190312164507389"</f>
        <v>20190312164507389</v>
      </c>
      <c r="B1771" t="str">
        <f>"1552380307382931"</f>
        <v>1552380307382931</v>
      </c>
      <c r="C1771" t="s">
        <v>40</v>
      </c>
      <c r="D1771">
        <v>4.9062080000000003</v>
      </c>
      <c r="E1771">
        <v>0.51134929999999901</v>
      </c>
      <c r="F1771" t="s">
        <v>51</v>
      </c>
      <c r="G1771">
        <v>-409.62310000000002</v>
      </c>
      <c r="H1771" s="1">
        <v>3.8330499999999997E-6</v>
      </c>
      <c r="I1771">
        <v>286.07670000000002</v>
      </c>
      <c r="J1771">
        <v>-387.54590000000002</v>
      </c>
      <c r="K1771">
        <v>1.1092900000000001</v>
      </c>
      <c r="L1771">
        <v>284.9665</v>
      </c>
      <c r="M1771">
        <v>-0.99971370000000004</v>
      </c>
      <c r="N1771">
        <v>0</v>
      </c>
      <c r="O1771">
        <v>1.8169830000000001E-2</v>
      </c>
      <c r="P1771">
        <v>-0.986429</v>
      </c>
      <c r="Q1771">
        <v>0.1606234</v>
      </c>
      <c r="R1771">
        <v>3.4027420000000003E-2</v>
      </c>
      <c r="S1771">
        <v>-3.060791</v>
      </c>
      <c r="T1771">
        <v>-0.15156600000000001</v>
      </c>
      <c r="U1771">
        <v>0.1524963</v>
      </c>
      <c r="V1771">
        <v>1.566505E-2</v>
      </c>
      <c r="W1771">
        <v>0.1760072</v>
      </c>
      <c r="X1771">
        <v>0.98426429999999998</v>
      </c>
      <c r="Y1771">
        <v>3.1586669999999997E-2</v>
      </c>
      <c r="Z1771">
        <v>-1.175059E-4</v>
      </c>
      <c r="AA1771">
        <v>0.99950099999999997</v>
      </c>
      <c r="AB1771">
        <v>57</v>
      </c>
      <c r="AC1771">
        <v>-22.077200000000001</v>
      </c>
      <c r="AD1771">
        <v>-1.10928616694999</v>
      </c>
      <c r="AE1771">
        <v>1.1102000000000201</v>
      </c>
      <c r="AF1771">
        <v>0.70704854601143197</v>
      </c>
      <c r="AG1771">
        <v>-1.10928616694999</v>
      </c>
      <c r="AH1771">
        <v>22.038230868909899</v>
      </c>
      <c r="AI1771">
        <v>92.880050552857199</v>
      </c>
      <c r="AJ1771">
        <v>88.162420249167795</v>
      </c>
      <c r="AK1771">
        <v>22.077455770037901</v>
      </c>
      <c r="AL1771">
        <v>79.862724475536993</v>
      </c>
      <c r="AM1771">
        <v>89.088186497143298</v>
      </c>
      <c r="AN1771">
        <v>1.00000007024891</v>
      </c>
    </row>
    <row r="1772" spans="1:40" x14ac:dyDescent="0.25">
      <c r="A1772" t="str">
        <f>"20190312164507402"</f>
        <v>20190312164507402</v>
      </c>
      <c r="B1772" t="str">
        <f>"1552380307393668"</f>
        <v>1552380307393668</v>
      </c>
      <c r="C1772" t="s">
        <v>40</v>
      </c>
      <c r="D1772">
        <v>4.89168</v>
      </c>
      <c r="E1772">
        <v>0.51148179999999999</v>
      </c>
      <c r="F1772" t="s">
        <v>41</v>
      </c>
      <c r="G1772">
        <v>-388.76870000000002</v>
      </c>
      <c r="H1772">
        <v>1.0489729999999999</v>
      </c>
      <c r="I1772">
        <v>285.02730000000003</v>
      </c>
      <c r="J1772">
        <v>-387.87380000000002</v>
      </c>
      <c r="K1772">
        <v>1.10931</v>
      </c>
      <c r="L1772">
        <v>284.97219999999999</v>
      </c>
      <c r="M1772">
        <v>-0.99972190000000005</v>
      </c>
      <c r="N1772">
        <v>0</v>
      </c>
      <c r="O1772">
        <v>1.7717759999999999E-2</v>
      </c>
      <c r="P1772">
        <v>-0.98644949999999998</v>
      </c>
      <c r="Q1772">
        <v>0.16062699999999999</v>
      </c>
      <c r="R1772">
        <v>3.3419110000000002E-2</v>
      </c>
      <c r="S1772">
        <v>-3.060638</v>
      </c>
      <c r="T1772">
        <v>-0.15092920000000001</v>
      </c>
      <c r="U1772">
        <v>0.1522522</v>
      </c>
      <c r="V1772">
        <v>1.549568E-2</v>
      </c>
      <c r="W1772">
        <v>0.1760091</v>
      </c>
      <c r="X1772">
        <v>0.98426659999999999</v>
      </c>
      <c r="Y1772">
        <v>3.1960719999999998E-2</v>
      </c>
      <c r="Z1772" s="1">
        <v>-8.5547040000000002E-5</v>
      </c>
      <c r="AA1772">
        <v>0.99948910000000002</v>
      </c>
      <c r="AB1772">
        <v>57</v>
      </c>
      <c r="AC1772">
        <v>-0.89490000000000602</v>
      </c>
      <c r="AD1772">
        <v>-6.0337000000000002E-2</v>
      </c>
      <c r="AE1772">
        <v>5.51000000000385E-2</v>
      </c>
      <c r="AF1772">
        <v>3.9056927098438297E-2</v>
      </c>
      <c r="AG1772">
        <v>-6.0337000000000002E-2</v>
      </c>
      <c r="AH1772">
        <v>0.89169761322498697</v>
      </c>
      <c r="AI1772">
        <v>93.867339511348206</v>
      </c>
      <c r="AJ1772">
        <v>87.492011162753997</v>
      </c>
      <c r="AK1772">
        <v>0.894589643666028</v>
      </c>
      <c r="AL1772">
        <v>79.862613471000103</v>
      </c>
      <c r="AM1772">
        <v>89.098045464212305</v>
      </c>
      <c r="AN1772">
        <v>1.0000000296285101</v>
      </c>
    </row>
    <row r="1773" spans="1:40" x14ac:dyDescent="0.25">
      <c r="A1773" t="str">
        <f>"20190312164507423"</f>
        <v>20190312164507423</v>
      </c>
      <c r="B1773" t="str">
        <f>"1552380307413188"</f>
        <v>1552380307413188</v>
      </c>
      <c r="C1773" t="s">
        <v>40</v>
      </c>
      <c r="D1773">
        <v>4.7139290000000003</v>
      </c>
      <c r="E1773">
        <v>0.51161809999999996</v>
      </c>
      <c r="F1773" t="s">
        <v>51</v>
      </c>
      <c r="G1773">
        <v>-410.52510000000001</v>
      </c>
      <c r="H1773" s="1">
        <v>2.169648E-6</v>
      </c>
      <c r="I1773">
        <v>286.09480000000002</v>
      </c>
      <c r="J1773">
        <v>-388.39510000000001</v>
      </c>
      <c r="K1773">
        <v>1.109332</v>
      </c>
      <c r="L1773">
        <v>284.98110000000003</v>
      </c>
      <c r="M1773">
        <v>-0.99973440000000002</v>
      </c>
      <c r="N1773">
        <v>0</v>
      </c>
      <c r="O1773">
        <v>1.700262E-2</v>
      </c>
      <c r="P1773">
        <v>-0.98645159999999998</v>
      </c>
      <c r="Q1773">
        <v>0.16081199999999901</v>
      </c>
      <c r="R1773">
        <v>3.2448270000000001E-2</v>
      </c>
      <c r="S1773">
        <v>-3.0604550000000001</v>
      </c>
      <c r="T1773">
        <v>-0.14988029999999999</v>
      </c>
      <c r="U1773">
        <v>0.15167240000000001</v>
      </c>
      <c r="V1773">
        <v>1.522065E-2</v>
      </c>
      <c r="W1773">
        <v>0.17619070000000001</v>
      </c>
      <c r="X1773">
        <v>0.98423839999999996</v>
      </c>
      <c r="Y1773">
        <v>3.248852E-2</v>
      </c>
      <c r="Z1773" s="1">
        <v>-3.7077470000000003E-5</v>
      </c>
      <c r="AA1773">
        <v>0.99947209999999997</v>
      </c>
      <c r="AB1773">
        <v>57</v>
      </c>
      <c r="AC1773">
        <v>-22.1299999999999</v>
      </c>
      <c r="AD1773">
        <v>-1.1093298303520001</v>
      </c>
      <c r="AE1773">
        <v>1.1136999999999899</v>
      </c>
      <c r="AF1773">
        <v>0.73538224222390403</v>
      </c>
      <c r="AG1773">
        <v>-1.1093298303520001</v>
      </c>
      <c r="AH1773">
        <v>22.090369800060898</v>
      </c>
      <c r="AI1773">
        <v>92.873264167861294</v>
      </c>
      <c r="AJ1773">
        <v>88.093343613385699</v>
      </c>
      <c r="AK1773">
        <v>22.130427867940799</v>
      </c>
      <c r="AL1773">
        <v>79.852043370015807</v>
      </c>
      <c r="AM1773">
        <v>89.114026136428393</v>
      </c>
      <c r="AN1773">
        <v>1.0000000294937299</v>
      </c>
    </row>
    <row r="1774" spans="1:40" x14ac:dyDescent="0.25">
      <c r="A1774" t="str">
        <f>"20190312164507445"</f>
        <v>20190312164507445</v>
      </c>
      <c r="B1774" t="str">
        <f>"1552380307433684"</f>
        <v>1552380307433684</v>
      </c>
      <c r="C1774" t="s">
        <v>40</v>
      </c>
      <c r="D1774">
        <v>4.7183929999999998</v>
      </c>
      <c r="E1774">
        <v>0.51163359999999902</v>
      </c>
      <c r="F1774" t="s">
        <v>51</v>
      </c>
      <c r="G1774">
        <v>-411.32530000000003</v>
      </c>
      <c r="H1774" s="1">
        <v>2.3107449999999999E-6</v>
      </c>
      <c r="I1774">
        <v>286.10430000000002</v>
      </c>
      <c r="J1774">
        <v>-388.95170000000002</v>
      </c>
      <c r="K1774">
        <v>1.1093459999999999</v>
      </c>
      <c r="L1774">
        <v>284.99029999999999</v>
      </c>
      <c r="M1774">
        <v>-0.99974689999999999</v>
      </c>
      <c r="N1774">
        <v>0</v>
      </c>
      <c r="O1774">
        <v>1.6250850000000001E-2</v>
      </c>
      <c r="P1774">
        <v>-0.98640320000000004</v>
      </c>
      <c r="Q1774">
        <v>0.16130810000000001</v>
      </c>
      <c r="R1774">
        <v>3.1435369999999997E-2</v>
      </c>
      <c r="S1774">
        <v>-3.060333</v>
      </c>
      <c r="T1774">
        <v>-0.1480551</v>
      </c>
      <c r="U1774">
        <v>0.14990229999999999</v>
      </c>
      <c r="V1774">
        <v>1.494241E-2</v>
      </c>
      <c r="W1774">
        <v>0.17668120000000001</v>
      </c>
      <c r="X1774">
        <v>0.98415469999999905</v>
      </c>
      <c r="Y1774">
        <v>3.2664739999999998E-2</v>
      </c>
      <c r="Z1774" s="1">
        <v>3.948226E-6</v>
      </c>
      <c r="AA1774">
        <v>0.99946639999999998</v>
      </c>
      <c r="AB1774">
        <v>57</v>
      </c>
      <c r="AC1774">
        <v>-22.3736</v>
      </c>
      <c r="AD1774">
        <v>-1.1093436892549999</v>
      </c>
      <c r="AE1774">
        <v>1.1140000000000301</v>
      </c>
      <c r="AF1774">
        <v>0.748383518449527</v>
      </c>
      <c r="AG1774">
        <v>-1.1093436892549999</v>
      </c>
      <c r="AH1774">
        <v>22.333979329146501</v>
      </c>
      <c r="AI1774">
        <v>92.841990203718893</v>
      </c>
      <c r="AJ1774">
        <v>88.080808687773995</v>
      </c>
      <c r="AK1774">
        <v>22.374033029079101</v>
      </c>
      <c r="AL1774">
        <v>79.823491552355506</v>
      </c>
      <c r="AM1774">
        <v>89.130145645413293</v>
      </c>
      <c r="AN1774">
        <v>0.99999999779106796</v>
      </c>
    </row>
    <row r="1775" spans="1:40" x14ac:dyDescent="0.25">
      <c r="A1775" t="str">
        <f>"20190312164507467"</f>
        <v>20190312164507467</v>
      </c>
      <c r="B1775" t="str">
        <f>"1552380307463940"</f>
        <v>1552380307463940</v>
      </c>
      <c r="C1775" t="s">
        <v>40</v>
      </c>
      <c r="D1775">
        <v>4.79589</v>
      </c>
      <c r="E1775">
        <v>0.51197219999999999</v>
      </c>
      <c r="F1775" t="s">
        <v>51</v>
      </c>
      <c r="G1775">
        <v>-411.9778</v>
      </c>
      <c r="H1775" s="1">
        <v>2.4268970000000001E-6</v>
      </c>
      <c r="I1775">
        <v>286.09960000000001</v>
      </c>
      <c r="J1775">
        <v>-389.51749999999998</v>
      </c>
      <c r="K1775">
        <v>1.1093489999999999</v>
      </c>
      <c r="L1775">
        <v>284.9991</v>
      </c>
      <c r="M1775">
        <v>-0.99975879999999995</v>
      </c>
      <c r="N1775">
        <v>0</v>
      </c>
      <c r="O1775">
        <v>1.5511189999999999E-2</v>
      </c>
      <c r="P1775">
        <v>-0.98641999999999996</v>
      </c>
      <c r="Q1775">
        <v>0.1614505</v>
      </c>
      <c r="R1775">
        <v>3.016483E-2</v>
      </c>
      <c r="S1775">
        <v>-3.0607600000000001</v>
      </c>
      <c r="T1775">
        <v>-0.1474608</v>
      </c>
      <c r="U1775">
        <v>0.14746090000000001</v>
      </c>
      <c r="V1775">
        <v>1.439969E-2</v>
      </c>
      <c r="W1775">
        <v>0.17681820000000001</v>
      </c>
      <c r="X1775">
        <v>0.98413819999999996</v>
      </c>
      <c r="Y1775">
        <v>3.2601400000000003E-2</v>
      </c>
      <c r="Z1775" s="1">
        <v>3.799464E-5</v>
      </c>
      <c r="AA1775">
        <v>0.99946840000000003</v>
      </c>
      <c r="AB1775">
        <v>57</v>
      </c>
      <c r="AC1775">
        <v>-22.4603</v>
      </c>
      <c r="AD1775">
        <v>-1.1093465731030001</v>
      </c>
      <c r="AE1775">
        <v>1.10050000000001</v>
      </c>
      <c r="AF1775">
        <v>0.75011394176731705</v>
      </c>
      <c r="AG1775">
        <v>-1.1093465731030001</v>
      </c>
      <c r="AH1775">
        <v>22.4201061929238</v>
      </c>
      <c r="AI1775">
        <v>92.831102711025807</v>
      </c>
      <c r="AJ1775">
        <v>88.083758525628696</v>
      </c>
      <c r="AK1775">
        <v>22.4600641683605</v>
      </c>
      <c r="AL1775">
        <v>79.815516613807802</v>
      </c>
      <c r="AM1775">
        <v>89.161720789358398</v>
      </c>
      <c r="AN1775">
        <v>1.00000001181128</v>
      </c>
    </row>
    <row r="1776" spans="1:40" x14ac:dyDescent="0.25">
      <c r="A1776" t="str">
        <f>"20190312164507490"</f>
        <v>20190312164507490</v>
      </c>
      <c r="B1776" t="str">
        <f>"1552380307482991"</f>
        <v>1552380307482991</v>
      </c>
      <c r="C1776" t="s">
        <v>40</v>
      </c>
      <c r="D1776">
        <v>4.8944710000000002</v>
      </c>
      <c r="E1776">
        <v>0.51212919999999995</v>
      </c>
      <c r="F1776" t="s">
        <v>51</v>
      </c>
      <c r="G1776">
        <v>-413.01600000000002</v>
      </c>
      <c r="H1776" s="1">
        <v>2.6084779999999999E-6</v>
      </c>
      <c r="I1776">
        <v>286.12920000000003</v>
      </c>
      <c r="J1776">
        <v>-390.09539999999998</v>
      </c>
      <c r="K1776">
        <v>1.10934</v>
      </c>
      <c r="L1776">
        <v>285.00779999999997</v>
      </c>
      <c r="M1776">
        <v>-0.99976969999999998</v>
      </c>
      <c r="N1776">
        <v>0</v>
      </c>
      <c r="O1776">
        <v>1.4797619999999999E-2</v>
      </c>
      <c r="P1776">
        <v>-0.98649569999999998</v>
      </c>
      <c r="Q1776">
        <v>0.16118109999999999</v>
      </c>
      <c r="R1776">
        <v>2.9105860000000001E-2</v>
      </c>
      <c r="S1776">
        <v>-3.060486</v>
      </c>
      <c r="T1776">
        <v>-0.14448329999999901</v>
      </c>
      <c r="U1776">
        <v>0.14718629999999999</v>
      </c>
      <c r="V1776">
        <v>1.4048990000000001E-2</v>
      </c>
      <c r="W1776">
        <v>0.17654410000000001</v>
      </c>
      <c r="X1776">
        <v>0.98419239999999997</v>
      </c>
      <c r="Y1776">
        <v>3.3228889999999997E-2</v>
      </c>
      <c r="Z1776" s="1">
        <v>8.5670789999999999E-5</v>
      </c>
      <c r="AA1776">
        <v>0.9994478</v>
      </c>
      <c r="AB1776">
        <v>57</v>
      </c>
      <c r="AC1776">
        <v>-22.920599999999901</v>
      </c>
      <c r="AD1776">
        <v>-1.1093373915219999</v>
      </c>
      <c r="AE1776">
        <v>1.1214000000000499</v>
      </c>
      <c r="AF1776">
        <v>0.78024254731279596</v>
      </c>
      <c r="AG1776">
        <v>-1.1093373915219999</v>
      </c>
      <c r="AH1776">
        <v>22.881215127243198</v>
      </c>
      <c r="AI1776">
        <v>92.7740565733301</v>
      </c>
      <c r="AJ1776">
        <v>88.046987913888501</v>
      </c>
      <c r="AK1776">
        <v>22.921374600578599</v>
      </c>
      <c r="AL1776">
        <v>79.831471630094796</v>
      </c>
      <c r="AM1776">
        <v>89.1821790468709</v>
      </c>
      <c r="AN1776">
        <v>0.99999993679129295</v>
      </c>
    </row>
    <row r="1777" spans="1:40" x14ac:dyDescent="0.25">
      <c r="A1777" t="str">
        <f>"20190312164507502"</f>
        <v>20190312164507502</v>
      </c>
      <c r="B1777" t="str">
        <f>"1552380307493728"</f>
        <v>1552380307493728</v>
      </c>
      <c r="C1777" t="s">
        <v>40</v>
      </c>
      <c r="D1777">
        <v>4.6347690000000004</v>
      </c>
      <c r="E1777">
        <v>0.51225569999999998</v>
      </c>
      <c r="F1777" t="s">
        <v>51</v>
      </c>
      <c r="G1777">
        <v>-413.65730000000002</v>
      </c>
      <c r="H1777" s="1">
        <v>2.7221709999999998E-6</v>
      </c>
      <c r="I1777">
        <v>286.13</v>
      </c>
      <c r="J1777">
        <v>-390.42270000000002</v>
      </c>
      <c r="K1777">
        <v>1.109329</v>
      </c>
      <c r="L1777">
        <v>285.01249999999999</v>
      </c>
      <c r="M1777">
        <v>-0.99977519999999998</v>
      </c>
      <c r="N1777">
        <v>0</v>
      </c>
      <c r="O1777">
        <v>1.442014E-2</v>
      </c>
      <c r="P1777">
        <v>-0.98652949999999995</v>
      </c>
      <c r="Q1777">
        <v>0.1610743</v>
      </c>
      <c r="R1777">
        <v>2.8547989999999999E-2</v>
      </c>
      <c r="S1777">
        <v>-3.0603030000000002</v>
      </c>
      <c r="T1777">
        <v>-0.1440845</v>
      </c>
      <c r="U1777">
        <v>0.14575199999999999</v>
      </c>
      <c r="V1777">
        <v>1.386982E-2</v>
      </c>
      <c r="W1777">
        <v>0.1764338</v>
      </c>
      <c r="X1777">
        <v>0.98421479999999995</v>
      </c>
      <c r="Y1777">
        <v>3.3141530000000002E-2</v>
      </c>
      <c r="Z1777">
        <v>1.01136E-4</v>
      </c>
      <c r="AA1777">
        <v>0.99945070000000003</v>
      </c>
      <c r="AB1777">
        <v>57</v>
      </c>
      <c r="AC1777">
        <v>-23.2346</v>
      </c>
      <c r="AD1777">
        <v>-1.1093262778290001</v>
      </c>
      <c r="AE1777">
        <v>1.1174999999999999</v>
      </c>
      <c r="AF1777">
        <v>0.78052198311210097</v>
      </c>
      <c r="AG1777">
        <v>-1.1093262778290001</v>
      </c>
      <c r="AH1777">
        <v>23.195546773228799</v>
      </c>
      <c r="AI1777">
        <v>92.736536049912701</v>
      </c>
      <c r="AJ1777">
        <v>88.072744380144798</v>
      </c>
      <c r="AK1777">
        <v>23.235171819159099</v>
      </c>
      <c r="AL1777">
        <v>79.837892944545999</v>
      </c>
      <c r="AM1777">
        <v>89.192625889165399</v>
      </c>
      <c r="AN1777">
        <v>1.0000000151141499</v>
      </c>
    </row>
    <row r="1778" spans="1:40" x14ac:dyDescent="0.25">
      <c r="A1778" t="str">
        <f>"20190312164507515"</f>
        <v>20190312164507515</v>
      </c>
      <c r="B1778" t="str">
        <f>"1552380307503488"</f>
        <v>1552380307503488</v>
      </c>
      <c r="C1778" t="s">
        <v>40</v>
      </c>
      <c r="D1778">
        <v>4.6378209999999997</v>
      </c>
      <c r="E1778">
        <v>0.51238779999999995</v>
      </c>
      <c r="F1778" t="s">
        <v>51</v>
      </c>
      <c r="G1778">
        <v>-414.13830000000002</v>
      </c>
      <c r="H1778" s="1">
        <v>2.8065979999999999E-6</v>
      </c>
      <c r="I1778">
        <v>286.14019999999999</v>
      </c>
      <c r="J1778">
        <v>-390.72190000000001</v>
      </c>
      <c r="K1778">
        <v>1.1093150000000001</v>
      </c>
      <c r="L1778">
        <v>285.01670000000001</v>
      </c>
      <c r="M1778">
        <v>-0.99977990000000005</v>
      </c>
      <c r="N1778">
        <v>0</v>
      </c>
      <c r="O1778">
        <v>1.408672E-2</v>
      </c>
      <c r="P1778">
        <v>-0.98652499999999999</v>
      </c>
      <c r="Q1778">
        <v>0.1612027</v>
      </c>
      <c r="R1778">
        <v>2.7970559999999998E-2</v>
      </c>
      <c r="S1778">
        <v>-3.06012</v>
      </c>
      <c r="T1778">
        <v>-0.14314099999999999</v>
      </c>
      <c r="U1778">
        <v>0.14550779999999999</v>
      </c>
      <c r="V1778">
        <v>1.362768E-2</v>
      </c>
      <c r="W1778">
        <v>0.17655870000000001</v>
      </c>
      <c r="X1778">
        <v>0.98419579999999995</v>
      </c>
      <c r="Y1778">
        <v>3.3397749999999997E-2</v>
      </c>
      <c r="Z1778">
        <v>1.22043E-4</v>
      </c>
      <c r="AA1778">
        <v>0.99944219999999895</v>
      </c>
      <c r="AB1778">
        <v>57</v>
      </c>
      <c r="AC1778">
        <v>-23.416399999999999</v>
      </c>
      <c r="AD1778">
        <v>-1.109312193402</v>
      </c>
      <c r="AE1778">
        <v>1.12349999999997</v>
      </c>
      <c r="AF1778">
        <v>0.79171564158534202</v>
      </c>
      <c r="AG1778">
        <v>-1.109312193402</v>
      </c>
      <c r="AH1778">
        <v>23.377560221289599</v>
      </c>
      <c r="AI1778">
        <v>92.715207641799495</v>
      </c>
      <c r="AJ1778">
        <v>88.060335044655801</v>
      </c>
      <c r="AK1778">
        <v>23.417252381515201</v>
      </c>
      <c r="AL1778">
        <v>79.830622724244805</v>
      </c>
      <c r="AM1778">
        <v>89.206703936471897</v>
      </c>
      <c r="AN1778">
        <v>1.0000000304727501</v>
      </c>
    </row>
    <row r="1779" spans="1:40" x14ac:dyDescent="0.25">
      <c r="A1779" t="str">
        <f>"20190312164507527"</f>
        <v>20190312164507527</v>
      </c>
      <c r="B1779" t="str">
        <f>"1552380307523007"</f>
        <v>1552380307523007</v>
      </c>
      <c r="C1779" t="s">
        <v>40</v>
      </c>
      <c r="D1779">
        <v>4.6350030000000002</v>
      </c>
      <c r="E1779">
        <v>0.51269109999999996</v>
      </c>
      <c r="F1779" t="s">
        <v>51</v>
      </c>
      <c r="G1779">
        <v>-414.56689999999998</v>
      </c>
      <c r="H1779" s="1">
        <v>2.882171E-6</v>
      </c>
      <c r="I1779">
        <v>286.14530000000002</v>
      </c>
      <c r="J1779">
        <v>-391.0641</v>
      </c>
      <c r="K1779">
        <v>1.109299</v>
      </c>
      <c r="L1779">
        <v>285.0215</v>
      </c>
      <c r="M1779">
        <v>-0.99978520000000004</v>
      </c>
      <c r="N1779">
        <v>0</v>
      </c>
      <c r="O1779">
        <v>1.3717780000000001E-2</v>
      </c>
      <c r="P1779">
        <v>-0.98650749999999998</v>
      </c>
      <c r="Q1779">
        <v>0.16139249999999999</v>
      </c>
      <c r="R1779">
        <v>2.7492610000000001E-2</v>
      </c>
      <c r="S1779">
        <v>-3.0600890000000001</v>
      </c>
      <c r="T1779">
        <v>-0.14236070000000001</v>
      </c>
      <c r="U1779">
        <v>0.1448364</v>
      </c>
      <c r="V1779">
        <v>1.352244E-2</v>
      </c>
      <c r="W1779">
        <v>0.17674409999999999</v>
      </c>
      <c r="X1779">
        <v>0.98416389999999998</v>
      </c>
      <c r="Y1779">
        <v>3.3547920000000002E-2</v>
      </c>
      <c r="Z1779">
        <v>1.4201240000000001E-4</v>
      </c>
      <c r="AA1779">
        <v>0.99943709999999997</v>
      </c>
      <c r="AB1779">
        <v>57</v>
      </c>
      <c r="AC1779">
        <v>-23.502799999999901</v>
      </c>
      <c r="AD1779">
        <v>-1.109296117829</v>
      </c>
      <c r="AE1779">
        <v>1.1238000000000099</v>
      </c>
      <c r="AF1779">
        <v>0.79947215741188205</v>
      </c>
      <c r="AG1779">
        <v>-1.109296117829</v>
      </c>
      <c r="AH1779">
        <v>23.4638548320188</v>
      </c>
      <c r="AI1779">
        <v>92.705178573396694</v>
      </c>
      <c r="AJ1779">
        <v>88.048544578726293</v>
      </c>
      <c r="AK1779">
        <v>23.5036630588842</v>
      </c>
      <c r="AL1779">
        <v>79.819829611629402</v>
      </c>
      <c r="AM1779">
        <v>89.212803893911797</v>
      </c>
      <c r="AN1779">
        <v>0.99999995766578498</v>
      </c>
    </row>
    <row r="1780" spans="1:40" x14ac:dyDescent="0.25">
      <c r="A1780" t="str">
        <f>"20190312164507544"</f>
        <v>20190312164507544</v>
      </c>
      <c r="B1780" t="str">
        <f>"1552380307533744"</f>
        <v>1552380307533744</v>
      </c>
      <c r="C1780" t="s">
        <v>40</v>
      </c>
      <c r="D1780">
        <v>4.6024390000000004</v>
      </c>
      <c r="E1780">
        <v>0.51264379999999998</v>
      </c>
      <c r="F1780" t="s">
        <v>51</v>
      </c>
      <c r="G1780">
        <v>-415.22710000000001</v>
      </c>
      <c r="H1780" s="1">
        <v>2.9968369999999998E-6</v>
      </c>
      <c r="I1780">
        <v>286.17340000000002</v>
      </c>
      <c r="J1780">
        <v>-391.4622</v>
      </c>
      <c r="K1780">
        <v>1.109273</v>
      </c>
      <c r="L1780">
        <v>285.02670000000001</v>
      </c>
      <c r="M1780">
        <v>-0.99979039999999997</v>
      </c>
      <c r="N1780">
        <v>0</v>
      </c>
      <c r="O1780">
        <v>1.332619E-2</v>
      </c>
      <c r="P1780">
        <v>-0.98641129999999999</v>
      </c>
      <c r="Q1780">
        <v>0.16216169999999999</v>
      </c>
      <c r="R1780">
        <v>2.6385280000000001E-2</v>
      </c>
      <c r="S1780">
        <v>-3.0599370000000001</v>
      </c>
      <c r="T1780">
        <v>-0.14047799999999999</v>
      </c>
      <c r="U1780">
        <v>0.145874</v>
      </c>
      <c r="V1780">
        <v>1.281437E-2</v>
      </c>
      <c r="W1780">
        <v>0.17750669999999999</v>
      </c>
      <c r="X1780">
        <v>0.98403609999999997</v>
      </c>
      <c r="Y1780">
        <v>3.4279230000000001E-2</v>
      </c>
      <c r="Z1780">
        <v>1.748668E-4</v>
      </c>
      <c r="AA1780">
        <v>0.99941230000000003</v>
      </c>
      <c r="AB1780">
        <v>57</v>
      </c>
      <c r="AC1780">
        <v>-23.764900000000001</v>
      </c>
      <c r="AD1780">
        <v>-1.1092700031630001</v>
      </c>
      <c r="AE1780">
        <v>1.1467000000000001</v>
      </c>
      <c r="AF1780">
        <v>0.82806438516139702</v>
      </c>
      <c r="AG1780">
        <v>-1.1092700031630001</v>
      </c>
      <c r="AH1780">
        <v>23.7264987546654</v>
      </c>
      <c r="AI1780">
        <v>92.675137886854202</v>
      </c>
      <c r="AJ1780">
        <v>88.001165452948896</v>
      </c>
      <c r="AK1780">
        <v>23.766844841523</v>
      </c>
      <c r="AL1780">
        <v>79.775433706122996</v>
      </c>
      <c r="AM1780">
        <v>89.253921863086404</v>
      </c>
      <c r="AN1780">
        <v>0.99999994136329595</v>
      </c>
    </row>
    <row r="1781" spans="1:40" x14ac:dyDescent="0.25">
      <c r="A1781" t="str">
        <f>"20190312164507559"</f>
        <v>20190312164507559</v>
      </c>
      <c r="B1781" t="str">
        <f>"1552380307553263"</f>
        <v>1552380307553263</v>
      </c>
      <c r="C1781" t="s">
        <v>40</v>
      </c>
      <c r="D1781">
        <v>4.5774290000000004</v>
      </c>
      <c r="E1781">
        <v>0.51258919999999997</v>
      </c>
      <c r="F1781" t="s">
        <v>51</v>
      </c>
      <c r="G1781">
        <v>-415.73739999999998</v>
      </c>
      <c r="H1781" s="1">
        <v>3.089191E-6</v>
      </c>
      <c r="I1781">
        <v>286.15230000000003</v>
      </c>
      <c r="J1781">
        <v>-391.82470000000001</v>
      </c>
      <c r="K1781">
        <v>1.10924</v>
      </c>
      <c r="L1781">
        <v>285.03149999999999</v>
      </c>
      <c r="M1781">
        <v>-0.99979479999999998</v>
      </c>
      <c r="N1781">
        <v>0</v>
      </c>
      <c r="O1781">
        <v>1.2998910000000001E-2</v>
      </c>
      <c r="P1781">
        <v>-0.9863442</v>
      </c>
      <c r="Q1781">
        <v>0.16267960000000001</v>
      </c>
      <c r="R1781">
        <v>2.570242E-2</v>
      </c>
      <c r="S1781">
        <v>-3.0605470000000001</v>
      </c>
      <c r="T1781">
        <v>-0.13985400000000001</v>
      </c>
      <c r="U1781">
        <v>0.1419067</v>
      </c>
      <c r="V1781">
        <v>1.2469010000000001E-2</v>
      </c>
      <c r="W1781">
        <v>0.1780186</v>
      </c>
      <c r="X1781">
        <v>0.98394809999999999</v>
      </c>
      <c r="Y1781">
        <v>3.3305130000000002E-2</v>
      </c>
      <c r="Z1781">
        <v>1.667653E-4</v>
      </c>
      <c r="AA1781">
        <v>0.99944520000000003</v>
      </c>
      <c r="AB1781">
        <v>57</v>
      </c>
      <c r="AC1781">
        <v>-23.912699999999901</v>
      </c>
      <c r="AD1781">
        <v>-1.1092369108089899</v>
      </c>
      <c r="AE1781">
        <v>1.12080000000003</v>
      </c>
      <c r="AF1781">
        <v>0.80809372086795295</v>
      </c>
      <c r="AG1781">
        <v>-1.1092369108089899</v>
      </c>
      <c r="AH1781">
        <v>23.873991873097701</v>
      </c>
      <c r="AI1781">
        <v>92.658651415987705</v>
      </c>
      <c r="AJ1781">
        <v>88.061376168670293</v>
      </c>
      <c r="AK1781">
        <v>23.913404398845898</v>
      </c>
      <c r="AL1781">
        <v>79.745629720564494</v>
      </c>
      <c r="AM1781">
        <v>89.273962307253498</v>
      </c>
      <c r="AN1781">
        <v>0.99999998082497499</v>
      </c>
    </row>
    <row r="1782" spans="1:40" x14ac:dyDescent="0.25">
      <c r="A1782" t="str">
        <f>"20190312164507572"</f>
        <v>20190312164507572</v>
      </c>
      <c r="B1782" t="str">
        <f>"1552380307563024"</f>
        <v>1552380307563024</v>
      </c>
      <c r="C1782" t="s">
        <v>40</v>
      </c>
      <c r="D1782">
        <v>4.7516259999999999</v>
      </c>
      <c r="E1782">
        <v>0.51267029999999902</v>
      </c>
      <c r="F1782" t="s">
        <v>51</v>
      </c>
      <c r="G1782">
        <v>-415.85309999999998</v>
      </c>
      <c r="H1782" s="1">
        <v>3.111729E-6</v>
      </c>
      <c r="I1782">
        <v>286.1293</v>
      </c>
      <c r="J1782">
        <v>-392.16820000000001</v>
      </c>
      <c r="K1782">
        <v>1.1092059999999999</v>
      </c>
      <c r="L1782">
        <v>285.03590000000003</v>
      </c>
      <c r="M1782">
        <v>-0.99979870000000004</v>
      </c>
      <c r="N1782">
        <v>0</v>
      </c>
      <c r="O1782">
        <v>1.2711780000000001E-2</v>
      </c>
      <c r="P1782">
        <v>-0.98633309999999996</v>
      </c>
      <c r="Q1782">
        <v>0.16286879999999901</v>
      </c>
      <c r="R1782">
        <v>2.492055E-2</v>
      </c>
      <c r="S1782">
        <v>-3.0611570000000001</v>
      </c>
      <c r="T1782">
        <v>-0.141314</v>
      </c>
      <c r="U1782">
        <v>0.13986209999999999</v>
      </c>
      <c r="V1782">
        <v>1.198597E-2</v>
      </c>
      <c r="W1782">
        <v>0.17820259999999999</v>
      </c>
      <c r="X1782">
        <v>0.98392080000000004</v>
      </c>
      <c r="Y1782">
        <v>3.2916439999999998E-2</v>
      </c>
      <c r="Z1782">
        <v>1.7275100000000001E-4</v>
      </c>
      <c r="AA1782">
        <v>0.99945810000000002</v>
      </c>
      <c r="AB1782">
        <v>57</v>
      </c>
      <c r="AC1782">
        <v>-23.684899999999899</v>
      </c>
      <c r="AD1782">
        <v>-1.1092028882710001</v>
      </c>
      <c r="AE1782">
        <v>1.09339999999997</v>
      </c>
      <c r="AF1782">
        <v>0.79046814381434205</v>
      </c>
      <c r="AG1782">
        <v>-1.1092028882710001</v>
      </c>
      <c r="AH1782">
        <v>23.645138273318</v>
      </c>
      <c r="AI1782">
        <v>92.684301595865904</v>
      </c>
      <c r="AJ1782">
        <v>88.085288100332406</v>
      </c>
      <c r="AK1782">
        <v>23.6843352217888</v>
      </c>
      <c r="AL1782">
        <v>79.734916036885096</v>
      </c>
      <c r="AM1782">
        <v>89.302066256760298</v>
      </c>
      <c r="AN1782">
        <v>0.99999998539811996</v>
      </c>
    </row>
    <row r="1783" spans="1:40" x14ac:dyDescent="0.25">
      <c r="A1783" t="str">
        <f>"20190312164507584"</f>
        <v>20190312164507584</v>
      </c>
      <c r="B1783" t="str">
        <f>"1552380307573291"</f>
        <v>1552380307573291</v>
      </c>
      <c r="C1783" t="s">
        <v>40</v>
      </c>
      <c r="D1783">
        <v>4.5800289999999997</v>
      </c>
      <c r="E1783">
        <v>0.51267829999999903</v>
      </c>
      <c r="F1783" t="s">
        <v>51</v>
      </c>
      <c r="G1783">
        <v>-416.10669999999999</v>
      </c>
      <c r="H1783" s="1">
        <v>3.1575959999999999E-6</v>
      </c>
      <c r="I1783">
        <v>286.11919999999998</v>
      </c>
      <c r="J1783">
        <v>-392.4855</v>
      </c>
      <c r="K1783">
        <v>1.1091709999999999</v>
      </c>
      <c r="L1783">
        <v>285.03980000000001</v>
      </c>
      <c r="M1783">
        <v>-0.99980159999999996</v>
      </c>
      <c r="N1783">
        <v>0</v>
      </c>
      <c r="O1783">
        <v>1.247593E-2</v>
      </c>
      <c r="P1783">
        <v>-0.98629460000000002</v>
      </c>
      <c r="Q1783">
        <v>0.16321340000000001</v>
      </c>
      <c r="R1783">
        <v>2.4179180000000002E-2</v>
      </c>
      <c r="S1783">
        <v>-3.061493</v>
      </c>
      <c r="T1783">
        <v>-0.14185599999999901</v>
      </c>
      <c r="U1783">
        <v>0.138549799999999</v>
      </c>
      <c r="V1783">
        <v>1.1493389999999999E-2</v>
      </c>
      <c r="W1783">
        <v>0.1785418</v>
      </c>
      <c r="X1783">
        <v>0.9838652</v>
      </c>
      <c r="Y1783">
        <v>3.2719489999999997E-2</v>
      </c>
      <c r="Z1783">
        <v>1.7975240000000001E-4</v>
      </c>
      <c r="AA1783">
        <v>0.99946460000000004</v>
      </c>
      <c r="AB1783">
        <v>56</v>
      </c>
      <c r="AC1783">
        <v>-23.621199999999899</v>
      </c>
      <c r="AD1783">
        <v>-1.1091678424039999</v>
      </c>
      <c r="AE1783">
        <v>1.0793999999999599</v>
      </c>
      <c r="AF1783">
        <v>0.78286146007410895</v>
      </c>
      <c r="AG1783">
        <v>-1.1091678424039999</v>
      </c>
      <c r="AH1783">
        <v>23.580943836101099</v>
      </c>
      <c r="AI1783">
        <v>92.691534135436896</v>
      </c>
      <c r="AJ1783">
        <v>88.098541360494096</v>
      </c>
      <c r="AK1783">
        <v>23.619992327891399</v>
      </c>
      <c r="AL1783">
        <v>79.7151647285922</v>
      </c>
      <c r="AM1783">
        <v>89.330708326317605</v>
      </c>
      <c r="AN1783">
        <v>1.0000000020659801</v>
      </c>
    </row>
    <row r="1784" spans="1:40" x14ac:dyDescent="0.25">
      <c r="A1784" t="str">
        <f>"20190312164507598"</f>
        <v>20190312164507598</v>
      </c>
      <c r="B1784" t="str">
        <f>"1552380307593787"</f>
        <v>1552380307593787</v>
      </c>
      <c r="C1784" t="s">
        <v>40</v>
      </c>
      <c r="D1784">
        <v>4.8377629999999998</v>
      </c>
      <c r="E1784">
        <v>0.51293089999999997</v>
      </c>
      <c r="F1784" t="s">
        <v>51</v>
      </c>
      <c r="G1784">
        <v>-416.37090000000001</v>
      </c>
      <c r="H1784" s="1">
        <v>3.205691E-6</v>
      </c>
      <c r="I1784">
        <v>286.10520000000002</v>
      </c>
      <c r="J1784">
        <v>-392.82510000000002</v>
      </c>
      <c r="K1784">
        <v>1.109132</v>
      </c>
      <c r="L1784">
        <v>285.04399999999998</v>
      </c>
      <c r="M1784">
        <v>-0.99980449999999998</v>
      </c>
      <c r="N1784">
        <v>0</v>
      </c>
      <c r="O1784">
        <v>1.2250749999999999E-2</v>
      </c>
      <c r="P1784">
        <v>-0.98622920000000003</v>
      </c>
      <c r="Q1784">
        <v>0.16368429999999901</v>
      </c>
      <c r="R1784">
        <v>2.3660420000000001E-2</v>
      </c>
      <c r="S1784">
        <v>-3.06189</v>
      </c>
      <c r="T1784">
        <v>-0.14218520000000001</v>
      </c>
      <c r="U1784">
        <v>0.1365662</v>
      </c>
      <c r="V1784">
        <v>1.1215599999999999E-2</v>
      </c>
      <c r="W1784">
        <v>0.17900720000000001</v>
      </c>
      <c r="X1784">
        <v>0.98378379999999999</v>
      </c>
      <c r="Y1784">
        <v>3.2292660000000001E-2</v>
      </c>
      <c r="Z1784">
        <v>1.8069320000000001E-4</v>
      </c>
      <c r="AA1784">
        <v>0.99947850000000005</v>
      </c>
      <c r="AB1784">
        <v>56</v>
      </c>
      <c r="AC1784">
        <v>-23.5457999999999</v>
      </c>
      <c r="AD1784">
        <v>-1.109128794309</v>
      </c>
      <c r="AE1784">
        <v>1.0611999999999799</v>
      </c>
      <c r="AF1784">
        <v>0.770924753148167</v>
      </c>
      <c r="AG1784">
        <v>-1.109128794309</v>
      </c>
      <c r="AH1784">
        <v>23.504985277935202</v>
      </c>
      <c r="AI1784">
        <v>92.700159905073704</v>
      </c>
      <c r="AJ1784">
        <v>88.121466329422802</v>
      </c>
      <c r="AK1784">
        <v>23.543764027303201</v>
      </c>
      <c r="AL1784">
        <v>79.688062286792601</v>
      </c>
      <c r="AM1784">
        <v>89.346829347204704</v>
      </c>
      <c r="AN1784">
        <v>0.99999996623881904</v>
      </c>
    </row>
    <row r="1785" spans="1:40" x14ac:dyDescent="0.25">
      <c r="A1785" t="str">
        <f>"20190312164507613"</f>
        <v>20190312164507613</v>
      </c>
      <c r="B1785" t="str">
        <f>"1552380307603548"</f>
        <v>1552380307603548</v>
      </c>
      <c r="C1785" t="s">
        <v>40</v>
      </c>
      <c r="D1785">
        <v>4.6244269999999998</v>
      </c>
      <c r="E1785">
        <v>0.51304899999999998</v>
      </c>
      <c r="F1785" t="s">
        <v>51</v>
      </c>
      <c r="G1785">
        <v>-416.60359999999997</v>
      </c>
      <c r="H1785" s="1">
        <v>3.2466509999999999E-6</v>
      </c>
      <c r="I1785">
        <v>286.1087</v>
      </c>
      <c r="J1785">
        <v>-393.20389999999998</v>
      </c>
      <c r="K1785">
        <v>1.1090850000000001</v>
      </c>
      <c r="L1785">
        <v>285.04860000000002</v>
      </c>
      <c r="M1785">
        <v>-0.99980720000000001</v>
      </c>
      <c r="N1785">
        <v>0</v>
      </c>
      <c r="O1785">
        <v>1.202633E-2</v>
      </c>
      <c r="P1785">
        <v>-0.98617189999999999</v>
      </c>
      <c r="Q1785">
        <v>0.16409770000000001</v>
      </c>
      <c r="R1785">
        <v>2.3176929999999998E-2</v>
      </c>
      <c r="S1785">
        <v>-3.0623170000000002</v>
      </c>
      <c r="T1785">
        <v>-0.1428391</v>
      </c>
      <c r="U1785">
        <v>0.1371155</v>
      </c>
      <c r="V1785">
        <v>1.097562E-2</v>
      </c>
      <c r="W1785">
        <v>0.17941489999999999</v>
      </c>
      <c r="X1785">
        <v>0.98371229999999998</v>
      </c>
      <c r="Y1785">
        <v>3.2688870000000002E-2</v>
      </c>
      <c r="Z1785">
        <v>2.011847E-4</v>
      </c>
      <c r="AA1785">
        <v>0.99946559999999995</v>
      </c>
      <c r="AB1785">
        <v>56</v>
      </c>
      <c r="AC1785">
        <v>-23.399699999999999</v>
      </c>
      <c r="AD1785">
        <v>-1.1090817533490001</v>
      </c>
      <c r="AE1785">
        <v>1.0600999999999701</v>
      </c>
      <c r="AF1785">
        <v>0.77683530914257204</v>
      </c>
      <c r="AG1785">
        <v>-1.1090817533490001</v>
      </c>
      <c r="AH1785">
        <v>23.358390841366099</v>
      </c>
      <c r="AI1785">
        <v>92.716924330600904</v>
      </c>
      <c r="AJ1785">
        <v>88.095203303711898</v>
      </c>
      <c r="AK1785">
        <v>23.397605820492799</v>
      </c>
      <c r="AL1785">
        <v>79.664319063361305</v>
      </c>
      <c r="AM1785">
        <v>89.360757600789299</v>
      </c>
      <c r="AN1785">
        <v>1.0000000298738401</v>
      </c>
    </row>
    <row r="1786" spans="1:40" x14ac:dyDescent="0.25">
      <c r="A1786" t="str">
        <f>"20190312164507635"</f>
        <v>20190312164507635</v>
      </c>
      <c r="B1786" t="str">
        <f>"1552380307623066"</f>
        <v>1552380307623066</v>
      </c>
      <c r="C1786" t="s">
        <v>40</v>
      </c>
      <c r="D1786">
        <v>4.6278839999999999</v>
      </c>
      <c r="E1786">
        <v>0.51317740000000001</v>
      </c>
      <c r="F1786" t="s">
        <v>51</v>
      </c>
      <c r="G1786">
        <v>-417.20359999999999</v>
      </c>
      <c r="H1786" s="1">
        <v>3.352383E-6</v>
      </c>
      <c r="I1786">
        <v>286.11669999999998</v>
      </c>
      <c r="J1786">
        <v>-393.74529999999999</v>
      </c>
      <c r="K1786">
        <v>1.1090089999999999</v>
      </c>
      <c r="L1786">
        <v>285.05500000000001</v>
      </c>
      <c r="M1786">
        <v>-0.99981030000000004</v>
      </c>
      <c r="N1786">
        <v>0</v>
      </c>
      <c r="O1786">
        <v>1.17676E-2</v>
      </c>
      <c r="P1786">
        <v>-0.9860911</v>
      </c>
      <c r="Q1786">
        <v>0.1646291</v>
      </c>
      <c r="R1786">
        <v>2.2843760000000001E-2</v>
      </c>
      <c r="S1786">
        <v>-3.062408</v>
      </c>
      <c r="T1786">
        <v>-0.1415207</v>
      </c>
      <c r="U1786">
        <v>0.13629150000000001</v>
      </c>
      <c r="V1786">
        <v>1.0931720000000001E-2</v>
      </c>
      <c r="W1786">
        <v>0.17993789999999901</v>
      </c>
      <c r="X1786">
        <v>0.98361719999999997</v>
      </c>
      <c r="Y1786">
        <v>3.2677949999999997E-2</v>
      </c>
      <c r="Z1786">
        <v>2.1101609999999999E-4</v>
      </c>
      <c r="AA1786">
        <v>0.99946590000000002</v>
      </c>
      <c r="AB1786">
        <v>56</v>
      </c>
      <c r="AC1786">
        <v>-23.458300000000001</v>
      </c>
      <c r="AD1786">
        <v>-1.1090056476169901</v>
      </c>
      <c r="AE1786">
        <v>1.0616999999999699</v>
      </c>
      <c r="AF1786">
        <v>0.78379713100983595</v>
      </c>
      <c r="AG1786">
        <v>-1.1090056476169901</v>
      </c>
      <c r="AH1786">
        <v>23.416941002173299</v>
      </c>
      <c r="AI1786">
        <v>92.709936249023201</v>
      </c>
      <c r="AJ1786">
        <v>88.082947378663107</v>
      </c>
      <c r="AK1786">
        <v>23.4562860949531</v>
      </c>
      <c r="AL1786">
        <v>79.633857041441999</v>
      </c>
      <c r="AM1786">
        <v>89.363252662815597</v>
      </c>
      <c r="AN1786">
        <v>0.99999997324720302</v>
      </c>
    </row>
    <row r="1787" spans="1:40" x14ac:dyDescent="0.25">
      <c r="A1787" t="str">
        <f>"20190312164507656"</f>
        <v>20190312164507656</v>
      </c>
      <c r="B1787" t="str">
        <f>"1552380307653323"</f>
        <v>1552380307653323</v>
      </c>
      <c r="C1787" t="s">
        <v>40</v>
      </c>
      <c r="D1787">
        <v>4.831588</v>
      </c>
      <c r="E1787">
        <v>0.51352690000000001</v>
      </c>
      <c r="F1787" t="s">
        <v>51</v>
      </c>
      <c r="G1787">
        <v>-417.8134</v>
      </c>
      <c r="H1787" s="1">
        <v>3.459703E-6</v>
      </c>
      <c r="I1787">
        <v>286.12650000000002</v>
      </c>
      <c r="J1787">
        <v>-394.28129999999999</v>
      </c>
      <c r="K1787">
        <v>1.1089329999999999</v>
      </c>
      <c r="L1787">
        <v>285.06119999999999</v>
      </c>
      <c r="M1787">
        <v>-0.9998127</v>
      </c>
      <c r="N1787">
        <v>0</v>
      </c>
      <c r="O1787">
        <v>1.157237E-2</v>
      </c>
      <c r="P1787">
        <v>-0.98608370000000001</v>
      </c>
      <c r="Q1787">
        <v>0.1646898</v>
      </c>
      <c r="R1787">
        <v>2.2719860000000001E-2</v>
      </c>
      <c r="S1787">
        <v>-3.0627140000000002</v>
      </c>
      <c r="T1787">
        <v>-0.14112259999999999</v>
      </c>
      <c r="U1787">
        <v>0.13635249999999999</v>
      </c>
      <c r="V1787">
        <v>1.1035130000000001E-2</v>
      </c>
      <c r="W1787">
        <v>0.17999319999999999</v>
      </c>
      <c r="X1787">
        <v>0.98360590000000003</v>
      </c>
      <c r="Y1787">
        <v>3.2888260000000002E-2</v>
      </c>
      <c r="Z1787">
        <v>2.2422840000000001E-4</v>
      </c>
      <c r="AA1787">
        <v>0.99945899999999999</v>
      </c>
      <c r="AB1787">
        <v>56</v>
      </c>
      <c r="AC1787">
        <v>-23.5321</v>
      </c>
      <c r="AD1787">
        <v>-1.1089295402970001</v>
      </c>
      <c r="AE1787">
        <v>1.0653000000000299</v>
      </c>
      <c r="AF1787">
        <v>0.791120472980675</v>
      </c>
      <c r="AG1787">
        <v>-1.1089295402970001</v>
      </c>
      <c r="AH1787">
        <v>23.490794475405899</v>
      </c>
      <c r="AI1787">
        <v>92.701225236339894</v>
      </c>
      <c r="AJ1787">
        <v>88.071127865595599</v>
      </c>
      <c r="AK1787">
        <v>23.530257572195701</v>
      </c>
      <c r="AL1787">
        <v>79.630635712206399</v>
      </c>
      <c r="AM1787">
        <v>89.357222389397293</v>
      </c>
      <c r="AN1787">
        <v>0.99999994632758205</v>
      </c>
    </row>
    <row r="1788" spans="1:40" x14ac:dyDescent="0.25">
      <c r="A1788" t="str">
        <f>"20190312164507668"</f>
        <v>20190312164507668</v>
      </c>
      <c r="B1788" t="str">
        <f>"1552380307663083"</f>
        <v>1552380307663083</v>
      </c>
      <c r="C1788" t="s">
        <v>40</v>
      </c>
      <c r="D1788">
        <v>4.6483860000000004</v>
      </c>
      <c r="E1788">
        <v>0.51353789999999999</v>
      </c>
      <c r="F1788" t="s">
        <v>51</v>
      </c>
      <c r="G1788">
        <v>-418.37389999999999</v>
      </c>
      <c r="H1788" s="1">
        <v>3.5566299999999999E-6</v>
      </c>
      <c r="I1788">
        <v>286.15499999999997</v>
      </c>
      <c r="J1788">
        <v>-394.60340000000002</v>
      </c>
      <c r="K1788">
        <v>1.108889</v>
      </c>
      <c r="L1788">
        <v>285.065</v>
      </c>
      <c r="M1788">
        <v>-0.99981379999999997</v>
      </c>
      <c r="N1788">
        <v>0</v>
      </c>
      <c r="O1788">
        <v>1.1475809999999999E-2</v>
      </c>
      <c r="P1788">
        <v>-0.9860814</v>
      </c>
      <c r="Q1788">
        <v>0.16471269999999999</v>
      </c>
      <c r="R1788">
        <v>2.266027E-2</v>
      </c>
      <c r="S1788">
        <v>-3.0626829999999998</v>
      </c>
      <c r="T1788">
        <v>-0.14096839999999999</v>
      </c>
      <c r="U1788">
        <v>0.1390381</v>
      </c>
      <c r="V1788">
        <v>1.109189E-2</v>
      </c>
      <c r="W1788">
        <v>0.18001249999999999</v>
      </c>
      <c r="X1788">
        <v>0.98360179999999997</v>
      </c>
      <c r="Y1788">
        <v>3.385875E-2</v>
      </c>
      <c r="Z1788">
        <v>2.5073350000000001E-4</v>
      </c>
      <c r="AA1788">
        <v>0.99942660000000005</v>
      </c>
      <c r="AB1788">
        <v>56</v>
      </c>
      <c r="AC1788">
        <v>-23.770499999999899</v>
      </c>
      <c r="AD1788">
        <v>-1.1088854433699999</v>
      </c>
      <c r="AE1788">
        <v>1.0899999999999701</v>
      </c>
      <c r="AF1788">
        <v>0.81533902439983597</v>
      </c>
      <c r="AG1788">
        <v>-1.1088854433699999</v>
      </c>
      <c r="AH1788">
        <v>23.729912060503398</v>
      </c>
      <c r="AI1788">
        <v>92.673877708328206</v>
      </c>
      <c r="AJ1788">
        <v>88.0321412676238</v>
      </c>
      <c r="AK1788">
        <v>23.769794510059398</v>
      </c>
      <c r="AL1788">
        <v>79.629512267536199</v>
      </c>
      <c r="AM1788">
        <v>89.353913802306494</v>
      </c>
      <c r="AN1788">
        <v>1.00000001557163</v>
      </c>
    </row>
    <row r="1789" spans="1:40" x14ac:dyDescent="0.25">
      <c r="A1789" t="str">
        <f>"20190312164507682"</f>
        <v>20190312164507682</v>
      </c>
      <c r="B1789" t="str">
        <f>"1552380307673350"</f>
        <v>1552380307673350</v>
      </c>
      <c r="C1789" t="s">
        <v>40</v>
      </c>
      <c r="D1789">
        <v>4.6783910000000004</v>
      </c>
      <c r="E1789">
        <v>0.51356210000000002</v>
      </c>
      <c r="F1789" t="s">
        <v>51</v>
      </c>
      <c r="G1789">
        <v>-418.59769999999997</v>
      </c>
      <c r="H1789" s="1">
        <v>3.5964719999999999E-6</v>
      </c>
      <c r="I1789">
        <v>286.15320000000003</v>
      </c>
      <c r="J1789">
        <v>-394.9359</v>
      </c>
      <c r="K1789">
        <v>1.108841</v>
      </c>
      <c r="L1789">
        <v>285.06880000000001</v>
      </c>
      <c r="M1789">
        <v>-0.99981469999999995</v>
      </c>
      <c r="N1789">
        <v>0</v>
      </c>
      <c r="O1789">
        <v>1.140205E-2</v>
      </c>
      <c r="P1789">
        <v>-0.98605830000000005</v>
      </c>
      <c r="Q1789">
        <v>0.1648251</v>
      </c>
      <c r="R1789">
        <v>2.2847030000000001E-2</v>
      </c>
      <c r="S1789">
        <v>-3.0628359999999999</v>
      </c>
      <c r="T1789">
        <v>-0.1415477</v>
      </c>
      <c r="U1789">
        <v>0.13891600000000001</v>
      </c>
      <c r="V1789">
        <v>1.1372149999999999E-2</v>
      </c>
      <c r="W1789">
        <v>0.1801208</v>
      </c>
      <c r="X1789">
        <v>0.98357870000000003</v>
      </c>
      <c r="Y1789">
        <v>3.3890169999999997E-2</v>
      </c>
      <c r="Z1789">
        <v>2.5588009999999998E-4</v>
      </c>
      <c r="AA1789">
        <v>0.99942549999999997</v>
      </c>
      <c r="AB1789">
        <v>56</v>
      </c>
      <c r="AC1789">
        <v>-23.6617999999999</v>
      </c>
      <c r="AD1789">
        <v>-1.108837403528</v>
      </c>
      <c r="AE1789">
        <v>1.08440000000001</v>
      </c>
      <c r="AF1789">
        <v>0.81272297682550498</v>
      </c>
      <c r="AG1789">
        <v>-1.108837403528</v>
      </c>
      <c r="AH1789">
        <v>23.620863720092402</v>
      </c>
      <c r="AI1789">
        <v>92.686083309950504</v>
      </c>
      <c r="AJ1789">
        <v>88.0294016911933</v>
      </c>
      <c r="AK1789">
        <v>23.660837726244999</v>
      </c>
      <c r="AL1789">
        <v>79.6232032691086</v>
      </c>
      <c r="AM1789">
        <v>89.337574952517798</v>
      </c>
      <c r="AN1789">
        <v>0.99999994374097401</v>
      </c>
    </row>
    <row r="1790" spans="1:40" x14ac:dyDescent="0.25">
      <c r="A1790" t="str">
        <f>"20190312164507694"</f>
        <v>20190312164507694</v>
      </c>
      <c r="B1790" t="str">
        <f>"1552380307683110"</f>
        <v>1552380307683110</v>
      </c>
      <c r="C1790" t="s">
        <v>40</v>
      </c>
      <c r="D1790">
        <v>4.8477589999999999</v>
      </c>
      <c r="E1790">
        <v>0.51369709999999902</v>
      </c>
      <c r="F1790" t="s">
        <v>51</v>
      </c>
      <c r="G1790">
        <v>-418.84129999999999</v>
      </c>
      <c r="H1790" s="1">
        <v>3.63907E-6</v>
      </c>
      <c r="I1790">
        <v>286.16039999999998</v>
      </c>
      <c r="J1790">
        <v>-395.26179999999999</v>
      </c>
      <c r="K1790">
        <v>1.108798</v>
      </c>
      <c r="L1790">
        <v>285.07249999999999</v>
      </c>
      <c r="M1790">
        <v>-0.99981549999999997</v>
      </c>
      <c r="N1790">
        <v>0</v>
      </c>
      <c r="O1790">
        <v>1.133879E-2</v>
      </c>
      <c r="P1790">
        <v>-0.98604939999999996</v>
      </c>
      <c r="Q1790">
        <v>0.16487209999999999</v>
      </c>
      <c r="R1790">
        <v>2.289478E-2</v>
      </c>
      <c r="S1790">
        <v>-3.0629270000000002</v>
      </c>
      <c r="T1790">
        <v>-0.1420717</v>
      </c>
      <c r="U1790">
        <v>0.13986209999999999</v>
      </c>
      <c r="V1790">
        <v>1.1501870000000001E-2</v>
      </c>
      <c r="W1790">
        <v>0.1801644</v>
      </c>
      <c r="X1790">
        <v>0.98356929999999998</v>
      </c>
      <c r="Y1790">
        <v>3.425947E-2</v>
      </c>
      <c r="Z1790">
        <v>2.683044E-4</v>
      </c>
      <c r="AA1790">
        <v>0.999413</v>
      </c>
      <c r="AB1790">
        <v>56</v>
      </c>
      <c r="AC1790">
        <v>-23.579499999999999</v>
      </c>
      <c r="AD1790">
        <v>-1.1087943609299999</v>
      </c>
      <c r="AE1790">
        <v>1.0878999999999901</v>
      </c>
      <c r="AF1790">
        <v>0.81862857847004</v>
      </c>
      <c r="AG1790">
        <v>-1.1087943609299999</v>
      </c>
      <c r="AH1790">
        <v>23.538382664138201</v>
      </c>
      <c r="AI1790">
        <v>92.695342760292704</v>
      </c>
      <c r="AJ1790">
        <v>88.008144137927601</v>
      </c>
      <c r="AK1790">
        <v>23.578698779358501</v>
      </c>
      <c r="AL1790">
        <v>79.620664593597795</v>
      </c>
      <c r="AM1790">
        <v>89.330013075653895</v>
      </c>
      <c r="AN1790">
        <v>1.0000000359716701</v>
      </c>
    </row>
    <row r="1791" spans="1:40" x14ac:dyDescent="0.25">
      <c r="A1791" t="str">
        <f>"20190312164507709"</f>
        <v>20190312164507709</v>
      </c>
      <c r="B1791" t="str">
        <f>"1552380307703607"</f>
        <v>1552380307703607</v>
      </c>
      <c r="C1791" t="s">
        <v>40</v>
      </c>
      <c r="D1791">
        <v>4.6692010000000002</v>
      </c>
      <c r="E1791">
        <v>0.51395059999999904</v>
      </c>
      <c r="F1791" t="s">
        <v>51</v>
      </c>
      <c r="G1791">
        <v>-419.09890000000001</v>
      </c>
      <c r="H1791" s="1">
        <v>3.683863E-6</v>
      </c>
      <c r="I1791">
        <v>286.17070000000001</v>
      </c>
      <c r="J1791">
        <v>-395.6225</v>
      </c>
      <c r="K1791">
        <v>1.1087560000000001</v>
      </c>
      <c r="L1791">
        <v>285.07650000000001</v>
      </c>
      <c r="M1791">
        <v>-0.99981609999999999</v>
      </c>
      <c r="N1791">
        <v>0</v>
      </c>
      <c r="O1791">
        <v>1.128058E-2</v>
      </c>
      <c r="P1791">
        <v>-0.98605419999999999</v>
      </c>
      <c r="Q1791">
        <v>0.16484099999999999</v>
      </c>
      <c r="R1791">
        <v>2.2906200000000002E-2</v>
      </c>
      <c r="S1791">
        <v>-3.0630190000000002</v>
      </c>
      <c r="T1791">
        <v>-0.14247799999999999</v>
      </c>
      <c r="U1791">
        <v>0.141113299999999</v>
      </c>
      <c r="V1791">
        <v>1.1591290000000001E-2</v>
      </c>
      <c r="W1791">
        <v>0.1801297</v>
      </c>
      <c r="X1791">
        <v>0.98357459999999997</v>
      </c>
      <c r="Y1791">
        <v>3.4722990000000002E-2</v>
      </c>
      <c r="Z1791">
        <v>2.8253399999999998E-4</v>
      </c>
      <c r="AA1791">
        <v>0.99939690000000003</v>
      </c>
      <c r="AB1791">
        <v>56</v>
      </c>
      <c r="AC1791">
        <v>-23.476400000000002</v>
      </c>
      <c r="AD1791">
        <v>-1.1087523161370001</v>
      </c>
      <c r="AE1791">
        <v>1.0942000000000001</v>
      </c>
      <c r="AF1791">
        <v>0.82742950297448103</v>
      </c>
      <c r="AG1791">
        <v>-1.1087523161370001</v>
      </c>
      <c r="AH1791">
        <v>23.435091457981098</v>
      </c>
      <c r="AI1791">
        <v>92.707052434599206</v>
      </c>
      <c r="AJ1791">
        <v>87.977881443087398</v>
      </c>
      <c r="AK1791">
        <v>23.4758915256668</v>
      </c>
      <c r="AL1791">
        <v>79.622685765490004</v>
      </c>
      <c r="AM1791">
        <v>89.324808455670706</v>
      </c>
      <c r="AN1791">
        <v>1.0000000302955501</v>
      </c>
    </row>
    <row r="1792" spans="1:40" x14ac:dyDescent="0.25">
      <c r="A1792" t="str">
        <f>"20190312164507722"</f>
        <v>20190312164507722</v>
      </c>
      <c r="B1792" t="str">
        <f>"1552380307713366"</f>
        <v>1552380307713366</v>
      </c>
      <c r="C1792" t="s">
        <v>40</v>
      </c>
      <c r="D1792">
        <v>4.7068879999999904</v>
      </c>
      <c r="E1792">
        <v>0.51405000000000001</v>
      </c>
      <c r="F1792" t="s">
        <v>51</v>
      </c>
      <c r="G1792">
        <v>-419.4101</v>
      </c>
      <c r="H1792" s="1">
        <v>3.7374279999999999E-6</v>
      </c>
      <c r="I1792">
        <v>286.1893</v>
      </c>
      <c r="J1792">
        <v>-395.96140000000003</v>
      </c>
      <c r="K1792">
        <v>1.1087180000000001</v>
      </c>
      <c r="L1792">
        <v>285.0804</v>
      </c>
      <c r="M1792">
        <v>-0.99981679999999995</v>
      </c>
      <c r="N1792">
        <v>0</v>
      </c>
      <c r="O1792">
        <v>1.123968E-2</v>
      </c>
      <c r="P1792">
        <v>-0.98597959999999996</v>
      </c>
      <c r="Q1792">
        <v>0.16527510000000001</v>
      </c>
      <c r="R1792">
        <v>2.2993400000000001E-2</v>
      </c>
      <c r="S1792">
        <v>-3.0629580000000001</v>
      </c>
      <c r="T1792">
        <v>-0.14276620000000001</v>
      </c>
      <c r="U1792">
        <v>0.14327999999999999</v>
      </c>
      <c r="V1792">
        <v>1.173682E-2</v>
      </c>
      <c r="W1792">
        <v>0.18055930000000001</v>
      </c>
      <c r="X1792">
        <v>0.98349399999999998</v>
      </c>
      <c r="Y1792">
        <v>3.5469290000000001E-2</v>
      </c>
      <c r="Z1792">
        <v>3.023845E-4</v>
      </c>
      <c r="AA1792">
        <v>0.99937069999999995</v>
      </c>
      <c r="AB1792">
        <v>56</v>
      </c>
      <c r="AC1792">
        <v>-23.448699999999899</v>
      </c>
      <c r="AD1792">
        <v>-1.1087142625719999</v>
      </c>
      <c r="AE1792">
        <v>1.1089</v>
      </c>
      <c r="AF1792">
        <v>0.84336117135571698</v>
      </c>
      <c r="AG1792">
        <v>-1.1087142625719999</v>
      </c>
      <c r="AH1792">
        <v>23.407469745119101</v>
      </c>
      <c r="AI1792">
        <v>92.710079592907405</v>
      </c>
      <c r="AJ1792">
        <v>87.936550019234303</v>
      </c>
      <c r="AK1792">
        <v>23.448883667459501</v>
      </c>
      <c r="AL1792">
        <v>79.597660138339606</v>
      </c>
      <c r="AM1792">
        <v>89.316276123472093</v>
      </c>
      <c r="AN1792">
        <v>0.99999993089809802</v>
      </c>
    </row>
    <row r="1793" spans="1:40" x14ac:dyDescent="0.25">
      <c r="A1793" t="str">
        <f>"20190312164507745"</f>
        <v>20190312164507745</v>
      </c>
      <c r="B1793" t="str">
        <f>"1552380307733861"</f>
        <v>1552380307733861</v>
      </c>
      <c r="C1793" t="s">
        <v>40</v>
      </c>
      <c r="D1793">
        <v>4.9501710000000001</v>
      </c>
      <c r="E1793">
        <v>0.51427259999999997</v>
      </c>
      <c r="F1793" t="s">
        <v>51</v>
      </c>
      <c r="G1793">
        <v>-420.08030000000002</v>
      </c>
      <c r="H1793" s="1">
        <v>3.8101740000000001E-6</v>
      </c>
      <c r="I1793">
        <v>286.2199</v>
      </c>
      <c r="J1793">
        <v>-396.52199999999999</v>
      </c>
      <c r="K1793">
        <v>1.1086609999999999</v>
      </c>
      <c r="L1793">
        <v>285.08659999999998</v>
      </c>
      <c r="M1793">
        <v>-0.99981730000000002</v>
      </c>
      <c r="N1793">
        <v>0</v>
      </c>
      <c r="O1793">
        <v>1.1186450000000001E-2</v>
      </c>
      <c r="P1793">
        <v>-0.98590060000000002</v>
      </c>
      <c r="Q1793">
        <v>0.165733399999999</v>
      </c>
      <c r="R1793">
        <v>2.3076260000000001E-2</v>
      </c>
      <c r="S1793">
        <v>-3.062897</v>
      </c>
      <c r="T1793">
        <v>-0.1407977</v>
      </c>
      <c r="U1793">
        <v>0.14471439999999999</v>
      </c>
      <c r="V1793">
        <v>1.18996E-2</v>
      </c>
      <c r="W1793">
        <v>0.18101100000000001</v>
      </c>
      <c r="X1793">
        <v>0.98340910000000004</v>
      </c>
      <c r="Y1793">
        <v>3.599049E-2</v>
      </c>
      <c r="Z1793">
        <v>3.1263290000000001E-4</v>
      </c>
      <c r="AA1793">
        <v>0.99935209999999997</v>
      </c>
      <c r="AB1793">
        <v>56</v>
      </c>
      <c r="AC1793">
        <v>-23.558299999999999</v>
      </c>
      <c r="AD1793">
        <v>-1.108657189826</v>
      </c>
      <c r="AE1793">
        <v>1.13330000000001</v>
      </c>
      <c r="AF1793">
        <v>0.86774634270747097</v>
      </c>
      <c r="AG1793">
        <v>-1.108657189826</v>
      </c>
      <c r="AH1793">
        <v>23.5175416655422</v>
      </c>
      <c r="AI1793">
        <v>92.6971902628744</v>
      </c>
      <c r="AJ1793">
        <v>87.886868479136396</v>
      </c>
      <c r="AK1793">
        <v>23.5596449563729</v>
      </c>
      <c r="AL1793">
        <v>79.571346987712602</v>
      </c>
      <c r="AM1793">
        <v>89.306734516793895</v>
      </c>
      <c r="AN1793">
        <v>1.0000000202819801</v>
      </c>
    </row>
    <row r="1794" spans="1:40" x14ac:dyDescent="0.25">
      <c r="A1794" t="str">
        <f>"20190312164507768"</f>
        <v>20190312164507768</v>
      </c>
      <c r="B1794" t="str">
        <f>"1552380307763145"</f>
        <v>1552380307763145</v>
      </c>
      <c r="C1794" t="s">
        <v>40</v>
      </c>
      <c r="D1794">
        <v>4.7274589999999996</v>
      </c>
      <c r="E1794">
        <v>0.51461489999999999</v>
      </c>
      <c r="F1794" t="s">
        <v>51</v>
      </c>
      <c r="G1794">
        <v>-420.94659999999999</v>
      </c>
      <c r="H1794" s="1">
        <v>3.6530879999999999E-6</v>
      </c>
      <c r="I1794">
        <v>286.25889999999998</v>
      </c>
      <c r="J1794">
        <v>-397.09289999999999</v>
      </c>
      <c r="K1794">
        <v>1.1086069999999999</v>
      </c>
      <c r="L1794">
        <v>285.09300000000002</v>
      </c>
      <c r="M1794">
        <v>-0.99981779999999998</v>
      </c>
      <c r="N1794">
        <v>0</v>
      </c>
      <c r="O1794">
        <v>1.1153969999999999E-2</v>
      </c>
      <c r="P1794">
        <v>-0.98582599999999998</v>
      </c>
      <c r="Q1794">
        <v>0.16616729999999999</v>
      </c>
      <c r="R1794">
        <v>2.3153139999999999E-2</v>
      </c>
      <c r="S1794">
        <v>-3.0628359999999999</v>
      </c>
      <c r="T1794">
        <v>-0.13902519999999999</v>
      </c>
      <c r="U1794">
        <v>0.1470032</v>
      </c>
      <c r="V1794">
        <v>1.2034960000000001E-2</v>
      </c>
      <c r="W1794">
        <v>0.18143770000000001</v>
      </c>
      <c r="X1794">
        <v>0.9833288</v>
      </c>
      <c r="Y1794">
        <v>3.6768820000000001E-2</v>
      </c>
      <c r="Z1794">
        <v>3.2782079999999999E-4</v>
      </c>
      <c r="AA1794">
        <v>0.99932370000000004</v>
      </c>
      <c r="AB1794">
        <v>56</v>
      </c>
      <c r="AC1794">
        <v>-23.8537</v>
      </c>
      <c r="AD1794">
        <v>-1.10860334691199</v>
      </c>
      <c r="AE1794">
        <v>1.16589999999996</v>
      </c>
      <c r="AF1794">
        <v>0.89779750978964101</v>
      </c>
      <c r="AG1794">
        <v>-1.10860334691199</v>
      </c>
      <c r="AH1794">
        <v>23.813907812842299</v>
      </c>
      <c r="AI1794">
        <v>92.663463445363007</v>
      </c>
      <c r="AJ1794">
        <v>87.840939915053198</v>
      </c>
      <c r="AK1794">
        <v>23.856597558493501</v>
      </c>
      <c r="AL1794">
        <v>79.5464870745148</v>
      </c>
      <c r="AM1794">
        <v>89.298792034118904</v>
      </c>
      <c r="AN1794">
        <v>1.0000000040764601</v>
      </c>
    </row>
    <row r="1795" spans="1:40" x14ac:dyDescent="0.25">
      <c r="A1795" t="str">
        <f>"20190312164507781"</f>
        <v>20190312164507781</v>
      </c>
      <c r="B1795" t="str">
        <f>"1552380307773878"</f>
        <v>1552380307773878</v>
      </c>
      <c r="C1795" t="s">
        <v>40</v>
      </c>
      <c r="D1795">
        <v>4.7443910000000002</v>
      </c>
      <c r="E1795">
        <v>0.514721599999999</v>
      </c>
      <c r="F1795" t="s">
        <v>51</v>
      </c>
      <c r="G1795">
        <v>-421.7749</v>
      </c>
      <c r="H1795" s="1">
        <v>3.5026160000000002E-6</v>
      </c>
      <c r="I1795">
        <v>286.29950000000002</v>
      </c>
      <c r="J1795">
        <v>-397.4332</v>
      </c>
      <c r="K1795">
        <v>1.1085750000000001</v>
      </c>
      <c r="L1795">
        <v>285.0967</v>
      </c>
      <c r="M1795">
        <v>-0.99981770000000003</v>
      </c>
      <c r="N1795">
        <v>0</v>
      </c>
      <c r="O1795">
        <v>1.1150790000000001E-2</v>
      </c>
      <c r="P1795">
        <v>-0.9857418</v>
      </c>
      <c r="Q1795">
        <v>0.16665859999999999</v>
      </c>
      <c r="R1795">
        <v>2.3196370000000001E-2</v>
      </c>
      <c r="S1795">
        <v>-3.0628359999999999</v>
      </c>
      <c r="T1795">
        <v>-0.13756860000000001</v>
      </c>
      <c r="U1795">
        <v>0.1497192</v>
      </c>
      <c r="V1795">
        <v>1.2097149999999999E-2</v>
      </c>
      <c r="W1795">
        <v>0.18192439999999999</v>
      </c>
      <c r="X1795">
        <v>0.9832381</v>
      </c>
      <c r="Y1795">
        <v>3.765574E-2</v>
      </c>
      <c r="Z1795">
        <v>3.4442210000000002E-4</v>
      </c>
      <c r="AA1795">
        <v>0.99929069999999998</v>
      </c>
      <c r="AB1795">
        <v>56</v>
      </c>
      <c r="AC1795">
        <v>-24.341699999999999</v>
      </c>
      <c r="AD1795">
        <v>-1.108571497384</v>
      </c>
      <c r="AE1795">
        <v>1.2028000000000201</v>
      </c>
      <c r="AF1795">
        <v>0.92934057622797195</v>
      </c>
      <c r="AG1795">
        <v>-1.108571497384</v>
      </c>
      <c r="AH1795">
        <v>24.303315789891801</v>
      </c>
      <c r="AI1795">
        <v>92.609774769632807</v>
      </c>
      <c r="AJ1795">
        <v>87.8101193059656</v>
      </c>
      <c r="AK1795">
        <v>24.3463295602158</v>
      </c>
      <c r="AL1795">
        <v>79.518129175975901</v>
      </c>
      <c r="AM1795">
        <v>89.295103933330594</v>
      </c>
      <c r="AN1795">
        <v>0.99999999482254598</v>
      </c>
    </row>
    <row r="1796" spans="1:40" x14ac:dyDescent="0.25">
      <c r="A1796" t="str">
        <f>"20190312164507802"</f>
        <v>20190312164507802</v>
      </c>
      <c r="B1796" t="str">
        <f>"1552380307793401"</f>
        <v>1552380307793401</v>
      </c>
      <c r="C1796" t="s">
        <v>40</v>
      </c>
      <c r="D1796">
        <v>4.764481</v>
      </c>
      <c r="E1796">
        <v>0.5149319</v>
      </c>
      <c r="F1796" t="s">
        <v>51</v>
      </c>
      <c r="G1796">
        <v>-422.41</v>
      </c>
      <c r="H1796" s="1">
        <v>3.38754E-6</v>
      </c>
      <c r="I1796">
        <v>286.32709999999997</v>
      </c>
      <c r="J1796">
        <v>-397.9409</v>
      </c>
      <c r="K1796">
        <v>1.10853</v>
      </c>
      <c r="L1796">
        <v>285.10239999999999</v>
      </c>
      <c r="M1796">
        <v>-0.99981770000000003</v>
      </c>
      <c r="N1796">
        <v>0</v>
      </c>
      <c r="O1796">
        <v>1.116341E-2</v>
      </c>
      <c r="P1796">
        <v>-0.98562680000000003</v>
      </c>
      <c r="Q1796">
        <v>0.16735520000000001</v>
      </c>
      <c r="R1796">
        <v>2.3065499999999999E-2</v>
      </c>
      <c r="S1796">
        <v>-3.0628660000000001</v>
      </c>
      <c r="T1796">
        <v>-0.13594229999999999</v>
      </c>
      <c r="U1796">
        <v>0.15087890000000001</v>
      </c>
      <c r="V1796">
        <v>1.1977990000000001E-2</v>
      </c>
      <c r="W1796">
        <v>0.1826141</v>
      </c>
      <c r="X1796">
        <v>0.98311170000000003</v>
      </c>
      <c r="Y1796">
        <v>3.8020369999999998E-2</v>
      </c>
      <c r="Z1796">
        <v>3.4787199999999999E-4</v>
      </c>
      <c r="AA1796">
        <v>0.99927690000000002</v>
      </c>
      <c r="AB1796">
        <v>56</v>
      </c>
      <c r="AC1796">
        <v>-24.469100000000001</v>
      </c>
      <c r="AD1796">
        <v>-1.1085266124599999</v>
      </c>
      <c r="AE1796">
        <v>1.2246999999999799</v>
      </c>
      <c r="AF1796">
        <v>0.94948845930903703</v>
      </c>
      <c r="AG1796">
        <v>-1.1085266124599999</v>
      </c>
      <c r="AH1796">
        <v>24.431231665008301</v>
      </c>
      <c r="AI1796">
        <v>92.595962090593801</v>
      </c>
      <c r="AJ1796">
        <v>87.774393132086502</v>
      </c>
      <c r="AK1796">
        <v>24.47479193485</v>
      </c>
      <c r="AL1796">
        <v>79.477939073071994</v>
      </c>
      <c r="AM1796">
        <v>89.301956920405601</v>
      </c>
      <c r="AN1796">
        <v>0.99999999822007002</v>
      </c>
    </row>
    <row r="1797" spans="1:40" x14ac:dyDescent="0.25">
      <c r="A1797" t="str">
        <f>"20190312164507823"</f>
        <v>20190312164507823</v>
      </c>
      <c r="B1797" t="str">
        <f>"1552380307813895"</f>
        <v>1552380307813895</v>
      </c>
      <c r="C1797" t="s">
        <v>40</v>
      </c>
      <c r="D1797">
        <v>4.7814399999999999</v>
      </c>
      <c r="E1797">
        <v>0.51511569999999995</v>
      </c>
      <c r="F1797" t="s">
        <v>51</v>
      </c>
      <c r="G1797">
        <v>-423.29790000000003</v>
      </c>
      <c r="H1797" s="1">
        <v>3.2269450000000002E-6</v>
      </c>
      <c r="I1797">
        <v>286.36259999999999</v>
      </c>
      <c r="J1797">
        <v>-398.49</v>
      </c>
      <c r="K1797">
        <v>1.1084780000000001</v>
      </c>
      <c r="L1797">
        <v>285.10849999999999</v>
      </c>
      <c r="M1797">
        <v>-0.99981739999999997</v>
      </c>
      <c r="N1797">
        <v>0</v>
      </c>
      <c r="O1797">
        <v>1.120496E-2</v>
      </c>
      <c r="P1797">
        <v>-0.98556350000000004</v>
      </c>
      <c r="Q1797">
        <v>0.16770639999999901</v>
      </c>
      <c r="R1797">
        <v>2.322314E-2</v>
      </c>
      <c r="S1797">
        <v>-3.0629580000000001</v>
      </c>
      <c r="T1797">
        <v>-0.13390279999999999</v>
      </c>
      <c r="U1797">
        <v>0.15222169999999999</v>
      </c>
      <c r="V1797">
        <v>1.212098E-2</v>
      </c>
      <c r="W1797">
        <v>0.1829587</v>
      </c>
      <c r="X1797">
        <v>0.98304590000000003</v>
      </c>
      <c r="Y1797">
        <v>3.8414820000000002E-2</v>
      </c>
      <c r="Z1797">
        <v>3.4944240000000002E-4</v>
      </c>
      <c r="AA1797">
        <v>0.99926179999999998</v>
      </c>
      <c r="AB1797">
        <v>56</v>
      </c>
      <c r="AC1797">
        <v>-24.8079</v>
      </c>
      <c r="AD1797">
        <v>-1.108474773055</v>
      </c>
      <c r="AE1797">
        <v>1.25409999999999</v>
      </c>
      <c r="AF1797">
        <v>0.97407661845103999</v>
      </c>
      <c r="AG1797">
        <v>-1.108474773055</v>
      </c>
      <c r="AH1797">
        <v>24.771066439491001</v>
      </c>
      <c r="AI1797">
        <v>92.560230326274294</v>
      </c>
      <c r="AJ1797">
        <v>87.748109102569501</v>
      </c>
      <c r="AK1797">
        <v>24.8149808408306</v>
      </c>
      <c r="AL1797">
        <v>79.457856872946707</v>
      </c>
      <c r="AM1797">
        <v>89.293577434273004</v>
      </c>
      <c r="AN1797">
        <v>1.00000002278433</v>
      </c>
    </row>
    <row r="1798" spans="1:40" x14ac:dyDescent="0.25">
      <c r="A1798" t="str">
        <f>"20190312164507847"</f>
        <v>20190312164507847</v>
      </c>
      <c r="B1798" t="str">
        <f>"1552380307833414"</f>
        <v>1552380307833414</v>
      </c>
      <c r="C1798" t="s">
        <v>40</v>
      </c>
      <c r="D1798">
        <v>4.7541359999999999</v>
      </c>
      <c r="E1798">
        <v>0.51527619999999996</v>
      </c>
      <c r="F1798" t="s">
        <v>51</v>
      </c>
      <c r="G1798">
        <v>-424.08760000000001</v>
      </c>
      <c r="H1798" s="1">
        <v>3.0836539999999998E-6</v>
      </c>
      <c r="I1798">
        <v>286.39929999999998</v>
      </c>
      <c r="J1798">
        <v>-399.05189999999999</v>
      </c>
      <c r="K1798">
        <v>1.1084240000000001</v>
      </c>
      <c r="L1798">
        <v>285.11489999999998</v>
      </c>
      <c r="M1798">
        <v>-0.9998167</v>
      </c>
      <c r="N1798">
        <v>0</v>
      </c>
      <c r="O1798">
        <v>1.127715E-2</v>
      </c>
      <c r="P1798">
        <v>-0.98551529999999998</v>
      </c>
      <c r="Q1798">
        <v>0.16799029999999901</v>
      </c>
      <c r="R1798">
        <v>2.3217649999999999E-2</v>
      </c>
      <c r="S1798">
        <v>-3.0628660000000001</v>
      </c>
      <c r="T1798">
        <v>-0.1326338</v>
      </c>
      <c r="U1798">
        <v>0.15444949999999999</v>
      </c>
      <c r="V1798">
        <v>1.2070610000000001E-2</v>
      </c>
      <c r="W1798">
        <v>0.18323619999999999</v>
      </c>
      <c r="X1798">
        <v>0.98299479999999995</v>
      </c>
      <c r="Y1798">
        <v>3.9069090000000001E-2</v>
      </c>
      <c r="Z1798">
        <v>3.571669E-4</v>
      </c>
      <c r="AA1798">
        <v>0.99923649999999997</v>
      </c>
      <c r="AB1798">
        <v>56</v>
      </c>
      <c r="AC1798">
        <v>-25.035699999999999</v>
      </c>
      <c r="AD1798">
        <v>-1.1084209163459999</v>
      </c>
      <c r="AE1798">
        <v>1.2844</v>
      </c>
      <c r="AF1798">
        <v>0.99999815856614005</v>
      </c>
      <c r="AG1798">
        <v>-1.1084209163459999</v>
      </c>
      <c r="AH1798">
        <v>24.9997190921849</v>
      </c>
      <c r="AI1798">
        <v>92.536653623983</v>
      </c>
      <c r="AJ1798">
        <v>87.709368460039499</v>
      </c>
      <c r="AK1798">
        <v>25.044251794235802</v>
      </c>
      <c r="AL1798">
        <v>79.441683543952905</v>
      </c>
      <c r="AM1798">
        <v>89.296476185075704</v>
      </c>
      <c r="AN1798">
        <v>0.99999999072162504</v>
      </c>
    </row>
    <row r="1799" spans="1:40" x14ac:dyDescent="0.25">
      <c r="A1799" t="str">
        <f>"20190312164507868"</f>
        <v>20190312164507868</v>
      </c>
      <c r="B1799" t="str">
        <f>"1552380307863673"</f>
        <v>1552380307863673</v>
      </c>
      <c r="C1799" t="s">
        <v>40</v>
      </c>
      <c r="D1799">
        <v>4.8196560000000002</v>
      </c>
      <c r="E1799">
        <v>0.51547520000000002</v>
      </c>
      <c r="F1799" t="s">
        <v>51</v>
      </c>
      <c r="G1799">
        <v>-424.83690000000001</v>
      </c>
      <c r="H1799" s="1">
        <v>2.9482419999999999E-6</v>
      </c>
      <c r="I1799">
        <v>286.428</v>
      </c>
      <c r="J1799">
        <v>-399.61399999999998</v>
      </c>
      <c r="K1799">
        <v>1.1083700000000001</v>
      </c>
      <c r="L1799">
        <v>285.12119999999999</v>
      </c>
      <c r="M1799">
        <v>-0.99981549999999997</v>
      </c>
      <c r="N1799">
        <v>0</v>
      </c>
      <c r="O1799">
        <v>1.137986E-2</v>
      </c>
      <c r="P1799">
        <v>-0.98537280000000005</v>
      </c>
      <c r="Q1799">
        <v>0.16879710000000001</v>
      </c>
      <c r="R1799">
        <v>2.3417420000000001E-2</v>
      </c>
      <c r="S1799">
        <v>-3.062805</v>
      </c>
      <c r="T1799">
        <v>-0.13166120000000001</v>
      </c>
      <c r="U1799">
        <v>0.15597529999999901</v>
      </c>
      <c r="V1799">
        <v>1.2195930000000001E-2</v>
      </c>
      <c r="W1799">
        <v>0.1840358</v>
      </c>
      <c r="X1799">
        <v>0.98284389999999999</v>
      </c>
      <c r="Y1799">
        <v>3.9464079999999999E-2</v>
      </c>
      <c r="Z1799">
        <v>3.5862309999999898E-4</v>
      </c>
      <c r="AA1799">
        <v>0.99922089999999997</v>
      </c>
      <c r="AB1799">
        <v>56</v>
      </c>
      <c r="AC1799">
        <v>-25.2228999999999</v>
      </c>
      <c r="AD1799">
        <v>-1.108367051758</v>
      </c>
      <c r="AE1799">
        <v>1.3068</v>
      </c>
      <c r="AF1799">
        <v>1.0176880450722601</v>
      </c>
      <c r="AG1799">
        <v>-1.108367051758</v>
      </c>
      <c r="AH1799">
        <v>25.187632796765602</v>
      </c>
      <c r="AI1799">
        <v>92.517590269609002</v>
      </c>
      <c r="AJ1799">
        <v>87.686264076018801</v>
      </c>
      <c r="AK1799">
        <v>25.232538762146099</v>
      </c>
      <c r="AL1799">
        <v>79.395077622875206</v>
      </c>
      <c r="AM1799">
        <v>89.289063650863994</v>
      </c>
      <c r="AN1799">
        <v>1.0000000240786999</v>
      </c>
    </row>
    <row r="1800" spans="1:40" x14ac:dyDescent="0.25">
      <c r="A1800" t="str">
        <f>"20190312164507881"</f>
        <v>20190312164507881</v>
      </c>
      <c r="B1800" t="str">
        <f>"1552380307873430"</f>
        <v>1552380307873430</v>
      </c>
      <c r="C1800" t="s">
        <v>40</v>
      </c>
      <c r="D1800">
        <v>4.8139459999999996</v>
      </c>
      <c r="E1800">
        <v>0.51555430000000002</v>
      </c>
      <c r="F1800" t="s">
        <v>51</v>
      </c>
      <c r="G1800">
        <v>-425.90269999999998</v>
      </c>
      <c r="H1800" s="1">
        <v>2.754852E-6</v>
      </c>
      <c r="I1800">
        <v>286.47750000000002</v>
      </c>
      <c r="J1800">
        <v>-399.92099999999999</v>
      </c>
      <c r="K1800">
        <v>1.1083419999999999</v>
      </c>
      <c r="L1800">
        <v>285.12479999999999</v>
      </c>
      <c r="M1800">
        <v>-0.99981469999999995</v>
      </c>
      <c r="N1800">
        <v>0</v>
      </c>
      <c r="O1800">
        <v>1.145295E-2</v>
      </c>
      <c r="P1800">
        <v>-0.98530419999999996</v>
      </c>
      <c r="Q1800">
        <v>0.169184</v>
      </c>
      <c r="R1800">
        <v>2.3509120000000001E-2</v>
      </c>
      <c r="S1800">
        <v>-3.0628660000000001</v>
      </c>
      <c r="T1800">
        <v>-0.12913440000000001</v>
      </c>
      <c r="U1800">
        <v>0.15801999999999999</v>
      </c>
      <c r="V1800">
        <v>1.22291E-2</v>
      </c>
      <c r="W1800">
        <v>0.18441830000000001</v>
      </c>
      <c r="X1800">
        <v>0.98277179999999997</v>
      </c>
      <c r="Y1800">
        <v>4.0055840000000002E-2</v>
      </c>
      <c r="Z1800">
        <v>3.6111729999999999E-4</v>
      </c>
      <c r="AA1800">
        <v>0.99919740000000001</v>
      </c>
      <c r="AB1800">
        <v>56</v>
      </c>
      <c r="AC1800">
        <v>-25.981699999999901</v>
      </c>
      <c r="AD1800">
        <v>-1.1083392451480001</v>
      </c>
      <c r="AE1800">
        <v>1.35270000000002</v>
      </c>
      <c r="AF1800">
        <v>1.05309733637054</v>
      </c>
      <c r="AG1800">
        <v>-1.1083392451480001</v>
      </c>
      <c r="AH1800">
        <v>25.948397991918</v>
      </c>
      <c r="AI1800">
        <v>92.443790422190503</v>
      </c>
      <c r="AJ1800">
        <v>87.675966808211498</v>
      </c>
      <c r="AK1800">
        <v>25.9933989356756</v>
      </c>
      <c r="AL1800">
        <v>79.372780464460504</v>
      </c>
      <c r="AM1800">
        <v>89.287077980513601</v>
      </c>
      <c r="AN1800">
        <v>1.00000003556846</v>
      </c>
    </row>
    <row r="1801" spans="1:40" x14ac:dyDescent="0.25">
      <c r="A1801" t="str">
        <f>"20190312164507893"</f>
        <v>20190312164507893</v>
      </c>
      <c r="B1801" t="str">
        <f>"1552380307883190"</f>
        <v>1552380307883190</v>
      </c>
      <c r="C1801" t="s">
        <v>40</v>
      </c>
      <c r="D1801">
        <v>4.8436879999999896</v>
      </c>
      <c r="E1801">
        <v>0.51562680000000005</v>
      </c>
      <c r="F1801" t="s">
        <v>51</v>
      </c>
      <c r="G1801">
        <v>-426.4717</v>
      </c>
      <c r="H1801" s="1">
        <v>2.6518819999999999E-6</v>
      </c>
      <c r="I1801">
        <v>286.5009</v>
      </c>
      <c r="J1801">
        <v>-400.24</v>
      </c>
      <c r="K1801">
        <v>1.1083149999999999</v>
      </c>
      <c r="L1801">
        <v>285.1284</v>
      </c>
      <c r="M1801">
        <v>-0.99981370000000003</v>
      </c>
      <c r="N1801">
        <v>0</v>
      </c>
      <c r="O1801">
        <v>1.153481E-2</v>
      </c>
      <c r="P1801">
        <v>-0.98528329999999997</v>
      </c>
      <c r="Q1801">
        <v>0.169313299999999</v>
      </c>
      <c r="R1801">
        <v>2.3454559999999999E-2</v>
      </c>
      <c r="S1801">
        <v>-3.0629879999999998</v>
      </c>
      <c r="T1801">
        <v>-0.12786210000000001</v>
      </c>
      <c r="U1801">
        <v>0.15875239999999999</v>
      </c>
      <c r="V1801">
        <v>1.210725E-2</v>
      </c>
      <c r="W1801">
        <v>0.18454480000000001</v>
      </c>
      <c r="X1801">
        <v>0.98274950000000005</v>
      </c>
      <c r="Y1801">
        <v>4.0210719999999998E-2</v>
      </c>
      <c r="Z1801">
        <v>3.5736189999999998E-4</v>
      </c>
      <c r="AA1801">
        <v>0.99919119999999995</v>
      </c>
      <c r="AB1801">
        <v>56</v>
      </c>
      <c r="AC1801">
        <v>-26.231699999999901</v>
      </c>
      <c r="AD1801">
        <v>-1.1083123481179999</v>
      </c>
      <c r="AE1801">
        <v>1.3725000000000001</v>
      </c>
      <c r="AF1801">
        <v>1.0678936190672299</v>
      </c>
      <c r="AG1801">
        <v>-1.1083123481179999</v>
      </c>
      <c r="AH1801">
        <v>26.199146487819899</v>
      </c>
      <c r="AI1801">
        <v>92.420353206503094</v>
      </c>
      <c r="AJ1801">
        <v>87.665880228973094</v>
      </c>
      <c r="AK1801">
        <v>26.244314236285199</v>
      </c>
      <c r="AL1801">
        <v>79.3654053127607</v>
      </c>
      <c r="AM1801">
        <v>89.294164754965607</v>
      </c>
      <c r="AN1801">
        <v>0.99999997422992604</v>
      </c>
    </row>
    <row r="1802" spans="1:40" x14ac:dyDescent="0.25">
      <c r="A1802" t="str">
        <f>"20190312164507906"</f>
        <v>20190312164507906</v>
      </c>
      <c r="B1802" t="str">
        <f>"1552380307903687"</f>
        <v>1552380307903687</v>
      </c>
      <c r="C1802" t="s">
        <v>40</v>
      </c>
      <c r="D1802">
        <v>4.8585580000000004</v>
      </c>
      <c r="E1802">
        <v>0.51577519999999999</v>
      </c>
      <c r="F1802" t="s">
        <v>51</v>
      </c>
      <c r="G1802">
        <v>-426.90800000000002</v>
      </c>
      <c r="H1802" s="1">
        <v>2.5734019999999998E-6</v>
      </c>
      <c r="I1802">
        <v>286.51330000000002</v>
      </c>
      <c r="J1802">
        <v>-400.56330000000003</v>
      </c>
      <c r="K1802">
        <v>1.1082829999999999</v>
      </c>
      <c r="L1802">
        <v>285.13229999999999</v>
      </c>
      <c r="M1802">
        <v>-0.99981279999999995</v>
      </c>
      <c r="N1802">
        <v>0</v>
      </c>
      <c r="O1802">
        <v>1.162637E-2</v>
      </c>
      <c r="P1802">
        <v>-0.98522220000000005</v>
      </c>
      <c r="Q1802">
        <v>0.1696531</v>
      </c>
      <c r="R1802">
        <v>2.3576260000000002E-2</v>
      </c>
      <c r="S1802">
        <v>-3.062897</v>
      </c>
      <c r="T1802">
        <v>-0.12729289999999999</v>
      </c>
      <c r="U1802">
        <v>0.15905759999999999</v>
      </c>
      <c r="V1802">
        <v>1.215229E-2</v>
      </c>
      <c r="W1802">
        <v>0.1848804</v>
      </c>
      <c r="X1802">
        <v>0.9826859</v>
      </c>
      <c r="Y1802">
        <v>4.022034E-2</v>
      </c>
      <c r="Z1802">
        <v>3.5218119999999998E-4</v>
      </c>
      <c r="AA1802">
        <v>0.99919069999999999</v>
      </c>
      <c r="AB1802">
        <v>56</v>
      </c>
      <c r="AC1802">
        <v>-26.3446999999999</v>
      </c>
      <c r="AD1802">
        <v>-1.108280426598</v>
      </c>
      <c r="AE1802">
        <v>1.38100000000002</v>
      </c>
      <c r="AF1802">
        <v>1.0726835866936999</v>
      </c>
      <c r="AG1802">
        <v>-1.108280426598</v>
      </c>
      <c r="AH1802">
        <v>26.312537812839999</v>
      </c>
      <c r="AI1802">
        <v>92.409865298984002</v>
      </c>
      <c r="AJ1802">
        <v>87.665514870469295</v>
      </c>
      <c r="AK1802">
        <v>26.357704409399499</v>
      </c>
      <c r="AL1802">
        <v>79.345840560690206</v>
      </c>
      <c r="AM1802">
        <v>89.2914934076273</v>
      </c>
      <c r="AN1802">
        <v>1.0000000092576</v>
      </c>
    </row>
    <row r="1803" spans="1:40" x14ac:dyDescent="0.25">
      <c r="A1803" t="str">
        <f>"20190312164507919"</f>
        <v>20190312164507919</v>
      </c>
      <c r="B1803" t="str">
        <f>"1552380307913446"</f>
        <v>1552380307913446</v>
      </c>
      <c r="C1803" t="s">
        <v>40</v>
      </c>
      <c r="D1803">
        <v>5.152393</v>
      </c>
      <c r="E1803">
        <v>0.51585459999999905</v>
      </c>
      <c r="F1803" t="s">
        <v>51</v>
      </c>
      <c r="G1803">
        <v>-427.5179</v>
      </c>
      <c r="H1803" s="1">
        <v>2.462489E-6</v>
      </c>
      <c r="I1803">
        <v>286.5444</v>
      </c>
      <c r="J1803">
        <v>-400.8655</v>
      </c>
      <c r="K1803">
        <v>1.1082609999999999</v>
      </c>
      <c r="L1803">
        <v>285.13580000000002</v>
      </c>
      <c r="M1803">
        <v>-0.99981160000000002</v>
      </c>
      <c r="N1803">
        <v>0</v>
      </c>
      <c r="O1803">
        <v>1.1722379999999999E-2</v>
      </c>
      <c r="P1803">
        <v>-0.98524</v>
      </c>
      <c r="Q1803">
        <v>0.16952979999999901</v>
      </c>
      <c r="R1803">
        <v>2.370183E-2</v>
      </c>
      <c r="S1803">
        <v>-3.0628359999999999</v>
      </c>
      <c r="T1803">
        <v>-0.12593309999999999</v>
      </c>
      <c r="U1803">
        <v>0.1604614</v>
      </c>
      <c r="V1803">
        <v>1.219393E-2</v>
      </c>
      <c r="W1803">
        <v>0.1847538</v>
      </c>
      <c r="X1803">
        <v>0.98270919999999895</v>
      </c>
      <c r="Y1803">
        <v>4.0582430000000003E-2</v>
      </c>
      <c r="Z1803">
        <v>3.51918E-4</v>
      </c>
      <c r="AA1803">
        <v>0.99917610000000001</v>
      </c>
      <c r="AB1803">
        <v>56</v>
      </c>
      <c r="AC1803">
        <v>-26.6524</v>
      </c>
      <c r="AD1803">
        <v>-1.1082585375109999</v>
      </c>
      <c r="AE1803">
        <v>1.4085999999999701</v>
      </c>
      <c r="AF1803">
        <v>1.0941496567423901</v>
      </c>
      <c r="AG1803">
        <v>-1.1082585375109999</v>
      </c>
      <c r="AH1803">
        <v>26.621181060091502</v>
      </c>
      <c r="AI1803">
        <v>92.381878502113906</v>
      </c>
      <c r="AJ1803">
        <v>87.646426997321996</v>
      </c>
      <c r="AK1803">
        <v>26.666696111282501</v>
      </c>
      <c r="AL1803">
        <v>79.353221419267101</v>
      </c>
      <c r="AM1803">
        <v>89.289082802633303</v>
      </c>
      <c r="AN1803">
        <v>1.0000000151539601</v>
      </c>
    </row>
    <row r="1804" spans="1:40" x14ac:dyDescent="0.25">
      <c r="A1804" t="str">
        <f>"20190312164507935"</f>
        <v>20190312164507935</v>
      </c>
      <c r="B1804" t="str">
        <f>"1552380307923206"</f>
        <v>1552380307923206</v>
      </c>
      <c r="C1804" t="s">
        <v>40</v>
      </c>
      <c r="D1804">
        <v>4.8929980000000004</v>
      </c>
      <c r="E1804">
        <v>0.51593149999999999</v>
      </c>
      <c r="F1804" t="s">
        <v>51</v>
      </c>
      <c r="G1804">
        <v>-427.74799999999999</v>
      </c>
      <c r="H1804" s="1">
        <v>2.4208109999999999E-6</v>
      </c>
      <c r="I1804">
        <v>286.55439999999999</v>
      </c>
      <c r="J1804">
        <v>-401.2679</v>
      </c>
      <c r="K1804">
        <v>1.1082379999999901</v>
      </c>
      <c r="L1804">
        <v>285.14060000000001</v>
      </c>
      <c r="M1804">
        <v>-0.99980999999999998</v>
      </c>
      <c r="N1804">
        <v>0</v>
      </c>
      <c r="O1804">
        <v>1.185804E-2</v>
      </c>
      <c r="P1804">
        <v>-0.9852649</v>
      </c>
      <c r="Q1804">
        <v>0.1693886</v>
      </c>
      <c r="R1804">
        <v>2.3687280000000002E-2</v>
      </c>
      <c r="S1804">
        <v>-3.0627749999999998</v>
      </c>
      <c r="T1804">
        <v>-0.12626609999999999</v>
      </c>
      <c r="U1804">
        <v>0.16162109999999999</v>
      </c>
      <c r="V1804">
        <v>1.205955E-2</v>
      </c>
      <c r="W1804">
        <v>0.18460950000000001</v>
      </c>
      <c r="X1804">
        <v>0.982738</v>
      </c>
      <c r="Y1804">
        <v>4.082496E-2</v>
      </c>
      <c r="Z1804">
        <v>3.5225959999999999E-4</v>
      </c>
      <c r="AA1804">
        <v>0.99916629999999995</v>
      </c>
      <c r="AB1804">
        <v>56</v>
      </c>
      <c r="AC1804">
        <v>-26.4801</v>
      </c>
      <c r="AD1804">
        <v>-1.10823557918899</v>
      </c>
      <c r="AE1804">
        <v>1.41379999999998</v>
      </c>
      <c r="AF1804">
        <v>1.09774360525585</v>
      </c>
      <c r="AG1804">
        <v>-1.10823557918899</v>
      </c>
      <c r="AH1804">
        <v>26.448809683126601</v>
      </c>
      <c r="AI1804">
        <v>92.397294087126596</v>
      </c>
      <c r="AJ1804">
        <v>87.623333592291701</v>
      </c>
      <c r="AK1804">
        <v>26.494768554869701</v>
      </c>
      <c r="AL1804">
        <v>79.361634159046901</v>
      </c>
      <c r="AM1804">
        <v>89.296937090294307</v>
      </c>
      <c r="AN1804">
        <v>1.0000000384402199</v>
      </c>
    </row>
    <row r="1805" spans="1:40" x14ac:dyDescent="0.25">
      <c r="A1805" t="str">
        <f>"20190312164507949"</f>
        <v>20190312164507949</v>
      </c>
      <c r="B1805" t="str">
        <f>"1552380307943703"</f>
        <v>1552380307943703</v>
      </c>
      <c r="C1805" t="s">
        <v>40</v>
      </c>
      <c r="D1805">
        <v>4.8894320000000002</v>
      </c>
      <c r="E1805">
        <v>0.5159454</v>
      </c>
      <c r="F1805" t="s">
        <v>51</v>
      </c>
      <c r="G1805">
        <v>-428.06119999999999</v>
      </c>
      <c r="H1805" s="1">
        <v>2.364778E-6</v>
      </c>
      <c r="I1805">
        <v>286.5598</v>
      </c>
      <c r="J1805">
        <v>-401.6155</v>
      </c>
      <c r="K1805">
        <v>1.1082160000000001</v>
      </c>
      <c r="L1805">
        <v>285.1447</v>
      </c>
      <c r="M1805">
        <v>-0.99980880000000005</v>
      </c>
      <c r="N1805">
        <v>0</v>
      </c>
      <c r="O1805">
        <v>1.19825E-2</v>
      </c>
      <c r="P1805">
        <v>-0.98527010000000004</v>
      </c>
      <c r="Q1805">
        <v>0.16931060000000001</v>
      </c>
      <c r="R1805">
        <v>2.4025660000000001E-2</v>
      </c>
      <c r="S1805">
        <v>-3.0627749999999998</v>
      </c>
      <c r="T1805">
        <v>-0.12668399999999999</v>
      </c>
      <c r="U1805">
        <v>0.1622314</v>
      </c>
      <c r="V1805">
        <v>1.2286429999999999E-2</v>
      </c>
      <c r="W1805">
        <v>0.1845289</v>
      </c>
      <c r="X1805">
        <v>0.98275029999999997</v>
      </c>
      <c r="Y1805">
        <v>4.0899030000000003E-2</v>
      </c>
      <c r="Z1805">
        <v>3.4981090000000002E-4</v>
      </c>
      <c r="AA1805">
        <v>0.99916320000000003</v>
      </c>
      <c r="AB1805">
        <v>56</v>
      </c>
      <c r="AC1805">
        <v>-26.445699999999899</v>
      </c>
      <c r="AD1805">
        <v>-1.108213635222</v>
      </c>
      <c r="AE1805">
        <v>1.41509999999999</v>
      </c>
      <c r="AF1805">
        <v>1.0961555333734201</v>
      </c>
      <c r="AG1805">
        <v>-1.108213635222</v>
      </c>
      <c r="AH1805">
        <v>26.414506641877001</v>
      </c>
      <c r="AI1805">
        <v>92.400356823187906</v>
      </c>
      <c r="AJ1805">
        <v>87.623689455409306</v>
      </c>
      <c r="AK1805">
        <v>26.4604583397265</v>
      </c>
      <c r="AL1805">
        <v>79.366332638355303</v>
      </c>
      <c r="AM1805">
        <v>89.283720482341394</v>
      </c>
      <c r="AN1805">
        <v>1.00000001172372</v>
      </c>
    </row>
    <row r="1806" spans="1:40" x14ac:dyDescent="0.25">
      <c r="A1806" t="str">
        <f>"20190312164507961"</f>
        <v>20190312164507961</v>
      </c>
      <c r="B1806" t="str">
        <f>"1552380307953462"</f>
        <v>1552380307953462</v>
      </c>
      <c r="C1806" t="s">
        <v>40</v>
      </c>
      <c r="D1806">
        <v>4.8795469999999996</v>
      </c>
      <c r="E1806">
        <v>0.51594529999999905</v>
      </c>
      <c r="F1806" t="s">
        <v>51</v>
      </c>
      <c r="G1806">
        <v>-428.02370000000002</v>
      </c>
      <c r="H1806" s="1">
        <v>2.372027E-6</v>
      </c>
      <c r="I1806">
        <v>286.55290000000002</v>
      </c>
      <c r="J1806">
        <v>-401.94110000000001</v>
      </c>
      <c r="K1806">
        <v>1.1081989999999999</v>
      </c>
      <c r="L1806">
        <v>285.14870000000002</v>
      </c>
      <c r="M1806">
        <v>-0.99980720000000001</v>
      </c>
      <c r="N1806">
        <v>0</v>
      </c>
      <c r="O1806">
        <v>1.2108610000000001E-2</v>
      </c>
      <c r="P1806">
        <v>-0.98527129999999996</v>
      </c>
      <c r="Q1806">
        <v>0.1692437</v>
      </c>
      <c r="R1806">
        <v>2.4442129999999999E-2</v>
      </c>
      <c r="S1806">
        <v>-3.0629580000000001</v>
      </c>
      <c r="T1806">
        <v>-0.12853609999999999</v>
      </c>
      <c r="U1806">
        <v>0.16333010000000001</v>
      </c>
      <c r="V1806">
        <v>1.2588230000000001E-2</v>
      </c>
      <c r="W1806">
        <v>0.1844586</v>
      </c>
      <c r="X1806">
        <v>0.98275970000000001</v>
      </c>
      <c r="Y1806">
        <v>4.11264E-2</v>
      </c>
      <c r="Z1806">
        <v>3.5437659999999998E-4</v>
      </c>
      <c r="AA1806">
        <v>0.99915390000000004</v>
      </c>
      <c r="AB1806">
        <v>56</v>
      </c>
      <c r="AC1806">
        <v>-26.082599999999999</v>
      </c>
      <c r="AD1806">
        <v>-1.108196627973</v>
      </c>
      <c r="AE1806">
        <v>1.4041999999999999</v>
      </c>
      <c r="AF1806">
        <v>1.08627994574901</v>
      </c>
      <c r="AG1806">
        <v>-1.108196627973</v>
      </c>
      <c r="AH1806">
        <v>26.050800614232202</v>
      </c>
      <c r="AI1806">
        <v>92.433771654390597</v>
      </c>
      <c r="AJ1806">
        <v>87.612233820286505</v>
      </c>
      <c r="AK1806">
        <v>26.096979069027601</v>
      </c>
      <c r="AL1806">
        <v>79.370431115338505</v>
      </c>
      <c r="AM1806">
        <v>89.266134937535298</v>
      </c>
      <c r="AN1806">
        <v>1.0000000332962899</v>
      </c>
    </row>
    <row r="1807" spans="1:40" x14ac:dyDescent="0.25">
      <c r="A1807" t="str">
        <f>"20190312164507973"</f>
        <v>20190312164507973</v>
      </c>
      <c r="B1807" t="str">
        <f>"1552380307963223"</f>
        <v>1552380307963223</v>
      </c>
      <c r="C1807" t="s">
        <v>40</v>
      </c>
      <c r="D1807">
        <v>4.9230309999999999</v>
      </c>
      <c r="E1807">
        <v>0.51597720000000002</v>
      </c>
      <c r="F1807" t="s">
        <v>51</v>
      </c>
      <c r="G1807">
        <v>-428.16269999999997</v>
      </c>
      <c r="H1807" s="1">
        <v>2.3469290000000001E-6</v>
      </c>
      <c r="I1807">
        <v>286.55790000000002</v>
      </c>
      <c r="J1807">
        <v>-402.23770000000002</v>
      </c>
      <c r="K1807">
        <v>1.108188</v>
      </c>
      <c r="L1807">
        <v>285.1524</v>
      </c>
      <c r="M1807">
        <v>-0.99980579999999997</v>
      </c>
      <c r="N1807">
        <v>0</v>
      </c>
      <c r="O1807">
        <v>1.22259E-2</v>
      </c>
      <c r="P1807">
        <v>-0.985236</v>
      </c>
      <c r="Q1807">
        <v>0.16941879999999901</v>
      </c>
      <c r="R1807">
        <v>2.4647849999999999E-2</v>
      </c>
      <c r="S1807">
        <v>-3.0629580000000001</v>
      </c>
      <c r="T1807">
        <v>-0.12944900000000001</v>
      </c>
      <c r="U1807">
        <v>0.1646118</v>
      </c>
      <c r="V1807">
        <v>1.268709E-2</v>
      </c>
      <c r="W1807">
        <v>0.18463099999999999</v>
      </c>
      <c r="X1807">
        <v>0.98272599999999999</v>
      </c>
      <c r="Y1807">
        <v>4.1425589999999998E-2</v>
      </c>
      <c r="Z1807">
        <v>3.5825160000000001E-4</v>
      </c>
      <c r="AA1807">
        <v>0.99914150000000002</v>
      </c>
      <c r="AB1807">
        <v>56</v>
      </c>
      <c r="AC1807">
        <v>-25.924999999999901</v>
      </c>
      <c r="AD1807">
        <v>-1.1081856530709999</v>
      </c>
      <c r="AE1807">
        <v>1.40550000000001</v>
      </c>
      <c r="AF1807">
        <v>1.0864213079241101</v>
      </c>
      <c r="AG1807">
        <v>-1.1081856530709999</v>
      </c>
      <c r="AH1807">
        <v>25.893074150306099</v>
      </c>
      <c r="AI1807">
        <v>92.448528157500704</v>
      </c>
      <c r="AJ1807">
        <v>87.597393587455898</v>
      </c>
      <c r="AK1807">
        <v>25.939538848122101</v>
      </c>
      <c r="AL1807">
        <v>79.360380121938704</v>
      </c>
      <c r="AM1807">
        <v>89.260346902277902</v>
      </c>
      <c r="AN1807">
        <v>0.99999997974483301</v>
      </c>
    </row>
    <row r="1808" spans="1:40" x14ac:dyDescent="0.25">
      <c r="A1808" t="str">
        <f>"20190312164507990"</f>
        <v>20190312164507990</v>
      </c>
      <c r="B1808" t="str">
        <f>"1552380307983718"</f>
        <v>1552380307983718</v>
      </c>
      <c r="C1808" t="s">
        <v>40</v>
      </c>
      <c r="D1808">
        <v>4.9315829999999998</v>
      </c>
      <c r="E1808">
        <v>0.51607029999999998</v>
      </c>
      <c r="F1808" t="s">
        <v>51</v>
      </c>
      <c r="G1808">
        <v>-428.4126</v>
      </c>
      <c r="H1808" s="1">
        <v>2.301902E-6</v>
      </c>
      <c r="I1808">
        <v>286.56610000000001</v>
      </c>
      <c r="J1808">
        <v>-402.62990000000002</v>
      </c>
      <c r="K1808">
        <v>1.108169</v>
      </c>
      <c r="L1808">
        <v>285.15719999999999</v>
      </c>
      <c r="M1808">
        <v>-0.99980380000000002</v>
      </c>
      <c r="N1808">
        <v>0</v>
      </c>
      <c r="O1808">
        <v>1.2386019999999999E-2</v>
      </c>
      <c r="P1808">
        <v>-0.98519579999999995</v>
      </c>
      <c r="Q1808">
        <v>0.16960610000000001</v>
      </c>
      <c r="R1808">
        <v>2.4963369999999999E-2</v>
      </c>
      <c r="S1808">
        <v>-3.06311</v>
      </c>
      <c r="T1808">
        <v>-0.129685199999999</v>
      </c>
      <c r="U1808">
        <v>0.16543579999999999</v>
      </c>
      <c r="V1808">
        <v>1.2855790000000001E-2</v>
      </c>
      <c r="W1808">
        <v>0.18481429999999999</v>
      </c>
      <c r="X1808">
        <v>0.98268940000000005</v>
      </c>
      <c r="Y1808">
        <v>4.1530860000000003E-2</v>
      </c>
      <c r="Z1808">
        <v>3.5434000000000003E-4</v>
      </c>
      <c r="AA1808">
        <v>0.99913719999999995</v>
      </c>
      <c r="AB1808">
        <v>56</v>
      </c>
      <c r="AC1808">
        <v>-25.782699999999899</v>
      </c>
      <c r="AD1808">
        <v>-1.1081666980980001</v>
      </c>
      <c r="AE1808">
        <v>1.40890000000001</v>
      </c>
      <c r="AF1808">
        <v>1.08740584181314</v>
      </c>
      <c r="AG1808">
        <v>-1.1081666980980001</v>
      </c>
      <c r="AH1808">
        <v>25.7507450217234</v>
      </c>
      <c r="AI1808">
        <v>92.461975045584396</v>
      </c>
      <c r="AJ1808">
        <v>87.581942922308599</v>
      </c>
      <c r="AK1808">
        <v>25.797506741338299</v>
      </c>
      <c r="AL1808">
        <v>79.349694410380295</v>
      </c>
      <c r="AM1808">
        <v>89.250484952070295</v>
      </c>
      <c r="AN1808">
        <v>1.00000002684668</v>
      </c>
    </row>
    <row r="1809" spans="1:40" x14ac:dyDescent="0.25">
      <c r="A1809" t="str">
        <f>"20190312164508003"</f>
        <v>20190312164508003</v>
      </c>
      <c r="B1809" t="str">
        <f>"1552380307993478"</f>
        <v>1552380307993478</v>
      </c>
      <c r="C1809" t="s">
        <v>40</v>
      </c>
      <c r="D1809">
        <v>4.9243969999999999</v>
      </c>
      <c r="E1809">
        <v>0.5265358</v>
      </c>
      <c r="F1809" t="s">
        <v>51</v>
      </c>
      <c r="G1809">
        <v>-428.92939999999999</v>
      </c>
      <c r="H1809" s="1">
        <v>2.2079570000000002E-6</v>
      </c>
      <c r="I1809">
        <v>286.59210000000002</v>
      </c>
      <c r="J1809">
        <v>-402.96730000000002</v>
      </c>
      <c r="K1809">
        <v>1.1081529999999999</v>
      </c>
      <c r="L1809">
        <v>285.16149999999999</v>
      </c>
      <c r="M1809">
        <v>-0.99980199999999997</v>
      </c>
      <c r="N1809">
        <v>0</v>
      </c>
      <c r="O1809">
        <v>1.252905E-2</v>
      </c>
      <c r="P1809">
        <v>-0.9852014</v>
      </c>
      <c r="Q1809">
        <v>0.16955039999999999</v>
      </c>
      <c r="R1809">
        <v>2.5116670000000001E-2</v>
      </c>
      <c r="S1809">
        <v>-3.0630489999999999</v>
      </c>
      <c r="T1809">
        <v>-0.12906589999999901</v>
      </c>
      <c r="U1809">
        <v>0.16711429999999999</v>
      </c>
      <c r="V1809">
        <v>1.287599E-2</v>
      </c>
      <c r="W1809">
        <v>0.18475569999999999</v>
      </c>
      <c r="X1809">
        <v>0.98270009999999997</v>
      </c>
      <c r="Y1809">
        <v>4.1934899999999997E-2</v>
      </c>
      <c r="Z1809">
        <v>3.5513480000000001E-4</v>
      </c>
      <c r="AA1809">
        <v>0.99912029999999996</v>
      </c>
      <c r="AB1809">
        <v>56</v>
      </c>
      <c r="AC1809">
        <v>-25.9620999999999</v>
      </c>
      <c r="AD1809">
        <v>-1.108150792043</v>
      </c>
      <c r="AE1809">
        <v>1.4306000000000201</v>
      </c>
      <c r="AF1809">
        <v>1.1031646170640801</v>
      </c>
      <c r="AG1809">
        <v>-1.108150792043</v>
      </c>
      <c r="AH1809">
        <v>25.9308881360678</v>
      </c>
      <c r="AI1809">
        <v>92.444824886449396</v>
      </c>
      <c r="AJ1809">
        <v>87.563963645738298</v>
      </c>
      <c r="AK1809">
        <v>25.977989334733099</v>
      </c>
      <c r="AL1809">
        <v>79.353110198152706</v>
      </c>
      <c r="AM1809">
        <v>89.249315564280806</v>
      </c>
      <c r="AN1809">
        <v>0.99999997317048905</v>
      </c>
    </row>
    <row r="1810" spans="1:40" x14ac:dyDescent="0.25">
      <c r="A1810" t="str">
        <f>"20190312164508016"</f>
        <v>20190312164508016</v>
      </c>
      <c r="B1810" t="str">
        <f>"1552380308012998"</f>
        <v>1552380308012998</v>
      </c>
      <c r="C1810" t="s">
        <v>40</v>
      </c>
      <c r="D1810">
        <v>4.9721339999999996</v>
      </c>
      <c r="E1810">
        <v>0.52474849999999995</v>
      </c>
      <c r="F1810" t="s">
        <v>51</v>
      </c>
      <c r="G1810">
        <v>-429.10680000000002</v>
      </c>
      <c r="H1810" s="1">
        <v>2.1137779999999998E-6</v>
      </c>
      <c r="I1810">
        <v>287.30939999999998</v>
      </c>
      <c r="J1810">
        <v>-403.3</v>
      </c>
      <c r="K1810">
        <v>1.108139</v>
      </c>
      <c r="L1810">
        <v>285.16570000000002</v>
      </c>
      <c r="M1810">
        <v>-0.99980040000000003</v>
      </c>
      <c r="N1810">
        <v>0</v>
      </c>
      <c r="O1810">
        <v>1.267277E-2</v>
      </c>
      <c r="P1810">
        <v>-0.98515140000000001</v>
      </c>
      <c r="Q1810">
        <v>0.16984340000000001</v>
      </c>
      <c r="R1810">
        <v>2.5105229999999999E-2</v>
      </c>
      <c r="S1810">
        <v>-3.0609440000000001</v>
      </c>
      <c r="T1810">
        <v>-0.1297652</v>
      </c>
      <c r="U1810">
        <v>0.25152590000000002</v>
      </c>
      <c r="V1810">
        <v>1.27314E-2</v>
      </c>
      <c r="W1810">
        <v>0.1850453</v>
      </c>
      <c r="X1810">
        <v>0.98264750000000001</v>
      </c>
      <c r="Y1810">
        <v>6.9207909999999997E-2</v>
      </c>
      <c r="Z1810">
        <v>9.2778480000000002E-4</v>
      </c>
      <c r="AA1810">
        <v>0.99760179999999998</v>
      </c>
      <c r="AB1810">
        <v>56</v>
      </c>
      <c r="AC1810">
        <v>-25.806799999999999</v>
      </c>
      <c r="AD1810">
        <v>-1.108136886222</v>
      </c>
      <c r="AE1810">
        <v>2.14369999999996</v>
      </c>
      <c r="AF1810">
        <v>1.8131249897821</v>
      </c>
      <c r="AG1810">
        <v>-1.108136886222</v>
      </c>
      <c r="AH1810">
        <v>25.784680499386599</v>
      </c>
      <c r="AI1810">
        <v>92.454807128335503</v>
      </c>
      <c r="AJ1810">
        <v>85.977701052691401</v>
      </c>
      <c r="AK1810">
        <v>25.8720918760472</v>
      </c>
      <c r="AL1810">
        <v>79.336226291778303</v>
      </c>
      <c r="AM1810">
        <v>89.257704644814098</v>
      </c>
      <c r="AN1810">
        <v>0.99999998042714899</v>
      </c>
    </row>
    <row r="1811" spans="1:40" x14ac:dyDescent="0.25">
      <c r="A1811" t="str">
        <f>"20190312164508037"</f>
        <v>20190312164508037</v>
      </c>
      <c r="B1811" t="str">
        <f>"1552380308033495"</f>
        <v>1552380308033495</v>
      </c>
      <c r="C1811" t="s">
        <v>40</v>
      </c>
      <c r="D1811">
        <v>4.9473050000000001</v>
      </c>
      <c r="E1811">
        <v>0.49606899999999998</v>
      </c>
      <c r="F1811" t="s">
        <v>51</v>
      </c>
      <c r="G1811">
        <v>-431.32170000000002</v>
      </c>
      <c r="H1811" s="1">
        <v>2.5645409999999998E-6</v>
      </c>
      <c r="I1811">
        <v>287.34500000000003</v>
      </c>
      <c r="J1811">
        <v>-403.78039999999999</v>
      </c>
      <c r="K1811">
        <v>1.108128</v>
      </c>
      <c r="L1811">
        <v>285.17189999999999</v>
      </c>
      <c r="M1811">
        <v>-0.99979759999999995</v>
      </c>
      <c r="N1811">
        <v>0</v>
      </c>
      <c r="O1811">
        <v>1.288563E-2</v>
      </c>
      <c r="P1811">
        <v>-0.98512270000000002</v>
      </c>
      <c r="Q1811">
        <v>0.16998179999999999</v>
      </c>
      <c r="R1811">
        <v>2.5295999999999999E-2</v>
      </c>
      <c r="S1811">
        <v>-3.060028</v>
      </c>
      <c r="T1811">
        <v>-0.1210111</v>
      </c>
      <c r="U1811">
        <v>0.2379761</v>
      </c>
      <c r="V1811">
        <v>1.2723190000000001E-2</v>
      </c>
      <c r="W1811">
        <v>0.1851788</v>
      </c>
      <c r="X1811">
        <v>0.98262240000000001</v>
      </c>
      <c r="Y1811">
        <v>6.4640119999999995E-2</v>
      </c>
      <c r="Z1811">
        <v>7.6710579999999997E-4</v>
      </c>
      <c r="AA1811">
        <v>0.99790840000000003</v>
      </c>
      <c r="AB1811">
        <v>56</v>
      </c>
      <c r="AC1811">
        <v>-27.5413</v>
      </c>
      <c r="AD1811">
        <v>-1.108125435459</v>
      </c>
      <c r="AE1811">
        <v>2.17310000000003</v>
      </c>
      <c r="AF1811">
        <v>1.8150700089726599</v>
      </c>
      <c r="AG1811">
        <v>-1.108125435459</v>
      </c>
      <c r="AH1811">
        <v>27.522738239666701</v>
      </c>
      <c r="AI1811">
        <v>92.300615648671197</v>
      </c>
      <c r="AJ1811">
        <v>86.226920514781298</v>
      </c>
      <c r="AK1811">
        <v>27.6047738865471</v>
      </c>
      <c r="AL1811">
        <v>79.3284421795491</v>
      </c>
      <c r="AM1811">
        <v>89.258164322833295</v>
      </c>
      <c r="AN1811">
        <v>0.99999992425748496</v>
      </c>
    </row>
    <row r="1812" spans="1:40" x14ac:dyDescent="0.25">
      <c r="A1812" t="str">
        <f>"20190312164508058"</f>
        <v>20190312164508058</v>
      </c>
      <c r="B1812" t="str">
        <f>"1552380308053014"</f>
        <v>1552380308053014</v>
      </c>
      <c r="C1812" t="s">
        <v>40</v>
      </c>
      <c r="D1812">
        <v>5.0716029999999996</v>
      </c>
      <c r="E1812">
        <v>0.47749960000000002</v>
      </c>
      <c r="F1812" t="s">
        <v>51</v>
      </c>
      <c r="G1812">
        <v>-439.92419999999998</v>
      </c>
      <c r="H1812" s="1">
        <v>6.5579670000000003E-6</v>
      </c>
      <c r="I1812">
        <v>285.30270000000002</v>
      </c>
      <c r="J1812">
        <v>-404.34269999999998</v>
      </c>
      <c r="K1812">
        <v>1.1081219999999901</v>
      </c>
      <c r="L1812">
        <v>285.17930000000001</v>
      </c>
      <c r="M1812">
        <v>-0.99979430000000002</v>
      </c>
      <c r="N1812">
        <v>0</v>
      </c>
      <c r="O1812">
        <v>1.314215E-2</v>
      </c>
      <c r="P1812">
        <v>-0.98515980000000003</v>
      </c>
      <c r="Q1812">
        <v>0.16978889999999999</v>
      </c>
      <c r="R1812">
        <v>2.51393E-2</v>
      </c>
      <c r="S1812">
        <v>-3.0612180000000002</v>
      </c>
      <c r="T1812">
        <v>-9.385288E-2</v>
      </c>
      <c r="U1812">
        <v>1.107788E-2</v>
      </c>
      <c r="V1812">
        <v>1.232401E-2</v>
      </c>
      <c r="W1812">
        <v>0.18498200000000001</v>
      </c>
      <c r="X1812">
        <v>0.9826646</v>
      </c>
      <c r="Y1812">
        <v>-9.514537E-3</v>
      </c>
      <c r="Z1812">
        <v>-5.4867849999999999E-4</v>
      </c>
      <c r="AA1812">
        <v>0.99995460000000003</v>
      </c>
      <c r="AB1812">
        <v>56</v>
      </c>
      <c r="AC1812">
        <v>-35.581499999999998</v>
      </c>
      <c r="AD1812">
        <v>-1.10811544203299</v>
      </c>
      <c r="AE1812">
        <v>0.12340000000000299</v>
      </c>
      <c r="AF1812">
        <v>-0.34395028709595898</v>
      </c>
      <c r="AG1812">
        <v>-1.10811544203299</v>
      </c>
      <c r="AH1812">
        <v>35.545573515139097</v>
      </c>
      <c r="AI1812">
        <v>91.785505390021498</v>
      </c>
      <c r="AJ1812">
        <v>90.554394903186804</v>
      </c>
      <c r="AK1812">
        <v>35.564505031745099</v>
      </c>
      <c r="AL1812">
        <v>79.339916703116302</v>
      </c>
      <c r="AM1812">
        <v>89.281467204295197</v>
      </c>
      <c r="AN1812">
        <v>0.99999996881981901</v>
      </c>
    </row>
    <row r="1813" spans="1:40" x14ac:dyDescent="0.25">
      <c r="A1813" t="str">
        <f>"20190312164508072"</f>
        <v>20190312164508072</v>
      </c>
      <c r="B1813" t="str">
        <f>"1552380308063750"</f>
        <v>1552380308063750</v>
      </c>
      <c r="C1813" t="s">
        <v>40</v>
      </c>
      <c r="D1813">
        <v>5.1889900000000004</v>
      </c>
      <c r="E1813">
        <v>0.47250500000000001</v>
      </c>
      <c r="F1813" t="s">
        <v>51</v>
      </c>
      <c r="G1813">
        <v>-430.16759999999999</v>
      </c>
      <c r="H1813" s="1">
        <v>2.3447109999999999E-6</v>
      </c>
      <c r="I1813">
        <v>284.00560000000002</v>
      </c>
      <c r="J1813">
        <v>-404.68369999999999</v>
      </c>
      <c r="K1813">
        <v>1.1081190000000001</v>
      </c>
      <c r="L1813">
        <v>285.18380000000002</v>
      </c>
      <c r="M1813">
        <v>-0.99979229999999997</v>
      </c>
      <c r="N1813">
        <v>0</v>
      </c>
      <c r="O1813">
        <v>1.330083E-2</v>
      </c>
      <c r="P1813">
        <v>-0.98509990000000003</v>
      </c>
      <c r="Q1813">
        <v>0.17011660000000001</v>
      </c>
      <c r="R1813">
        <v>2.527161E-2</v>
      </c>
      <c r="S1813">
        <v>-3.0714419999999998</v>
      </c>
      <c r="T1813">
        <v>-0.131792299999999</v>
      </c>
      <c r="U1813">
        <v>-0.1395874</v>
      </c>
      <c r="V1813">
        <v>1.2307210000000001E-2</v>
      </c>
      <c r="W1813">
        <v>0.18530630000000001</v>
      </c>
      <c r="X1813">
        <v>0.98260369999999997</v>
      </c>
      <c r="Y1813">
        <v>-5.8618629999999998E-2</v>
      </c>
      <c r="Z1813">
        <v>-1.8266720000000001E-3</v>
      </c>
      <c r="AA1813">
        <v>0.99827880000000002</v>
      </c>
      <c r="AB1813">
        <v>56</v>
      </c>
      <c r="AC1813">
        <v>-25.483899999999998</v>
      </c>
      <c r="AD1813">
        <v>-1.1081166552890001</v>
      </c>
      <c r="AE1813">
        <v>-1.1781999999999999</v>
      </c>
      <c r="AF1813">
        <v>-1.5142362229587201</v>
      </c>
      <c r="AG1813">
        <v>-1.1081166552890001</v>
      </c>
      <c r="AH1813">
        <v>25.4180150864062</v>
      </c>
      <c r="AI1813">
        <v>92.491857790693402</v>
      </c>
      <c r="AJ1813">
        <v>93.409271992115507</v>
      </c>
      <c r="AK1813">
        <v>25.487179616297698</v>
      </c>
      <c r="AL1813">
        <v>79.321008712835905</v>
      </c>
      <c r="AM1813">
        <v>89.282402132433802</v>
      </c>
      <c r="AN1813">
        <v>0.99999996174568095</v>
      </c>
    </row>
    <row r="1814" spans="1:40" x14ac:dyDescent="0.25">
      <c r="A1814" t="str">
        <f>"20190312164508092"</f>
        <v>20190312164508092</v>
      </c>
      <c r="B1814" t="str">
        <f>"1552380308083273"</f>
        <v>1552380308083273</v>
      </c>
      <c r="C1814" t="s">
        <v>40</v>
      </c>
      <c r="D1814">
        <v>5.0911619999999997</v>
      </c>
      <c r="E1814">
        <v>0.46680519999999998</v>
      </c>
      <c r="F1814" t="s">
        <v>51</v>
      </c>
      <c r="G1814">
        <v>-429.89370000000002</v>
      </c>
      <c r="H1814" s="1">
        <v>2.2881550000000002E-6</v>
      </c>
      <c r="I1814">
        <v>283.71809999999999</v>
      </c>
      <c r="J1814">
        <v>-405.16079999999999</v>
      </c>
      <c r="K1814">
        <v>1.1081160000000001</v>
      </c>
      <c r="L1814">
        <v>285.1902</v>
      </c>
      <c r="M1814">
        <v>-0.99978929999999999</v>
      </c>
      <c r="N1814">
        <v>0</v>
      </c>
      <c r="O1814">
        <v>1.352568E-2</v>
      </c>
      <c r="P1814">
        <v>-0.9850274</v>
      </c>
      <c r="Q1814">
        <v>0.1705197</v>
      </c>
      <c r="R1814">
        <v>2.537698E-2</v>
      </c>
      <c r="S1814">
        <v>-3.0733030000000001</v>
      </c>
      <c r="T1814">
        <v>-0.1350886</v>
      </c>
      <c r="U1814">
        <v>-0.17868039999999999</v>
      </c>
      <c r="V1814">
        <v>1.2200000000000001E-2</v>
      </c>
      <c r="W1814">
        <v>0.1857046</v>
      </c>
      <c r="X1814">
        <v>0.98252989999999996</v>
      </c>
      <c r="Y1814">
        <v>-7.1458919999999995E-2</v>
      </c>
      <c r="Z1814">
        <v>-2.1622820000000002E-3</v>
      </c>
      <c r="AA1814">
        <v>0.99744120000000003</v>
      </c>
      <c r="AB1814">
        <v>55</v>
      </c>
      <c r="AC1814">
        <v>-24.732900000000001</v>
      </c>
      <c r="AD1814">
        <v>-1.108113711845</v>
      </c>
      <c r="AE1814">
        <v>-1.47210000000001</v>
      </c>
      <c r="AF1814">
        <v>-1.80292818717831</v>
      </c>
      <c r="AG1814">
        <v>-1.108113711845</v>
      </c>
      <c r="AH1814">
        <v>24.661394680020599</v>
      </c>
      <c r="AI1814">
        <v>92.565909674287994</v>
      </c>
      <c r="AJ1814">
        <v>94.181301574363204</v>
      </c>
      <c r="AK1814">
        <v>24.752027262635401</v>
      </c>
      <c r="AL1814">
        <v>79.297785355476293</v>
      </c>
      <c r="AM1814">
        <v>89.288599167313393</v>
      </c>
      <c r="AN1814">
        <v>1.0000000214275799</v>
      </c>
    </row>
    <row r="1815" spans="1:40" x14ac:dyDescent="0.25">
      <c r="A1815" t="str">
        <f>"20190312164508114"</f>
        <v>20190312164508114</v>
      </c>
      <c r="B1815" t="str">
        <f>"1552380308103766"</f>
        <v>1552380308103766</v>
      </c>
      <c r="C1815" t="s">
        <v>40</v>
      </c>
      <c r="D1815">
        <v>5.1463739999999998</v>
      </c>
      <c r="E1815">
        <v>0.46383809999999898</v>
      </c>
      <c r="F1815" t="s">
        <v>51</v>
      </c>
      <c r="G1815">
        <v>-428.93239999999997</v>
      </c>
      <c r="H1815" s="1">
        <v>2.4812379999999998E-6</v>
      </c>
      <c r="I1815">
        <v>283.4599</v>
      </c>
      <c r="J1815">
        <v>-405.71249999999998</v>
      </c>
      <c r="K1815">
        <v>1.108109</v>
      </c>
      <c r="L1815">
        <v>285.19779999999997</v>
      </c>
      <c r="M1815">
        <v>-0.9997857</v>
      </c>
      <c r="N1815">
        <v>0</v>
      </c>
      <c r="O1815">
        <v>1.379087E-2</v>
      </c>
      <c r="P1815">
        <v>-0.98486799999999997</v>
      </c>
      <c r="Q1815">
        <v>0.1713961</v>
      </c>
      <c r="R1815">
        <v>2.5653780000000001E-2</v>
      </c>
      <c r="S1815">
        <v>-3.0761720000000001</v>
      </c>
      <c r="T1815">
        <v>-0.143396</v>
      </c>
      <c r="U1815">
        <v>-0.22390750000000001</v>
      </c>
      <c r="V1815">
        <v>1.222591E-2</v>
      </c>
      <c r="W1815">
        <v>0.18657409999999999</v>
      </c>
      <c r="X1815">
        <v>0.98236480000000004</v>
      </c>
      <c r="Y1815">
        <v>-8.6236800000000002E-2</v>
      </c>
      <c r="Z1815">
        <v>-2.6480359999999999E-3</v>
      </c>
      <c r="AA1815">
        <v>0.99627109999999997</v>
      </c>
      <c r="AB1815">
        <v>55</v>
      </c>
      <c r="AC1815">
        <v>-23.219899999999999</v>
      </c>
      <c r="AD1815">
        <v>-1.1081065187620001</v>
      </c>
      <c r="AE1815">
        <v>-1.73789999999996</v>
      </c>
      <c r="AF1815">
        <v>-2.0533452121506</v>
      </c>
      <c r="AG1815">
        <v>-1.1081065187620001</v>
      </c>
      <c r="AH1815">
        <v>23.141312478093699</v>
      </c>
      <c r="AI1815">
        <v>92.730764222593393</v>
      </c>
      <c r="AJ1815">
        <v>95.0706161079341</v>
      </c>
      <c r="AK1815">
        <v>23.258642905938402</v>
      </c>
      <c r="AL1815">
        <v>79.247080116592002</v>
      </c>
      <c r="AM1815">
        <v>89.286968668707203</v>
      </c>
      <c r="AN1815">
        <v>0.99999998397258805</v>
      </c>
    </row>
    <row r="1816" spans="1:40" x14ac:dyDescent="0.25">
      <c r="A1816" t="str">
        <f>"20190312164508127"</f>
        <v>20190312164508127</v>
      </c>
      <c r="B1816" t="str">
        <f>"1552380308123286"</f>
        <v>1552380308123286</v>
      </c>
      <c r="C1816" t="s">
        <v>40</v>
      </c>
      <c r="D1816">
        <v>5.0470499999999996</v>
      </c>
      <c r="E1816">
        <v>0.46207500000000001</v>
      </c>
      <c r="F1816" t="s">
        <v>51</v>
      </c>
      <c r="G1816">
        <v>-429.44209999999998</v>
      </c>
      <c r="H1816" s="1">
        <v>2.4057440000000001E-6</v>
      </c>
      <c r="I1816">
        <v>283.28930000000003</v>
      </c>
      <c r="J1816">
        <v>-406.03640000000001</v>
      </c>
      <c r="K1816">
        <v>1.1081030000000001</v>
      </c>
      <c r="L1816">
        <v>285.20240000000001</v>
      </c>
      <c r="M1816">
        <v>-0.99978359999999999</v>
      </c>
      <c r="N1816">
        <v>0</v>
      </c>
      <c r="O1816">
        <v>1.394774E-2</v>
      </c>
      <c r="P1816">
        <v>-0.98483509999999996</v>
      </c>
      <c r="Q1816">
        <v>0.1715632</v>
      </c>
      <c r="R1816">
        <v>2.5805620000000001E-2</v>
      </c>
      <c r="S1816">
        <v>-3.0775450000000002</v>
      </c>
      <c r="T1816">
        <v>-0.14371300000000001</v>
      </c>
      <c r="U1816">
        <v>-0.2475281</v>
      </c>
      <c r="V1816">
        <v>1.222795E-2</v>
      </c>
      <c r="W1816">
        <v>0.18673809999999999</v>
      </c>
      <c r="X1816">
        <v>0.98233369999999998</v>
      </c>
      <c r="Y1816">
        <v>-9.3951309999999996E-2</v>
      </c>
      <c r="Z1816">
        <v>-2.8389840000000001E-3</v>
      </c>
      <c r="AA1816">
        <v>0.99557269999999998</v>
      </c>
      <c r="AB1816">
        <v>55</v>
      </c>
      <c r="AC1816">
        <v>-23.4056999999999</v>
      </c>
      <c r="AD1816">
        <v>-1.108100594256</v>
      </c>
      <c r="AE1816">
        <v>-1.91309999999998</v>
      </c>
      <c r="AF1816">
        <v>-2.2344343931538</v>
      </c>
      <c r="AG1816">
        <v>-1.108100594256</v>
      </c>
      <c r="AH1816">
        <v>23.324803334438201</v>
      </c>
      <c r="AI1816">
        <v>92.707551471509603</v>
      </c>
      <c r="AJ1816">
        <v>95.472036689136999</v>
      </c>
      <c r="AK1816">
        <v>23.457771304506299</v>
      </c>
      <c r="AL1816">
        <v>79.237516444674995</v>
      </c>
      <c r="AM1816">
        <v>89.286827129971599</v>
      </c>
      <c r="AN1816">
        <v>1.0000000694542399</v>
      </c>
    </row>
    <row r="1817" spans="1:40" x14ac:dyDescent="0.25">
      <c r="A1817" t="str">
        <f>"20190312164508138"</f>
        <v>20190312164508138</v>
      </c>
      <c r="B1817" t="str">
        <f>"1552380308133047"</f>
        <v>1552380308133047</v>
      </c>
      <c r="C1817" t="s">
        <v>40</v>
      </c>
      <c r="D1817">
        <v>4.939934</v>
      </c>
      <c r="E1817">
        <v>0.46088420000000002</v>
      </c>
      <c r="F1817" t="s">
        <v>51</v>
      </c>
      <c r="G1817">
        <v>-429.30250000000001</v>
      </c>
      <c r="H1817" s="1">
        <v>2.4358480000000001E-6</v>
      </c>
      <c r="I1817">
        <v>283.22809999999998</v>
      </c>
      <c r="J1817">
        <v>-406.33339999999998</v>
      </c>
      <c r="K1817">
        <v>1.1081030000000001</v>
      </c>
      <c r="L1817">
        <v>285.20659999999998</v>
      </c>
      <c r="M1817">
        <v>-0.99978160000000005</v>
      </c>
      <c r="N1817">
        <v>0</v>
      </c>
      <c r="O1817">
        <v>1.409265E-2</v>
      </c>
      <c r="P1817">
        <v>-0.98481560000000001</v>
      </c>
      <c r="Q1817">
        <v>0.17162749999999999</v>
      </c>
      <c r="R1817">
        <v>2.613058E-2</v>
      </c>
      <c r="S1817">
        <v>-3.0786129999999998</v>
      </c>
      <c r="T1817">
        <v>-0.14662559999999999</v>
      </c>
      <c r="U1817">
        <v>-0.26123049999999998</v>
      </c>
      <c r="V1817">
        <v>1.2413850000000001E-2</v>
      </c>
      <c r="W1817">
        <v>0.18679989999999999</v>
      </c>
      <c r="X1817">
        <v>0.98231950000000001</v>
      </c>
      <c r="Y1817">
        <v>-9.8458219999999999E-2</v>
      </c>
      <c r="Z1817">
        <v>-3.0088939999999998E-3</v>
      </c>
      <c r="AA1817">
        <v>0.99513660000000004</v>
      </c>
      <c r="AB1817">
        <v>55</v>
      </c>
      <c r="AC1817">
        <v>-22.969100000000001</v>
      </c>
      <c r="AD1817">
        <v>-1.1081005641519901</v>
      </c>
      <c r="AE1817">
        <v>-1.9784999999999899</v>
      </c>
      <c r="AF1817">
        <v>-2.2967314775710301</v>
      </c>
      <c r="AG1817">
        <v>-1.1081005641519901</v>
      </c>
      <c r="AH1817">
        <v>22.886060209588099</v>
      </c>
      <c r="AI1817">
        <v>92.758157987121706</v>
      </c>
      <c r="AJ1817">
        <v>95.730733288111594</v>
      </c>
      <c r="AK1817">
        <v>23.027692334605099</v>
      </c>
      <c r="AL1817">
        <v>79.233910877380794</v>
      </c>
      <c r="AM1817">
        <v>89.275975532289095</v>
      </c>
      <c r="AN1817">
        <v>0.99999995319603996</v>
      </c>
    </row>
    <row r="1818" spans="1:40" x14ac:dyDescent="0.25">
      <c r="A1818" t="str">
        <f>"20190312164508151"</f>
        <v>20190312164508151</v>
      </c>
      <c r="B1818" t="str">
        <f>"1552380308143782"</f>
        <v>1552380308143782</v>
      </c>
      <c r="C1818" t="s">
        <v>40</v>
      </c>
      <c r="D1818">
        <v>5.0003390000000003</v>
      </c>
      <c r="E1818">
        <v>0.45997320000000003</v>
      </c>
      <c r="F1818" t="s">
        <v>51</v>
      </c>
      <c r="G1818">
        <v>-428.53559999999999</v>
      </c>
      <c r="H1818" s="1">
        <v>2.5688350000000002E-6</v>
      </c>
      <c r="I1818">
        <v>283.26319999999998</v>
      </c>
      <c r="J1818">
        <v>-406.6533</v>
      </c>
      <c r="K1818">
        <v>1.1080989999999999</v>
      </c>
      <c r="L1818">
        <v>285.21120000000002</v>
      </c>
      <c r="M1818">
        <v>-0.99977950000000004</v>
      </c>
      <c r="N1818">
        <v>0</v>
      </c>
      <c r="O1818">
        <v>1.424949E-2</v>
      </c>
      <c r="P1818">
        <v>-0.9848112</v>
      </c>
      <c r="Q1818">
        <v>0.17166139999999999</v>
      </c>
      <c r="R1818">
        <v>2.6066889999999999E-2</v>
      </c>
      <c r="S1818">
        <v>-3.0802</v>
      </c>
      <c r="T1818">
        <v>-0.1537318</v>
      </c>
      <c r="U1818">
        <v>-0.2696228</v>
      </c>
      <c r="V1818">
        <v>1.219888E-2</v>
      </c>
      <c r="W1818">
        <v>0.18683179999999999</v>
      </c>
      <c r="X1818">
        <v>0.98231619999999997</v>
      </c>
      <c r="Y1818">
        <v>-0.10124610000000001</v>
      </c>
      <c r="Z1818">
        <v>-3.2297670000000001E-3</v>
      </c>
      <c r="AA1818">
        <v>0.99485619999999997</v>
      </c>
      <c r="AB1818">
        <v>55</v>
      </c>
      <c r="AC1818">
        <v>-21.882299999999901</v>
      </c>
      <c r="AD1818">
        <v>-1.1080964311649999</v>
      </c>
      <c r="AE1818">
        <v>-1.9480000000000299</v>
      </c>
      <c r="AF1818">
        <v>-2.25391660680974</v>
      </c>
      <c r="AG1818">
        <v>-1.1080964311649999</v>
      </c>
      <c r="AH1818">
        <v>21.796862200942599</v>
      </c>
      <c r="AI1818">
        <v>92.894855396677301</v>
      </c>
      <c r="AJ1818">
        <v>95.903719226679399</v>
      </c>
      <c r="AK1818">
        <v>21.9410851959992</v>
      </c>
      <c r="AL1818">
        <v>79.2320511754899</v>
      </c>
      <c r="AM1818">
        <v>89.288509736485096</v>
      </c>
      <c r="AN1818">
        <v>1.00000002547346</v>
      </c>
    </row>
    <row r="1819" spans="1:40" x14ac:dyDescent="0.25">
      <c r="A1819" t="str">
        <f>"20190312164508171"</f>
        <v>20190312164508171</v>
      </c>
      <c r="B1819" t="str">
        <f>"1552380308163305"</f>
        <v>1552380308163305</v>
      </c>
      <c r="C1819" t="s">
        <v>40</v>
      </c>
      <c r="D1819">
        <v>5.1502990000000004</v>
      </c>
      <c r="E1819">
        <v>0.45894960000000001</v>
      </c>
      <c r="F1819" t="s">
        <v>51</v>
      </c>
      <c r="G1819">
        <v>-427.95240000000001</v>
      </c>
      <c r="H1819" s="1">
        <v>2.6694499999999999E-6</v>
      </c>
      <c r="I1819">
        <v>283.2955</v>
      </c>
      <c r="J1819">
        <v>-407.11540000000002</v>
      </c>
      <c r="K1819">
        <v>1.1080920000000001</v>
      </c>
      <c r="L1819">
        <v>285.21780000000001</v>
      </c>
      <c r="M1819">
        <v>-0.99977609999999995</v>
      </c>
      <c r="N1819">
        <v>0</v>
      </c>
      <c r="O1819">
        <v>1.4478410000000001E-2</v>
      </c>
      <c r="P1819">
        <v>-0.98494000000000004</v>
      </c>
      <c r="Q1819">
        <v>0.17098060000000001</v>
      </c>
      <c r="R1819">
        <v>2.5673830000000002E-2</v>
      </c>
      <c r="S1819">
        <v>-3.0815730000000001</v>
      </c>
      <c r="T1819">
        <v>-0.16031999999999999</v>
      </c>
      <c r="U1819">
        <v>-0.27716059999999998</v>
      </c>
      <c r="V1819">
        <v>1.158174E-2</v>
      </c>
      <c r="W1819">
        <v>0.18615010000000001</v>
      </c>
      <c r="X1819">
        <v>0.98245300000000002</v>
      </c>
      <c r="Y1819">
        <v>-0.10383339999999899</v>
      </c>
      <c r="Z1819">
        <v>-3.445151E-3</v>
      </c>
      <c r="AA1819">
        <v>0.99458869999999999</v>
      </c>
      <c r="AB1819">
        <v>55</v>
      </c>
      <c r="AC1819">
        <v>-20.8369999999999</v>
      </c>
      <c r="AD1819">
        <v>-1.1080893305499999</v>
      </c>
      <c r="AE1819">
        <v>-1.9222999999999999</v>
      </c>
      <c r="AF1819">
        <v>-2.2176025638652002</v>
      </c>
      <c r="AG1819">
        <v>-1.1080893305499999</v>
      </c>
      <c r="AH1819">
        <v>20.748797844927399</v>
      </c>
      <c r="AI1819">
        <v>93.039697204759094</v>
      </c>
      <c r="AJ1819">
        <v>96.100534435376801</v>
      </c>
      <c r="AK1819">
        <v>20.896368945474801</v>
      </c>
      <c r="AL1819">
        <v>79.271806306425702</v>
      </c>
      <c r="AM1819">
        <v>89.324594576730206</v>
      </c>
      <c r="AN1819">
        <v>0.99999994682021698</v>
      </c>
    </row>
    <row r="1820" spans="1:40" x14ac:dyDescent="0.25">
      <c r="A1820" t="str">
        <f>"20190312164508192"</f>
        <v>20190312164508192</v>
      </c>
      <c r="B1820" t="str">
        <f>"1552380308183798"</f>
        <v>1552380308183798</v>
      </c>
      <c r="C1820" t="s">
        <v>40</v>
      </c>
      <c r="D1820">
        <v>4.9748830000000002</v>
      </c>
      <c r="E1820">
        <v>0.45788200000000001</v>
      </c>
      <c r="F1820" t="s">
        <v>51</v>
      </c>
      <c r="G1820">
        <v>-427.05079999999998</v>
      </c>
      <c r="H1820" s="1">
        <v>2.8233589999999999E-6</v>
      </c>
      <c r="I1820">
        <v>283.36430000000001</v>
      </c>
      <c r="J1820">
        <v>-407.64589999999998</v>
      </c>
      <c r="K1820">
        <v>1.10808</v>
      </c>
      <c r="L1820">
        <v>285.22570000000002</v>
      </c>
      <c r="M1820">
        <v>-0.99977240000000001</v>
      </c>
      <c r="N1820">
        <v>0</v>
      </c>
      <c r="O1820">
        <v>1.474233E-2</v>
      </c>
      <c r="P1820">
        <v>-0.98510039999999999</v>
      </c>
      <c r="Q1820">
        <v>0.17012920000000001</v>
      </c>
      <c r="R1820">
        <v>2.5161650000000001E-2</v>
      </c>
      <c r="S1820">
        <v>-3.0830989999999998</v>
      </c>
      <c r="T1820">
        <v>-0.1713712</v>
      </c>
      <c r="U1820">
        <v>-0.28665159999999901</v>
      </c>
      <c r="V1820">
        <v>1.0810149999999999E-2</v>
      </c>
      <c r="W1820">
        <v>0.18529789999999999</v>
      </c>
      <c r="X1820">
        <v>0.98262289999999997</v>
      </c>
      <c r="Y1820">
        <v>-0.10706010000000001</v>
      </c>
      <c r="Z1820">
        <v>-3.7840040000000001E-3</v>
      </c>
      <c r="AA1820">
        <v>0.99424539999999995</v>
      </c>
      <c r="AB1820">
        <v>55</v>
      </c>
      <c r="AC1820">
        <v>-19.404900000000001</v>
      </c>
      <c r="AD1820">
        <v>-1.108077176641</v>
      </c>
      <c r="AE1820">
        <v>-1.8613999999999999</v>
      </c>
      <c r="AF1820">
        <v>-2.1403894910631598</v>
      </c>
      <c r="AG1820">
        <v>-1.108077176641</v>
      </c>
      <c r="AH1820">
        <v>19.3129455843026</v>
      </c>
      <c r="AI1820">
        <v>93.263797058716705</v>
      </c>
      <c r="AJ1820">
        <v>96.324092844945</v>
      </c>
      <c r="AK1820">
        <v>19.462758523525899</v>
      </c>
      <c r="AL1820">
        <v>79.321498539878803</v>
      </c>
      <c r="AM1820">
        <v>89.369696161956398</v>
      </c>
      <c r="AN1820">
        <v>0.99999996734592</v>
      </c>
    </row>
    <row r="1821" spans="1:40" x14ac:dyDescent="0.25">
      <c r="A1821" t="str">
        <f>"20190312164508206"</f>
        <v>20190312164508206</v>
      </c>
      <c r="B1821" t="str">
        <f>"1552380308193558"</f>
        <v>1552380308193558</v>
      </c>
      <c r="C1821" t="s">
        <v>40</v>
      </c>
      <c r="D1821">
        <v>5.1140689999999998</v>
      </c>
      <c r="E1821">
        <v>0.45760279999999998</v>
      </c>
      <c r="F1821" t="s">
        <v>51</v>
      </c>
      <c r="G1821">
        <v>-426.71429999999998</v>
      </c>
      <c r="H1821" s="1">
        <v>2.880754E-6</v>
      </c>
      <c r="I1821">
        <v>283.39069999999998</v>
      </c>
      <c r="J1821">
        <v>-407.9862</v>
      </c>
      <c r="K1821">
        <v>1.1080639999999999</v>
      </c>
      <c r="L1821">
        <v>285.23070000000001</v>
      </c>
      <c r="M1821">
        <v>-0.99976989999999999</v>
      </c>
      <c r="N1821">
        <v>0</v>
      </c>
      <c r="O1821">
        <v>1.491223E-2</v>
      </c>
      <c r="P1821">
        <v>-0.98521879999999995</v>
      </c>
      <c r="Q1821">
        <v>0.16950109999999999</v>
      </c>
      <c r="R1821">
        <v>2.4767020000000001E-2</v>
      </c>
      <c r="S1821">
        <v>-3.0839539999999999</v>
      </c>
      <c r="T1821">
        <v>-0.17921129999999999</v>
      </c>
      <c r="U1821">
        <v>-0.29678339999999998</v>
      </c>
      <c r="V1821">
        <v>1.0247910000000001E-2</v>
      </c>
      <c r="W1821">
        <v>0.1846699</v>
      </c>
      <c r="X1821">
        <v>0.98274720000000004</v>
      </c>
      <c r="Y1821">
        <v>-0.1104174</v>
      </c>
      <c r="Z1821">
        <v>-4.0622280000000002E-3</v>
      </c>
      <c r="AA1821">
        <v>0.99387700000000001</v>
      </c>
      <c r="AB1821">
        <v>55</v>
      </c>
      <c r="AC1821">
        <v>-18.728099999999898</v>
      </c>
      <c r="AD1821">
        <v>-1.1080611192459999</v>
      </c>
      <c r="AE1821">
        <v>-1.8400000000000301</v>
      </c>
      <c r="AF1821">
        <v>-2.11178450283019</v>
      </c>
      <c r="AG1821">
        <v>-1.1080611192459999</v>
      </c>
      <c r="AH1821">
        <v>18.6339692205269</v>
      </c>
      <c r="AI1821">
        <v>93.381466821912099</v>
      </c>
      <c r="AJ1821">
        <v>96.465733732506294</v>
      </c>
      <c r="AK1821">
        <v>18.785958643144099</v>
      </c>
      <c r="AL1821">
        <v>79.358112810688496</v>
      </c>
      <c r="AM1821">
        <v>89.402551632130098</v>
      </c>
      <c r="AN1821">
        <v>1.0000000253665999</v>
      </c>
    </row>
    <row r="1822" spans="1:40" x14ac:dyDescent="0.25">
      <c r="A1822" t="str">
        <f>"20190312164508225"</f>
        <v>20190312164508225</v>
      </c>
      <c r="B1822" t="str">
        <f>"1552380308213078"</f>
        <v>1552380308213078</v>
      </c>
      <c r="C1822" t="s">
        <v>40</v>
      </c>
      <c r="D1822">
        <v>5.083723</v>
      </c>
      <c r="E1822">
        <v>0.45684079999999999</v>
      </c>
      <c r="F1822" t="s">
        <v>51</v>
      </c>
      <c r="G1822">
        <v>-426.6259</v>
      </c>
      <c r="H1822" s="1">
        <v>2.893925E-6</v>
      </c>
      <c r="I1822">
        <v>283.41930000000002</v>
      </c>
      <c r="J1822">
        <v>-408.46940000000001</v>
      </c>
      <c r="K1822">
        <v>1.10805</v>
      </c>
      <c r="L1822">
        <v>285.23809999999997</v>
      </c>
      <c r="M1822">
        <v>-0.9997663</v>
      </c>
      <c r="N1822">
        <v>0</v>
      </c>
      <c r="O1822">
        <v>1.5154279999999999E-2</v>
      </c>
      <c r="P1822">
        <v>-0.98542640000000004</v>
      </c>
      <c r="Q1822">
        <v>0.168485</v>
      </c>
      <c r="R1822">
        <v>2.3410500000000001E-2</v>
      </c>
      <c r="S1822">
        <v>-3.084076</v>
      </c>
      <c r="T1822">
        <v>-0.18333749999999999</v>
      </c>
      <c r="U1822">
        <v>-0.29971310000000001</v>
      </c>
      <c r="V1822">
        <v>8.6515989999999994E-3</v>
      </c>
      <c r="W1822">
        <v>0.18365480000000001</v>
      </c>
      <c r="X1822">
        <v>0.98295270000000001</v>
      </c>
      <c r="Y1822">
        <v>-0.11157739999999999</v>
      </c>
      <c r="Z1822">
        <v>-4.2039599999999996E-3</v>
      </c>
      <c r="AA1822">
        <v>0.99374689999999999</v>
      </c>
      <c r="AB1822">
        <v>55</v>
      </c>
      <c r="AC1822">
        <v>-18.156499999999902</v>
      </c>
      <c r="AD1822">
        <v>-1.1080471060749999</v>
      </c>
      <c r="AE1822">
        <v>-1.81879999999995</v>
      </c>
      <c r="AF1822">
        <v>-2.08608034863992</v>
      </c>
      <c r="AG1822">
        <v>-1.1080471060749999</v>
      </c>
      <c r="AH1822">
        <v>18.0602539546183</v>
      </c>
      <c r="AI1822">
        <v>93.487724276944505</v>
      </c>
      <c r="AJ1822">
        <v>96.588847629418595</v>
      </c>
      <c r="AK1822">
        <v>18.2140679837199</v>
      </c>
      <c r="AL1822">
        <v>79.417285303580996</v>
      </c>
      <c r="AM1822">
        <v>89.495716010665404</v>
      </c>
      <c r="AN1822">
        <v>0.99999997308279298</v>
      </c>
    </row>
    <row r="1823" spans="1:40" x14ac:dyDescent="0.25">
      <c r="A1823" t="str">
        <f>"20190312164508249"</f>
        <v>20190312164508249</v>
      </c>
      <c r="B1823" t="str">
        <f>"1552380308243334"</f>
        <v>1552380308243334</v>
      </c>
      <c r="C1823" t="s">
        <v>40</v>
      </c>
      <c r="D1823">
        <v>5.1724909999999999</v>
      </c>
      <c r="E1823">
        <v>0.45602989999999999</v>
      </c>
      <c r="F1823" t="s">
        <v>51</v>
      </c>
      <c r="G1823">
        <v>-426.33339999999998</v>
      </c>
      <c r="H1823" s="1">
        <v>2.943405E-6</v>
      </c>
      <c r="I1823">
        <v>283.44670000000002</v>
      </c>
      <c r="J1823">
        <v>-409.03739999999999</v>
      </c>
      <c r="K1823">
        <v>1.108034</v>
      </c>
      <c r="L1823">
        <v>285.24680000000001</v>
      </c>
      <c r="M1823">
        <v>-0.99976209999999999</v>
      </c>
      <c r="N1823">
        <v>0</v>
      </c>
      <c r="O1823">
        <v>1.5439670000000001E-2</v>
      </c>
      <c r="P1823">
        <v>-0.98561920000000003</v>
      </c>
      <c r="Q1823">
        <v>0.1675731</v>
      </c>
      <c r="R1823">
        <v>2.1778639999999998E-2</v>
      </c>
      <c r="S1823">
        <v>-3.084473</v>
      </c>
      <c r="T1823">
        <v>-0.19131989999999999</v>
      </c>
      <c r="U1823">
        <v>-0.30929570000000001</v>
      </c>
      <c r="V1823">
        <v>6.7370869999999897E-3</v>
      </c>
      <c r="W1823">
        <v>0.1827435</v>
      </c>
      <c r="X1823">
        <v>0.9831375</v>
      </c>
      <c r="Y1823">
        <v>-0.1148792</v>
      </c>
      <c r="Z1823">
        <v>-4.5051320000000002E-3</v>
      </c>
      <c r="AA1823">
        <v>0.99336930000000001</v>
      </c>
      <c r="AB1823">
        <v>55</v>
      </c>
      <c r="AC1823">
        <v>-17.2959999999999</v>
      </c>
      <c r="AD1823">
        <v>-1.108031056595</v>
      </c>
      <c r="AE1823">
        <v>-1.80009999999998</v>
      </c>
      <c r="AF1823">
        <v>-2.05860353405357</v>
      </c>
      <c r="AG1823">
        <v>-1.108031056595</v>
      </c>
      <c r="AH1823">
        <v>17.1963233092848</v>
      </c>
      <c r="AI1823">
        <v>93.660645228197694</v>
      </c>
      <c r="AJ1823">
        <v>96.826496977267595</v>
      </c>
      <c r="AK1823">
        <v>17.354512862372399</v>
      </c>
      <c r="AL1823">
        <v>79.470397692506296</v>
      </c>
      <c r="AM1823">
        <v>89.607378815920399</v>
      </c>
      <c r="AN1823">
        <v>0.99999995951987097</v>
      </c>
    </row>
    <row r="1824" spans="1:40" x14ac:dyDescent="0.25">
      <c r="A1824" t="str">
        <f>"20190312164508271"</f>
        <v>20190312164508271</v>
      </c>
      <c r="B1824" t="str">
        <f>"1552380308263830"</f>
        <v>1552380308263830</v>
      </c>
      <c r="C1824" t="s">
        <v>40</v>
      </c>
      <c r="D1824">
        <v>5.0586510000000002</v>
      </c>
      <c r="E1824">
        <v>0.45554159999999999</v>
      </c>
      <c r="F1824" t="s">
        <v>51</v>
      </c>
      <c r="G1824">
        <v>-426.02249999999998</v>
      </c>
      <c r="H1824" s="1">
        <v>2.9954850000000002E-6</v>
      </c>
      <c r="I1824">
        <v>283.48200000000003</v>
      </c>
      <c r="J1824">
        <v>-409.5881</v>
      </c>
      <c r="K1824">
        <v>1.108031</v>
      </c>
      <c r="L1824">
        <v>285.25549999999998</v>
      </c>
      <c r="M1824">
        <v>-0.99975769999999997</v>
      </c>
      <c r="N1824">
        <v>0</v>
      </c>
      <c r="O1824">
        <v>1.5714039999999999E-2</v>
      </c>
      <c r="P1824">
        <v>-0.98590350000000004</v>
      </c>
      <c r="Q1824">
        <v>0.16616320000000001</v>
      </c>
      <c r="R1824">
        <v>1.9596010000000001E-2</v>
      </c>
      <c r="S1824">
        <v>-3.0851139999999999</v>
      </c>
      <c r="T1824">
        <v>-0.20125899999999999</v>
      </c>
      <c r="U1824">
        <v>-0.32055660000000002</v>
      </c>
      <c r="V1824">
        <v>4.2799120000000003E-3</v>
      </c>
      <c r="W1824">
        <v>0.18133640000000001</v>
      </c>
      <c r="X1824">
        <v>0.98341179999999995</v>
      </c>
      <c r="Y1824">
        <v>-0.1186842</v>
      </c>
      <c r="Z1824">
        <v>-4.8783359999999996E-3</v>
      </c>
      <c r="AA1824">
        <v>0.99292009999999997</v>
      </c>
      <c r="AB1824">
        <v>55</v>
      </c>
      <c r="AC1824">
        <v>-16.434399999999901</v>
      </c>
      <c r="AD1824">
        <v>-1.1080280045149999</v>
      </c>
      <c r="AE1824">
        <v>-1.7734999999999499</v>
      </c>
      <c r="AF1824">
        <v>-2.0224748870859099</v>
      </c>
      <c r="AG1824">
        <v>-1.1080280045149999</v>
      </c>
      <c r="AH1824">
        <v>16.331117532289198</v>
      </c>
      <c r="AI1824">
        <v>93.852098280829495</v>
      </c>
      <c r="AJ1824">
        <v>97.059667653000801</v>
      </c>
      <c r="AK1824">
        <v>16.493135862568</v>
      </c>
      <c r="AL1824">
        <v>79.552388870137904</v>
      </c>
      <c r="AM1824">
        <v>89.750644291560803</v>
      </c>
      <c r="AN1824">
        <v>0.99999998799546297</v>
      </c>
    </row>
    <row r="1825" spans="1:40" x14ac:dyDescent="0.25">
      <c r="A1825" t="str">
        <f>"20190312164508292"</f>
        <v>20190312164508292</v>
      </c>
      <c r="B1825" t="str">
        <f>"1552380308283354"</f>
        <v>1552380308283354</v>
      </c>
      <c r="C1825" t="s">
        <v>40</v>
      </c>
      <c r="D1825">
        <v>4.9413970000000003</v>
      </c>
      <c r="E1825">
        <v>0.45512859999999999</v>
      </c>
      <c r="F1825" t="s">
        <v>51</v>
      </c>
      <c r="G1825">
        <v>-425.86149999999998</v>
      </c>
      <c r="H1825" s="1">
        <v>3.021432E-6</v>
      </c>
      <c r="I1825">
        <v>283.51170000000002</v>
      </c>
      <c r="J1825">
        <v>-410.11200000000002</v>
      </c>
      <c r="K1825">
        <v>1.1080299999999901</v>
      </c>
      <c r="L1825">
        <v>285.2638</v>
      </c>
      <c r="M1825">
        <v>-0.99975369999999997</v>
      </c>
      <c r="N1825">
        <v>0</v>
      </c>
      <c r="O1825">
        <v>1.596742E-2</v>
      </c>
      <c r="P1825">
        <v>-0.98609259999999999</v>
      </c>
      <c r="Q1825">
        <v>0.16531949999999901</v>
      </c>
      <c r="R1825">
        <v>1.705694E-2</v>
      </c>
      <c r="S1825">
        <v>-3.0848689999999999</v>
      </c>
      <c r="T1825">
        <v>-0.21004329999999999</v>
      </c>
      <c r="U1825">
        <v>-0.33056639999999998</v>
      </c>
      <c r="V1825">
        <v>1.4871890000000001E-3</v>
      </c>
      <c r="W1825">
        <v>0.18049409999999999</v>
      </c>
      <c r="X1825">
        <v>0.98357490000000003</v>
      </c>
      <c r="Y1825">
        <v>-0.122096</v>
      </c>
      <c r="Z1825">
        <v>-5.2232069999999997E-3</v>
      </c>
      <c r="AA1825">
        <v>0.99250450000000001</v>
      </c>
      <c r="AB1825">
        <v>55</v>
      </c>
      <c r="AC1825">
        <v>-15.749499999999999</v>
      </c>
      <c r="AD1825">
        <v>-1.1080269785679999</v>
      </c>
      <c r="AE1825">
        <v>-1.75209999999998</v>
      </c>
      <c r="AF1825">
        <v>-1.9936383216775899</v>
      </c>
      <c r="AG1825">
        <v>-1.1080269785679999</v>
      </c>
      <c r="AH1825">
        <v>15.643032119793601</v>
      </c>
      <c r="AI1825">
        <v>94.019205320781197</v>
      </c>
      <c r="AJ1825">
        <v>97.262951151833207</v>
      </c>
      <c r="AK1825">
        <v>15.808439880133299</v>
      </c>
      <c r="AL1825">
        <v>79.601458509464507</v>
      </c>
      <c r="AM1825">
        <v>89.913367463827598</v>
      </c>
      <c r="AN1825">
        <v>0.99999995788797003</v>
      </c>
    </row>
    <row r="1826" spans="1:40" x14ac:dyDescent="0.25">
      <c r="A1826" t="str">
        <f>"20190312164508304"</f>
        <v>20190312164508304</v>
      </c>
      <c r="B1826" t="str">
        <f>"1552380308293110"</f>
        <v>1552380308293110</v>
      </c>
      <c r="C1826" t="s">
        <v>40</v>
      </c>
      <c r="D1826">
        <v>4.9156490000000002</v>
      </c>
      <c r="E1826">
        <v>0.4548082</v>
      </c>
      <c r="F1826" t="s">
        <v>51</v>
      </c>
      <c r="G1826">
        <v>-425.8356</v>
      </c>
      <c r="H1826" s="1">
        <v>3.0247169999999999E-6</v>
      </c>
      <c r="I1826">
        <v>283.52670000000001</v>
      </c>
      <c r="J1826">
        <v>-410.43279999999999</v>
      </c>
      <c r="K1826">
        <v>1.108036</v>
      </c>
      <c r="L1826">
        <v>285.26900000000001</v>
      </c>
      <c r="M1826">
        <v>-0.99975159999999996</v>
      </c>
      <c r="N1826">
        <v>0</v>
      </c>
      <c r="O1826">
        <v>1.611837E-2</v>
      </c>
      <c r="P1826">
        <v>-0.98614749999999995</v>
      </c>
      <c r="Q1826">
        <v>0.16513069999999999</v>
      </c>
      <c r="R1826">
        <v>1.5661769999999998E-2</v>
      </c>
      <c r="S1826">
        <v>-3.0846559999999998</v>
      </c>
      <c r="T1826">
        <v>-0.21737239999999999</v>
      </c>
      <c r="U1826">
        <v>-0.34078979999999998</v>
      </c>
      <c r="V1826" s="1">
        <v>-5.8666799999999999E-5</v>
      </c>
      <c r="W1826">
        <v>0.18030470000000001</v>
      </c>
      <c r="X1826">
        <v>0.98361080000000001</v>
      </c>
      <c r="Y1826">
        <v>-0.12547239999999901</v>
      </c>
      <c r="Z1826">
        <v>-5.5334959999999997E-3</v>
      </c>
      <c r="AA1826">
        <v>0.99208169999999996</v>
      </c>
      <c r="AB1826">
        <v>55</v>
      </c>
      <c r="AC1826">
        <v>-15.402799999999999</v>
      </c>
      <c r="AD1826">
        <v>-1.108032975283</v>
      </c>
      <c r="AE1826">
        <v>-1.7423</v>
      </c>
      <c r="AF1826">
        <v>-1.98025281058292</v>
      </c>
      <c r="AG1826">
        <v>-1.108032975283</v>
      </c>
      <c r="AH1826">
        <v>15.294563544443699</v>
      </c>
      <c r="AI1826">
        <v>94.109439942934401</v>
      </c>
      <c r="AJ1826">
        <v>97.377289962416995</v>
      </c>
      <c r="AK1826">
        <v>15.461979571942299</v>
      </c>
      <c r="AL1826">
        <v>79.612491753037304</v>
      </c>
      <c r="AM1826">
        <v>90.003417367960495</v>
      </c>
      <c r="AN1826">
        <v>0.99999999708026099</v>
      </c>
    </row>
    <row r="1827" spans="1:40" x14ac:dyDescent="0.25">
      <c r="A1827" t="str">
        <f>"20190312164508326"</f>
        <v>20190312164508326</v>
      </c>
      <c r="B1827" t="str">
        <f>"1552380308313606"</f>
        <v>1552380308313606</v>
      </c>
      <c r="C1827" t="s">
        <v>40</v>
      </c>
      <c r="D1827">
        <v>5.0254130000000004</v>
      </c>
      <c r="E1827">
        <v>0.45455810000000002</v>
      </c>
      <c r="F1827" t="s">
        <v>51</v>
      </c>
      <c r="G1827">
        <v>-425.92779999999999</v>
      </c>
      <c r="H1827" s="1">
        <v>3.0086650000000002E-6</v>
      </c>
      <c r="I1827">
        <v>283.52330000000001</v>
      </c>
      <c r="J1827">
        <v>-410.93520000000001</v>
      </c>
      <c r="K1827">
        <v>1.1080449999999999</v>
      </c>
      <c r="L1827">
        <v>285.27719999999999</v>
      </c>
      <c r="M1827">
        <v>-0.99974790000000002</v>
      </c>
      <c r="N1827">
        <v>0</v>
      </c>
      <c r="O1827">
        <v>1.6343980000000001E-2</v>
      </c>
      <c r="P1827">
        <v>-0.98613890000000004</v>
      </c>
      <c r="Q1827">
        <v>0.16542560000000001</v>
      </c>
      <c r="R1827">
        <v>1.2832720000000001E-2</v>
      </c>
      <c r="S1827">
        <v>-3.0845950000000002</v>
      </c>
      <c r="T1827">
        <v>-0.2205763</v>
      </c>
      <c r="U1827">
        <v>-0.34753420000000002</v>
      </c>
      <c r="V1827">
        <v>-3.113022E-3</v>
      </c>
      <c r="W1827">
        <v>0.18059829999999999</v>
      </c>
      <c r="X1827">
        <v>0.98355199999999998</v>
      </c>
      <c r="Y1827">
        <v>-0.12782379999999999</v>
      </c>
      <c r="Z1827">
        <v>-5.7140610000000003E-3</v>
      </c>
      <c r="AA1827">
        <v>0.99178040000000001</v>
      </c>
      <c r="AB1827">
        <v>55</v>
      </c>
      <c r="AC1827">
        <v>-14.9925999999999</v>
      </c>
      <c r="AD1827">
        <v>-1.1080419913349999</v>
      </c>
      <c r="AE1827">
        <v>-1.75389999999998</v>
      </c>
      <c r="AF1827">
        <v>-1.98802132709507</v>
      </c>
      <c r="AG1827">
        <v>-1.1080419913349999</v>
      </c>
      <c r="AH1827">
        <v>14.881739890359601</v>
      </c>
      <c r="AI1827">
        <v>94.220826908416498</v>
      </c>
      <c r="AJ1827">
        <v>97.608977297081594</v>
      </c>
      <c r="AK1827">
        <v>15.054772267153901</v>
      </c>
      <c r="AL1827">
        <v>79.595388842159096</v>
      </c>
      <c r="AM1827">
        <v>90.181345192259101</v>
      </c>
      <c r="AN1827">
        <v>0.99999998678643098</v>
      </c>
    </row>
    <row r="1828" spans="1:40" x14ac:dyDescent="0.25">
      <c r="A1828" t="str">
        <f>"20190312164508338"</f>
        <v>20190312164508338</v>
      </c>
      <c r="B1828" t="str">
        <f>"1552380308333127"</f>
        <v>1552380308333127</v>
      </c>
      <c r="C1828" t="s">
        <v>40</v>
      </c>
      <c r="D1828">
        <v>4.7226559999999997</v>
      </c>
      <c r="E1828">
        <v>0.44468370000000002</v>
      </c>
      <c r="F1828" t="s">
        <v>51</v>
      </c>
      <c r="G1828">
        <v>-426.23090000000002</v>
      </c>
      <c r="H1828" s="1">
        <v>2.95633E-6</v>
      </c>
      <c r="I1828">
        <v>283.50700000000001</v>
      </c>
      <c r="J1828">
        <v>-411.23599999999999</v>
      </c>
      <c r="K1828">
        <v>1.1080509999999999</v>
      </c>
      <c r="L1828">
        <v>285.28219999999999</v>
      </c>
      <c r="M1828">
        <v>-0.99974600000000002</v>
      </c>
      <c r="N1828">
        <v>0</v>
      </c>
      <c r="O1828">
        <v>1.6464039999999999E-2</v>
      </c>
      <c r="P1828">
        <v>-0.9860717</v>
      </c>
      <c r="Q1828">
        <v>0.1659195</v>
      </c>
      <c r="R1828">
        <v>1.156397E-2</v>
      </c>
      <c r="S1828">
        <v>-3.0842900000000002</v>
      </c>
      <c r="T1828">
        <v>-0.22343099999999999</v>
      </c>
      <c r="U1828">
        <v>-0.35696409999999901</v>
      </c>
      <c r="V1828">
        <v>-4.5022350000000003E-3</v>
      </c>
      <c r="W1828">
        <v>0.18109020000000001</v>
      </c>
      <c r="X1828">
        <v>0.9834562</v>
      </c>
      <c r="Y1828">
        <v>-0.13092870000000001</v>
      </c>
      <c r="Z1828">
        <v>-5.9080039999999997E-3</v>
      </c>
      <c r="AA1828">
        <v>0.99137419999999998</v>
      </c>
      <c r="AB1828">
        <v>55</v>
      </c>
      <c r="AC1828">
        <v>-14.994899999999999</v>
      </c>
      <c r="AD1828">
        <v>-1.10804804367</v>
      </c>
      <c r="AE1828">
        <v>-1.7751999999999799</v>
      </c>
      <c r="AF1828">
        <v>-2.0110357857952299</v>
      </c>
      <c r="AG1828">
        <v>-1.10804804367</v>
      </c>
      <c r="AH1828">
        <v>14.8834891186349</v>
      </c>
      <c r="AI1828">
        <v>94.2195062748455</v>
      </c>
      <c r="AJ1828">
        <v>97.695119702646494</v>
      </c>
      <c r="AK1828">
        <v>15.0595578867161</v>
      </c>
      <c r="AL1828">
        <v>79.566732842385306</v>
      </c>
      <c r="AM1828">
        <v>90.262296645047797</v>
      </c>
      <c r="AN1828">
        <v>1.00000001398723</v>
      </c>
    </row>
    <row r="1829" spans="1:40" x14ac:dyDescent="0.25">
      <c r="A1829" t="str">
        <f>"20190312164508350"</f>
        <v>20190312164508350</v>
      </c>
      <c r="B1829" t="str">
        <f>"1552380308343862"</f>
        <v>1552380308343862</v>
      </c>
      <c r="C1829" t="s">
        <v>40</v>
      </c>
      <c r="D1829">
        <v>4.7468879999999896</v>
      </c>
      <c r="E1829">
        <v>0.4454148</v>
      </c>
      <c r="F1829" t="s">
        <v>51</v>
      </c>
      <c r="G1829">
        <v>-422.82830000000001</v>
      </c>
      <c r="H1829" s="1">
        <v>3.5493949999999999E-6</v>
      </c>
      <c r="I1829">
        <v>283.62700000000001</v>
      </c>
      <c r="J1829">
        <v>-411.53910000000002</v>
      </c>
      <c r="K1829">
        <v>1.1080639999999999</v>
      </c>
      <c r="L1829">
        <v>285.28730000000002</v>
      </c>
      <c r="M1829">
        <v>-0.99974399999999997</v>
      </c>
      <c r="N1829">
        <v>0</v>
      </c>
      <c r="O1829">
        <v>1.6577689999999999E-2</v>
      </c>
      <c r="P1829">
        <v>-0.98602619999999996</v>
      </c>
      <c r="Q1829">
        <v>0.16626769999999999</v>
      </c>
      <c r="R1829">
        <v>1.0354179999999999E-2</v>
      </c>
      <c r="S1829">
        <v>-3.0974119999999998</v>
      </c>
      <c r="T1829">
        <v>-0.296066</v>
      </c>
      <c r="U1829">
        <v>-0.44226070000000001</v>
      </c>
      <c r="V1829">
        <v>-5.8280379999999998E-3</v>
      </c>
      <c r="W1829">
        <v>0.18143629999999999</v>
      </c>
      <c r="X1829">
        <v>0.98338539999999997</v>
      </c>
      <c r="Y1829">
        <v>-0.15696840000000001</v>
      </c>
      <c r="Z1829">
        <v>-9.0209869999999994E-3</v>
      </c>
      <c r="AA1829">
        <v>0.98756239999999995</v>
      </c>
      <c r="AB1829">
        <v>55</v>
      </c>
      <c r="AC1829">
        <v>-11.2891999999999</v>
      </c>
      <c r="AD1829">
        <v>-1.108060450605</v>
      </c>
      <c r="AE1829">
        <v>-1.6603000000000001</v>
      </c>
      <c r="AF1829">
        <v>-1.8299862487915499</v>
      </c>
      <c r="AG1829">
        <v>-1.108060450605</v>
      </c>
      <c r="AH1829">
        <v>11.154931176269599</v>
      </c>
      <c r="AI1829">
        <v>95.598441459341799</v>
      </c>
      <c r="AJ1829">
        <v>99.316487624039596</v>
      </c>
      <c r="AK1829">
        <v>11.3582189264107</v>
      </c>
      <c r="AL1829">
        <v>79.546568292337994</v>
      </c>
      <c r="AM1829">
        <v>90.339559719745907</v>
      </c>
      <c r="AN1829">
        <v>0.99999997095888904</v>
      </c>
    </row>
    <row r="1830" spans="1:40" x14ac:dyDescent="0.25">
      <c r="A1830" t="str">
        <f>"20190312164508363"</f>
        <v>20190312164508363</v>
      </c>
      <c r="B1830" t="str">
        <f>"1552380308353623"</f>
        <v>1552380308353623</v>
      </c>
      <c r="C1830" t="s">
        <v>40</v>
      </c>
      <c r="D1830">
        <v>4.6640050000000004</v>
      </c>
      <c r="E1830">
        <v>0.44617869999999998</v>
      </c>
      <c r="F1830" t="s">
        <v>51</v>
      </c>
      <c r="G1830">
        <v>-423.58679999999998</v>
      </c>
      <c r="H1830" s="1">
        <v>3.4191710000000001E-6</v>
      </c>
      <c r="I1830">
        <v>283.57760000000002</v>
      </c>
      <c r="J1830">
        <v>-411.86320000000001</v>
      </c>
      <c r="K1830">
        <v>1.1080840000000001</v>
      </c>
      <c r="L1830">
        <v>285.29270000000002</v>
      </c>
      <c r="M1830">
        <v>-0.99974249999999998</v>
      </c>
      <c r="N1830">
        <v>0</v>
      </c>
      <c r="O1830">
        <v>1.6677310000000001E-2</v>
      </c>
      <c r="P1830">
        <v>-0.98599599999999998</v>
      </c>
      <c r="Q1830">
        <v>0.1665181</v>
      </c>
      <c r="R1830">
        <v>9.1559339999999993E-3</v>
      </c>
      <c r="S1830">
        <v>-3.0950929999999999</v>
      </c>
      <c r="T1830">
        <v>-0.28466520000000001</v>
      </c>
      <c r="U1830">
        <v>-0.43920900000000002</v>
      </c>
      <c r="V1830">
        <v>-7.1326890000000002E-3</v>
      </c>
      <c r="W1830">
        <v>0.18168390000000001</v>
      </c>
      <c r="X1830">
        <v>0.98333110000000001</v>
      </c>
      <c r="Y1830">
        <v>-0.15627569999999999</v>
      </c>
      <c r="Z1830">
        <v>-8.6595530000000004E-3</v>
      </c>
      <c r="AA1830">
        <v>0.98767550000000004</v>
      </c>
      <c r="AB1830">
        <v>55</v>
      </c>
      <c r="AC1830">
        <v>-11.7235999999999</v>
      </c>
      <c r="AD1830">
        <v>-1.108080580829</v>
      </c>
      <c r="AE1830">
        <v>-1.7151000000000001</v>
      </c>
      <c r="AF1830">
        <v>-1.8938386147956801</v>
      </c>
      <c r="AG1830">
        <v>-1.108080580829</v>
      </c>
      <c r="AH1830">
        <v>11.591975702516899</v>
      </c>
      <c r="AI1830">
        <v>95.3893091616616</v>
      </c>
      <c r="AJ1830">
        <v>99.278721485380103</v>
      </c>
      <c r="AK1830">
        <v>11.7978119988515</v>
      </c>
      <c r="AL1830">
        <v>79.532142223994796</v>
      </c>
      <c r="AM1830">
        <v>90.415593292132002</v>
      </c>
      <c r="AN1830">
        <v>0.99999998349939501</v>
      </c>
    </row>
    <row r="1831" spans="1:40" x14ac:dyDescent="0.25">
      <c r="A1831" t="str">
        <f>"20190312164508377"</f>
        <v>20190312164508377</v>
      </c>
      <c r="B1831" t="str">
        <f>"1552380308373143"</f>
        <v>1552380308373143</v>
      </c>
      <c r="C1831" t="s">
        <v>40</v>
      </c>
      <c r="D1831">
        <v>4.634836</v>
      </c>
      <c r="E1831">
        <v>0.44711410000000001</v>
      </c>
      <c r="F1831" t="s">
        <v>51</v>
      </c>
      <c r="G1831">
        <v>-424.39800000000002</v>
      </c>
      <c r="H1831" s="1">
        <v>3.27962E-6</v>
      </c>
      <c r="I1831">
        <v>283.52789999999999</v>
      </c>
      <c r="J1831">
        <v>-412.1807</v>
      </c>
      <c r="K1831">
        <v>1.108109</v>
      </c>
      <c r="L1831">
        <v>285.298</v>
      </c>
      <c r="M1831">
        <v>-0.99974099999999999</v>
      </c>
      <c r="N1831">
        <v>0</v>
      </c>
      <c r="O1831">
        <v>1.6761700000000001E-2</v>
      </c>
      <c r="P1831">
        <v>-0.98592999999999997</v>
      </c>
      <c r="Q1831">
        <v>0.1669832</v>
      </c>
      <c r="R1831">
        <v>7.6699150000000002E-3</v>
      </c>
      <c r="S1831">
        <v>-3.0928040000000001</v>
      </c>
      <c r="T1831">
        <v>-0.27340409999999998</v>
      </c>
      <c r="U1831">
        <v>-0.4354248</v>
      </c>
      <c r="V1831">
        <v>-8.7092630000000001E-3</v>
      </c>
      <c r="W1831">
        <v>0.18214669999999999</v>
      </c>
      <c r="X1831">
        <v>0.98323280000000002</v>
      </c>
      <c r="Y1831">
        <v>-0.15533350000000001</v>
      </c>
      <c r="Z1831">
        <v>-8.2911500000000006E-3</v>
      </c>
      <c r="AA1831">
        <v>0.98782729999999996</v>
      </c>
      <c r="AB1831">
        <v>55</v>
      </c>
      <c r="AC1831">
        <v>-12.2173</v>
      </c>
      <c r="AD1831">
        <v>-1.10810572037999</v>
      </c>
      <c r="AE1831">
        <v>-1.77010000000001</v>
      </c>
      <c r="AF1831">
        <v>-1.95887499936462</v>
      </c>
      <c r="AG1831">
        <v>-1.10810572037999</v>
      </c>
      <c r="AH1831">
        <v>12.0885090243147</v>
      </c>
      <c r="AI1831">
        <v>95.170370078658294</v>
      </c>
      <c r="AJ1831">
        <v>99.204451139076795</v>
      </c>
      <c r="AK1831">
        <v>12.296224623095201</v>
      </c>
      <c r="AL1831">
        <v>79.5051760112012</v>
      </c>
      <c r="AM1831">
        <v>90.507500321909205</v>
      </c>
      <c r="AN1831">
        <v>1.0000000052893601</v>
      </c>
    </row>
    <row r="1832" spans="1:40" x14ac:dyDescent="0.25">
      <c r="A1832" t="str">
        <f>"20190312164508392"</f>
        <v>20190312164508392</v>
      </c>
      <c r="B1832" t="str">
        <f>"1552380308383878"</f>
        <v>1552380308383878</v>
      </c>
      <c r="C1832" t="s">
        <v>40</v>
      </c>
      <c r="D1832">
        <v>4.6361819999999998</v>
      </c>
      <c r="E1832">
        <v>0.4472622</v>
      </c>
      <c r="F1832" t="s">
        <v>51</v>
      </c>
      <c r="G1832">
        <v>-424.55489999999998</v>
      </c>
      <c r="H1832" s="1">
        <v>3.2483849999999999E-6</v>
      </c>
      <c r="I1832">
        <v>283.56689999999998</v>
      </c>
      <c r="J1832">
        <v>-412.58139999999997</v>
      </c>
      <c r="K1832">
        <v>1.108144</v>
      </c>
      <c r="L1832">
        <v>285.30470000000003</v>
      </c>
      <c r="M1832">
        <v>-0.99973959999999995</v>
      </c>
      <c r="N1832">
        <v>0</v>
      </c>
      <c r="O1832">
        <v>1.6850850000000001E-2</v>
      </c>
      <c r="P1832">
        <v>-0.98597009999999996</v>
      </c>
      <c r="Q1832">
        <v>0.16685429999999901</v>
      </c>
      <c r="R1832">
        <v>4.7961760000000001E-3</v>
      </c>
      <c r="S1832">
        <v>-3.0931090000000001</v>
      </c>
      <c r="T1832">
        <v>-0.27698739999999999</v>
      </c>
      <c r="U1832">
        <v>-0.4327087</v>
      </c>
      <c r="V1832">
        <v>-1.168431E-2</v>
      </c>
      <c r="W1832">
        <v>0.18201680000000001</v>
      </c>
      <c r="X1832">
        <v>0.98322600000000004</v>
      </c>
      <c r="Y1832">
        <v>-0.15454279999999901</v>
      </c>
      <c r="Z1832">
        <v>-8.3718500000000001E-3</v>
      </c>
      <c r="AA1832">
        <v>0.98795060000000001</v>
      </c>
      <c r="AB1832">
        <v>55</v>
      </c>
      <c r="AC1832">
        <v>-11.9735</v>
      </c>
      <c r="AD1832">
        <v>-1.1081407516149999</v>
      </c>
      <c r="AE1832">
        <v>-1.73780000000004</v>
      </c>
      <c r="AF1832">
        <v>-1.9232075444857</v>
      </c>
      <c r="AG1832">
        <v>-1.1081407516149999</v>
      </c>
      <c r="AH1832">
        <v>11.8431639884239</v>
      </c>
      <c r="AI1832">
        <v>95.276761294227796</v>
      </c>
      <c r="AJ1832">
        <v>99.223727572120893</v>
      </c>
      <c r="AK1832">
        <v>12.0493666406686</v>
      </c>
      <c r="AL1832">
        <v>79.512745239055704</v>
      </c>
      <c r="AM1832">
        <v>90.680850728283204</v>
      </c>
      <c r="AN1832">
        <v>1.0000000028292</v>
      </c>
    </row>
    <row r="1833" spans="1:40" x14ac:dyDescent="0.25">
      <c r="A1833" t="str">
        <f>"20190312164508405"</f>
        <v>20190312164508405</v>
      </c>
      <c r="B1833" t="str">
        <f>"1552380308393639"</f>
        <v>1552380308393639</v>
      </c>
      <c r="C1833" t="s">
        <v>40</v>
      </c>
      <c r="D1833">
        <v>4.7711249999999996</v>
      </c>
      <c r="E1833">
        <v>0.44774829999999999</v>
      </c>
      <c r="F1833" t="s">
        <v>51</v>
      </c>
      <c r="G1833">
        <v>-424.95979999999997</v>
      </c>
      <c r="H1833" s="1">
        <v>3.1784069999999999E-6</v>
      </c>
      <c r="I1833">
        <v>283.54570000000001</v>
      </c>
      <c r="J1833">
        <v>-412.88909999999998</v>
      </c>
      <c r="K1833">
        <v>1.10816</v>
      </c>
      <c r="L1833">
        <v>285.30990000000003</v>
      </c>
      <c r="M1833">
        <v>-0.99973880000000004</v>
      </c>
      <c r="N1833">
        <v>0</v>
      </c>
      <c r="O1833">
        <v>1.6905940000000001E-2</v>
      </c>
      <c r="P1833">
        <v>-0.98605790000000004</v>
      </c>
      <c r="Q1833">
        <v>0.16637379999999999</v>
      </c>
      <c r="R1833">
        <v>3.171232E-3</v>
      </c>
      <c r="S1833">
        <v>-3.0916440000000001</v>
      </c>
      <c r="T1833">
        <v>-0.27676919999999999</v>
      </c>
      <c r="U1833">
        <v>-0.43933109999999997</v>
      </c>
      <c r="V1833">
        <v>-1.3375669999999999E-2</v>
      </c>
      <c r="W1833">
        <v>0.18153520000000001</v>
      </c>
      <c r="X1833">
        <v>0.98329350000000004</v>
      </c>
      <c r="Y1833">
        <v>-0.1567279</v>
      </c>
      <c r="Z1833">
        <v>-8.4699830000000004E-3</v>
      </c>
      <c r="AA1833">
        <v>0.98760550000000003</v>
      </c>
      <c r="AB1833">
        <v>55</v>
      </c>
      <c r="AC1833">
        <v>-12.070699999999899</v>
      </c>
      <c r="AD1833">
        <v>-1.108156821593</v>
      </c>
      <c r="AE1833">
        <v>-1.76420000000001</v>
      </c>
      <c r="AF1833">
        <v>-1.9519311822224099</v>
      </c>
      <c r="AG1833">
        <v>-1.108156821593</v>
      </c>
      <c r="AH1833">
        <v>11.940611844072899</v>
      </c>
      <c r="AI1833">
        <v>95.233120691820304</v>
      </c>
      <c r="AJ1833">
        <v>99.284022026192801</v>
      </c>
      <c r="AK1833">
        <v>12.149743128650501</v>
      </c>
      <c r="AL1833">
        <v>79.540806591970096</v>
      </c>
      <c r="AM1833">
        <v>90.779342256238095</v>
      </c>
      <c r="AN1833">
        <v>1.0000000222646099</v>
      </c>
    </row>
    <row r="1834" spans="1:40" x14ac:dyDescent="0.25">
      <c r="A1834" t="str">
        <f>"20190312164508419"</f>
        <v>20190312164508419</v>
      </c>
      <c r="B1834" t="str">
        <f>"1552380308413159"</f>
        <v>1552380308413159</v>
      </c>
      <c r="C1834" t="s">
        <v>40</v>
      </c>
      <c r="D1834">
        <v>4.5671850000000003</v>
      </c>
      <c r="E1834">
        <v>0.44841199999999998</v>
      </c>
      <c r="F1834" t="s">
        <v>51</v>
      </c>
      <c r="G1834">
        <v>-425.31979999999999</v>
      </c>
      <c r="H1834" s="1">
        <v>3.115036E-6</v>
      </c>
      <c r="I1834">
        <v>283.5403</v>
      </c>
      <c r="J1834">
        <v>-413.22489999999999</v>
      </c>
      <c r="K1834">
        <v>1.108185</v>
      </c>
      <c r="L1834">
        <v>285.31560000000002</v>
      </c>
      <c r="M1834">
        <v>-0.99973789999999996</v>
      </c>
      <c r="N1834">
        <v>0</v>
      </c>
      <c r="O1834">
        <v>1.6952599999999901E-2</v>
      </c>
      <c r="P1834">
        <v>-0.98613329999999999</v>
      </c>
      <c r="Q1834">
        <v>0.16594639999999999</v>
      </c>
      <c r="R1834">
        <v>1.7059270000000001E-3</v>
      </c>
      <c r="S1834">
        <v>-3.0903019999999999</v>
      </c>
      <c r="T1834">
        <v>-0.27549050000000003</v>
      </c>
      <c r="U1834">
        <v>-0.43994139999999998</v>
      </c>
      <c r="V1834">
        <v>-1.4899269999999999E-2</v>
      </c>
      <c r="W1834">
        <v>0.18110660000000001</v>
      </c>
      <c r="X1834">
        <v>0.98335059999999996</v>
      </c>
      <c r="Y1834">
        <v>-0.15702929999999901</v>
      </c>
      <c r="Z1834">
        <v>-8.4519799999999996E-3</v>
      </c>
      <c r="AA1834">
        <v>0.98755780000000004</v>
      </c>
      <c r="AB1834">
        <v>55</v>
      </c>
      <c r="AC1834">
        <v>-12.0948999999999</v>
      </c>
      <c r="AD1834">
        <v>-1.1081818849639999</v>
      </c>
      <c r="AE1834">
        <v>-1.7753000000000101</v>
      </c>
      <c r="AF1834">
        <v>-1.9639694161346699</v>
      </c>
      <c r="AG1834">
        <v>-1.1081818849639999</v>
      </c>
      <c r="AH1834">
        <v>11.964737106778699</v>
      </c>
      <c r="AI1834">
        <v>95.222184177095599</v>
      </c>
      <c r="AJ1834">
        <v>99.321771287622497</v>
      </c>
      <c r="AK1834">
        <v>12.1753922726129</v>
      </c>
      <c r="AL1834">
        <v>79.565777199927695</v>
      </c>
      <c r="AM1834">
        <v>90.8680525265341</v>
      </c>
      <c r="AN1834">
        <v>0.99999999566522602</v>
      </c>
    </row>
    <row r="1835" spans="1:40" x14ac:dyDescent="0.25">
      <c r="A1835" t="str">
        <f>"20190312164508440"</f>
        <v>20190312164508440</v>
      </c>
      <c r="B1835" t="str">
        <f>"1552380308433654"</f>
        <v>1552380308433654</v>
      </c>
      <c r="C1835" t="s">
        <v>40</v>
      </c>
      <c r="D1835">
        <v>4.5142179999999996</v>
      </c>
      <c r="E1835">
        <v>0.44873869999999999</v>
      </c>
      <c r="F1835" t="s">
        <v>51</v>
      </c>
      <c r="G1835">
        <v>-425.72789999999998</v>
      </c>
      <c r="H1835" s="1">
        <v>3.0425270000000002E-6</v>
      </c>
      <c r="I1835">
        <v>283.54149999999998</v>
      </c>
      <c r="J1835">
        <v>-413.7081</v>
      </c>
      <c r="K1835">
        <v>1.108222</v>
      </c>
      <c r="L1835">
        <v>285.32380000000001</v>
      </c>
      <c r="M1835">
        <v>-0.99973719999999999</v>
      </c>
      <c r="N1835">
        <v>0</v>
      </c>
      <c r="O1835">
        <v>1.7000009999999999E-2</v>
      </c>
      <c r="P1835">
        <v>-0.98620050000000004</v>
      </c>
      <c r="Q1835">
        <v>0.16554929999999901</v>
      </c>
      <c r="R1835">
        <v>-1.4172029999999999E-3</v>
      </c>
      <c r="S1835">
        <v>-3.0890200000000001</v>
      </c>
      <c r="T1835">
        <v>-0.27378940000000002</v>
      </c>
      <c r="U1835">
        <v>-0.43832399999999999</v>
      </c>
      <c r="V1835">
        <v>-1.8084360000000001E-2</v>
      </c>
      <c r="W1835">
        <v>0.18070749999999999</v>
      </c>
      <c r="X1835">
        <v>0.98337059999999998</v>
      </c>
      <c r="Y1835">
        <v>-0.15663550000000001</v>
      </c>
      <c r="Z1835">
        <v>-8.3905760000000003E-3</v>
      </c>
      <c r="AA1835">
        <v>0.98762079999999997</v>
      </c>
      <c r="AB1835">
        <v>55</v>
      </c>
      <c r="AC1835">
        <v>-12.019799999999901</v>
      </c>
      <c r="AD1835">
        <v>-1.1082189574729999</v>
      </c>
      <c r="AE1835">
        <v>-1.78230000000002</v>
      </c>
      <c r="AF1835">
        <v>-1.97001695564722</v>
      </c>
      <c r="AG1835">
        <v>-1.1082189574729999</v>
      </c>
      <c r="AH1835">
        <v>11.888870018584299</v>
      </c>
      <c r="AI1835">
        <v>95.254192021537904</v>
      </c>
      <c r="AJ1835">
        <v>99.408571084890099</v>
      </c>
      <c r="AK1835">
        <v>12.101832356384399</v>
      </c>
      <c r="AL1835">
        <v>79.589027521014003</v>
      </c>
      <c r="AM1835">
        <v>91.0535608018739</v>
      </c>
      <c r="AN1835">
        <v>0.99999999078860902</v>
      </c>
    </row>
    <row r="1836" spans="1:40" x14ac:dyDescent="0.25">
      <c r="A1836" t="str">
        <f>"20190312164508460"</f>
        <v>20190312164508460</v>
      </c>
      <c r="B1836" t="str">
        <f>"1552380308453176"</f>
        <v>1552380308453176</v>
      </c>
      <c r="C1836" t="s">
        <v>40</v>
      </c>
      <c r="D1836">
        <v>4.7286279999999996</v>
      </c>
      <c r="E1836">
        <v>0.44887179999999999</v>
      </c>
      <c r="F1836" t="s">
        <v>51</v>
      </c>
      <c r="G1836">
        <v>-426.07929999999999</v>
      </c>
      <c r="H1836" s="1">
        <v>2.980181E-6</v>
      </c>
      <c r="I1836">
        <v>283.54169999999999</v>
      </c>
      <c r="J1836">
        <v>-414.24419999999998</v>
      </c>
      <c r="K1836">
        <v>1.108255</v>
      </c>
      <c r="L1836">
        <v>285.3329</v>
      </c>
      <c r="M1836">
        <v>-0.99973670000000003</v>
      </c>
      <c r="N1836">
        <v>0</v>
      </c>
      <c r="O1836">
        <v>1.7027009999999999E-2</v>
      </c>
      <c r="P1836">
        <v>-0.98622010000000004</v>
      </c>
      <c r="Q1836">
        <v>0.16538320000000001</v>
      </c>
      <c r="R1836">
        <v>-4.2901079999999999E-3</v>
      </c>
      <c r="S1836">
        <v>-3.0877690000000002</v>
      </c>
      <c r="T1836">
        <v>-0.27660449999999998</v>
      </c>
      <c r="U1836">
        <v>-0.44479370000000001</v>
      </c>
      <c r="V1836">
        <v>-2.099873E-2</v>
      </c>
      <c r="W1836">
        <v>0.18053730000000001</v>
      </c>
      <c r="X1836">
        <v>0.983344</v>
      </c>
      <c r="Y1836">
        <v>-0.158723</v>
      </c>
      <c r="Z1836">
        <v>-8.5738989999999994E-3</v>
      </c>
      <c r="AA1836">
        <v>0.98728590000000005</v>
      </c>
      <c r="AB1836">
        <v>55</v>
      </c>
      <c r="AC1836">
        <v>-11.835100000000001</v>
      </c>
      <c r="AD1836">
        <v>-1.108252019819</v>
      </c>
      <c r="AE1836">
        <v>-1.7911999999999999</v>
      </c>
      <c r="AF1836">
        <v>-1.97554550164014</v>
      </c>
      <c r="AG1836">
        <v>-1.108252019819</v>
      </c>
      <c r="AH1836">
        <v>11.7025635329528</v>
      </c>
      <c r="AI1836">
        <v>95.334833529165195</v>
      </c>
      <c r="AJ1836">
        <v>99.581935638805703</v>
      </c>
      <c r="AK1836">
        <v>11.919773312076099</v>
      </c>
      <c r="AL1836">
        <v>79.598942884042103</v>
      </c>
      <c r="AM1836">
        <v>91.223331583619498</v>
      </c>
      <c r="AN1836">
        <v>1.00000004284445</v>
      </c>
    </row>
    <row r="1837" spans="1:40" x14ac:dyDescent="0.25">
      <c r="A1837" t="str">
        <f>"20190312164508483"</f>
        <v>20190312164508483</v>
      </c>
      <c r="B1837" t="str">
        <f>"1552380308473672"</f>
        <v>1552380308473672</v>
      </c>
      <c r="C1837" t="s">
        <v>40</v>
      </c>
      <c r="D1837">
        <v>4.6794479999999998</v>
      </c>
      <c r="E1837">
        <v>0.45801730000000002</v>
      </c>
      <c r="F1837" t="s">
        <v>51</v>
      </c>
      <c r="G1837">
        <v>-426.59620000000001</v>
      </c>
      <c r="H1837" s="1">
        <v>2.8900639999999999E-6</v>
      </c>
      <c r="I1837">
        <v>283.52370000000002</v>
      </c>
      <c r="J1837">
        <v>-414.77969999999999</v>
      </c>
      <c r="K1837">
        <v>1.1082749999999999</v>
      </c>
      <c r="L1837">
        <v>285.34199999999998</v>
      </c>
      <c r="M1837">
        <v>-0.99973670000000003</v>
      </c>
      <c r="N1837">
        <v>0</v>
      </c>
      <c r="O1837">
        <v>1.7032660000000002E-2</v>
      </c>
      <c r="P1837">
        <v>-0.986147</v>
      </c>
      <c r="Q1837">
        <v>0.16572600000000001</v>
      </c>
      <c r="R1837">
        <v>-7.0048669999999997E-3</v>
      </c>
      <c r="S1837">
        <v>-3.086395</v>
      </c>
      <c r="T1837">
        <v>-0.27691909999999997</v>
      </c>
      <c r="U1837">
        <v>-0.45205689999999998</v>
      </c>
      <c r="V1837">
        <v>-2.3731740000000001E-2</v>
      </c>
      <c r="W1837">
        <v>0.18087449999999999</v>
      </c>
      <c r="X1837">
        <v>0.98321979999999998</v>
      </c>
      <c r="Y1837">
        <v>-0.16105439999999999</v>
      </c>
      <c r="Z1837">
        <v>-8.6902809999999994E-3</v>
      </c>
      <c r="AA1837">
        <v>0.98690730000000004</v>
      </c>
      <c r="AB1837">
        <v>55</v>
      </c>
      <c r="AC1837">
        <v>-11.8165</v>
      </c>
      <c r="AD1837">
        <v>-1.108272109936</v>
      </c>
      <c r="AE1837">
        <v>-1.8182999999999601</v>
      </c>
      <c r="AF1837">
        <v>-2.0021218869500998</v>
      </c>
      <c r="AG1837">
        <v>-1.108272109936</v>
      </c>
      <c r="AH1837">
        <v>11.6834141415722</v>
      </c>
      <c r="AI1837">
        <v>95.341382952969198</v>
      </c>
      <c r="AJ1837">
        <v>99.724009741882497</v>
      </c>
      <c r="AK1837">
        <v>11.9054157896042</v>
      </c>
      <c r="AL1837">
        <v>79.579298673352994</v>
      </c>
      <c r="AM1837">
        <v>91.382665995039204</v>
      </c>
      <c r="AN1837">
        <v>0.99999997767285798</v>
      </c>
    </row>
    <row r="1838" spans="1:40" x14ac:dyDescent="0.25">
      <c r="A1838" t="str">
        <f>"20190312164508504"</f>
        <v>20190312164508504</v>
      </c>
      <c r="B1838" t="str">
        <f>"1552380308493191"</f>
        <v>1552380308493191</v>
      </c>
      <c r="C1838" t="s">
        <v>40</v>
      </c>
      <c r="D1838">
        <v>4.692342</v>
      </c>
      <c r="E1838">
        <v>0.45790340000000002</v>
      </c>
      <c r="F1838" t="s">
        <v>51</v>
      </c>
      <c r="G1838">
        <v>-431.89499999999998</v>
      </c>
      <c r="H1838" s="1">
        <v>3.180651E-6</v>
      </c>
      <c r="I1838">
        <v>283.20600000000002</v>
      </c>
      <c r="J1838">
        <v>-415.31189999999998</v>
      </c>
      <c r="K1838">
        <v>1.1083050000000001</v>
      </c>
      <c r="L1838">
        <v>285.351</v>
      </c>
      <c r="M1838">
        <v>-0.99973699999999999</v>
      </c>
      <c r="N1838">
        <v>0</v>
      </c>
      <c r="O1838">
        <v>1.7023469999999999E-2</v>
      </c>
      <c r="P1838">
        <v>-0.98606590000000005</v>
      </c>
      <c r="Q1838">
        <v>0.16609189999999999</v>
      </c>
      <c r="R1838">
        <v>-9.3619959999999992E-3</v>
      </c>
      <c r="S1838">
        <v>-3.0728149999999999</v>
      </c>
      <c r="T1838">
        <v>-0.19897480000000001</v>
      </c>
      <c r="U1838">
        <v>-0.38348389999999999</v>
      </c>
      <c r="V1838">
        <v>-2.6090039999999998E-2</v>
      </c>
      <c r="W1838">
        <v>0.18123420000000001</v>
      </c>
      <c r="X1838">
        <v>0.98309380000000002</v>
      </c>
      <c r="Y1838">
        <v>-0.14038989999999901</v>
      </c>
      <c r="Z1838">
        <v>-5.6204219999999999E-3</v>
      </c>
      <c r="AA1838">
        <v>0.99008039999999997</v>
      </c>
      <c r="AB1838">
        <v>55</v>
      </c>
      <c r="AC1838">
        <v>-16.583100000000002</v>
      </c>
      <c r="AD1838">
        <v>-1.108301819349</v>
      </c>
      <c r="AE1838">
        <v>-2.1450000000000302</v>
      </c>
      <c r="AF1838">
        <v>-2.4164086291623801</v>
      </c>
      <c r="AG1838">
        <v>-1.108301819349</v>
      </c>
      <c r="AH1838">
        <v>16.471813155780499</v>
      </c>
      <c r="AI1838">
        <v>93.808687323473407</v>
      </c>
      <c r="AJ1838">
        <v>98.345739557006794</v>
      </c>
      <c r="AK1838">
        <v>16.684963057340099</v>
      </c>
      <c r="AL1838">
        <v>79.558342994750404</v>
      </c>
      <c r="AM1838">
        <v>91.520199176590097</v>
      </c>
      <c r="AN1838">
        <v>0.99999997251763995</v>
      </c>
    </row>
    <row r="1839" spans="1:40" x14ac:dyDescent="0.25">
      <c r="A1839" t="str">
        <f>"20190312164508519"</f>
        <v>20190312164508519</v>
      </c>
      <c r="B1839" t="str">
        <f>"1552380308513687"</f>
        <v>1552380308513687</v>
      </c>
      <c r="C1839" t="s">
        <v>40</v>
      </c>
      <c r="D1839">
        <v>4.8271189999999997</v>
      </c>
      <c r="E1839">
        <v>0.45814149999999998</v>
      </c>
      <c r="F1839" t="s">
        <v>51</v>
      </c>
      <c r="G1839">
        <v>-432.6936</v>
      </c>
      <c r="H1839" s="1">
        <v>3.5408390000000001E-6</v>
      </c>
      <c r="I1839">
        <v>283.13679999999999</v>
      </c>
      <c r="J1839">
        <v>-415.65440000000001</v>
      </c>
      <c r="K1839">
        <v>1.1083190000000001</v>
      </c>
      <c r="L1839">
        <v>285.3569</v>
      </c>
      <c r="M1839">
        <v>-0.99973719999999999</v>
      </c>
      <c r="N1839">
        <v>0</v>
      </c>
      <c r="O1839">
        <v>1.701246E-2</v>
      </c>
      <c r="P1839">
        <v>-0.98606939999999998</v>
      </c>
      <c r="Q1839">
        <v>0.165992</v>
      </c>
      <c r="R1839">
        <v>-1.0683420000000001E-2</v>
      </c>
      <c r="S1839">
        <v>-3.0716549999999998</v>
      </c>
      <c r="T1839">
        <v>-0.19585669999999999</v>
      </c>
      <c r="U1839">
        <v>-0.39129639999999999</v>
      </c>
      <c r="V1839">
        <v>-2.74078E-2</v>
      </c>
      <c r="W1839">
        <v>0.18113099999999999</v>
      </c>
      <c r="X1839">
        <v>0.98307699999999998</v>
      </c>
      <c r="Y1839">
        <v>-0.14290820000000001</v>
      </c>
      <c r="Z1839">
        <v>-5.612906E-3</v>
      </c>
      <c r="AA1839">
        <v>0.98972000000000004</v>
      </c>
      <c r="AB1839">
        <v>55</v>
      </c>
      <c r="AC1839">
        <v>-17.039199999999902</v>
      </c>
      <c r="AD1839">
        <v>-1.108315459161</v>
      </c>
      <c r="AE1839">
        <v>-2.2201</v>
      </c>
      <c r="AF1839">
        <v>-2.4992939206319198</v>
      </c>
      <c r="AG1839">
        <v>-1.108315459161</v>
      </c>
      <c r="AH1839">
        <v>16.928533027393001</v>
      </c>
      <c r="AI1839">
        <v>93.705767929924605</v>
      </c>
      <c r="AJ1839">
        <v>98.398362539487806</v>
      </c>
      <c r="AK1839">
        <v>17.147888025009401</v>
      </c>
      <c r="AL1839">
        <v>79.564355795308401</v>
      </c>
      <c r="AM1839">
        <v>91.596970117072104</v>
      </c>
      <c r="AN1839">
        <v>1.0000000072954101</v>
      </c>
    </row>
    <row r="1840" spans="1:40" x14ac:dyDescent="0.25">
      <c r="A1840" t="str">
        <f>"20190312164508531"</f>
        <v>20190312164508531</v>
      </c>
      <c r="B1840" t="str">
        <f>"1552380308523447"</f>
        <v>1552380308523447</v>
      </c>
      <c r="C1840" t="s">
        <v>40</v>
      </c>
      <c r="D1840">
        <v>4.7117940000000003</v>
      </c>
      <c r="E1840">
        <v>0.4582947</v>
      </c>
      <c r="F1840" t="s">
        <v>51</v>
      </c>
      <c r="G1840">
        <v>-433.10629999999998</v>
      </c>
      <c r="H1840" s="1">
        <v>3.7251569999999998E-6</v>
      </c>
      <c r="I1840">
        <v>283.12169999999998</v>
      </c>
      <c r="J1840">
        <v>-415.97449999999998</v>
      </c>
      <c r="K1840">
        <v>1.108333</v>
      </c>
      <c r="L1840">
        <v>285.3623</v>
      </c>
      <c r="M1840">
        <v>-0.9997374</v>
      </c>
      <c r="N1840">
        <v>0</v>
      </c>
      <c r="O1840">
        <v>1.7000339999999999E-2</v>
      </c>
      <c r="P1840">
        <v>-0.98612390000000005</v>
      </c>
      <c r="Q1840">
        <v>0.16560059999999999</v>
      </c>
      <c r="R1840">
        <v>-1.1679200000000001E-2</v>
      </c>
      <c r="S1840">
        <v>-3.0709529999999998</v>
      </c>
      <c r="T1840">
        <v>-0.19502739999999999</v>
      </c>
      <c r="U1840">
        <v>-0.39331050000000001</v>
      </c>
      <c r="V1840">
        <v>-2.8398980000000001E-2</v>
      </c>
      <c r="W1840">
        <v>0.18073710000000001</v>
      </c>
      <c r="X1840">
        <v>0.98312129999999998</v>
      </c>
      <c r="Y1840">
        <v>-0.14356459999999999</v>
      </c>
      <c r="Z1840">
        <v>-5.6101909999999996E-3</v>
      </c>
      <c r="AA1840">
        <v>0.98962499999999998</v>
      </c>
      <c r="AB1840">
        <v>55</v>
      </c>
      <c r="AC1840">
        <v>-17.131799999999998</v>
      </c>
      <c r="AD1840">
        <v>-1.108329274843</v>
      </c>
      <c r="AE1840">
        <v>-2.2406000000000201</v>
      </c>
      <c r="AF1840">
        <v>-2.52118236606879</v>
      </c>
      <c r="AG1840">
        <v>-1.108329274843</v>
      </c>
      <c r="AH1840">
        <v>17.021186595540598</v>
      </c>
      <c r="AI1840">
        <v>93.685440899666304</v>
      </c>
      <c r="AJ1840">
        <v>98.425404740741399</v>
      </c>
      <c r="AK1840">
        <v>17.242550490709299</v>
      </c>
      <c r="AL1840">
        <v>79.5873027009673</v>
      </c>
      <c r="AM1840">
        <v>91.6546171290301</v>
      </c>
      <c r="AN1840">
        <v>0.99999994594756803</v>
      </c>
    </row>
    <row r="1841" spans="1:40" x14ac:dyDescent="0.25">
      <c r="A1841" t="str">
        <f>"20190312164508543"</f>
        <v>20190312164508543</v>
      </c>
      <c r="B1841" t="str">
        <f>"1552380308533207"</f>
        <v>1552380308533207</v>
      </c>
      <c r="C1841" t="s">
        <v>40</v>
      </c>
      <c r="D1841">
        <v>4.535342</v>
      </c>
      <c r="E1841">
        <v>0.45843489999999998</v>
      </c>
      <c r="F1841" t="s">
        <v>51</v>
      </c>
      <c r="G1841">
        <v>-433.24700000000001</v>
      </c>
      <c r="H1841" s="1">
        <v>3.786059E-6</v>
      </c>
      <c r="I1841">
        <v>283.13900000000001</v>
      </c>
      <c r="J1841">
        <v>-416.29199999999997</v>
      </c>
      <c r="K1841">
        <v>1.1083480000000001</v>
      </c>
      <c r="L1841">
        <v>285.36770000000001</v>
      </c>
      <c r="M1841">
        <v>-0.99973769999999995</v>
      </c>
      <c r="N1841">
        <v>0</v>
      </c>
      <c r="O1841">
        <v>1.6986399999999999E-2</v>
      </c>
      <c r="P1841">
        <v>-0.98614520000000006</v>
      </c>
      <c r="Q1841">
        <v>0.1653838</v>
      </c>
      <c r="R1841">
        <v>-1.2884799999999899E-2</v>
      </c>
      <c r="S1841">
        <v>-3.0705870000000002</v>
      </c>
      <c r="T1841">
        <v>-0.19703080000000001</v>
      </c>
      <c r="U1841">
        <v>-0.39523320000000001</v>
      </c>
      <c r="V1841">
        <v>-2.959699E-2</v>
      </c>
      <c r="W1841">
        <v>0.1805176</v>
      </c>
      <c r="X1841">
        <v>0.98312630000000001</v>
      </c>
      <c r="Y1841">
        <v>-0.1441674</v>
      </c>
      <c r="Z1841">
        <v>-5.6865040000000002E-3</v>
      </c>
      <c r="AA1841">
        <v>0.989537</v>
      </c>
      <c r="AB1841">
        <v>55</v>
      </c>
      <c r="AC1841">
        <v>-16.954999999999899</v>
      </c>
      <c r="AD1841">
        <v>-1.10834421394099</v>
      </c>
      <c r="AE1841">
        <v>-2.2286999999999999</v>
      </c>
      <c r="AF1841">
        <v>-2.50589046613436</v>
      </c>
      <c r="AG1841">
        <v>-1.10834421394099</v>
      </c>
      <c r="AH1841">
        <v>16.8439360630891</v>
      </c>
      <c r="AI1841">
        <v>93.723813634247307</v>
      </c>
      <c r="AJ1841">
        <v>98.461890392732897</v>
      </c>
      <c r="AK1841">
        <v>17.0653478142778</v>
      </c>
      <c r="AL1841">
        <v>79.600089528677103</v>
      </c>
      <c r="AM1841">
        <v>91.724367042644403</v>
      </c>
      <c r="AN1841">
        <v>0.99999995373925399</v>
      </c>
    </row>
    <row r="1842" spans="1:40" x14ac:dyDescent="0.25">
      <c r="A1842" t="str">
        <f>"20190312164508558"</f>
        <v>20190312164508558</v>
      </c>
      <c r="B1842" t="str">
        <f>"1552380308553702"</f>
        <v>1552380308553702</v>
      </c>
      <c r="C1842" t="s">
        <v>40</v>
      </c>
      <c r="D1842">
        <v>4.4609329999999998</v>
      </c>
      <c r="E1842">
        <v>0.45837410000000001</v>
      </c>
      <c r="F1842" t="s">
        <v>51</v>
      </c>
      <c r="G1842">
        <v>-433.50310000000002</v>
      </c>
      <c r="H1842" s="1">
        <v>3.8997369999999997E-6</v>
      </c>
      <c r="I1842">
        <v>283.13780000000003</v>
      </c>
      <c r="J1842">
        <v>-416.61630000000002</v>
      </c>
      <c r="K1842">
        <v>1.1083609999999999</v>
      </c>
      <c r="L1842">
        <v>285.3732</v>
      </c>
      <c r="M1842">
        <v>-0.99973800000000002</v>
      </c>
      <c r="N1842">
        <v>0</v>
      </c>
      <c r="O1842">
        <v>1.697133E-2</v>
      </c>
      <c r="P1842">
        <v>-0.98617310000000002</v>
      </c>
      <c r="Q1842">
        <v>0.16514529999999999</v>
      </c>
      <c r="R1842">
        <v>-1.3769E-2</v>
      </c>
      <c r="S1842">
        <v>-3.0700989999999999</v>
      </c>
      <c r="T1842">
        <v>-0.19770499999999999</v>
      </c>
      <c r="U1842">
        <v>-0.39776610000000001</v>
      </c>
      <c r="V1842">
        <v>-3.047217E-2</v>
      </c>
      <c r="W1842">
        <v>0.18027650000000001</v>
      </c>
      <c r="X1842">
        <v>0.98314389999999996</v>
      </c>
      <c r="Y1842">
        <v>-0.1449715</v>
      </c>
      <c r="Z1842">
        <v>-5.7313140000000004E-3</v>
      </c>
      <c r="AA1842">
        <v>0.98941920000000005</v>
      </c>
      <c r="AB1842">
        <v>55</v>
      </c>
      <c r="AC1842">
        <v>-16.886799999999901</v>
      </c>
      <c r="AD1842">
        <v>-1.1083571002629999</v>
      </c>
      <c r="AE1842">
        <v>-2.2353999999999701</v>
      </c>
      <c r="AF1842">
        <v>-2.5110721075726299</v>
      </c>
      <c r="AG1842">
        <v>-1.1083571002629999</v>
      </c>
      <c r="AH1842">
        <v>16.775403079485798</v>
      </c>
      <c r="AI1842">
        <v>93.738528030234704</v>
      </c>
      <c r="AJ1842">
        <v>98.513267098494495</v>
      </c>
      <c r="AK1842">
        <v>16.998473080555002</v>
      </c>
      <c r="AL1842">
        <v>79.614134955293196</v>
      </c>
      <c r="AM1842">
        <v>91.775292478827396</v>
      </c>
      <c r="AN1842">
        <v>1.00000004885198</v>
      </c>
    </row>
    <row r="1843" spans="1:40" x14ac:dyDescent="0.25">
      <c r="A1843" t="str">
        <f>"20190312164508571"</f>
        <v>20190312164508571</v>
      </c>
      <c r="B1843" t="str">
        <f>"1552380308563462"</f>
        <v>1552380308563462</v>
      </c>
      <c r="C1843" t="s">
        <v>40</v>
      </c>
      <c r="D1843">
        <v>4.4151769999999999</v>
      </c>
      <c r="E1843">
        <v>0.45832450000000002</v>
      </c>
      <c r="F1843" t="s">
        <v>51</v>
      </c>
      <c r="G1843">
        <v>-433.56729999999999</v>
      </c>
      <c r="H1843" s="1">
        <v>3.926346E-6</v>
      </c>
      <c r="I1843">
        <v>283.15899999999999</v>
      </c>
      <c r="J1843">
        <v>-416.94310000000002</v>
      </c>
      <c r="K1843">
        <v>1.108368</v>
      </c>
      <c r="L1843">
        <v>285.37869999999998</v>
      </c>
      <c r="M1843">
        <v>-0.99973829999999997</v>
      </c>
      <c r="N1843">
        <v>0</v>
      </c>
      <c r="O1843">
        <v>1.6955560000000001E-2</v>
      </c>
      <c r="P1843">
        <v>-0.98622750000000003</v>
      </c>
      <c r="Q1843">
        <v>0.16465629999999901</v>
      </c>
      <c r="R1843">
        <v>-1.562086E-2</v>
      </c>
      <c r="S1843">
        <v>-3.070068</v>
      </c>
      <c r="T1843">
        <v>-0.20073940000000001</v>
      </c>
      <c r="U1843">
        <v>-0.40103149999999999</v>
      </c>
      <c r="V1843">
        <v>-3.231465E-2</v>
      </c>
      <c r="W1843">
        <v>0.179785</v>
      </c>
      <c r="X1843">
        <v>0.98317500000000002</v>
      </c>
      <c r="Y1843">
        <v>-0.14597959999999999</v>
      </c>
      <c r="Z1843">
        <v>-5.8505170000000004E-3</v>
      </c>
      <c r="AA1843">
        <v>0.98927030000000005</v>
      </c>
      <c r="AB1843">
        <v>55</v>
      </c>
      <c r="AC1843">
        <v>-16.624199999999899</v>
      </c>
      <c r="AD1843">
        <v>-1.1083640736539999</v>
      </c>
      <c r="AE1843">
        <v>-2.21969999999998</v>
      </c>
      <c r="AF1843">
        <v>-2.4904104286940298</v>
      </c>
      <c r="AG1843">
        <v>-1.1083640736539999</v>
      </c>
      <c r="AH1843">
        <v>16.512056495907402</v>
      </c>
      <c r="AI1843">
        <v>93.797371468096799</v>
      </c>
      <c r="AJ1843">
        <v>98.576919348806101</v>
      </c>
      <c r="AK1843">
        <v>16.735549729457698</v>
      </c>
      <c r="AL1843">
        <v>79.642762890740201</v>
      </c>
      <c r="AM1843">
        <v>91.882499841356406</v>
      </c>
      <c r="AN1843">
        <v>0.99999998172731097</v>
      </c>
    </row>
    <row r="1844" spans="1:40" x14ac:dyDescent="0.25">
      <c r="A1844" t="str">
        <f>"20190312164508594"</f>
        <v>20190312164508594</v>
      </c>
      <c r="B1844" t="str">
        <f>"1552380308582982"</f>
        <v>1552380308582982</v>
      </c>
      <c r="C1844" t="s">
        <v>40</v>
      </c>
      <c r="D1844">
        <v>4.4372530000000001</v>
      </c>
      <c r="E1844">
        <v>0.45814529999999998</v>
      </c>
      <c r="F1844" t="s">
        <v>51</v>
      </c>
      <c r="G1844">
        <v>-433.6277</v>
      </c>
      <c r="H1844" s="1">
        <v>3.9523729999999999E-6</v>
      </c>
      <c r="I1844">
        <v>283.16770000000002</v>
      </c>
      <c r="J1844">
        <v>-417.4984</v>
      </c>
      <c r="K1844">
        <v>1.1083879999999999</v>
      </c>
      <c r="L1844">
        <v>285.38819999999998</v>
      </c>
      <c r="M1844">
        <v>-0.99973900000000004</v>
      </c>
      <c r="N1844">
        <v>0</v>
      </c>
      <c r="O1844">
        <v>1.6927999999999999E-2</v>
      </c>
      <c r="P1844">
        <v>-0.98622810000000005</v>
      </c>
      <c r="Q1844">
        <v>0.164492</v>
      </c>
      <c r="R1844">
        <v>-1.7228980000000001E-2</v>
      </c>
      <c r="S1844">
        <v>-3.0694889999999999</v>
      </c>
      <c r="T1844">
        <v>-0.20390759999999999</v>
      </c>
      <c r="U1844">
        <v>-0.40676879999999999</v>
      </c>
      <c r="V1844">
        <v>-3.390402E-2</v>
      </c>
      <c r="W1844">
        <v>0.1796152</v>
      </c>
      <c r="X1844">
        <v>0.98315260000000004</v>
      </c>
      <c r="Y1844">
        <v>-0.14777899999999999</v>
      </c>
      <c r="Z1844">
        <v>-6.0006719999999899E-3</v>
      </c>
      <c r="AA1844">
        <v>0.98900220000000005</v>
      </c>
      <c r="AB1844">
        <v>54</v>
      </c>
      <c r="AC1844">
        <v>-16.129300000000001</v>
      </c>
      <c r="AD1844">
        <v>-1.1083840476269999</v>
      </c>
      <c r="AE1844">
        <v>-2.2204999999999502</v>
      </c>
      <c r="AF1844">
        <v>-2.4817492106610199</v>
      </c>
      <c r="AG1844">
        <v>-1.1083840476269999</v>
      </c>
      <c r="AH1844">
        <v>16.015174199352199</v>
      </c>
      <c r="AI1844">
        <v>93.912484777800103</v>
      </c>
      <c r="AJ1844">
        <v>98.808627030965297</v>
      </c>
      <c r="AK1844">
        <v>16.244180464930999</v>
      </c>
      <c r="AL1844">
        <v>79.652653616770095</v>
      </c>
      <c r="AM1844">
        <v>91.975062430628597</v>
      </c>
      <c r="AN1844">
        <v>1.0000000687649699</v>
      </c>
    </row>
    <row r="1845" spans="1:40" x14ac:dyDescent="0.25">
      <c r="A1845" t="str">
        <f>"20190312164508609"</f>
        <v>20190312164508609</v>
      </c>
      <c r="B1845" t="str">
        <f>"1552380308603479"</f>
        <v>1552380308603479</v>
      </c>
      <c r="C1845" t="s">
        <v>40</v>
      </c>
      <c r="D1845">
        <v>4.6326780000000003</v>
      </c>
      <c r="E1845">
        <v>0.4584588</v>
      </c>
      <c r="F1845" t="s">
        <v>51</v>
      </c>
      <c r="G1845">
        <v>-434.16539999999998</v>
      </c>
      <c r="H1845" s="1">
        <v>4.1926040000000004E-6</v>
      </c>
      <c r="I1845">
        <v>283.1474</v>
      </c>
      <c r="J1845">
        <v>-417.86399999999998</v>
      </c>
      <c r="K1845">
        <v>1.1083959999999999</v>
      </c>
      <c r="L1845">
        <v>285.39440000000002</v>
      </c>
      <c r="M1845">
        <v>-0.99973909999999999</v>
      </c>
      <c r="N1845">
        <v>0</v>
      </c>
      <c r="O1845">
        <v>1.690958E-2</v>
      </c>
      <c r="P1845">
        <v>-0.98623000000000005</v>
      </c>
      <c r="Q1845">
        <v>0.16442699999999999</v>
      </c>
      <c r="R1845">
        <v>-1.7725330000000001E-2</v>
      </c>
      <c r="S1845">
        <v>-3.068695</v>
      </c>
      <c r="T1845">
        <v>-0.20407249999999999</v>
      </c>
      <c r="U1845">
        <v>-0.41256710000000002</v>
      </c>
      <c r="V1845">
        <v>-3.4387319999999999E-2</v>
      </c>
      <c r="W1845">
        <v>0.1795467</v>
      </c>
      <c r="X1845">
        <v>0.98314829999999998</v>
      </c>
      <c r="Y1845">
        <v>-0.14962520000000001</v>
      </c>
      <c r="Z1845">
        <v>-6.0661350000000003E-3</v>
      </c>
      <c r="AA1845">
        <v>0.98872420000000005</v>
      </c>
      <c r="AB1845">
        <v>54</v>
      </c>
      <c r="AC1845">
        <v>-16.301399999999902</v>
      </c>
      <c r="AD1845">
        <v>-1.108391807396</v>
      </c>
      <c r="AE1845">
        <v>-2.2470000000000101</v>
      </c>
      <c r="AF1845">
        <v>-2.51096888356044</v>
      </c>
      <c r="AG1845">
        <v>-1.108391807396</v>
      </c>
      <c r="AH1845">
        <v>16.1876262053148</v>
      </c>
      <c r="AI1845">
        <v>93.870868134652099</v>
      </c>
      <c r="AJ1845">
        <v>98.817254555267397</v>
      </c>
      <c r="AK1845">
        <v>16.4186704484835</v>
      </c>
      <c r="AL1845">
        <v>79.656642961436404</v>
      </c>
      <c r="AM1845">
        <v>92.003202817950196</v>
      </c>
      <c r="AN1845">
        <v>1.00000004252528</v>
      </c>
    </row>
    <row r="1846" spans="1:40" x14ac:dyDescent="0.25">
      <c r="A1846" t="str">
        <f>"20190312164508622"</f>
        <v>20190312164508622</v>
      </c>
      <c r="B1846" t="str">
        <f>"1552380308613239"</f>
        <v>1552380308613239</v>
      </c>
      <c r="C1846" t="s">
        <v>40</v>
      </c>
      <c r="D1846">
        <v>4.4662759999999997</v>
      </c>
      <c r="E1846">
        <v>0.45860679999999998</v>
      </c>
      <c r="F1846" t="s">
        <v>51</v>
      </c>
      <c r="G1846">
        <v>-434.54860000000002</v>
      </c>
      <c r="H1846" s="1">
        <v>4.3617570000000002E-6</v>
      </c>
      <c r="I1846">
        <v>283.15640000000002</v>
      </c>
      <c r="J1846">
        <v>-418.17399999999998</v>
      </c>
      <c r="K1846">
        <v>1.1084050000000001</v>
      </c>
      <c r="L1846">
        <v>285.39960000000002</v>
      </c>
      <c r="M1846">
        <v>-0.99973939999999994</v>
      </c>
      <c r="N1846">
        <v>0</v>
      </c>
      <c r="O1846">
        <v>1.6893060000000001E-2</v>
      </c>
      <c r="P1846">
        <v>-0.98624520000000004</v>
      </c>
      <c r="Q1846">
        <v>0.16431760000000001</v>
      </c>
      <c r="R1846">
        <v>-1.790127E-2</v>
      </c>
      <c r="S1846">
        <v>-3.0684809999999998</v>
      </c>
      <c r="T1846">
        <v>-0.2038449</v>
      </c>
      <c r="U1846">
        <v>-0.41159059999999997</v>
      </c>
      <c r="V1846">
        <v>-3.4550230000000001E-2</v>
      </c>
      <c r="W1846">
        <v>0.17943499999999901</v>
      </c>
      <c r="X1846">
        <v>0.98316289999999995</v>
      </c>
      <c r="Y1846">
        <v>-0.14931029999999901</v>
      </c>
      <c r="Z1846">
        <v>-6.0484340000000001E-3</v>
      </c>
      <c r="AA1846">
        <v>0.98877190000000004</v>
      </c>
      <c r="AB1846">
        <v>54</v>
      </c>
      <c r="AC1846">
        <v>-16.374599999999901</v>
      </c>
      <c r="AD1846">
        <v>-1.1084006382429901</v>
      </c>
      <c r="AE1846">
        <v>-2.2431999999999999</v>
      </c>
      <c r="AF1846">
        <v>-2.5082485315491501</v>
      </c>
      <c r="AG1846">
        <v>-1.1084006382429901</v>
      </c>
      <c r="AH1846">
        <v>16.261227947958002</v>
      </c>
      <c r="AI1846">
        <v>93.853935880841405</v>
      </c>
      <c r="AJ1846">
        <v>98.768606673870494</v>
      </c>
      <c r="AK1846">
        <v>16.4908276640782</v>
      </c>
      <c r="AL1846">
        <v>79.663147719453704</v>
      </c>
      <c r="AM1846">
        <v>92.012655344815599</v>
      </c>
      <c r="AN1846">
        <v>0.99999996277723002</v>
      </c>
    </row>
    <row r="1847" spans="1:40" x14ac:dyDescent="0.25">
      <c r="A1847" t="str">
        <f>"20190312164508639"</f>
        <v>20190312164508639</v>
      </c>
      <c r="B1847" t="str">
        <f>"1552380308633734"</f>
        <v>1552380308633734</v>
      </c>
      <c r="C1847" t="s">
        <v>40</v>
      </c>
      <c r="D1847">
        <v>4.473166</v>
      </c>
      <c r="E1847">
        <v>0.45887060000000002</v>
      </c>
      <c r="F1847" t="s">
        <v>51</v>
      </c>
      <c r="G1847">
        <v>-434.87450000000001</v>
      </c>
      <c r="H1847" s="1">
        <v>4.5056230000000001E-6</v>
      </c>
      <c r="I1847">
        <v>283.1635</v>
      </c>
      <c r="J1847">
        <v>-418.58429999999998</v>
      </c>
      <c r="K1847">
        <v>1.1084179999999999</v>
      </c>
      <c r="L1847">
        <v>285.40649999999999</v>
      </c>
      <c r="M1847">
        <v>-0.99973999999999996</v>
      </c>
      <c r="N1847">
        <v>0</v>
      </c>
      <c r="O1847">
        <v>1.6870369999999999E-2</v>
      </c>
      <c r="P1847">
        <v>-0.98616429999999999</v>
      </c>
      <c r="Q1847">
        <v>0.16471629999999901</v>
      </c>
      <c r="R1847">
        <v>-1.867723E-2</v>
      </c>
      <c r="S1847">
        <v>-3.0683289999999999</v>
      </c>
      <c r="T1847">
        <v>-0.20364299999999999</v>
      </c>
      <c r="U1847">
        <v>-0.41082760000000001</v>
      </c>
      <c r="V1847">
        <v>-3.5306650000000002E-2</v>
      </c>
      <c r="W1847">
        <v>0.17982860000000001</v>
      </c>
      <c r="X1847">
        <v>0.98306420000000005</v>
      </c>
      <c r="Y1847">
        <v>-0.14905409999999999</v>
      </c>
      <c r="Z1847">
        <v>-6.0328980000000001E-3</v>
      </c>
      <c r="AA1847">
        <v>0.98881070000000004</v>
      </c>
      <c r="AB1847">
        <v>54</v>
      </c>
      <c r="AC1847">
        <v>-16.290199999999999</v>
      </c>
      <c r="AD1847">
        <v>-1.1084134943770001</v>
      </c>
      <c r="AE1847">
        <v>-2.2429999999999901</v>
      </c>
      <c r="AF1847">
        <v>-2.5061479750103999</v>
      </c>
      <c r="AG1847">
        <v>-1.1084134943770001</v>
      </c>
      <c r="AH1847">
        <v>16.176537696638501</v>
      </c>
      <c r="AI1847">
        <v>93.873701043643194</v>
      </c>
      <c r="AJ1847">
        <v>98.806529213307101</v>
      </c>
      <c r="AK1847">
        <v>16.407002468395401</v>
      </c>
      <c r="AL1847">
        <v>79.640224153789006</v>
      </c>
      <c r="AM1847">
        <v>92.056887974156297</v>
      </c>
      <c r="AN1847">
        <v>1.00000005311691</v>
      </c>
    </row>
    <row r="1848" spans="1:40" x14ac:dyDescent="0.25">
      <c r="A1848" t="str">
        <f>"20190312164508662"</f>
        <v>20190312164508662</v>
      </c>
      <c r="B1848" t="str">
        <f>"1552380308653255"</f>
        <v>1552380308653255</v>
      </c>
      <c r="C1848" t="s">
        <v>40</v>
      </c>
      <c r="D1848">
        <v>4.4826670000000002</v>
      </c>
      <c r="E1848">
        <v>0.45902999999999999</v>
      </c>
      <c r="F1848" t="s">
        <v>51</v>
      </c>
      <c r="G1848">
        <v>-435.4735</v>
      </c>
      <c r="H1848" s="1">
        <v>4.7729760000000001E-6</v>
      </c>
      <c r="I1848">
        <v>283.14420000000001</v>
      </c>
      <c r="J1848">
        <v>-419.14569999999998</v>
      </c>
      <c r="K1848">
        <v>1.1084320000000001</v>
      </c>
      <c r="L1848">
        <v>285.416</v>
      </c>
      <c r="M1848">
        <v>-0.99974059999999998</v>
      </c>
      <c r="N1848">
        <v>0</v>
      </c>
      <c r="O1848">
        <v>1.6838249999999999E-2</v>
      </c>
      <c r="P1848">
        <v>-0.98607089999999997</v>
      </c>
      <c r="Q1848">
        <v>0.1652526</v>
      </c>
      <c r="R1848">
        <v>-1.8881559999999999E-2</v>
      </c>
      <c r="S1848">
        <v>-3.0679020000000001</v>
      </c>
      <c r="T1848">
        <v>-0.20134160000000001</v>
      </c>
      <c r="U1848">
        <v>-0.41094969999999997</v>
      </c>
      <c r="V1848">
        <v>-3.5482220000000002E-2</v>
      </c>
      <c r="W1848">
        <v>0.18035860000000001</v>
      </c>
      <c r="X1848">
        <v>0.98296070000000002</v>
      </c>
      <c r="Y1848">
        <v>-0.1490871</v>
      </c>
      <c r="Z1848">
        <v>-5.9646500000000002E-3</v>
      </c>
      <c r="AA1848">
        <v>0.98880610000000002</v>
      </c>
      <c r="AB1848">
        <v>54</v>
      </c>
      <c r="AC1848">
        <v>-16.3278</v>
      </c>
      <c r="AD1848">
        <v>-1.1084272270240001</v>
      </c>
      <c r="AE1848">
        <v>-2.2717999999999798</v>
      </c>
      <c r="AF1848">
        <v>-2.5349811810754699</v>
      </c>
      <c r="AG1848">
        <v>-1.1084272270240001</v>
      </c>
      <c r="AH1848">
        <v>16.2139242726983</v>
      </c>
      <c r="AI1848">
        <v>93.864011831939095</v>
      </c>
      <c r="AJ1848">
        <v>98.886024850424505</v>
      </c>
      <c r="AK1848">
        <v>16.448285042119501</v>
      </c>
      <c r="AL1848">
        <v>79.609351807055702</v>
      </c>
      <c r="AM1848">
        <v>92.067324911353296</v>
      </c>
      <c r="AN1848">
        <v>0.999999975137289</v>
      </c>
    </row>
    <row r="1849" spans="1:40" x14ac:dyDescent="0.25">
      <c r="A1849" t="str">
        <f>"20190312164508683"</f>
        <v>20190312164508683</v>
      </c>
      <c r="B1849" t="str">
        <f>"1552380308673751"</f>
        <v>1552380308673751</v>
      </c>
      <c r="C1849" t="s">
        <v>40</v>
      </c>
      <c r="D1849">
        <v>4.6873310000000004</v>
      </c>
      <c r="E1849">
        <v>0.45930179999999998</v>
      </c>
      <c r="F1849" t="s">
        <v>51</v>
      </c>
      <c r="G1849">
        <v>-436.08260000000001</v>
      </c>
      <c r="H1849" s="1">
        <v>5.0422440000000001E-6</v>
      </c>
      <c r="I1849">
        <v>283.15379999999999</v>
      </c>
      <c r="J1849">
        <v>-419.65199999999999</v>
      </c>
      <c r="K1849">
        <v>1.1084529999999999</v>
      </c>
      <c r="L1849">
        <v>285.42450000000002</v>
      </c>
      <c r="M1849">
        <v>-0.99974110000000005</v>
      </c>
      <c r="N1849">
        <v>0</v>
      </c>
      <c r="O1849">
        <v>1.6807559999999999E-2</v>
      </c>
      <c r="P1849">
        <v>-0.98598949999999996</v>
      </c>
      <c r="Q1849">
        <v>0.1657497</v>
      </c>
      <c r="R1849">
        <v>-1.875827E-2</v>
      </c>
      <c r="S1849">
        <v>-3.0681759999999998</v>
      </c>
      <c r="T1849">
        <v>-0.20079459999999999</v>
      </c>
      <c r="U1849">
        <v>-0.40978999999999999</v>
      </c>
      <c r="V1849">
        <v>-3.5330849999999997E-2</v>
      </c>
      <c r="W1849">
        <v>0.1808506</v>
      </c>
      <c r="X1849">
        <v>0.98287579999999997</v>
      </c>
      <c r="Y1849">
        <v>-0.1486807</v>
      </c>
      <c r="Z1849">
        <v>-5.9328779999999999E-3</v>
      </c>
      <c r="AA1849">
        <v>0.98886750000000001</v>
      </c>
      <c r="AB1849">
        <v>54</v>
      </c>
      <c r="AC1849">
        <v>-16.430599999999998</v>
      </c>
      <c r="AD1849">
        <v>-1.108447957756</v>
      </c>
      <c r="AE1849">
        <v>-2.2707000000000299</v>
      </c>
      <c r="AF1849">
        <v>-2.53524783429607</v>
      </c>
      <c r="AG1849">
        <v>-1.108447957756</v>
      </c>
      <c r="AH1849">
        <v>16.317238220944802</v>
      </c>
      <c r="AI1849">
        <v>93.840258690099802</v>
      </c>
      <c r="AJ1849">
        <v>98.8315660073213</v>
      </c>
      <c r="AK1849">
        <v>16.550178295577901</v>
      </c>
      <c r="AL1849">
        <v>79.5806914855863</v>
      </c>
      <c r="AM1849">
        <v>92.058690800621505</v>
      </c>
      <c r="AN1849">
        <v>1.00000002335386</v>
      </c>
    </row>
    <row r="1850" spans="1:40" x14ac:dyDescent="0.25">
      <c r="A1850" t="str">
        <f>"20190312164508705"</f>
        <v>20190312164508705</v>
      </c>
      <c r="B1850" t="str">
        <f>"1552380308703031"</f>
        <v>1552380308703031</v>
      </c>
      <c r="C1850" t="s">
        <v>40</v>
      </c>
      <c r="D1850">
        <v>4.75291</v>
      </c>
      <c r="E1850">
        <v>0.49251620000000002</v>
      </c>
      <c r="F1850" t="s">
        <v>51</v>
      </c>
      <c r="G1850">
        <v>-436.67809999999997</v>
      </c>
      <c r="H1850" s="1">
        <v>5.3048670000000004E-6</v>
      </c>
      <c r="I1850">
        <v>283.1703</v>
      </c>
      <c r="J1850">
        <v>-420.20370000000003</v>
      </c>
      <c r="K1850">
        <v>1.1084609999999999</v>
      </c>
      <c r="L1850">
        <v>285.43369999999999</v>
      </c>
      <c r="M1850">
        <v>-0.99974169999999996</v>
      </c>
      <c r="N1850">
        <v>0</v>
      </c>
      <c r="O1850">
        <v>1.6772829999999999E-2</v>
      </c>
      <c r="P1850">
        <v>-0.98592930000000001</v>
      </c>
      <c r="Q1850">
        <v>0.16614899999999999</v>
      </c>
      <c r="R1850">
        <v>-1.8389119999999998E-2</v>
      </c>
      <c r="S1850">
        <v>-3.0685120000000001</v>
      </c>
      <c r="T1850">
        <v>-0.19976840000000001</v>
      </c>
      <c r="U1850">
        <v>-0.40625</v>
      </c>
      <c r="V1850">
        <v>-3.4929910000000002E-2</v>
      </c>
      <c r="W1850">
        <v>0.1812445</v>
      </c>
      <c r="X1850">
        <v>0.98281750000000001</v>
      </c>
      <c r="Y1850">
        <v>-0.14751710000000001</v>
      </c>
      <c r="Z1850">
        <v>-5.862501E-3</v>
      </c>
      <c r="AA1850">
        <v>0.98904210000000004</v>
      </c>
      <c r="AB1850">
        <v>54</v>
      </c>
      <c r="AC1850">
        <v>-16.4743999999999</v>
      </c>
      <c r="AD1850">
        <v>-1.108455695133</v>
      </c>
      <c r="AE1850">
        <v>-2.2633999999999901</v>
      </c>
      <c r="AF1850">
        <v>-2.5282030147619801</v>
      </c>
      <c r="AG1850">
        <v>-1.108455695133</v>
      </c>
      <c r="AH1850">
        <v>16.3614167368811</v>
      </c>
      <c r="AI1850">
        <v>93.830438140856998</v>
      </c>
      <c r="AJ1850">
        <v>98.784000503679195</v>
      </c>
      <c r="AK1850">
        <v>16.592662298432401</v>
      </c>
      <c r="AL1850">
        <v>79.557742702530405</v>
      </c>
      <c r="AM1850">
        <v>92.035468851837393</v>
      </c>
      <c r="AN1850">
        <v>0.99999995284955201</v>
      </c>
    </row>
    <row r="1851" spans="1:40" x14ac:dyDescent="0.25">
      <c r="A1851" t="str">
        <f>"20190312164508718"</f>
        <v>20190312164508718</v>
      </c>
      <c r="B1851" t="str">
        <f>"1552380308713767"</f>
        <v>1552380308713767</v>
      </c>
      <c r="C1851" t="s">
        <v>40</v>
      </c>
      <c r="D1851">
        <v>4.8242529999999997</v>
      </c>
      <c r="E1851">
        <v>0.49647970000000002</v>
      </c>
      <c r="F1851" t="s">
        <v>51</v>
      </c>
      <c r="G1851">
        <v>-438.92579999999998</v>
      </c>
      <c r="H1851" s="1">
        <v>6.1775869999999901E-6</v>
      </c>
      <c r="I1851">
        <v>284.589</v>
      </c>
      <c r="J1851">
        <v>-420.50799999999998</v>
      </c>
      <c r="K1851">
        <v>1.108465</v>
      </c>
      <c r="L1851">
        <v>285.43880000000001</v>
      </c>
      <c r="M1851">
        <v>-0.99974200000000002</v>
      </c>
      <c r="N1851">
        <v>0</v>
      </c>
      <c r="O1851">
        <v>1.6753589999999999E-2</v>
      </c>
      <c r="P1851">
        <v>-0.98588889999999996</v>
      </c>
      <c r="Q1851">
        <v>0.166428399999999</v>
      </c>
      <c r="R1851">
        <v>-1.8022980000000001E-2</v>
      </c>
      <c r="S1851">
        <v>-3.070862</v>
      </c>
      <c r="T1851">
        <v>-0.18181249999999999</v>
      </c>
      <c r="U1851">
        <v>-0.138549799999999</v>
      </c>
      <c r="V1851">
        <v>-3.4545230000000003E-2</v>
      </c>
      <c r="W1851">
        <v>0.18152119999999999</v>
      </c>
      <c r="X1851">
        <v>0.98278010000000005</v>
      </c>
      <c r="Y1851">
        <v>-6.1666859999999997E-2</v>
      </c>
      <c r="Z1851">
        <v>-2.813706E-3</v>
      </c>
      <c r="AA1851">
        <v>0.9980928</v>
      </c>
      <c r="AB1851">
        <v>54</v>
      </c>
      <c r="AC1851">
        <v>-18.4177999999999</v>
      </c>
      <c r="AD1851">
        <v>-1.1084588224130001</v>
      </c>
      <c r="AE1851">
        <v>-0.84980000000001599</v>
      </c>
      <c r="AF1851">
        <v>-1.1541098215260901</v>
      </c>
      <c r="AG1851">
        <v>-1.1084588224130001</v>
      </c>
      <c r="AH1851">
        <v>18.334706011024402</v>
      </c>
      <c r="AI1851">
        <v>93.452894772636796</v>
      </c>
      <c r="AJ1851">
        <v>93.601829915021895</v>
      </c>
      <c r="AK1851">
        <v>18.4044042270273</v>
      </c>
      <c r="AL1851">
        <v>79.541622281786104</v>
      </c>
      <c r="AM1851">
        <v>92.013147504906499</v>
      </c>
      <c r="AN1851">
        <v>1.0000000219606</v>
      </c>
    </row>
    <row r="1852" spans="1:40" x14ac:dyDescent="0.25">
      <c r="A1852" t="str">
        <f>"20190312164508731"</f>
        <v>20190312164508731</v>
      </c>
      <c r="B1852" t="str">
        <f>"1552380308723527"</f>
        <v>1552380308723527</v>
      </c>
      <c r="C1852" t="s">
        <v>40</v>
      </c>
      <c r="D1852">
        <v>4.6972779999999998</v>
      </c>
      <c r="E1852">
        <v>0.50256429999999996</v>
      </c>
      <c r="F1852" t="s">
        <v>51</v>
      </c>
      <c r="G1852">
        <v>-435.8279</v>
      </c>
      <c r="H1852" s="1">
        <v>4.776111E-6</v>
      </c>
      <c r="I1852">
        <v>284.9058</v>
      </c>
      <c r="J1852">
        <v>-420.80610000000001</v>
      </c>
      <c r="K1852">
        <v>1.108471</v>
      </c>
      <c r="L1852">
        <v>285.44380000000001</v>
      </c>
      <c r="M1852">
        <v>-0.99974240000000003</v>
      </c>
      <c r="N1852">
        <v>0</v>
      </c>
      <c r="O1852">
        <v>1.6734479999999999E-2</v>
      </c>
      <c r="P1852">
        <v>-0.98585639999999997</v>
      </c>
      <c r="Q1852">
        <v>0.1666359</v>
      </c>
      <c r="R1852">
        <v>-1.7880509999999999E-2</v>
      </c>
      <c r="S1852">
        <v>-3.0785830000000001</v>
      </c>
      <c r="T1852">
        <v>-0.2227488</v>
      </c>
      <c r="U1852">
        <v>-0.1071167</v>
      </c>
      <c r="V1852">
        <v>-3.4385039999999999E-2</v>
      </c>
      <c r="W1852">
        <v>0.1817261</v>
      </c>
      <c r="X1852">
        <v>0.98274790000000001</v>
      </c>
      <c r="Y1852">
        <v>-5.1316870000000001E-2</v>
      </c>
      <c r="Z1852">
        <v>-3.062571E-3</v>
      </c>
      <c r="AA1852">
        <v>0.9986777</v>
      </c>
      <c r="AB1852">
        <v>54</v>
      </c>
      <c r="AC1852">
        <v>-15.021799999999899</v>
      </c>
      <c r="AD1852">
        <v>-1.108466223889</v>
      </c>
      <c r="AE1852">
        <v>-0.53800000000001003</v>
      </c>
      <c r="AF1852">
        <v>-0.78506696718495395</v>
      </c>
      <c r="AG1852">
        <v>-1.108466223889</v>
      </c>
      <c r="AH1852">
        <v>14.929504184653901</v>
      </c>
      <c r="AI1852">
        <v>94.240393440566507</v>
      </c>
      <c r="AJ1852">
        <v>93.010122226051706</v>
      </c>
      <c r="AK1852">
        <v>14.9911681570205</v>
      </c>
      <c r="AL1852">
        <v>79.529684333462498</v>
      </c>
      <c r="AM1852">
        <v>92.003885550418801</v>
      </c>
      <c r="AN1852">
        <v>1.0000000706757</v>
      </c>
    </row>
    <row r="1853" spans="1:40" x14ac:dyDescent="0.25">
      <c r="A1853" t="str">
        <f>"20190312164508744"</f>
        <v>20190312164508744</v>
      </c>
      <c r="B1853" t="str">
        <f>"1552380308733287"</f>
        <v>1552380308733287</v>
      </c>
      <c r="C1853" t="s">
        <v>40</v>
      </c>
      <c r="D1853">
        <v>4.621391</v>
      </c>
      <c r="E1853">
        <v>0.50734990000000002</v>
      </c>
      <c r="F1853" t="s">
        <v>51</v>
      </c>
      <c r="G1853">
        <v>-436.12450000000001</v>
      </c>
      <c r="H1853" s="1">
        <v>4.8858370000000003E-6</v>
      </c>
      <c r="I1853">
        <v>285.1549</v>
      </c>
      <c r="J1853">
        <v>-421.1447</v>
      </c>
      <c r="K1853">
        <v>1.1084780000000001</v>
      </c>
      <c r="L1853">
        <v>285.4495</v>
      </c>
      <c r="M1853">
        <v>-0.99974280000000004</v>
      </c>
      <c r="N1853">
        <v>0</v>
      </c>
      <c r="O1853">
        <v>1.6712210000000002E-2</v>
      </c>
      <c r="P1853">
        <v>-0.98587659999999999</v>
      </c>
      <c r="Q1853">
        <v>0.166567299999999</v>
      </c>
      <c r="R1853">
        <v>-1.7405380000000002E-2</v>
      </c>
      <c r="S1853">
        <v>-3.07959</v>
      </c>
      <c r="T1853">
        <v>-0.22284470000000001</v>
      </c>
      <c r="U1853">
        <v>-5.807495E-2</v>
      </c>
      <c r="V1853">
        <v>-3.3889700000000002E-2</v>
      </c>
      <c r="W1853">
        <v>0.18165529999999999</v>
      </c>
      <c r="X1853">
        <v>0.98277809999999999</v>
      </c>
      <c r="Y1853">
        <v>-3.5426939999999997E-2</v>
      </c>
      <c r="Z1853">
        <v>-2.4877800000000002E-3</v>
      </c>
      <c r="AA1853">
        <v>0.99936910000000001</v>
      </c>
      <c r="AB1853">
        <v>54</v>
      </c>
      <c r="AC1853">
        <v>-14.979799999999999</v>
      </c>
      <c r="AD1853">
        <v>-1.108473114163</v>
      </c>
      <c r="AE1853">
        <v>-0.29460000000000203</v>
      </c>
      <c r="AF1853">
        <v>-0.54196734150016301</v>
      </c>
      <c r="AG1853">
        <v>-1.108473114163</v>
      </c>
      <c r="AH1853">
        <v>14.891275075783399</v>
      </c>
      <c r="AI1853">
        <v>94.254311692064505</v>
      </c>
      <c r="AJ1853">
        <v>92.084357545915694</v>
      </c>
      <c r="AK1853">
        <v>14.9423062017456</v>
      </c>
      <c r="AL1853">
        <v>79.533808541863493</v>
      </c>
      <c r="AM1853">
        <v>91.974980595339304</v>
      </c>
      <c r="AN1853">
        <v>0.99999997681189401</v>
      </c>
    </row>
    <row r="1854" spans="1:40" x14ac:dyDescent="0.25">
      <c r="A1854" t="str">
        <f>"20190312164508761"</f>
        <v>20190312164508761</v>
      </c>
      <c r="B1854" t="str">
        <f>"1552380308753783"</f>
        <v>1552380308753783</v>
      </c>
      <c r="C1854" t="s">
        <v>40</v>
      </c>
      <c r="D1854">
        <v>4.6139910000000004</v>
      </c>
      <c r="E1854">
        <v>0.51251469999999999</v>
      </c>
      <c r="F1854" t="s">
        <v>51</v>
      </c>
      <c r="G1854">
        <v>-436.96789999999999</v>
      </c>
      <c r="H1854" s="1">
        <v>5.2421220000000004E-6</v>
      </c>
      <c r="I1854">
        <v>285.35820000000001</v>
      </c>
      <c r="J1854">
        <v>-421.55309999999997</v>
      </c>
      <c r="K1854">
        <v>1.1084830000000001</v>
      </c>
      <c r="L1854">
        <v>285.4563</v>
      </c>
      <c r="M1854">
        <v>-0.9997433</v>
      </c>
      <c r="N1854">
        <v>0</v>
      </c>
      <c r="O1854">
        <v>1.668445E-2</v>
      </c>
      <c r="P1854">
        <v>-0.98580990000000002</v>
      </c>
      <c r="Q1854">
        <v>0.1669773</v>
      </c>
      <c r="R1854">
        <v>-1.724962E-2</v>
      </c>
      <c r="S1854">
        <v>-3.0791019999999998</v>
      </c>
      <c r="T1854">
        <v>-0.21570159999999999</v>
      </c>
      <c r="U1854">
        <v>-1.7761229999999999E-2</v>
      </c>
      <c r="V1854">
        <v>-3.3707170000000002E-2</v>
      </c>
      <c r="W1854">
        <v>0.18206130000000001</v>
      </c>
      <c r="X1854">
        <v>0.98270930000000001</v>
      </c>
      <c r="Y1854">
        <v>-2.2357869999999998E-2</v>
      </c>
      <c r="Z1854">
        <v>-1.9496299999999999E-3</v>
      </c>
      <c r="AA1854">
        <v>0.99974810000000003</v>
      </c>
      <c r="AB1854">
        <v>54</v>
      </c>
      <c r="AC1854">
        <v>-15.4148</v>
      </c>
      <c r="AD1854">
        <v>-1.1084777578779901</v>
      </c>
      <c r="AE1854">
        <v>-9.8099999999988002E-2</v>
      </c>
      <c r="AF1854">
        <v>-0.35347625472583699</v>
      </c>
      <c r="AG1854">
        <v>-1.1084777578779901</v>
      </c>
      <c r="AH1854">
        <v>15.331739017697799</v>
      </c>
      <c r="AI1854">
        <v>94.134168713862195</v>
      </c>
      <c r="AJ1854">
        <v>91.320731476546001</v>
      </c>
      <c r="AK1854">
        <v>15.3758215946063</v>
      </c>
      <c r="AL1854">
        <v>79.510152532106105</v>
      </c>
      <c r="AM1854">
        <v>91.964489119058499</v>
      </c>
      <c r="AN1854">
        <v>1.0000000292867901</v>
      </c>
    </row>
    <row r="1855" spans="1:40" x14ac:dyDescent="0.25">
      <c r="A1855" t="str">
        <f>"20190312164508784"</f>
        <v>20190312164508784</v>
      </c>
      <c r="B1855" t="str">
        <f>"1552380308773303"</f>
        <v>1552380308773303</v>
      </c>
      <c r="C1855" t="s">
        <v>40</v>
      </c>
      <c r="D1855">
        <v>4.6126379999999996</v>
      </c>
      <c r="E1855">
        <v>0.51449040000000001</v>
      </c>
      <c r="F1855" t="s">
        <v>51</v>
      </c>
      <c r="G1855">
        <v>-438.04500000000002</v>
      </c>
      <c r="H1855" s="1">
        <v>5.6997270000000004E-6</v>
      </c>
      <c r="I1855">
        <v>285.5874</v>
      </c>
      <c r="J1855">
        <v>-422.08519999999999</v>
      </c>
      <c r="K1855">
        <v>1.1084959999999999</v>
      </c>
      <c r="L1855">
        <v>285.46510000000001</v>
      </c>
      <c r="M1855">
        <v>-0.99974410000000002</v>
      </c>
      <c r="N1855">
        <v>0</v>
      </c>
      <c r="O1855">
        <v>1.664204E-2</v>
      </c>
      <c r="P1855">
        <v>-0.98589890000000002</v>
      </c>
      <c r="Q1855">
        <v>0.16646340000000001</v>
      </c>
      <c r="R1855">
        <v>-1.712027E-2</v>
      </c>
      <c r="S1855">
        <v>-3.0786739999999999</v>
      </c>
      <c r="T1855">
        <v>-0.20692840000000001</v>
      </c>
      <c r="U1855">
        <v>2.44751E-2</v>
      </c>
      <c r="V1855">
        <v>-3.3540790000000001E-2</v>
      </c>
      <c r="W1855">
        <v>0.1815446</v>
      </c>
      <c r="X1855">
        <v>0.98281059999999998</v>
      </c>
      <c r="Y1855">
        <v>-8.6379030000000006E-3</v>
      </c>
      <c r="Z1855">
        <v>-1.4073250000000001E-3</v>
      </c>
      <c r="AA1855">
        <v>0.99996169999999995</v>
      </c>
      <c r="AB1855">
        <v>54</v>
      </c>
      <c r="AC1855">
        <v>-15.9598</v>
      </c>
      <c r="AD1855">
        <v>-1.108490300273</v>
      </c>
      <c r="AE1855">
        <v>0.122299999999995</v>
      </c>
      <c r="AF1855">
        <v>-0.142663584134604</v>
      </c>
      <c r="AG1855">
        <v>-1.108490300273</v>
      </c>
      <c r="AH1855">
        <v>15.883009373661899</v>
      </c>
      <c r="AI1855">
        <v>93.992092928065702</v>
      </c>
      <c r="AJ1855">
        <v>90.514625487867406</v>
      </c>
      <c r="AK1855">
        <v>15.9222828265255</v>
      </c>
      <c r="AL1855">
        <v>79.540259214344204</v>
      </c>
      <c r="AM1855">
        <v>91.954598532035405</v>
      </c>
      <c r="AN1855">
        <v>1.0000000509276701</v>
      </c>
    </row>
    <row r="1856" spans="1:40" x14ac:dyDescent="0.25">
      <c r="A1856" t="str">
        <f>"20190312164508798"</f>
        <v>20190312164508798</v>
      </c>
      <c r="B1856" t="str">
        <f>"1552380308793802"</f>
        <v>1552380308793802</v>
      </c>
      <c r="C1856" t="s">
        <v>40</v>
      </c>
      <c r="D1856">
        <v>4.6442699999999997</v>
      </c>
      <c r="E1856">
        <v>0.51579200000000003</v>
      </c>
      <c r="F1856" t="s">
        <v>51</v>
      </c>
      <c r="G1856">
        <v>-438.61529999999999</v>
      </c>
      <c r="H1856" s="1">
        <v>5.9442440000000001E-6</v>
      </c>
      <c r="I1856">
        <v>285.68340000000001</v>
      </c>
      <c r="J1856">
        <v>-422.45370000000003</v>
      </c>
      <c r="K1856">
        <v>1.1085039999999999</v>
      </c>
      <c r="L1856">
        <v>285.47129999999999</v>
      </c>
      <c r="M1856">
        <v>-0.99974479999999999</v>
      </c>
      <c r="N1856">
        <v>0</v>
      </c>
      <c r="O1856">
        <v>1.660348E-2</v>
      </c>
      <c r="P1856">
        <v>-0.98587720000000001</v>
      </c>
      <c r="Q1856">
        <v>0.16660269999999999</v>
      </c>
      <c r="R1856">
        <v>-1.7027770000000001E-2</v>
      </c>
      <c r="S1856">
        <v>-3.0784609999999999</v>
      </c>
      <c r="T1856">
        <v>-0.2064378</v>
      </c>
      <c r="U1856">
        <v>4.0649409999999997E-2</v>
      </c>
      <c r="V1856">
        <v>-3.341247E-2</v>
      </c>
      <c r="W1856">
        <v>0.18168110000000001</v>
      </c>
      <c r="X1856">
        <v>0.98278969999999999</v>
      </c>
      <c r="Y1856">
        <v>-3.3576650000000001E-3</v>
      </c>
      <c r="Z1856">
        <v>-1.224623E-3</v>
      </c>
      <c r="AA1856">
        <v>0.99999360000000004</v>
      </c>
      <c r="AB1856">
        <v>54</v>
      </c>
      <c r="AC1856">
        <v>-16.1615999999999</v>
      </c>
      <c r="AD1856">
        <v>-1.108498055756</v>
      </c>
      <c r="AE1856">
        <v>0.21210000000001999</v>
      </c>
      <c r="AF1856">
        <v>-5.6035967936300397E-2</v>
      </c>
      <c r="AG1856">
        <v>-1.108498055756</v>
      </c>
      <c r="AH1856">
        <v>16.087226476214202</v>
      </c>
      <c r="AI1856">
        <v>93.941738757679502</v>
      </c>
      <c r="AJ1856">
        <v>90.199575202325306</v>
      </c>
      <c r="AK1856">
        <v>16.125469409177601</v>
      </c>
      <c r="AL1856">
        <v>79.532305593213394</v>
      </c>
      <c r="AM1856">
        <v>91.947167792490504</v>
      </c>
      <c r="AN1856">
        <v>1.0000000048374</v>
      </c>
    </row>
    <row r="1857" spans="1:40" x14ac:dyDescent="0.25">
      <c r="A1857" t="str">
        <f>"20190312164508812"</f>
        <v>20190312164508812</v>
      </c>
      <c r="B1857" t="str">
        <f>"1552380308803563"</f>
        <v>1552380308803563</v>
      </c>
      <c r="C1857" t="s">
        <v>40</v>
      </c>
      <c r="D1857">
        <v>4.7822699999999996</v>
      </c>
      <c r="E1857">
        <v>0.51605679999999998</v>
      </c>
      <c r="F1857" t="s">
        <v>51</v>
      </c>
      <c r="G1857">
        <v>-439.31020000000001</v>
      </c>
      <c r="H1857" s="1">
        <v>6.2464400000000003E-6</v>
      </c>
      <c r="I1857">
        <v>285.75130000000001</v>
      </c>
      <c r="J1857">
        <v>-422.7749</v>
      </c>
      <c r="K1857">
        <v>1.1085130000000001</v>
      </c>
      <c r="L1857">
        <v>285.47660000000002</v>
      </c>
      <c r="M1857">
        <v>-0.99974560000000001</v>
      </c>
      <c r="N1857">
        <v>0</v>
      </c>
      <c r="O1857">
        <v>1.656256E-2</v>
      </c>
      <c r="P1857">
        <v>-0.98592440000000003</v>
      </c>
      <c r="Q1857">
        <v>0.16632720000000001</v>
      </c>
      <c r="R1857">
        <v>-1.699142E-2</v>
      </c>
      <c r="S1857">
        <v>-3.0780940000000001</v>
      </c>
      <c r="T1857">
        <v>-0.20241799999999999</v>
      </c>
      <c r="U1857">
        <v>5.1147459999999999E-2</v>
      </c>
      <c r="V1857">
        <v>-3.3340630000000003E-2</v>
      </c>
      <c r="W1857">
        <v>0.1814035</v>
      </c>
      <c r="X1857">
        <v>0.98284340000000003</v>
      </c>
      <c r="Y1857" s="1">
        <v>8.5383219999999994E-5</v>
      </c>
      <c r="Z1857">
        <v>-1.085166E-3</v>
      </c>
      <c r="AA1857">
        <v>0.99999939999999998</v>
      </c>
      <c r="AB1857">
        <v>54</v>
      </c>
      <c r="AC1857">
        <v>-16.535299999999999</v>
      </c>
      <c r="AD1857">
        <v>-1.1085067535599999</v>
      </c>
      <c r="AE1857">
        <v>0.274699999999995</v>
      </c>
      <c r="AF1857">
        <v>7.5989325228348304E-4</v>
      </c>
      <c r="AG1857">
        <v>-1.1085067535599999</v>
      </c>
      <c r="AH1857">
        <v>16.463611243326302</v>
      </c>
      <c r="AI1857">
        <v>93.851952100289793</v>
      </c>
      <c r="AJ1857">
        <v>89.997355460137996</v>
      </c>
      <c r="AK1857">
        <v>16.500887338913198</v>
      </c>
      <c r="AL1857">
        <v>79.548479487775097</v>
      </c>
      <c r="AM1857">
        <v>91.942878330031306</v>
      </c>
      <c r="AN1857">
        <v>0.99999998817230296</v>
      </c>
    </row>
    <row r="1858" spans="1:40" x14ac:dyDescent="0.25">
      <c r="A1858" t="str">
        <f>"20190312164508825"</f>
        <v>20190312164508825</v>
      </c>
      <c r="B1858" t="str">
        <f>"1552380308813323"</f>
        <v>1552380308813323</v>
      </c>
      <c r="C1858" t="s">
        <v>40</v>
      </c>
      <c r="D1858">
        <v>4.6849379999999998</v>
      </c>
      <c r="E1858">
        <v>0.51655079999999998</v>
      </c>
      <c r="F1858" t="s">
        <v>41</v>
      </c>
      <c r="G1858">
        <v>-423.90309999999999</v>
      </c>
      <c r="H1858">
        <v>1.0346229999999901</v>
      </c>
      <c r="I1858">
        <v>285.49639999999999</v>
      </c>
      <c r="J1858">
        <v>-423.08229999999998</v>
      </c>
      <c r="K1858">
        <v>1.1085259999999999</v>
      </c>
      <c r="L1858">
        <v>285.48160000000001</v>
      </c>
      <c r="M1858">
        <v>-0.99974640000000004</v>
      </c>
      <c r="N1858">
        <v>0</v>
      </c>
      <c r="O1858">
        <v>1.6511519999999998E-2</v>
      </c>
      <c r="P1858">
        <v>-0.98596010000000001</v>
      </c>
      <c r="Q1858">
        <v>0.166102</v>
      </c>
      <c r="R1858">
        <v>-1.7118540000000002E-2</v>
      </c>
      <c r="S1858">
        <v>-3.0777589999999999</v>
      </c>
      <c r="T1858">
        <v>-0.20161960000000001</v>
      </c>
      <c r="U1858">
        <v>5.3314210000000001E-2</v>
      </c>
      <c r="V1858">
        <v>-3.3423139999999997E-2</v>
      </c>
      <c r="W1858">
        <v>0.18117559999999999</v>
      </c>
      <c r="X1858">
        <v>0.9828827</v>
      </c>
      <c r="Y1858">
        <v>8.4005579999999998E-4</v>
      </c>
      <c r="Z1858">
        <v>-1.052975E-3</v>
      </c>
      <c r="AA1858">
        <v>0.99999910000000003</v>
      </c>
      <c r="AB1858">
        <v>54</v>
      </c>
      <c r="AC1858">
        <v>-0.82080000000001896</v>
      </c>
      <c r="AD1858">
        <v>-7.3903000000000205E-2</v>
      </c>
      <c r="AE1858">
        <v>1.4799999999979699E-2</v>
      </c>
      <c r="AF1858">
        <v>1.2337385237060699E-3</v>
      </c>
      <c r="AG1858">
        <v>-7.3903000000000205E-2</v>
      </c>
      <c r="AH1858">
        <v>0.81433298904923901</v>
      </c>
      <c r="AI1858">
        <v>95.185541532042805</v>
      </c>
      <c r="AJ1858">
        <v>89.913195268645595</v>
      </c>
      <c r="AK1858">
        <v>0.81768049540979804</v>
      </c>
      <c r="AL1858">
        <v>79.561757896902094</v>
      </c>
      <c r="AM1858">
        <v>91.947604968614996</v>
      </c>
      <c r="AN1858">
        <v>1.00000005314105</v>
      </c>
    </row>
    <row r="1859" spans="1:40" x14ac:dyDescent="0.25">
      <c r="A1859" t="str">
        <f>"20190312164508838"</f>
        <v>20190312164508838</v>
      </c>
      <c r="B1859" t="str">
        <f>"1552380308833819"</f>
        <v>1552380308833819</v>
      </c>
      <c r="C1859" t="s">
        <v>40</v>
      </c>
      <c r="D1859">
        <v>4.7282580000000003</v>
      </c>
      <c r="E1859">
        <v>0.51731819999999995</v>
      </c>
      <c r="F1859" t="s">
        <v>47</v>
      </c>
      <c r="G1859">
        <v>-439.99520000000001</v>
      </c>
      <c r="H1859" s="1">
        <v>-1.5907540000000001E-6</v>
      </c>
      <c r="I1859">
        <v>285.79250000000002</v>
      </c>
      <c r="J1859">
        <v>-423.4119</v>
      </c>
      <c r="K1859">
        <v>1.108544</v>
      </c>
      <c r="L1859">
        <v>285.48700000000002</v>
      </c>
      <c r="M1859">
        <v>-0.99974770000000002</v>
      </c>
      <c r="N1859">
        <v>0</v>
      </c>
      <c r="O1859">
        <v>1.6439800000000001E-2</v>
      </c>
      <c r="P1859">
        <v>-0.98595120000000003</v>
      </c>
      <c r="Q1859">
        <v>0.1661588</v>
      </c>
      <c r="R1859">
        <v>-1.7078900000000001E-2</v>
      </c>
      <c r="S1859">
        <v>-3.0776669999999999</v>
      </c>
      <c r="T1859">
        <v>-0.2017205</v>
      </c>
      <c r="U1859">
        <v>5.6579589999999999E-2</v>
      </c>
      <c r="V1859">
        <v>-3.3320170000000003E-2</v>
      </c>
      <c r="W1859">
        <v>0.18122849999999999</v>
      </c>
      <c r="X1859">
        <v>0.98287639999999998</v>
      </c>
      <c r="Y1859">
        <v>1.9704150000000001E-3</v>
      </c>
      <c r="Z1859">
        <v>-1.0118239999999999E-3</v>
      </c>
      <c r="AA1859">
        <v>0.99999760000000004</v>
      </c>
      <c r="AB1859">
        <v>54</v>
      </c>
      <c r="AC1859">
        <v>-16.583300000000001</v>
      </c>
      <c r="AD1859">
        <v>-1.1085455907540001</v>
      </c>
      <c r="AE1859">
        <v>0.305499999999995</v>
      </c>
      <c r="AF1859">
        <v>3.2654759879577298E-2</v>
      </c>
      <c r="AG1859">
        <v>-1.1085455907540001</v>
      </c>
      <c r="AH1859">
        <v>16.5123204552179</v>
      </c>
      <c r="AI1859">
        <v>93.840750067701705</v>
      </c>
      <c r="AJ1859">
        <v>89.886692031678905</v>
      </c>
      <c r="AK1859">
        <v>16.549521638885199</v>
      </c>
      <c r="AL1859">
        <v>79.558675478888702</v>
      </c>
      <c r="AM1859">
        <v>91.941621823129793</v>
      </c>
      <c r="AN1859">
        <v>1.0000000103090101</v>
      </c>
    </row>
    <row r="1860" spans="1:40" x14ac:dyDescent="0.25">
      <c r="A1860" t="str">
        <f>"20190312164508853"</f>
        <v>20190312164508853</v>
      </c>
      <c r="B1860" t="str">
        <f>"1552380308843579"</f>
        <v>1552380308843579</v>
      </c>
      <c r="C1860" t="s">
        <v>40</v>
      </c>
      <c r="D1860">
        <v>4.7203160000000004</v>
      </c>
      <c r="E1860">
        <v>0.51775749999999998</v>
      </c>
      <c r="F1860" t="s">
        <v>47</v>
      </c>
      <c r="G1860">
        <v>-440.48759999999999</v>
      </c>
      <c r="H1860" s="1">
        <v>-1.3304929999999901E-6</v>
      </c>
      <c r="I1860">
        <v>285.83260000000001</v>
      </c>
      <c r="J1860">
        <v>-423.75990000000002</v>
      </c>
      <c r="K1860">
        <v>1.1085609999999999</v>
      </c>
      <c r="L1860">
        <v>285.49270000000001</v>
      </c>
      <c r="M1860">
        <v>-0.99974909999999995</v>
      </c>
      <c r="N1860">
        <v>0</v>
      </c>
      <c r="O1860">
        <v>1.6346110000000001E-2</v>
      </c>
      <c r="P1860">
        <v>-0.98598660000000005</v>
      </c>
      <c r="Q1860">
        <v>0.1659542</v>
      </c>
      <c r="R1860">
        <v>-1.7025410000000001E-2</v>
      </c>
      <c r="S1860">
        <v>-3.077515</v>
      </c>
      <c r="T1860">
        <v>-0.19979050000000001</v>
      </c>
      <c r="U1860">
        <v>6.2286380000000002E-2</v>
      </c>
      <c r="V1860">
        <v>-3.3185550000000001E-2</v>
      </c>
      <c r="W1860">
        <v>0.1810203</v>
      </c>
      <c r="X1860">
        <v>0.98291930000000005</v>
      </c>
      <c r="Y1860">
        <v>3.9138139999999998E-3</v>
      </c>
      <c r="Z1860">
        <v>-9.3310620000000002E-4</v>
      </c>
      <c r="AA1860">
        <v>0.99999190000000004</v>
      </c>
      <c r="AB1860">
        <v>54</v>
      </c>
      <c r="AC1860">
        <v>-16.727699999999899</v>
      </c>
      <c r="AD1860">
        <v>-1.1085623304929999</v>
      </c>
      <c r="AE1860">
        <v>0.33989999999999998</v>
      </c>
      <c r="AF1860">
        <v>6.6099501408321798E-2</v>
      </c>
      <c r="AG1860">
        <v>-1.1085623304929999</v>
      </c>
      <c r="AH1860">
        <v>16.657892422333202</v>
      </c>
      <c r="AI1860">
        <v>93.807320074295902</v>
      </c>
      <c r="AJ1860">
        <v>89.772648154666996</v>
      </c>
      <c r="AK1860">
        <v>16.694869257909801</v>
      </c>
      <c r="AL1860">
        <v>79.570804867465597</v>
      </c>
      <c r="AM1860">
        <v>91.933698922539193</v>
      </c>
      <c r="AN1860">
        <v>0.99999999002669104</v>
      </c>
    </row>
    <row r="1861" spans="1:40" x14ac:dyDescent="0.25">
      <c r="A1861" t="str">
        <f>"20190312164508874"</f>
        <v>20190312164508874</v>
      </c>
      <c r="B1861" t="str">
        <f>"1552380308863098"</f>
        <v>1552380308863098</v>
      </c>
      <c r="C1861" t="s">
        <v>40</v>
      </c>
      <c r="D1861">
        <v>4.8646060000000002</v>
      </c>
      <c r="E1861">
        <v>0.51838960000000001</v>
      </c>
      <c r="F1861" t="s">
        <v>41</v>
      </c>
      <c r="G1861">
        <v>-424.86759999999998</v>
      </c>
      <c r="H1861">
        <v>1.036386</v>
      </c>
      <c r="I1861">
        <v>285.51679999999999</v>
      </c>
      <c r="J1861">
        <v>-424.26089999999999</v>
      </c>
      <c r="K1861">
        <v>1.108606</v>
      </c>
      <c r="L1861">
        <v>285.50080000000003</v>
      </c>
      <c r="M1861">
        <v>-0.99975219999999998</v>
      </c>
      <c r="N1861">
        <v>0</v>
      </c>
      <c r="O1861">
        <v>1.61578E-2</v>
      </c>
      <c r="P1861">
        <v>-0.9859521</v>
      </c>
      <c r="Q1861">
        <v>0.16617419999999999</v>
      </c>
      <c r="R1861">
        <v>-1.688578E-2</v>
      </c>
      <c r="S1861">
        <v>-3.0775760000000001</v>
      </c>
      <c r="T1861">
        <v>-0.20071520000000001</v>
      </c>
      <c r="U1861">
        <v>6.5704349999999995E-2</v>
      </c>
      <c r="V1861">
        <v>-3.2880050000000001E-2</v>
      </c>
      <c r="W1861">
        <v>0.18123320000000001</v>
      </c>
      <c r="X1861">
        <v>0.98289029999999999</v>
      </c>
      <c r="Y1861">
        <v>5.2089659999999998E-3</v>
      </c>
      <c r="Z1861">
        <v>-8.8293399999999896E-4</v>
      </c>
      <c r="AA1861">
        <v>0.99998609999999999</v>
      </c>
      <c r="AB1861">
        <v>54</v>
      </c>
      <c r="AC1861">
        <v>-0.60669999999998903</v>
      </c>
      <c r="AD1861">
        <v>-7.2219999999999895E-2</v>
      </c>
      <c r="AE1861">
        <v>1.59999999999627E-2</v>
      </c>
      <c r="AF1861">
        <v>6.10734375485294E-3</v>
      </c>
      <c r="AG1861">
        <v>-7.2219999999999895E-2</v>
      </c>
      <c r="AH1861">
        <v>0.598405872500404</v>
      </c>
      <c r="AI1861">
        <v>96.881236720351197</v>
      </c>
      <c r="AJ1861">
        <v>89.415258291581296</v>
      </c>
      <c r="AK1861">
        <v>0.60277907751572701</v>
      </c>
      <c r="AL1861">
        <v>79.558401082524398</v>
      </c>
      <c r="AM1861">
        <v>91.9159674648634</v>
      </c>
      <c r="AN1861">
        <v>0.99999995615216497</v>
      </c>
    </row>
    <row r="1862" spans="1:40" x14ac:dyDescent="0.25">
      <c r="A1862" t="str">
        <f>"20190312164508897"</f>
        <v>20190312164508897</v>
      </c>
      <c r="B1862" t="str">
        <f>"1552380308883594"</f>
        <v>1552380308883594</v>
      </c>
      <c r="C1862" t="s">
        <v>40</v>
      </c>
      <c r="D1862">
        <v>4.9666220000000001</v>
      </c>
      <c r="E1862">
        <v>0.51907519999999996</v>
      </c>
      <c r="F1862" t="s">
        <v>41</v>
      </c>
      <c r="G1862">
        <v>-425.351</v>
      </c>
      <c r="H1862">
        <v>1.039237</v>
      </c>
      <c r="I1862">
        <v>285.52620000000002</v>
      </c>
      <c r="J1862">
        <v>-424.79809999999998</v>
      </c>
      <c r="K1862">
        <v>1.108671</v>
      </c>
      <c r="L1862">
        <v>285.50920000000002</v>
      </c>
      <c r="M1862">
        <v>-0.9997566</v>
      </c>
      <c r="N1862">
        <v>0</v>
      </c>
      <c r="O1862">
        <v>1.5881340000000001E-2</v>
      </c>
      <c r="P1862">
        <v>-0.98591879999999998</v>
      </c>
      <c r="Q1862">
        <v>0.1664079</v>
      </c>
      <c r="R1862">
        <v>-1.6506730000000001E-2</v>
      </c>
      <c r="S1862">
        <v>-3.0769350000000002</v>
      </c>
      <c r="T1862">
        <v>-0.19580910000000001</v>
      </c>
      <c r="U1862">
        <v>7.13501E-2</v>
      </c>
      <c r="V1862">
        <v>-3.2257220000000003E-2</v>
      </c>
      <c r="W1862">
        <v>0.18145829999999999</v>
      </c>
      <c r="X1862">
        <v>0.9828694</v>
      </c>
      <c r="Y1862">
        <v>7.317914E-3</v>
      </c>
      <c r="Z1862">
        <v>-7.769548E-4</v>
      </c>
      <c r="AA1862">
        <v>0.99997290000000005</v>
      </c>
      <c r="AB1862">
        <v>54</v>
      </c>
      <c r="AC1862">
        <v>-0.55290000000002204</v>
      </c>
      <c r="AD1862">
        <v>-6.9433999999999704E-2</v>
      </c>
      <c r="AE1862">
        <v>1.69999999999959E-2</v>
      </c>
      <c r="AF1862">
        <v>8.0885904805335692E-3</v>
      </c>
      <c r="AG1862">
        <v>-6.9433999999999704E-2</v>
      </c>
      <c r="AH1862">
        <v>0.54452089895217604</v>
      </c>
      <c r="AI1862">
        <v>97.266000797704606</v>
      </c>
      <c r="AJ1862">
        <v>89.148961931509902</v>
      </c>
      <c r="AK1862">
        <v>0.54898954001660905</v>
      </c>
      <c r="AL1862">
        <v>79.545286288595406</v>
      </c>
      <c r="AM1862">
        <v>91.879740500127198</v>
      </c>
      <c r="AN1862">
        <v>0.99999995016868704</v>
      </c>
    </row>
    <row r="1863" spans="1:40" x14ac:dyDescent="0.25">
      <c r="A1863" t="str">
        <f>"20190312164508918"</f>
        <v>20190312164508918</v>
      </c>
      <c r="B1863" t="str">
        <f>"1552380308913851"</f>
        <v>1552380308913851</v>
      </c>
      <c r="C1863" t="s">
        <v>40</v>
      </c>
      <c r="D1863">
        <v>4.9315730000000002</v>
      </c>
      <c r="E1863">
        <v>0.51977890000000004</v>
      </c>
      <c r="F1863" t="s">
        <v>47</v>
      </c>
      <c r="G1863">
        <v>-442.86430000000001</v>
      </c>
      <c r="H1863" s="1">
        <v>-7.15188099999999E-8</v>
      </c>
      <c r="I1863">
        <v>285.9649</v>
      </c>
      <c r="J1863">
        <v>-425.3372</v>
      </c>
      <c r="K1863">
        <v>1.1087579999999999</v>
      </c>
      <c r="L1863">
        <v>285.51749999999998</v>
      </c>
      <c r="M1863">
        <v>-0.9997625</v>
      </c>
      <c r="N1863">
        <v>0</v>
      </c>
      <c r="O1863">
        <v>1.551423E-2</v>
      </c>
      <c r="P1863">
        <v>-0.98605690000000001</v>
      </c>
      <c r="Q1863">
        <v>0.16562969999999999</v>
      </c>
      <c r="R1863">
        <v>-1.6079179999999998E-2</v>
      </c>
      <c r="S1863">
        <v>-3.0760190000000001</v>
      </c>
      <c r="T1863">
        <v>-0.18876680000000001</v>
      </c>
      <c r="U1863">
        <v>7.7575679999999994E-2</v>
      </c>
      <c r="V1863">
        <v>-3.150493E-2</v>
      </c>
      <c r="W1863">
        <v>0.1806738</v>
      </c>
      <c r="X1863">
        <v>0.98303839999999998</v>
      </c>
      <c r="Y1863">
        <v>9.7082560000000002E-3</v>
      </c>
      <c r="Z1863">
        <v>-6.5349899999999999E-4</v>
      </c>
      <c r="AA1863">
        <v>0.99995270000000003</v>
      </c>
      <c r="AB1863">
        <v>54</v>
      </c>
      <c r="AC1863">
        <v>-17.527100000000001</v>
      </c>
      <c r="AD1863">
        <v>-1.1087580715188099</v>
      </c>
      <c r="AE1863">
        <v>0.44740000000001601</v>
      </c>
      <c r="AF1863">
        <v>0.17469618550792501</v>
      </c>
      <c r="AG1863">
        <v>-1.1087580715188099</v>
      </c>
      <c r="AH1863">
        <v>17.462097936173201</v>
      </c>
      <c r="AI1863">
        <v>93.632944070034796</v>
      </c>
      <c r="AJ1863">
        <v>89.426814564281699</v>
      </c>
      <c r="AK1863">
        <v>17.498134973502001</v>
      </c>
      <c r="AL1863">
        <v>79.590991212851193</v>
      </c>
      <c r="AM1863">
        <v>91.835616892249604</v>
      </c>
      <c r="AN1863">
        <v>1.00000003924765</v>
      </c>
    </row>
    <row r="1864" spans="1:40" x14ac:dyDescent="0.25">
      <c r="A1864" t="str">
        <f>"20190312164508943"</f>
        <v>20190312164508943</v>
      </c>
      <c r="B1864" t="str">
        <f>"1552380308933370"</f>
        <v>1552380308933370</v>
      </c>
      <c r="C1864" t="s">
        <v>40</v>
      </c>
      <c r="D1864">
        <v>4.7931309999999998</v>
      </c>
      <c r="E1864">
        <v>0.51997070000000001</v>
      </c>
      <c r="F1864" t="s">
        <v>47</v>
      </c>
      <c r="G1864">
        <v>-443.90350000000001</v>
      </c>
      <c r="H1864" s="1">
        <v>4.7889719999999999E-7</v>
      </c>
      <c r="I1864">
        <v>286.02499999999998</v>
      </c>
      <c r="J1864">
        <v>-425.90640000000002</v>
      </c>
      <c r="K1864">
        <v>1.108857</v>
      </c>
      <c r="L1864">
        <v>285.52609999999999</v>
      </c>
      <c r="M1864">
        <v>-0.9997703</v>
      </c>
      <c r="N1864">
        <v>0</v>
      </c>
      <c r="O1864">
        <v>1.5018699999999999E-2</v>
      </c>
      <c r="P1864">
        <v>-0.98617980000000005</v>
      </c>
      <c r="Q1864">
        <v>0.1649649</v>
      </c>
      <c r="R1864">
        <v>-1.537006E-2</v>
      </c>
      <c r="S1864">
        <v>-3.0746150000000001</v>
      </c>
      <c r="T1864">
        <v>-0.183612</v>
      </c>
      <c r="U1864">
        <v>8.4045410000000001E-2</v>
      </c>
      <c r="V1864">
        <v>-3.0351840000000001E-2</v>
      </c>
      <c r="W1864">
        <v>0.18000169999999999</v>
      </c>
      <c r="X1864">
        <v>0.98319789999999996</v>
      </c>
      <c r="Y1864">
        <v>1.231194E-2</v>
      </c>
      <c r="Z1864">
        <v>-5.2873449999999995E-4</v>
      </c>
      <c r="AA1864">
        <v>0.99992409999999998</v>
      </c>
      <c r="AB1864">
        <v>54</v>
      </c>
      <c r="AC1864">
        <v>-17.9970999999999</v>
      </c>
      <c r="AD1864">
        <v>-1.1088565211028001</v>
      </c>
      <c r="AE1864">
        <v>0.49889999999999102</v>
      </c>
      <c r="AF1864">
        <v>0.22765551530487299</v>
      </c>
      <c r="AG1864">
        <v>-1.1088565211028001</v>
      </c>
      <c r="AH1864">
        <v>17.934533133580899</v>
      </c>
      <c r="AI1864">
        <v>93.537696206746602</v>
      </c>
      <c r="AJ1864">
        <v>89.272743839852694</v>
      </c>
      <c r="AK1864">
        <v>17.970221716427201</v>
      </c>
      <c r="AL1864">
        <v>79.630140947663094</v>
      </c>
      <c r="AM1864">
        <v>91.768189518647901</v>
      </c>
      <c r="AN1864">
        <v>0.99999997837934196</v>
      </c>
    </row>
    <row r="1865" spans="1:40" x14ac:dyDescent="0.25">
      <c r="A1865" t="str">
        <f>"20190312164508963"</f>
        <v>20190312164508963</v>
      </c>
      <c r="B1865" t="str">
        <f>"1552380308953867"</f>
        <v>1552380308953867</v>
      </c>
      <c r="C1865" t="s">
        <v>40</v>
      </c>
      <c r="D1865">
        <v>4.8138370000000004</v>
      </c>
      <c r="E1865">
        <v>0.5200593</v>
      </c>
      <c r="F1865" t="s">
        <v>47</v>
      </c>
      <c r="G1865">
        <v>-444.23489999999998</v>
      </c>
      <c r="H1865" s="1">
        <v>6.5412599999999999E-7</v>
      </c>
      <c r="I1865">
        <v>286.0498</v>
      </c>
      <c r="J1865">
        <v>-426.40350000000001</v>
      </c>
      <c r="K1865">
        <v>1.1089530000000001</v>
      </c>
      <c r="L1865">
        <v>285.53320000000002</v>
      </c>
      <c r="M1865">
        <v>-0.9997781</v>
      </c>
      <c r="N1865">
        <v>0</v>
      </c>
      <c r="O1865">
        <v>1.448958E-2</v>
      </c>
      <c r="P1865">
        <v>-0.98631139999999995</v>
      </c>
      <c r="Q1865">
        <v>0.16425519999999999</v>
      </c>
      <c r="R1865">
        <v>-1.4502370000000001E-2</v>
      </c>
      <c r="S1865">
        <v>-3.0745239999999998</v>
      </c>
      <c r="T1865">
        <v>-0.1860059</v>
      </c>
      <c r="U1865">
        <v>8.7860110000000005E-2</v>
      </c>
      <c r="V1865">
        <v>-2.9005449999999999E-2</v>
      </c>
      <c r="W1865">
        <v>0.17928629999999901</v>
      </c>
      <c r="X1865">
        <v>0.98336920000000005</v>
      </c>
      <c r="Y1865">
        <v>1.4077549999999999E-2</v>
      </c>
      <c r="Z1865">
        <v>-4.5029770000000002E-4</v>
      </c>
      <c r="AA1865">
        <v>0.99990080000000003</v>
      </c>
      <c r="AB1865">
        <v>54</v>
      </c>
      <c r="AC1865">
        <v>-17.831399999999899</v>
      </c>
      <c r="AD1865">
        <v>-1.108952345874</v>
      </c>
      <c r="AE1865">
        <v>0.51659999999998196</v>
      </c>
      <c r="AF1865">
        <v>0.25715229042287202</v>
      </c>
      <c r="AG1865">
        <v>-1.108952345874</v>
      </c>
      <c r="AH1865">
        <v>17.768348482834298</v>
      </c>
      <c r="AI1865">
        <v>93.570920261802101</v>
      </c>
      <c r="AJ1865">
        <v>89.170845146287206</v>
      </c>
      <c r="AK1865">
        <v>17.8047777411944</v>
      </c>
      <c r="AL1865">
        <v>79.671807789843498</v>
      </c>
      <c r="AM1865">
        <v>91.689506000130393</v>
      </c>
      <c r="AN1865">
        <v>0.99999993850301405</v>
      </c>
    </row>
    <row r="1866" spans="1:40" x14ac:dyDescent="0.25">
      <c r="A1866" t="str">
        <f>"20190312164508986"</f>
        <v>20190312164508986</v>
      </c>
      <c r="B1866" t="str">
        <f>"1552380308973387"</f>
        <v>1552380308973387</v>
      </c>
      <c r="C1866" t="s">
        <v>40</v>
      </c>
      <c r="D1866">
        <v>4.9106059999999996</v>
      </c>
      <c r="E1866">
        <v>0.51984889999999995</v>
      </c>
      <c r="F1866" t="s">
        <v>47</v>
      </c>
      <c r="G1866">
        <v>-444.5138</v>
      </c>
      <c r="H1866" s="1">
        <v>8.017059E-7</v>
      </c>
      <c r="I1866">
        <v>286.06909999999999</v>
      </c>
      <c r="J1866">
        <v>-426.94409999999999</v>
      </c>
      <c r="K1866">
        <v>1.1090629999999999</v>
      </c>
      <c r="L1866">
        <v>285.54059999999998</v>
      </c>
      <c r="M1866">
        <v>-0.99978750000000005</v>
      </c>
      <c r="N1866">
        <v>0</v>
      </c>
      <c r="O1866">
        <v>1.3818179999999999E-2</v>
      </c>
      <c r="P1866">
        <v>-0.98635640000000002</v>
      </c>
      <c r="Q1866">
        <v>0.16402890000000001</v>
      </c>
      <c r="R1866">
        <v>-1.398952E-2</v>
      </c>
      <c r="S1866">
        <v>-3.0743100000000001</v>
      </c>
      <c r="T1866">
        <v>-0.1882501</v>
      </c>
      <c r="U1866">
        <v>9.0972899999999995E-2</v>
      </c>
      <c r="V1866">
        <v>-2.7878440000000001E-2</v>
      </c>
      <c r="W1866">
        <v>0.17905219999999999</v>
      </c>
      <c r="X1866">
        <v>0.98344450000000005</v>
      </c>
      <c r="Y1866">
        <v>1.5758169999999998E-2</v>
      </c>
      <c r="Z1866">
        <v>-3.632865E-4</v>
      </c>
      <c r="AA1866">
        <v>0.99987579999999998</v>
      </c>
      <c r="AB1866">
        <v>54</v>
      </c>
      <c r="AC1866">
        <v>-17.569700000000001</v>
      </c>
      <c r="AD1866">
        <v>-1.10906219829409</v>
      </c>
      <c r="AE1866">
        <v>0.52850000000000796</v>
      </c>
      <c r="AF1866">
        <v>0.28450722179954202</v>
      </c>
      <c r="AG1866">
        <v>-1.10906219829409</v>
      </c>
      <c r="AH1866">
        <v>17.505636250280698</v>
      </c>
      <c r="AI1866">
        <v>93.624627571326997</v>
      </c>
      <c r="AJ1866">
        <v>89.068892566862203</v>
      </c>
      <c r="AK1866">
        <v>17.543040325042899</v>
      </c>
      <c r="AL1866">
        <v>79.685441896407596</v>
      </c>
      <c r="AM1866">
        <v>91.623771643732397</v>
      </c>
      <c r="AN1866">
        <v>0.99999999116096105</v>
      </c>
    </row>
    <row r="1867" spans="1:40" x14ac:dyDescent="0.25">
      <c r="A1867" t="str">
        <f>"20190312164509008"</f>
        <v>20190312164509008</v>
      </c>
      <c r="B1867" t="str">
        <f>"1552380309003643"</f>
        <v>1552380309003643</v>
      </c>
      <c r="C1867" t="s">
        <v>40</v>
      </c>
      <c r="D1867">
        <v>4.6669450000000001</v>
      </c>
      <c r="E1867">
        <v>0.53973689999999996</v>
      </c>
      <c r="F1867" t="s">
        <v>47</v>
      </c>
      <c r="G1867">
        <v>-445.0437</v>
      </c>
      <c r="H1867" s="1">
        <v>1.0833869999999999E-6</v>
      </c>
      <c r="I1867">
        <v>286.07619999999997</v>
      </c>
      <c r="J1867">
        <v>-427.47919999999999</v>
      </c>
      <c r="K1867">
        <v>1.109167</v>
      </c>
      <c r="L1867">
        <v>285.54750000000001</v>
      </c>
      <c r="M1867">
        <v>-0.99979779999999996</v>
      </c>
      <c r="N1867">
        <v>0</v>
      </c>
      <c r="O1867">
        <v>1.306442E-2</v>
      </c>
      <c r="P1867">
        <v>-0.98632629999999999</v>
      </c>
      <c r="Q1867">
        <v>0.16420979999999999</v>
      </c>
      <c r="R1867">
        <v>-1.399714E-2</v>
      </c>
      <c r="S1867">
        <v>-3.0740660000000002</v>
      </c>
      <c r="T1867">
        <v>-0.18836549999999999</v>
      </c>
      <c r="U1867">
        <v>9.0972899999999995E-2</v>
      </c>
      <c r="V1867">
        <v>-2.7190099999999998E-2</v>
      </c>
      <c r="W1867">
        <v>0.17922389999999999</v>
      </c>
      <c r="X1867">
        <v>0.98343250000000004</v>
      </c>
      <c r="Y1867">
        <v>1.651151E-2</v>
      </c>
      <c r="Z1867">
        <v>-2.9435170000000001E-4</v>
      </c>
      <c r="AA1867">
        <v>0.99986359999999996</v>
      </c>
      <c r="AB1867">
        <v>54</v>
      </c>
      <c r="AC1867">
        <v>-17.564499999999999</v>
      </c>
      <c r="AD1867">
        <v>-1.1091659166129999</v>
      </c>
      <c r="AE1867">
        <v>0.52869999999995798</v>
      </c>
      <c r="AF1867">
        <v>0.297970907271286</v>
      </c>
      <c r="AG1867">
        <v>-1.1091659166129999</v>
      </c>
      <c r="AH1867">
        <v>17.5001864483954</v>
      </c>
      <c r="AI1867">
        <v>93.626044905211799</v>
      </c>
      <c r="AJ1867">
        <v>89.024534628954299</v>
      </c>
      <c r="AK1867">
        <v>17.5378322896747</v>
      </c>
      <c r="AL1867">
        <v>79.6754424992248</v>
      </c>
      <c r="AM1867">
        <v>91.583719470726393</v>
      </c>
      <c r="AN1867">
        <v>0.99999999496273495</v>
      </c>
    </row>
    <row r="1868" spans="1:40" x14ac:dyDescent="0.25">
      <c r="A1868" t="str">
        <f>"20190312164509031"</f>
        <v>20190312164509031</v>
      </c>
      <c r="B1868" t="str">
        <f>"1552380309023162"</f>
        <v>1552380309023162</v>
      </c>
      <c r="C1868" t="s">
        <v>40</v>
      </c>
      <c r="D1868">
        <v>4.6502150000000002</v>
      </c>
      <c r="E1868">
        <v>0.54008540000000005</v>
      </c>
      <c r="F1868" t="s">
        <v>47</v>
      </c>
      <c r="G1868">
        <v>-453.56889999999999</v>
      </c>
      <c r="H1868" s="1">
        <v>2.2775629999999999E-7</v>
      </c>
      <c r="I1868">
        <v>287.69650000000001</v>
      </c>
      <c r="J1868">
        <v>-428.03480000000002</v>
      </c>
      <c r="K1868">
        <v>1.1092709999999999</v>
      </c>
      <c r="L1868">
        <v>285.55419999999998</v>
      </c>
      <c r="M1868">
        <v>-0.99980880000000005</v>
      </c>
      <c r="N1868">
        <v>0</v>
      </c>
      <c r="O1868">
        <v>1.219959E-2</v>
      </c>
      <c r="P1868">
        <v>-0.98629990000000001</v>
      </c>
      <c r="Q1868">
        <v>0.16432479999999999</v>
      </c>
      <c r="R1868">
        <v>-1.450097E-2</v>
      </c>
      <c r="S1868">
        <v>-3.0668639999999998</v>
      </c>
      <c r="T1868">
        <v>-0.13038369999999999</v>
      </c>
      <c r="U1868">
        <v>0.25262449999999997</v>
      </c>
      <c r="V1868">
        <v>-2.6886179999999999E-2</v>
      </c>
      <c r="W1868">
        <v>0.17932899999999999</v>
      </c>
      <c r="X1868">
        <v>0.98342169999999896</v>
      </c>
      <c r="Y1868">
        <v>6.9876540000000001E-2</v>
      </c>
      <c r="Z1868">
        <v>9.6465129999999996E-4</v>
      </c>
      <c r="AA1868">
        <v>0.99755519999999998</v>
      </c>
      <c r="AB1868">
        <v>54</v>
      </c>
      <c r="AC1868">
        <v>-25.534099999999899</v>
      </c>
      <c r="AD1868">
        <v>-1.1092707722437001</v>
      </c>
      <c r="AE1868">
        <v>2.1423000000000298</v>
      </c>
      <c r="AF1868">
        <v>1.8271743393254101</v>
      </c>
      <c r="AG1868">
        <v>-1.1092707722437001</v>
      </c>
      <c r="AH1868">
        <v>25.510528876352399</v>
      </c>
      <c r="AI1868">
        <v>92.483461983538305</v>
      </c>
      <c r="AJ1868">
        <v>85.903224615717804</v>
      </c>
      <c r="AK1868">
        <v>25.5999244386317</v>
      </c>
      <c r="AL1868">
        <v>79.6693215822485</v>
      </c>
      <c r="AM1868">
        <v>91.566043346005799</v>
      </c>
      <c r="AN1868">
        <v>0.99999999847344101</v>
      </c>
    </row>
    <row r="1869" spans="1:40" x14ac:dyDescent="0.25">
      <c r="A1869" t="str">
        <f>"20190312164509053"</f>
        <v>20190312164509053</v>
      </c>
      <c r="B1869" t="str">
        <f>"1552380309043658"</f>
        <v>1552380309043658</v>
      </c>
      <c r="C1869" t="s">
        <v>40</v>
      </c>
      <c r="D1869">
        <v>5.6117559999999997</v>
      </c>
      <c r="E1869">
        <v>0.54024259999999902</v>
      </c>
      <c r="F1869" t="s">
        <v>47</v>
      </c>
      <c r="G1869">
        <v>-454.97050000000002</v>
      </c>
      <c r="H1869" s="1">
        <v>9.695788999999999E-7</v>
      </c>
      <c r="I1869">
        <v>287.7885</v>
      </c>
      <c r="J1869">
        <v>-428.55340000000001</v>
      </c>
      <c r="K1869">
        <v>1.1093599999999999</v>
      </c>
      <c r="L1869">
        <v>285.56</v>
      </c>
      <c r="M1869">
        <v>-0.99981889999999995</v>
      </c>
      <c r="N1869">
        <v>0</v>
      </c>
      <c r="O1869">
        <v>1.1338610000000001E-2</v>
      </c>
      <c r="P1869">
        <v>-0.98636509999999999</v>
      </c>
      <c r="Q1869">
        <v>0.16390270000000001</v>
      </c>
      <c r="R1869">
        <v>-1.483484E-2</v>
      </c>
      <c r="S1869">
        <v>-3.0664370000000001</v>
      </c>
      <c r="T1869">
        <v>-0.12628259999999999</v>
      </c>
      <c r="U1869">
        <v>0.25436399999999998</v>
      </c>
      <c r="V1869">
        <v>-2.6409019999999998E-2</v>
      </c>
      <c r="W1869">
        <v>0.17890120000000001</v>
      </c>
      <c r="X1869">
        <v>0.98351250000000001</v>
      </c>
      <c r="Y1869">
        <v>7.1310170000000006E-2</v>
      </c>
      <c r="Z1869">
        <v>9.9927510000000002E-4</v>
      </c>
      <c r="AA1869">
        <v>0.9974537</v>
      </c>
      <c r="AB1869">
        <v>54</v>
      </c>
      <c r="AC1869">
        <v>-26.417100000000001</v>
      </c>
      <c r="AD1869">
        <v>-1.1093590304211001</v>
      </c>
      <c r="AE1869">
        <v>2.2284999999999902</v>
      </c>
      <c r="AF1869">
        <v>1.9254170542567099</v>
      </c>
      <c r="AG1869">
        <v>-1.1093590304211001</v>
      </c>
      <c r="AH1869">
        <v>26.394454885835</v>
      </c>
      <c r="AI1869">
        <v>92.400354666359107</v>
      </c>
      <c r="AJ1869">
        <v>85.827789885988096</v>
      </c>
      <c r="AK1869">
        <v>26.487830356818101</v>
      </c>
      <c r="AL1869">
        <v>79.694235188276707</v>
      </c>
      <c r="AM1869">
        <v>91.538121662779503</v>
      </c>
      <c r="AN1869">
        <v>0.99999995667752395</v>
      </c>
    </row>
    <row r="1870" spans="1:40" x14ac:dyDescent="0.25">
      <c r="A1870" t="str">
        <f>"20190312164509080"</f>
        <v>20190312164509080</v>
      </c>
      <c r="B1870" t="str">
        <f>"1552380309073915"</f>
        <v>1552380309073915</v>
      </c>
      <c r="C1870" t="s">
        <v>40</v>
      </c>
      <c r="D1870">
        <v>4.6599810000000002</v>
      </c>
      <c r="E1870">
        <v>0.54036530000000005</v>
      </c>
      <c r="F1870" t="s">
        <v>47</v>
      </c>
      <c r="G1870">
        <v>-455.61540000000002</v>
      </c>
      <c r="H1870" s="1">
        <v>1.3119059999999901E-6</v>
      </c>
      <c r="I1870">
        <v>287.8082</v>
      </c>
      <c r="J1870">
        <v>-429.0958</v>
      </c>
      <c r="K1870">
        <v>1.1094389999999901</v>
      </c>
      <c r="L1870">
        <v>285.56549999999999</v>
      </c>
      <c r="M1870">
        <v>-0.99982910000000003</v>
      </c>
      <c r="N1870">
        <v>0</v>
      </c>
      <c r="O1870">
        <v>1.039707E-2</v>
      </c>
      <c r="P1870">
        <v>-0.98644909999999997</v>
      </c>
      <c r="Q1870">
        <v>0.16335659999999999</v>
      </c>
      <c r="R1870">
        <v>-1.5257659999999999E-2</v>
      </c>
      <c r="S1870">
        <v>-3.0662229999999999</v>
      </c>
      <c r="T1870">
        <v>-0.1256948</v>
      </c>
      <c r="U1870">
        <v>0.25473020000000002</v>
      </c>
      <c r="V1870">
        <v>-2.5937990000000001E-2</v>
      </c>
      <c r="W1870">
        <v>0.17834990000000001</v>
      </c>
      <c r="X1870">
        <v>0.98362519999999998</v>
      </c>
      <c r="Y1870">
        <v>7.2372290000000006E-2</v>
      </c>
      <c r="Z1870">
        <v>1.0549239999999901E-3</v>
      </c>
      <c r="AA1870">
        <v>0.99737719999999996</v>
      </c>
      <c r="AB1870">
        <v>54</v>
      </c>
      <c r="AC1870">
        <v>-26.519600000000001</v>
      </c>
      <c r="AD1870">
        <v>-1.10943768809399</v>
      </c>
      <c r="AE1870">
        <v>2.2427000000000099</v>
      </c>
      <c r="AF1870">
        <v>1.96340856119458</v>
      </c>
      <c r="AG1870">
        <v>-1.10943768809399</v>
      </c>
      <c r="AH1870">
        <v>26.495445119052398</v>
      </c>
      <c r="AI1870">
        <v>92.391183553274303</v>
      </c>
      <c r="AJ1870">
        <v>85.761921232225902</v>
      </c>
      <c r="AK1870">
        <v>26.591247379892799</v>
      </c>
      <c r="AL1870">
        <v>79.726339120709994</v>
      </c>
      <c r="AM1870">
        <v>91.510527617623296</v>
      </c>
      <c r="AN1870">
        <v>1.0000000001151399</v>
      </c>
    </row>
    <row r="1871" spans="1:40" x14ac:dyDescent="0.25">
      <c r="A1871" t="str">
        <f>"20190312164509099"</f>
        <v>20190312164509099</v>
      </c>
      <c r="B1871" t="str">
        <f>"1552380309093435"</f>
        <v>1552380309093435</v>
      </c>
      <c r="C1871" t="s">
        <v>40</v>
      </c>
      <c r="D1871">
        <v>4.6326280000000004</v>
      </c>
      <c r="E1871">
        <v>0.5403656</v>
      </c>
      <c r="F1871" t="s">
        <v>47</v>
      </c>
      <c r="G1871">
        <v>-455.56470000000002</v>
      </c>
      <c r="H1871" s="1">
        <v>1.287117E-6</v>
      </c>
      <c r="I1871">
        <v>287.75880000000001</v>
      </c>
      <c r="J1871">
        <v>-429.64819999999997</v>
      </c>
      <c r="K1871">
        <v>1.109515</v>
      </c>
      <c r="L1871">
        <v>285.57069999999999</v>
      </c>
      <c r="M1871">
        <v>-0.99983900000000003</v>
      </c>
      <c r="N1871">
        <v>0</v>
      </c>
      <c r="O1871">
        <v>9.4084460000000009E-3</v>
      </c>
      <c r="P1871">
        <v>-0.98635070000000002</v>
      </c>
      <c r="Q1871">
        <v>0.16384599999999999</v>
      </c>
      <c r="R1871">
        <v>-1.6345499999999999E-2</v>
      </c>
      <c r="S1871">
        <v>-3.0664370000000001</v>
      </c>
      <c r="T1871">
        <v>-0.1285288</v>
      </c>
      <c r="U1871">
        <v>0.25408940000000002</v>
      </c>
      <c r="V1871">
        <v>-2.6082020000000001E-2</v>
      </c>
      <c r="W1871">
        <v>0.1788294</v>
      </c>
      <c r="X1871">
        <v>0.98353429999999997</v>
      </c>
      <c r="Y1871">
        <v>7.3141810000000002E-2</v>
      </c>
      <c r="Z1871">
        <v>1.1360599999999999E-3</v>
      </c>
      <c r="AA1871">
        <v>0.99732089999999995</v>
      </c>
      <c r="AB1871">
        <v>53</v>
      </c>
      <c r="AC1871">
        <v>-25.916499999999999</v>
      </c>
      <c r="AD1871">
        <v>-1.1095137128829999</v>
      </c>
      <c r="AE1871">
        <v>2.1881000000000199</v>
      </c>
      <c r="AF1871">
        <v>1.9406091185065799</v>
      </c>
      <c r="AG1871">
        <v>-1.1095137128829999</v>
      </c>
      <c r="AH1871">
        <v>25.888828733265399</v>
      </c>
      <c r="AI1871">
        <v>92.447157909443106</v>
      </c>
      <c r="AJ1871">
        <v>85.713164166714193</v>
      </c>
      <c r="AK1871">
        <v>25.985158025500901</v>
      </c>
      <c r="AL1871">
        <v>79.698416620907906</v>
      </c>
      <c r="AM1871">
        <v>91.519051760735806</v>
      </c>
      <c r="AN1871">
        <v>0.99999997267406404</v>
      </c>
    </row>
    <row r="1872" spans="1:40" x14ac:dyDescent="0.25">
      <c r="A1872" t="str">
        <f>"20190312164509120"</f>
        <v>20190312164509120</v>
      </c>
      <c r="B1872" t="str">
        <f>"1552380309112955"</f>
        <v>1552380309112955</v>
      </c>
      <c r="C1872" t="s">
        <v>40</v>
      </c>
      <c r="D1872">
        <v>4.6901539999999997</v>
      </c>
      <c r="E1872">
        <v>0.54051749999999998</v>
      </c>
      <c r="F1872" t="s">
        <v>47</v>
      </c>
      <c r="G1872">
        <v>-456.3689</v>
      </c>
      <c r="H1872" s="1">
        <v>1.715549E-6</v>
      </c>
      <c r="I1872">
        <v>287.74709999999999</v>
      </c>
      <c r="J1872">
        <v>-430.1694</v>
      </c>
      <c r="K1872">
        <v>1.1095809999999999</v>
      </c>
      <c r="L1872">
        <v>285.57510000000002</v>
      </c>
      <c r="M1872">
        <v>-0.99984770000000001</v>
      </c>
      <c r="N1872">
        <v>0</v>
      </c>
      <c r="O1872">
        <v>8.4575139999999993E-3</v>
      </c>
      <c r="P1872">
        <v>-0.98628859999999996</v>
      </c>
      <c r="Q1872">
        <v>0.16410089999999999</v>
      </c>
      <c r="R1872">
        <v>-1.749384E-2</v>
      </c>
      <c r="S1872">
        <v>-3.0667719999999998</v>
      </c>
      <c r="T1872">
        <v>-0.1273408</v>
      </c>
      <c r="U1872">
        <v>0.24978639999999999</v>
      </c>
      <c r="V1872">
        <v>-2.6318129999999999E-2</v>
      </c>
      <c r="W1872">
        <v>0.1790757</v>
      </c>
      <c r="X1872">
        <v>0.98348329999999995</v>
      </c>
      <c r="Y1872">
        <v>7.2691980000000003E-2</v>
      </c>
      <c r="Z1872">
        <v>1.1555889999999901E-3</v>
      </c>
      <c r="AA1872">
        <v>0.99735379999999996</v>
      </c>
      <c r="AB1872">
        <v>53</v>
      </c>
      <c r="AC1872">
        <v>-26.1995</v>
      </c>
      <c r="AD1872">
        <v>-1.109579284451</v>
      </c>
      <c r="AE1872">
        <v>2.1719999999999602</v>
      </c>
      <c r="AF1872">
        <v>1.94684576917951</v>
      </c>
      <c r="AG1872">
        <v>-1.109579284451</v>
      </c>
      <c r="AH1872">
        <v>26.170315384956801</v>
      </c>
      <c r="AI1872">
        <v>92.421112774554402</v>
      </c>
      <c r="AJ1872">
        <v>85.745524777854698</v>
      </c>
      <c r="AK1872">
        <v>26.266076638614301</v>
      </c>
      <c r="AL1872">
        <v>79.684074209055794</v>
      </c>
      <c r="AM1872">
        <v>91.532876039976898</v>
      </c>
      <c r="AN1872">
        <v>1.0000000758380301</v>
      </c>
    </row>
    <row r="1873" spans="1:40" x14ac:dyDescent="0.25">
      <c r="A1873" t="str">
        <f>"20190312164509143"</f>
        <v>20190312164509143</v>
      </c>
      <c r="B1873" t="str">
        <f>"1552380309133450"</f>
        <v>1552380309133450</v>
      </c>
      <c r="C1873" t="s">
        <v>40</v>
      </c>
      <c r="D1873">
        <v>4.6280539999999997</v>
      </c>
      <c r="E1873">
        <v>0.54058519999999999</v>
      </c>
      <c r="F1873" t="s">
        <v>47</v>
      </c>
      <c r="G1873">
        <v>-457.14519999999999</v>
      </c>
      <c r="H1873" s="1">
        <v>2.1286759999999998E-6</v>
      </c>
      <c r="I1873">
        <v>287.74680000000001</v>
      </c>
      <c r="J1873">
        <v>-430.70420000000001</v>
      </c>
      <c r="K1873">
        <v>1.109648</v>
      </c>
      <c r="L1873">
        <v>285.57909999999998</v>
      </c>
      <c r="M1873">
        <v>-0.99985550000000001</v>
      </c>
      <c r="N1873">
        <v>0</v>
      </c>
      <c r="O1873">
        <v>7.4716469999999997E-3</v>
      </c>
      <c r="P1873">
        <v>-0.98619109999999999</v>
      </c>
      <c r="Q1873">
        <v>0.16460559999999999</v>
      </c>
      <c r="R1873">
        <v>-1.8227030000000002E-2</v>
      </c>
      <c r="S1873">
        <v>-3.0671080000000002</v>
      </c>
      <c r="T1873">
        <v>-0.12615779999999999</v>
      </c>
      <c r="U1873">
        <v>0.24691769999999999</v>
      </c>
      <c r="V1873">
        <v>-2.6102810000000001E-2</v>
      </c>
      <c r="W1873">
        <v>0.1795725</v>
      </c>
      <c r="X1873">
        <v>0.98339840000000001</v>
      </c>
      <c r="Y1873">
        <v>7.2739960000000006E-2</v>
      </c>
      <c r="Z1873">
        <v>1.186231E-3</v>
      </c>
      <c r="AA1873">
        <v>0.99735019999999996</v>
      </c>
      <c r="AB1873">
        <v>53</v>
      </c>
      <c r="AC1873">
        <v>-26.440999999999899</v>
      </c>
      <c r="AD1873">
        <v>-1.1096458713240001</v>
      </c>
      <c r="AE1873">
        <v>2.1677000000000199</v>
      </c>
      <c r="AF1873">
        <v>1.96661810704601</v>
      </c>
      <c r="AG1873">
        <v>-1.1096458713240001</v>
      </c>
      <c r="AH1873">
        <v>26.410256283335301</v>
      </c>
      <c r="AI1873">
        <v>92.399273335928299</v>
      </c>
      <c r="AJ1873">
        <v>85.741376326815598</v>
      </c>
      <c r="AK1873">
        <v>26.5066130935312</v>
      </c>
      <c r="AL1873">
        <v>79.655140138047301</v>
      </c>
      <c r="AM1873">
        <v>91.5204720230128</v>
      </c>
      <c r="AN1873">
        <v>1.00000002628435</v>
      </c>
    </row>
    <row r="1874" spans="1:40" x14ac:dyDescent="0.25">
      <c r="A1874" t="str">
        <f>"20190312164509164"</f>
        <v>20190312164509164</v>
      </c>
      <c r="B1874" t="str">
        <f>"1552380309152971"</f>
        <v>1552380309152971</v>
      </c>
      <c r="C1874" t="s">
        <v>40</v>
      </c>
      <c r="D1874">
        <v>4.6332630000000004</v>
      </c>
      <c r="E1874">
        <v>0.54076119999999905</v>
      </c>
      <c r="F1874" t="s">
        <v>47</v>
      </c>
      <c r="G1874">
        <v>-458.14460000000003</v>
      </c>
      <c r="H1874" s="1">
        <v>2.6593830000000001E-6</v>
      </c>
      <c r="I1874">
        <v>287.77330000000001</v>
      </c>
      <c r="J1874">
        <v>-431.20350000000002</v>
      </c>
      <c r="K1874">
        <v>1.109704</v>
      </c>
      <c r="L1874">
        <v>285.58229999999998</v>
      </c>
      <c r="M1874">
        <v>-0.99986209999999998</v>
      </c>
      <c r="N1874">
        <v>0</v>
      </c>
      <c r="O1874">
        <v>6.5454609999999998E-3</v>
      </c>
      <c r="P1874">
        <v>-0.98615989999999998</v>
      </c>
      <c r="Q1874">
        <v>0.16470789999999999</v>
      </c>
      <c r="R1874">
        <v>-1.8981419999999999E-2</v>
      </c>
      <c r="S1874">
        <v>-3.0672299999999999</v>
      </c>
      <c r="T1874">
        <v>-0.1240338</v>
      </c>
      <c r="U1874">
        <v>0.24526980000000001</v>
      </c>
      <c r="V1874">
        <v>-2.5963079999999999E-2</v>
      </c>
      <c r="W1874">
        <v>0.17966860000000001</v>
      </c>
      <c r="X1874">
        <v>0.98338449999999999</v>
      </c>
      <c r="Y1874">
        <v>7.3128979999999996E-2</v>
      </c>
      <c r="Z1874">
        <v>1.2114820000000001E-3</v>
      </c>
      <c r="AA1874">
        <v>0.99732180000000004</v>
      </c>
      <c r="AB1874">
        <v>53</v>
      </c>
      <c r="AC1874">
        <v>-26.941099999999999</v>
      </c>
      <c r="AD1874">
        <v>-1.109701340617</v>
      </c>
      <c r="AE1874">
        <v>2.19100000000003</v>
      </c>
      <c r="AF1874">
        <v>2.0112007924620001</v>
      </c>
      <c r="AG1874">
        <v>-1.109701340617</v>
      </c>
      <c r="AH1874">
        <v>26.909510588360401</v>
      </c>
      <c r="AI1874">
        <v>92.354879559231406</v>
      </c>
      <c r="AJ1874">
        <v>85.725694473616002</v>
      </c>
      <c r="AK1874">
        <v>27.007371693632901</v>
      </c>
      <c r="AL1874">
        <v>79.649542508569198</v>
      </c>
      <c r="AM1874">
        <v>91.512357996494998</v>
      </c>
      <c r="AN1874">
        <v>0.99999998109464705</v>
      </c>
    </row>
    <row r="1875" spans="1:40" x14ac:dyDescent="0.25">
      <c r="A1875" t="str">
        <f>"20190312164509188"</f>
        <v>20190312164509188</v>
      </c>
      <c r="B1875" t="str">
        <f>"1552380309183227"</f>
        <v>1552380309183227</v>
      </c>
      <c r="C1875" t="s">
        <v>40</v>
      </c>
      <c r="D1875">
        <v>4.6552670000000003</v>
      </c>
      <c r="E1875">
        <v>0.54102709999999998</v>
      </c>
      <c r="F1875" t="s">
        <v>47</v>
      </c>
      <c r="G1875">
        <v>-458.58420000000001</v>
      </c>
      <c r="H1875" s="1">
        <v>2.8941520000000001E-6</v>
      </c>
      <c r="I1875">
        <v>287.7534</v>
      </c>
      <c r="J1875">
        <v>-431.74689999999998</v>
      </c>
      <c r="K1875">
        <v>1.1097509999999999</v>
      </c>
      <c r="L1875">
        <v>285.58530000000002</v>
      </c>
      <c r="M1875">
        <v>-0.99986819999999998</v>
      </c>
      <c r="N1875">
        <v>0</v>
      </c>
      <c r="O1875">
        <v>5.5328859999999999E-3</v>
      </c>
      <c r="P1875">
        <v>-0.98613410000000001</v>
      </c>
      <c r="Q1875">
        <v>0.16487489999999999</v>
      </c>
      <c r="R1875">
        <v>-1.8859810000000001E-2</v>
      </c>
      <c r="S1875">
        <v>-3.0675349999999999</v>
      </c>
      <c r="T1875">
        <v>-0.124323</v>
      </c>
      <c r="U1875">
        <v>0.2432251</v>
      </c>
      <c r="V1875">
        <v>-2.486176E-2</v>
      </c>
      <c r="W1875">
        <v>0.17983279999999999</v>
      </c>
      <c r="X1875">
        <v>0.98338289999999995</v>
      </c>
      <c r="Y1875">
        <v>7.3469160000000006E-2</v>
      </c>
      <c r="Z1875">
        <v>1.2620520000000001E-3</v>
      </c>
      <c r="AA1875">
        <v>0.99729670000000004</v>
      </c>
      <c r="AB1875">
        <v>53</v>
      </c>
      <c r="AC1875">
        <v>-26.837299999999999</v>
      </c>
      <c r="AD1875">
        <v>-1.1097481058480001</v>
      </c>
      <c r="AE1875">
        <v>2.1680999999999799</v>
      </c>
      <c r="AF1875">
        <v>2.0161367427485501</v>
      </c>
      <c r="AG1875">
        <v>-1.1097481058480001</v>
      </c>
      <c r="AH1875">
        <v>26.803352441616799</v>
      </c>
      <c r="AI1875">
        <v>92.364210773587899</v>
      </c>
      <c r="AJ1875">
        <v>85.698336603731505</v>
      </c>
      <c r="AK1875">
        <v>26.901971123570501</v>
      </c>
      <c r="AL1875">
        <v>79.639978291902807</v>
      </c>
      <c r="AM1875">
        <v>91.4482360233295</v>
      </c>
      <c r="AN1875">
        <v>0.99999993553927102</v>
      </c>
    </row>
    <row r="1876" spans="1:40" x14ac:dyDescent="0.25">
      <c r="A1876" t="str">
        <f>"20190312164509210"</f>
        <v>20190312164509210</v>
      </c>
      <c r="B1876" t="str">
        <f>"1552380309203723"</f>
        <v>1552380309203723</v>
      </c>
      <c r="C1876" t="s">
        <v>40</v>
      </c>
      <c r="D1876">
        <v>4.7975709999999996</v>
      </c>
      <c r="E1876">
        <v>0.54115719999999901</v>
      </c>
      <c r="F1876" t="s">
        <v>47</v>
      </c>
      <c r="G1876">
        <v>-459.25650000000002</v>
      </c>
      <c r="H1876" s="1">
        <v>3.2504240000000001E-6</v>
      </c>
      <c r="I1876">
        <v>287.78789999999998</v>
      </c>
      <c r="J1876">
        <v>-432.28719999999998</v>
      </c>
      <c r="K1876">
        <v>1.109783</v>
      </c>
      <c r="L1876">
        <v>285.58780000000002</v>
      </c>
      <c r="M1876">
        <v>-0.99987329999999996</v>
      </c>
      <c r="N1876">
        <v>0</v>
      </c>
      <c r="O1876">
        <v>4.5200079999999998E-3</v>
      </c>
      <c r="P1876">
        <v>-0.98614820000000003</v>
      </c>
      <c r="Q1876">
        <v>0.1647237</v>
      </c>
      <c r="R1876">
        <v>-1.9436950000000001E-2</v>
      </c>
      <c r="S1876">
        <v>-3.0675659999999998</v>
      </c>
      <c r="T1876">
        <v>-0.12374690000000001</v>
      </c>
      <c r="U1876">
        <v>0.2456055</v>
      </c>
      <c r="V1876">
        <v>-2.445638E-2</v>
      </c>
      <c r="W1876">
        <v>0.17967749999999999</v>
      </c>
      <c r="X1876">
        <v>0.98342149999999995</v>
      </c>
      <c r="Y1876">
        <v>7.5245779999999998E-2</v>
      </c>
      <c r="Z1876">
        <v>1.33269799999999E-3</v>
      </c>
      <c r="AA1876">
        <v>0.9971641</v>
      </c>
      <c r="AB1876">
        <v>53</v>
      </c>
      <c r="AC1876">
        <v>-26.9693</v>
      </c>
      <c r="AD1876">
        <v>-1.109779749576</v>
      </c>
      <c r="AE1876">
        <v>2.20009999999996</v>
      </c>
      <c r="AF1876">
        <v>2.0746720469198601</v>
      </c>
      <c r="AG1876">
        <v>-1.109779749576</v>
      </c>
      <c r="AH1876">
        <v>26.933664760059699</v>
      </c>
      <c r="AI1876">
        <v>92.352530158900095</v>
      </c>
      <c r="AJ1876">
        <v>85.595264019594495</v>
      </c>
      <c r="AK1876">
        <v>27.036238137028601</v>
      </c>
      <c r="AL1876">
        <v>79.649024156103707</v>
      </c>
      <c r="AM1876">
        <v>91.4245759279531</v>
      </c>
      <c r="AN1876">
        <v>0.99999998259560197</v>
      </c>
    </row>
    <row r="1877" spans="1:40" x14ac:dyDescent="0.25">
      <c r="A1877" t="str">
        <f>"20190312164509232"</f>
        <v>20190312164509232</v>
      </c>
      <c r="B1877" t="str">
        <f>"1552380309223243"</f>
        <v>1552380309223243</v>
      </c>
      <c r="C1877" t="s">
        <v>40</v>
      </c>
      <c r="D1877">
        <v>5.5826960000000003</v>
      </c>
      <c r="E1877">
        <v>0.5412498</v>
      </c>
      <c r="F1877" t="s">
        <v>47</v>
      </c>
      <c r="G1877">
        <v>-459.84480000000002</v>
      </c>
      <c r="H1877" s="1">
        <v>3.5633919999999998E-6</v>
      </c>
      <c r="I1877">
        <v>287.78960000000001</v>
      </c>
      <c r="J1877">
        <v>-432.81659999999999</v>
      </c>
      <c r="K1877">
        <v>1.109807</v>
      </c>
      <c r="L1877">
        <v>285.58969999999999</v>
      </c>
      <c r="M1877">
        <v>-0.99987749999999997</v>
      </c>
      <c r="N1877">
        <v>0</v>
      </c>
      <c r="O1877">
        <v>3.5164430000000002E-3</v>
      </c>
      <c r="P1877">
        <v>-0.98618079999999997</v>
      </c>
      <c r="Q1877">
        <v>0.1645085</v>
      </c>
      <c r="R1877">
        <v>-1.9609740000000001E-2</v>
      </c>
      <c r="S1877">
        <v>-3.067596</v>
      </c>
      <c r="T1877">
        <v>-0.1235363</v>
      </c>
      <c r="U1877">
        <v>0.24508669999999999</v>
      </c>
      <c r="V1877">
        <v>-2.3653110000000001E-2</v>
      </c>
      <c r="W1877">
        <v>0.17946029999999999</v>
      </c>
      <c r="X1877">
        <v>0.98348080000000004</v>
      </c>
      <c r="Y1877">
        <v>7.6076959999999999E-2</v>
      </c>
      <c r="Z1877">
        <v>1.387468E-3</v>
      </c>
      <c r="AA1877">
        <v>0.99710100000000002</v>
      </c>
      <c r="AB1877">
        <v>53</v>
      </c>
      <c r="AC1877">
        <v>-27.028199999999998</v>
      </c>
      <c r="AD1877">
        <v>-1.1098034366079901</v>
      </c>
      <c r="AE1877">
        <v>2.1999000000000102</v>
      </c>
      <c r="AF1877">
        <v>2.1013127145688202</v>
      </c>
      <c r="AG1877">
        <v>-1.1098034366079901</v>
      </c>
      <c r="AH1877">
        <v>26.990562938886601</v>
      </c>
      <c r="AI1877">
        <v>92.347477590093007</v>
      </c>
      <c r="AJ1877">
        <v>85.548296532056099</v>
      </c>
      <c r="AK1877">
        <v>27.0949749317159</v>
      </c>
      <c r="AL1877">
        <v>79.661674360277502</v>
      </c>
      <c r="AM1877">
        <v>91.377721018084998</v>
      </c>
      <c r="AN1877">
        <v>0.99999997642869998</v>
      </c>
    </row>
    <row r="1878" spans="1:40" x14ac:dyDescent="0.25">
      <c r="A1878" t="str">
        <f>"20190312164509254"</f>
        <v>20190312164509254</v>
      </c>
      <c r="B1878" t="str">
        <f>"1552380309243739"</f>
        <v>1552380309243739</v>
      </c>
      <c r="C1878" t="s">
        <v>40</v>
      </c>
      <c r="D1878">
        <v>4.6466180000000001</v>
      </c>
      <c r="E1878">
        <v>0.54136530000000005</v>
      </c>
      <c r="F1878" t="s">
        <v>47</v>
      </c>
      <c r="G1878">
        <v>-460.32319999999999</v>
      </c>
      <c r="H1878" s="1">
        <v>-1.5033519999999901E-6</v>
      </c>
      <c r="I1878">
        <v>287.78629999999998</v>
      </c>
      <c r="J1878">
        <v>-433.34379999999999</v>
      </c>
      <c r="K1878">
        <v>1.109831</v>
      </c>
      <c r="L1878">
        <v>285.59089999999998</v>
      </c>
      <c r="M1878">
        <v>-0.99988060000000001</v>
      </c>
      <c r="N1878">
        <v>0</v>
      </c>
      <c r="O1878">
        <v>2.5037060000000001E-3</v>
      </c>
      <c r="P1878">
        <v>-0.98615589999999997</v>
      </c>
      <c r="Q1878">
        <v>0.16458220000000001</v>
      </c>
      <c r="R1878">
        <v>-2.0229810000000001E-2</v>
      </c>
      <c r="S1878">
        <v>-3.0675050000000001</v>
      </c>
      <c r="T1878">
        <v>-0.1237646</v>
      </c>
      <c r="U1878">
        <v>0.2449646</v>
      </c>
      <c r="V1878">
        <v>-2.3287490000000001E-2</v>
      </c>
      <c r="W1878">
        <v>0.17952979999999999</v>
      </c>
      <c r="X1878">
        <v>0.98347689999999999</v>
      </c>
      <c r="Y1878">
        <v>7.7047959999999999E-2</v>
      </c>
      <c r="Z1878">
        <v>1.4504050000000001E-3</v>
      </c>
      <c r="AA1878">
        <v>0.99702630000000003</v>
      </c>
      <c r="AB1878">
        <v>53</v>
      </c>
      <c r="AC1878">
        <v>-26.979399999999998</v>
      </c>
      <c r="AD1878">
        <v>-1.109832503352</v>
      </c>
      <c r="AE1878">
        <v>2.1953999999999998</v>
      </c>
      <c r="AF1878">
        <v>2.1242657521408899</v>
      </c>
      <c r="AG1878">
        <v>-1.109832503352</v>
      </c>
      <c r="AH1878">
        <v>26.939525647424102</v>
      </c>
      <c r="AI1878">
        <v>92.351798598315</v>
      </c>
      <c r="AJ1878">
        <v>85.491377951340795</v>
      </c>
      <c r="AK1878">
        <v>27.045928996420798</v>
      </c>
      <c r="AL1878">
        <v>79.657627170514004</v>
      </c>
      <c r="AM1878">
        <v>91.356438171649401</v>
      </c>
      <c r="AN1878">
        <v>1.00000003455607</v>
      </c>
    </row>
    <row r="1879" spans="1:40" x14ac:dyDescent="0.25">
      <c r="A1879" t="str">
        <f>"20190312164509276"</f>
        <v>20190312164509276</v>
      </c>
      <c r="B1879" t="str">
        <f>"1552380309263260"</f>
        <v>1552380309263260</v>
      </c>
      <c r="C1879" t="s">
        <v>40</v>
      </c>
      <c r="D1879">
        <v>4.6580440000000003</v>
      </c>
      <c r="E1879">
        <v>0.54517899999999997</v>
      </c>
      <c r="F1879" t="s">
        <v>47</v>
      </c>
      <c r="G1879">
        <v>-460.79669999999999</v>
      </c>
      <c r="H1879" s="1">
        <v>-1.2506210000000001E-6</v>
      </c>
      <c r="I1879">
        <v>287.7688</v>
      </c>
      <c r="J1879">
        <v>-433.85950000000003</v>
      </c>
      <c r="K1879">
        <v>1.1098600000000001</v>
      </c>
      <c r="L1879">
        <v>285.5917</v>
      </c>
      <c r="M1879">
        <v>-0.99988259999999995</v>
      </c>
      <c r="N1879">
        <v>0</v>
      </c>
      <c r="O1879">
        <v>1.4965480000000001E-3</v>
      </c>
      <c r="P1879">
        <v>-0.9862012</v>
      </c>
      <c r="Q1879">
        <v>0.164182299999999</v>
      </c>
      <c r="R1879">
        <v>-2.124966E-2</v>
      </c>
      <c r="S1879">
        <v>-3.0678709999999998</v>
      </c>
      <c r="T1879">
        <v>-0.1240243</v>
      </c>
      <c r="U1879">
        <v>0.2433777</v>
      </c>
      <c r="V1879">
        <v>-2.3324879999999999E-2</v>
      </c>
      <c r="W1879">
        <v>0.17912639999999999</v>
      </c>
      <c r="X1879">
        <v>0.98354949999999997</v>
      </c>
      <c r="Y1879">
        <v>7.7528840000000002E-2</v>
      </c>
      <c r="Z1879">
        <v>1.503641E-3</v>
      </c>
      <c r="AA1879">
        <v>0.99698900000000001</v>
      </c>
      <c r="AB1879">
        <v>53</v>
      </c>
      <c r="AC1879">
        <v>-26.937199999999901</v>
      </c>
      <c r="AD1879">
        <v>-1.1098612506209999</v>
      </c>
      <c r="AE1879">
        <v>2.17709999999999</v>
      </c>
      <c r="AF1879">
        <v>2.1331822952949202</v>
      </c>
      <c r="AG1879">
        <v>-1.1098612506209999</v>
      </c>
      <c r="AH1879">
        <v>26.895067876564301</v>
      </c>
      <c r="AI1879">
        <v>92.355657298500205</v>
      </c>
      <c r="AJ1879">
        <v>85.465078907550804</v>
      </c>
      <c r="AK1879">
        <v>27.002350541861901</v>
      </c>
      <c r="AL1879">
        <v>79.681120446972201</v>
      </c>
      <c r="AM1879">
        <v>91.358514982578996</v>
      </c>
      <c r="AN1879">
        <v>0.999999968077111</v>
      </c>
    </row>
    <row r="1880" spans="1:40" x14ac:dyDescent="0.25">
      <c r="A1880" t="str">
        <f>"20190312164509298"</f>
        <v>20190312164509298</v>
      </c>
      <c r="B1880" t="str">
        <f>"1552380309293047"</f>
        <v>1552380309293047</v>
      </c>
      <c r="C1880" t="s">
        <v>40</v>
      </c>
      <c r="D1880">
        <v>4.6646809999999999</v>
      </c>
      <c r="E1880">
        <v>0.54394259999999905</v>
      </c>
      <c r="F1880" t="s">
        <v>41</v>
      </c>
      <c r="G1880">
        <v>-434.8963</v>
      </c>
      <c r="H1880">
        <v>1.0406340000000001</v>
      </c>
      <c r="I1880">
        <v>285.68150000000003</v>
      </c>
      <c r="J1880">
        <v>-434.40190000000001</v>
      </c>
      <c r="K1880">
        <v>1.1098939999999999</v>
      </c>
      <c r="L1880">
        <v>285.59179999999998</v>
      </c>
      <c r="M1880">
        <v>-0.99988370000000004</v>
      </c>
      <c r="N1880">
        <v>0</v>
      </c>
      <c r="O1880">
        <v>4.1472429999999999E-4</v>
      </c>
      <c r="P1880">
        <v>-0.98626210000000003</v>
      </c>
      <c r="Q1880">
        <v>0.16367870000000001</v>
      </c>
      <c r="R1880">
        <v>-2.228399E-2</v>
      </c>
      <c r="S1880">
        <v>-3.082001</v>
      </c>
      <c r="T1880">
        <v>-0.20576159999999999</v>
      </c>
      <c r="U1880">
        <v>0.26702880000000001</v>
      </c>
      <c r="V1880">
        <v>-2.3304080000000001E-2</v>
      </c>
      <c r="W1880">
        <v>0.17861920000000001</v>
      </c>
      <c r="X1880">
        <v>0.98364229999999997</v>
      </c>
      <c r="Y1880">
        <v>8.5716299999999995E-2</v>
      </c>
      <c r="Z1880">
        <v>2.8251940000000001E-3</v>
      </c>
      <c r="AA1880">
        <v>0.99631559999999997</v>
      </c>
      <c r="AB1880">
        <v>53</v>
      </c>
      <c r="AC1880">
        <v>-0.49439999999998402</v>
      </c>
      <c r="AD1880">
        <v>-6.9260000000000099E-2</v>
      </c>
      <c r="AE1880">
        <v>8.9700000000050295E-2</v>
      </c>
      <c r="AF1880">
        <v>8.7826272694837601E-2</v>
      </c>
      <c r="AG1880">
        <v>-6.9260000000000099E-2</v>
      </c>
      <c r="AH1880">
        <v>0.48521825395159901</v>
      </c>
      <c r="AI1880">
        <v>97.995321885541998</v>
      </c>
      <c r="AJ1880">
        <v>79.740336083941301</v>
      </c>
      <c r="AK1880">
        <v>0.497942924182387</v>
      </c>
      <c r="AL1880">
        <v>79.710657942989698</v>
      </c>
      <c r="AM1880">
        <v>91.357175973446701</v>
      </c>
      <c r="AN1880">
        <v>1.00000003655128</v>
      </c>
    </row>
    <row r="1881" spans="1:40" x14ac:dyDescent="0.25">
      <c r="A1881" t="str">
        <f>"20190312164509322"</f>
        <v>20190312164509322</v>
      </c>
      <c r="B1881" t="str">
        <f>"1552380309313542"</f>
        <v>1552380309313542</v>
      </c>
      <c r="C1881" t="s">
        <v>40</v>
      </c>
      <c r="D1881">
        <v>4.636863</v>
      </c>
      <c r="E1881">
        <v>0.54465959999999902</v>
      </c>
      <c r="F1881" t="s">
        <v>47</v>
      </c>
      <c r="G1881">
        <v>-459.90410000000003</v>
      </c>
      <c r="H1881" s="1">
        <v>3.5978009999999999E-6</v>
      </c>
      <c r="I1881">
        <v>287.72469999999998</v>
      </c>
      <c r="J1881">
        <v>-434.9504</v>
      </c>
      <c r="K1881">
        <v>1.1099300000000001</v>
      </c>
      <c r="L1881">
        <v>285.59140000000002</v>
      </c>
      <c r="M1881">
        <v>-0.99988359999999998</v>
      </c>
      <c r="N1881">
        <v>0</v>
      </c>
      <c r="O1881">
        <v>-7.0585880000000002E-4</v>
      </c>
      <c r="P1881">
        <v>-0.98638130000000002</v>
      </c>
      <c r="Q1881">
        <v>0.16280129999999901</v>
      </c>
      <c r="R1881">
        <v>-2.3404919999999999E-2</v>
      </c>
      <c r="S1881">
        <v>-3.0697939999999999</v>
      </c>
      <c r="T1881">
        <v>-0.1336019</v>
      </c>
      <c r="U1881">
        <v>0.25674439999999998</v>
      </c>
      <c r="V1881">
        <v>-2.3329900000000001E-2</v>
      </c>
      <c r="W1881">
        <v>0.17773900000000001</v>
      </c>
      <c r="X1881">
        <v>0.98380109999999998</v>
      </c>
      <c r="Y1881">
        <v>8.3968600000000004E-2</v>
      </c>
      <c r="Z1881">
        <v>1.853831E-3</v>
      </c>
      <c r="AA1881">
        <v>0.99646670000000004</v>
      </c>
      <c r="AB1881">
        <v>53</v>
      </c>
      <c r="AC1881">
        <v>-24.953700000000001</v>
      </c>
      <c r="AD1881">
        <v>-1.1099264021990001</v>
      </c>
      <c r="AE1881">
        <v>2.1332999999999598</v>
      </c>
      <c r="AF1881">
        <v>2.1466990461356401</v>
      </c>
      <c r="AG1881">
        <v>-1.1099264021990001</v>
      </c>
      <c r="AH1881">
        <v>24.903276137853201</v>
      </c>
      <c r="AI1881">
        <v>92.542538507718206</v>
      </c>
      <c r="AJ1881">
        <v>85.073198596946995</v>
      </c>
      <c r="AK1881">
        <v>25.020260106784399</v>
      </c>
      <c r="AL1881">
        <v>79.761909649211503</v>
      </c>
      <c r="AM1881">
        <v>91.358459878822401</v>
      </c>
      <c r="AN1881">
        <v>1.0000000203581001</v>
      </c>
    </row>
    <row r="1882" spans="1:40" x14ac:dyDescent="0.25">
      <c r="A1882" t="str">
        <f>"20190312164509343"</f>
        <v>20190312164509343</v>
      </c>
      <c r="B1882" t="str">
        <f>"1552380309333063"</f>
        <v>1552380309333063</v>
      </c>
      <c r="C1882" t="s">
        <v>40</v>
      </c>
      <c r="D1882">
        <v>4.600492</v>
      </c>
      <c r="E1882">
        <v>0.54515499999999995</v>
      </c>
      <c r="F1882" t="s">
        <v>47</v>
      </c>
      <c r="G1882">
        <v>-459.47559999999999</v>
      </c>
      <c r="H1882" s="1">
        <v>3.372557E-6</v>
      </c>
      <c r="I1882">
        <v>287.6619</v>
      </c>
      <c r="J1882">
        <v>-435.45150000000001</v>
      </c>
      <c r="K1882">
        <v>1.1099559999999999</v>
      </c>
      <c r="L1882">
        <v>285.59050000000002</v>
      </c>
      <c r="M1882">
        <v>-0.9998823</v>
      </c>
      <c r="N1882">
        <v>0</v>
      </c>
      <c r="O1882">
        <v>-1.750677E-3</v>
      </c>
      <c r="P1882">
        <v>-0.98638680000000001</v>
      </c>
      <c r="Q1882">
        <v>0.16268489999999999</v>
      </c>
      <c r="R1882">
        <v>-2.3979199999999999E-2</v>
      </c>
      <c r="S1882">
        <v>-3.070465</v>
      </c>
      <c r="T1882">
        <v>-0.13895829999999901</v>
      </c>
      <c r="U1882">
        <v>0.25921630000000001</v>
      </c>
      <c r="V1882">
        <v>-2.288521E-2</v>
      </c>
      <c r="W1882">
        <v>0.17762020000000001</v>
      </c>
      <c r="X1882">
        <v>0.98383299999999996</v>
      </c>
      <c r="Y1882">
        <v>8.5778839999999995E-2</v>
      </c>
      <c r="Z1882">
        <v>2.0156499999999999E-3</v>
      </c>
      <c r="AA1882">
        <v>0.99631210000000003</v>
      </c>
      <c r="AB1882">
        <v>53</v>
      </c>
      <c r="AC1882">
        <v>-24.024099999999901</v>
      </c>
      <c r="AD1882">
        <v>-1.1099526274429901</v>
      </c>
      <c r="AE1882">
        <v>2.0713999999999801</v>
      </c>
      <c r="AF1882">
        <v>2.10899153726757</v>
      </c>
      <c r="AG1882">
        <v>-1.1099526274429901</v>
      </c>
      <c r="AH1882">
        <v>23.969648577434398</v>
      </c>
      <c r="AI1882">
        <v>92.6410892755124</v>
      </c>
      <c r="AJ1882">
        <v>84.971727050995796</v>
      </c>
      <c r="AK1882">
        <v>24.087837035839001</v>
      </c>
      <c r="AL1882">
        <v>79.768826442230605</v>
      </c>
      <c r="AM1882">
        <v>91.332532581530799</v>
      </c>
      <c r="AN1882">
        <v>1.0000000200868899</v>
      </c>
    </row>
    <row r="1883" spans="1:40" x14ac:dyDescent="0.25">
      <c r="A1883" t="str">
        <f>"20190312164509365"</f>
        <v>20190312164509365</v>
      </c>
      <c r="B1883" t="str">
        <f>"1552380309353559"</f>
        <v>1552380309353559</v>
      </c>
      <c r="C1883" t="s">
        <v>40</v>
      </c>
      <c r="D1883">
        <v>4.565709</v>
      </c>
      <c r="E1883">
        <v>0.5456143</v>
      </c>
      <c r="F1883" t="s">
        <v>47</v>
      </c>
      <c r="G1883">
        <v>-459.90940000000001</v>
      </c>
      <c r="H1883" s="1">
        <v>3.6028259999999999E-6</v>
      </c>
      <c r="I1883">
        <v>287.67430000000002</v>
      </c>
      <c r="J1883">
        <v>-435.97590000000002</v>
      </c>
      <c r="K1883">
        <v>1.109979</v>
      </c>
      <c r="L1883">
        <v>285.58890000000002</v>
      </c>
      <c r="M1883">
        <v>-0.99987979999999999</v>
      </c>
      <c r="N1883">
        <v>0</v>
      </c>
      <c r="O1883">
        <v>-2.8617439999999998E-3</v>
      </c>
      <c r="P1883">
        <v>-0.98640410000000001</v>
      </c>
      <c r="Q1883">
        <v>0.16253119999999999</v>
      </c>
      <c r="R1883">
        <v>-2.430301E-2</v>
      </c>
      <c r="S1883">
        <v>-3.0707399999999998</v>
      </c>
      <c r="T1883">
        <v>-0.1393567</v>
      </c>
      <c r="U1883">
        <v>0.2616272</v>
      </c>
      <c r="V1883">
        <v>-2.2123029999999998E-2</v>
      </c>
      <c r="W1883">
        <v>0.1774654</v>
      </c>
      <c r="X1883">
        <v>0.98387840000000004</v>
      </c>
      <c r="Y1883">
        <v>8.7651389999999996E-2</v>
      </c>
      <c r="Z1883">
        <v>2.1138820000000001E-3</v>
      </c>
      <c r="AA1883">
        <v>0.9961489</v>
      </c>
      <c r="AB1883">
        <v>53</v>
      </c>
      <c r="AC1883">
        <v>-23.933499999999899</v>
      </c>
      <c r="AD1883">
        <v>-1.1099753971740001</v>
      </c>
      <c r="AE1883">
        <v>2.0853999999999902</v>
      </c>
      <c r="AF1883">
        <v>2.1493029226634102</v>
      </c>
      <c r="AG1883">
        <v>-1.1099753971740001</v>
      </c>
      <c r="AH1883">
        <v>23.876465173956898</v>
      </c>
      <c r="AI1883">
        <v>92.650961407726797</v>
      </c>
      <c r="AJ1883">
        <v>84.8562331617985</v>
      </c>
      <c r="AK1883">
        <v>23.998690331742701</v>
      </c>
      <c r="AL1883">
        <v>79.777839333380996</v>
      </c>
      <c r="AM1883">
        <v>91.288109067836203</v>
      </c>
      <c r="AN1883">
        <v>1.00000005132004</v>
      </c>
    </row>
    <row r="1884" spans="1:40" x14ac:dyDescent="0.25">
      <c r="A1884" t="str">
        <f>"20190312164509389"</f>
        <v>20190312164509389</v>
      </c>
      <c r="B1884" t="str">
        <f>"1552380309383347"</f>
        <v>1552380309383347</v>
      </c>
      <c r="C1884" t="s">
        <v>40</v>
      </c>
      <c r="D1884">
        <v>5.4265489999999996</v>
      </c>
      <c r="E1884">
        <v>0.54618069999999996</v>
      </c>
      <c r="F1884" t="s">
        <v>47</v>
      </c>
      <c r="G1884">
        <v>-460.30200000000002</v>
      </c>
      <c r="H1884" s="1">
        <v>-1.5099440000000001E-6</v>
      </c>
      <c r="I1884">
        <v>287.67880000000002</v>
      </c>
      <c r="J1884">
        <v>-436.51780000000002</v>
      </c>
      <c r="K1884">
        <v>1.1100030000000001</v>
      </c>
      <c r="L1884">
        <v>285.58670000000001</v>
      </c>
      <c r="M1884">
        <v>-0.99987579999999998</v>
      </c>
      <c r="N1884">
        <v>0</v>
      </c>
      <c r="O1884">
        <v>-4.0257840000000001E-3</v>
      </c>
      <c r="P1884">
        <v>-0.98633599999999999</v>
      </c>
      <c r="Q1884">
        <v>0.16289960000000001</v>
      </c>
      <c r="R1884">
        <v>-2.4603610000000001E-2</v>
      </c>
      <c r="S1884">
        <v>-3.070862</v>
      </c>
      <c r="T1884">
        <v>-0.14012089999999999</v>
      </c>
      <c r="U1884">
        <v>0.26382450000000002</v>
      </c>
      <c r="V1884">
        <v>-2.1287440000000001E-2</v>
      </c>
      <c r="W1884">
        <v>0.17783189999999999</v>
      </c>
      <c r="X1884">
        <v>0.9838306</v>
      </c>
      <c r="Y1884">
        <v>8.951104E-2</v>
      </c>
      <c r="Z1884">
        <v>2.220638E-3</v>
      </c>
      <c r="AA1884">
        <v>0.99598339999999996</v>
      </c>
      <c r="AB1884">
        <v>53</v>
      </c>
      <c r="AC1884">
        <v>-23.784199999999899</v>
      </c>
      <c r="AD1884">
        <v>-1.1100045099439999</v>
      </c>
      <c r="AE1884">
        <v>2.0921000000000101</v>
      </c>
      <c r="AF1884">
        <v>2.1831257135636899</v>
      </c>
      <c r="AG1884">
        <v>-1.1100045099439999</v>
      </c>
      <c r="AH1884">
        <v>23.724307371261499</v>
      </c>
      <c r="AI1884">
        <v>92.667527284430093</v>
      </c>
      <c r="AJ1884">
        <v>84.742412962354194</v>
      </c>
      <c r="AK1884">
        <v>23.850385911750202</v>
      </c>
      <c r="AL1884">
        <v>79.756500436545295</v>
      </c>
      <c r="AM1884">
        <v>91.239532681400505</v>
      </c>
      <c r="AN1884">
        <v>0.99999999462786104</v>
      </c>
    </row>
    <row r="1885" spans="1:40" x14ac:dyDescent="0.25">
      <c r="A1885" t="str">
        <f>"20190312164509412"</f>
        <v>20190312164509412</v>
      </c>
      <c r="B1885" t="str">
        <f>"1552380309403843"</f>
        <v>1552380309403843</v>
      </c>
      <c r="C1885" t="s">
        <v>40</v>
      </c>
      <c r="D1885">
        <v>4.6093719999999996</v>
      </c>
      <c r="E1885">
        <v>0.54662409999999995</v>
      </c>
      <c r="F1885" t="s">
        <v>47</v>
      </c>
      <c r="G1885">
        <v>-461.68950000000001</v>
      </c>
      <c r="H1885" s="1">
        <v>-7.7581009999999995E-7</v>
      </c>
      <c r="I1885">
        <v>287.77589999999998</v>
      </c>
      <c r="J1885">
        <v>-437.06529999999998</v>
      </c>
      <c r="K1885">
        <v>1.1100319999999999</v>
      </c>
      <c r="L1885">
        <v>285.5838</v>
      </c>
      <c r="M1885">
        <v>-0.9998705</v>
      </c>
      <c r="N1885">
        <v>0</v>
      </c>
      <c r="O1885">
        <v>-5.2139450000000002E-3</v>
      </c>
      <c r="P1885">
        <v>-0.98624469999999997</v>
      </c>
      <c r="Q1885">
        <v>0.16327039999999901</v>
      </c>
      <c r="R1885">
        <v>-2.577842E-2</v>
      </c>
      <c r="S1885">
        <v>-3.0706180000000001</v>
      </c>
      <c r="T1885">
        <v>-0.13540579999999999</v>
      </c>
      <c r="U1885">
        <v>0.2670593</v>
      </c>
      <c r="V1885">
        <v>-2.1300079999999999E-2</v>
      </c>
      <c r="W1885">
        <v>0.17819740000000001</v>
      </c>
      <c r="X1885">
        <v>0.98376419999999998</v>
      </c>
      <c r="Y1885">
        <v>9.1745670000000001E-2</v>
      </c>
      <c r="Z1885">
        <v>2.2474959999999999E-3</v>
      </c>
      <c r="AA1885">
        <v>0.99577990000000005</v>
      </c>
      <c r="AB1885">
        <v>53</v>
      </c>
      <c r="AC1885">
        <v>-24.624199999999998</v>
      </c>
      <c r="AD1885">
        <v>-1.1100327758100901</v>
      </c>
      <c r="AE1885">
        <v>2.19209999999998</v>
      </c>
      <c r="AF1885">
        <v>2.3158053325199801</v>
      </c>
      <c r="AG1885">
        <v>-1.1100327758100901</v>
      </c>
      <c r="AH1885">
        <v>24.562912304395201</v>
      </c>
      <c r="AI1885">
        <v>92.576108405612104</v>
      </c>
      <c r="AJ1885">
        <v>84.614041971973407</v>
      </c>
      <c r="AK1885">
        <v>24.6967971197666</v>
      </c>
      <c r="AL1885">
        <v>79.735219014113099</v>
      </c>
      <c r="AM1885">
        <v>91.240352144839505</v>
      </c>
      <c r="AN1885">
        <v>1.0000000039882</v>
      </c>
    </row>
    <row r="1886" spans="1:40" x14ac:dyDescent="0.25">
      <c r="A1886" t="str">
        <f>"20190312164509433"</f>
        <v>20190312164509433</v>
      </c>
      <c r="B1886" t="str">
        <f>"1552380309423363"</f>
        <v>1552380309423363</v>
      </c>
      <c r="C1886" t="s">
        <v>40</v>
      </c>
      <c r="D1886">
        <v>6.0735950000000001</v>
      </c>
      <c r="E1886">
        <v>0.54875850000000004</v>
      </c>
      <c r="F1886" t="s">
        <v>47</v>
      </c>
      <c r="G1886">
        <v>-459.84399999999999</v>
      </c>
      <c r="H1886" s="1">
        <v>3.5731280000000001E-6</v>
      </c>
      <c r="I1886">
        <v>287.5575</v>
      </c>
      <c r="J1886">
        <v>-437.56270000000001</v>
      </c>
      <c r="K1886">
        <v>1.110058</v>
      </c>
      <c r="L1886">
        <v>285.58049999999997</v>
      </c>
      <c r="M1886">
        <v>-0.99986430000000004</v>
      </c>
      <c r="N1886">
        <v>0</v>
      </c>
      <c r="O1886">
        <v>-6.3009090000000004E-3</v>
      </c>
      <c r="P1886">
        <v>-0.98617630000000001</v>
      </c>
      <c r="Q1886">
        <v>0.16338920000000001</v>
      </c>
      <c r="R1886">
        <v>-2.7586880000000001E-2</v>
      </c>
      <c r="S1886">
        <v>-3.0736080000000001</v>
      </c>
      <c r="T1886">
        <v>-0.14978029999999901</v>
      </c>
      <c r="U1886">
        <v>0.26632689999999998</v>
      </c>
      <c r="V1886">
        <v>-2.2043139999999999E-2</v>
      </c>
      <c r="W1886">
        <v>0.1783091</v>
      </c>
      <c r="X1886">
        <v>0.98372760000000004</v>
      </c>
      <c r="Y1886">
        <v>9.2486159999999998E-2</v>
      </c>
      <c r="Z1886">
        <v>2.5542849999999999E-3</v>
      </c>
      <c r="AA1886">
        <v>0.99571069999999995</v>
      </c>
      <c r="AB1886">
        <v>53</v>
      </c>
      <c r="AC1886">
        <v>-22.281299999999899</v>
      </c>
      <c r="AD1886">
        <v>-1.1100544268719901</v>
      </c>
      <c r="AE1886">
        <v>1.9770000000000301</v>
      </c>
      <c r="AF1886">
        <v>2.1121679362077699</v>
      </c>
      <c r="AG1886">
        <v>-1.1100544268719901</v>
      </c>
      <c r="AH1886">
        <v>22.2136948165763</v>
      </c>
      <c r="AI1886">
        <v>92.847959601395402</v>
      </c>
      <c r="AJ1886">
        <v>84.568415240469307</v>
      </c>
      <c r="AK1886">
        <v>22.341479620323899</v>
      </c>
      <c r="AL1886">
        <v>79.728715004446002</v>
      </c>
      <c r="AM1886">
        <v>91.283655728384304</v>
      </c>
      <c r="AN1886">
        <v>1.0000000130828099</v>
      </c>
    </row>
    <row r="1887" spans="1:40" x14ac:dyDescent="0.25">
      <c r="A1887" t="str">
        <f>"20190312164509455"</f>
        <v>20190312164509455</v>
      </c>
      <c r="B1887" t="str">
        <f>"1552380309443859"</f>
        <v>1552380309443859</v>
      </c>
      <c r="C1887" t="s">
        <v>40</v>
      </c>
      <c r="D1887">
        <v>4.6578619999999997</v>
      </c>
      <c r="E1887">
        <v>0.49675770000000002</v>
      </c>
      <c r="F1887" t="s">
        <v>47</v>
      </c>
      <c r="G1887">
        <v>-459.64929999999998</v>
      </c>
      <c r="H1887" s="1">
        <v>3.4687150000000001E-6</v>
      </c>
      <c r="I1887">
        <v>287.57580000000002</v>
      </c>
      <c r="J1887">
        <v>-438.09820000000002</v>
      </c>
      <c r="K1887">
        <v>1.1100760000000001</v>
      </c>
      <c r="L1887">
        <v>285.57639999999998</v>
      </c>
      <c r="M1887">
        <v>-0.99985630000000003</v>
      </c>
      <c r="N1887">
        <v>0</v>
      </c>
      <c r="O1887">
        <v>-7.4765350000000003E-3</v>
      </c>
      <c r="P1887">
        <v>-0.98607250000000002</v>
      </c>
      <c r="Q1887">
        <v>0.16364960000000001</v>
      </c>
      <c r="R1887">
        <v>-2.9672830000000001E-2</v>
      </c>
      <c r="S1887">
        <v>-3.0754090000000001</v>
      </c>
      <c r="T1887">
        <v>-0.1545675</v>
      </c>
      <c r="U1887">
        <v>0.27783200000000002</v>
      </c>
      <c r="V1887">
        <v>-2.297741E-2</v>
      </c>
      <c r="W1887">
        <v>0.17856060000000001</v>
      </c>
      <c r="X1887">
        <v>0.9836606</v>
      </c>
      <c r="Y1887">
        <v>9.7286839999999999E-2</v>
      </c>
      <c r="Z1887">
        <v>2.8131179999999999E-3</v>
      </c>
      <c r="AA1887">
        <v>0.99525240000000004</v>
      </c>
      <c r="AB1887">
        <v>53</v>
      </c>
      <c r="AC1887">
        <v>-21.551099999999899</v>
      </c>
      <c r="AD1887">
        <v>-1.1100725312849999</v>
      </c>
      <c r="AE1887">
        <v>1.99940000000003</v>
      </c>
      <c r="AF1887">
        <v>2.1548220055421199</v>
      </c>
      <c r="AG1887">
        <v>-1.1100725312849999</v>
      </c>
      <c r="AH1887">
        <v>21.479046117441001</v>
      </c>
      <c r="AI1887">
        <v>92.943757739014998</v>
      </c>
      <c r="AJ1887">
        <v>84.271137857034304</v>
      </c>
      <c r="AK1887">
        <v>21.615386672818001</v>
      </c>
      <c r="AL1887">
        <v>79.714070085659003</v>
      </c>
      <c r="AM1887">
        <v>91.3381335451908</v>
      </c>
      <c r="AN1887">
        <v>1.0000000126175099</v>
      </c>
    </row>
    <row r="1888" spans="1:40" x14ac:dyDescent="0.25">
      <c r="A1888" t="str">
        <f>"20190312164509478"</f>
        <v>20190312164509478</v>
      </c>
      <c r="B1888" t="str">
        <f>"1552380309473139"</f>
        <v>1552380309473139</v>
      </c>
      <c r="C1888" t="s">
        <v>40</v>
      </c>
      <c r="D1888">
        <v>4.9888139999999996</v>
      </c>
      <c r="E1888">
        <v>0.4806009</v>
      </c>
      <c r="F1888" t="s">
        <v>47</v>
      </c>
      <c r="G1888">
        <v>-452.13389999999998</v>
      </c>
      <c r="H1888" s="1">
        <v>-4.1386690000000002E-7</v>
      </c>
      <c r="I1888">
        <v>284.9058</v>
      </c>
      <c r="J1888">
        <v>-438.6309</v>
      </c>
      <c r="K1888">
        <v>1.1100859999999999</v>
      </c>
      <c r="L1888">
        <v>285.5718</v>
      </c>
      <c r="M1888">
        <v>-0.99984680000000004</v>
      </c>
      <c r="N1888">
        <v>0</v>
      </c>
      <c r="O1888">
        <v>-8.6484230000000006E-3</v>
      </c>
      <c r="P1888">
        <v>-0.98602780000000001</v>
      </c>
      <c r="Q1888">
        <v>0.16355539999999999</v>
      </c>
      <c r="R1888">
        <v>-3.1604460000000001E-2</v>
      </c>
      <c r="S1888">
        <v>-3.0783390000000002</v>
      </c>
      <c r="T1888">
        <v>-0.24346419999999999</v>
      </c>
      <c r="U1888">
        <v>-0.14709469999999999</v>
      </c>
      <c r="V1888">
        <v>-2.37588E-2</v>
      </c>
      <c r="W1888">
        <v>0.17845920000000001</v>
      </c>
      <c r="X1888">
        <v>0.98366039999999999</v>
      </c>
      <c r="Y1888">
        <v>-3.8993460000000001E-2</v>
      </c>
      <c r="Z1888">
        <v>-8.5612600000000002E-4</v>
      </c>
      <c r="AA1888">
        <v>0.99923910000000005</v>
      </c>
      <c r="AB1888">
        <v>53</v>
      </c>
      <c r="AC1888">
        <v>-13.502999999999901</v>
      </c>
      <c r="AD1888">
        <v>-1.1100864138669</v>
      </c>
      <c r="AE1888">
        <v>-0.66599999999999604</v>
      </c>
      <c r="AF1888">
        <v>-0.54550404180553203</v>
      </c>
      <c r="AG1888">
        <v>-1.1100864138669</v>
      </c>
      <c r="AH1888">
        <v>13.417790776197601</v>
      </c>
      <c r="AI1888">
        <v>94.725562104172894</v>
      </c>
      <c r="AJ1888">
        <v>92.328093862565694</v>
      </c>
      <c r="AK1888">
        <v>13.474679061843799</v>
      </c>
      <c r="AL1888">
        <v>79.719974321912005</v>
      </c>
      <c r="AM1888">
        <v>91.383622173147501</v>
      </c>
      <c r="AN1888">
        <v>0.99999997458511902</v>
      </c>
    </row>
    <row r="1889" spans="1:40" x14ac:dyDescent="0.25">
      <c r="A1889" t="str">
        <f>"20190312164509499"</f>
        <v>20190312164509499</v>
      </c>
      <c r="B1889" t="str">
        <f>"1552380309493167"</f>
        <v>1552380309493167</v>
      </c>
      <c r="C1889" t="s">
        <v>40</v>
      </c>
      <c r="D1889">
        <v>4.6729659999999997</v>
      </c>
      <c r="E1889">
        <v>0.47831170000000001</v>
      </c>
      <c r="F1889" t="s">
        <v>47</v>
      </c>
      <c r="G1889">
        <v>-454.64690000000002</v>
      </c>
      <c r="H1889" s="1">
        <v>9.5833489999999997E-7</v>
      </c>
      <c r="I1889">
        <v>284.10649999999998</v>
      </c>
      <c r="J1889">
        <v>-439.13440000000003</v>
      </c>
      <c r="K1889">
        <v>1.110093</v>
      </c>
      <c r="L1889">
        <v>285.5668</v>
      </c>
      <c r="M1889">
        <v>-0.99983659999999996</v>
      </c>
      <c r="N1889">
        <v>0</v>
      </c>
      <c r="O1889">
        <v>-9.7583970000000003E-3</v>
      </c>
      <c r="P1889">
        <v>-0.98608200000000001</v>
      </c>
      <c r="Q1889">
        <v>0.1628404</v>
      </c>
      <c r="R1889">
        <v>-3.3549049999999997E-2</v>
      </c>
      <c r="S1889">
        <v>-3.068756</v>
      </c>
      <c r="T1889">
        <v>-0.2126982</v>
      </c>
      <c r="U1889">
        <v>-0.2807617</v>
      </c>
      <c r="V1889">
        <v>-2.4609160000000001E-2</v>
      </c>
      <c r="W1889">
        <v>0.17773849999999999</v>
      </c>
      <c r="X1889">
        <v>0.98377000000000003</v>
      </c>
      <c r="Y1889">
        <v>-8.1216629999999998E-2</v>
      </c>
      <c r="Z1889">
        <v>-2.1312449999999999E-3</v>
      </c>
      <c r="AA1889">
        <v>0.99669419999999997</v>
      </c>
      <c r="AB1889">
        <v>53</v>
      </c>
      <c r="AC1889">
        <v>-15.5124999999999</v>
      </c>
      <c r="AD1889">
        <v>-1.1100920416650999</v>
      </c>
      <c r="AE1889">
        <v>-1.4603000000000099</v>
      </c>
      <c r="AF1889">
        <v>-1.30222567635723</v>
      </c>
      <c r="AG1889">
        <v>-1.1100920416650999</v>
      </c>
      <c r="AH1889">
        <v>15.4476008272991</v>
      </c>
      <c r="AI1889">
        <v>94.095832988033095</v>
      </c>
      <c r="AJ1889">
        <v>94.818615171857999</v>
      </c>
      <c r="AK1889">
        <v>15.5420869696674</v>
      </c>
      <c r="AL1889">
        <v>79.761938539795395</v>
      </c>
      <c r="AM1889">
        <v>91.432964015220307</v>
      </c>
      <c r="AN1889">
        <v>0.99999999901907699</v>
      </c>
    </row>
    <row r="1890" spans="1:40" x14ac:dyDescent="0.25">
      <c r="A1890" t="str">
        <f>"20190312164509522"</f>
        <v>20190312164509522</v>
      </c>
      <c r="B1890" t="str">
        <f>"1552380309513663"</f>
        <v>1552380309513663</v>
      </c>
      <c r="C1890" t="s">
        <v>40</v>
      </c>
      <c r="D1890">
        <v>4.5947100000000001</v>
      </c>
      <c r="E1890">
        <v>0.477215</v>
      </c>
      <c r="F1890" t="s">
        <v>47</v>
      </c>
      <c r="G1890">
        <v>-456.24220000000003</v>
      </c>
      <c r="H1890" s="1">
        <v>1.8176749999999999E-6</v>
      </c>
      <c r="I1890">
        <v>283.8682</v>
      </c>
      <c r="J1890">
        <v>-439.66719999999998</v>
      </c>
      <c r="K1890">
        <v>1.110106</v>
      </c>
      <c r="L1890">
        <v>285.5609</v>
      </c>
      <c r="M1890">
        <v>-0.9998245</v>
      </c>
      <c r="N1890">
        <v>0</v>
      </c>
      <c r="O1890">
        <v>-1.093355E-2</v>
      </c>
      <c r="P1890">
        <v>-0.98612330000000004</v>
      </c>
      <c r="Q1890">
        <v>0.16215650000000001</v>
      </c>
      <c r="R1890">
        <v>-3.5587059999999997E-2</v>
      </c>
      <c r="S1890">
        <v>-3.064819</v>
      </c>
      <c r="T1890">
        <v>-0.19887050000000001</v>
      </c>
      <c r="U1890">
        <v>-0.30429079999999997</v>
      </c>
      <c r="V1890">
        <v>-2.5487699999999999E-2</v>
      </c>
      <c r="W1890">
        <v>0.1770487</v>
      </c>
      <c r="X1890">
        <v>0.98387199999999997</v>
      </c>
      <c r="Y1890">
        <v>-8.7752159999999996E-2</v>
      </c>
      <c r="Z1890">
        <v>-2.1301390000000001E-3</v>
      </c>
      <c r="AA1890">
        <v>0.99614009999999997</v>
      </c>
      <c r="AB1890">
        <v>53</v>
      </c>
      <c r="AC1890">
        <v>-16.574999999999999</v>
      </c>
      <c r="AD1890">
        <v>-1.110104182325</v>
      </c>
      <c r="AE1890">
        <v>-1.6927000000000001</v>
      </c>
      <c r="AF1890">
        <v>-1.50467453220765</v>
      </c>
      <c r="AG1890">
        <v>-1.110104182325</v>
      </c>
      <c r="AH1890">
        <v>16.519184777342499</v>
      </c>
      <c r="AI1890">
        <v>93.828745142119502</v>
      </c>
      <c r="AJ1890">
        <v>95.204509560050994</v>
      </c>
      <c r="AK1890">
        <v>16.6246757096634</v>
      </c>
      <c r="AL1890">
        <v>79.802097994334403</v>
      </c>
      <c r="AM1890">
        <v>91.4839441470114</v>
      </c>
      <c r="AN1890">
        <v>0.99999998870348905</v>
      </c>
    </row>
    <row r="1891" spans="1:40" x14ac:dyDescent="0.25">
      <c r="A1891" t="str">
        <f>"20190312164509543"</f>
        <v>20190312164509543</v>
      </c>
      <c r="B1891" t="str">
        <f>"1552380309533183"</f>
        <v>1552380309533183</v>
      </c>
      <c r="C1891" t="s">
        <v>40</v>
      </c>
      <c r="D1891">
        <v>4.5670469999999996</v>
      </c>
      <c r="E1891">
        <v>0.47689179999999998</v>
      </c>
      <c r="F1891" t="s">
        <v>47</v>
      </c>
      <c r="G1891">
        <v>-457.13339999999999</v>
      </c>
      <c r="H1891" s="1">
        <v>2.2973340000000001E-6</v>
      </c>
      <c r="I1891">
        <v>283.74540000000002</v>
      </c>
      <c r="J1891">
        <v>-440.17219999999998</v>
      </c>
      <c r="K1891">
        <v>1.1101099999999999</v>
      </c>
      <c r="L1891">
        <v>285.5548</v>
      </c>
      <c r="M1891">
        <v>-0.99981180000000003</v>
      </c>
      <c r="N1891">
        <v>0</v>
      </c>
      <c r="O1891">
        <v>-1.204702E-2</v>
      </c>
      <c r="P1891">
        <v>-0.986093</v>
      </c>
      <c r="Q1891">
        <v>0.16189120000000001</v>
      </c>
      <c r="R1891">
        <v>-3.757713E-2</v>
      </c>
      <c r="S1891">
        <v>-3.0627140000000002</v>
      </c>
      <c r="T1891">
        <v>-0.19465740000000001</v>
      </c>
      <c r="U1891">
        <v>-0.31835940000000001</v>
      </c>
      <c r="V1891">
        <v>-2.6381789999999999E-2</v>
      </c>
      <c r="W1891">
        <v>0.17677689999999999</v>
      </c>
      <c r="X1891">
        <v>0.98389729999999997</v>
      </c>
      <c r="Y1891">
        <v>-9.1240379999999996E-2</v>
      </c>
      <c r="Z1891">
        <v>-2.1259999999999999E-3</v>
      </c>
      <c r="AA1891">
        <v>0.99582660000000001</v>
      </c>
      <c r="AB1891">
        <v>53</v>
      </c>
      <c r="AC1891">
        <v>-16.961200000000002</v>
      </c>
      <c r="AD1891">
        <v>-1.110107702666</v>
      </c>
      <c r="AE1891">
        <v>-1.8093999999999799</v>
      </c>
      <c r="AF1891">
        <v>-1.5981442144040701</v>
      </c>
      <c r="AG1891">
        <v>-1.110107702666</v>
      </c>
      <c r="AH1891">
        <v>16.910146697296099</v>
      </c>
      <c r="AI1891">
        <v>93.739316830048097</v>
      </c>
      <c r="AJ1891">
        <v>95.398874054230802</v>
      </c>
      <c r="AK1891">
        <v>17.021735086812601</v>
      </c>
      <c r="AL1891">
        <v>79.817920516728194</v>
      </c>
      <c r="AM1891">
        <v>91.535935838018005</v>
      </c>
      <c r="AN1891">
        <v>0.99999998408225099</v>
      </c>
    </row>
    <row r="1892" spans="1:40" x14ac:dyDescent="0.25">
      <c r="A1892" t="str">
        <f>"20190312164509566"</f>
        <v>20190312164509566</v>
      </c>
      <c r="B1892" t="str">
        <f>"1552380309553679"</f>
        <v>1552380309553679</v>
      </c>
      <c r="C1892" t="s">
        <v>40</v>
      </c>
      <c r="D1892">
        <v>4.6205829999999999</v>
      </c>
      <c r="E1892">
        <v>0.47653699999999999</v>
      </c>
      <c r="F1892" t="s">
        <v>47</v>
      </c>
      <c r="G1892">
        <v>-456.95479999999998</v>
      </c>
      <c r="H1892" s="1">
        <v>2.201537E-6</v>
      </c>
      <c r="I1892">
        <v>283.76249999999999</v>
      </c>
      <c r="J1892">
        <v>-440.69439999999997</v>
      </c>
      <c r="K1892">
        <v>1.110109</v>
      </c>
      <c r="L1892">
        <v>285.5478</v>
      </c>
      <c r="M1892">
        <v>-0.9997973</v>
      </c>
      <c r="N1892">
        <v>0</v>
      </c>
      <c r="O1892">
        <v>-1.3193440000000001E-2</v>
      </c>
      <c r="P1892">
        <v>-0.98611179999999998</v>
      </c>
      <c r="Q1892">
        <v>0.16124340000000001</v>
      </c>
      <c r="R1892">
        <v>-3.9801259999999998E-2</v>
      </c>
      <c r="S1892">
        <v>-3.0630799999999998</v>
      </c>
      <c r="T1892">
        <v>-0.20261119999999999</v>
      </c>
      <c r="U1892">
        <v>-0.32711790000000002</v>
      </c>
      <c r="V1892">
        <v>-2.7472549999999998E-2</v>
      </c>
      <c r="W1892">
        <v>0.1761231</v>
      </c>
      <c r="X1892">
        <v>0.98398470000000005</v>
      </c>
      <c r="Y1892">
        <v>-9.2888239999999997E-2</v>
      </c>
      <c r="Z1892">
        <v>-2.1908700000000001E-3</v>
      </c>
      <c r="AA1892">
        <v>0.99567410000000001</v>
      </c>
      <c r="AB1892">
        <v>53</v>
      </c>
      <c r="AC1892">
        <v>-16.260400000000001</v>
      </c>
      <c r="AD1892">
        <v>-1.110106798463</v>
      </c>
      <c r="AE1892">
        <v>-1.7853000000000001</v>
      </c>
      <c r="AF1892">
        <v>-1.5633891896940999</v>
      </c>
      <c r="AG1892">
        <v>-1.110106798463</v>
      </c>
      <c r="AH1892">
        <v>16.207898271554299</v>
      </c>
      <c r="AI1892">
        <v>93.900121594888404</v>
      </c>
      <c r="AJ1892">
        <v>95.509618246869707</v>
      </c>
      <c r="AK1892">
        <v>16.320921825788499</v>
      </c>
      <c r="AL1892">
        <v>79.855977676169701</v>
      </c>
      <c r="AM1892">
        <v>91.599265070128993</v>
      </c>
      <c r="AN1892">
        <v>0.99999998859560102</v>
      </c>
    </row>
    <row r="1893" spans="1:40" x14ac:dyDescent="0.25">
      <c r="A1893" t="str">
        <f>"20190312164509588"</f>
        <v>20190312164509588</v>
      </c>
      <c r="B1893" t="str">
        <f>"1552380309583935"</f>
        <v>1552380309583935</v>
      </c>
      <c r="C1893" t="s">
        <v>40</v>
      </c>
      <c r="D1893">
        <v>4.7415789999999998</v>
      </c>
      <c r="E1893">
        <v>0.47753810000000002</v>
      </c>
      <c r="F1893" t="s">
        <v>47</v>
      </c>
      <c r="G1893">
        <v>-457.25450000000001</v>
      </c>
      <c r="H1893" s="1">
        <v>2.362612E-6</v>
      </c>
      <c r="I1893">
        <v>283.72669999999999</v>
      </c>
      <c r="J1893">
        <v>-441.2312</v>
      </c>
      <c r="K1893">
        <v>1.1101049999999999</v>
      </c>
      <c r="L1893">
        <v>285.54000000000002</v>
      </c>
      <c r="M1893">
        <v>-0.99978140000000004</v>
      </c>
      <c r="N1893">
        <v>0</v>
      </c>
      <c r="O1893">
        <v>-1.4360929999999999E-2</v>
      </c>
      <c r="P1893">
        <v>-0.98617429999999995</v>
      </c>
      <c r="Q1893">
        <v>0.16032199999999999</v>
      </c>
      <c r="R1893">
        <v>-4.1922920000000002E-2</v>
      </c>
      <c r="S1893">
        <v>-3.0622250000000002</v>
      </c>
      <c r="T1893">
        <v>-0.20527570000000001</v>
      </c>
      <c r="U1893">
        <v>-0.33676149999999999</v>
      </c>
      <c r="V1893">
        <v>-2.843683E-2</v>
      </c>
      <c r="W1893">
        <v>0.17519650000000001</v>
      </c>
      <c r="X1893">
        <v>0.98412279999999996</v>
      </c>
      <c r="Y1893">
        <v>-9.4847570000000006E-2</v>
      </c>
      <c r="Z1893">
        <v>-2.207348E-3</v>
      </c>
      <c r="AA1893">
        <v>0.99548939999999997</v>
      </c>
      <c r="AB1893">
        <v>53</v>
      </c>
      <c r="AC1893">
        <v>-16.023299999999999</v>
      </c>
      <c r="AD1893">
        <v>-1.1101026373880001</v>
      </c>
      <c r="AE1893">
        <v>-1.8133000000000199</v>
      </c>
      <c r="AF1893">
        <v>-1.5755104007101399</v>
      </c>
      <c r="AG1893">
        <v>-1.1101026373880001</v>
      </c>
      <c r="AH1893">
        <v>15.971998038522001</v>
      </c>
      <c r="AI1893">
        <v>93.956696087432405</v>
      </c>
      <c r="AJ1893">
        <v>95.633547554569006</v>
      </c>
      <c r="AK1893">
        <v>16.087861331787799</v>
      </c>
      <c r="AL1893">
        <v>79.909907384278398</v>
      </c>
      <c r="AM1893">
        <v>91.655136026819505</v>
      </c>
      <c r="AN1893">
        <v>1.00000007619626</v>
      </c>
    </row>
    <row r="1894" spans="1:40" x14ac:dyDescent="0.25">
      <c r="A1894" t="str">
        <f>"20190312164509611"</f>
        <v>20190312164509611</v>
      </c>
      <c r="B1894" t="str">
        <f>"1552380309603455"</f>
        <v>1552380309603455</v>
      </c>
      <c r="C1894" t="s">
        <v>40</v>
      </c>
      <c r="D1894">
        <v>4.9742920000000002</v>
      </c>
      <c r="E1894">
        <v>0.4777265</v>
      </c>
      <c r="F1894" t="s">
        <v>47</v>
      </c>
      <c r="G1894">
        <v>-456.79309999999998</v>
      </c>
      <c r="H1894" s="1">
        <v>2.1122549999999999E-6</v>
      </c>
      <c r="I1894">
        <v>283.8365</v>
      </c>
      <c r="J1894">
        <v>-441.75970000000001</v>
      </c>
      <c r="K1894">
        <v>1.110085</v>
      </c>
      <c r="L1894">
        <v>285.53179999999998</v>
      </c>
      <c r="M1894">
        <v>-0.99976449999999994</v>
      </c>
      <c r="N1894">
        <v>0</v>
      </c>
      <c r="O1894">
        <v>-1.5491649999999999E-2</v>
      </c>
      <c r="P1894">
        <v>-0.98617319999999997</v>
      </c>
      <c r="Q1894">
        <v>0.15965770000000001</v>
      </c>
      <c r="R1894">
        <v>-4.4409280000000002E-2</v>
      </c>
      <c r="S1894">
        <v>-3.0633240000000002</v>
      </c>
      <c r="T1894">
        <v>-0.21852089999999999</v>
      </c>
      <c r="U1894">
        <v>-0.33532709999999999</v>
      </c>
      <c r="V1894">
        <v>-2.97994E-2</v>
      </c>
      <c r="W1894">
        <v>0.1745256</v>
      </c>
      <c r="X1894">
        <v>0.98420160000000001</v>
      </c>
      <c r="Y1894">
        <v>-9.3205560000000007E-2</v>
      </c>
      <c r="Z1894">
        <v>-2.2100459999999998E-3</v>
      </c>
      <c r="AA1894">
        <v>0.99564450000000004</v>
      </c>
      <c r="AB1894">
        <v>53</v>
      </c>
      <c r="AC1894">
        <v>-15.033399999999901</v>
      </c>
      <c r="AD1894">
        <v>-1.110082887745</v>
      </c>
      <c r="AE1894">
        <v>-1.6952999999999701</v>
      </c>
      <c r="AF1894">
        <v>-1.4543471779159001</v>
      </c>
      <c r="AG1894">
        <v>-1.110082887745</v>
      </c>
      <c r="AH1894">
        <v>14.9772235736204</v>
      </c>
      <c r="AI1894">
        <v>94.219129137667693</v>
      </c>
      <c r="AJ1894">
        <v>95.546256427975294</v>
      </c>
      <c r="AK1894">
        <v>15.088559762475199</v>
      </c>
      <c r="AL1894">
        <v>79.948947742453001</v>
      </c>
      <c r="AM1894">
        <v>91.734256880714099</v>
      </c>
      <c r="AN1894">
        <v>0.99999998936913903</v>
      </c>
    </row>
    <row r="1895" spans="1:40" x14ac:dyDescent="0.25">
      <c r="A1895" t="str">
        <f>"20190312164509632"</f>
        <v>20190312164509632</v>
      </c>
      <c r="B1895" t="str">
        <f>"1552380309623951"</f>
        <v>1552380309623951</v>
      </c>
      <c r="C1895" t="s">
        <v>40</v>
      </c>
      <c r="D1895">
        <v>4.7875489999999896</v>
      </c>
      <c r="E1895">
        <v>0.47748190000000001</v>
      </c>
      <c r="F1895" t="s">
        <v>47</v>
      </c>
      <c r="G1895">
        <v>-456.66930000000002</v>
      </c>
      <c r="H1895" s="1">
        <v>2.0448470000000001E-6</v>
      </c>
      <c r="I1895">
        <v>283.87150000000003</v>
      </c>
      <c r="J1895">
        <v>-442.26130000000001</v>
      </c>
      <c r="K1895">
        <v>1.1100620000000001</v>
      </c>
      <c r="L1895">
        <v>285.52339999999998</v>
      </c>
      <c r="M1895">
        <v>-0.99974779999999996</v>
      </c>
      <c r="N1895">
        <v>0</v>
      </c>
      <c r="O1895">
        <v>-1.6543579999999999E-2</v>
      </c>
      <c r="P1895">
        <v>-0.98622969999999999</v>
      </c>
      <c r="Q1895">
        <v>0.15862589999999999</v>
      </c>
      <c r="R1895">
        <v>-4.6790529999999997E-2</v>
      </c>
      <c r="S1895">
        <v>-3.063599</v>
      </c>
      <c r="T1895">
        <v>-0.228098</v>
      </c>
      <c r="U1895">
        <v>-0.34115600000000001</v>
      </c>
      <c r="V1895">
        <v>-3.113049E-2</v>
      </c>
      <c r="W1895">
        <v>0.17348829999999901</v>
      </c>
      <c r="X1895">
        <v>0.98434379999999999</v>
      </c>
      <c r="Y1895">
        <v>-9.4003169999999997E-2</v>
      </c>
      <c r="Z1895">
        <v>-2.2578279999999999E-3</v>
      </c>
      <c r="AA1895">
        <v>0.99556929999999999</v>
      </c>
      <c r="AB1895">
        <v>52</v>
      </c>
      <c r="AC1895">
        <v>-14.407999999999999</v>
      </c>
      <c r="AD1895">
        <v>-1.1100599551529999</v>
      </c>
      <c r="AE1895">
        <v>-1.65189999999995</v>
      </c>
      <c r="AF1895">
        <v>-1.4050544526703199</v>
      </c>
      <c r="AG1895">
        <v>-1.1100599551529999</v>
      </c>
      <c r="AH1895">
        <v>14.349288620219699</v>
      </c>
      <c r="AI1895">
        <v>94.402614802186903</v>
      </c>
      <c r="AJ1895">
        <v>95.592463429222704</v>
      </c>
      <c r="AK1895">
        <v>14.460584186863599</v>
      </c>
      <c r="AL1895">
        <v>80.009301566977001</v>
      </c>
      <c r="AM1895">
        <v>91.811411208178498</v>
      </c>
      <c r="AN1895">
        <v>1.0000000071214801</v>
      </c>
    </row>
    <row r="1896" spans="1:40" x14ac:dyDescent="0.25">
      <c r="A1896" t="str">
        <f>"20190312164509655"</f>
        <v>20190312164509655</v>
      </c>
      <c r="B1896" t="str">
        <f>"1552380309643471"</f>
        <v>1552380309643471</v>
      </c>
      <c r="C1896" t="s">
        <v>40</v>
      </c>
      <c r="D1896">
        <v>4.6456819999999999</v>
      </c>
      <c r="E1896">
        <v>0.4773925</v>
      </c>
      <c r="F1896" t="s">
        <v>47</v>
      </c>
      <c r="G1896">
        <v>-457.12099999999998</v>
      </c>
      <c r="H1896" s="1">
        <v>2.2872229999999999E-6</v>
      </c>
      <c r="I1896">
        <v>283.82549999999998</v>
      </c>
      <c r="J1896">
        <v>-442.78210000000001</v>
      </c>
      <c r="K1896">
        <v>1.1100369999999999</v>
      </c>
      <c r="L1896">
        <v>285.51420000000002</v>
      </c>
      <c r="M1896">
        <v>-0.9997296</v>
      </c>
      <c r="N1896">
        <v>0</v>
      </c>
      <c r="O1896">
        <v>-1.761592E-2</v>
      </c>
      <c r="P1896">
        <v>-0.9861318</v>
      </c>
      <c r="Q1896">
        <v>0.15846160000000001</v>
      </c>
      <c r="R1896">
        <v>-4.9338569999999998E-2</v>
      </c>
      <c r="S1896">
        <v>-3.0620729999999998</v>
      </c>
      <c r="T1896">
        <v>-0.22874449999999999</v>
      </c>
      <c r="U1896">
        <v>-0.34988399999999997</v>
      </c>
      <c r="V1896">
        <v>-3.2612790000000003E-2</v>
      </c>
      <c r="W1896">
        <v>0.17331549999999901</v>
      </c>
      <c r="X1896">
        <v>0.98432620000000004</v>
      </c>
      <c r="Y1896">
        <v>-9.5788520000000002E-2</v>
      </c>
      <c r="Z1896">
        <v>-2.2516540000000001E-3</v>
      </c>
      <c r="AA1896">
        <v>0.99539920000000004</v>
      </c>
      <c r="AB1896">
        <v>52</v>
      </c>
      <c r="AC1896">
        <v>-14.338899999999899</v>
      </c>
      <c r="AD1896">
        <v>-1.1100347127770001</v>
      </c>
      <c r="AE1896">
        <v>-1.6887000000000301</v>
      </c>
      <c r="AF1896">
        <v>-1.4273786786850999</v>
      </c>
      <c r="AG1896">
        <v>-1.1100347127770001</v>
      </c>
      <c r="AH1896">
        <v>14.282005322954801</v>
      </c>
      <c r="AI1896">
        <v>94.422299759117607</v>
      </c>
      <c r="AJ1896">
        <v>95.707328695105105</v>
      </c>
      <c r="AK1896">
        <v>14.396015525166799</v>
      </c>
      <c r="AL1896">
        <v>80.019354117236801</v>
      </c>
      <c r="AM1896">
        <v>91.897635094109603</v>
      </c>
      <c r="AN1896">
        <v>0.99999996230913601</v>
      </c>
    </row>
    <row r="1897" spans="1:40" x14ac:dyDescent="0.25">
      <c r="A1897" t="str">
        <f>"20190312164509678"</f>
        <v>20190312164509678</v>
      </c>
      <c r="B1897" t="str">
        <f>"1552380309673727"</f>
        <v>1552380309673727</v>
      </c>
      <c r="C1897" t="s">
        <v>40</v>
      </c>
      <c r="D1897">
        <v>4.6571189999999998</v>
      </c>
      <c r="E1897">
        <v>0.47736139999999999</v>
      </c>
      <c r="F1897" t="s">
        <v>47</v>
      </c>
      <c r="G1897">
        <v>-457.81760000000003</v>
      </c>
      <c r="H1897" s="1">
        <v>2.6609400000000001E-6</v>
      </c>
      <c r="I1897">
        <v>283.7561</v>
      </c>
      <c r="J1897">
        <v>-443.31909999999999</v>
      </c>
      <c r="K1897">
        <v>1.110023</v>
      </c>
      <c r="L1897">
        <v>285.50409999999999</v>
      </c>
      <c r="M1897">
        <v>-0.99970979999999998</v>
      </c>
      <c r="N1897">
        <v>0</v>
      </c>
      <c r="O1897">
        <v>-1.869906E-2</v>
      </c>
      <c r="P1897">
        <v>-0.98595580000000005</v>
      </c>
      <c r="Q1897">
        <v>0.15851889999999999</v>
      </c>
      <c r="R1897">
        <v>-5.2567030000000001E-2</v>
      </c>
      <c r="S1897">
        <v>-3.060638</v>
      </c>
      <c r="T1897">
        <v>-0.2259603</v>
      </c>
      <c r="U1897">
        <v>-0.35787960000000002</v>
      </c>
      <c r="V1897">
        <v>-3.4765869999999997E-2</v>
      </c>
      <c r="W1897">
        <v>0.17336199999999999</v>
      </c>
      <c r="X1897">
        <v>0.98424429999999996</v>
      </c>
      <c r="Y1897">
        <v>-9.7332489999999994E-2</v>
      </c>
      <c r="Z1897">
        <v>-2.20221E-3</v>
      </c>
      <c r="AA1897">
        <v>0.99524950000000001</v>
      </c>
      <c r="AB1897">
        <v>52</v>
      </c>
      <c r="AC1897">
        <v>-14.4985</v>
      </c>
      <c r="AD1897">
        <v>-1.1100203390600001</v>
      </c>
      <c r="AE1897">
        <v>-1.74799999999999</v>
      </c>
      <c r="AF1897">
        <v>-1.46807275560582</v>
      </c>
      <c r="AG1897">
        <v>-1.1100203390600001</v>
      </c>
      <c r="AH1897">
        <v>14.445195448948899</v>
      </c>
      <c r="AI1897">
        <v>94.371745135837003</v>
      </c>
      <c r="AJ1897">
        <v>95.803075192308299</v>
      </c>
      <c r="AK1897">
        <v>14.561972885815001</v>
      </c>
      <c r="AL1897">
        <v>80.016648742391297</v>
      </c>
      <c r="AM1897">
        <v>92.022983332010497</v>
      </c>
      <c r="AN1897">
        <v>0.99999994542167103</v>
      </c>
    </row>
    <row r="1898" spans="1:40" x14ac:dyDescent="0.25">
      <c r="A1898" t="str">
        <f>"20190312164509701"</f>
        <v>20190312164509701</v>
      </c>
      <c r="B1898" t="str">
        <f>"1552380309693246"</f>
        <v>1552380309693246</v>
      </c>
      <c r="C1898" t="s">
        <v>40</v>
      </c>
      <c r="D1898">
        <v>4.6632160000000002</v>
      </c>
      <c r="E1898">
        <v>0.47729120000000003</v>
      </c>
      <c r="F1898" t="s">
        <v>47</v>
      </c>
      <c r="G1898">
        <v>-458.61489999999998</v>
      </c>
      <c r="H1898" s="1">
        <v>3.0891900000000001E-6</v>
      </c>
      <c r="I1898">
        <v>283.66609999999997</v>
      </c>
      <c r="J1898">
        <v>-443.84969999999998</v>
      </c>
      <c r="K1898">
        <v>1.1100019999999999</v>
      </c>
      <c r="L1898">
        <v>285.49349999999998</v>
      </c>
      <c r="M1898">
        <v>-0.99968979999999996</v>
      </c>
      <c r="N1898">
        <v>0</v>
      </c>
      <c r="O1898">
        <v>-1.975027E-2</v>
      </c>
      <c r="P1898">
        <v>-0.98573710000000003</v>
      </c>
      <c r="Q1898">
        <v>0.1591632</v>
      </c>
      <c r="R1898">
        <v>-5.4676809999999999E-2</v>
      </c>
      <c r="S1898">
        <v>-3.0588679999999999</v>
      </c>
      <c r="T1898">
        <v>-0.2219825</v>
      </c>
      <c r="U1898">
        <v>-0.36755369999999998</v>
      </c>
      <c r="V1898">
        <v>-3.5835569999999997E-2</v>
      </c>
      <c r="W1898">
        <v>0.17399829999999999</v>
      </c>
      <c r="X1898">
        <v>0.98409369999999996</v>
      </c>
      <c r="Y1898">
        <v>-9.9460599999999996E-2</v>
      </c>
      <c r="Z1898">
        <v>-2.165368E-3</v>
      </c>
      <c r="AA1898">
        <v>0.99503920000000001</v>
      </c>
      <c r="AB1898">
        <v>52</v>
      </c>
      <c r="AC1898">
        <v>-14.765199999999901</v>
      </c>
      <c r="AD1898">
        <v>-1.1099989108099999</v>
      </c>
      <c r="AE1898">
        <v>-1.8274000000000099</v>
      </c>
      <c r="AF1898">
        <v>-1.52689410091347</v>
      </c>
      <c r="AG1898">
        <v>-1.1099989108099999</v>
      </c>
      <c r="AH1898">
        <v>14.716499039333099</v>
      </c>
      <c r="AI1898">
        <v>94.290449485208399</v>
      </c>
      <c r="AJ1898">
        <v>95.923465869339097</v>
      </c>
      <c r="AK1898">
        <v>14.837076772467601</v>
      </c>
      <c r="AL1898">
        <v>79.979629397733703</v>
      </c>
      <c r="AM1898">
        <v>92.085492557289996</v>
      </c>
      <c r="AN1898">
        <v>1.0000000034298999</v>
      </c>
    </row>
    <row r="1899" spans="1:40" x14ac:dyDescent="0.25">
      <c r="A1899" t="str">
        <f>"20190312164509722"</f>
        <v>20190312164509722</v>
      </c>
      <c r="B1899" t="str">
        <f>"1552380309713743"</f>
        <v>1552380309713743</v>
      </c>
      <c r="C1899" t="s">
        <v>40</v>
      </c>
      <c r="D1899">
        <v>4.6468030000000002</v>
      </c>
      <c r="E1899">
        <v>0.47731780000000001</v>
      </c>
      <c r="F1899" t="s">
        <v>47</v>
      </c>
      <c r="G1899">
        <v>-459.40719999999999</v>
      </c>
      <c r="H1899" s="1">
        <v>3.5143450000000001E-6</v>
      </c>
      <c r="I1899">
        <v>283.5847</v>
      </c>
      <c r="J1899">
        <v>-444.35649999999998</v>
      </c>
      <c r="K1899">
        <v>1.109988</v>
      </c>
      <c r="L1899">
        <v>285.48289999999997</v>
      </c>
      <c r="M1899">
        <v>-0.99966969999999999</v>
      </c>
      <c r="N1899">
        <v>0</v>
      </c>
      <c r="O1899">
        <v>-2.0739790000000001E-2</v>
      </c>
      <c r="P1899">
        <v>-0.98556929999999998</v>
      </c>
      <c r="Q1899">
        <v>0.15932479999999999</v>
      </c>
      <c r="R1899">
        <v>-5.7175669999999998E-2</v>
      </c>
      <c r="S1899">
        <v>-3.0578310000000002</v>
      </c>
      <c r="T1899">
        <v>-0.21817110000000001</v>
      </c>
      <c r="U1899">
        <v>-0.37518309999999999</v>
      </c>
      <c r="V1899">
        <v>-3.735347E-2</v>
      </c>
      <c r="W1899">
        <v>0.17415139999999901</v>
      </c>
      <c r="X1899">
        <v>0.98401019999999995</v>
      </c>
      <c r="Y1899">
        <v>-0.1009678</v>
      </c>
      <c r="Z1899">
        <v>-2.1119870000000001E-3</v>
      </c>
      <c r="AA1899">
        <v>0.99488750000000004</v>
      </c>
      <c r="AB1899">
        <v>52</v>
      </c>
      <c r="AC1899">
        <v>-15.050700000000001</v>
      </c>
      <c r="AD1899">
        <v>-1.1099844856550001</v>
      </c>
      <c r="AE1899">
        <v>-1.8981999999999699</v>
      </c>
      <c r="AF1899">
        <v>-1.57716339479185</v>
      </c>
      <c r="AG1899">
        <v>-1.1099844856550001</v>
      </c>
      <c r="AH1899">
        <v>15.0064921558447</v>
      </c>
      <c r="AI1899">
        <v>94.207202463944</v>
      </c>
      <c r="AJ1899">
        <v>95.999688499092699</v>
      </c>
      <c r="AK1899">
        <v>15.129914631474101</v>
      </c>
      <c r="AL1899">
        <v>79.970721707877203</v>
      </c>
      <c r="AM1899">
        <v>92.173929766704404</v>
      </c>
      <c r="AN1899">
        <v>1.0000000327735199</v>
      </c>
    </row>
    <row r="1900" spans="1:40" x14ac:dyDescent="0.25">
      <c r="A1900" t="str">
        <f>"20190312164509744"</f>
        <v>20190312164509744</v>
      </c>
      <c r="B1900" t="str">
        <f>"1552380309733263"</f>
        <v>1552380309733263</v>
      </c>
      <c r="C1900" t="s">
        <v>40</v>
      </c>
      <c r="D1900">
        <v>4.6264010000000004</v>
      </c>
      <c r="E1900">
        <v>0.47736430000000002</v>
      </c>
      <c r="F1900" t="s">
        <v>47</v>
      </c>
      <c r="G1900">
        <v>-460.09539999999998</v>
      </c>
      <c r="H1900" s="1">
        <v>-1.4375039999999999E-6</v>
      </c>
      <c r="I1900">
        <v>283.50619999999998</v>
      </c>
      <c r="J1900">
        <v>-444.87810000000002</v>
      </c>
      <c r="K1900">
        <v>1.109979</v>
      </c>
      <c r="L1900">
        <v>285.47149999999999</v>
      </c>
      <c r="M1900">
        <v>-0.99964830000000005</v>
      </c>
      <c r="N1900">
        <v>0</v>
      </c>
      <c r="O1900">
        <v>-2.1747579999999999E-2</v>
      </c>
      <c r="P1900">
        <v>-0.98549540000000002</v>
      </c>
      <c r="Q1900">
        <v>0.15889149999999999</v>
      </c>
      <c r="R1900">
        <v>-5.9602429999999998E-2</v>
      </c>
      <c r="S1900">
        <v>-3.0564879999999999</v>
      </c>
      <c r="T1900">
        <v>-0.21555940000000001</v>
      </c>
      <c r="U1900">
        <v>-0.38388060000000002</v>
      </c>
      <c r="V1900">
        <v>-3.8777739999999998E-2</v>
      </c>
      <c r="W1900">
        <v>0.17371139999999999</v>
      </c>
      <c r="X1900">
        <v>0.98403289999999999</v>
      </c>
      <c r="Y1900">
        <v>-0.1028082</v>
      </c>
      <c r="Z1900">
        <v>-2.0812270000000002E-3</v>
      </c>
      <c r="AA1900">
        <v>0.994699</v>
      </c>
      <c r="AB1900">
        <v>52</v>
      </c>
      <c r="AC1900">
        <v>-15.2172999999999</v>
      </c>
      <c r="AD1900">
        <v>-1.1099804375040001</v>
      </c>
      <c r="AE1900">
        <v>-1.96530000000001</v>
      </c>
      <c r="AF1900">
        <v>-1.6253516503159</v>
      </c>
      <c r="AG1900">
        <v>-1.1099804375040001</v>
      </c>
      <c r="AH1900">
        <v>15.1770204959344</v>
      </c>
      <c r="AI1900">
        <v>94.159215075106999</v>
      </c>
      <c r="AJ1900">
        <v>96.112675614513094</v>
      </c>
      <c r="AK1900">
        <v>15.3041097647932</v>
      </c>
      <c r="AL1900">
        <v>79.996322290804997</v>
      </c>
      <c r="AM1900">
        <v>92.256684534927501</v>
      </c>
      <c r="AN1900">
        <v>1.0000000559459301</v>
      </c>
    </row>
    <row r="1901" spans="1:40" x14ac:dyDescent="0.25">
      <c r="A1901" t="str">
        <f>"20190312164509766"</f>
        <v>20190312164509766</v>
      </c>
      <c r="B1901" t="str">
        <f>"1552380309763519"</f>
        <v>1552380309763519</v>
      </c>
      <c r="C1901" t="s">
        <v>40</v>
      </c>
      <c r="D1901">
        <v>4.5673380000000003</v>
      </c>
      <c r="E1901">
        <v>0.4761804</v>
      </c>
      <c r="F1901" t="s">
        <v>47</v>
      </c>
      <c r="G1901">
        <v>-460.46640000000002</v>
      </c>
      <c r="H1901" s="1">
        <v>-1.238995E-6</v>
      </c>
      <c r="I1901">
        <v>283.48200000000003</v>
      </c>
      <c r="J1901">
        <v>-445.38749999999999</v>
      </c>
      <c r="K1901">
        <v>1.109966</v>
      </c>
      <c r="L1901">
        <v>285.4599</v>
      </c>
      <c r="M1901">
        <v>-0.99962660000000003</v>
      </c>
      <c r="N1901">
        <v>0</v>
      </c>
      <c r="O1901">
        <v>-2.2724540000000001E-2</v>
      </c>
      <c r="P1901">
        <v>-0.98542260000000004</v>
      </c>
      <c r="Q1901">
        <v>0.1584101</v>
      </c>
      <c r="R1901">
        <v>-6.204225E-2</v>
      </c>
      <c r="S1901">
        <v>-3.0556030000000001</v>
      </c>
      <c r="T1901">
        <v>-0.21757599999999999</v>
      </c>
      <c r="U1901">
        <v>-0.3899841</v>
      </c>
      <c r="V1901">
        <v>-4.0246129999999998E-2</v>
      </c>
      <c r="W1901">
        <v>0.17322299999999999</v>
      </c>
      <c r="X1901">
        <v>0.98406000000000005</v>
      </c>
      <c r="Y1901">
        <v>-0.10382329999999999</v>
      </c>
      <c r="Z1901">
        <v>-2.0678049999999998E-3</v>
      </c>
      <c r="AA1901">
        <v>0.99459359999999997</v>
      </c>
      <c r="AB1901">
        <v>52</v>
      </c>
      <c r="AC1901">
        <v>-15.078900000000001</v>
      </c>
      <c r="AD1901">
        <v>-1.1099672389949999</v>
      </c>
      <c r="AE1901">
        <v>-1.97789999999997</v>
      </c>
      <c r="AF1901">
        <v>-1.6260269575328801</v>
      </c>
      <c r="AG1901">
        <v>-1.1099672389949999</v>
      </c>
      <c r="AH1901">
        <v>15.039841922451</v>
      </c>
      <c r="AI1901">
        <v>94.196512173205505</v>
      </c>
      <c r="AJ1901">
        <v>96.1705445031144</v>
      </c>
      <c r="AK1901">
        <v>15.1681520295183</v>
      </c>
      <c r="AL1901">
        <v>80.024735964246503</v>
      </c>
      <c r="AM1901">
        <v>92.341980170179895</v>
      </c>
      <c r="AN1901">
        <v>1.0000000211544799</v>
      </c>
    </row>
    <row r="1902" spans="1:40" x14ac:dyDescent="0.25">
      <c r="A1902" t="str">
        <f>"20190312164509789"</f>
        <v>20190312164509789</v>
      </c>
      <c r="B1902" t="str">
        <f>"1552380309784015"</f>
        <v>1552380309784015</v>
      </c>
      <c r="C1902" t="s">
        <v>40</v>
      </c>
      <c r="D1902">
        <v>4.7116559999999996</v>
      </c>
      <c r="E1902">
        <v>0.47527940000000002</v>
      </c>
      <c r="F1902" t="s">
        <v>47</v>
      </c>
      <c r="G1902">
        <v>-460.99439999999998</v>
      </c>
      <c r="H1902" s="1">
        <v>-9.5361520000000004E-7</v>
      </c>
      <c r="I1902">
        <v>283.3809</v>
      </c>
      <c r="J1902">
        <v>-445.91699999999997</v>
      </c>
      <c r="K1902">
        <v>1.1099490000000001</v>
      </c>
      <c r="L1902">
        <v>285.44720000000001</v>
      </c>
      <c r="M1902">
        <v>-0.99960309999999997</v>
      </c>
      <c r="N1902">
        <v>0</v>
      </c>
      <c r="O1902">
        <v>-2.3735619999999999E-2</v>
      </c>
      <c r="P1902">
        <v>-0.98543570000000003</v>
      </c>
      <c r="Q1902">
        <v>0.15794029999999901</v>
      </c>
      <c r="R1902">
        <v>-6.3020809999999997E-2</v>
      </c>
      <c r="S1902">
        <v>-3.0536500000000002</v>
      </c>
      <c r="T1902">
        <v>-0.2171766</v>
      </c>
      <c r="U1902">
        <v>-0.40676879999999999</v>
      </c>
      <c r="V1902">
        <v>-4.0218539999999997E-2</v>
      </c>
      <c r="W1902">
        <v>0.17275190000000001</v>
      </c>
      <c r="X1902">
        <v>0.98414389999999996</v>
      </c>
      <c r="Y1902">
        <v>-0.1082637</v>
      </c>
      <c r="Z1902">
        <v>-2.1501910000000001E-3</v>
      </c>
      <c r="AA1902">
        <v>0.99411989999999995</v>
      </c>
      <c r="AB1902">
        <v>52</v>
      </c>
      <c r="AC1902">
        <v>-15.077400000000001</v>
      </c>
      <c r="AD1902">
        <v>-1.1099499536152</v>
      </c>
      <c r="AE1902">
        <v>-2.0663000000000098</v>
      </c>
      <c r="AF1902">
        <v>-1.69876844250945</v>
      </c>
      <c r="AG1902">
        <v>-1.1099499536152</v>
      </c>
      <c r="AH1902">
        <v>15.0421845716061</v>
      </c>
      <c r="AI1902">
        <v>94.193596534330098</v>
      </c>
      <c r="AJ1902">
        <v>96.443319957245706</v>
      </c>
      <c r="AK1902">
        <v>15.178442601501001</v>
      </c>
      <c r="AL1902">
        <v>80.052140781383002</v>
      </c>
      <c r="AM1902">
        <v>92.340177154898598</v>
      </c>
      <c r="AN1902">
        <v>0.99999998291027503</v>
      </c>
    </row>
    <row r="1903" spans="1:40" x14ac:dyDescent="0.25">
      <c r="A1903" t="str">
        <f>"20190312164509811"</f>
        <v>20190312164509811</v>
      </c>
      <c r="B1903" t="str">
        <f>"1552380309803534"</f>
        <v>1552380309803534</v>
      </c>
      <c r="C1903" t="s">
        <v>40</v>
      </c>
      <c r="D1903">
        <v>4.494275</v>
      </c>
      <c r="E1903">
        <v>0.47454229999999997</v>
      </c>
      <c r="F1903" t="s">
        <v>47</v>
      </c>
      <c r="G1903">
        <v>-461.47570000000002</v>
      </c>
      <c r="H1903" s="1">
        <v>-6.9468519999999999E-7</v>
      </c>
      <c r="I1903">
        <v>283.31700000000001</v>
      </c>
      <c r="J1903">
        <v>-446.4332</v>
      </c>
      <c r="K1903">
        <v>1.109936</v>
      </c>
      <c r="L1903">
        <v>285.43430000000001</v>
      </c>
      <c r="M1903">
        <v>-0.99957940000000001</v>
      </c>
      <c r="N1903">
        <v>0</v>
      </c>
      <c r="O1903">
        <v>-2.4718609999999998E-2</v>
      </c>
      <c r="P1903">
        <v>-0.98535320000000004</v>
      </c>
      <c r="Q1903">
        <v>0.15793470000000001</v>
      </c>
      <c r="R1903">
        <v>-6.4314159999999995E-2</v>
      </c>
      <c r="S1903">
        <v>-3.052521</v>
      </c>
      <c r="T1903">
        <v>-0.21776470000000001</v>
      </c>
      <c r="U1903">
        <v>-0.41793819999999998</v>
      </c>
      <c r="V1903">
        <v>-4.0537709999999998E-2</v>
      </c>
      <c r="W1903">
        <v>0.17274300000000001</v>
      </c>
      <c r="X1903">
        <v>0.98413240000000002</v>
      </c>
      <c r="Y1903">
        <v>-0.110901</v>
      </c>
      <c r="Z1903">
        <v>-2.180151E-3</v>
      </c>
      <c r="AA1903">
        <v>0.99382910000000002</v>
      </c>
      <c r="AB1903">
        <v>52</v>
      </c>
      <c r="AC1903">
        <v>-15.0425</v>
      </c>
      <c r="AD1903">
        <v>-1.1099366946852001</v>
      </c>
      <c r="AE1903">
        <v>-2.1173000000000002</v>
      </c>
      <c r="AF1903">
        <v>-1.7355150342338701</v>
      </c>
      <c r="AG1903">
        <v>-1.1099366946852001</v>
      </c>
      <c r="AH1903">
        <v>15.0101107882462</v>
      </c>
      <c r="AI1903">
        <v>94.2012051710131</v>
      </c>
      <c r="AJ1903">
        <v>96.595427013879501</v>
      </c>
      <c r="AK1903">
        <v>15.150821686485701</v>
      </c>
      <c r="AL1903">
        <v>80.052658823114498</v>
      </c>
      <c r="AM1903">
        <v>92.358755186974605</v>
      </c>
      <c r="AN1903">
        <v>1.0000000153554001</v>
      </c>
    </row>
    <row r="1904" spans="1:40" x14ac:dyDescent="0.25">
      <c r="A1904" t="str">
        <f>"20190312164509834"</f>
        <v>20190312164509834</v>
      </c>
      <c r="B1904" t="str">
        <f>"1552380309824031"</f>
        <v>1552380309824031</v>
      </c>
      <c r="C1904" t="s">
        <v>40</v>
      </c>
      <c r="D1904">
        <v>4.5293890000000001</v>
      </c>
      <c r="E1904">
        <v>0.47392469999999998</v>
      </c>
      <c r="F1904" t="s">
        <v>47</v>
      </c>
      <c r="G1904">
        <v>-461.87369999999999</v>
      </c>
      <c r="H1904" s="1">
        <v>-4.8080849999999898E-7</v>
      </c>
      <c r="I1904">
        <v>283.26859999999999</v>
      </c>
      <c r="J1904">
        <v>-446.96010000000001</v>
      </c>
      <c r="K1904">
        <v>1.109915</v>
      </c>
      <c r="L1904">
        <v>285.42070000000001</v>
      </c>
      <c r="M1904">
        <v>-0.99955419999999995</v>
      </c>
      <c r="N1904">
        <v>0</v>
      </c>
      <c r="O1904">
        <v>-2.5722109999999999E-2</v>
      </c>
      <c r="P1904">
        <v>-0.98531630000000003</v>
      </c>
      <c r="Q1904">
        <v>0.15773329999999999</v>
      </c>
      <c r="R1904">
        <v>-6.536169E-2</v>
      </c>
      <c r="S1904">
        <v>-3.0518489999999998</v>
      </c>
      <c r="T1904">
        <v>-0.21938160000000001</v>
      </c>
      <c r="U1904">
        <v>-0.42807010000000001</v>
      </c>
      <c r="V1904">
        <v>-4.0590330000000001E-2</v>
      </c>
      <c r="W1904">
        <v>0.1725391</v>
      </c>
      <c r="X1904">
        <v>0.98416599999999999</v>
      </c>
      <c r="Y1904">
        <v>-0.11316329999999999</v>
      </c>
      <c r="Z1904">
        <v>-2.205486E-3</v>
      </c>
      <c r="AA1904">
        <v>0.99357399999999996</v>
      </c>
      <c r="AB1904">
        <v>52</v>
      </c>
      <c r="AC1904">
        <v>-14.913599999999899</v>
      </c>
      <c r="AD1904">
        <v>-1.1099154808085001</v>
      </c>
      <c r="AE1904">
        <v>-2.1521000000000101</v>
      </c>
      <c r="AF1904">
        <v>-1.75819481641844</v>
      </c>
      <c r="AG1904">
        <v>-1.1099154808085001</v>
      </c>
      <c r="AH1904">
        <v>14.883273627201</v>
      </c>
      <c r="AI1904">
        <v>94.235576727908494</v>
      </c>
      <c r="AJ1904">
        <v>96.737255972618399</v>
      </c>
      <c r="AK1904">
        <v>15.027807399922199</v>
      </c>
      <c r="AL1904">
        <v>80.064519526938994</v>
      </c>
      <c r="AM1904">
        <v>92.361732963271393</v>
      </c>
      <c r="AN1904">
        <v>1.00000001573715</v>
      </c>
    </row>
    <row r="1905" spans="1:40" x14ac:dyDescent="0.25">
      <c r="A1905" t="str">
        <f>"20190312164509856"</f>
        <v>20190312164509856</v>
      </c>
      <c r="B1905" t="str">
        <f>"1552380309853310"</f>
        <v>1552380309853310</v>
      </c>
      <c r="C1905" t="s">
        <v>40</v>
      </c>
      <c r="D1905">
        <v>4.4646879999999998</v>
      </c>
      <c r="E1905">
        <v>0.47317169999999997</v>
      </c>
      <c r="F1905" t="s">
        <v>47</v>
      </c>
      <c r="G1905">
        <v>-462.33530000000002</v>
      </c>
      <c r="H1905" s="1">
        <v>-2.332669E-7</v>
      </c>
      <c r="I1905">
        <v>283.22550000000001</v>
      </c>
      <c r="J1905">
        <v>-447.46949999999998</v>
      </c>
      <c r="K1905">
        <v>1.1099030000000001</v>
      </c>
      <c r="L1905">
        <v>285.40699999999998</v>
      </c>
      <c r="M1905">
        <v>-0.99952859999999999</v>
      </c>
      <c r="N1905">
        <v>0</v>
      </c>
      <c r="O1905">
        <v>-2.6690950000000001E-2</v>
      </c>
      <c r="P1905">
        <v>-0.98529009999999995</v>
      </c>
      <c r="Q1905">
        <v>0.15729109999999999</v>
      </c>
      <c r="R1905">
        <v>-6.6806130000000005E-2</v>
      </c>
      <c r="S1905">
        <v>-3.0510250000000001</v>
      </c>
      <c r="T1905">
        <v>-0.2202501</v>
      </c>
      <c r="U1905">
        <v>-0.43560789999999999</v>
      </c>
      <c r="V1905">
        <v>-4.1072240000000003E-2</v>
      </c>
      <c r="W1905">
        <v>0.17209389999999999</v>
      </c>
      <c r="X1905">
        <v>0.98422399999999999</v>
      </c>
      <c r="Y1905">
        <v>-0.11464050000000001</v>
      </c>
      <c r="Z1905">
        <v>-2.1979790000000001E-3</v>
      </c>
      <c r="AA1905">
        <v>0.99340459999999997</v>
      </c>
      <c r="AB1905">
        <v>52</v>
      </c>
      <c r="AC1905">
        <v>-14.8658</v>
      </c>
      <c r="AD1905">
        <v>-1.1099032332668901</v>
      </c>
      <c r="AE1905">
        <v>-2.18149999999997</v>
      </c>
      <c r="AF1905">
        <v>-1.7742130447386599</v>
      </c>
      <c r="AG1905">
        <v>-1.1099032332668901</v>
      </c>
      <c r="AH1905">
        <v>14.8377683776424</v>
      </c>
      <c r="AI1905">
        <v>94.247757192750399</v>
      </c>
      <c r="AJ1905">
        <v>96.818717266619998</v>
      </c>
      <c r="AK1905">
        <v>14.9846283752352</v>
      </c>
      <c r="AL1905">
        <v>80.090415411662406</v>
      </c>
      <c r="AM1905">
        <v>92.389599733090506</v>
      </c>
      <c r="AN1905">
        <v>1.0000000607459101</v>
      </c>
    </row>
    <row r="1906" spans="1:40" x14ac:dyDescent="0.25">
      <c r="A1906" t="str">
        <f>"20190312164509880"</f>
        <v>20190312164509880</v>
      </c>
      <c r="B1906" t="str">
        <f>"1552380309873807"</f>
        <v>1552380309873807</v>
      </c>
      <c r="C1906" t="s">
        <v>40</v>
      </c>
      <c r="D1906">
        <v>4.4854450000000003</v>
      </c>
      <c r="E1906">
        <v>0.47266409999999998</v>
      </c>
      <c r="F1906" t="s">
        <v>47</v>
      </c>
      <c r="G1906">
        <v>-462.67140000000001</v>
      </c>
      <c r="H1906" s="1">
        <v>-5.2758819999999998E-8</v>
      </c>
      <c r="I1906">
        <v>283.18770000000001</v>
      </c>
      <c r="J1906">
        <v>-448.01769999999999</v>
      </c>
      <c r="K1906">
        <v>1.1098939999999999</v>
      </c>
      <c r="L1906">
        <v>285.39170000000001</v>
      </c>
      <c r="M1906">
        <v>-0.99950059999999996</v>
      </c>
      <c r="N1906">
        <v>0</v>
      </c>
      <c r="O1906">
        <v>-2.7726480000000001E-2</v>
      </c>
      <c r="P1906">
        <v>-0.98519639999999997</v>
      </c>
      <c r="Q1906">
        <v>0.1573473</v>
      </c>
      <c r="R1906">
        <v>-6.8045090000000003E-2</v>
      </c>
      <c r="S1906">
        <v>-3.0501399999999999</v>
      </c>
      <c r="T1906">
        <v>-0.22269359999999999</v>
      </c>
      <c r="U1906">
        <v>-0.44528200000000001</v>
      </c>
      <c r="V1906">
        <v>-4.12854E-2</v>
      </c>
      <c r="W1906">
        <v>0.17214649999999901</v>
      </c>
      <c r="X1906">
        <v>0.98420580000000002</v>
      </c>
      <c r="Y1906">
        <v>-0.11673</v>
      </c>
      <c r="Z1906">
        <v>-2.2232160000000001E-3</v>
      </c>
      <c r="AA1906">
        <v>0.99316119999999997</v>
      </c>
      <c r="AB1906">
        <v>52</v>
      </c>
      <c r="AC1906">
        <v>-14.653700000000001</v>
      </c>
      <c r="AD1906">
        <v>-1.1098940527588199</v>
      </c>
      <c r="AE1906">
        <v>-2.2040000000000002</v>
      </c>
      <c r="AF1906">
        <v>-1.7867866074229399</v>
      </c>
      <c r="AG1906">
        <v>-1.1098940527588199</v>
      </c>
      <c r="AH1906">
        <v>14.6271248553594</v>
      </c>
      <c r="AI1906">
        <v>94.307344556627399</v>
      </c>
      <c r="AJ1906">
        <v>96.964501103583601</v>
      </c>
      <c r="AK1906">
        <v>14.7775929272358</v>
      </c>
      <c r="AL1906">
        <v>80.087355178822705</v>
      </c>
      <c r="AM1906">
        <v>92.402031346622195</v>
      </c>
      <c r="AN1906">
        <v>0.99999997923452399</v>
      </c>
    </row>
    <row r="1907" spans="1:40" x14ac:dyDescent="0.25">
      <c r="A1907" t="str">
        <f>"20190312164509903"</f>
        <v>20190312164509903</v>
      </c>
      <c r="B1907" t="str">
        <f>"1552380309893326"</f>
        <v>1552380309893326</v>
      </c>
      <c r="C1907" t="s">
        <v>40</v>
      </c>
      <c r="D1907">
        <v>4.4573280000000004</v>
      </c>
      <c r="E1907">
        <v>0.47223589999999999</v>
      </c>
      <c r="F1907" t="s">
        <v>47</v>
      </c>
      <c r="G1907">
        <v>-463.13580000000002</v>
      </c>
      <c r="H1907" s="1">
        <v>1.9612569999999999E-7</v>
      </c>
      <c r="I1907">
        <v>283.14819999999997</v>
      </c>
      <c r="J1907">
        <v>-448.54559999999998</v>
      </c>
      <c r="K1907">
        <v>1.1098749999999999</v>
      </c>
      <c r="L1907">
        <v>285.37639999999999</v>
      </c>
      <c r="M1907">
        <v>-0.9994731</v>
      </c>
      <c r="N1907">
        <v>0</v>
      </c>
      <c r="O1907">
        <v>-2.8707320000000001E-2</v>
      </c>
      <c r="P1907">
        <v>-0.98509999999999998</v>
      </c>
      <c r="Q1907">
        <v>0.15732260000000001</v>
      </c>
      <c r="R1907">
        <v>-6.9483299999999998E-2</v>
      </c>
      <c r="S1907">
        <v>-3.0495610000000002</v>
      </c>
      <c r="T1907">
        <v>-0.223883</v>
      </c>
      <c r="U1907">
        <v>-0.45254519999999998</v>
      </c>
      <c r="V1907">
        <v>-4.1750210000000003E-2</v>
      </c>
      <c r="W1907">
        <v>0.17211779999999999</v>
      </c>
      <c r="X1907">
        <v>0.98419120000000004</v>
      </c>
      <c r="Y1907">
        <v>-0.11809409999999999</v>
      </c>
      <c r="Z1907">
        <v>-2.2134110000000002E-3</v>
      </c>
      <c r="AA1907">
        <v>0.99299990000000005</v>
      </c>
      <c r="AB1907">
        <v>52</v>
      </c>
      <c r="AC1907">
        <v>-14.590199999999999</v>
      </c>
      <c r="AD1907">
        <v>-1.1098748038743</v>
      </c>
      <c r="AE1907">
        <v>-2.22820000000001</v>
      </c>
      <c r="AF1907">
        <v>-1.79821940097147</v>
      </c>
      <c r="AG1907">
        <v>-1.1098748038743</v>
      </c>
      <c r="AH1907">
        <v>14.5657926169839</v>
      </c>
      <c r="AI1907">
        <v>94.324660837745299</v>
      </c>
      <c r="AJ1907">
        <v>97.037837696283205</v>
      </c>
      <c r="AK1907">
        <v>14.718278759939601</v>
      </c>
      <c r="AL1907">
        <v>80.089024367874998</v>
      </c>
      <c r="AM1907">
        <v>92.429078297701395</v>
      </c>
      <c r="AN1907">
        <v>0.99999996763466104</v>
      </c>
    </row>
    <row r="1908" spans="1:40" x14ac:dyDescent="0.25">
      <c r="A1908" t="str">
        <f>"20190312164509924"</f>
        <v>20190312164509924</v>
      </c>
      <c r="B1908" t="str">
        <f>"1552380309913823"</f>
        <v>1552380309913823</v>
      </c>
      <c r="C1908" t="s">
        <v>40</v>
      </c>
      <c r="D1908">
        <v>4.4600679999999997</v>
      </c>
      <c r="E1908">
        <v>0.4717481</v>
      </c>
      <c r="F1908" t="s">
        <v>47</v>
      </c>
      <c r="G1908">
        <v>-463.49860000000001</v>
      </c>
      <c r="H1908" s="1">
        <v>3.9031489999999999E-7</v>
      </c>
      <c r="I1908">
        <v>283.12130000000002</v>
      </c>
      <c r="J1908">
        <v>-449.04050000000001</v>
      </c>
      <c r="K1908">
        <v>1.10985</v>
      </c>
      <c r="L1908">
        <v>285.36169999999998</v>
      </c>
      <c r="M1908">
        <v>-0.99944710000000003</v>
      </c>
      <c r="N1908">
        <v>0</v>
      </c>
      <c r="O1908">
        <v>-2.9600040000000001E-2</v>
      </c>
      <c r="P1908">
        <v>-0.98488739999999997</v>
      </c>
      <c r="Q1908">
        <v>0.15786320000000001</v>
      </c>
      <c r="R1908">
        <v>-7.1246989999999996E-2</v>
      </c>
      <c r="S1908">
        <v>-3.049042</v>
      </c>
      <c r="T1908">
        <v>-0.2263134</v>
      </c>
      <c r="U1908">
        <v>-0.45983889999999999</v>
      </c>
      <c r="V1908">
        <v>-4.262937E-2</v>
      </c>
      <c r="W1908">
        <v>0.17265229999999901</v>
      </c>
      <c r="X1908">
        <v>0.98405989999999999</v>
      </c>
      <c r="Y1908">
        <v>-0.1195484</v>
      </c>
      <c r="Z1908">
        <v>-2.2252550000000002E-3</v>
      </c>
      <c r="AA1908">
        <v>0.99282590000000004</v>
      </c>
      <c r="AB1908">
        <v>52</v>
      </c>
      <c r="AC1908">
        <v>-14.4581</v>
      </c>
      <c r="AD1908">
        <v>-1.1098496096851</v>
      </c>
      <c r="AE1908">
        <v>-2.2403999999999602</v>
      </c>
      <c r="AF1908">
        <v>-1.8010447145253099</v>
      </c>
      <c r="AG1908">
        <v>-1.1098496096851</v>
      </c>
      <c r="AH1908">
        <v>14.435021845122201</v>
      </c>
      <c r="AI1908">
        <v>94.362891643999404</v>
      </c>
      <c r="AJ1908">
        <v>97.111990034612006</v>
      </c>
      <c r="AK1908">
        <v>14.589221497016</v>
      </c>
      <c r="AL1908">
        <v>80.057934501160105</v>
      </c>
      <c r="AM1908">
        <v>92.480496194472806</v>
      </c>
      <c r="AN1908">
        <v>0.99999998333494799</v>
      </c>
    </row>
    <row r="1909" spans="1:40" x14ac:dyDescent="0.25">
      <c r="A1909" t="str">
        <f>"20190312164509946"</f>
        <v>20190312164509946</v>
      </c>
      <c r="B1909" t="str">
        <f>"1552380309933343"</f>
        <v>1552380309933343</v>
      </c>
      <c r="C1909" t="s">
        <v>40</v>
      </c>
      <c r="D1909">
        <v>4.5101149999999999</v>
      </c>
      <c r="E1909">
        <v>0.47128389999999998</v>
      </c>
      <c r="F1909" t="s">
        <v>47</v>
      </c>
      <c r="G1909">
        <v>-463.9744</v>
      </c>
      <c r="H1909" s="1">
        <v>6.4599669999999898E-7</v>
      </c>
      <c r="I1909">
        <v>283.06459999999998</v>
      </c>
      <c r="J1909">
        <v>-449.54320000000001</v>
      </c>
      <c r="K1909">
        <v>1.109823</v>
      </c>
      <c r="L1909">
        <v>285.34629999999999</v>
      </c>
      <c r="M1909">
        <v>-0.99942109999999995</v>
      </c>
      <c r="N1909">
        <v>0</v>
      </c>
      <c r="O1909">
        <v>-3.0465929999999999E-2</v>
      </c>
      <c r="P1909">
        <v>-0.98465139999999995</v>
      </c>
      <c r="Q1909">
        <v>0.15844279999999999</v>
      </c>
      <c r="R1909">
        <v>-7.3196780000000003E-2</v>
      </c>
      <c r="S1909">
        <v>-3.0484309999999999</v>
      </c>
      <c r="T1909">
        <v>-0.22655220000000001</v>
      </c>
      <c r="U1909">
        <v>-0.4689026</v>
      </c>
      <c r="V1909">
        <v>-4.3717260000000001E-2</v>
      </c>
      <c r="W1909">
        <v>0.17322580000000001</v>
      </c>
      <c r="X1909">
        <v>0.98391139999999999</v>
      </c>
      <c r="Y1909">
        <v>-0.1215986</v>
      </c>
      <c r="Z1909">
        <v>-2.2394030000000001E-3</v>
      </c>
      <c r="AA1909">
        <v>0.99257680000000004</v>
      </c>
      <c r="AB1909">
        <v>52</v>
      </c>
      <c r="AC1909">
        <v>-14.431199999999899</v>
      </c>
      <c r="AD1909">
        <v>-1.1098223540033001</v>
      </c>
      <c r="AE1909">
        <v>-2.2816999999999998</v>
      </c>
      <c r="AF1909">
        <v>-1.8303689592869501</v>
      </c>
      <c r="AG1909">
        <v>-1.1098223540033001</v>
      </c>
      <c r="AH1909">
        <v>14.410870362571099</v>
      </c>
      <c r="AI1909">
        <v>94.368857905119697</v>
      </c>
      <c r="AJ1909">
        <v>97.238554303099704</v>
      </c>
      <c r="AK1909">
        <v>14.5689787147692</v>
      </c>
      <c r="AL1909">
        <v>80.024572959413504</v>
      </c>
      <c r="AM1909">
        <v>92.544099086898697</v>
      </c>
      <c r="AN1909">
        <v>1.00000000982875</v>
      </c>
    </row>
    <row r="1910" spans="1:40" x14ac:dyDescent="0.25">
      <c r="A1910" t="str">
        <f>"20190312164509969"</f>
        <v>20190312164509969</v>
      </c>
      <c r="B1910" t="str">
        <f>"1552380309963598"</f>
        <v>1552380309963598</v>
      </c>
      <c r="C1910" t="s">
        <v>40</v>
      </c>
      <c r="D1910">
        <v>4.6796819999999997</v>
      </c>
      <c r="E1910">
        <v>0.4707691</v>
      </c>
      <c r="F1910" t="s">
        <v>47</v>
      </c>
      <c r="G1910">
        <v>-464.4554</v>
      </c>
      <c r="H1910" s="1">
        <v>9.0447330000000001E-7</v>
      </c>
      <c r="I1910">
        <v>283.00689999999997</v>
      </c>
      <c r="J1910">
        <v>-450.07560000000001</v>
      </c>
      <c r="K1910">
        <v>1.109772</v>
      </c>
      <c r="L1910">
        <v>285.3295</v>
      </c>
      <c r="M1910">
        <v>-0.99939469999999997</v>
      </c>
      <c r="N1910">
        <v>0</v>
      </c>
      <c r="O1910">
        <v>-3.1323240000000002E-2</v>
      </c>
      <c r="P1910">
        <v>-0.98439710000000002</v>
      </c>
      <c r="Q1910">
        <v>0.15898590000000001</v>
      </c>
      <c r="R1910">
        <v>-7.5404959999999993E-2</v>
      </c>
      <c r="S1910">
        <v>-3.0476990000000002</v>
      </c>
      <c r="T1910">
        <v>-0.2268223</v>
      </c>
      <c r="U1910">
        <v>-0.47811890000000001</v>
      </c>
      <c r="V1910">
        <v>-4.5066420000000003E-2</v>
      </c>
      <c r="W1910">
        <v>0.173764</v>
      </c>
      <c r="X1910">
        <v>0.98375559999999995</v>
      </c>
      <c r="Y1910">
        <v>-0.12370970000000001</v>
      </c>
      <c r="Z1910">
        <v>-2.2568409999999999E-3</v>
      </c>
      <c r="AA1910">
        <v>0.99231590000000003</v>
      </c>
      <c r="AB1910">
        <v>52</v>
      </c>
      <c r="AC1910">
        <v>-14.3797999999999</v>
      </c>
      <c r="AD1910">
        <v>-1.1097710955266999</v>
      </c>
      <c r="AE1910">
        <v>-2.32260000000002</v>
      </c>
      <c r="AF1910">
        <v>-1.8601887712679801</v>
      </c>
      <c r="AG1910">
        <v>-1.1097710955266999</v>
      </c>
      <c r="AH1910">
        <v>14.3621347603145</v>
      </c>
      <c r="AI1910">
        <v>94.382042292562801</v>
      </c>
      <c r="AJ1910">
        <v>97.379885476019595</v>
      </c>
      <c r="AK1910">
        <v>14.5245588236839</v>
      </c>
      <c r="AL1910">
        <v>79.993261377909405</v>
      </c>
      <c r="AM1910">
        <v>92.622919402349297</v>
      </c>
      <c r="AN1910">
        <v>0.99999999521948801</v>
      </c>
    </row>
    <row r="1911" spans="1:40" x14ac:dyDescent="0.25">
      <c r="A1911" t="str">
        <f>"20190312164509992"</f>
        <v>20190312164509992</v>
      </c>
      <c r="B1911" t="str">
        <f>"1552380309983119"</f>
        <v>1552380309983119</v>
      </c>
      <c r="C1911" t="s">
        <v>40</v>
      </c>
      <c r="D1911">
        <v>4.5317800000000004</v>
      </c>
      <c r="E1911">
        <v>0.47052329999999998</v>
      </c>
      <c r="F1911" t="s">
        <v>47</v>
      </c>
      <c r="G1911">
        <v>-464.9409</v>
      </c>
      <c r="H1911" s="1">
        <v>1.165574E-6</v>
      </c>
      <c r="I1911">
        <v>282.94490000000002</v>
      </c>
      <c r="J1911">
        <v>-450.61770000000001</v>
      </c>
      <c r="K1911">
        <v>1.10971</v>
      </c>
      <c r="L1911">
        <v>285.31200000000001</v>
      </c>
      <c r="M1911">
        <v>-0.99936999999999998</v>
      </c>
      <c r="N1911">
        <v>0</v>
      </c>
      <c r="O1911">
        <v>-3.210636E-2</v>
      </c>
      <c r="P1911">
        <v>-0.98408079999999998</v>
      </c>
      <c r="Q1911">
        <v>0.15977949999999999</v>
      </c>
      <c r="R1911">
        <v>-7.7819990000000006E-2</v>
      </c>
      <c r="S1911">
        <v>-3.046875</v>
      </c>
      <c r="T1911">
        <v>-0.22746420000000001</v>
      </c>
      <c r="U1911">
        <v>-0.48876950000000002</v>
      </c>
      <c r="V1911">
        <v>-4.6689830000000002E-2</v>
      </c>
      <c r="W1911">
        <v>0.17455329999999999</v>
      </c>
      <c r="X1911">
        <v>0.98354010000000003</v>
      </c>
      <c r="Y1911">
        <v>-0.12634989999999999</v>
      </c>
      <c r="Z1911">
        <v>-2.303102E-3</v>
      </c>
      <c r="AA1911">
        <v>0.99198310000000001</v>
      </c>
      <c r="AB1911">
        <v>52</v>
      </c>
      <c r="AC1911">
        <v>-14.3231999999999</v>
      </c>
      <c r="AD1911">
        <v>-1.109708834426</v>
      </c>
      <c r="AE1911">
        <v>-2.36709999999999</v>
      </c>
      <c r="AF1911">
        <v>-1.89488912086479</v>
      </c>
      <c r="AG1911">
        <v>-1.109708834426</v>
      </c>
      <c r="AH1911">
        <v>14.308218885083599</v>
      </c>
      <c r="AI1911">
        <v>94.396600967939307</v>
      </c>
      <c r="AJ1911">
        <v>97.543987666465995</v>
      </c>
      <c r="AK1911">
        <v>14.475744752552</v>
      </c>
      <c r="AL1911">
        <v>79.947335625284495</v>
      </c>
      <c r="AM1911">
        <v>92.717859125306205</v>
      </c>
      <c r="AN1911">
        <v>0.99999996153716297</v>
      </c>
    </row>
    <row r="1912" spans="1:40" x14ac:dyDescent="0.25">
      <c r="A1912" t="str">
        <f>"20190312164510012"</f>
        <v>20190312164510012</v>
      </c>
      <c r="B1912" t="str">
        <f>"1552380310003615"</f>
        <v>1552380310003615</v>
      </c>
      <c r="C1912" t="s">
        <v>40</v>
      </c>
      <c r="D1912">
        <v>4.5286479999999996</v>
      </c>
      <c r="E1912">
        <v>0.47021750000000001</v>
      </c>
      <c r="F1912" t="s">
        <v>47</v>
      </c>
      <c r="G1912">
        <v>-465.62880000000001</v>
      </c>
      <c r="H1912" s="1">
        <v>1.535524E-6</v>
      </c>
      <c r="I1912">
        <v>282.85640000000001</v>
      </c>
      <c r="J1912">
        <v>-451.08159999999998</v>
      </c>
      <c r="K1912">
        <v>1.109648</v>
      </c>
      <c r="L1912">
        <v>285.29680000000002</v>
      </c>
      <c r="M1912">
        <v>-0.99935050000000003</v>
      </c>
      <c r="N1912">
        <v>0</v>
      </c>
      <c r="O1912">
        <v>-3.2704980000000002E-2</v>
      </c>
      <c r="P1912">
        <v>-0.98377040000000004</v>
      </c>
      <c r="Q1912">
        <v>0.1605683</v>
      </c>
      <c r="R1912">
        <v>-8.0085610000000002E-2</v>
      </c>
      <c r="S1912">
        <v>-3.0456539999999999</v>
      </c>
      <c r="T1912">
        <v>-0.22515270000000001</v>
      </c>
      <c r="U1912">
        <v>-0.49823000000000001</v>
      </c>
      <c r="V1912">
        <v>-4.8346880000000002E-2</v>
      </c>
      <c r="W1912">
        <v>0.17533869999999999</v>
      </c>
      <c r="X1912">
        <v>0.98332039999999998</v>
      </c>
      <c r="Y1912">
        <v>-0.1288202</v>
      </c>
      <c r="Z1912">
        <v>-2.326879E-3</v>
      </c>
      <c r="AA1912">
        <v>0.99166520000000002</v>
      </c>
      <c r="AB1912">
        <v>52</v>
      </c>
      <c r="AC1912">
        <v>-14.5472</v>
      </c>
      <c r="AD1912">
        <v>-1.109646464476</v>
      </c>
      <c r="AE1912">
        <v>-2.4404000000000101</v>
      </c>
      <c r="AF1912">
        <v>-1.95222575709464</v>
      </c>
      <c r="AG1912">
        <v>-1.109646464476</v>
      </c>
      <c r="AH1912">
        <v>14.5369705333376</v>
      </c>
      <c r="AI1912">
        <v>94.326388620740403</v>
      </c>
      <c r="AJ1912">
        <v>97.648708880983705</v>
      </c>
      <c r="AK1912">
        <v>14.709385200269701</v>
      </c>
      <c r="AL1912">
        <v>79.901631505831702</v>
      </c>
      <c r="AM1912">
        <v>92.814792913087501</v>
      </c>
      <c r="AN1912">
        <v>1.0000000447897901</v>
      </c>
    </row>
    <row r="1913" spans="1:40" x14ac:dyDescent="0.25">
      <c r="A1913" t="str">
        <f>"20190312164510035"</f>
        <v>20190312164510035</v>
      </c>
      <c r="B1913" t="str">
        <f>"1552380310023135"</f>
        <v>1552380310023135</v>
      </c>
      <c r="C1913" t="s">
        <v>40</v>
      </c>
      <c r="D1913">
        <v>4.6950719999999997</v>
      </c>
      <c r="E1913">
        <v>0.46994920000000001</v>
      </c>
      <c r="F1913" t="s">
        <v>47</v>
      </c>
      <c r="G1913">
        <v>-466.15039999999999</v>
      </c>
      <c r="H1913" s="1">
        <v>1.8162559999999999E-6</v>
      </c>
      <c r="I1913">
        <v>282.78410000000002</v>
      </c>
      <c r="J1913">
        <v>-451.60169999999999</v>
      </c>
      <c r="K1913">
        <v>1.109569</v>
      </c>
      <c r="L1913">
        <v>285.27940000000001</v>
      </c>
      <c r="M1913">
        <v>-0.99933099999999997</v>
      </c>
      <c r="N1913">
        <v>0</v>
      </c>
      <c r="O1913">
        <v>-3.3299769999999999E-2</v>
      </c>
      <c r="P1913">
        <v>-0.98347059999999997</v>
      </c>
      <c r="Q1913">
        <v>0.16120379999999901</v>
      </c>
      <c r="R1913">
        <v>-8.2458899999999904E-2</v>
      </c>
      <c r="S1913">
        <v>-3.0448300000000001</v>
      </c>
      <c r="T1913">
        <v>-0.2242162</v>
      </c>
      <c r="U1913">
        <v>-0.50772090000000003</v>
      </c>
      <c r="V1913">
        <v>-5.0108270000000003E-2</v>
      </c>
      <c r="W1913">
        <v>0.1759725</v>
      </c>
      <c r="X1913">
        <v>0.98311899999999997</v>
      </c>
      <c r="Y1913">
        <v>-0.13127849999999999</v>
      </c>
      <c r="Z1913">
        <v>-2.3636989999999999E-3</v>
      </c>
      <c r="AA1913">
        <v>0.99134270000000002</v>
      </c>
      <c r="AB1913">
        <v>52</v>
      </c>
      <c r="AC1913">
        <v>-14.548699999999901</v>
      </c>
      <c r="AD1913">
        <v>-1.109567183744</v>
      </c>
      <c r="AE1913">
        <v>-2.4952999999999799</v>
      </c>
      <c r="AF1913">
        <v>-1.99810227141785</v>
      </c>
      <c r="AG1913">
        <v>-1.109567183744</v>
      </c>
      <c r="AH1913">
        <v>14.5415685204864</v>
      </c>
      <c r="AI1913">
        <v>94.322929736034894</v>
      </c>
      <c r="AJ1913">
        <v>97.823804138811198</v>
      </c>
      <c r="AK1913">
        <v>14.720080402575499</v>
      </c>
      <c r="AL1913">
        <v>79.864744096401395</v>
      </c>
      <c r="AM1913">
        <v>92.917764954441196</v>
      </c>
      <c r="AN1913">
        <v>1.0000000638198101</v>
      </c>
    </row>
    <row r="1914" spans="1:40" x14ac:dyDescent="0.25">
      <c r="A1914" t="str">
        <f>"20190312164510057"</f>
        <v>20190312164510057</v>
      </c>
      <c r="B1914" t="str">
        <f>"1552380310053391"</f>
        <v>1552380310053391</v>
      </c>
      <c r="C1914" t="s">
        <v>40</v>
      </c>
      <c r="D1914">
        <v>4.5539990000000001</v>
      </c>
      <c r="E1914">
        <v>0.46973579999999998</v>
      </c>
      <c r="F1914" t="s">
        <v>47</v>
      </c>
      <c r="G1914">
        <v>-466.71940000000001</v>
      </c>
      <c r="H1914" s="1">
        <v>2.1222869999999998E-6</v>
      </c>
      <c r="I1914">
        <v>282.709</v>
      </c>
      <c r="J1914">
        <v>-452.11810000000003</v>
      </c>
      <c r="K1914">
        <v>1.1094919999999999</v>
      </c>
      <c r="L1914">
        <v>285.26179999999999</v>
      </c>
      <c r="M1914">
        <v>-0.99931389999999998</v>
      </c>
      <c r="N1914">
        <v>0</v>
      </c>
      <c r="O1914">
        <v>-3.3812780000000001E-2</v>
      </c>
      <c r="P1914">
        <v>-0.98301959999999999</v>
      </c>
      <c r="Q1914">
        <v>0.1624922</v>
      </c>
      <c r="R1914">
        <v>-8.5260320000000001E-2</v>
      </c>
      <c r="S1914">
        <v>-3.0436100000000001</v>
      </c>
      <c r="T1914">
        <v>-0.2233878</v>
      </c>
      <c r="U1914">
        <v>-0.51748660000000002</v>
      </c>
      <c r="V1914">
        <v>-5.2384489999999999E-2</v>
      </c>
      <c r="W1914">
        <v>0.1772561</v>
      </c>
      <c r="X1914">
        <v>0.98276960000000002</v>
      </c>
      <c r="Y1914">
        <v>-0.13392309999999999</v>
      </c>
      <c r="Z1914">
        <v>-2.414289E-3</v>
      </c>
      <c r="AA1914">
        <v>0.9909888</v>
      </c>
      <c r="AB1914">
        <v>52</v>
      </c>
      <c r="AC1914">
        <v>-14.601299999999901</v>
      </c>
      <c r="AD1914">
        <v>-1.109489877713</v>
      </c>
      <c r="AE1914">
        <v>-2.5527999999999902</v>
      </c>
      <c r="AF1914">
        <v>-2.0461095167839201</v>
      </c>
      <c r="AG1914">
        <v>-1.109489877713</v>
      </c>
      <c r="AH1914">
        <v>14.5974924585325</v>
      </c>
      <c r="AI1914">
        <v>94.304518552775903</v>
      </c>
      <c r="AJ1914">
        <v>97.979082372136105</v>
      </c>
      <c r="AK1914">
        <v>14.7818915575895</v>
      </c>
      <c r="AL1914">
        <v>79.790023718763806</v>
      </c>
      <c r="AM1914">
        <v>93.051144935671502</v>
      </c>
      <c r="AN1914">
        <v>0.99999997323196399</v>
      </c>
    </row>
    <row r="1915" spans="1:40" x14ac:dyDescent="0.25">
      <c r="A1915" t="str">
        <f>"20190312164510080"</f>
        <v>20190312164510080</v>
      </c>
      <c r="B1915" t="str">
        <f>"1552380310073886"</f>
        <v>1552380310073886</v>
      </c>
      <c r="C1915" t="s">
        <v>40</v>
      </c>
      <c r="D1915">
        <v>4.7848829999999998</v>
      </c>
      <c r="E1915">
        <v>0.46956019999999998</v>
      </c>
      <c r="F1915" t="s">
        <v>47</v>
      </c>
      <c r="G1915">
        <v>-467.48919999999998</v>
      </c>
      <c r="H1915" s="1">
        <v>2.5367990000000002E-6</v>
      </c>
      <c r="I1915">
        <v>282.59780000000001</v>
      </c>
      <c r="J1915">
        <v>-452.63760000000002</v>
      </c>
      <c r="K1915">
        <v>1.1094219999999999</v>
      </c>
      <c r="L1915">
        <v>285.24400000000003</v>
      </c>
      <c r="M1915">
        <v>-0.99929869999999998</v>
      </c>
      <c r="N1915">
        <v>0</v>
      </c>
      <c r="O1915">
        <v>-3.4256330000000002E-2</v>
      </c>
      <c r="P1915">
        <v>-0.9824389</v>
      </c>
      <c r="Q1915">
        <v>0.16474839999999999</v>
      </c>
      <c r="R1915">
        <v>-8.7590109999999999E-2</v>
      </c>
      <c r="S1915">
        <v>-3.042389</v>
      </c>
      <c r="T1915">
        <v>-0.2196004</v>
      </c>
      <c r="U1915">
        <v>-0.52728269999999899</v>
      </c>
      <c r="V1915">
        <v>-5.4264960000000001E-2</v>
      </c>
      <c r="W1915">
        <v>0.17950729999999901</v>
      </c>
      <c r="X1915">
        <v>0.98225890000000005</v>
      </c>
      <c r="Y1915">
        <v>-0.13665089999999999</v>
      </c>
      <c r="Z1915">
        <v>-2.4397030000000001E-3</v>
      </c>
      <c r="AA1915">
        <v>0.99061630000000001</v>
      </c>
      <c r="AB1915">
        <v>52</v>
      </c>
      <c r="AC1915">
        <v>-14.8515999999999</v>
      </c>
      <c r="AD1915">
        <v>-1.1094194632009999</v>
      </c>
      <c r="AE1915">
        <v>-2.6462000000000199</v>
      </c>
      <c r="AF1915">
        <v>-2.1243377091329698</v>
      </c>
      <c r="AG1915">
        <v>-1.1094194632009999</v>
      </c>
      <c r="AH1915">
        <v>14.853208086897199</v>
      </c>
      <c r="AI1915">
        <v>94.228745732217106</v>
      </c>
      <c r="AJ1915">
        <v>98.139367095335203</v>
      </c>
      <c r="AK1915">
        <v>15.0453119848158</v>
      </c>
      <c r="AL1915">
        <v>79.658937792742094</v>
      </c>
      <c r="AM1915">
        <v>93.1620949422839</v>
      </c>
      <c r="AN1915">
        <v>1.00000005163314</v>
      </c>
    </row>
    <row r="1916" spans="1:40" x14ac:dyDescent="0.25">
      <c r="A1916" t="str">
        <f>"20190312164510102"</f>
        <v>20190312164510102</v>
      </c>
      <c r="B1916" t="str">
        <f>"1552380310093406"</f>
        <v>1552380310093406</v>
      </c>
      <c r="C1916" t="s">
        <v>40</v>
      </c>
      <c r="D1916">
        <v>4.6170179999999998</v>
      </c>
      <c r="E1916">
        <v>0.46939530000000002</v>
      </c>
      <c r="F1916" t="s">
        <v>47</v>
      </c>
      <c r="G1916">
        <v>-468.49720000000002</v>
      </c>
      <c r="H1916" s="1">
        <v>3.0795360000000001E-6</v>
      </c>
      <c r="I1916">
        <v>282.45299999999997</v>
      </c>
      <c r="J1916">
        <v>-453.15480000000002</v>
      </c>
      <c r="K1916">
        <v>1.109348</v>
      </c>
      <c r="L1916">
        <v>285.226</v>
      </c>
      <c r="M1916">
        <v>-0.9992856</v>
      </c>
      <c r="N1916">
        <v>0</v>
      </c>
      <c r="O1916">
        <v>-3.4639929999999999E-2</v>
      </c>
      <c r="P1916">
        <v>-0.98200869999999996</v>
      </c>
      <c r="Q1916">
        <v>0.1660556</v>
      </c>
      <c r="R1916">
        <v>-8.9915480000000006E-2</v>
      </c>
      <c r="S1916">
        <v>-3.0416259999999999</v>
      </c>
      <c r="T1916">
        <v>-0.2127705</v>
      </c>
      <c r="U1916">
        <v>-0.53527829999999998</v>
      </c>
      <c r="V1916">
        <v>-5.6194019999999997E-2</v>
      </c>
      <c r="W1916">
        <v>0.1808121</v>
      </c>
      <c r="X1916">
        <v>0.98191099999999998</v>
      </c>
      <c r="Y1916">
        <v>-0.13885059999999999</v>
      </c>
      <c r="Z1916">
        <v>-2.4137999999999998E-3</v>
      </c>
      <c r="AA1916">
        <v>0.99031040000000004</v>
      </c>
      <c r="AB1916">
        <v>52</v>
      </c>
      <c r="AC1916">
        <v>-15.3423999999999</v>
      </c>
      <c r="AD1916">
        <v>-1.109344920464</v>
      </c>
      <c r="AE1916">
        <v>-2.7730000000000201</v>
      </c>
      <c r="AF1916">
        <v>-2.2285325736470698</v>
      </c>
      <c r="AG1916">
        <v>-1.109344920464</v>
      </c>
      <c r="AH1916">
        <v>15.3515368283485</v>
      </c>
      <c r="AI1916">
        <v>94.090441475056494</v>
      </c>
      <c r="AJ1916">
        <v>98.259743846244703</v>
      </c>
      <c r="AK1916">
        <v>15.552063740112001</v>
      </c>
      <c r="AL1916">
        <v>79.582934077926893</v>
      </c>
      <c r="AM1916">
        <v>93.275421147269299</v>
      </c>
      <c r="AN1916">
        <v>0.999999997655585</v>
      </c>
    </row>
    <row r="1917" spans="1:40" x14ac:dyDescent="0.25">
      <c r="A1917" t="str">
        <f>"20190312164510123"</f>
        <v>20190312164510123</v>
      </c>
      <c r="B1917" t="str">
        <f>"1552380310113903"</f>
        <v>1552380310113903</v>
      </c>
      <c r="C1917" t="s">
        <v>40</v>
      </c>
      <c r="D1917">
        <v>4.6112869999999999</v>
      </c>
      <c r="E1917">
        <v>0.46929019999999999</v>
      </c>
      <c r="F1917" t="s">
        <v>47</v>
      </c>
      <c r="G1917">
        <v>-469.33440000000002</v>
      </c>
      <c r="H1917" s="1">
        <v>3.5302780000000001E-6</v>
      </c>
      <c r="I1917">
        <v>282.33420000000001</v>
      </c>
      <c r="J1917">
        <v>-453.64870000000002</v>
      </c>
      <c r="K1917">
        <v>1.1092759999999999</v>
      </c>
      <c r="L1917">
        <v>285.20870000000002</v>
      </c>
      <c r="M1917">
        <v>-0.99927429999999995</v>
      </c>
      <c r="N1917">
        <v>0</v>
      </c>
      <c r="O1917">
        <v>-3.4965360000000001E-2</v>
      </c>
      <c r="P1917">
        <v>-0.981854</v>
      </c>
      <c r="Q1917">
        <v>0.1656668</v>
      </c>
      <c r="R1917">
        <v>-9.2289270000000007E-2</v>
      </c>
      <c r="S1917">
        <v>-3.0404659999999999</v>
      </c>
      <c r="T1917">
        <v>-0.2084674</v>
      </c>
      <c r="U1917">
        <v>-0.54342650000000003</v>
      </c>
      <c r="V1917">
        <v>-5.8221250000000002E-2</v>
      </c>
      <c r="W1917">
        <v>0.18042420000000001</v>
      </c>
      <c r="X1917">
        <v>0.98186419999999996</v>
      </c>
      <c r="Y1917">
        <v>-0.1411704</v>
      </c>
      <c r="Z1917">
        <v>-2.4222060000000001E-3</v>
      </c>
      <c r="AA1917">
        <v>0.98998240000000004</v>
      </c>
      <c r="AB1917">
        <v>52</v>
      </c>
      <c r="AC1917">
        <v>-15.685699999999899</v>
      </c>
      <c r="AD1917">
        <v>-1.109272469722</v>
      </c>
      <c r="AE1917">
        <v>-2.87450000000001</v>
      </c>
      <c r="AF1917">
        <v>-2.31303122227501</v>
      </c>
      <c r="AG1917">
        <v>-1.109272469722</v>
      </c>
      <c r="AH1917">
        <v>15.700655959860001</v>
      </c>
      <c r="AI1917">
        <v>93.998295493138897</v>
      </c>
      <c r="AJ1917">
        <v>98.380570921941597</v>
      </c>
      <c r="AK1917">
        <v>15.9088401971102</v>
      </c>
      <c r="AL1917">
        <v>79.605530320028194</v>
      </c>
      <c r="AM1917">
        <v>93.393473795470101</v>
      </c>
      <c r="AN1917">
        <v>0.99999995656941998</v>
      </c>
    </row>
    <row r="1918" spans="1:40" x14ac:dyDescent="0.25">
      <c r="A1918" t="str">
        <f>"20190312164510147"</f>
        <v>20190312164510147</v>
      </c>
      <c r="B1918" t="str">
        <f>"1552380310143183"</f>
        <v>1552380310143183</v>
      </c>
      <c r="C1918" t="s">
        <v>40</v>
      </c>
      <c r="D1918">
        <v>4.8419319999999999</v>
      </c>
      <c r="E1918">
        <v>0.46908709999999998</v>
      </c>
      <c r="F1918" t="s">
        <v>47</v>
      </c>
      <c r="G1918">
        <v>-469.72449999999998</v>
      </c>
      <c r="H1918" s="1">
        <v>3.739877E-6</v>
      </c>
      <c r="I1918">
        <v>282.28829999999999</v>
      </c>
      <c r="J1918">
        <v>-454.16910000000001</v>
      </c>
      <c r="K1918">
        <v>1.10921</v>
      </c>
      <c r="L1918">
        <v>285.19029999999998</v>
      </c>
      <c r="M1918">
        <v>-0.99926320000000002</v>
      </c>
      <c r="N1918">
        <v>0</v>
      </c>
      <c r="O1918">
        <v>-3.5279209999999998E-2</v>
      </c>
      <c r="P1918">
        <v>-0.98189090000000001</v>
      </c>
      <c r="Q1918">
        <v>0.16427159999999999</v>
      </c>
      <c r="R1918">
        <v>-9.4367519999999996E-2</v>
      </c>
      <c r="S1918">
        <v>-3.03891</v>
      </c>
      <c r="T1918">
        <v>-0.20969299999999999</v>
      </c>
      <c r="U1918">
        <v>-0.55206299999999997</v>
      </c>
      <c r="V1918">
        <v>-5.9957719999999999E-2</v>
      </c>
      <c r="W1918">
        <v>0.17903339999999901</v>
      </c>
      <c r="X1918">
        <v>0.98201430000000001</v>
      </c>
      <c r="Y1918">
        <v>-0.14366389999999901</v>
      </c>
      <c r="Z1918">
        <v>-2.5008769999999999E-3</v>
      </c>
      <c r="AA1918">
        <v>0.98962340000000004</v>
      </c>
      <c r="AB1918">
        <v>51</v>
      </c>
      <c r="AC1918">
        <v>-15.555399999999899</v>
      </c>
      <c r="AD1918">
        <v>-1.1092062601229999</v>
      </c>
      <c r="AE1918">
        <v>-2.9019999999999802</v>
      </c>
      <c r="AF1918">
        <v>-2.3398509588355201</v>
      </c>
      <c r="AG1918">
        <v>-1.1092062601229999</v>
      </c>
      <c r="AH1918">
        <v>15.5715931057712</v>
      </c>
      <c r="AI1918">
        <v>94.029365001323598</v>
      </c>
      <c r="AJ1918">
        <v>98.545562205361406</v>
      </c>
      <c r="AK1918">
        <v>15.785428498737801</v>
      </c>
      <c r="AL1918">
        <v>79.686536694182607</v>
      </c>
      <c r="AM1918">
        <v>93.4939054087112</v>
      </c>
      <c r="AN1918">
        <v>0.999999985953824</v>
      </c>
    </row>
    <row r="1919" spans="1:40" x14ac:dyDescent="0.25">
      <c r="A1919" t="str">
        <f>"20190312164510169"</f>
        <v>20190312164510169</v>
      </c>
      <c r="B1919" t="str">
        <f>"1552380310163679"</f>
        <v>1552380310163679</v>
      </c>
      <c r="C1919" t="s">
        <v>40</v>
      </c>
      <c r="D1919">
        <v>4.8451459999999997</v>
      </c>
      <c r="E1919">
        <v>0.46897450000000002</v>
      </c>
      <c r="F1919" t="s">
        <v>47</v>
      </c>
      <c r="G1919">
        <v>-469.95229999999998</v>
      </c>
      <c r="H1919" s="1">
        <v>3.86150699999999E-6</v>
      </c>
      <c r="I1919">
        <v>282.27870000000001</v>
      </c>
      <c r="J1919">
        <v>-454.6814</v>
      </c>
      <c r="K1919">
        <v>1.109146</v>
      </c>
      <c r="L1919">
        <v>285.17200000000003</v>
      </c>
      <c r="M1919">
        <v>-0.99925299999999995</v>
      </c>
      <c r="N1919">
        <v>0</v>
      </c>
      <c r="O1919">
        <v>-3.5569879999999998E-2</v>
      </c>
      <c r="P1919">
        <v>-0.98175990000000002</v>
      </c>
      <c r="Q1919">
        <v>0.16374849999999999</v>
      </c>
      <c r="R1919">
        <v>-9.6613270000000001E-2</v>
      </c>
      <c r="S1919">
        <v>-3.0371700000000001</v>
      </c>
      <c r="T1919">
        <v>-0.21344569999999999</v>
      </c>
      <c r="U1919">
        <v>-0.5602722</v>
      </c>
      <c r="V1919">
        <v>-6.1895609999999997E-2</v>
      </c>
      <c r="W1919">
        <v>0.1785118</v>
      </c>
      <c r="X1919">
        <v>0.981989</v>
      </c>
      <c r="Y1919">
        <v>-0.14604929999999999</v>
      </c>
      <c r="Z1919">
        <v>-2.6092009999999998E-3</v>
      </c>
      <c r="AA1919">
        <v>0.98927379999999998</v>
      </c>
      <c r="AB1919">
        <v>51</v>
      </c>
      <c r="AC1919">
        <v>-15.2708999999999</v>
      </c>
      <c r="AD1919">
        <v>-1.109142138493</v>
      </c>
      <c r="AE1919">
        <v>-2.8933</v>
      </c>
      <c r="AF1919">
        <v>-2.33632493443131</v>
      </c>
      <c r="AG1919">
        <v>-1.109142138493</v>
      </c>
      <c r="AH1919">
        <v>15.28631519847</v>
      </c>
      <c r="AI1919">
        <v>94.102512017043594</v>
      </c>
      <c r="AJ1919">
        <v>98.689708353577601</v>
      </c>
      <c r="AK1919">
        <v>15.503549362310601</v>
      </c>
      <c r="AL1919">
        <v>79.716911257224098</v>
      </c>
      <c r="AM1919">
        <v>93.606630989442493</v>
      </c>
      <c r="AN1919">
        <v>0.99999996269875502</v>
      </c>
    </row>
    <row r="1920" spans="1:40" x14ac:dyDescent="0.25">
      <c r="A1920" t="str">
        <f>"20190312164510191"</f>
        <v>20190312164510191</v>
      </c>
      <c r="B1920" t="str">
        <f>"1552380310183199"</f>
        <v>1552380310183199</v>
      </c>
      <c r="C1920" t="s">
        <v>40</v>
      </c>
      <c r="D1920">
        <v>4.6531969999999996</v>
      </c>
      <c r="E1920">
        <v>0.46889189999999997</v>
      </c>
      <c r="F1920" t="s">
        <v>46</v>
      </c>
      <c r="G1920">
        <v>-470.32</v>
      </c>
      <c r="H1920" s="1">
        <v>6.2656539999999898E-6</v>
      </c>
      <c r="I1920">
        <v>282.25349999999997</v>
      </c>
      <c r="J1920">
        <v>-455.2013</v>
      </c>
      <c r="K1920">
        <v>1.109092</v>
      </c>
      <c r="L1920">
        <v>285.1533</v>
      </c>
      <c r="M1920">
        <v>-0.99924310000000005</v>
      </c>
      <c r="N1920">
        <v>0</v>
      </c>
      <c r="O1920">
        <v>-3.5854150000000001E-2</v>
      </c>
      <c r="P1920">
        <v>-0.98161589999999999</v>
      </c>
      <c r="Q1920">
        <v>0.16343189999999999</v>
      </c>
      <c r="R1920">
        <v>-9.8593479999999997E-2</v>
      </c>
      <c r="S1920">
        <v>-3.0359189999999998</v>
      </c>
      <c r="T1920">
        <v>-0.21531690000000001</v>
      </c>
      <c r="U1920">
        <v>-0.56655880000000003</v>
      </c>
      <c r="V1920">
        <v>-6.3578839999999998E-2</v>
      </c>
      <c r="W1920">
        <v>0.1781951</v>
      </c>
      <c r="X1920">
        <v>0.98193900000000001</v>
      </c>
      <c r="Y1920">
        <v>-0.14781240000000001</v>
      </c>
      <c r="Z1920">
        <v>-2.674605E-3</v>
      </c>
      <c r="AA1920">
        <v>0.9890118</v>
      </c>
      <c r="AB1920">
        <v>51</v>
      </c>
      <c r="AC1920">
        <v>-15.118699999999899</v>
      </c>
      <c r="AD1920">
        <v>-1.1090857343460001</v>
      </c>
      <c r="AE1920">
        <v>-2.8998000000000199</v>
      </c>
      <c r="AF1920">
        <v>-2.3436405095708501</v>
      </c>
      <c r="AG1920">
        <v>-1.1090857343460001</v>
      </c>
      <c r="AH1920">
        <v>15.1344031597575</v>
      </c>
      <c r="AI1920">
        <v>94.1420866848825</v>
      </c>
      <c r="AJ1920">
        <v>98.802629107552093</v>
      </c>
      <c r="AK1920">
        <v>15.354897622788201</v>
      </c>
      <c r="AL1920">
        <v>79.735352700792703</v>
      </c>
      <c r="AM1920">
        <v>93.704630685982195</v>
      </c>
      <c r="AN1920">
        <v>0.99999998114037703</v>
      </c>
    </row>
    <row r="1921" spans="1:40" x14ac:dyDescent="0.25">
      <c r="A1921" t="str">
        <f>"20190312164510213"</f>
        <v>20190312164510213</v>
      </c>
      <c r="B1921" t="str">
        <f>"1552380310203695"</f>
        <v>1552380310203695</v>
      </c>
      <c r="C1921" t="s">
        <v>40</v>
      </c>
      <c r="D1921">
        <v>4.7137630000000001</v>
      </c>
      <c r="E1921">
        <v>0.46881020000000001</v>
      </c>
      <c r="F1921" t="s">
        <v>46</v>
      </c>
      <c r="G1921">
        <v>-470.76560000000001</v>
      </c>
      <c r="H1921" s="1">
        <v>6.0649000000000002E-6</v>
      </c>
      <c r="I1921">
        <v>282.2174</v>
      </c>
      <c r="J1921">
        <v>-455.69709999999998</v>
      </c>
      <c r="K1921">
        <v>1.1090530000000001</v>
      </c>
      <c r="L1921">
        <v>285.13529999999997</v>
      </c>
      <c r="M1921">
        <v>-0.9992335</v>
      </c>
      <c r="N1921">
        <v>0</v>
      </c>
      <c r="O1921">
        <v>-3.6121060000000003E-2</v>
      </c>
      <c r="P1921">
        <v>-0.98151120000000003</v>
      </c>
      <c r="Q1921">
        <v>0.16297220000000001</v>
      </c>
      <c r="R1921">
        <v>-0.1003801</v>
      </c>
      <c r="S1921">
        <v>-3.0346679999999999</v>
      </c>
      <c r="T1921">
        <v>-0.21624579999999999</v>
      </c>
      <c r="U1921">
        <v>-0.57241819999999999</v>
      </c>
      <c r="V1921">
        <v>-6.5087259999999994E-2</v>
      </c>
      <c r="W1921">
        <v>0.1777357</v>
      </c>
      <c r="X1921">
        <v>0.98192349999999995</v>
      </c>
      <c r="Y1921">
        <v>-0.14946039999999999</v>
      </c>
      <c r="Z1921">
        <v>-2.72609E-3</v>
      </c>
      <c r="AA1921">
        <v>0.98876390000000003</v>
      </c>
      <c r="AB1921">
        <v>51</v>
      </c>
      <c r="AC1921">
        <v>-15.0685</v>
      </c>
      <c r="AD1921">
        <v>-1.1090469351000001</v>
      </c>
      <c r="AE1921">
        <v>-2.9178999999999702</v>
      </c>
      <c r="AF1921">
        <v>-2.3593246659135998</v>
      </c>
      <c r="AG1921">
        <v>-1.1090469351000001</v>
      </c>
      <c r="AH1921">
        <v>15.085310153358</v>
      </c>
      <c r="AI1921">
        <v>94.154403382115305</v>
      </c>
      <c r="AJ1921">
        <v>98.888982354348599</v>
      </c>
      <c r="AK1921">
        <v>15.3089183290802</v>
      </c>
      <c r="AL1921">
        <v>79.762102041126894</v>
      </c>
      <c r="AM1921">
        <v>93.792329925670401</v>
      </c>
      <c r="AN1921">
        <v>1.00000004516052</v>
      </c>
    </row>
    <row r="1922" spans="1:40" x14ac:dyDescent="0.25">
      <c r="A1922" t="str">
        <f>"20190312164510235"</f>
        <v>20190312164510235</v>
      </c>
      <c r="B1922" t="str">
        <f>"1552380310223215"</f>
        <v>1552380310223215</v>
      </c>
      <c r="C1922" t="s">
        <v>40</v>
      </c>
      <c r="D1922">
        <v>4.6353099999999996</v>
      </c>
      <c r="E1922">
        <v>0.45410650000000002</v>
      </c>
      <c r="F1922" t="s">
        <v>46</v>
      </c>
      <c r="G1922">
        <v>-471.11660000000001</v>
      </c>
      <c r="H1922" s="1">
        <v>5.9078679999999998E-6</v>
      </c>
      <c r="I1922">
        <v>282.20209999999997</v>
      </c>
      <c r="J1922">
        <v>-456.21260000000001</v>
      </c>
      <c r="K1922">
        <v>1.109019</v>
      </c>
      <c r="L1922">
        <v>285.1164</v>
      </c>
      <c r="M1922">
        <v>-0.99922350000000004</v>
      </c>
      <c r="N1922">
        <v>0</v>
      </c>
      <c r="O1922">
        <v>-3.6396390000000001E-2</v>
      </c>
      <c r="P1922">
        <v>-0.98135190000000005</v>
      </c>
      <c r="Q1922">
        <v>0.16285769999999999</v>
      </c>
      <c r="R1922">
        <v>-0.1021079</v>
      </c>
      <c r="S1922">
        <v>-3.033722</v>
      </c>
      <c r="T1922">
        <v>-0.21819949999999999</v>
      </c>
      <c r="U1922">
        <v>-0.57708740000000003</v>
      </c>
      <c r="V1922">
        <v>-6.6532579999999994E-2</v>
      </c>
      <c r="W1922">
        <v>0.17762020000000001</v>
      </c>
      <c r="X1922">
        <v>0.98184749999999998</v>
      </c>
      <c r="Y1922">
        <v>-0.1507056</v>
      </c>
      <c r="Z1922">
        <v>-2.7758919999999999E-3</v>
      </c>
      <c r="AA1922">
        <v>0.98857479999999998</v>
      </c>
      <c r="AB1922">
        <v>51</v>
      </c>
      <c r="AC1922">
        <v>-14.9039999999999</v>
      </c>
      <c r="AD1922">
        <v>-1.1090130921320001</v>
      </c>
      <c r="AE1922">
        <v>-2.9143000000000199</v>
      </c>
      <c r="AF1922">
        <v>-2.3572836687393699</v>
      </c>
      <c r="AG1922">
        <v>-1.1090130921320001</v>
      </c>
      <c r="AH1922">
        <v>14.920633112312601</v>
      </c>
      <c r="AI1922">
        <v>94.1989438584922</v>
      </c>
      <c r="AJ1922">
        <v>98.977850204087204</v>
      </c>
      <c r="AK1922">
        <v>15.1463523267374</v>
      </c>
      <c r="AL1922">
        <v>79.76882640465</v>
      </c>
      <c r="AM1922">
        <v>93.8765871331141</v>
      </c>
      <c r="AN1922">
        <v>1.00000001645287</v>
      </c>
    </row>
    <row r="1923" spans="1:40" x14ac:dyDescent="0.25">
      <c r="A1923" t="str">
        <f>"20190312164510258"</f>
        <v>20190312164510258</v>
      </c>
      <c r="B1923" t="str">
        <f>"1552380310253474"</f>
        <v>1552380310253474</v>
      </c>
      <c r="C1923" t="s">
        <v>40</v>
      </c>
      <c r="D1923">
        <v>4.6468759999999998</v>
      </c>
      <c r="E1923">
        <v>0.4549242</v>
      </c>
      <c r="F1923" t="s">
        <v>46</v>
      </c>
      <c r="G1923">
        <v>-471.12400000000002</v>
      </c>
      <c r="H1923" s="1">
        <v>5.8581050000000002E-6</v>
      </c>
      <c r="I1923">
        <v>281.67039999999997</v>
      </c>
      <c r="J1923">
        <v>-456.738</v>
      </c>
      <c r="K1923">
        <v>1.1089929999999999</v>
      </c>
      <c r="L1923">
        <v>285.09699999999998</v>
      </c>
      <c r="M1923">
        <v>-0.99921340000000003</v>
      </c>
      <c r="N1923">
        <v>0</v>
      </c>
      <c r="O1923">
        <v>-3.6675529999999998E-2</v>
      </c>
      <c r="P1923">
        <v>-0.98130729999999999</v>
      </c>
      <c r="Q1923">
        <v>0.16171740000000001</v>
      </c>
      <c r="R1923">
        <v>-0.1043264</v>
      </c>
      <c r="S1923">
        <v>-3.0216980000000002</v>
      </c>
      <c r="T1923">
        <v>-0.22473299999999999</v>
      </c>
      <c r="U1923">
        <v>-0.69830319999999901</v>
      </c>
      <c r="V1923">
        <v>-6.8462049999999997E-2</v>
      </c>
      <c r="W1923">
        <v>0.17647939999999901</v>
      </c>
      <c r="X1923">
        <v>0.98192049999999997</v>
      </c>
      <c r="Y1923">
        <v>-0.1888745</v>
      </c>
      <c r="Z1923">
        <v>-4.2373690000000004E-3</v>
      </c>
      <c r="AA1923">
        <v>0.98199210000000003</v>
      </c>
      <c r="AB1923">
        <v>51</v>
      </c>
      <c r="AC1923">
        <v>-14.3859999999999</v>
      </c>
      <c r="AD1923">
        <v>-1.1089871418949999</v>
      </c>
      <c r="AE1923">
        <v>-3.4266000000000001</v>
      </c>
      <c r="AF1923">
        <v>-2.8804218863440898</v>
      </c>
      <c r="AG1923">
        <v>-1.1089871418949999</v>
      </c>
      <c r="AH1923">
        <v>14.4209098920199</v>
      </c>
      <c r="AI1923">
        <v>94.312611413935997</v>
      </c>
      <c r="AJ1923">
        <v>101.295567102051</v>
      </c>
      <c r="AK1923">
        <v>14.7475192774234</v>
      </c>
      <c r="AL1923">
        <v>79.835237933450401</v>
      </c>
      <c r="AM1923">
        <v>93.988356271645998</v>
      </c>
      <c r="AN1923">
        <v>0.99999994961740402</v>
      </c>
    </row>
    <row r="1924" spans="1:40" x14ac:dyDescent="0.25">
      <c r="A1924" t="str">
        <f>"20190312164510281"</f>
        <v>20190312164510281</v>
      </c>
      <c r="B1924" t="str">
        <f>"1552380310273967"</f>
        <v>1552380310273967</v>
      </c>
      <c r="C1924" t="s">
        <v>40</v>
      </c>
      <c r="D1924">
        <v>4.6414419999999996</v>
      </c>
      <c r="E1924">
        <v>0.45520949999999999</v>
      </c>
      <c r="F1924" t="s">
        <v>46</v>
      </c>
      <c r="G1924">
        <v>-471.94040000000001</v>
      </c>
      <c r="H1924" s="1">
        <v>5.48842599999999E-6</v>
      </c>
      <c r="I1924">
        <v>281.58260000000001</v>
      </c>
      <c r="J1924">
        <v>-457.25189999999998</v>
      </c>
      <c r="K1924">
        <v>1.1089659999999999</v>
      </c>
      <c r="L1924">
        <v>285.0779</v>
      </c>
      <c r="M1924">
        <v>-0.99920330000000002</v>
      </c>
      <c r="N1924">
        <v>0</v>
      </c>
      <c r="O1924">
        <v>-3.694762E-2</v>
      </c>
      <c r="P1924">
        <v>-0.98120379999999996</v>
      </c>
      <c r="Q1924">
        <v>0.16074469999999999</v>
      </c>
      <c r="R1924">
        <v>-0.1067726</v>
      </c>
      <c r="S1924">
        <v>-3.019196</v>
      </c>
      <c r="T1924">
        <v>-0.2202451</v>
      </c>
      <c r="U1924">
        <v>-0.69796749999999996</v>
      </c>
      <c r="V1924">
        <v>-7.0630509999999994E-2</v>
      </c>
      <c r="W1924">
        <v>0.17550539999999901</v>
      </c>
      <c r="X1924">
        <v>0.98194150000000002</v>
      </c>
      <c r="Y1924">
        <v>-0.18869830000000001</v>
      </c>
      <c r="Z1924">
        <v>-4.1305120000000002E-3</v>
      </c>
      <c r="AA1924">
        <v>0.98202650000000002</v>
      </c>
      <c r="AB1924">
        <v>51</v>
      </c>
      <c r="AC1924">
        <v>-14.688499999999999</v>
      </c>
      <c r="AD1924">
        <v>-1.108960511574</v>
      </c>
      <c r="AE1924">
        <v>-3.4952999999999799</v>
      </c>
      <c r="AF1924">
        <v>-2.9343166319811602</v>
      </c>
      <c r="AG1924">
        <v>-1.108960511574</v>
      </c>
      <c r="AH1924">
        <v>14.728174150279299</v>
      </c>
      <c r="AI1924">
        <v>94.223277993848797</v>
      </c>
      <c r="AJ1924">
        <v>101.26758945890801</v>
      </c>
      <c r="AK1924">
        <v>15.058523211587101</v>
      </c>
      <c r="AL1924">
        <v>79.891929012839697</v>
      </c>
      <c r="AM1924">
        <v>94.114168195537701</v>
      </c>
      <c r="AN1924">
        <v>0.99999996189713403</v>
      </c>
    </row>
    <row r="1925" spans="1:40" x14ac:dyDescent="0.25">
      <c r="A1925" t="str">
        <f>"20190312164510304"</f>
        <v>20190312164510304</v>
      </c>
      <c r="B1925" t="str">
        <f>"1552380310293487"</f>
        <v>1552380310293487</v>
      </c>
      <c r="C1925" t="s">
        <v>40</v>
      </c>
      <c r="D1925">
        <v>4.6097650000000003</v>
      </c>
      <c r="E1925">
        <v>0.45532479999999997</v>
      </c>
      <c r="F1925" t="s">
        <v>46</v>
      </c>
      <c r="G1925">
        <v>-472.23140000000001</v>
      </c>
      <c r="H1925" s="1">
        <v>5.3596119999999998E-6</v>
      </c>
      <c r="I1925">
        <v>281.58569999999997</v>
      </c>
      <c r="J1925">
        <v>-457.7602</v>
      </c>
      <c r="K1925">
        <v>1.1089500000000001</v>
      </c>
      <c r="L1925">
        <v>285.05889999999999</v>
      </c>
      <c r="M1925">
        <v>-0.99919340000000001</v>
      </c>
      <c r="N1925">
        <v>0</v>
      </c>
      <c r="O1925">
        <v>-3.7218040000000001E-2</v>
      </c>
      <c r="P1925">
        <v>-0.98100869999999996</v>
      </c>
      <c r="Q1925">
        <v>0.159969899999999</v>
      </c>
      <c r="R1925">
        <v>-0.1096905</v>
      </c>
      <c r="S1925">
        <v>-3.0175169999999998</v>
      </c>
      <c r="T1925">
        <v>-0.2233918</v>
      </c>
      <c r="U1925">
        <v>-0.70349119999999998</v>
      </c>
      <c r="V1925">
        <v>-7.3278079999999995E-2</v>
      </c>
      <c r="W1925">
        <v>0.17472650000000001</v>
      </c>
      <c r="X1925">
        <v>0.98188640000000005</v>
      </c>
      <c r="Y1925">
        <v>-0.1902433</v>
      </c>
      <c r="Z1925">
        <v>-4.2274870000000003E-3</v>
      </c>
      <c r="AA1925">
        <v>0.98172789999999999</v>
      </c>
      <c r="AB1925">
        <v>51</v>
      </c>
      <c r="AC1925">
        <v>-14.4712</v>
      </c>
      <c r="AD1925">
        <v>-1.1089446403879999</v>
      </c>
      <c r="AE1925">
        <v>-3.4732000000000198</v>
      </c>
      <c r="AF1925">
        <v>-2.9159513846721201</v>
      </c>
      <c r="AG1925">
        <v>-1.1089446403879999</v>
      </c>
      <c r="AH1925">
        <v>14.509886037382801</v>
      </c>
      <c r="AI1925">
        <v>94.285094744565399</v>
      </c>
      <c r="AJ1925">
        <v>101.362980714817</v>
      </c>
      <c r="AK1925">
        <v>14.8414730910059</v>
      </c>
      <c r="AL1925">
        <v>79.9372571447539</v>
      </c>
      <c r="AM1925">
        <v>94.268065968570795</v>
      </c>
      <c r="AN1925">
        <v>0.99999996465784702</v>
      </c>
    </row>
    <row r="1926" spans="1:40" x14ac:dyDescent="0.25">
      <c r="A1926" t="str">
        <f>"20190312164510324"</f>
        <v>20190312164510324</v>
      </c>
      <c r="B1926" t="str">
        <f>"1552380310313984"</f>
        <v>1552380310313984</v>
      </c>
      <c r="C1926" t="s">
        <v>40</v>
      </c>
      <c r="D1926">
        <v>4.6569479999999999</v>
      </c>
      <c r="E1926">
        <v>0.45546019999999998</v>
      </c>
      <c r="F1926" t="s">
        <v>46</v>
      </c>
      <c r="G1926">
        <v>-472.53199999999998</v>
      </c>
      <c r="H1926" s="1">
        <v>5.2253249999999998E-6</v>
      </c>
      <c r="I1926">
        <v>281.57400000000001</v>
      </c>
      <c r="J1926">
        <v>-458.2473</v>
      </c>
      <c r="K1926">
        <v>1.1089519999999999</v>
      </c>
      <c r="L1926">
        <v>285.04059999999998</v>
      </c>
      <c r="M1926">
        <v>-0.9991833</v>
      </c>
      <c r="N1926">
        <v>0</v>
      </c>
      <c r="O1926">
        <v>-3.7491070000000001E-2</v>
      </c>
      <c r="P1926">
        <v>-0.98046049999999996</v>
      </c>
      <c r="Q1926">
        <v>0.1611872</v>
      </c>
      <c r="R1926">
        <v>-0.1127669</v>
      </c>
      <c r="S1926">
        <v>-3.0154719999999999</v>
      </c>
      <c r="T1926">
        <v>-0.2263772</v>
      </c>
      <c r="U1926">
        <v>-0.71139529999999995</v>
      </c>
      <c r="V1926">
        <v>-7.6102199999999995E-2</v>
      </c>
      <c r="W1926">
        <v>0.17593249999999999</v>
      </c>
      <c r="X1926">
        <v>0.9814562</v>
      </c>
      <c r="Y1926">
        <v>-0.19254450000000001</v>
      </c>
      <c r="Z1926">
        <v>-4.35038E-3</v>
      </c>
      <c r="AA1926">
        <v>0.9812786</v>
      </c>
      <c r="AB1926">
        <v>51</v>
      </c>
      <c r="AC1926">
        <v>-14.2846999999999</v>
      </c>
      <c r="AD1926">
        <v>-1.1089467746749999</v>
      </c>
      <c r="AE1926">
        <v>-3.4665999999999699</v>
      </c>
      <c r="AF1926">
        <v>-2.9119792338646602</v>
      </c>
      <c r="AG1926">
        <v>-1.1089467746749999</v>
      </c>
      <c r="AH1926">
        <v>14.3231162836581</v>
      </c>
      <c r="AI1926">
        <v>94.338800149842896</v>
      </c>
      <c r="AJ1926">
        <v>101.491965031611</v>
      </c>
      <c r="AK1926">
        <v>14.6581392435299</v>
      </c>
      <c r="AL1926">
        <v>79.867071913263999</v>
      </c>
      <c r="AM1926">
        <v>94.433847862623196</v>
      </c>
      <c r="AN1926">
        <v>1.0000000309597601</v>
      </c>
    </row>
    <row r="1927" spans="1:40" x14ac:dyDescent="0.25">
      <c r="A1927" t="str">
        <f>"20190312164510347"</f>
        <v>20190312164510347</v>
      </c>
      <c r="B1927" t="str">
        <f>"1552380310343266"</f>
        <v>1552380310343266</v>
      </c>
      <c r="C1927" t="s">
        <v>40</v>
      </c>
      <c r="D1927">
        <v>4.8295370000000002</v>
      </c>
      <c r="E1927">
        <v>0.45567220000000003</v>
      </c>
      <c r="F1927" t="s">
        <v>46</v>
      </c>
      <c r="G1927">
        <v>-473.29450000000003</v>
      </c>
      <c r="H1927" s="1">
        <v>4.8765739999999997E-6</v>
      </c>
      <c r="I1927">
        <v>281.45269999999999</v>
      </c>
      <c r="J1927">
        <v>-458.76459999999997</v>
      </c>
      <c r="K1927">
        <v>1.1089709999999999</v>
      </c>
      <c r="L1927">
        <v>285.02089999999998</v>
      </c>
      <c r="M1927">
        <v>-0.99917080000000003</v>
      </c>
      <c r="N1927">
        <v>0</v>
      </c>
      <c r="O1927">
        <v>-3.782493E-2</v>
      </c>
      <c r="P1927">
        <v>-0.97992140000000005</v>
      </c>
      <c r="Q1927">
        <v>0.1621705</v>
      </c>
      <c r="R1927">
        <v>-0.1159959</v>
      </c>
      <c r="S1927">
        <v>-3.0136720000000001</v>
      </c>
      <c r="T1927">
        <v>-0.22210179999999999</v>
      </c>
      <c r="U1927">
        <v>-0.71859740000000005</v>
      </c>
      <c r="V1927">
        <v>-7.9025990000000004E-2</v>
      </c>
      <c r="W1927">
        <v>0.176900799999999</v>
      </c>
      <c r="X1927">
        <v>0.98105100000000001</v>
      </c>
      <c r="Y1927">
        <v>-0.19457820000000001</v>
      </c>
      <c r="Z1927">
        <v>-4.3194239999999997E-3</v>
      </c>
      <c r="AA1927">
        <v>0.98087749999999996</v>
      </c>
      <c r="AB1927">
        <v>51</v>
      </c>
      <c r="AC1927">
        <v>-14.5299</v>
      </c>
      <c r="AD1927">
        <v>-1.108966123426</v>
      </c>
      <c r="AE1927">
        <v>-3.5681999999999898</v>
      </c>
      <c r="AF1927">
        <v>-2.9995121456054901</v>
      </c>
      <c r="AG1927">
        <v>-1.108966123426</v>
      </c>
      <c r="AH1927">
        <v>14.5744118981466</v>
      </c>
      <c r="AI1927">
        <v>94.262256644333306</v>
      </c>
      <c r="AJ1927">
        <v>101.629477596976</v>
      </c>
      <c r="AK1927">
        <v>14.9211380648856</v>
      </c>
      <c r="AL1927">
        <v>79.810708394593405</v>
      </c>
      <c r="AM1927">
        <v>94.605367481610102</v>
      </c>
      <c r="AN1927">
        <v>1.0000000323685501</v>
      </c>
    </row>
    <row r="1928" spans="1:40" x14ac:dyDescent="0.25">
      <c r="A1928" t="str">
        <f>"20190312164510370"</f>
        <v>20190312164510370</v>
      </c>
      <c r="B1928" t="str">
        <f>"1552380310363763"</f>
        <v>1552380310363763</v>
      </c>
      <c r="C1928" t="s">
        <v>40</v>
      </c>
      <c r="D1928">
        <v>4.7192439999999998</v>
      </c>
      <c r="E1928">
        <v>0.45574819999999999</v>
      </c>
      <c r="F1928" t="s">
        <v>46</v>
      </c>
      <c r="G1928">
        <v>-474.01429999999999</v>
      </c>
      <c r="H1928" s="1">
        <v>4.5474510000000002E-6</v>
      </c>
      <c r="I1928">
        <v>281.33949999999999</v>
      </c>
      <c r="J1928">
        <v>-459.27289999999999</v>
      </c>
      <c r="K1928">
        <v>1.109027</v>
      </c>
      <c r="L1928">
        <v>285.00139999999999</v>
      </c>
      <c r="M1928">
        <v>-0.9991544</v>
      </c>
      <c r="N1928">
        <v>0</v>
      </c>
      <c r="O1928">
        <v>-3.8254910000000003E-2</v>
      </c>
      <c r="P1928">
        <v>-0.97932019999999997</v>
      </c>
      <c r="Q1928">
        <v>0.16339139999999999</v>
      </c>
      <c r="R1928">
        <v>-0.1193129</v>
      </c>
      <c r="S1928">
        <v>-3.0116580000000002</v>
      </c>
      <c r="T1928">
        <v>-0.2190096</v>
      </c>
      <c r="U1928">
        <v>-0.7270508</v>
      </c>
      <c r="V1928">
        <v>-8.1963679999999997E-2</v>
      </c>
      <c r="W1928">
        <v>0.17809839999999999</v>
      </c>
      <c r="X1928">
        <v>0.9805931</v>
      </c>
      <c r="Y1928">
        <v>-0.196913</v>
      </c>
      <c r="Z1928">
        <v>-4.3137490000000004E-3</v>
      </c>
      <c r="AA1928">
        <v>0.98041149999999999</v>
      </c>
      <c r="AB1928">
        <v>51</v>
      </c>
      <c r="AC1928">
        <v>-14.741400000000001</v>
      </c>
      <c r="AD1928">
        <v>-1.109022452549</v>
      </c>
      <c r="AE1928">
        <v>-3.6619000000000002</v>
      </c>
      <c r="AF1928">
        <v>-3.07881121068205</v>
      </c>
      <c r="AG1928">
        <v>-1.109022452549</v>
      </c>
      <c r="AH1928">
        <v>14.7918550707903</v>
      </c>
      <c r="AI1928">
        <v>94.198099536425701</v>
      </c>
      <c r="AJ1928">
        <v>101.757800191334</v>
      </c>
      <c r="AK1928">
        <v>15.149520972840801</v>
      </c>
      <c r="AL1928">
        <v>79.740983012620205</v>
      </c>
      <c r="AM1928">
        <v>94.778008137949897</v>
      </c>
      <c r="AN1928">
        <v>0.99999995634465499</v>
      </c>
    </row>
    <row r="1929" spans="1:40" x14ac:dyDescent="0.25">
      <c r="A1929" t="str">
        <f>"20190312164510392"</f>
        <v>20190312164510392</v>
      </c>
      <c r="B1929" t="str">
        <f>"1552380310383280"</f>
        <v>1552380310383280</v>
      </c>
      <c r="C1929" t="s">
        <v>40</v>
      </c>
      <c r="D1929">
        <v>4.924874</v>
      </c>
      <c r="E1929">
        <v>0.4546539</v>
      </c>
      <c r="F1929" t="s">
        <v>46</v>
      </c>
      <c r="G1929">
        <v>-474.75420000000003</v>
      </c>
      <c r="H1929" s="1">
        <v>4.2080369999999997E-6</v>
      </c>
      <c r="I1929">
        <v>281.21010000000001</v>
      </c>
      <c r="J1929">
        <v>-459.77249999999998</v>
      </c>
      <c r="K1929">
        <v>1.1091310000000001</v>
      </c>
      <c r="L1929">
        <v>284.9819</v>
      </c>
      <c r="M1929">
        <v>-0.99913160000000001</v>
      </c>
      <c r="N1929">
        <v>0</v>
      </c>
      <c r="O1929">
        <v>-3.8848479999999998E-2</v>
      </c>
      <c r="P1929">
        <v>-0.97849430000000004</v>
      </c>
      <c r="Q1929">
        <v>0.1646599</v>
      </c>
      <c r="R1929">
        <v>-0.1242436</v>
      </c>
      <c r="S1929">
        <v>-3.0095519999999998</v>
      </c>
      <c r="T1929">
        <v>-0.21559320000000001</v>
      </c>
      <c r="U1929">
        <v>-0.73702999999999996</v>
      </c>
      <c r="V1929">
        <v>-8.6386679999999993E-2</v>
      </c>
      <c r="W1929">
        <v>0.1793276</v>
      </c>
      <c r="X1929">
        <v>0.97998929999999995</v>
      </c>
      <c r="Y1929">
        <v>-0.19956280000000001</v>
      </c>
      <c r="Z1929">
        <v>-4.299593E-3</v>
      </c>
      <c r="AA1929">
        <v>0.97987559999999996</v>
      </c>
      <c r="AB1929">
        <v>51</v>
      </c>
      <c r="AC1929">
        <v>-14.9817</v>
      </c>
      <c r="AD1929">
        <v>-1.1091267919629999</v>
      </c>
      <c r="AE1929">
        <v>-3.7717999999999798</v>
      </c>
      <c r="AF1929">
        <v>-3.17052864579462</v>
      </c>
      <c r="AG1929">
        <v>-1.1091267919629999</v>
      </c>
      <c r="AH1929">
        <v>15.0394190348565</v>
      </c>
      <c r="AI1929">
        <v>94.127416524141793</v>
      </c>
      <c r="AJ1929">
        <v>101.90447189585601</v>
      </c>
      <c r="AK1929">
        <v>15.4099493523003</v>
      </c>
      <c r="AL1929">
        <v>79.669403524213905</v>
      </c>
      <c r="AM1929">
        <v>95.037637948789794</v>
      </c>
      <c r="AN1929">
        <v>1.00000003735883</v>
      </c>
    </row>
    <row r="1930" spans="1:40" x14ac:dyDescent="0.25">
      <c r="A1930" t="str">
        <f>"20190312164510425"</f>
        <v>20190312164510425</v>
      </c>
      <c r="B1930" t="str">
        <f>"1552380310413539"</f>
        <v>1552380310413539</v>
      </c>
      <c r="C1930" t="s">
        <v>40</v>
      </c>
      <c r="D1930">
        <v>4.6794209999999996</v>
      </c>
      <c r="E1930">
        <v>0.45627529999999999</v>
      </c>
      <c r="F1930" t="s">
        <v>46</v>
      </c>
      <c r="G1930">
        <v>-472.37279999999998</v>
      </c>
      <c r="H1930" s="1">
        <v>5.314183E-6</v>
      </c>
      <c r="I1930">
        <v>281.78320000000002</v>
      </c>
      <c r="J1930">
        <v>-460.5333</v>
      </c>
      <c r="K1930">
        <v>1.109383</v>
      </c>
      <c r="L1930">
        <v>284.95119999999997</v>
      </c>
      <c r="M1930">
        <v>-0.99908229999999998</v>
      </c>
      <c r="N1930">
        <v>0</v>
      </c>
      <c r="O1930">
        <v>-4.0094419999999999E-2</v>
      </c>
      <c r="P1930">
        <v>-0.97727269999999999</v>
      </c>
      <c r="Q1930">
        <v>0.16720179999999901</v>
      </c>
      <c r="R1930">
        <v>-0.13031309999999999</v>
      </c>
      <c r="S1930">
        <v>-3.0134280000000002</v>
      </c>
      <c r="T1930">
        <v>-0.26525260000000001</v>
      </c>
      <c r="U1930">
        <v>-0.76498409999999994</v>
      </c>
      <c r="V1930">
        <v>-9.1382270000000002E-2</v>
      </c>
      <c r="W1930">
        <v>0.1817945</v>
      </c>
      <c r="X1930">
        <v>0.97908119999999998</v>
      </c>
      <c r="Y1930">
        <v>-0.20638719999999999</v>
      </c>
      <c r="Z1930">
        <v>-5.462064E-3</v>
      </c>
      <c r="AA1930">
        <v>0.97845519999999997</v>
      </c>
      <c r="AB1930">
        <v>51</v>
      </c>
      <c r="AC1930">
        <v>-11.8394999999999</v>
      </c>
      <c r="AD1930">
        <v>-1.1093776858169999</v>
      </c>
      <c r="AE1930">
        <v>-3.1679999999999402</v>
      </c>
      <c r="AF1930">
        <v>-2.6688336315619501</v>
      </c>
      <c r="AG1930">
        <v>-1.1093776858169999</v>
      </c>
      <c r="AH1930">
        <v>11.8598396913002</v>
      </c>
      <c r="AI1930">
        <v>95.214290019132207</v>
      </c>
      <c r="AJ1930">
        <v>102.68208347189599</v>
      </c>
      <c r="AK1930">
        <v>12.2069320185739</v>
      </c>
      <c r="AL1930">
        <v>79.5256979335187</v>
      </c>
      <c r="AM1930">
        <v>95.332237665442506</v>
      </c>
      <c r="AN1930">
        <v>0.99999997784702099</v>
      </c>
    </row>
    <row r="1931" spans="1:40" x14ac:dyDescent="0.25">
      <c r="A1931" t="str">
        <f>"20190312164510448"</f>
        <v>20190312164510448</v>
      </c>
      <c r="B1931" t="str">
        <f>"1552380310443791"</f>
        <v>1552380310443791</v>
      </c>
      <c r="C1931" t="s">
        <v>40</v>
      </c>
      <c r="D1931">
        <v>4.7107510000000001</v>
      </c>
      <c r="E1931">
        <v>0.45689059999999998</v>
      </c>
      <c r="F1931" t="s">
        <v>46</v>
      </c>
      <c r="G1931">
        <v>-474.41030000000001</v>
      </c>
      <c r="H1931" s="1">
        <v>4.376541E-6</v>
      </c>
      <c r="I1931">
        <v>281.39299999999997</v>
      </c>
      <c r="J1931">
        <v>-461.05770000000001</v>
      </c>
      <c r="K1931">
        <v>1.1096170000000001</v>
      </c>
      <c r="L1931">
        <v>284.92930000000001</v>
      </c>
      <c r="M1931">
        <v>-0.99903319999999995</v>
      </c>
      <c r="N1931">
        <v>0</v>
      </c>
      <c r="O1931">
        <v>-4.1300570000000002E-2</v>
      </c>
      <c r="P1931">
        <v>-0.97626109999999999</v>
      </c>
      <c r="Q1931">
        <v>0.1691433</v>
      </c>
      <c r="R1931">
        <v>-0.13529579999999999</v>
      </c>
      <c r="S1931">
        <v>-3.0080870000000002</v>
      </c>
      <c r="T1931">
        <v>-0.2404771</v>
      </c>
      <c r="U1931">
        <v>-0.77130129999999997</v>
      </c>
      <c r="V1931">
        <v>-9.5325469999999995E-2</v>
      </c>
      <c r="W1931">
        <v>0.18366370000000001</v>
      </c>
      <c r="X1931">
        <v>0.97835609999999995</v>
      </c>
      <c r="Y1931">
        <v>-0.2076547</v>
      </c>
      <c r="Z1931">
        <v>-4.9161150000000004E-3</v>
      </c>
      <c r="AA1931">
        <v>0.9781898</v>
      </c>
      <c r="AB1931">
        <v>51</v>
      </c>
      <c r="AC1931">
        <v>-13.352599999999899</v>
      </c>
      <c r="AD1931">
        <v>-1.109612623459</v>
      </c>
      <c r="AE1931">
        <v>-3.5363000000000402</v>
      </c>
      <c r="AF1931">
        <v>-2.96263120892442</v>
      </c>
      <c r="AG1931">
        <v>-1.109612623459</v>
      </c>
      <c r="AH1931">
        <v>13.4007952388809</v>
      </c>
      <c r="AI1931">
        <v>94.622296509578902</v>
      </c>
      <c r="AJ1931">
        <v>102.466360197391</v>
      </c>
      <c r="AK1931">
        <v>13.7691589027307</v>
      </c>
      <c r="AL1931">
        <v>79.416766612206601</v>
      </c>
      <c r="AM1931">
        <v>95.5650098079293</v>
      </c>
      <c r="AN1931">
        <v>0.99999997916781003</v>
      </c>
    </row>
    <row r="1932" spans="1:40" x14ac:dyDescent="0.25">
      <c r="A1932" t="str">
        <f>"20190312164510471"</f>
        <v>20190312164510471</v>
      </c>
      <c r="B1932" t="str">
        <f>"1552380310463311"</f>
        <v>1552380310463311</v>
      </c>
      <c r="C1932" t="s">
        <v>40</v>
      </c>
      <c r="D1932">
        <v>4.7142299999999997</v>
      </c>
      <c r="E1932">
        <v>0.45652999999999999</v>
      </c>
      <c r="F1932" t="s">
        <v>46</v>
      </c>
      <c r="G1932">
        <v>-474.976</v>
      </c>
      <c r="H1932" s="1">
        <v>4.1185189999999999E-6</v>
      </c>
      <c r="I1932">
        <v>281.31110000000001</v>
      </c>
      <c r="J1932">
        <v>-461.56689999999998</v>
      </c>
      <c r="K1932">
        <v>1.109972</v>
      </c>
      <c r="L1932">
        <v>284.90699999999998</v>
      </c>
      <c r="M1932">
        <v>-0.99896269999999998</v>
      </c>
      <c r="N1932">
        <v>0</v>
      </c>
      <c r="O1932">
        <v>-4.2971170000000003E-2</v>
      </c>
      <c r="P1932">
        <v>-0.97530589999999995</v>
      </c>
      <c r="Q1932">
        <v>0.17014370000000001</v>
      </c>
      <c r="R1932">
        <v>-0.14081879999999999</v>
      </c>
      <c r="S1932">
        <v>-3.006195</v>
      </c>
      <c r="T1932">
        <v>-0.2396644</v>
      </c>
      <c r="U1932">
        <v>-0.78149409999999997</v>
      </c>
      <c r="V1932">
        <v>-9.9397949999999999E-2</v>
      </c>
      <c r="W1932">
        <v>0.18456539999999999</v>
      </c>
      <c r="X1932">
        <v>0.97778100000000001</v>
      </c>
      <c r="Y1932">
        <v>-0.20927970000000001</v>
      </c>
      <c r="Z1932">
        <v>-4.8337800000000002E-3</v>
      </c>
      <c r="AA1932">
        <v>0.97784389999999999</v>
      </c>
      <c r="AB1932">
        <v>51</v>
      </c>
      <c r="AC1932">
        <v>-13.4091</v>
      </c>
      <c r="AD1932">
        <v>-1.1099678814809999</v>
      </c>
      <c r="AE1932">
        <v>-3.5958999999999701</v>
      </c>
      <c r="AF1932">
        <v>-2.9971487675208501</v>
      </c>
      <c r="AG1932">
        <v>-1.1099678814809999</v>
      </c>
      <c r="AH1932">
        <v>13.465174653063301</v>
      </c>
      <c r="AI1932">
        <v>94.600298925872906</v>
      </c>
      <c r="AJ1932">
        <v>102.548625299824</v>
      </c>
      <c r="AK1932">
        <v>13.8392867543841</v>
      </c>
      <c r="AL1932">
        <v>79.364204793070201</v>
      </c>
      <c r="AM1932">
        <v>95.8045574295422</v>
      </c>
      <c r="AN1932">
        <v>1.00000001165118</v>
      </c>
    </row>
    <row r="1933" spans="1:40" x14ac:dyDescent="0.25">
      <c r="A1933" t="str">
        <f>"20190312164510492"</f>
        <v>20190312164510492</v>
      </c>
      <c r="B1933" t="str">
        <f>"1552380310483807"</f>
        <v>1552380310483807</v>
      </c>
      <c r="C1933" t="s">
        <v>40</v>
      </c>
      <c r="D1933">
        <v>4.735036</v>
      </c>
      <c r="E1933">
        <v>0.45635769999999998</v>
      </c>
      <c r="F1933" t="s">
        <v>46</v>
      </c>
      <c r="G1933">
        <v>-475.2072</v>
      </c>
      <c r="H1933" s="1">
        <v>4.0122450000000001E-6</v>
      </c>
      <c r="I1933">
        <v>281.2681</v>
      </c>
      <c r="J1933">
        <v>-462.05889999999999</v>
      </c>
      <c r="K1933">
        <v>1.1104259999999999</v>
      </c>
      <c r="L1933">
        <v>284.8843</v>
      </c>
      <c r="M1933">
        <v>-0.99886779999999997</v>
      </c>
      <c r="N1933">
        <v>0</v>
      </c>
      <c r="O1933">
        <v>-4.5121219999999997E-2</v>
      </c>
      <c r="P1933">
        <v>-0.97433170000000002</v>
      </c>
      <c r="Q1933">
        <v>0.17092750000000001</v>
      </c>
      <c r="R1933">
        <v>-0.14649870000000001</v>
      </c>
      <c r="S1933">
        <v>-3.0029300000000001</v>
      </c>
      <c r="T1933">
        <v>-0.2443612</v>
      </c>
      <c r="U1933">
        <v>-0.80111690000000002</v>
      </c>
      <c r="V1933">
        <v>-0.10320070000000001</v>
      </c>
      <c r="W1933">
        <v>0.1852299</v>
      </c>
      <c r="X1933">
        <v>0.97726120000000005</v>
      </c>
      <c r="Y1933">
        <v>-0.21338170000000001</v>
      </c>
      <c r="Z1933">
        <v>-4.9221739999999996E-3</v>
      </c>
      <c r="AA1933">
        <v>0.97695650000000001</v>
      </c>
      <c r="AB1933">
        <v>51</v>
      </c>
      <c r="AC1933">
        <v>-13.148300000000001</v>
      </c>
      <c r="AD1933">
        <v>-1.1104219877549999</v>
      </c>
      <c r="AE1933">
        <v>-3.6161999999999899</v>
      </c>
      <c r="AF1933">
        <v>-2.99929353606159</v>
      </c>
      <c r="AG1933">
        <v>-1.1104219877549999</v>
      </c>
      <c r="AH1933">
        <v>13.210494797500001</v>
      </c>
      <c r="AI1933">
        <v>94.686056062665898</v>
      </c>
      <c r="AJ1933">
        <v>102.791515109727</v>
      </c>
      <c r="AK1933">
        <v>13.5921290275337</v>
      </c>
      <c r="AL1933">
        <v>79.325463388344104</v>
      </c>
      <c r="AM1933">
        <v>96.028204583983694</v>
      </c>
      <c r="AN1933">
        <v>0.99999997667996898</v>
      </c>
    </row>
    <row r="1934" spans="1:40" x14ac:dyDescent="0.25">
      <c r="A1934" t="str">
        <f>"20190312164510515"</f>
        <v>20190312164510515</v>
      </c>
      <c r="B1934" t="str">
        <f>"1552380310504304"</f>
        <v>1552380310504304</v>
      </c>
      <c r="C1934" t="s">
        <v>40</v>
      </c>
      <c r="D1934">
        <v>4.7191269999999896</v>
      </c>
      <c r="E1934">
        <v>0.45642909999999998</v>
      </c>
      <c r="F1934" t="s">
        <v>46</v>
      </c>
      <c r="G1934">
        <v>-475.52870000000001</v>
      </c>
      <c r="H1934" s="1">
        <v>3.8629190000000002E-6</v>
      </c>
      <c r="I1934">
        <v>281.1909</v>
      </c>
      <c r="J1934">
        <v>-462.56450000000001</v>
      </c>
      <c r="K1934">
        <v>1.1109329999999999</v>
      </c>
      <c r="L1934">
        <v>284.85950000000003</v>
      </c>
      <c r="M1934">
        <v>-0.99874099999999999</v>
      </c>
      <c r="N1934">
        <v>0</v>
      </c>
      <c r="O1934">
        <v>-4.7838650000000003E-2</v>
      </c>
      <c r="P1934">
        <v>-0.97326440000000003</v>
      </c>
      <c r="Q1934">
        <v>0.17150570000000001</v>
      </c>
      <c r="R1934">
        <v>-0.15278239999999901</v>
      </c>
      <c r="S1934">
        <v>-2.9987789999999999</v>
      </c>
      <c r="T1934">
        <v>-0.24721399999999999</v>
      </c>
      <c r="U1934">
        <v>-0.82226559999999904</v>
      </c>
      <c r="V1934">
        <v>-0.1070851</v>
      </c>
      <c r="W1934">
        <v>0.18567230000000001</v>
      </c>
      <c r="X1934">
        <v>0.9767593</v>
      </c>
      <c r="Y1934">
        <v>-0.21746190000000001</v>
      </c>
      <c r="Z1934">
        <v>-4.9278450000000001E-3</v>
      </c>
      <c r="AA1934">
        <v>0.97605640000000005</v>
      </c>
      <c r="AB1934">
        <v>51</v>
      </c>
      <c r="AC1934">
        <v>-12.9642</v>
      </c>
      <c r="AD1934">
        <v>-1.1109291370809999</v>
      </c>
      <c r="AE1934">
        <v>-3.6686000000000201</v>
      </c>
      <c r="AF1934">
        <v>-3.0235818204059801</v>
      </c>
      <c r="AG1934">
        <v>-1.1109291370809999</v>
      </c>
      <c r="AH1934">
        <v>13.036244834123501</v>
      </c>
      <c r="AI1934">
        <v>94.745520217917999</v>
      </c>
      <c r="AJ1934">
        <v>103.058101999946</v>
      </c>
      <c r="AK1934">
        <v>13.428324167502</v>
      </c>
      <c r="AL1934">
        <v>79.299669353653201</v>
      </c>
      <c r="AM1934">
        <v>96.256524264885101</v>
      </c>
      <c r="AN1934">
        <v>1.00000007588289</v>
      </c>
    </row>
    <row r="1935" spans="1:40" x14ac:dyDescent="0.25">
      <c r="A1935" t="str">
        <f>"20190312164510537"</f>
        <v>20190312164510537</v>
      </c>
      <c r="B1935" t="str">
        <f>"1552380310533586"</f>
        <v>1552380310533586</v>
      </c>
      <c r="C1935" t="s">
        <v>40</v>
      </c>
      <c r="D1935">
        <v>4.7556099999999999</v>
      </c>
      <c r="E1935">
        <v>0.4570128</v>
      </c>
      <c r="F1935" t="s">
        <v>46</v>
      </c>
      <c r="G1935">
        <v>-475.70100000000002</v>
      </c>
      <c r="H1935" s="1">
        <v>3.7851290000000001E-6</v>
      </c>
      <c r="I1935">
        <v>281.17509999999999</v>
      </c>
      <c r="J1935">
        <v>-463.06630000000001</v>
      </c>
      <c r="K1935">
        <v>1.1114660000000001</v>
      </c>
      <c r="L1935">
        <v>284.83319999999998</v>
      </c>
      <c r="M1935">
        <v>-0.99858100000000005</v>
      </c>
      <c r="N1935">
        <v>0</v>
      </c>
      <c r="O1935">
        <v>-5.1064850000000002E-2</v>
      </c>
      <c r="P1935">
        <v>-0.97189150000000002</v>
      </c>
      <c r="Q1935">
        <v>0.1719667</v>
      </c>
      <c r="R1935">
        <v>-0.16079370000000001</v>
      </c>
      <c r="S1935">
        <v>-2.9951479999999999</v>
      </c>
      <c r="T1935">
        <v>-0.25329390000000002</v>
      </c>
      <c r="U1935">
        <v>-0.84005739999999995</v>
      </c>
      <c r="V1935">
        <v>-0.1122298</v>
      </c>
      <c r="W1935">
        <v>0.1859721</v>
      </c>
      <c r="X1935">
        <v>0.9761244</v>
      </c>
      <c r="Y1935">
        <v>-0.21996930000000001</v>
      </c>
      <c r="Z1935">
        <v>-4.8884829999999999E-3</v>
      </c>
      <c r="AA1935">
        <v>0.97549459999999999</v>
      </c>
      <c r="AB1935">
        <v>51</v>
      </c>
      <c r="AC1935">
        <v>-12.634699999999899</v>
      </c>
      <c r="AD1935">
        <v>-1.1114622148710001</v>
      </c>
      <c r="AE1935">
        <v>-3.6580999999999899</v>
      </c>
      <c r="AF1935">
        <v>-2.9867381998881202</v>
      </c>
      <c r="AG1935">
        <v>-1.1114622148710001</v>
      </c>
      <c r="AH1935">
        <v>12.71425379986</v>
      </c>
      <c r="AI1935">
        <v>94.8642648655415</v>
      </c>
      <c r="AJ1935">
        <v>103.219804595176</v>
      </c>
      <c r="AK1935">
        <v>13.1075628175878</v>
      </c>
      <c r="AL1935">
        <v>79.282186753367199</v>
      </c>
      <c r="AM1935">
        <v>96.558776737670897</v>
      </c>
      <c r="AN1935">
        <v>0.99999999713090404</v>
      </c>
    </row>
    <row r="1936" spans="1:40" x14ac:dyDescent="0.25">
      <c r="A1936" t="str">
        <f>"20190312164510559"</f>
        <v>20190312164510559</v>
      </c>
      <c r="B1936" t="str">
        <f>"1552380310553108"</f>
        <v>1552380310553108</v>
      </c>
      <c r="C1936" t="s">
        <v>40</v>
      </c>
      <c r="D1936">
        <v>4.9156510000000004</v>
      </c>
      <c r="E1936">
        <v>0.4574492</v>
      </c>
      <c r="F1936" t="s">
        <v>46</v>
      </c>
      <c r="G1936">
        <v>-476.13959999999997</v>
      </c>
      <c r="H1936" s="1">
        <v>3.5830759999999998E-6</v>
      </c>
      <c r="I1936">
        <v>281.08890000000002</v>
      </c>
      <c r="J1936">
        <v>-463.57549999999998</v>
      </c>
      <c r="K1936">
        <v>1.1120190000000001</v>
      </c>
      <c r="L1936">
        <v>284.80459999999999</v>
      </c>
      <c r="M1936">
        <v>-0.99837730000000002</v>
      </c>
      <c r="N1936">
        <v>0</v>
      </c>
      <c r="O1936">
        <v>-5.4898130000000003E-2</v>
      </c>
      <c r="P1936">
        <v>-0.97031330000000005</v>
      </c>
      <c r="Q1936">
        <v>0.1736828</v>
      </c>
      <c r="R1936">
        <v>-0.16830419999999999</v>
      </c>
      <c r="S1936">
        <v>-2.9900509999999998</v>
      </c>
      <c r="T1936">
        <v>-0.2542083</v>
      </c>
      <c r="U1936">
        <v>-0.85638429999999999</v>
      </c>
      <c r="V1936">
        <v>-0.1163222</v>
      </c>
      <c r="W1936">
        <v>0.18751329999999999</v>
      </c>
      <c r="X1936">
        <v>0.9753501</v>
      </c>
      <c r="Y1936">
        <v>-0.22158929999999999</v>
      </c>
      <c r="Z1936">
        <v>-4.6606080000000001E-3</v>
      </c>
      <c r="AA1936">
        <v>0.97512889999999997</v>
      </c>
      <c r="AB1936">
        <v>51</v>
      </c>
      <c r="AC1936">
        <v>-12.5640999999999</v>
      </c>
      <c r="AD1936">
        <v>-1.112015416924</v>
      </c>
      <c r="AE1936">
        <v>-3.7156999999999698</v>
      </c>
      <c r="AF1936">
        <v>-2.9986697415450001</v>
      </c>
      <c r="AG1936">
        <v>-1.112015416924</v>
      </c>
      <c r="AH1936">
        <v>12.657974849198499</v>
      </c>
      <c r="AI1936">
        <v>94.886047930831495</v>
      </c>
      <c r="AJ1936">
        <v>103.327652869308</v>
      </c>
      <c r="AK1936">
        <v>13.055762168072601</v>
      </c>
      <c r="AL1936">
        <v>79.1923008361223</v>
      </c>
      <c r="AM1936">
        <v>96.801085535331197</v>
      </c>
      <c r="AN1936">
        <v>0.99999995472986902</v>
      </c>
    </row>
    <row r="1937" spans="1:40" x14ac:dyDescent="0.25">
      <c r="A1937" t="str">
        <f>"20190312164510581"</f>
        <v>20190312164510581</v>
      </c>
      <c r="B1937" t="str">
        <f>"1552380310573610"</f>
        <v>1552380310573610</v>
      </c>
      <c r="C1937" t="s">
        <v>40</v>
      </c>
      <c r="D1937">
        <v>4.7963339999999999</v>
      </c>
      <c r="E1937">
        <v>0.45770690000000003</v>
      </c>
      <c r="F1937" t="s">
        <v>46</v>
      </c>
      <c r="G1937">
        <v>-477.00839999999999</v>
      </c>
      <c r="H1937" s="1">
        <v>3.1789289999999999E-6</v>
      </c>
      <c r="I1937">
        <v>280.87290000000002</v>
      </c>
      <c r="J1937">
        <v>-464.06459999999998</v>
      </c>
      <c r="K1937">
        <v>1.1125689999999999</v>
      </c>
      <c r="L1937">
        <v>284.77499999999998</v>
      </c>
      <c r="M1937">
        <v>-0.99813629999999998</v>
      </c>
      <c r="N1937">
        <v>0</v>
      </c>
      <c r="O1937">
        <v>-5.911259E-2</v>
      </c>
      <c r="P1937">
        <v>-0.96873770000000003</v>
      </c>
      <c r="Q1937">
        <v>0.17471979999999901</v>
      </c>
      <c r="R1937">
        <v>-0.17612620000000001</v>
      </c>
      <c r="S1937">
        <v>-2.9844970000000002</v>
      </c>
      <c r="T1937">
        <v>-0.24706610000000001</v>
      </c>
      <c r="U1937">
        <v>-0.87353519999999896</v>
      </c>
      <c r="V1937">
        <v>-0.1203543</v>
      </c>
      <c r="W1937">
        <v>0.18836990000000001</v>
      </c>
      <c r="X1937">
        <v>0.97469570000000005</v>
      </c>
      <c r="Y1937">
        <v>-0.22316069999999999</v>
      </c>
      <c r="Z1937">
        <v>-4.2590040000000003E-3</v>
      </c>
      <c r="AA1937">
        <v>0.97477239999999998</v>
      </c>
      <c r="AB1937">
        <v>51</v>
      </c>
      <c r="AC1937">
        <v>-12.9438</v>
      </c>
      <c r="AD1937">
        <v>-1.1125658210709899</v>
      </c>
      <c r="AE1937">
        <v>-3.9020999999999599</v>
      </c>
      <c r="AF1937">
        <v>-3.1089898047075901</v>
      </c>
      <c r="AG1937">
        <v>-1.1125658210709899</v>
      </c>
      <c r="AH1937">
        <v>13.0633779621201</v>
      </c>
      <c r="AI1937">
        <v>94.736291340545804</v>
      </c>
      <c r="AJ1937">
        <v>103.386942840072</v>
      </c>
      <c r="AK1937">
        <v>13.4742518936376</v>
      </c>
      <c r="AL1937">
        <v>79.142331772766696</v>
      </c>
      <c r="AM1937">
        <v>97.039185482997993</v>
      </c>
      <c r="AN1937">
        <v>1.0000000421764901</v>
      </c>
    </row>
    <row r="1938" spans="1:40" x14ac:dyDescent="0.25">
      <c r="A1938" t="str">
        <f>"20190312164510603"</f>
        <v>20190312164510603</v>
      </c>
      <c r="B1938" t="str">
        <f>"1552380310593119"</f>
        <v>1552380310593119</v>
      </c>
      <c r="C1938" t="s">
        <v>40</v>
      </c>
      <c r="D1938">
        <v>4.9915900000000004</v>
      </c>
      <c r="E1938">
        <v>0.45798309999999998</v>
      </c>
      <c r="F1938" t="s">
        <v>46</v>
      </c>
      <c r="G1938">
        <v>-477.62470000000002</v>
      </c>
      <c r="H1938" s="1">
        <v>2.8904030000000002E-6</v>
      </c>
      <c r="I1938">
        <v>280.69880000000001</v>
      </c>
      <c r="J1938">
        <v>-464.56700000000001</v>
      </c>
      <c r="K1938">
        <v>1.113138</v>
      </c>
      <c r="L1938">
        <v>284.74220000000003</v>
      </c>
      <c r="M1938">
        <v>-0.99783659999999996</v>
      </c>
      <c r="N1938">
        <v>0</v>
      </c>
      <c r="O1938">
        <v>-6.3967910000000003E-2</v>
      </c>
      <c r="P1938">
        <v>-0.96712929999999997</v>
      </c>
      <c r="Q1938">
        <v>0.17467829999999901</v>
      </c>
      <c r="R1938">
        <v>-0.18479319999999999</v>
      </c>
      <c r="S1938">
        <v>-2.9781490000000002</v>
      </c>
      <c r="T1938">
        <v>-0.24434829999999999</v>
      </c>
      <c r="U1938">
        <v>-0.89523319999999995</v>
      </c>
      <c r="V1938">
        <v>-0.1246134</v>
      </c>
      <c r="W1938">
        <v>0.18813250000000001</v>
      </c>
      <c r="X1938">
        <v>0.97420620000000002</v>
      </c>
      <c r="Y1938">
        <v>-0.2255229</v>
      </c>
      <c r="Z1938">
        <v>-3.9246649999999999E-3</v>
      </c>
      <c r="AA1938">
        <v>0.97422989999999998</v>
      </c>
      <c r="AB1938">
        <v>51</v>
      </c>
      <c r="AC1938">
        <v>-13.057700000000001</v>
      </c>
      <c r="AD1938">
        <v>-1.1131351095969999</v>
      </c>
      <c r="AE1938">
        <v>-4.0434000000000196</v>
      </c>
      <c r="AF1938">
        <v>-3.1786684811065</v>
      </c>
      <c r="AG1938">
        <v>-1.1131351095969999</v>
      </c>
      <c r="AH1938">
        <v>13.202082171031501</v>
      </c>
      <c r="AI1938">
        <v>94.6862064220918</v>
      </c>
      <c r="AJ1938">
        <v>103.537453903163</v>
      </c>
      <c r="AK1938">
        <v>13.6249028156411</v>
      </c>
      <c r="AL1938">
        <v>79.156181259767905</v>
      </c>
      <c r="AM1938">
        <v>97.289278122885094</v>
      </c>
      <c r="AN1938">
        <v>1.00000002856712</v>
      </c>
    </row>
    <row r="1939" spans="1:40" x14ac:dyDescent="0.25">
      <c r="A1939" t="str">
        <f>"20190312164510626"</f>
        <v>20190312164510626</v>
      </c>
      <c r="B1939" t="str">
        <f>"1552380310623375"</f>
        <v>1552380310623375</v>
      </c>
      <c r="C1939" t="s">
        <v>40</v>
      </c>
      <c r="D1939">
        <v>4.8563099999999997</v>
      </c>
      <c r="E1939">
        <v>0.45827079999999998</v>
      </c>
      <c r="F1939" t="s">
        <v>46</v>
      </c>
      <c r="G1939">
        <v>-477.88459999999998</v>
      </c>
      <c r="H1939" s="1">
        <v>2.7688999999999999E-6</v>
      </c>
      <c r="I1939">
        <v>280.62759999999997</v>
      </c>
      <c r="J1939">
        <v>-465.07619999999997</v>
      </c>
      <c r="K1939">
        <v>1.1137220000000001</v>
      </c>
      <c r="L1939">
        <v>284.7063</v>
      </c>
      <c r="M1939">
        <v>-0.99747229999999998</v>
      </c>
      <c r="N1939">
        <v>0</v>
      </c>
      <c r="O1939">
        <v>-6.941145E-2</v>
      </c>
      <c r="P1939">
        <v>-0.96516849999999998</v>
      </c>
      <c r="Q1939">
        <v>0.17500289999999999</v>
      </c>
      <c r="R1939">
        <v>-0.1944844</v>
      </c>
      <c r="S1939">
        <v>-2.9714360000000002</v>
      </c>
      <c r="T1939">
        <v>-0.24836359999999999</v>
      </c>
      <c r="U1939">
        <v>-0.91806030000000005</v>
      </c>
      <c r="V1939">
        <v>-0.12936</v>
      </c>
      <c r="W1939">
        <v>0.1882383</v>
      </c>
      <c r="X1939">
        <v>0.97356679999999995</v>
      </c>
      <c r="Y1939">
        <v>-0.2276543</v>
      </c>
      <c r="Z1939">
        <v>-3.6394280000000001E-3</v>
      </c>
      <c r="AA1939">
        <v>0.97373520000000002</v>
      </c>
      <c r="AB1939">
        <v>51</v>
      </c>
      <c r="AC1939">
        <v>-12.808400000000001</v>
      </c>
      <c r="AD1939">
        <v>-1.1137192310999999</v>
      </c>
      <c r="AE1939">
        <v>-4.07870000000002</v>
      </c>
      <c r="AF1939">
        <v>-3.1580294245337899</v>
      </c>
      <c r="AG1939">
        <v>-1.1137192310999999</v>
      </c>
      <c r="AH1939">
        <v>12.971596874744201</v>
      </c>
      <c r="AI1939">
        <v>94.768665497082594</v>
      </c>
      <c r="AJ1939">
        <v>103.68288378981499</v>
      </c>
      <c r="AK1939">
        <v>13.3968595518807</v>
      </c>
      <c r="AL1939">
        <v>79.150008674895901</v>
      </c>
      <c r="AM1939">
        <v>97.568684475329604</v>
      </c>
      <c r="AN1939">
        <v>0.99999999062456402</v>
      </c>
    </row>
    <row r="1940" spans="1:40" x14ac:dyDescent="0.25">
      <c r="A1940" t="str">
        <f>"20190312164510649"</f>
        <v>20190312164510649</v>
      </c>
      <c r="B1940" t="str">
        <f>"1552380310643871"</f>
        <v>1552380310643871</v>
      </c>
      <c r="C1940" t="s">
        <v>40</v>
      </c>
      <c r="D1940">
        <v>4.856687</v>
      </c>
      <c r="E1940">
        <v>0.4586422</v>
      </c>
      <c r="F1940" t="s">
        <v>46</v>
      </c>
      <c r="G1940">
        <v>-478.16919999999999</v>
      </c>
      <c r="H1940" s="1">
        <v>2.6350709999999998E-6</v>
      </c>
      <c r="I1940">
        <v>280.5403</v>
      </c>
      <c r="J1940">
        <v>-465.57650000000001</v>
      </c>
      <c r="K1940">
        <v>1.114295</v>
      </c>
      <c r="L1940">
        <v>284.66820000000001</v>
      </c>
      <c r="M1940">
        <v>-0.99704780000000004</v>
      </c>
      <c r="N1940">
        <v>0</v>
      </c>
      <c r="O1940">
        <v>-7.5258729999999996E-2</v>
      </c>
      <c r="P1940">
        <v>-0.96281090000000003</v>
      </c>
      <c r="Q1940">
        <v>0.17530509999999999</v>
      </c>
      <c r="R1940">
        <v>-0.20558190000000001</v>
      </c>
      <c r="S1940">
        <v>-2.9639280000000001</v>
      </c>
      <c r="T1940">
        <v>-0.25211879999999998</v>
      </c>
      <c r="U1940">
        <v>-0.9430847</v>
      </c>
      <c r="V1940">
        <v>-0.13514989999999999</v>
      </c>
      <c r="W1940">
        <v>0.18829360000000001</v>
      </c>
      <c r="X1940">
        <v>0.97276929999999995</v>
      </c>
      <c r="Y1940">
        <v>-0.23011899999999999</v>
      </c>
      <c r="Z1940">
        <v>-3.3202000000000001E-3</v>
      </c>
      <c r="AA1940">
        <v>0.97315680000000004</v>
      </c>
      <c r="AB1940">
        <v>51</v>
      </c>
      <c r="AC1940">
        <v>-12.592699999999899</v>
      </c>
      <c r="AD1940">
        <v>-1.114292364929</v>
      </c>
      <c r="AE1940">
        <v>-4.1279000000000101</v>
      </c>
      <c r="AF1940">
        <v>-3.1461263364474799</v>
      </c>
      <c r="AG1940">
        <v>-1.114292364929</v>
      </c>
      <c r="AH1940">
        <v>12.7773368126097</v>
      </c>
      <c r="AI1940">
        <v>94.840220079251296</v>
      </c>
      <c r="AJ1940">
        <v>103.832607190236</v>
      </c>
      <c r="AK1940">
        <v>13.2060627903361</v>
      </c>
      <c r="AL1940">
        <v>79.1467831055337</v>
      </c>
      <c r="AM1940">
        <v>97.909650491816393</v>
      </c>
      <c r="AN1940">
        <v>1.00000004314672</v>
      </c>
    </row>
    <row r="1941" spans="1:40" x14ac:dyDescent="0.25">
      <c r="A1941" t="str">
        <f>"20190312164510671"</f>
        <v>20190312164510671</v>
      </c>
      <c r="B1941" t="str">
        <f>"1552380310663394"</f>
        <v>1552380310663394</v>
      </c>
      <c r="C1941" t="s">
        <v>40</v>
      </c>
      <c r="D1941">
        <v>4.8960589999999904</v>
      </c>
      <c r="E1941">
        <v>0.45896930000000002</v>
      </c>
      <c r="F1941" t="s">
        <v>46</v>
      </c>
      <c r="G1941">
        <v>-478.55099999999999</v>
      </c>
      <c r="H1941" s="1">
        <v>2.4528559999999999E-6</v>
      </c>
      <c r="I1941">
        <v>280.39269999999999</v>
      </c>
      <c r="J1941">
        <v>-466.06610000000001</v>
      </c>
      <c r="K1941">
        <v>1.11487</v>
      </c>
      <c r="L1941">
        <v>284.6277</v>
      </c>
      <c r="M1941">
        <v>-0.9965581</v>
      </c>
      <c r="N1941">
        <v>0</v>
      </c>
      <c r="O1941">
        <v>-8.1481579999999998E-2</v>
      </c>
      <c r="P1941">
        <v>-0.96014339999999998</v>
      </c>
      <c r="Q1941">
        <v>0.1757533</v>
      </c>
      <c r="R1941">
        <v>-0.21733730000000001</v>
      </c>
      <c r="S1941">
        <v>-2.9541930000000001</v>
      </c>
      <c r="T1941">
        <v>-0.25371630000000001</v>
      </c>
      <c r="U1941">
        <v>-0.97348020000000002</v>
      </c>
      <c r="V1941">
        <v>-0.14126169999999999</v>
      </c>
      <c r="W1941">
        <v>0.18847810000000001</v>
      </c>
      <c r="X1941">
        <v>0.97186479999999997</v>
      </c>
      <c r="Y1941">
        <v>-0.23402870000000001</v>
      </c>
      <c r="Z1941">
        <v>-2.9949590000000002E-3</v>
      </c>
      <c r="AA1941">
        <v>0.97222509999999995</v>
      </c>
      <c r="AB1941">
        <v>50</v>
      </c>
      <c r="AC1941">
        <v>-12.4848999999999</v>
      </c>
      <c r="AD1941">
        <v>-1.1148675471439999</v>
      </c>
      <c r="AE1941">
        <v>-4.2350000000000101</v>
      </c>
      <c r="AF1941">
        <v>-3.1807607831701401</v>
      </c>
      <c r="AG1941">
        <v>-1.1148675471439999</v>
      </c>
      <c r="AH1941">
        <v>12.6976874961547</v>
      </c>
      <c r="AI1941">
        <v>94.868093751135504</v>
      </c>
      <c r="AJ1941">
        <v>104.063160832889</v>
      </c>
      <c r="AK1941">
        <v>13.1374060056555</v>
      </c>
      <c r="AL1941">
        <v>79.136019118863203</v>
      </c>
      <c r="AM1941">
        <v>98.270093302737806</v>
      </c>
      <c r="AN1941">
        <v>1.0000000257727599</v>
      </c>
    </row>
    <row r="1942" spans="1:40" x14ac:dyDescent="0.25">
      <c r="A1942" t="str">
        <f>"20190312164510693"</f>
        <v>20190312164510693</v>
      </c>
      <c r="B1942" t="str">
        <f>"1552380310683887"</f>
        <v>1552380310683887</v>
      </c>
      <c r="C1942" t="s">
        <v>40</v>
      </c>
      <c r="D1942">
        <v>5.1709449999999997</v>
      </c>
      <c r="E1942">
        <v>0.45925859999999902</v>
      </c>
      <c r="F1942" t="s">
        <v>46</v>
      </c>
      <c r="G1942">
        <v>-478.93849999999998</v>
      </c>
      <c r="H1942" s="1">
        <v>2.2670259999999999E-6</v>
      </c>
      <c r="I1942">
        <v>280.23250000000002</v>
      </c>
      <c r="J1942">
        <v>-466.57060000000001</v>
      </c>
      <c r="K1942">
        <v>1.115435</v>
      </c>
      <c r="L1942">
        <v>284.58249999999998</v>
      </c>
      <c r="M1942">
        <v>-0.99597519999999995</v>
      </c>
      <c r="N1942">
        <v>0</v>
      </c>
      <c r="O1942">
        <v>-8.8313879999999997E-2</v>
      </c>
      <c r="P1942">
        <v>-0.95696190000000003</v>
      </c>
      <c r="Q1942">
        <v>0.17706129999999901</v>
      </c>
      <c r="R1942">
        <v>-0.2299417</v>
      </c>
      <c r="S1942">
        <v>-2.9437259999999998</v>
      </c>
      <c r="T1942">
        <v>-0.25495400000000001</v>
      </c>
      <c r="U1942">
        <v>-1.005096</v>
      </c>
      <c r="V1942">
        <v>-0.14769499999999999</v>
      </c>
      <c r="W1942">
        <v>0.1894998</v>
      </c>
      <c r="X1942">
        <v>0.97070900000000004</v>
      </c>
      <c r="Y1942">
        <v>-0.23777419999999999</v>
      </c>
      <c r="Z1942">
        <v>-2.6039090000000002E-3</v>
      </c>
      <c r="AA1942">
        <v>0.97131699999999999</v>
      </c>
      <c r="AB1942">
        <v>50</v>
      </c>
      <c r="AC1942">
        <v>-12.367899999999899</v>
      </c>
      <c r="AD1942">
        <v>-1.1154327329739999</v>
      </c>
      <c r="AE1942">
        <v>-4.3499999999999597</v>
      </c>
      <c r="AF1942">
        <v>-3.2173258614903899</v>
      </c>
      <c r="AG1942">
        <v>-1.1154327329739999</v>
      </c>
      <c r="AH1942">
        <v>12.6124796837004</v>
      </c>
      <c r="AI1942">
        <v>94.897974102408796</v>
      </c>
      <c r="AJ1942">
        <v>104.31042943443801</v>
      </c>
      <c r="AK1942">
        <v>13.0640736239719</v>
      </c>
      <c r="AL1942">
        <v>79.076405177657094</v>
      </c>
      <c r="AM1942">
        <v>98.651296461855495</v>
      </c>
      <c r="AN1942">
        <v>0.99999997495301896</v>
      </c>
    </row>
    <row r="1943" spans="1:40" x14ac:dyDescent="0.25">
      <c r="A1943" t="str">
        <f>"20190312164510716"</f>
        <v>20190312164510716</v>
      </c>
      <c r="B1943" t="str">
        <f>"1552380310703407"</f>
        <v>1552380310703407</v>
      </c>
      <c r="C1943" t="s">
        <v>40</v>
      </c>
      <c r="D1943">
        <v>5.2046570000000001</v>
      </c>
      <c r="E1943">
        <v>0.45980189999999999</v>
      </c>
      <c r="F1943" t="s">
        <v>46</v>
      </c>
      <c r="G1943">
        <v>-479.59739999999999</v>
      </c>
      <c r="H1943" s="1">
        <v>1.9510879999999999E-6</v>
      </c>
      <c r="I1943">
        <v>279.96109999999999</v>
      </c>
      <c r="J1943">
        <v>-467.06729999999999</v>
      </c>
      <c r="K1943">
        <v>1.115985</v>
      </c>
      <c r="L1943">
        <v>284.53469999999999</v>
      </c>
      <c r="M1943">
        <v>-0.99531689999999995</v>
      </c>
      <c r="N1943">
        <v>0</v>
      </c>
      <c r="O1943">
        <v>-9.5444039999999994E-2</v>
      </c>
      <c r="P1943">
        <v>-0.95343259999999996</v>
      </c>
      <c r="Q1943">
        <v>0.1790754</v>
      </c>
      <c r="R1943">
        <v>-0.24268999999999999</v>
      </c>
      <c r="S1943">
        <v>-2.9314580000000001</v>
      </c>
      <c r="T1943">
        <v>-0.25100830000000002</v>
      </c>
      <c r="U1943">
        <v>-1.0399780000000001</v>
      </c>
      <c r="V1943">
        <v>-0.15403599999999901</v>
      </c>
      <c r="W1943">
        <v>0.19121640000000001</v>
      </c>
      <c r="X1943">
        <v>0.96938599999999997</v>
      </c>
      <c r="Y1943">
        <v>-0.24238509999999999</v>
      </c>
      <c r="Z1943">
        <v>-2.1761929999999999E-3</v>
      </c>
      <c r="AA1943">
        <v>0.97017770000000003</v>
      </c>
      <c r="AB1943">
        <v>50</v>
      </c>
      <c r="AC1943">
        <v>-12.530099999999999</v>
      </c>
      <c r="AD1943">
        <v>-1.115983048912</v>
      </c>
      <c r="AE1943">
        <v>-4.5735999999999901</v>
      </c>
      <c r="AF1943">
        <v>-3.3333192753624701</v>
      </c>
      <c r="AG1943">
        <v>-1.115983048912</v>
      </c>
      <c r="AH1943">
        <v>12.8197223222136</v>
      </c>
      <c r="AI1943">
        <v>94.8158320393499</v>
      </c>
      <c r="AJ1943">
        <v>104.57501776204199</v>
      </c>
      <c r="AK1943">
        <v>13.2929197686446</v>
      </c>
      <c r="AL1943">
        <v>78.976219678911903</v>
      </c>
      <c r="AM1943">
        <v>99.028846764329202</v>
      </c>
      <c r="AN1943">
        <v>1.0000000089604799</v>
      </c>
    </row>
    <row r="1944" spans="1:40" x14ac:dyDescent="0.25">
      <c r="A1944" t="str">
        <f>"20190312164510738"</f>
        <v>20190312164510738</v>
      </c>
      <c r="B1944" t="str">
        <f>"1552380310733667"</f>
        <v>1552380310733667</v>
      </c>
      <c r="C1944" t="s">
        <v>40</v>
      </c>
      <c r="D1944">
        <v>4.8694379999999997</v>
      </c>
      <c r="E1944">
        <v>0.46920070000000003</v>
      </c>
      <c r="F1944" t="s">
        <v>46</v>
      </c>
      <c r="G1944">
        <v>-480.4203</v>
      </c>
      <c r="H1944" s="1">
        <v>1.843728E-6</v>
      </c>
      <c r="I1944">
        <v>279.6223</v>
      </c>
      <c r="J1944">
        <v>-467.57319999999999</v>
      </c>
      <c r="K1944">
        <v>1.1165259999999999</v>
      </c>
      <c r="L1944">
        <v>284.48219999999998</v>
      </c>
      <c r="M1944">
        <v>-0.99455070000000001</v>
      </c>
      <c r="N1944">
        <v>0</v>
      </c>
      <c r="O1944">
        <v>-0.10311629999999999</v>
      </c>
      <c r="P1944">
        <v>-0.94974380000000003</v>
      </c>
      <c r="Q1944">
        <v>0.18051039999999999</v>
      </c>
      <c r="R1944">
        <v>-0.25574000000000002</v>
      </c>
      <c r="S1944">
        <v>-2.9190369999999999</v>
      </c>
      <c r="T1944">
        <v>-0.2439587</v>
      </c>
      <c r="U1944">
        <v>-1.0738529999999999</v>
      </c>
      <c r="V1944">
        <v>-0.1601775</v>
      </c>
      <c r="W1944">
        <v>0.1923424</v>
      </c>
      <c r="X1944">
        <v>0.96816709999999995</v>
      </c>
      <c r="Y1944">
        <v>-0.24619350000000001</v>
      </c>
      <c r="Z1944">
        <v>-1.6623569999999999E-3</v>
      </c>
      <c r="AA1944">
        <v>0.96921930000000001</v>
      </c>
      <c r="AB1944">
        <v>50</v>
      </c>
      <c r="AC1944">
        <v>-12.847099999999999</v>
      </c>
      <c r="AD1944">
        <v>-1.1165241562720001</v>
      </c>
      <c r="AE1944">
        <v>-4.8598999999999801</v>
      </c>
      <c r="AF1944">
        <v>-3.4860512120370002</v>
      </c>
      <c r="AG1944">
        <v>-1.1165241562720001</v>
      </c>
      <c r="AH1944">
        <v>13.192622807284099</v>
      </c>
      <c r="AI1944">
        <v>94.677749929396001</v>
      </c>
      <c r="AJ1944">
        <v>104.801664079885</v>
      </c>
      <c r="AK1944">
        <v>13.6910363296486</v>
      </c>
      <c r="AL1944">
        <v>78.910484150894803</v>
      </c>
      <c r="AM1944">
        <v>99.394152014322401</v>
      </c>
      <c r="AN1944">
        <v>0.99999998193320905</v>
      </c>
    </row>
    <row r="1945" spans="1:40" x14ac:dyDescent="0.25">
      <c r="A1945" t="str">
        <f>"20190312164510760"</f>
        <v>20190312164510760</v>
      </c>
      <c r="B1945" t="str">
        <f>"1552380310753187"</f>
        <v>1552380310753187</v>
      </c>
      <c r="C1945" t="s">
        <v>40</v>
      </c>
      <c r="D1945">
        <v>4.8217749999999997</v>
      </c>
      <c r="E1945">
        <v>0.47044200000000003</v>
      </c>
      <c r="F1945" t="s">
        <v>46</v>
      </c>
      <c r="G1945">
        <v>-479.31290000000001</v>
      </c>
      <c r="H1945" s="1">
        <v>2.1076270000000001E-6</v>
      </c>
      <c r="I1945">
        <v>280.30869999999999</v>
      </c>
      <c r="J1945">
        <v>-468.06020000000001</v>
      </c>
      <c r="K1945">
        <v>1.117043</v>
      </c>
      <c r="L1945">
        <v>284.42790000000002</v>
      </c>
      <c r="M1945">
        <v>-0.99371290000000001</v>
      </c>
      <c r="N1945">
        <v>0</v>
      </c>
      <c r="O1945">
        <v>-0.11089599999999999</v>
      </c>
      <c r="P1945">
        <v>-0.94611599999999996</v>
      </c>
      <c r="Q1945">
        <v>0.18079400000000001</v>
      </c>
      <c r="R1945">
        <v>-0.26865990000000001</v>
      </c>
      <c r="S1945">
        <v>-2.9311829999999999</v>
      </c>
      <c r="T1945">
        <v>-0.27877390000000002</v>
      </c>
      <c r="U1945">
        <v>-1.0420529999999999</v>
      </c>
      <c r="V1945">
        <v>-0.16606599999999999</v>
      </c>
      <c r="W1945">
        <v>0.1923204</v>
      </c>
      <c r="X1945">
        <v>0.96717889999999995</v>
      </c>
      <c r="Y1945">
        <v>-0.2279341</v>
      </c>
      <c r="Z1945">
        <v>-3.457051E-4</v>
      </c>
      <c r="AA1945">
        <v>0.97367649999999994</v>
      </c>
      <c r="AB1945">
        <v>50</v>
      </c>
      <c r="AC1945">
        <v>-11.252700000000001</v>
      </c>
      <c r="AD1945">
        <v>-1.117040892373</v>
      </c>
      <c r="AE1945">
        <v>-4.1192000000000304</v>
      </c>
      <c r="AF1945">
        <v>-2.8212435491401702</v>
      </c>
      <c r="AG1945">
        <v>-1.117040892373</v>
      </c>
      <c r="AH1945">
        <v>11.5398546857911</v>
      </c>
      <c r="AI1945">
        <v>95.371685416803004</v>
      </c>
      <c r="AJ1945">
        <v>103.738096325406</v>
      </c>
      <c r="AK1945">
        <v>11.9321180721603</v>
      </c>
      <c r="AL1945">
        <v>78.911769275822394</v>
      </c>
      <c r="AM1945">
        <v>99.742765172902807</v>
      </c>
      <c r="AN1945">
        <v>1.00000003860868</v>
      </c>
    </row>
    <row r="1946" spans="1:40" x14ac:dyDescent="0.25">
      <c r="A1946" t="str">
        <f>"20190312164510782"</f>
        <v>20190312164510782</v>
      </c>
      <c r="B1946" t="str">
        <f>"1552380310773679"</f>
        <v>1552380310773679</v>
      </c>
      <c r="C1946" t="s">
        <v>40</v>
      </c>
      <c r="D1946">
        <v>5.0677580000000004</v>
      </c>
      <c r="E1946">
        <v>0.47144459999999999</v>
      </c>
      <c r="F1946" t="s">
        <v>46</v>
      </c>
      <c r="G1946">
        <v>-480.73660000000001</v>
      </c>
      <c r="H1946" s="1">
        <v>1.9129189999999998E-6</v>
      </c>
      <c r="I1946">
        <v>279.7722</v>
      </c>
      <c r="J1946">
        <v>-468.5521</v>
      </c>
      <c r="K1946">
        <v>1.1175569999999999</v>
      </c>
      <c r="L1946">
        <v>284.36919999999998</v>
      </c>
      <c r="M1946">
        <v>-0.99275769999999997</v>
      </c>
      <c r="N1946">
        <v>0</v>
      </c>
      <c r="O1946">
        <v>-0.11914039999999999</v>
      </c>
      <c r="P1946">
        <v>-0.94255389999999994</v>
      </c>
      <c r="Q1946">
        <v>0.17983299999999999</v>
      </c>
      <c r="R1946">
        <v>-0.2815185</v>
      </c>
      <c r="S1946">
        <v>-2.9158330000000001</v>
      </c>
      <c r="T1946">
        <v>-0.25694359999999999</v>
      </c>
      <c r="U1946">
        <v>-1.0709229999999901</v>
      </c>
      <c r="V1946">
        <v>-0.17142260000000001</v>
      </c>
      <c r="W1946">
        <v>0.1910577</v>
      </c>
      <c r="X1946">
        <v>0.96649430000000003</v>
      </c>
      <c r="Y1946">
        <v>-0.23007920000000001</v>
      </c>
      <c r="Z1946">
        <v>2.7924500000000001E-4</v>
      </c>
      <c r="AA1946">
        <v>0.97317189999999998</v>
      </c>
      <c r="AB1946">
        <v>50</v>
      </c>
      <c r="AC1946">
        <v>-12.1845</v>
      </c>
      <c r="AD1946">
        <v>-1.1175550870809901</v>
      </c>
      <c r="AE1946">
        <v>-4.59699999999998</v>
      </c>
      <c r="AF1946">
        <v>-3.0896580025730702</v>
      </c>
      <c r="AG1946">
        <v>-1.1175550870809901</v>
      </c>
      <c r="AH1946">
        <v>12.5530047246782</v>
      </c>
      <c r="AI1946">
        <v>94.940761862097503</v>
      </c>
      <c r="AJ1946">
        <v>103.82730657383701</v>
      </c>
      <c r="AK1946">
        <v>12.9758561784307</v>
      </c>
      <c r="AL1946">
        <v>78.985483122648702</v>
      </c>
      <c r="AM1946">
        <v>100.057689957335</v>
      </c>
      <c r="AN1946">
        <v>0.99999999222627001</v>
      </c>
    </row>
    <row r="1947" spans="1:40" x14ac:dyDescent="0.25">
      <c r="A1947" t="str">
        <f>"20190312164510804"</f>
        <v>20190312164510804</v>
      </c>
      <c r="B1947" t="str">
        <f>"1552380310793199"</f>
        <v>1552380310793199</v>
      </c>
      <c r="C1947" t="s">
        <v>40</v>
      </c>
      <c r="D1947">
        <v>5.07545</v>
      </c>
      <c r="E1947">
        <v>0.47248390000000001</v>
      </c>
      <c r="F1947" t="s">
        <v>46</v>
      </c>
      <c r="G1947">
        <v>-480.78750000000002</v>
      </c>
      <c r="H1947" s="1">
        <v>1.9180320000000001E-6</v>
      </c>
      <c r="I1947">
        <v>279.72730000000001</v>
      </c>
      <c r="J1947">
        <v>-469.03989999999999</v>
      </c>
      <c r="K1947">
        <v>1.1180479999999999</v>
      </c>
      <c r="L1947">
        <v>284.30680000000001</v>
      </c>
      <c r="M1947">
        <v>-0.99169180000000001</v>
      </c>
      <c r="N1947">
        <v>0</v>
      </c>
      <c r="O1947">
        <v>-0.12770490000000001</v>
      </c>
      <c r="P1947">
        <v>-0.93884719999999999</v>
      </c>
      <c r="Q1947">
        <v>0.17874849999999901</v>
      </c>
      <c r="R1947">
        <v>-0.29430420000000002</v>
      </c>
      <c r="S1947">
        <v>-2.904388</v>
      </c>
      <c r="T1947">
        <v>-0.26527889999999998</v>
      </c>
      <c r="U1947">
        <v>-1.1018680000000001</v>
      </c>
      <c r="V1947">
        <v>-0.17641579999999901</v>
      </c>
      <c r="W1947">
        <v>0.18967580000000001</v>
      </c>
      <c r="X1947">
        <v>0.96586780000000005</v>
      </c>
      <c r="Y1947">
        <v>-0.2320141</v>
      </c>
      <c r="Z1947">
        <v>9.4380319999999996E-4</v>
      </c>
      <c r="AA1947">
        <v>0.97271200000000002</v>
      </c>
      <c r="AB1947">
        <v>50</v>
      </c>
      <c r="AC1947">
        <v>-11.7476</v>
      </c>
      <c r="AD1947">
        <v>-1.118046081968</v>
      </c>
      <c r="AE1947">
        <v>-4.5794999999999897</v>
      </c>
      <c r="AF1947">
        <v>-3.0178606245850701</v>
      </c>
      <c r="AG1947">
        <v>-1.118046081968</v>
      </c>
      <c r="AH1947">
        <v>12.140822441520401</v>
      </c>
      <c r="AI1947">
        <v>95.106967820231404</v>
      </c>
      <c r="AJ1947">
        <v>103.95917702990199</v>
      </c>
      <c r="AK1947">
        <v>12.5601385082868</v>
      </c>
      <c r="AL1947">
        <v>79.066135412941193</v>
      </c>
      <c r="AM1947">
        <v>100.35097692694499</v>
      </c>
      <c r="AN1947">
        <v>1.0000000253360599</v>
      </c>
    </row>
    <row r="1948" spans="1:40" x14ac:dyDescent="0.25">
      <c r="A1948" t="str">
        <f>"20190312164510828"</f>
        <v>20190312164510828</v>
      </c>
      <c r="B1948" t="str">
        <f>"1552380310823458"</f>
        <v>1552380310823458</v>
      </c>
      <c r="C1948" t="s">
        <v>40</v>
      </c>
      <c r="D1948">
        <v>5.0354549999999998</v>
      </c>
      <c r="E1948">
        <v>0.47128809999999899</v>
      </c>
      <c r="F1948" t="s">
        <v>46</v>
      </c>
      <c r="G1948">
        <v>-481.40820000000002</v>
      </c>
      <c r="H1948" s="1">
        <v>1.9636799999999998E-6</v>
      </c>
      <c r="I1948">
        <v>279.4615</v>
      </c>
      <c r="J1948">
        <v>-469.54239999999999</v>
      </c>
      <c r="K1948">
        <v>1.1185620000000001</v>
      </c>
      <c r="L1948">
        <v>284.23809999999997</v>
      </c>
      <c r="M1948">
        <v>-0.99045989999999995</v>
      </c>
      <c r="N1948">
        <v>0</v>
      </c>
      <c r="O1948">
        <v>-0.1369272</v>
      </c>
      <c r="P1948">
        <v>-0.93463280000000004</v>
      </c>
      <c r="Q1948">
        <v>0.17893339999999999</v>
      </c>
      <c r="R1948">
        <v>-0.3073188</v>
      </c>
      <c r="S1948">
        <v>-2.890228</v>
      </c>
      <c r="T1948">
        <v>-0.26126729999999998</v>
      </c>
      <c r="U1948">
        <v>-1.132263</v>
      </c>
      <c r="V1948">
        <v>-0.18110789999999999</v>
      </c>
      <c r="W1948">
        <v>0.18955459999999999</v>
      </c>
      <c r="X1948">
        <v>0.96502279999999996</v>
      </c>
      <c r="Y1948">
        <v>-0.23347979999999999</v>
      </c>
      <c r="Z1948">
        <v>1.6537920000000001E-3</v>
      </c>
      <c r="AA1948">
        <v>0.97236029999999996</v>
      </c>
      <c r="AB1948">
        <v>50</v>
      </c>
      <c r="AC1948">
        <v>-11.8658</v>
      </c>
      <c r="AD1948">
        <v>-1.1185600363199999</v>
      </c>
      <c r="AE1948">
        <v>-4.77659999999997</v>
      </c>
      <c r="AF1948">
        <v>-3.0830762152750002</v>
      </c>
      <c r="AG1948">
        <v>-1.1185600363199999</v>
      </c>
      <c r="AH1948">
        <v>12.3139684547362</v>
      </c>
      <c r="AI1948">
        <v>95.035714347143696</v>
      </c>
      <c r="AJ1948">
        <v>104.056316447082</v>
      </c>
      <c r="AK1948">
        <v>12.7432474121899</v>
      </c>
      <c r="AL1948">
        <v>79.073207811462893</v>
      </c>
      <c r="AM1948">
        <v>100.629183250911</v>
      </c>
      <c r="AN1948">
        <v>1.0000000111717</v>
      </c>
    </row>
    <row r="1949" spans="1:40" x14ac:dyDescent="0.25">
      <c r="A1949" t="str">
        <f>"20190312164510850"</f>
        <v>20190312164510850</v>
      </c>
      <c r="B1949" t="str">
        <f>"1552380310843951"</f>
        <v>1552380310843951</v>
      </c>
      <c r="C1949" t="s">
        <v>40</v>
      </c>
      <c r="D1949">
        <v>4.9807699999999997</v>
      </c>
      <c r="E1949">
        <v>0.44109419999999999</v>
      </c>
      <c r="F1949" t="s">
        <v>46</v>
      </c>
      <c r="G1949">
        <v>-482.2174</v>
      </c>
      <c r="H1949" s="1">
        <v>1.952355E-6</v>
      </c>
      <c r="I1949">
        <v>279.02339999999998</v>
      </c>
      <c r="J1949">
        <v>-470.03149999999999</v>
      </c>
      <c r="K1949">
        <v>1.1190560000000001</v>
      </c>
      <c r="L1949">
        <v>284.16640000000001</v>
      </c>
      <c r="M1949">
        <v>-0.98911439999999995</v>
      </c>
      <c r="N1949">
        <v>0</v>
      </c>
      <c r="O1949">
        <v>-0.1463255</v>
      </c>
      <c r="P1949">
        <v>-0.93030939999999995</v>
      </c>
      <c r="Q1949">
        <v>0.17902129999999999</v>
      </c>
      <c r="R1949">
        <v>-0.32011909999999999</v>
      </c>
      <c r="S1949">
        <v>-2.8700260000000002</v>
      </c>
      <c r="T1949">
        <v>-0.25327889999999997</v>
      </c>
      <c r="U1949">
        <v>-1.1807859999999999</v>
      </c>
      <c r="V1949">
        <v>-0.18543780000000001</v>
      </c>
      <c r="W1949">
        <v>0.18934570000000001</v>
      </c>
      <c r="X1949">
        <v>0.96424109999999996</v>
      </c>
      <c r="Y1949">
        <v>-0.24073240000000001</v>
      </c>
      <c r="Z1949">
        <v>2.077345E-3</v>
      </c>
      <c r="AA1949">
        <v>0.97058929999999999</v>
      </c>
      <c r="AB1949">
        <v>50</v>
      </c>
      <c r="AC1949">
        <v>-12.1859</v>
      </c>
      <c r="AD1949">
        <v>-1.1190540476449999</v>
      </c>
      <c r="AE1949">
        <v>-5.1430000000000202</v>
      </c>
      <c r="AF1949">
        <v>-3.2808221631199799</v>
      </c>
      <c r="AG1949">
        <v>-1.1190540476449999</v>
      </c>
      <c r="AH1949">
        <v>12.716323652929001</v>
      </c>
      <c r="AI1949">
        <v>94.870468509040094</v>
      </c>
      <c r="AJ1949">
        <v>104.466873385884</v>
      </c>
      <c r="AK1949">
        <v>13.1803248546313</v>
      </c>
      <c r="AL1949">
        <v>79.085396815894796</v>
      </c>
      <c r="AM1949">
        <v>100.88591780601</v>
      </c>
      <c r="AN1949">
        <v>0.99999993535326703</v>
      </c>
    </row>
    <row r="1950" spans="1:40" x14ac:dyDescent="0.25">
      <c r="A1950" t="str">
        <f>"20190312164510872"</f>
        <v>20190312164510872</v>
      </c>
      <c r="B1950" t="str">
        <f>"1552380310863471"</f>
        <v>1552380310863471</v>
      </c>
      <c r="C1950" t="s">
        <v>40</v>
      </c>
      <c r="D1950">
        <v>4.9779150000000003</v>
      </c>
      <c r="E1950">
        <v>0.44086589999999998</v>
      </c>
      <c r="F1950" t="s">
        <v>46</v>
      </c>
      <c r="G1950">
        <v>-481.1934</v>
      </c>
      <c r="H1950" s="1">
        <v>1.647289E-6</v>
      </c>
      <c r="I1950">
        <v>278.3476</v>
      </c>
      <c r="J1950">
        <v>-470.50580000000002</v>
      </c>
      <c r="K1950">
        <v>1.119521</v>
      </c>
      <c r="L1950">
        <v>284.09219999999999</v>
      </c>
      <c r="M1950">
        <v>-0.98766069999999995</v>
      </c>
      <c r="N1950">
        <v>0</v>
      </c>
      <c r="O1950">
        <v>-0.1558311</v>
      </c>
      <c r="P1950">
        <v>-0.92610559999999997</v>
      </c>
      <c r="Q1950">
        <v>0.17857619999999999</v>
      </c>
      <c r="R1950">
        <v>-0.3323237</v>
      </c>
      <c r="S1950">
        <v>-2.7796940000000001</v>
      </c>
      <c r="T1950">
        <v>-0.27868209999999999</v>
      </c>
      <c r="U1950">
        <v>-1.4490970000000001</v>
      </c>
      <c r="V1950">
        <v>-0.18904850000000001</v>
      </c>
      <c r="W1950">
        <v>0.1886293</v>
      </c>
      <c r="X1950">
        <v>0.96368030000000005</v>
      </c>
      <c r="Y1950">
        <v>-0.31779370000000001</v>
      </c>
      <c r="Z1950">
        <v>-4.6866110000000002E-4</v>
      </c>
      <c r="AA1950">
        <v>0.9481598</v>
      </c>
      <c r="AB1950">
        <v>50</v>
      </c>
      <c r="AC1950">
        <v>-10.6875999999999</v>
      </c>
      <c r="AD1950">
        <v>-1.1195193527109999</v>
      </c>
      <c r="AE1950">
        <v>-5.7445999999999904</v>
      </c>
      <c r="AF1950">
        <v>-3.9749040742194302</v>
      </c>
      <c r="AG1950">
        <v>-1.1195193527109999</v>
      </c>
      <c r="AH1950">
        <v>11.3556313069276</v>
      </c>
      <c r="AI1950">
        <v>95.3161330607346</v>
      </c>
      <c r="AJ1950">
        <v>109.29199303497199</v>
      </c>
      <c r="AK1950">
        <v>12.0831928048515</v>
      </c>
      <c r="AL1950">
        <v>79.127197862423401</v>
      </c>
      <c r="AM1950">
        <v>101.098966143971</v>
      </c>
      <c r="AN1950">
        <v>1.00000003438941</v>
      </c>
    </row>
    <row r="1951" spans="1:40" x14ac:dyDescent="0.25">
      <c r="A1951" t="str">
        <f>"20190312164510895"</f>
        <v>20190312164510895</v>
      </c>
      <c r="B1951" t="str">
        <f>"1552380310883968"</f>
        <v>1552380310883968</v>
      </c>
      <c r="C1951" t="s">
        <v>40</v>
      </c>
      <c r="D1951">
        <v>4.9928670000000004</v>
      </c>
      <c r="E1951">
        <v>0.44168170000000001</v>
      </c>
      <c r="F1951" t="s">
        <v>46</v>
      </c>
      <c r="G1951">
        <v>-480.75650000000002</v>
      </c>
      <c r="H1951" s="1">
        <v>1.648263E-6</v>
      </c>
      <c r="I1951">
        <v>278.57310000000001</v>
      </c>
      <c r="J1951">
        <v>-471.00310000000002</v>
      </c>
      <c r="K1951">
        <v>1.1199809999999999</v>
      </c>
      <c r="L1951">
        <v>284.0095</v>
      </c>
      <c r="M1951">
        <v>-0.98597400000000002</v>
      </c>
      <c r="N1951">
        <v>0</v>
      </c>
      <c r="O1951">
        <v>-0.16616439999999999</v>
      </c>
      <c r="P1951">
        <v>-0.92182779999999998</v>
      </c>
      <c r="Q1951">
        <v>0.17717069999999999</v>
      </c>
      <c r="R1951">
        <v>-0.34473799999999999</v>
      </c>
      <c r="S1951">
        <v>-2.7636409999999998</v>
      </c>
      <c r="T1951">
        <v>-0.30182720000000002</v>
      </c>
      <c r="U1951">
        <v>-1.487976</v>
      </c>
      <c r="V1951">
        <v>-0.19205150000000001</v>
      </c>
      <c r="W1951">
        <v>0.18697050000000001</v>
      </c>
      <c r="X1951">
        <v>0.96340970000000004</v>
      </c>
      <c r="Y1951">
        <v>-0.32044790000000001</v>
      </c>
      <c r="Z1951">
        <v>3.751526E-4</v>
      </c>
      <c r="AA1951">
        <v>0.94726600000000005</v>
      </c>
      <c r="AB1951">
        <v>50</v>
      </c>
      <c r="AC1951">
        <v>-9.7533999999999992</v>
      </c>
      <c r="AD1951">
        <v>-1.11997935173699</v>
      </c>
      <c r="AE1951">
        <v>-5.4363999999999901</v>
      </c>
      <c r="AF1951">
        <v>-3.7026884961552802</v>
      </c>
      <c r="AG1951">
        <v>-1.11997935173699</v>
      </c>
      <c r="AH1951">
        <v>10.4164294760531</v>
      </c>
      <c r="AI1951">
        <v>95.784910268371604</v>
      </c>
      <c r="AJ1951">
        <v>109.568580073254</v>
      </c>
      <c r="AK1951">
        <v>11.111537196871801</v>
      </c>
      <c r="AL1951">
        <v>79.223961407828099</v>
      </c>
      <c r="AM1951">
        <v>101.273876549335</v>
      </c>
      <c r="AN1951">
        <v>0.999999998288295</v>
      </c>
    </row>
    <row r="1952" spans="1:40" x14ac:dyDescent="0.25">
      <c r="A1952" t="str">
        <f>"20190312164510917"</f>
        <v>20190312164510917</v>
      </c>
      <c r="B1952" t="str">
        <f>"1552380310913802"</f>
        <v>1552380310913802</v>
      </c>
      <c r="C1952" t="s">
        <v>40</v>
      </c>
      <c r="D1952">
        <v>4.980823</v>
      </c>
      <c r="E1952">
        <v>0.44369619999999999</v>
      </c>
      <c r="F1952" t="s">
        <v>46</v>
      </c>
      <c r="G1952">
        <v>-480.73719999999997</v>
      </c>
      <c r="H1952" s="1">
        <v>1.654161E-6</v>
      </c>
      <c r="I1952">
        <v>278.6164</v>
      </c>
      <c r="J1952">
        <v>-471.49340000000001</v>
      </c>
      <c r="K1952">
        <v>1.120417</v>
      </c>
      <c r="L1952">
        <v>283.9228</v>
      </c>
      <c r="M1952">
        <v>-0.98413839999999997</v>
      </c>
      <c r="N1952">
        <v>0</v>
      </c>
      <c r="O1952">
        <v>-0.1767077</v>
      </c>
      <c r="P1952">
        <v>-0.91799169999999997</v>
      </c>
      <c r="Q1952">
        <v>0.1760342</v>
      </c>
      <c r="R1952">
        <v>-0.35539209999999999</v>
      </c>
      <c r="S1952">
        <v>-2.7461549999999999</v>
      </c>
      <c r="T1952">
        <v>-0.3159651</v>
      </c>
      <c r="U1952">
        <v>-1.5214840000000001</v>
      </c>
      <c r="V1952">
        <v>-0.1930373</v>
      </c>
      <c r="W1952">
        <v>0.1856479</v>
      </c>
      <c r="X1952">
        <v>0.9634684</v>
      </c>
      <c r="Y1952">
        <v>-0.32169160000000002</v>
      </c>
      <c r="Z1952">
        <v>1.4148469999999999E-3</v>
      </c>
      <c r="AA1952">
        <v>0.9468434</v>
      </c>
      <c r="AB1952">
        <v>50</v>
      </c>
      <c r="AC1952">
        <v>-9.2437999999999594</v>
      </c>
      <c r="AD1952">
        <v>-1.120415345839</v>
      </c>
      <c r="AE1952">
        <v>-5.3063999999999902</v>
      </c>
      <c r="AF1952">
        <v>-3.5499958088780899</v>
      </c>
      <c r="AG1952">
        <v>-1.120415345839</v>
      </c>
      <c r="AH1952">
        <v>9.9264090740157496</v>
      </c>
      <c r="AI1952">
        <v>96.066621992384498</v>
      </c>
      <c r="AJ1952">
        <v>109.678646407944</v>
      </c>
      <c r="AK1952">
        <v>10.601480929329901</v>
      </c>
      <c r="AL1952">
        <v>79.301090742544602</v>
      </c>
      <c r="AM1952">
        <v>101.329579664188</v>
      </c>
      <c r="AN1952">
        <v>0.99999994988212804</v>
      </c>
    </row>
    <row r="1953" spans="1:40" x14ac:dyDescent="0.25">
      <c r="A1953" t="str">
        <f>"20190312164510940"</f>
        <v>20190312164510940</v>
      </c>
      <c r="B1953" t="str">
        <f>"1552380310933325"</f>
        <v>1552380310933325</v>
      </c>
      <c r="C1953" t="s">
        <v>40</v>
      </c>
      <c r="D1953">
        <v>5.0129149999999996</v>
      </c>
      <c r="E1953">
        <v>0.44484370000000001</v>
      </c>
      <c r="F1953" t="s">
        <v>46</v>
      </c>
      <c r="G1953">
        <v>-481.20760000000001</v>
      </c>
      <c r="H1953" s="1">
        <v>1.666805E-6</v>
      </c>
      <c r="I1953">
        <v>278.4513</v>
      </c>
      <c r="J1953">
        <v>-471.99259999999998</v>
      </c>
      <c r="K1953">
        <v>1.1208499999999999</v>
      </c>
      <c r="L1953">
        <v>283.82900000000001</v>
      </c>
      <c r="M1953">
        <v>-0.98208090000000003</v>
      </c>
      <c r="N1953">
        <v>0</v>
      </c>
      <c r="O1953">
        <v>-0.1878011</v>
      </c>
      <c r="P1953">
        <v>-0.91308330000000004</v>
      </c>
      <c r="Q1953">
        <v>0.17528540000000001</v>
      </c>
      <c r="R1953">
        <v>-0.36817689999999997</v>
      </c>
      <c r="S1953">
        <v>-2.7325740000000001</v>
      </c>
      <c r="T1953">
        <v>-0.31517060000000002</v>
      </c>
      <c r="U1953">
        <v>-1.5391239999999999</v>
      </c>
      <c r="V1953">
        <v>-0.1957807</v>
      </c>
      <c r="W1953">
        <v>0.18465500000000001</v>
      </c>
      <c r="X1953">
        <v>0.96310560000000001</v>
      </c>
      <c r="Y1953">
        <v>-0.31772660000000003</v>
      </c>
      <c r="Z1953">
        <v>2.7705730000000001E-3</v>
      </c>
      <c r="AA1953">
        <v>0.94817830000000003</v>
      </c>
      <c r="AB1953">
        <v>50</v>
      </c>
      <c r="AC1953">
        <v>-9.2150000000000301</v>
      </c>
      <c r="AD1953">
        <v>-1.1208483331950001</v>
      </c>
      <c r="AE1953">
        <v>-5.3776999999999999</v>
      </c>
      <c r="AF1953">
        <v>-3.5124260461161199</v>
      </c>
      <c r="AG1953">
        <v>-1.1208483331950001</v>
      </c>
      <c r="AH1953">
        <v>9.9512378004630104</v>
      </c>
      <c r="AI1953">
        <v>96.062774008865702</v>
      </c>
      <c r="AJ1953">
        <v>109.441184077454</v>
      </c>
      <c r="AK1953">
        <v>10.6122839896426</v>
      </c>
      <c r="AL1953">
        <v>79.358980905233807</v>
      </c>
      <c r="AM1953">
        <v>101.490553954539</v>
      </c>
      <c r="AN1953">
        <v>0.99999997413442399</v>
      </c>
    </row>
    <row r="1954" spans="1:40" x14ac:dyDescent="0.25">
      <c r="A1954" t="str">
        <f>"20190312164510961"</f>
        <v>20190312164510961</v>
      </c>
      <c r="B1954" t="str">
        <f>"1552380310953818"</f>
        <v>1552380310953818</v>
      </c>
      <c r="C1954" t="s">
        <v>40</v>
      </c>
      <c r="D1954">
        <v>5.0019999999999998</v>
      </c>
      <c r="E1954">
        <v>0.4459244</v>
      </c>
      <c r="F1954" t="s">
        <v>46</v>
      </c>
      <c r="G1954">
        <v>-481.60640000000001</v>
      </c>
      <c r="H1954" s="1">
        <v>1.6704449999999999E-6</v>
      </c>
      <c r="I1954">
        <v>278.27109999999999</v>
      </c>
      <c r="J1954">
        <v>-472.44569999999999</v>
      </c>
      <c r="K1954">
        <v>1.1212299999999999</v>
      </c>
      <c r="L1954">
        <v>283.73899999999998</v>
      </c>
      <c r="M1954">
        <v>-0.98003830000000003</v>
      </c>
      <c r="N1954">
        <v>0</v>
      </c>
      <c r="O1954">
        <v>-0.19818069999999999</v>
      </c>
      <c r="P1954">
        <v>-0.90787079999999998</v>
      </c>
      <c r="Q1954">
        <v>0.17601459999999999</v>
      </c>
      <c r="R1954">
        <v>-0.38051220000000002</v>
      </c>
      <c r="S1954">
        <v>-2.7137449999999999</v>
      </c>
      <c r="T1954">
        <v>-0.31638650000000001</v>
      </c>
      <c r="U1954">
        <v>-1.568878</v>
      </c>
      <c r="V1954">
        <v>-0.1988731</v>
      </c>
      <c r="W1954">
        <v>0.18514</v>
      </c>
      <c r="X1954">
        <v>0.96237870000000003</v>
      </c>
      <c r="Y1954">
        <v>-0.3183742</v>
      </c>
      <c r="Z1954">
        <v>3.826674E-3</v>
      </c>
      <c r="AA1954">
        <v>0.94795739999999995</v>
      </c>
      <c r="AB1954">
        <v>50</v>
      </c>
      <c r="AC1954">
        <v>-9.1607000000000198</v>
      </c>
      <c r="AD1954">
        <v>-1.1212283295549901</v>
      </c>
      <c r="AE1954">
        <v>-5.4679000000000402</v>
      </c>
      <c r="AF1954">
        <v>-3.5050049460531501</v>
      </c>
      <c r="AG1954">
        <v>-1.1212283295549901</v>
      </c>
      <c r="AH1954">
        <v>9.9527906447142307</v>
      </c>
      <c r="AI1954">
        <v>96.065386342781096</v>
      </c>
      <c r="AJ1954">
        <v>109.40037941561</v>
      </c>
      <c r="AK1954">
        <v>10.611326696335601</v>
      </c>
      <c r="AL1954">
        <v>79.330705685286304</v>
      </c>
      <c r="AM1954">
        <v>101.675681648232</v>
      </c>
      <c r="AN1954">
        <v>1.00000004585864</v>
      </c>
    </row>
    <row r="1955" spans="1:40" x14ac:dyDescent="0.25">
      <c r="A1955" t="str">
        <f>"20190312164510974"</f>
        <v>20190312164510974</v>
      </c>
      <c r="B1955" t="str">
        <f>"1552380310963578"</f>
        <v>1552380310963578</v>
      </c>
      <c r="C1955" t="s">
        <v>40</v>
      </c>
      <c r="D1955">
        <v>5.1207539999999998</v>
      </c>
      <c r="E1955">
        <v>0.4459244</v>
      </c>
      <c r="F1955" t="s">
        <v>46</v>
      </c>
      <c r="G1955">
        <v>-482.08789999999999</v>
      </c>
      <c r="H1955" s="1">
        <v>1.6707289999999999E-6</v>
      </c>
      <c r="I1955">
        <v>278.03019999999998</v>
      </c>
      <c r="J1955">
        <v>-472.73660000000001</v>
      </c>
      <c r="K1955">
        <v>1.1214630000000001</v>
      </c>
      <c r="L1955">
        <v>283.67869999999999</v>
      </c>
      <c r="M1955">
        <v>-0.97863579999999994</v>
      </c>
      <c r="N1955">
        <v>0</v>
      </c>
      <c r="O1955">
        <v>-0.20499229999999999</v>
      </c>
      <c r="P1955">
        <v>-0.90464080000000002</v>
      </c>
      <c r="Q1955">
        <v>0.17634029999999901</v>
      </c>
      <c r="R1955">
        <v>-0.38798100000000002</v>
      </c>
      <c r="S1955">
        <v>-2.696167</v>
      </c>
      <c r="T1955">
        <v>-0.31352000000000002</v>
      </c>
      <c r="U1955">
        <v>-1.5963130000000001</v>
      </c>
      <c r="V1955">
        <v>-0.20024910000000001</v>
      </c>
      <c r="W1955">
        <v>0.1853302</v>
      </c>
      <c r="X1955">
        <v>0.96205660000000004</v>
      </c>
      <c r="Y1955">
        <v>-0.32165349999999998</v>
      </c>
      <c r="Z1955">
        <v>4.3229419999999998E-3</v>
      </c>
      <c r="AA1955">
        <v>0.94684760000000001</v>
      </c>
      <c r="AB1955">
        <v>50</v>
      </c>
      <c r="AC1955">
        <v>-9.3512999999999806</v>
      </c>
      <c r="AD1955">
        <v>-1.1214613292709901</v>
      </c>
      <c r="AE1955">
        <v>-5.6485000000000101</v>
      </c>
      <c r="AF1955">
        <v>-3.57367390878002</v>
      </c>
      <c r="AG1955">
        <v>-1.1214613292709901</v>
      </c>
      <c r="AH1955">
        <v>10.2031894345042</v>
      </c>
      <c r="AI1955">
        <v>95.9223394380721</v>
      </c>
      <c r="AJ1955">
        <v>109.302840036484</v>
      </c>
      <c r="AK1955">
        <v>10.868941777179799</v>
      </c>
      <c r="AL1955">
        <v>79.319615007249496</v>
      </c>
      <c r="AM1955">
        <v>101.75805110606601</v>
      </c>
      <c r="AN1955">
        <v>0.99999994334320297</v>
      </c>
    </row>
    <row r="1956" spans="1:40" x14ac:dyDescent="0.25">
      <c r="A1956" t="str">
        <f>"20190312164510989"</f>
        <v>20190312164510989</v>
      </c>
      <c r="B1956" t="str">
        <f>"1552380310983098"</f>
        <v>1552380310983098</v>
      </c>
      <c r="C1956" t="s">
        <v>40</v>
      </c>
      <c r="D1956">
        <v>4.9593540000000003</v>
      </c>
      <c r="E1956">
        <v>0.45594299999999999</v>
      </c>
      <c r="F1956" t="s">
        <v>46</v>
      </c>
      <c r="G1956">
        <v>-482.34059999999999</v>
      </c>
      <c r="H1956" s="1">
        <v>1.6687879999999999E-6</v>
      </c>
      <c r="I1956">
        <v>277.89190000000002</v>
      </c>
      <c r="J1956">
        <v>-473.05540000000002</v>
      </c>
      <c r="K1956">
        <v>1.1217189999999999</v>
      </c>
      <c r="L1956">
        <v>283.61059999999998</v>
      </c>
      <c r="M1956">
        <v>-0.97701729999999998</v>
      </c>
      <c r="N1956">
        <v>0</v>
      </c>
      <c r="O1956">
        <v>-0.21256920000000001</v>
      </c>
      <c r="P1956">
        <v>-0.90103449999999996</v>
      </c>
      <c r="Q1956">
        <v>0.17646919999999999</v>
      </c>
      <c r="R1956">
        <v>-0.39622639999999998</v>
      </c>
      <c r="S1956">
        <v>-2.6837770000000001</v>
      </c>
      <c r="T1956">
        <v>-0.31338470000000002</v>
      </c>
      <c r="U1956">
        <v>-1.6170960000000001</v>
      </c>
      <c r="V1956">
        <v>-0.20171430000000001</v>
      </c>
      <c r="W1956">
        <v>0.18531429999999999</v>
      </c>
      <c r="X1956">
        <v>0.96175359999999999</v>
      </c>
      <c r="Y1956">
        <v>-0.32166479999999997</v>
      </c>
      <c r="Z1956">
        <v>5.1031189999999997E-3</v>
      </c>
      <c r="AA1956">
        <v>0.94683980000000001</v>
      </c>
      <c r="AB1956">
        <v>50</v>
      </c>
      <c r="AC1956">
        <v>-9.2851999999999695</v>
      </c>
      <c r="AD1956">
        <v>-1.1217173312119999</v>
      </c>
      <c r="AE1956">
        <v>-5.7186999999999504</v>
      </c>
      <c r="AF1956">
        <v>-3.57613752635711</v>
      </c>
      <c r="AG1956">
        <v>-1.1217173312119999</v>
      </c>
      <c r="AH1956">
        <v>10.180991762123501</v>
      </c>
      <c r="AI1956">
        <v>95.934654061652594</v>
      </c>
      <c r="AJ1956">
        <v>109.354146566091</v>
      </c>
      <c r="AK1956">
        <v>10.848944770759401</v>
      </c>
      <c r="AL1956">
        <v>79.320542874098095</v>
      </c>
      <c r="AM1956">
        <v>101.845288124482</v>
      </c>
      <c r="AN1956">
        <v>1.00000001786096</v>
      </c>
    </row>
    <row r="1957" spans="1:40" x14ac:dyDescent="0.25">
      <c r="A1957" t="str">
        <f>"20190312164511005"</f>
        <v>20190312164511005</v>
      </c>
      <c r="B1957" t="str">
        <f>"1552380310993835"</f>
        <v>1552380310993835</v>
      </c>
      <c r="C1957" t="s">
        <v>40</v>
      </c>
      <c r="D1957">
        <v>4.967371</v>
      </c>
      <c r="E1957">
        <v>0.45607540000000002</v>
      </c>
      <c r="F1957" t="s">
        <v>46</v>
      </c>
      <c r="G1957">
        <v>-483.17559999999997</v>
      </c>
      <c r="H1957" s="1">
        <v>1.715924E-6</v>
      </c>
      <c r="I1957">
        <v>277.73910000000001</v>
      </c>
      <c r="J1957">
        <v>-473.40280000000001</v>
      </c>
      <c r="K1957">
        <v>1.12198</v>
      </c>
      <c r="L1957">
        <v>283.53289999999998</v>
      </c>
      <c r="M1957">
        <v>-0.97514190000000001</v>
      </c>
      <c r="N1957">
        <v>0</v>
      </c>
      <c r="O1957">
        <v>-0.22101019999999999</v>
      </c>
      <c r="P1957">
        <v>-0.89645180000000002</v>
      </c>
      <c r="Q1957">
        <v>0.1762251</v>
      </c>
      <c r="R1957">
        <v>-0.40659420000000002</v>
      </c>
      <c r="S1957">
        <v>-2.6994319999999998</v>
      </c>
      <c r="T1957">
        <v>-0.29920540000000001</v>
      </c>
      <c r="U1957">
        <v>-1.5661620000000001</v>
      </c>
      <c r="V1957">
        <v>-0.20460529999999999</v>
      </c>
      <c r="W1957">
        <v>0.18487100000000001</v>
      </c>
      <c r="X1957">
        <v>0.96122810000000003</v>
      </c>
      <c r="Y1957">
        <v>-0.2978788</v>
      </c>
      <c r="Z1957">
        <v>6.9259209999999998E-3</v>
      </c>
      <c r="AA1957">
        <v>0.95457860000000005</v>
      </c>
      <c r="AB1957">
        <v>50</v>
      </c>
      <c r="AC1957">
        <v>-9.7727999999999593</v>
      </c>
      <c r="AD1957">
        <v>-1.121978284076</v>
      </c>
      <c r="AE1957">
        <v>-5.7937999999999699</v>
      </c>
      <c r="AF1957">
        <v>-3.4566184864706599</v>
      </c>
      <c r="AG1957">
        <v>-1.121978284076</v>
      </c>
      <c r="AH1957">
        <v>10.7072972450188</v>
      </c>
      <c r="AI1957">
        <v>95.694642154763997</v>
      </c>
      <c r="AJ1957">
        <v>107.891547473849</v>
      </c>
      <c r="AK1957">
        <v>11.3072216270902</v>
      </c>
      <c r="AL1957">
        <v>79.346388895904099</v>
      </c>
      <c r="AM1957">
        <v>102.016535469255</v>
      </c>
      <c r="AN1957">
        <v>1.0000000378293401</v>
      </c>
    </row>
    <row r="1958" spans="1:40" x14ac:dyDescent="0.25">
      <c r="A1958" t="str">
        <f>"20190312164511020"</f>
        <v>20190312164511020</v>
      </c>
      <c r="B1958" t="str">
        <f>"1552380311013356"</f>
        <v>1552380311013356</v>
      </c>
      <c r="C1958" t="s">
        <v>40</v>
      </c>
      <c r="D1958">
        <v>4.9491610000000001</v>
      </c>
      <c r="E1958">
        <v>0.45674700000000001</v>
      </c>
      <c r="F1958" t="s">
        <v>46</v>
      </c>
      <c r="G1958">
        <v>-483.40960000000001</v>
      </c>
      <c r="H1958" s="1">
        <v>1.7103E-6</v>
      </c>
      <c r="I1958">
        <v>277.58929999999998</v>
      </c>
      <c r="J1958">
        <v>-473.7013</v>
      </c>
      <c r="K1958">
        <v>1.1221950000000001</v>
      </c>
      <c r="L1958">
        <v>283.46359999999999</v>
      </c>
      <c r="M1958">
        <v>-0.97344269999999999</v>
      </c>
      <c r="N1958">
        <v>0</v>
      </c>
      <c r="O1958">
        <v>-0.22837679999999999</v>
      </c>
      <c r="P1958">
        <v>-0.89273979999999997</v>
      </c>
      <c r="Q1958">
        <v>0.17584129999999901</v>
      </c>
      <c r="R1958">
        <v>-0.41484409999999999</v>
      </c>
      <c r="S1958">
        <v>-2.682922</v>
      </c>
      <c r="T1958">
        <v>-0.30081469999999999</v>
      </c>
      <c r="U1958">
        <v>-1.5935360000000001</v>
      </c>
      <c r="V1958">
        <v>-0.2062792</v>
      </c>
      <c r="W1958">
        <v>0.1843484</v>
      </c>
      <c r="X1958">
        <v>0.96097060000000001</v>
      </c>
      <c r="Y1958">
        <v>-0.30045480000000002</v>
      </c>
      <c r="Z1958">
        <v>7.567898E-3</v>
      </c>
      <c r="AA1958">
        <v>0.953766</v>
      </c>
      <c r="AB1958">
        <v>50</v>
      </c>
      <c r="AC1958">
        <v>-9.7082999999999995</v>
      </c>
      <c r="AD1958">
        <v>-1.1221932897</v>
      </c>
      <c r="AE1958">
        <v>-5.8742999999999999</v>
      </c>
      <c r="AF1958">
        <v>-3.4676721092049001</v>
      </c>
      <c r="AG1958">
        <v>-1.1221932897</v>
      </c>
      <c r="AH1958">
        <v>10.6888529820071</v>
      </c>
      <c r="AI1958">
        <v>95.702848448718299</v>
      </c>
      <c r="AJ1958">
        <v>107.974072641809</v>
      </c>
      <c r="AK1958">
        <v>11.2931680987828</v>
      </c>
      <c r="AL1958">
        <v>79.376854573362706</v>
      </c>
      <c r="AM1958">
        <v>102.11510232510101</v>
      </c>
      <c r="AN1958">
        <v>0.99999996749977904</v>
      </c>
    </row>
    <row r="1959" spans="1:40" x14ac:dyDescent="0.25">
      <c r="A1959" t="str">
        <f>"20190312164511032"</f>
        <v>20190312164511032</v>
      </c>
      <c r="B1959" t="str">
        <f>"1552380311023114"</f>
        <v>1552380311023114</v>
      </c>
      <c r="C1959" t="s">
        <v>40</v>
      </c>
      <c r="D1959">
        <v>4.8663850000000002</v>
      </c>
      <c r="E1959">
        <v>0.45724409999999999</v>
      </c>
      <c r="F1959" t="s">
        <v>46</v>
      </c>
      <c r="G1959">
        <v>-483.584</v>
      </c>
      <c r="H1959" s="1">
        <v>1.710372E-6</v>
      </c>
      <c r="I1959">
        <v>277.5018</v>
      </c>
      <c r="J1959">
        <v>-473.97390000000001</v>
      </c>
      <c r="K1959">
        <v>1.122379</v>
      </c>
      <c r="L1959">
        <v>283.39879999999999</v>
      </c>
      <c r="M1959">
        <v>-0.97182429999999997</v>
      </c>
      <c r="N1959">
        <v>0</v>
      </c>
      <c r="O1959">
        <v>-0.23516580000000001</v>
      </c>
      <c r="P1959">
        <v>-0.88921989999999995</v>
      </c>
      <c r="Q1959">
        <v>0.1754057</v>
      </c>
      <c r="R1959">
        <v>-0.42251729999999998</v>
      </c>
      <c r="S1959">
        <v>-2.6713870000000002</v>
      </c>
      <c r="T1959">
        <v>-0.30333789999999999</v>
      </c>
      <c r="U1959">
        <v>-1.6115109999999999</v>
      </c>
      <c r="V1959">
        <v>-0.20790890000000001</v>
      </c>
      <c r="W1959">
        <v>0.18378220000000001</v>
      </c>
      <c r="X1959">
        <v>0.96072780000000002</v>
      </c>
      <c r="Y1959">
        <v>-0.30034749999999999</v>
      </c>
      <c r="Z1959">
        <v>8.3207809999999993E-3</v>
      </c>
      <c r="AA1959">
        <v>0.95379349999999996</v>
      </c>
      <c r="AB1959">
        <v>50</v>
      </c>
      <c r="AC1959">
        <v>-9.6100999999999797</v>
      </c>
      <c r="AD1959">
        <v>-1.122377289628</v>
      </c>
      <c r="AE1959">
        <v>-5.8969999999999896</v>
      </c>
      <c r="AF1959">
        <v>-3.4372627364686101</v>
      </c>
      <c r="AG1959">
        <v>-1.122377289628</v>
      </c>
      <c r="AH1959">
        <v>10.6222104112742</v>
      </c>
      <c r="AI1959">
        <v>95.740707421111495</v>
      </c>
      <c r="AJ1959">
        <v>107.931168030292</v>
      </c>
      <c r="AK1959">
        <v>11.2207780443769</v>
      </c>
      <c r="AL1959">
        <v>79.4098592490664</v>
      </c>
      <c r="AM1959">
        <v>102.210949902953</v>
      </c>
      <c r="AN1959">
        <v>0.99999995671444397</v>
      </c>
    </row>
    <row r="1960" spans="1:40" x14ac:dyDescent="0.25">
      <c r="A1960" t="str">
        <f>"20190312164511051"</f>
        <v>20190312164511051</v>
      </c>
      <c r="B1960" t="str">
        <f>"1552380311043613"</f>
        <v>1552380311043613</v>
      </c>
      <c r="C1960" t="s">
        <v>40</v>
      </c>
      <c r="D1960">
        <v>4.8170129999999904</v>
      </c>
      <c r="E1960">
        <v>0.45826539999999999</v>
      </c>
      <c r="F1960" t="s">
        <v>46</v>
      </c>
      <c r="G1960">
        <v>-483.91399999999999</v>
      </c>
      <c r="H1960" s="1">
        <v>1.7054630000000001E-6</v>
      </c>
      <c r="I1960">
        <v>277.30779999999999</v>
      </c>
      <c r="J1960">
        <v>-474.36559999999997</v>
      </c>
      <c r="K1960">
        <v>1.122619</v>
      </c>
      <c r="L1960">
        <v>283.3021</v>
      </c>
      <c r="M1960">
        <v>-0.9693754</v>
      </c>
      <c r="N1960">
        <v>0</v>
      </c>
      <c r="O1960">
        <v>-0.24506230000000001</v>
      </c>
      <c r="P1960">
        <v>-0.88357399999999997</v>
      </c>
      <c r="Q1960">
        <v>0.17316329999999999</v>
      </c>
      <c r="R1960">
        <v>-0.43509949999999997</v>
      </c>
      <c r="S1960">
        <v>-2.6588129999999999</v>
      </c>
      <c r="T1960">
        <v>-0.30021789999999998</v>
      </c>
      <c r="U1960">
        <v>-1.6292420000000001</v>
      </c>
      <c r="V1960">
        <v>-0.2116992</v>
      </c>
      <c r="W1960">
        <v>0.18130499999999999</v>
      </c>
      <c r="X1960">
        <v>0.96037070000000002</v>
      </c>
      <c r="Y1960">
        <v>-0.29731360000000001</v>
      </c>
      <c r="Z1960">
        <v>9.3777789999999993E-3</v>
      </c>
      <c r="AA1960">
        <v>0.95473379999999997</v>
      </c>
      <c r="AB1960">
        <v>49</v>
      </c>
      <c r="AC1960">
        <v>-9.5484000000000098</v>
      </c>
      <c r="AD1960">
        <v>-1.1226172945370001</v>
      </c>
      <c r="AE1960">
        <v>-5.9943000000000097</v>
      </c>
      <c r="AF1960">
        <v>-3.4371378574765301</v>
      </c>
      <c r="AG1960">
        <v>-1.1226172945370001</v>
      </c>
      <c r="AH1960">
        <v>10.621022433066299</v>
      </c>
      <c r="AI1960">
        <v>95.742523910515501</v>
      </c>
      <c r="AJ1960">
        <v>107.93243542146</v>
      </c>
      <c r="AK1960">
        <v>11.2196391994124</v>
      </c>
      <c r="AL1960">
        <v>79.554218069259093</v>
      </c>
      <c r="AM1960">
        <v>102.431182847269</v>
      </c>
      <c r="AN1960">
        <v>0.99999996786206402</v>
      </c>
    </row>
    <row r="1961" spans="1:40" x14ac:dyDescent="0.25">
      <c r="A1961" t="str">
        <f>"20190312164511063"</f>
        <v>20190312164511063</v>
      </c>
      <c r="B1961" t="str">
        <f>"1552380311053370"</f>
        <v>1552380311053370</v>
      </c>
      <c r="C1961" t="s">
        <v>40</v>
      </c>
      <c r="D1961">
        <v>4.7897100000000004</v>
      </c>
      <c r="E1961">
        <v>0.45893600000000001</v>
      </c>
      <c r="F1961" t="s">
        <v>46</v>
      </c>
      <c r="G1961">
        <v>-483.97370000000001</v>
      </c>
      <c r="H1961" s="1">
        <v>1.70503899999999E-6</v>
      </c>
      <c r="I1961">
        <v>277.27530000000002</v>
      </c>
      <c r="J1961">
        <v>-474.63819999999998</v>
      </c>
      <c r="K1961">
        <v>1.1227780000000001</v>
      </c>
      <c r="L1961">
        <v>283.2321</v>
      </c>
      <c r="M1961">
        <v>-0.96758339999999998</v>
      </c>
      <c r="N1961">
        <v>0</v>
      </c>
      <c r="O1961">
        <v>-0.25204290000000001</v>
      </c>
      <c r="P1961">
        <v>-0.87976989999999999</v>
      </c>
      <c r="Q1961">
        <v>0.1718287</v>
      </c>
      <c r="R1961">
        <v>-0.44326090000000001</v>
      </c>
      <c r="S1961">
        <v>-2.6402589999999999</v>
      </c>
      <c r="T1961">
        <v>-0.30848989999999998</v>
      </c>
      <c r="U1961">
        <v>-1.6561279999999901</v>
      </c>
      <c r="V1961">
        <v>-0.21363950000000001</v>
      </c>
      <c r="W1961">
        <v>0.1798342</v>
      </c>
      <c r="X1961">
        <v>0.9602176</v>
      </c>
      <c r="Y1961">
        <v>-0.30042540000000001</v>
      </c>
      <c r="Z1961">
        <v>1.0196530000000001E-2</v>
      </c>
      <c r="AA1961">
        <v>0.95375080000000001</v>
      </c>
      <c r="AB1961">
        <v>49</v>
      </c>
      <c r="AC1961">
        <v>-9.3355000000000192</v>
      </c>
      <c r="AD1961">
        <v>-1.1227762949609901</v>
      </c>
      <c r="AE1961">
        <v>-5.9567999999999799</v>
      </c>
      <c r="AF1961">
        <v>-3.3764836682165398</v>
      </c>
      <c r="AG1961">
        <v>-1.1227762949609901</v>
      </c>
      <c r="AH1961">
        <v>10.428397819004701</v>
      </c>
      <c r="AI1961">
        <v>95.848414470826199</v>
      </c>
      <c r="AJ1961">
        <v>107.940801756212</v>
      </c>
      <c r="AK1961">
        <v>11.018745375117801</v>
      </c>
      <c r="AL1961">
        <v>79.639897501111605</v>
      </c>
      <c r="AM1961">
        <v>102.54346642723699</v>
      </c>
      <c r="AN1961">
        <v>1.0000000073998201</v>
      </c>
    </row>
    <row r="1962" spans="1:40" x14ac:dyDescent="0.25">
      <c r="A1962" t="str">
        <f>"20190312164511076"</f>
        <v>20190312164511076</v>
      </c>
      <c r="B1962" t="str">
        <f>"1552380311073866"</f>
        <v>1552380311073866</v>
      </c>
      <c r="C1962" t="s">
        <v>40</v>
      </c>
      <c r="D1962">
        <v>4.9795160000000003</v>
      </c>
      <c r="E1962">
        <v>0.45932070000000003</v>
      </c>
      <c r="F1962" t="s">
        <v>46</v>
      </c>
      <c r="G1962">
        <v>-483.98820000000001</v>
      </c>
      <c r="H1962" s="1">
        <v>1.706542E-6</v>
      </c>
      <c r="I1962">
        <v>277.27659999999997</v>
      </c>
      <c r="J1962">
        <v>-474.90140000000002</v>
      </c>
      <c r="K1962">
        <v>1.1229260000000001</v>
      </c>
      <c r="L1962">
        <v>283.16269999999997</v>
      </c>
      <c r="M1962">
        <v>-0.96578790000000003</v>
      </c>
      <c r="N1962">
        <v>0</v>
      </c>
      <c r="O1962">
        <v>-0.25883650000000002</v>
      </c>
      <c r="P1962">
        <v>-0.875942</v>
      </c>
      <c r="Q1962">
        <v>0.17028409999999999</v>
      </c>
      <c r="R1962">
        <v>-0.45136359999999998</v>
      </c>
      <c r="S1962">
        <v>-2.6281430000000001</v>
      </c>
      <c r="T1962">
        <v>-0.3155946</v>
      </c>
      <c r="U1962">
        <v>-1.6740109999999999</v>
      </c>
      <c r="V1962">
        <v>-0.21570059999999999</v>
      </c>
      <c r="W1962">
        <v>0.178152799999999</v>
      </c>
      <c r="X1962">
        <v>0.96007019999999998</v>
      </c>
      <c r="Y1962">
        <v>-0.30035079999999997</v>
      </c>
      <c r="Z1962">
        <v>1.1150429999999999E-2</v>
      </c>
      <c r="AA1962">
        <v>0.95376360000000004</v>
      </c>
      <c r="AB1962">
        <v>49</v>
      </c>
      <c r="AC1962">
        <v>-9.0867999999999807</v>
      </c>
      <c r="AD1962">
        <v>-1.1229242934579999</v>
      </c>
      <c r="AE1962">
        <v>-5.8860999999999901</v>
      </c>
      <c r="AF1962">
        <v>-3.2976826431283599</v>
      </c>
      <c r="AG1962">
        <v>-1.1229242934579999</v>
      </c>
      <c r="AH1962">
        <v>10.1911528917322</v>
      </c>
      <c r="AI1962">
        <v>95.984708252651799</v>
      </c>
      <c r="AJ1962">
        <v>107.93069314864501</v>
      </c>
      <c r="AK1962">
        <v>10.770109890167801</v>
      </c>
      <c r="AL1962">
        <v>79.737815700482003</v>
      </c>
      <c r="AM1962">
        <v>102.662478185579</v>
      </c>
      <c r="AN1962">
        <v>0.99999997895811898</v>
      </c>
    </row>
    <row r="1963" spans="1:40" x14ac:dyDescent="0.25">
      <c r="A1963" t="str">
        <f>"20190312164511091"</f>
        <v>20190312164511091</v>
      </c>
      <c r="B1963" t="str">
        <f>"1552380311083626"</f>
        <v>1552380311083626</v>
      </c>
      <c r="C1963" t="s">
        <v>40</v>
      </c>
      <c r="D1963">
        <v>4.8949999999999996</v>
      </c>
      <c r="E1963">
        <v>0.45936129999999997</v>
      </c>
      <c r="F1963" t="s">
        <v>46</v>
      </c>
      <c r="G1963">
        <v>-483.75580000000002</v>
      </c>
      <c r="H1963" s="1">
        <v>1.712382E-6</v>
      </c>
      <c r="I1963">
        <v>277.42680000000001</v>
      </c>
      <c r="J1963">
        <v>-475.2054</v>
      </c>
      <c r="K1963">
        <v>1.123089</v>
      </c>
      <c r="L1963">
        <v>283.08069999999998</v>
      </c>
      <c r="M1963">
        <v>-0.96363779999999999</v>
      </c>
      <c r="N1963">
        <v>0</v>
      </c>
      <c r="O1963">
        <v>-0.26672800000000002</v>
      </c>
      <c r="P1963">
        <v>-0.87150479999999997</v>
      </c>
      <c r="Q1963">
        <v>0.1688501</v>
      </c>
      <c r="R1963">
        <v>-0.4604008</v>
      </c>
      <c r="S1963">
        <v>-2.6161189999999999</v>
      </c>
      <c r="T1963">
        <v>-0.33177800000000002</v>
      </c>
      <c r="U1963">
        <v>-1.694733</v>
      </c>
      <c r="V1963">
        <v>-0.2177376</v>
      </c>
      <c r="W1963">
        <v>0.17657320000000001</v>
      </c>
      <c r="X1963">
        <v>0.95990220000000004</v>
      </c>
      <c r="Y1963">
        <v>-0.29989270000000001</v>
      </c>
      <c r="Z1963">
        <v>1.261254E-2</v>
      </c>
      <c r="AA1963">
        <v>0.95388949999999995</v>
      </c>
      <c r="AB1963">
        <v>49</v>
      </c>
      <c r="AC1963">
        <v>-8.5504000000000193</v>
      </c>
      <c r="AD1963">
        <v>-1.123087287618</v>
      </c>
      <c r="AE1963">
        <v>-5.6538999999999602</v>
      </c>
      <c r="AF1963">
        <v>-3.1305114829497298</v>
      </c>
      <c r="AG1963">
        <v>-1.123087287618</v>
      </c>
      <c r="AH1963">
        <v>9.6331655999634904</v>
      </c>
      <c r="AI1963">
        <v>96.326979500364004</v>
      </c>
      <c r="AJ1963">
        <v>108.00272344185299</v>
      </c>
      <c r="AK1963">
        <v>10.1911386349519</v>
      </c>
      <c r="AL1963">
        <v>79.829778314859894</v>
      </c>
      <c r="AM1963">
        <v>102.780312643768</v>
      </c>
      <c r="AN1963">
        <v>0.99999999548842</v>
      </c>
    </row>
    <row r="1964" spans="1:40" x14ac:dyDescent="0.25">
      <c r="A1964" t="str">
        <f>"20190312164511107"</f>
        <v>20190312164511107</v>
      </c>
      <c r="B1964" t="str">
        <f>"1552380311104124"</f>
        <v>1552380311104124</v>
      </c>
      <c r="C1964" t="s">
        <v>40</v>
      </c>
      <c r="D1964">
        <v>4.7396570000000002</v>
      </c>
      <c r="E1964">
        <v>0.46010089999999998</v>
      </c>
      <c r="F1964" t="s">
        <v>46</v>
      </c>
      <c r="G1964">
        <v>-483.77890000000002</v>
      </c>
      <c r="H1964" s="1">
        <v>1.7111729999999999E-6</v>
      </c>
      <c r="I1964">
        <v>277.40820000000002</v>
      </c>
      <c r="J1964">
        <v>-475.55020000000002</v>
      </c>
      <c r="K1964">
        <v>1.1232530000000001</v>
      </c>
      <c r="L1964">
        <v>282.98419999999999</v>
      </c>
      <c r="M1964">
        <v>-0.96108939999999998</v>
      </c>
      <c r="N1964">
        <v>0</v>
      </c>
      <c r="O1964">
        <v>-0.27576780000000001</v>
      </c>
      <c r="P1964">
        <v>-0.86572950000000004</v>
      </c>
      <c r="Q1964">
        <v>0.16529559999999999</v>
      </c>
      <c r="R1964">
        <v>-0.47242960000000001</v>
      </c>
      <c r="S1964">
        <v>-2.5996700000000001</v>
      </c>
      <c r="T1964">
        <v>-0.34054319999999999</v>
      </c>
      <c r="U1964">
        <v>-1.7200009999999999</v>
      </c>
      <c r="V1964">
        <v>-0.22179119999999999</v>
      </c>
      <c r="W1964">
        <v>0.1727909</v>
      </c>
      <c r="X1964">
        <v>0.95966240000000003</v>
      </c>
      <c r="Y1964">
        <v>-0.30019499999999999</v>
      </c>
      <c r="Z1964">
        <v>1.395338E-2</v>
      </c>
      <c r="AA1964">
        <v>0.95377579999999995</v>
      </c>
      <c r="AB1964">
        <v>49</v>
      </c>
      <c r="AC1964">
        <v>-8.2286999999999999</v>
      </c>
      <c r="AD1964">
        <v>-1.1232512888269901</v>
      </c>
      <c r="AE1964">
        <v>-5.5759999999999597</v>
      </c>
      <c r="AF1964">
        <v>-3.0512608038240701</v>
      </c>
      <c r="AG1964">
        <v>-1.1232512888269901</v>
      </c>
      <c r="AH1964">
        <v>9.3283023535786693</v>
      </c>
      <c r="AI1964">
        <v>96.5288869865809</v>
      </c>
      <c r="AJ1964">
        <v>108.112771459435</v>
      </c>
      <c r="AK1964">
        <v>9.8787200967830895</v>
      </c>
      <c r="AL1964">
        <v>80.049872067898306</v>
      </c>
      <c r="AM1964">
        <v>103.013358170407</v>
      </c>
      <c r="AN1964">
        <v>0.99999997674700403</v>
      </c>
    </row>
    <row r="1965" spans="1:40" x14ac:dyDescent="0.25">
      <c r="A1965" t="str">
        <f>"20190312164511130"</f>
        <v>20190312164511130</v>
      </c>
      <c r="B1965" t="str">
        <f>"1552380311123642"</f>
        <v>1552380311123642</v>
      </c>
      <c r="C1965" t="s">
        <v>40</v>
      </c>
      <c r="D1965">
        <v>4.7193559999999897</v>
      </c>
      <c r="E1965">
        <v>0.46101560000000003</v>
      </c>
      <c r="F1965" t="s">
        <v>46</v>
      </c>
      <c r="G1965">
        <v>-483.80799999999999</v>
      </c>
      <c r="H1965" s="1">
        <v>1.70909E-6</v>
      </c>
      <c r="I1965">
        <v>277.38170000000002</v>
      </c>
      <c r="J1965">
        <v>-476.01819999999998</v>
      </c>
      <c r="K1965">
        <v>1.123461</v>
      </c>
      <c r="L1965">
        <v>282.84780000000001</v>
      </c>
      <c r="M1965">
        <v>-0.95745179999999996</v>
      </c>
      <c r="N1965">
        <v>0</v>
      </c>
      <c r="O1965">
        <v>-0.28814149999999999</v>
      </c>
      <c r="P1965">
        <v>-0.85807140000000004</v>
      </c>
      <c r="Q1965">
        <v>0.1620896</v>
      </c>
      <c r="R1965">
        <v>-0.4872785</v>
      </c>
      <c r="S1965">
        <v>-2.5778810000000001</v>
      </c>
      <c r="T1965">
        <v>-0.35065049999999998</v>
      </c>
      <c r="U1965">
        <v>-1.7489319999999999</v>
      </c>
      <c r="V1965">
        <v>-0.2257662</v>
      </c>
      <c r="W1965">
        <v>0.1693345</v>
      </c>
      <c r="X1965">
        <v>0.95935159999999997</v>
      </c>
      <c r="Y1965">
        <v>-0.29902709999999999</v>
      </c>
      <c r="Z1965">
        <v>1.589192E-2</v>
      </c>
      <c r="AA1965">
        <v>0.95411230000000002</v>
      </c>
      <c r="AB1965">
        <v>49</v>
      </c>
      <c r="AC1965">
        <v>-7.7898000000000698</v>
      </c>
      <c r="AD1965">
        <v>-1.1234592909100001</v>
      </c>
      <c r="AE1965">
        <v>-5.4660999999999804</v>
      </c>
      <c r="AF1965">
        <v>-2.9482609465184799</v>
      </c>
      <c r="AG1965">
        <v>-1.1234592909100001</v>
      </c>
      <c r="AH1965">
        <v>8.9103579571356804</v>
      </c>
      <c r="AI1965">
        <v>96.825952112299106</v>
      </c>
      <c r="AJ1965">
        <v>108.30835665407101</v>
      </c>
      <c r="AK1965">
        <v>9.4524537719784298</v>
      </c>
      <c r="AL1965">
        <v>80.250872463477094</v>
      </c>
      <c r="AM1965">
        <v>103.24258045440099</v>
      </c>
      <c r="AN1965">
        <v>1.0000000211876201</v>
      </c>
    </row>
    <row r="1966" spans="1:40" x14ac:dyDescent="0.25">
      <c r="A1966" t="str">
        <f>"20190312164511151"</f>
        <v>20190312164511151</v>
      </c>
      <c r="B1966" t="str">
        <f>"1552380311143162"</f>
        <v>1552380311143162</v>
      </c>
      <c r="C1966" t="s">
        <v>40</v>
      </c>
      <c r="D1966">
        <v>4.6857579999999999</v>
      </c>
      <c r="E1966">
        <v>0.47132810000000003</v>
      </c>
      <c r="F1966" t="s">
        <v>46</v>
      </c>
      <c r="G1966">
        <v>-483.92149999999998</v>
      </c>
      <c r="H1966" s="1">
        <v>1.7075270000000001E-6</v>
      </c>
      <c r="I1966">
        <v>277.31569999999999</v>
      </c>
      <c r="J1966">
        <v>-476.4683</v>
      </c>
      <c r="K1966">
        <v>1.1236469999999901</v>
      </c>
      <c r="L1966">
        <v>282.7106</v>
      </c>
      <c r="M1966">
        <v>-0.95375560000000004</v>
      </c>
      <c r="N1966">
        <v>0</v>
      </c>
      <c r="O1966">
        <v>-0.30014809999999997</v>
      </c>
      <c r="P1966">
        <v>-0.85022770000000003</v>
      </c>
      <c r="Q1966">
        <v>0.16069620000000001</v>
      </c>
      <c r="R1966">
        <v>-0.50128809999999902</v>
      </c>
      <c r="S1966">
        <v>-2.5507810000000002</v>
      </c>
      <c r="T1966">
        <v>-0.36259789999999997</v>
      </c>
      <c r="U1966">
        <v>-1.7854920000000001</v>
      </c>
      <c r="V1966">
        <v>-0.22941320000000001</v>
      </c>
      <c r="W1966">
        <v>0.16770399999999999</v>
      </c>
      <c r="X1966">
        <v>0.95877259999999997</v>
      </c>
      <c r="Y1966">
        <v>-0.30102420000000002</v>
      </c>
      <c r="Z1966">
        <v>1.777776E-2</v>
      </c>
      <c r="AA1966">
        <v>0.95345080000000004</v>
      </c>
      <c r="AB1966">
        <v>49</v>
      </c>
      <c r="AC1966">
        <v>-7.4531999999999803</v>
      </c>
      <c r="AD1966">
        <v>-1.1236452924729901</v>
      </c>
      <c r="AE1966">
        <v>-5.3948999999999998</v>
      </c>
      <c r="AF1966">
        <v>-2.8659879954834002</v>
      </c>
      <c r="AG1966">
        <v>-1.1236452924729901</v>
      </c>
      <c r="AH1966">
        <v>8.6006674446995905</v>
      </c>
      <c r="AI1966">
        <v>97.065539436917206</v>
      </c>
      <c r="AJ1966">
        <v>108.429545697501</v>
      </c>
      <c r="AK1966">
        <v>9.1349847524704195</v>
      </c>
      <c r="AL1966">
        <v>80.345648229400496</v>
      </c>
      <c r="AM1966">
        <v>103.45661287762201</v>
      </c>
      <c r="AN1966">
        <v>0.99999997323049905</v>
      </c>
    </row>
    <row r="1967" spans="1:40" x14ac:dyDescent="0.25">
      <c r="A1967" t="str">
        <f>"20190312164511163"</f>
        <v>20190312164511163</v>
      </c>
      <c r="B1967" t="str">
        <f>"1552380311153899"</f>
        <v>1552380311153899</v>
      </c>
      <c r="C1967" t="s">
        <v>40</v>
      </c>
      <c r="D1967">
        <v>4.7333850000000002</v>
      </c>
      <c r="E1967">
        <v>0.47142390000000001</v>
      </c>
      <c r="F1967" t="s">
        <v>46</v>
      </c>
      <c r="G1967">
        <v>-485.3075</v>
      </c>
      <c r="H1967" s="1">
        <v>1.7130580000000001E-6</v>
      </c>
      <c r="I1967">
        <v>276.64909999999998</v>
      </c>
      <c r="J1967">
        <v>-476.7328</v>
      </c>
      <c r="K1967">
        <v>1.123753</v>
      </c>
      <c r="L1967">
        <v>282.62700000000001</v>
      </c>
      <c r="M1967">
        <v>-0.95149209999999995</v>
      </c>
      <c r="N1967">
        <v>0</v>
      </c>
      <c r="O1967">
        <v>-0.30724750000000001</v>
      </c>
      <c r="P1967">
        <v>-0.84549200000000002</v>
      </c>
      <c r="Q1967">
        <v>0.16068579999999999</v>
      </c>
      <c r="R1967">
        <v>-0.50923809999999903</v>
      </c>
      <c r="S1967">
        <v>-2.556305</v>
      </c>
      <c r="T1967">
        <v>-0.32496000000000003</v>
      </c>
      <c r="U1967">
        <v>-1.752991</v>
      </c>
      <c r="V1967">
        <v>-0.23130870000000001</v>
      </c>
      <c r="W1967">
        <v>0.1675644</v>
      </c>
      <c r="X1967">
        <v>0.95834149999999996</v>
      </c>
      <c r="Y1967">
        <v>-0.28483700000000001</v>
      </c>
      <c r="Z1967">
        <v>1.765427E-2</v>
      </c>
      <c r="AA1967">
        <v>0.95841339999999997</v>
      </c>
      <c r="AB1967">
        <v>49</v>
      </c>
      <c r="AC1967">
        <v>-8.5747</v>
      </c>
      <c r="AD1967">
        <v>-1.1237512869419899</v>
      </c>
      <c r="AE1967">
        <v>-5.9779000000000302</v>
      </c>
      <c r="AF1967">
        <v>-3.0188775245570501</v>
      </c>
      <c r="AG1967">
        <v>-1.1237512869419899</v>
      </c>
      <c r="AH1967">
        <v>9.8825418889997803</v>
      </c>
      <c r="AI1967">
        <v>96.206518695573095</v>
      </c>
      <c r="AJ1967">
        <v>106.986644468525</v>
      </c>
      <c r="AK1967">
        <v>10.394280766412599</v>
      </c>
      <c r="AL1967">
        <v>80.353761661091994</v>
      </c>
      <c r="AM1967">
        <v>103.569580726475</v>
      </c>
      <c r="AN1967">
        <v>0.99999998673265</v>
      </c>
    </row>
    <row r="1968" spans="1:40" x14ac:dyDescent="0.25">
      <c r="A1968" t="str">
        <f>"20190312164511177"</f>
        <v>20190312164511177</v>
      </c>
      <c r="B1968" t="str">
        <f>"1552380311173418"</f>
        <v>1552380311173418</v>
      </c>
      <c r="C1968" t="s">
        <v>40</v>
      </c>
      <c r="D1968">
        <v>4.7078009999999999</v>
      </c>
      <c r="E1968">
        <v>0.47249989999999997</v>
      </c>
      <c r="F1968" t="s">
        <v>46</v>
      </c>
      <c r="G1968">
        <v>-484.9889</v>
      </c>
      <c r="H1968" s="1">
        <v>1.721087E-6</v>
      </c>
      <c r="I1968">
        <v>276.85520000000002</v>
      </c>
      <c r="J1968">
        <v>-477.00040000000001</v>
      </c>
      <c r="K1968">
        <v>1.123856</v>
      </c>
      <c r="L1968">
        <v>282.54050000000001</v>
      </c>
      <c r="M1968">
        <v>-0.94913479999999995</v>
      </c>
      <c r="N1968">
        <v>0</v>
      </c>
      <c r="O1968">
        <v>-0.31445339999999999</v>
      </c>
      <c r="P1968">
        <v>-0.84066549999999995</v>
      </c>
      <c r="Q1968">
        <v>0.16067049999999999</v>
      </c>
      <c r="R1968">
        <v>-0.51717159999999995</v>
      </c>
      <c r="S1968">
        <v>-2.5431819999999998</v>
      </c>
      <c r="T1968">
        <v>-0.34615859999999998</v>
      </c>
      <c r="U1968">
        <v>-1.777954</v>
      </c>
      <c r="V1968">
        <v>-0.2331085</v>
      </c>
      <c r="W1968">
        <v>0.16742379999999901</v>
      </c>
      <c r="X1968">
        <v>0.9579299</v>
      </c>
      <c r="Y1968">
        <v>-0.28626079999999998</v>
      </c>
      <c r="Z1968">
        <v>1.9536890000000001E-2</v>
      </c>
      <c r="AA1968">
        <v>0.95795260000000004</v>
      </c>
      <c r="AB1968">
        <v>49</v>
      </c>
      <c r="AC1968">
        <v>-7.9884999999999797</v>
      </c>
      <c r="AD1968">
        <v>-1.1238542789129999</v>
      </c>
      <c r="AE1968">
        <v>-5.6852999999999803</v>
      </c>
      <c r="AF1968">
        <v>-2.8470790077972898</v>
      </c>
      <c r="AG1968">
        <v>-1.1238542789129999</v>
      </c>
      <c r="AH1968">
        <v>9.2496343476182208</v>
      </c>
      <c r="AI1968">
        <v>96.623857631335099</v>
      </c>
      <c r="AJ1968">
        <v>107.10860059847001</v>
      </c>
      <c r="AK1968">
        <v>9.74292783928475</v>
      </c>
      <c r="AL1968">
        <v>80.361932986251603</v>
      </c>
      <c r="AM1968">
        <v>103.676870753416</v>
      </c>
      <c r="AN1968">
        <v>0.99999999744634904</v>
      </c>
    </row>
    <row r="1969" spans="1:40" x14ac:dyDescent="0.25">
      <c r="A1969" t="str">
        <f>"20190312164511190"</f>
        <v>20190312164511190</v>
      </c>
      <c r="B1969" t="str">
        <f>"1552380311183178"</f>
        <v>1552380311183178</v>
      </c>
      <c r="C1969" t="s">
        <v>40</v>
      </c>
      <c r="D1969">
        <v>4.6899300000000004</v>
      </c>
      <c r="E1969">
        <v>0.4733386</v>
      </c>
      <c r="F1969" t="s">
        <v>46</v>
      </c>
      <c r="G1969">
        <v>-485.12990000000002</v>
      </c>
      <c r="H1969" s="1">
        <v>1.7192040000000001E-6</v>
      </c>
      <c r="I1969">
        <v>276.77350000000001</v>
      </c>
      <c r="J1969">
        <v>-477.26150000000001</v>
      </c>
      <c r="K1969">
        <v>1.123956</v>
      </c>
      <c r="L1969">
        <v>282.4545</v>
      </c>
      <c r="M1969">
        <v>-0.94677160000000005</v>
      </c>
      <c r="N1969">
        <v>0</v>
      </c>
      <c r="O1969">
        <v>-0.32149870000000003</v>
      </c>
      <c r="P1969">
        <v>-0.83586389999999999</v>
      </c>
      <c r="Q1969">
        <v>0.16027549999999999</v>
      </c>
      <c r="R1969">
        <v>-0.52501779999999998</v>
      </c>
      <c r="S1969">
        <v>-2.5309140000000001</v>
      </c>
      <c r="T1969">
        <v>-0.34988570000000002</v>
      </c>
      <c r="U1969">
        <v>-1.79541</v>
      </c>
      <c r="V1969">
        <v>-0.23496349999999999</v>
      </c>
      <c r="W1969">
        <v>0.166903</v>
      </c>
      <c r="X1969">
        <v>0.95756750000000002</v>
      </c>
      <c r="Y1969">
        <v>-0.28577160000000001</v>
      </c>
      <c r="Z1969">
        <v>2.0603650000000001E-2</v>
      </c>
      <c r="AA1969">
        <v>0.95807620000000004</v>
      </c>
      <c r="AB1969">
        <v>49</v>
      </c>
      <c r="AC1969">
        <v>-7.8684000000000003</v>
      </c>
      <c r="AD1969">
        <v>-1.1239542807959999</v>
      </c>
      <c r="AE1969">
        <v>-5.6809999999999796</v>
      </c>
      <c r="AF1969">
        <v>-2.8115917599854798</v>
      </c>
      <c r="AG1969">
        <v>-1.1239542807959999</v>
      </c>
      <c r="AH1969">
        <v>9.1544427585685995</v>
      </c>
      <c r="AI1969">
        <v>96.693962883281998</v>
      </c>
      <c r="AJ1969">
        <v>107.07322284116201</v>
      </c>
      <c r="AK1969">
        <v>9.6422063693973605</v>
      </c>
      <c r="AL1969">
        <v>80.3921983908958</v>
      </c>
      <c r="AM1969">
        <v>103.786589329389</v>
      </c>
      <c r="AN1969">
        <v>0.99999998739874996</v>
      </c>
    </row>
    <row r="1970" spans="1:40" x14ac:dyDescent="0.25">
      <c r="A1970" t="str">
        <f>"20190312164511201"</f>
        <v>20190312164511201</v>
      </c>
      <c r="B1970" t="str">
        <f>"1552380311193914"</f>
        <v>1552380311193914</v>
      </c>
      <c r="C1970" t="s">
        <v>40</v>
      </c>
      <c r="D1970">
        <v>4.920706</v>
      </c>
      <c r="E1970">
        <v>0.47420230000000002</v>
      </c>
      <c r="F1970" t="s">
        <v>46</v>
      </c>
      <c r="G1970">
        <v>-485.22370000000001</v>
      </c>
      <c r="H1970" s="1">
        <v>1.7181530000000001E-6</v>
      </c>
      <c r="I1970">
        <v>276.72030000000001</v>
      </c>
      <c r="J1970">
        <v>-477.5138</v>
      </c>
      <c r="K1970">
        <v>1.124044</v>
      </c>
      <c r="L1970">
        <v>282.36860000000001</v>
      </c>
      <c r="M1970">
        <v>-0.94441569999999997</v>
      </c>
      <c r="N1970">
        <v>0</v>
      </c>
      <c r="O1970">
        <v>-0.32835370000000003</v>
      </c>
      <c r="P1970">
        <v>-0.83110949999999995</v>
      </c>
      <c r="Q1970">
        <v>0.16007299999999999</v>
      </c>
      <c r="R1970">
        <v>-0.53257310000000002</v>
      </c>
      <c r="S1970">
        <v>-2.5181580000000001</v>
      </c>
      <c r="T1970">
        <v>-0.35546709999999998</v>
      </c>
      <c r="U1970">
        <v>-1.8135380000000001</v>
      </c>
      <c r="V1970">
        <v>-0.23672499999999999</v>
      </c>
      <c r="W1970">
        <v>0.1665799</v>
      </c>
      <c r="X1970">
        <v>0.95718990000000004</v>
      </c>
      <c r="Y1970">
        <v>-0.28571299999999999</v>
      </c>
      <c r="Z1970">
        <v>2.1753649999999999E-2</v>
      </c>
      <c r="AA1970">
        <v>0.95806829999999998</v>
      </c>
      <c r="AB1970">
        <v>49</v>
      </c>
      <c r="AC1970">
        <v>-7.7099000000000002</v>
      </c>
      <c r="AD1970">
        <v>-1.1240422818469999</v>
      </c>
      <c r="AE1970">
        <v>-5.6482999999999999</v>
      </c>
      <c r="AF1970">
        <v>-2.7648941434043599</v>
      </c>
      <c r="AG1970">
        <v>-1.1240422818469999</v>
      </c>
      <c r="AH1970">
        <v>9.01253275677856</v>
      </c>
      <c r="AI1970">
        <v>96.799565999673206</v>
      </c>
      <c r="AJ1970">
        <v>107.05513662448401</v>
      </c>
      <c r="AK1970">
        <v>9.4938852619787895</v>
      </c>
      <c r="AL1970">
        <v>80.410974070668203</v>
      </c>
      <c r="AM1970">
        <v>103.89122592618899</v>
      </c>
      <c r="AN1970">
        <v>1.0000000466854999</v>
      </c>
    </row>
    <row r="1971" spans="1:40" x14ac:dyDescent="0.25">
      <c r="A1971" t="str">
        <f>"20190312164511214"</f>
        <v>20190312164511214</v>
      </c>
      <c r="B1971" t="str">
        <f>"1552380311203675"</f>
        <v>1552380311203675</v>
      </c>
      <c r="C1971" t="s">
        <v>40</v>
      </c>
      <c r="D1971">
        <v>4.7018959999999996</v>
      </c>
      <c r="E1971">
        <v>0.47433599999999998</v>
      </c>
      <c r="F1971" t="s">
        <v>46</v>
      </c>
      <c r="G1971">
        <v>-485.47030000000001</v>
      </c>
      <c r="H1971" s="1">
        <v>1.7108049999999999E-6</v>
      </c>
      <c r="I1971">
        <v>276.55439999999999</v>
      </c>
      <c r="J1971">
        <v>-477.76119999999997</v>
      </c>
      <c r="K1971">
        <v>1.1241289999999999</v>
      </c>
      <c r="L1971">
        <v>282.28289999999998</v>
      </c>
      <c r="M1971">
        <v>-0.9420463</v>
      </c>
      <c r="N1971">
        <v>0</v>
      </c>
      <c r="O1971">
        <v>-0.33509050000000001</v>
      </c>
      <c r="P1971">
        <v>-0.82642680000000002</v>
      </c>
      <c r="Q1971">
        <v>0.1595095</v>
      </c>
      <c r="R1971">
        <v>-0.53997759999999995</v>
      </c>
      <c r="S1971">
        <v>-2.504883</v>
      </c>
      <c r="T1971">
        <v>-0.35387269999999998</v>
      </c>
      <c r="U1971">
        <v>-1.830444</v>
      </c>
      <c r="V1971">
        <v>-0.2384252</v>
      </c>
      <c r="W1971">
        <v>0.16589999999999999</v>
      </c>
      <c r="X1971">
        <v>0.95688589999999996</v>
      </c>
      <c r="Y1971">
        <v>-0.28553889999999998</v>
      </c>
      <c r="Z1971">
        <v>2.2477069999999998E-2</v>
      </c>
      <c r="AA1971">
        <v>0.9581035</v>
      </c>
      <c r="AB1971">
        <v>49</v>
      </c>
      <c r="AC1971">
        <v>-7.7091000000000296</v>
      </c>
      <c r="AD1971">
        <v>-1.1241272891949901</v>
      </c>
      <c r="AE1971">
        <v>-5.7284999999999897</v>
      </c>
      <c r="AF1971">
        <v>-2.7756135681508098</v>
      </c>
      <c r="AG1971">
        <v>-1.1241272891949901</v>
      </c>
      <c r="AH1971">
        <v>9.0590054421368897</v>
      </c>
      <c r="AI1971">
        <v>96.766248797474105</v>
      </c>
      <c r="AJ1971">
        <v>107.03468456233701</v>
      </c>
      <c r="AK1971">
        <v>9.5411358046451493</v>
      </c>
      <c r="AL1971">
        <v>80.450478776508305</v>
      </c>
      <c r="AM1971">
        <v>103.991360499321</v>
      </c>
      <c r="AN1971">
        <v>1.0000000058069201</v>
      </c>
    </row>
    <row r="1972" spans="1:40" x14ac:dyDescent="0.25">
      <c r="A1972" t="str">
        <f>"20190312164511226"</f>
        <v>20190312164511226</v>
      </c>
      <c r="B1972" t="str">
        <f>"1552380311223195"</f>
        <v>1552380311223195</v>
      </c>
      <c r="C1972" t="s">
        <v>40</v>
      </c>
      <c r="D1972">
        <v>4.7052100000000001</v>
      </c>
      <c r="E1972">
        <v>0.47304600000000002</v>
      </c>
      <c r="F1972" t="s">
        <v>46</v>
      </c>
      <c r="G1972">
        <v>-485.81299999999999</v>
      </c>
      <c r="H1972" s="1">
        <v>1.6952939999999999E-6</v>
      </c>
      <c r="I1972">
        <v>276.2937</v>
      </c>
      <c r="J1972">
        <v>-478.00830000000002</v>
      </c>
      <c r="K1972">
        <v>1.1242129999999999</v>
      </c>
      <c r="L1972">
        <v>282.19549999999998</v>
      </c>
      <c r="M1972">
        <v>-0.93961850000000002</v>
      </c>
      <c r="N1972">
        <v>0</v>
      </c>
      <c r="O1972">
        <v>-0.3418387</v>
      </c>
      <c r="P1972">
        <v>-0.82174029999999998</v>
      </c>
      <c r="Q1972">
        <v>0.1588272</v>
      </c>
      <c r="R1972">
        <v>-0.54728160000000003</v>
      </c>
      <c r="S1972">
        <v>-2.487946</v>
      </c>
      <c r="T1972">
        <v>-0.34734540000000003</v>
      </c>
      <c r="U1972">
        <v>-1.850616</v>
      </c>
      <c r="V1972">
        <v>-0.24001320000000001</v>
      </c>
      <c r="W1972">
        <v>0.1651067</v>
      </c>
      <c r="X1972">
        <v>0.95662610000000003</v>
      </c>
      <c r="Y1972">
        <v>-0.28680670000000003</v>
      </c>
      <c r="Z1972">
        <v>2.2798769999999999E-2</v>
      </c>
      <c r="AA1972">
        <v>0.95771709999999999</v>
      </c>
      <c r="AB1972">
        <v>49</v>
      </c>
      <c r="AC1972">
        <v>-7.80470000000002</v>
      </c>
      <c r="AD1972">
        <v>-1.1242113047059901</v>
      </c>
      <c r="AE1972">
        <v>-5.9017999999999802</v>
      </c>
      <c r="AF1972">
        <v>-2.8403773207484502</v>
      </c>
      <c r="AG1972">
        <v>-1.1242113047059901</v>
      </c>
      <c r="AH1972">
        <v>9.2302937498074797</v>
      </c>
      <c r="AI1972">
        <v>96.639852985141303</v>
      </c>
      <c r="AJ1972">
        <v>107.104356029253</v>
      </c>
      <c r="AK1972">
        <v>9.7226496948921302</v>
      </c>
      <c r="AL1972">
        <v>80.496567315327894</v>
      </c>
      <c r="AM1972">
        <v>104.084524434713</v>
      </c>
      <c r="AN1972">
        <v>1.0000000268801601</v>
      </c>
    </row>
    <row r="1973" spans="1:40" x14ac:dyDescent="0.25">
      <c r="A1973" t="str">
        <f>"20190312164511240"</f>
        <v>20190312164511240</v>
      </c>
      <c r="B1973" t="str">
        <f>"1552380311233931"</f>
        <v>1552380311233931</v>
      </c>
      <c r="C1973" t="s">
        <v>40</v>
      </c>
      <c r="D1973">
        <v>4.7005699999999999</v>
      </c>
      <c r="E1973">
        <v>0.43767089999999997</v>
      </c>
      <c r="F1973" t="s">
        <v>46</v>
      </c>
      <c r="G1973">
        <v>-486.02260000000001</v>
      </c>
      <c r="H1973" s="1">
        <v>1.6767939999999901E-6</v>
      </c>
      <c r="I1973">
        <v>276.0831</v>
      </c>
      <c r="J1973">
        <v>-478.31020000000001</v>
      </c>
      <c r="K1973">
        <v>1.1243099999999999</v>
      </c>
      <c r="L1973">
        <v>282.0856</v>
      </c>
      <c r="M1973">
        <v>-0.93656030000000001</v>
      </c>
      <c r="N1973">
        <v>0</v>
      </c>
      <c r="O1973">
        <v>-0.35013060000000001</v>
      </c>
      <c r="P1973">
        <v>-0.81556509999999904</v>
      </c>
      <c r="Q1973">
        <v>0.15754219999999999</v>
      </c>
      <c r="R1973">
        <v>-0.55680779999999996</v>
      </c>
      <c r="S1973">
        <v>-2.465363</v>
      </c>
      <c r="T1973">
        <v>-0.34583130000000001</v>
      </c>
      <c r="U1973">
        <v>-1.8803099999999999</v>
      </c>
      <c r="V1973">
        <v>-0.24260290000000001</v>
      </c>
      <c r="W1973">
        <v>0.16365950000000001</v>
      </c>
      <c r="X1973">
        <v>0.95622149999999995</v>
      </c>
      <c r="Y1973">
        <v>-0.28988599999999998</v>
      </c>
      <c r="Z1973">
        <v>2.3501419999999999E-2</v>
      </c>
      <c r="AA1973">
        <v>0.95677259999999997</v>
      </c>
      <c r="AB1973">
        <v>49</v>
      </c>
      <c r="AC1973">
        <v>-7.7123999999999997</v>
      </c>
      <c r="AD1973">
        <v>-1.124308323206</v>
      </c>
      <c r="AE1973">
        <v>-6.0024999999999897</v>
      </c>
      <c r="AF1973">
        <v>-2.8835772059072098</v>
      </c>
      <c r="AG1973">
        <v>-1.124308323206</v>
      </c>
      <c r="AH1973">
        <v>9.2041991459845001</v>
      </c>
      <c r="AI1973">
        <v>96.648683895564403</v>
      </c>
      <c r="AJ1973">
        <v>107.395216041372</v>
      </c>
      <c r="AK1973">
        <v>9.7106317316125104</v>
      </c>
      <c r="AL1973">
        <v>80.580629790790596</v>
      </c>
      <c r="AM1973">
        <v>104.236128350828</v>
      </c>
      <c r="AN1973">
        <v>1.0000000780454501</v>
      </c>
    </row>
    <row r="1974" spans="1:40" x14ac:dyDescent="0.25">
      <c r="A1974" t="str">
        <f>"20190312164511253"</f>
        <v>20190312164511253</v>
      </c>
      <c r="B1974" t="str">
        <f>"1552380311243691"</f>
        <v>1552380311243691</v>
      </c>
      <c r="C1974" t="s">
        <v>40</v>
      </c>
      <c r="D1974">
        <v>4.5859389999999998</v>
      </c>
      <c r="E1974">
        <v>0.43697170000000002</v>
      </c>
      <c r="F1974" t="s">
        <v>46</v>
      </c>
      <c r="G1974">
        <v>-485.18389999999999</v>
      </c>
      <c r="H1974" s="1">
        <v>1.523879E-6</v>
      </c>
      <c r="I1974">
        <v>275.63720000000001</v>
      </c>
      <c r="J1974">
        <v>-478.56299999999999</v>
      </c>
      <c r="K1974">
        <v>1.1243879999999999</v>
      </c>
      <c r="L1974">
        <v>281.99160000000001</v>
      </c>
      <c r="M1974">
        <v>-0.93392600000000003</v>
      </c>
      <c r="N1974">
        <v>0</v>
      </c>
      <c r="O1974">
        <v>-0.35709669999999999</v>
      </c>
      <c r="P1974">
        <v>-0.81086800000000003</v>
      </c>
      <c r="Q1974">
        <v>0.1566573</v>
      </c>
      <c r="R1974">
        <v>-0.56387200000000004</v>
      </c>
      <c r="S1974">
        <v>-2.286346</v>
      </c>
      <c r="T1974">
        <v>-0.373971</v>
      </c>
      <c r="U1974">
        <v>-2.1448670000000001</v>
      </c>
      <c r="V1974">
        <v>-0.24373139999999999</v>
      </c>
      <c r="W1974">
        <v>0.162683299999999</v>
      </c>
      <c r="X1974">
        <v>0.95610099999999998</v>
      </c>
      <c r="Y1974">
        <v>-0.37836399999999998</v>
      </c>
      <c r="Z1974">
        <v>2.0630900000000001E-2</v>
      </c>
      <c r="AA1974">
        <v>0.925427</v>
      </c>
      <c r="AB1974">
        <v>49</v>
      </c>
      <c r="AC1974">
        <v>-6.6208999999999403</v>
      </c>
      <c r="AD1974">
        <v>-1.1243864761209901</v>
      </c>
      <c r="AE1974">
        <v>-6.3543999999999903</v>
      </c>
      <c r="AF1974">
        <v>-3.5178982498788698</v>
      </c>
      <c r="AG1974">
        <v>-1.1243864761209901</v>
      </c>
      <c r="AH1974">
        <v>8.3286515516349695</v>
      </c>
      <c r="AI1974">
        <v>97.089104682324901</v>
      </c>
      <c r="AJ1974">
        <v>112.898471046365</v>
      </c>
      <c r="AK1974">
        <v>9.1107787654369208</v>
      </c>
      <c r="AL1974">
        <v>80.637320867242593</v>
      </c>
      <c r="AM1974">
        <v>104.30136798490901</v>
      </c>
      <c r="AN1974">
        <v>0.99999998682292401</v>
      </c>
    </row>
    <row r="1975" spans="1:40" x14ac:dyDescent="0.25">
      <c r="A1975" t="str">
        <f>"20190312164511266"</f>
        <v>20190312164511266</v>
      </c>
      <c r="B1975" t="str">
        <f>"1552380311253451"</f>
        <v>1552380311253451</v>
      </c>
      <c r="C1975" t="s">
        <v>40</v>
      </c>
      <c r="D1975">
        <v>4.6757819999999999</v>
      </c>
      <c r="E1975">
        <v>0.43673070000000003</v>
      </c>
      <c r="F1975" t="s">
        <v>41</v>
      </c>
      <c r="G1975">
        <v>-479.38650000000001</v>
      </c>
      <c r="H1975">
        <v>0.99015489999999995</v>
      </c>
      <c r="I1975">
        <v>281.20209999999997</v>
      </c>
      <c r="J1975">
        <v>-478.8159</v>
      </c>
      <c r="K1975">
        <v>1.124468</v>
      </c>
      <c r="L1975">
        <v>281.8956</v>
      </c>
      <c r="M1975">
        <v>-0.93122020000000005</v>
      </c>
      <c r="N1975">
        <v>0</v>
      </c>
      <c r="O1975">
        <v>-0.36409399999999997</v>
      </c>
      <c r="P1975">
        <v>-0.80622700000000003</v>
      </c>
      <c r="Q1975">
        <v>0.15524760000000001</v>
      </c>
      <c r="R1975">
        <v>-0.57087349999999903</v>
      </c>
      <c r="S1975">
        <v>-2.2623899999999999</v>
      </c>
      <c r="T1975">
        <v>-0.368757</v>
      </c>
      <c r="U1975">
        <v>-2.1694339999999999</v>
      </c>
      <c r="V1975">
        <v>-0.24472079999999999</v>
      </c>
      <c r="W1975">
        <v>0.16118979999999999</v>
      </c>
      <c r="X1975">
        <v>0.95610119999999998</v>
      </c>
      <c r="Y1975">
        <v>-0.3815731</v>
      </c>
      <c r="Z1975">
        <v>2.1033900000000001E-2</v>
      </c>
      <c r="AA1975">
        <v>0.92409929999999996</v>
      </c>
      <c r="AB1975">
        <v>49</v>
      </c>
      <c r="AC1975">
        <v>-0.57060000000001299</v>
      </c>
      <c r="AD1975">
        <v>-0.13431309999999899</v>
      </c>
      <c r="AE1975">
        <v>-0.69350000000002798</v>
      </c>
      <c r="AF1975">
        <v>-0.42852213338120598</v>
      </c>
      <c r="AG1975">
        <v>-0.13431309999999899</v>
      </c>
      <c r="AH1975">
        <v>0.76680557233369295</v>
      </c>
      <c r="AI1975">
        <v>98.693366779100899</v>
      </c>
      <c r="AJ1975">
        <v>119.198234052277</v>
      </c>
      <c r="AK1975">
        <v>0.888629289068953</v>
      </c>
      <c r="AL1975">
        <v>80.724036448964696</v>
      </c>
      <c r="AM1975">
        <v>104.35702462306401</v>
      </c>
      <c r="AN1975">
        <v>0.99999996310905903</v>
      </c>
    </row>
    <row r="1976" spans="1:40" x14ac:dyDescent="0.25">
      <c r="A1976" t="str">
        <f>"20190312164511278"</f>
        <v>20190312164511278</v>
      </c>
      <c r="B1976" t="str">
        <f>"1552380311273947"</f>
        <v>1552380311273947</v>
      </c>
      <c r="C1976" t="s">
        <v>40</v>
      </c>
      <c r="D1976">
        <v>4.6779229999999998</v>
      </c>
      <c r="E1976">
        <v>0.43492360000000002</v>
      </c>
      <c r="F1976" t="s">
        <v>46</v>
      </c>
      <c r="G1976">
        <v>-485.66050000000001</v>
      </c>
      <c r="H1976" s="1">
        <v>1.4907439999999999E-6</v>
      </c>
      <c r="I1976">
        <v>275.209</v>
      </c>
      <c r="J1976">
        <v>-479.05810000000002</v>
      </c>
      <c r="K1976">
        <v>1.1245449999999999</v>
      </c>
      <c r="L1976">
        <v>281.80110000000002</v>
      </c>
      <c r="M1976">
        <v>-0.92855540000000003</v>
      </c>
      <c r="N1976">
        <v>0</v>
      </c>
      <c r="O1976">
        <v>-0.37083729999999998</v>
      </c>
      <c r="P1976">
        <v>-0.80156039999999995</v>
      </c>
      <c r="Q1976">
        <v>0.15427969999999999</v>
      </c>
      <c r="R1976">
        <v>-0.57766680000000004</v>
      </c>
      <c r="S1976">
        <v>-2.2414550000000002</v>
      </c>
      <c r="T1976">
        <v>-0.3682376</v>
      </c>
      <c r="U1976">
        <v>-2.1896969999999998</v>
      </c>
      <c r="V1976">
        <v>-0.24579680000000001</v>
      </c>
      <c r="W1976">
        <v>0.1601369</v>
      </c>
      <c r="X1976">
        <v>0.95600209999999997</v>
      </c>
      <c r="Y1976">
        <v>-0.38348399999999999</v>
      </c>
      <c r="Z1976">
        <v>2.1744909999999999E-2</v>
      </c>
      <c r="AA1976">
        <v>0.92329150000000004</v>
      </c>
      <c r="AB1976">
        <v>49</v>
      </c>
      <c r="AC1976">
        <v>-6.6023999999999798</v>
      </c>
      <c r="AD1976">
        <v>-1.1245435092560001</v>
      </c>
      <c r="AE1976">
        <v>-6.5921000000000101</v>
      </c>
      <c r="AF1976">
        <v>-3.6206008521551301</v>
      </c>
      <c r="AG1976">
        <v>-1.1245435092560001</v>
      </c>
      <c r="AH1976">
        <v>8.4536138981138702</v>
      </c>
      <c r="AI1976">
        <v>96.971624332100603</v>
      </c>
      <c r="AJ1976">
        <v>113.18498119716099</v>
      </c>
      <c r="AK1976">
        <v>9.26482253328256</v>
      </c>
      <c r="AL1976">
        <v>80.785157103111601</v>
      </c>
      <c r="AM1976">
        <v>104.41895670699699</v>
      </c>
      <c r="AN1976">
        <v>0.99999995441812894</v>
      </c>
    </row>
    <row r="1977" spans="1:40" x14ac:dyDescent="0.25">
      <c r="A1977" t="str">
        <f>"20190312164511292"</f>
        <v>20190312164511292</v>
      </c>
      <c r="B1977" t="str">
        <f>"1552380311283706"</f>
        <v>1552380311283706</v>
      </c>
      <c r="C1977" t="s">
        <v>40</v>
      </c>
      <c r="D1977">
        <v>4.8439809999999897</v>
      </c>
      <c r="E1977">
        <v>0.4362492</v>
      </c>
      <c r="F1977" t="s">
        <v>41</v>
      </c>
      <c r="G1977">
        <v>-479.85469999999998</v>
      </c>
      <c r="H1977">
        <v>0.99144270000000001</v>
      </c>
      <c r="I1977">
        <v>281.0025</v>
      </c>
      <c r="J1977">
        <v>-479.34070000000003</v>
      </c>
      <c r="K1977">
        <v>1.12463</v>
      </c>
      <c r="L1977">
        <v>281.6891</v>
      </c>
      <c r="M1977">
        <v>-0.92536669999999999</v>
      </c>
      <c r="N1977">
        <v>0</v>
      </c>
      <c r="O1977">
        <v>-0.37872270000000002</v>
      </c>
      <c r="P1977">
        <v>-0.79614189999999996</v>
      </c>
      <c r="Q1977">
        <v>0.15380289999999999</v>
      </c>
      <c r="R1977">
        <v>-0.58523719999999901</v>
      </c>
      <c r="S1977">
        <v>-2.2141109999999999</v>
      </c>
      <c r="T1977">
        <v>-0.36994959999999999</v>
      </c>
      <c r="U1977">
        <v>-2.2198180000000001</v>
      </c>
      <c r="V1977">
        <v>-0.24671109999999999</v>
      </c>
      <c r="W1977">
        <v>0.15957589999999999</v>
      </c>
      <c r="X1977">
        <v>0.95586040000000005</v>
      </c>
      <c r="Y1977">
        <v>-0.38761519999999999</v>
      </c>
      <c r="Z1977">
        <v>2.2581049999999998E-2</v>
      </c>
      <c r="AA1977">
        <v>0.92154469999999999</v>
      </c>
      <c r="AB1977">
        <v>49</v>
      </c>
      <c r="AC1977">
        <v>-0.51399999999995305</v>
      </c>
      <c r="AD1977">
        <v>-0.13318729999999901</v>
      </c>
      <c r="AE1977">
        <v>-0.68659999999999799</v>
      </c>
      <c r="AF1977">
        <v>-0.43037367975736102</v>
      </c>
      <c r="AG1977">
        <v>-0.13318729999999901</v>
      </c>
      <c r="AH1977">
        <v>0.71844246164773395</v>
      </c>
      <c r="AI1977">
        <v>99.036216889703198</v>
      </c>
      <c r="AJ1977">
        <v>120.92317251682999</v>
      </c>
      <c r="AK1977">
        <v>0.84800939370247397</v>
      </c>
      <c r="AL1977">
        <v>80.817718911081897</v>
      </c>
      <c r="AM1977">
        <v>104.47239863764599</v>
      </c>
      <c r="AN1977">
        <v>0.99999996950608905</v>
      </c>
    </row>
    <row r="1978" spans="1:40" x14ac:dyDescent="0.25">
      <c r="A1978" t="str">
        <f>"20190312164511307"</f>
        <v>20190312164511307</v>
      </c>
      <c r="B1978" t="str">
        <f>"1552380311303227"</f>
        <v>1552380311303227</v>
      </c>
      <c r="C1978" t="s">
        <v>40</v>
      </c>
      <c r="D1978">
        <v>4.622465</v>
      </c>
      <c r="E1978">
        <v>0.4382838</v>
      </c>
      <c r="F1978" t="s">
        <v>46</v>
      </c>
      <c r="G1978">
        <v>-486.03120000000001</v>
      </c>
      <c r="H1978" s="1">
        <v>1.468553E-6</v>
      </c>
      <c r="I1978">
        <v>274.89640000000003</v>
      </c>
      <c r="J1978">
        <v>-479.62970000000001</v>
      </c>
      <c r="K1978">
        <v>1.124725</v>
      </c>
      <c r="L1978">
        <v>281.57139999999998</v>
      </c>
      <c r="M1978">
        <v>-0.92200499999999996</v>
      </c>
      <c r="N1978">
        <v>0</v>
      </c>
      <c r="O1978">
        <v>-0.38683489999999998</v>
      </c>
      <c r="P1978">
        <v>-0.79075359999999995</v>
      </c>
      <c r="Q1978">
        <v>0.1536111</v>
      </c>
      <c r="R1978">
        <v>-0.59254770000000001</v>
      </c>
      <c r="S1978">
        <v>-2.1986690000000002</v>
      </c>
      <c r="T1978">
        <v>-0.36958400000000002</v>
      </c>
      <c r="U1978">
        <v>-2.2322690000000001</v>
      </c>
      <c r="V1978">
        <v>-0.24714069999999999</v>
      </c>
      <c r="W1978">
        <v>0.15932070000000001</v>
      </c>
      <c r="X1978">
        <v>0.95579199999999997</v>
      </c>
      <c r="Y1978">
        <v>-0.38538119999999998</v>
      </c>
      <c r="Z1978">
        <v>2.3742180000000002E-2</v>
      </c>
      <c r="AA1978">
        <v>0.92245200000000005</v>
      </c>
      <c r="AB1978">
        <v>49</v>
      </c>
      <c r="AC1978">
        <v>-6.4014999999999898</v>
      </c>
      <c r="AD1978">
        <v>-1.1247235314470001</v>
      </c>
      <c r="AE1978">
        <v>-6.6749999999999501</v>
      </c>
      <c r="AF1978">
        <v>-3.6249377850234699</v>
      </c>
      <c r="AG1978">
        <v>-1.1247235314470001</v>
      </c>
      <c r="AH1978">
        <v>8.3617992242951509</v>
      </c>
      <c r="AI1978">
        <v>97.035297413311298</v>
      </c>
      <c r="AJ1978">
        <v>113.437296195485</v>
      </c>
      <c r="AK1978">
        <v>9.1828570300808003</v>
      </c>
      <c r="AL1978">
        <v>80.832530376324101</v>
      </c>
      <c r="AM1978">
        <v>104.49753230397501</v>
      </c>
      <c r="AN1978">
        <v>0.99999997915448902</v>
      </c>
    </row>
    <row r="1979" spans="1:40" x14ac:dyDescent="0.25">
      <c r="A1979" t="str">
        <f>"20190312164511321"</f>
        <v>20190312164511321</v>
      </c>
      <c r="B1979" t="str">
        <f>"1552380311313963"</f>
        <v>1552380311313963</v>
      </c>
      <c r="C1979" t="s">
        <v>40</v>
      </c>
      <c r="D1979">
        <v>4.6065209999999999</v>
      </c>
      <c r="E1979">
        <v>0.43901600000000002</v>
      </c>
      <c r="F1979" t="s">
        <v>46</v>
      </c>
      <c r="G1979">
        <v>-486.35660000000001</v>
      </c>
      <c r="H1979" s="1">
        <v>1.4598040000000001E-6</v>
      </c>
      <c r="I1979">
        <v>274.68279999999999</v>
      </c>
      <c r="J1979">
        <v>-479.90449999999998</v>
      </c>
      <c r="K1979">
        <v>1.124803</v>
      </c>
      <c r="L1979">
        <v>281.45639999999997</v>
      </c>
      <c r="M1979">
        <v>-0.91870680000000005</v>
      </c>
      <c r="N1979">
        <v>0</v>
      </c>
      <c r="O1979">
        <v>-0.39460269999999997</v>
      </c>
      <c r="P1979">
        <v>-0.78562089999999996</v>
      </c>
      <c r="Q1979">
        <v>0.15293979999999999</v>
      </c>
      <c r="R1979">
        <v>-0.59950729999999997</v>
      </c>
      <c r="S1979">
        <v>-2.1868289999999999</v>
      </c>
      <c r="T1979">
        <v>-0.3656353</v>
      </c>
      <c r="U1979">
        <v>-2.2394099999999999</v>
      </c>
      <c r="V1979">
        <v>-0.24747160000000001</v>
      </c>
      <c r="W1979">
        <v>0.15859670000000001</v>
      </c>
      <c r="X1979">
        <v>0.95582679999999998</v>
      </c>
      <c r="Y1979">
        <v>-0.38162089999999999</v>
      </c>
      <c r="Z1979">
        <v>2.4720780000000001E-2</v>
      </c>
      <c r="AA1979">
        <v>0.92398829999999998</v>
      </c>
      <c r="AB1979">
        <v>49</v>
      </c>
      <c r="AC1979">
        <v>-6.4521000000000299</v>
      </c>
      <c r="AD1979">
        <v>-1.1248015401960001</v>
      </c>
      <c r="AE1979">
        <v>-6.7735999999999796</v>
      </c>
      <c r="AF1979">
        <v>-3.6250183310019302</v>
      </c>
      <c r="AG1979">
        <v>-1.1248015401960001</v>
      </c>
      <c r="AH1979">
        <v>8.4790312403426906</v>
      </c>
      <c r="AI1979">
        <v>96.954409592099793</v>
      </c>
      <c r="AJ1979">
        <v>113.14803601446</v>
      </c>
      <c r="AK1979">
        <v>9.2897743341608994</v>
      </c>
      <c r="AL1979">
        <v>80.874546840013906</v>
      </c>
      <c r="AM1979">
        <v>104.515617536779</v>
      </c>
      <c r="AN1979">
        <v>0.99999998882784402</v>
      </c>
    </row>
    <row r="1980" spans="1:40" x14ac:dyDescent="0.25">
      <c r="A1980" t="str">
        <f>"20190312164511336"</f>
        <v>20190312164511336</v>
      </c>
      <c r="B1980" t="str">
        <f>"1552380311323722"</f>
        <v>1552380311323722</v>
      </c>
      <c r="C1980" t="s">
        <v>40</v>
      </c>
      <c r="D1980">
        <v>4.7575779999999996</v>
      </c>
      <c r="E1980">
        <v>0.44013439999999998</v>
      </c>
      <c r="F1980" t="s">
        <v>46</v>
      </c>
      <c r="G1980">
        <v>-486.62349999999998</v>
      </c>
      <c r="H1980" s="1">
        <v>1.4204340000000001E-6</v>
      </c>
      <c r="I1980">
        <v>274.47109999999998</v>
      </c>
      <c r="J1980">
        <v>-480.197</v>
      </c>
      <c r="K1980">
        <v>1.124887</v>
      </c>
      <c r="L1980">
        <v>281.33139999999997</v>
      </c>
      <c r="M1980">
        <v>-0.91509739999999995</v>
      </c>
      <c r="N1980">
        <v>0</v>
      </c>
      <c r="O1980">
        <v>-0.40290209999999999</v>
      </c>
      <c r="P1980">
        <v>-0.7803776</v>
      </c>
      <c r="Q1980">
        <v>0.15238309999999999</v>
      </c>
      <c r="R1980">
        <v>-0.60645740000000004</v>
      </c>
      <c r="S1980">
        <v>-2.1687319999999999</v>
      </c>
      <c r="T1980">
        <v>-0.36306270000000002</v>
      </c>
      <c r="U1980">
        <v>-2.2547000000000001</v>
      </c>
      <c r="V1980">
        <v>-0.24727550000000001</v>
      </c>
      <c r="W1980">
        <v>0.15800999999999901</v>
      </c>
      <c r="X1980">
        <v>0.95597480000000001</v>
      </c>
      <c r="Y1980">
        <v>-0.38028719999999999</v>
      </c>
      <c r="Z1980">
        <v>2.568167E-2</v>
      </c>
      <c r="AA1980">
        <v>0.92451179999999999</v>
      </c>
      <c r="AB1980">
        <v>49</v>
      </c>
      <c r="AC1980">
        <v>-6.4265000000000301</v>
      </c>
      <c r="AD1980">
        <v>-1.124885579566</v>
      </c>
      <c r="AE1980">
        <v>-6.8602999999999899</v>
      </c>
      <c r="AF1980">
        <v>-3.6370023247133401</v>
      </c>
      <c r="AG1980">
        <v>-1.124885579566</v>
      </c>
      <c r="AH1980">
        <v>8.5239918968053594</v>
      </c>
      <c r="AI1980">
        <v>96.920697911155997</v>
      </c>
      <c r="AJ1980">
        <v>113.106890476662</v>
      </c>
      <c r="AK1980">
        <v>9.3355016648217308</v>
      </c>
      <c r="AL1980">
        <v>80.908592356549903</v>
      </c>
      <c r="AM1980">
        <v>104.50244966099299</v>
      </c>
      <c r="AN1980">
        <v>1.0000000756176399</v>
      </c>
    </row>
    <row r="1981" spans="1:40" x14ac:dyDescent="0.25">
      <c r="A1981" t="str">
        <f>"20190312164511353"</f>
        <v>20190312164511353</v>
      </c>
      <c r="B1981" t="str">
        <f>"1552380311343242"</f>
        <v>1552380311343242</v>
      </c>
      <c r="C1981" t="s">
        <v>40</v>
      </c>
      <c r="D1981">
        <v>4.6691390000000004</v>
      </c>
      <c r="E1981">
        <v>0.44152930000000001</v>
      </c>
      <c r="F1981" t="s">
        <v>41</v>
      </c>
      <c r="G1981">
        <v>-480.97660000000002</v>
      </c>
      <c r="H1981">
        <v>0.99437560000000003</v>
      </c>
      <c r="I1981">
        <v>280.51089999999999</v>
      </c>
      <c r="J1981">
        <v>-480.53280000000001</v>
      </c>
      <c r="K1981">
        <v>1.1249709999999999</v>
      </c>
      <c r="L1981">
        <v>281.18430000000001</v>
      </c>
      <c r="M1981">
        <v>-0.91081719999999999</v>
      </c>
      <c r="N1981">
        <v>0</v>
      </c>
      <c r="O1981">
        <v>-0.41248610000000002</v>
      </c>
      <c r="P1981">
        <v>-0.77440489999999995</v>
      </c>
      <c r="Q1981">
        <v>0.1503805</v>
      </c>
      <c r="R1981">
        <v>-0.61455939999999998</v>
      </c>
      <c r="S1981">
        <v>-2.1528019999999999</v>
      </c>
      <c r="T1981">
        <v>-0.36041610000000002</v>
      </c>
      <c r="U1981">
        <v>-2.2671510000000001</v>
      </c>
      <c r="V1981">
        <v>-0.2470039</v>
      </c>
      <c r="W1981">
        <v>0.15597939999999999</v>
      </c>
      <c r="X1981">
        <v>0.95637830000000001</v>
      </c>
      <c r="Y1981">
        <v>-0.37659530000000002</v>
      </c>
      <c r="Z1981">
        <v>2.6925749999999998E-2</v>
      </c>
      <c r="AA1981">
        <v>0.92598650000000005</v>
      </c>
      <c r="AB1981">
        <v>49</v>
      </c>
      <c r="AC1981">
        <v>-0.44380000000001002</v>
      </c>
      <c r="AD1981">
        <v>-0.1305954</v>
      </c>
      <c r="AE1981">
        <v>-0.67340000000001499</v>
      </c>
      <c r="AF1981">
        <v>-0.419344624864669</v>
      </c>
      <c r="AG1981">
        <v>-0.1305954</v>
      </c>
      <c r="AH1981">
        <v>0.664651780495225</v>
      </c>
      <c r="AI1981">
        <v>99.4350040548252</v>
      </c>
      <c r="AJ1981">
        <v>122.248802735533</v>
      </c>
      <c r="AK1981">
        <v>0.79665994139251295</v>
      </c>
      <c r="AL1981">
        <v>81.026397136409599</v>
      </c>
      <c r="AM1981">
        <v>104.481336086865</v>
      </c>
      <c r="AN1981">
        <v>0.99999997627522896</v>
      </c>
    </row>
    <row r="1982" spans="1:40" x14ac:dyDescent="0.25">
      <c r="A1982" t="str">
        <f>"20190312164511364"</f>
        <v>20190312164511364</v>
      </c>
      <c r="B1982" t="str">
        <f>"1552380311353979"</f>
        <v>1552380311353979</v>
      </c>
      <c r="C1982" t="s">
        <v>40</v>
      </c>
      <c r="D1982">
        <v>4.6499100000000002</v>
      </c>
      <c r="E1982">
        <v>0.44209670000000001</v>
      </c>
      <c r="F1982" t="s">
        <v>41</v>
      </c>
      <c r="G1982">
        <v>-481.3245</v>
      </c>
      <c r="H1982">
        <v>0.99105779999999999</v>
      </c>
      <c r="I1982">
        <v>280.33800000000002</v>
      </c>
      <c r="J1982">
        <v>-480.7756</v>
      </c>
      <c r="K1982">
        <v>1.1250370000000001</v>
      </c>
      <c r="L1982">
        <v>281.0752</v>
      </c>
      <c r="M1982">
        <v>-0.90762670000000001</v>
      </c>
      <c r="N1982">
        <v>0</v>
      </c>
      <c r="O1982">
        <v>-0.41945870000000002</v>
      </c>
      <c r="P1982">
        <v>-0.76991269999999901</v>
      </c>
      <c r="Q1982">
        <v>0.14959220000000001</v>
      </c>
      <c r="R1982">
        <v>-0.62036840000000004</v>
      </c>
      <c r="S1982">
        <v>-2.134064</v>
      </c>
      <c r="T1982">
        <v>-0.36097570000000001</v>
      </c>
      <c r="U1982">
        <v>-2.2808229999999998</v>
      </c>
      <c r="V1982">
        <v>-0.24679699999999999</v>
      </c>
      <c r="W1982">
        <v>0.15517249999999999</v>
      </c>
      <c r="X1982">
        <v>0.95656300000000005</v>
      </c>
      <c r="Y1982">
        <v>-0.3763495</v>
      </c>
      <c r="Z1982">
        <v>2.7880450000000001E-2</v>
      </c>
      <c r="AA1982">
        <v>0.92605820000000005</v>
      </c>
      <c r="AB1982">
        <v>49</v>
      </c>
      <c r="AC1982">
        <v>-0.54890000000000305</v>
      </c>
      <c r="AD1982">
        <v>-0.13397919999999899</v>
      </c>
      <c r="AE1982">
        <v>-0.73720000000002905</v>
      </c>
      <c r="AF1982">
        <v>-0.42978770599662303</v>
      </c>
      <c r="AG1982">
        <v>-0.13397919999999899</v>
      </c>
      <c r="AH1982">
        <v>0.79072716212331495</v>
      </c>
      <c r="AI1982">
        <v>98.467369337470799</v>
      </c>
      <c r="AJ1982">
        <v>118.525618005567</v>
      </c>
      <c r="AK1982">
        <v>0.90989963357398496</v>
      </c>
      <c r="AL1982">
        <v>81.073199345299699</v>
      </c>
      <c r="AM1982">
        <v>104.467038722794</v>
      </c>
      <c r="AN1982">
        <v>1.0000000184671201</v>
      </c>
    </row>
    <row r="1983" spans="1:40" x14ac:dyDescent="0.25">
      <c r="A1983" t="str">
        <f>"20190312164511377"</f>
        <v>20190312164511377</v>
      </c>
      <c r="B1983" t="str">
        <f>"1552380311373499"</f>
        <v>1552380311373499</v>
      </c>
      <c r="C1983" t="s">
        <v>40</v>
      </c>
      <c r="D1983">
        <v>4.6431870000000002</v>
      </c>
      <c r="E1983">
        <v>0.44339980000000001</v>
      </c>
      <c r="F1983" t="s">
        <v>46</v>
      </c>
      <c r="G1983">
        <v>-487.34519999999998</v>
      </c>
      <c r="H1983" s="1">
        <v>1.3055390000000001E-6</v>
      </c>
      <c r="I1983">
        <v>273.96499999999997</v>
      </c>
      <c r="J1983">
        <v>-481.00560000000002</v>
      </c>
      <c r="K1983">
        <v>1.1250990000000001</v>
      </c>
      <c r="L1983">
        <v>280.96960000000001</v>
      </c>
      <c r="M1983">
        <v>-0.90452730000000003</v>
      </c>
      <c r="N1983">
        <v>0</v>
      </c>
      <c r="O1983">
        <v>-0.4261007</v>
      </c>
      <c r="P1983">
        <v>-0.76579039999999998</v>
      </c>
      <c r="Q1983">
        <v>0.1482009</v>
      </c>
      <c r="R1983">
        <v>-0.62578129999999998</v>
      </c>
      <c r="S1983">
        <v>-2.1190799999999999</v>
      </c>
      <c r="T1983">
        <v>-0.36289120000000002</v>
      </c>
      <c r="U1983">
        <v>-2.2934570000000001</v>
      </c>
      <c r="V1983">
        <v>-0.24638260000000001</v>
      </c>
      <c r="W1983">
        <v>0.1537761</v>
      </c>
      <c r="X1983">
        <v>0.95689519999999995</v>
      </c>
      <c r="Y1983">
        <v>-0.3754053</v>
      </c>
      <c r="Z1983">
        <v>2.892948E-2</v>
      </c>
      <c r="AA1983">
        <v>0.92640919999999904</v>
      </c>
      <c r="AB1983">
        <v>49</v>
      </c>
      <c r="AC1983">
        <v>-6.3395999999999599</v>
      </c>
      <c r="AD1983">
        <v>-1.1250976944610001</v>
      </c>
      <c r="AE1983">
        <v>-7.0046000000000301</v>
      </c>
      <c r="AF1983">
        <v>-3.5841996970940699</v>
      </c>
      <c r="AG1983">
        <v>-1.1250976944610001</v>
      </c>
      <c r="AH1983">
        <v>8.5982340904981491</v>
      </c>
      <c r="AI1983">
        <v>96.886748732470494</v>
      </c>
      <c r="AJ1983">
        <v>112.62896127663301</v>
      </c>
      <c r="AK1983">
        <v>9.3830678227184894</v>
      </c>
      <c r="AL1983">
        <v>81.154178576102495</v>
      </c>
      <c r="AM1983">
        <v>104.438959183881</v>
      </c>
      <c r="AN1983">
        <v>0.99999994914850299</v>
      </c>
    </row>
    <row r="1984" spans="1:40" x14ac:dyDescent="0.25">
      <c r="A1984" t="str">
        <f>"20190312164511388"</f>
        <v>20190312164511388</v>
      </c>
      <c r="B1984" t="str">
        <f>"1552380311383259"</f>
        <v>1552380311383259</v>
      </c>
      <c r="C1984" t="s">
        <v>40</v>
      </c>
      <c r="D1984">
        <v>4.9854260000000004</v>
      </c>
      <c r="E1984">
        <v>0.44415929999999998</v>
      </c>
      <c r="F1984" t="s">
        <v>46</v>
      </c>
      <c r="G1984">
        <v>-487.4785</v>
      </c>
      <c r="H1984" s="1">
        <v>1.2970189999999999E-6</v>
      </c>
      <c r="I1984">
        <v>273.90750000000003</v>
      </c>
      <c r="J1984">
        <v>-481.22910000000002</v>
      </c>
      <c r="K1984">
        <v>1.1251580000000001</v>
      </c>
      <c r="L1984">
        <v>280.86590000000001</v>
      </c>
      <c r="M1984">
        <v>-0.90145560000000002</v>
      </c>
      <c r="N1984">
        <v>0</v>
      </c>
      <c r="O1984">
        <v>-0.43256090000000003</v>
      </c>
      <c r="P1984">
        <v>-0.76141630000000005</v>
      </c>
      <c r="Q1984">
        <v>0.14753050000000001</v>
      </c>
      <c r="R1984">
        <v>-0.63125290000000001</v>
      </c>
      <c r="S1984">
        <v>-2.1085509999999998</v>
      </c>
      <c r="T1984">
        <v>-0.36650369999999999</v>
      </c>
      <c r="U1984">
        <v>-2.3005070000000001</v>
      </c>
      <c r="V1984">
        <v>-0.24633630000000001</v>
      </c>
      <c r="W1984">
        <v>0.153084</v>
      </c>
      <c r="X1984">
        <v>0.95701809999999998</v>
      </c>
      <c r="Y1984">
        <v>-0.37254369999999998</v>
      </c>
      <c r="Z1984">
        <v>3.022704E-2</v>
      </c>
      <c r="AA1984">
        <v>0.92752230000000002</v>
      </c>
      <c r="AB1984">
        <v>48</v>
      </c>
      <c r="AC1984">
        <v>-6.2493999999999801</v>
      </c>
      <c r="AD1984">
        <v>-1.1251567029809999</v>
      </c>
      <c r="AE1984">
        <v>-6.9583999999999797</v>
      </c>
      <c r="AF1984">
        <v>-3.51899366056813</v>
      </c>
      <c r="AG1984">
        <v>-1.1251567029809999</v>
      </c>
      <c r="AH1984">
        <v>8.5213252102214305</v>
      </c>
      <c r="AI1984">
        <v>96.958141006225404</v>
      </c>
      <c r="AJ1984">
        <v>112.438823616818</v>
      </c>
      <c r="AK1984">
        <v>9.2877487760886996</v>
      </c>
      <c r="AL1984">
        <v>81.194308271221402</v>
      </c>
      <c r="AM1984">
        <v>104.434582772029</v>
      </c>
      <c r="AN1984">
        <v>0.99999996374064903</v>
      </c>
    </row>
    <row r="1985" spans="1:40" x14ac:dyDescent="0.25">
      <c r="A1985" t="str">
        <f>"20190312164511399"</f>
        <v>20190312164511399</v>
      </c>
      <c r="B1985" t="str">
        <f>"1552380311393995"</f>
        <v>1552380311393995</v>
      </c>
      <c r="C1985" t="s">
        <v>40</v>
      </c>
      <c r="D1985">
        <v>4.6755440000000004</v>
      </c>
      <c r="E1985">
        <v>0.44484899999999999</v>
      </c>
      <c r="F1985" t="s">
        <v>46</v>
      </c>
      <c r="G1985">
        <v>-487.70150000000001</v>
      </c>
      <c r="H1985" s="1">
        <v>1.252913E-6</v>
      </c>
      <c r="I1985">
        <v>273.72669999999999</v>
      </c>
      <c r="J1985">
        <v>-481.44740000000002</v>
      </c>
      <c r="K1985">
        <v>1.125219</v>
      </c>
      <c r="L1985">
        <v>280.76150000000001</v>
      </c>
      <c r="M1985">
        <v>-0.8983681</v>
      </c>
      <c r="N1985">
        <v>0</v>
      </c>
      <c r="O1985">
        <v>-0.43893670000000001</v>
      </c>
      <c r="P1985">
        <v>-0.75709399999999905</v>
      </c>
      <c r="Q1985">
        <v>0.14734529999999901</v>
      </c>
      <c r="R1985">
        <v>-0.63647339999999997</v>
      </c>
      <c r="S1985">
        <v>-2.09491</v>
      </c>
      <c r="T1985">
        <v>-0.36417470000000002</v>
      </c>
      <c r="U1985">
        <v>-2.3106990000000001</v>
      </c>
      <c r="V1985">
        <v>-0.24613670000000001</v>
      </c>
      <c r="W1985">
        <v>0.15288599999999999</v>
      </c>
      <c r="X1985">
        <v>0.95710110000000004</v>
      </c>
      <c r="Y1985">
        <v>-0.37104720000000002</v>
      </c>
      <c r="Z1985">
        <v>3.0949859999999999E-2</v>
      </c>
      <c r="AA1985">
        <v>0.92809810000000004</v>
      </c>
      <c r="AB1985">
        <v>48</v>
      </c>
      <c r="AC1985">
        <v>-6.2540999999999896</v>
      </c>
      <c r="AD1985">
        <v>-1.125217747087</v>
      </c>
      <c r="AE1985">
        <v>-7.0348000000000104</v>
      </c>
      <c r="AF1985">
        <v>-3.52479841149108</v>
      </c>
      <c r="AG1985">
        <v>-1.125217747087</v>
      </c>
      <c r="AH1985">
        <v>8.5848125174694694</v>
      </c>
      <c r="AI1985">
        <v>96.913282777987405</v>
      </c>
      <c r="AJ1985">
        <v>112.32233582472701</v>
      </c>
      <c r="AK1985">
        <v>9.3482257557308799</v>
      </c>
      <c r="AL1985">
        <v>81.205787934677105</v>
      </c>
      <c r="AM1985">
        <v>104.42217625270401</v>
      </c>
      <c r="AN1985">
        <v>0.99999995985204904</v>
      </c>
    </row>
    <row r="1986" spans="1:40" x14ac:dyDescent="0.25">
      <c r="A1986" t="str">
        <f>"20190312164511410"</f>
        <v>20190312164511410</v>
      </c>
      <c r="B1986" t="str">
        <f>"1552380311403755"</f>
        <v>1552380311403755</v>
      </c>
      <c r="C1986" t="s">
        <v>40</v>
      </c>
      <c r="D1986">
        <v>4.6260709999999996</v>
      </c>
      <c r="E1986">
        <v>0.44540790000000002</v>
      </c>
      <c r="F1986" t="s">
        <v>46</v>
      </c>
      <c r="G1986">
        <v>-487.91340000000002</v>
      </c>
      <c r="H1986" s="1">
        <v>1.2111759999999999E-6</v>
      </c>
      <c r="I1986">
        <v>273.55549999999999</v>
      </c>
      <c r="J1986">
        <v>-481.66309999999999</v>
      </c>
      <c r="K1986">
        <v>1.1252789999999999</v>
      </c>
      <c r="L1986">
        <v>280.65750000000003</v>
      </c>
      <c r="M1986">
        <v>-0.89526289999999997</v>
      </c>
      <c r="N1986">
        <v>0</v>
      </c>
      <c r="O1986">
        <v>-0.4452352</v>
      </c>
      <c r="P1986">
        <v>-0.75257030000000003</v>
      </c>
      <c r="Q1986">
        <v>0.1476827</v>
      </c>
      <c r="R1986">
        <v>-0.64173809999999998</v>
      </c>
      <c r="S1986">
        <v>-2.082214</v>
      </c>
      <c r="T1986">
        <v>-0.36234820000000001</v>
      </c>
      <c r="U1986">
        <v>-2.3204959999999999</v>
      </c>
      <c r="V1986">
        <v>-0.2461576</v>
      </c>
      <c r="W1986">
        <v>0.15319940000000001</v>
      </c>
      <c r="X1986">
        <v>0.9570457</v>
      </c>
      <c r="Y1986">
        <v>-0.36932350000000003</v>
      </c>
      <c r="Z1986">
        <v>3.1705169999999998E-2</v>
      </c>
      <c r="AA1986">
        <v>0.92875989999999997</v>
      </c>
      <c r="AB1986">
        <v>48</v>
      </c>
      <c r="AC1986">
        <v>-6.2503000000000304</v>
      </c>
      <c r="AD1986">
        <v>-1.125277788824</v>
      </c>
      <c r="AE1986">
        <v>-7.1020000000000296</v>
      </c>
      <c r="AF1986">
        <v>-3.52590417140039</v>
      </c>
      <c r="AG1986">
        <v>-1.125277788824</v>
      </c>
      <c r="AH1986">
        <v>8.6367181061487202</v>
      </c>
      <c r="AI1986">
        <v>96.878082580092297</v>
      </c>
      <c r="AJ1986">
        <v>112.207533575372</v>
      </c>
      <c r="AK1986">
        <v>9.3963370508404207</v>
      </c>
      <c r="AL1986">
        <v>81.187618145328699</v>
      </c>
      <c r="AM1986">
        <v>104.42414987388599</v>
      </c>
      <c r="AN1986">
        <v>1.0000000460433001</v>
      </c>
    </row>
    <row r="1987" spans="1:40" x14ac:dyDescent="0.25">
      <c r="A1987" t="str">
        <f>"20190312164511421"</f>
        <v>20190312164511421</v>
      </c>
      <c r="B1987" t="str">
        <f>"1552380311413515"</f>
        <v>1552380311413515</v>
      </c>
      <c r="C1987" t="s">
        <v>40</v>
      </c>
      <c r="D1987">
        <v>4.6470840000000004</v>
      </c>
      <c r="E1987">
        <v>0.44593699999999997</v>
      </c>
      <c r="F1987" t="s">
        <v>46</v>
      </c>
      <c r="G1987">
        <v>-488.09399999999999</v>
      </c>
      <c r="H1987" s="1">
        <v>1.1751519999999999E-6</v>
      </c>
      <c r="I1987">
        <v>273.4083</v>
      </c>
      <c r="J1987">
        <v>-481.87709999999998</v>
      </c>
      <c r="K1987">
        <v>1.1253439999999999</v>
      </c>
      <c r="L1987">
        <v>280.55180000000001</v>
      </c>
      <c r="M1987">
        <v>-0.89210119999999904</v>
      </c>
      <c r="N1987">
        <v>0</v>
      </c>
      <c r="O1987">
        <v>-0.45153589999999999</v>
      </c>
      <c r="P1987">
        <v>-0.74786819999999998</v>
      </c>
      <c r="Q1987">
        <v>0.14849079999999901</v>
      </c>
      <c r="R1987">
        <v>-0.64702649999999995</v>
      </c>
      <c r="S1987">
        <v>-2.0687869999999999</v>
      </c>
      <c r="T1987">
        <v>-0.3619947</v>
      </c>
      <c r="U1987">
        <v>-2.3320310000000002</v>
      </c>
      <c r="V1987">
        <v>-0.24628530000000001</v>
      </c>
      <c r="W1987">
        <v>0.15397920000000001</v>
      </c>
      <c r="X1987">
        <v>0.95688770000000001</v>
      </c>
      <c r="Y1987">
        <v>-0.3680833</v>
      </c>
      <c r="Z1987">
        <v>3.2547220000000002E-2</v>
      </c>
      <c r="AA1987">
        <v>0.92922300000000002</v>
      </c>
      <c r="AB1987">
        <v>48</v>
      </c>
      <c r="AC1987">
        <v>-6.2169000000000096</v>
      </c>
      <c r="AD1987">
        <v>-1.125342824848</v>
      </c>
      <c r="AE1987">
        <v>-7.1435000000000102</v>
      </c>
      <c r="AF1987">
        <v>-3.51639787273733</v>
      </c>
      <c r="AG1987">
        <v>-1.125342824848</v>
      </c>
      <c r="AH1987">
        <v>8.6506790519923502</v>
      </c>
      <c r="AI1987">
        <v>96.871660070560196</v>
      </c>
      <c r="AJ1987">
        <v>112.121155713707</v>
      </c>
      <c r="AK1987">
        <v>9.4056205820460299</v>
      </c>
      <c r="AL1987">
        <v>81.1424024975409</v>
      </c>
      <c r="AM1987">
        <v>104.43360367415001</v>
      </c>
      <c r="AN1987">
        <v>1.00000005672</v>
      </c>
    </row>
    <row r="1988" spans="1:40" x14ac:dyDescent="0.25">
      <c r="A1988" t="str">
        <f>"20190312164511434"</f>
        <v>20190312164511434</v>
      </c>
      <c r="B1988" t="str">
        <f>"1552380311423275"</f>
        <v>1552380311423275</v>
      </c>
      <c r="C1988" t="s">
        <v>40</v>
      </c>
      <c r="D1988">
        <v>4.617394</v>
      </c>
      <c r="E1988">
        <v>0.44649119999999998</v>
      </c>
      <c r="F1988" t="s">
        <v>46</v>
      </c>
      <c r="G1988">
        <v>-488.3091</v>
      </c>
      <c r="H1988" s="1">
        <v>1.1271720000000001E-6</v>
      </c>
      <c r="I1988">
        <v>273.21859999999998</v>
      </c>
      <c r="J1988">
        <v>-482.1155</v>
      </c>
      <c r="K1988">
        <v>1.125408</v>
      </c>
      <c r="L1988">
        <v>280.4323</v>
      </c>
      <c r="M1988">
        <v>-0.88850459999999998</v>
      </c>
      <c r="N1988">
        <v>0</v>
      </c>
      <c r="O1988">
        <v>-0.45857239999999999</v>
      </c>
      <c r="P1988">
        <v>-0.74226819999999905</v>
      </c>
      <c r="Q1988">
        <v>0.14915880000000001</v>
      </c>
      <c r="R1988">
        <v>-0.65329150000000002</v>
      </c>
      <c r="S1988">
        <v>-2.0553889999999999</v>
      </c>
      <c r="T1988">
        <v>-0.35961510000000002</v>
      </c>
      <c r="U1988">
        <v>-2.3433839999999999</v>
      </c>
      <c r="V1988">
        <v>-0.2468844</v>
      </c>
      <c r="W1988">
        <v>0.15459589999999901</v>
      </c>
      <c r="X1988">
        <v>0.95663379999999998</v>
      </c>
      <c r="Y1988">
        <v>-0.36601040000000001</v>
      </c>
      <c r="Z1988">
        <v>3.3343039999999997E-2</v>
      </c>
      <c r="AA1988">
        <v>0.93001319999999998</v>
      </c>
      <c r="AB1988">
        <v>48</v>
      </c>
      <c r="AC1988">
        <v>-6.1936</v>
      </c>
      <c r="AD1988">
        <v>-1.125406872828</v>
      </c>
      <c r="AE1988">
        <v>-7.21370000000001</v>
      </c>
      <c r="AF1988">
        <v>-3.5203526377422398</v>
      </c>
      <c r="AG1988">
        <v>-1.125406872828</v>
      </c>
      <c r="AH1988">
        <v>8.6904800024579192</v>
      </c>
      <c r="AI1988">
        <v>96.844195064382305</v>
      </c>
      <c r="AJ1988">
        <v>112.051958741004</v>
      </c>
      <c r="AK1988">
        <v>9.4437209825676494</v>
      </c>
      <c r="AL1988">
        <v>81.106639581360795</v>
      </c>
      <c r="AM1988">
        <v>104.470920843239</v>
      </c>
      <c r="AN1988">
        <v>1.0000000132813001</v>
      </c>
    </row>
    <row r="1989" spans="1:40" x14ac:dyDescent="0.25">
      <c r="A1989" t="str">
        <f>"20190312164511449"</f>
        <v>20190312164511449</v>
      </c>
      <c r="B1989" t="str">
        <f>"1552380311443771"</f>
        <v>1552380311443771</v>
      </c>
      <c r="C1989" t="s">
        <v>40</v>
      </c>
      <c r="D1989">
        <v>4.8739489999999996</v>
      </c>
      <c r="E1989">
        <v>0.44747920000000002</v>
      </c>
      <c r="F1989" t="s">
        <v>46</v>
      </c>
      <c r="G1989">
        <v>-488.50799999999998</v>
      </c>
      <c r="H1989" s="1">
        <v>1.080629E-6</v>
      </c>
      <c r="I1989">
        <v>273.03699999999998</v>
      </c>
      <c r="J1989">
        <v>-482.3954</v>
      </c>
      <c r="K1989">
        <v>1.1254839999999999</v>
      </c>
      <c r="L1989">
        <v>280.2894</v>
      </c>
      <c r="M1989">
        <v>-0.884173599999999</v>
      </c>
      <c r="N1989">
        <v>0</v>
      </c>
      <c r="O1989">
        <v>-0.46686749999999999</v>
      </c>
      <c r="P1989">
        <v>-0.73566049999999905</v>
      </c>
      <c r="Q1989">
        <v>0.1496622</v>
      </c>
      <c r="R1989">
        <v>-0.66060969999999997</v>
      </c>
      <c r="S1989">
        <v>-2.0383610000000001</v>
      </c>
      <c r="T1989">
        <v>-0.35885600000000001</v>
      </c>
      <c r="U1989">
        <v>-2.3580930000000002</v>
      </c>
      <c r="V1989">
        <v>-0.247504</v>
      </c>
      <c r="W1989">
        <v>0.1550444</v>
      </c>
      <c r="X1989">
        <v>0.9564011</v>
      </c>
      <c r="Y1989">
        <v>-0.36406450000000001</v>
      </c>
      <c r="Z1989">
        <v>3.442829E-2</v>
      </c>
      <c r="AA1989">
        <v>0.93073720000000004</v>
      </c>
      <c r="AB1989">
        <v>48</v>
      </c>
      <c r="AC1989">
        <v>-6.1126000000000396</v>
      </c>
      <c r="AD1989">
        <v>-1.1254829193710001</v>
      </c>
      <c r="AE1989">
        <v>-7.2523999999999598</v>
      </c>
      <c r="AF1989">
        <v>-3.5096715671493999</v>
      </c>
      <c r="AG1989">
        <v>-1.1254829193710001</v>
      </c>
      <c r="AH1989">
        <v>8.6696301875039694</v>
      </c>
      <c r="AI1989">
        <v>96.861566874909997</v>
      </c>
      <c r="AJ1989">
        <v>112.03926791873199</v>
      </c>
      <c r="AK1989">
        <v>9.4205622920891994</v>
      </c>
      <c r="AL1989">
        <v>81.080628954504604</v>
      </c>
      <c r="AM1989">
        <v>104.509088279525</v>
      </c>
      <c r="AN1989">
        <v>1.00000003003428</v>
      </c>
    </row>
    <row r="1990" spans="1:40" x14ac:dyDescent="0.25">
      <c r="A1990" t="str">
        <f>"20190312164511462"</f>
        <v>20190312164511462</v>
      </c>
      <c r="B1990" t="str">
        <f>"1552380311453531"</f>
        <v>1552380311453531</v>
      </c>
      <c r="C1990" t="s">
        <v>40</v>
      </c>
      <c r="D1990">
        <v>4.896509</v>
      </c>
      <c r="E1990">
        <v>0.44801390000000002</v>
      </c>
      <c r="F1990" t="s">
        <v>46</v>
      </c>
      <c r="G1990">
        <v>-488.77440000000001</v>
      </c>
      <c r="H1990" s="1">
        <v>1.019711E-6</v>
      </c>
      <c r="I1990">
        <v>272.79790000000003</v>
      </c>
      <c r="J1990">
        <v>-482.64839999999998</v>
      </c>
      <c r="K1990">
        <v>1.1255520000000001</v>
      </c>
      <c r="L1990">
        <v>280.15649999999999</v>
      </c>
      <c r="M1990">
        <v>-0.88013490000000005</v>
      </c>
      <c r="N1990">
        <v>0</v>
      </c>
      <c r="O1990">
        <v>-0.47443649999999998</v>
      </c>
      <c r="P1990">
        <v>-0.72930319999999904</v>
      </c>
      <c r="Q1990">
        <v>0.14958199999999999</v>
      </c>
      <c r="R1990">
        <v>-0.66763950000000005</v>
      </c>
      <c r="S1990">
        <v>-2.0200809999999998</v>
      </c>
      <c r="T1990">
        <v>-0.35641499999999998</v>
      </c>
      <c r="U1990">
        <v>-2.3724059999999998</v>
      </c>
      <c r="V1990">
        <v>-0.24849379999999999</v>
      </c>
      <c r="W1990">
        <v>0.15489790000000001</v>
      </c>
      <c r="X1990">
        <v>0.95616809999999997</v>
      </c>
      <c r="Y1990">
        <v>-0.36303730000000001</v>
      </c>
      <c r="Z1990">
        <v>3.5212739999999999E-2</v>
      </c>
      <c r="AA1990">
        <v>0.93110899999999996</v>
      </c>
      <c r="AB1990">
        <v>48</v>
      </c>
      <c r="AC1990">
        <v>-6.1260000000000296</v>
      </c>
      <c r="AD1990">
        <v>-1.125550980289</v>
      </c>
      <c r="AE1990">
        <v>-7.3585999999999601</v>
      </c>
      <c r="AF1990">
        <v>-3.52197976673019</v>
      </c>
      <c r="AG1990">
        <v>-1.125550980289</v>
      </c>
      <c r="AH1990">
        <v>8.7630112928205701</v>
      </c>
      <c r="AI1990">
        <v>96.796333101751998</v>
      </c>
      <c r="AJ1990">
        <v>111.895901103249</v>
      </c>
      <c r="AK1990">
        <v>9.5111289237706806</v>
      </c>
      <c r="AL1990">
        <v>81.089124998264793</v>
      </c>
      <c r="AM1990">
        <v>104.568047217862</v>
      </c>
      <c r="AN1990">
        <v>0.99999998176022897</v>
      </c>
    </row>
    <row r="1991" spans="1:40" x14ac:dyDescent="0.25">
      <c r="A1991" t="str">
        <f>"20190312164511475"</f>
        <v>20190312164511475</v>
      </c>
      <c r="B1991" t="str">
        <f>"1552380311463291"</f>
        <v>1552380311463291</v>
      </c>
      <c r="C1991" t="s">
        <v>40</v>
      </c>
      <c r="D1991">
        <v>4.6601339999999896</v>
      </c>
      <c r="E1991">
        <v>0.44856180000000001</v>
      </c>
      <c r="F1991" t="s">
        <v>46</v>
      </c>
      <c r="G1991">
        <v>-488.99149999999997</v>
      </c>
      <c r="H1991" s="1">
        <v>9.6146750000000008E-7</v>
      </c>
      <c r="I1991">
        <v>272.57859999999999</v>
      </c>
      <c r="J1991">
        <v>-482.8861</v>
      </c>
      <c r="K1991">
        <v>1.1256139999999999</v>
      </c>
      <c r="L1991">
        <v>280.02960000000002</v>
      </c>
      <c r="M1991">
        <v>-0.87624979999999997</v>
      </c>
      <c r="N1991">
        <v>0</v>
      </c>
      <c r="O1991">
        <v>-0.48157359999999999</v>
      </c>
      <c r="P1991">
        <v>-0.72206979999999998</v>
      </c>
      <c r="Q1991">
        <v>0.1487224</v>
      </c>
      <c r="R1991">
        <v>-0.67564539999999995</v>
      </c>
      <c r="S1991">
        <v>-1.999512</v>
      </c>
      <c r="T1991">
        <v>-0.35480209999999901</v>
      </c>
      <c r="U1991">
        <v>-2.3887330000000002</v>
      </c>
      <c r="V1991">
        <v>-0.25117899999999999</v>
      </c>
      <c r="W1991">
        <v>0.153893899999999</v>
      </c>
      <c r="X1991">
        <v>0.95562849999999999</v>
      </c>
      <c r="Y1991">
        <v>-0.36333900000000002</v>
      </c>
      <c r="Z1991">
        <v>3.5938489999999997E-2</v>
      </c>
      <c r="AA1991">
        <v>0.9309636</v>
      </c>
      <c r="AB1991">
        <v>48</v>
      </c>
      <c r="AC1991">
        <v>-6.1053999999999702</v>
      </c>
      <c r="AD1991">
        <v>-1.1256130385324901</v>
      </c>
      <c r="AE1991">
        <v>-7.4510000000000201</v>
      </c>
      <c r="AF1991">
        <v>-3.54088067501882</v>
      </c>
      <c r="AG1991">
        <v>-1.1256130385324901</v>
      </c>
      <c r="AH1991">
        <v>8.8188681272392895</v>
      </c>
      <c r="AI1991">
        <v>96.754985853362896</v>
      </c>
      <c r="AJ1991">
        <v>111.876048670161</v>
      </c>
      <c r="AK1991">
        <v>9.5696016485992299</v>
      </c>
      <c r="AL1991">
        <v>81.147348511482207</v>
      </c>
      <c r="AM1991">
        <v>104.726617156817</v>
      </c>
      <c r="AN1991">
        <v>1.00000002625522</v>
      </c>
    </row>
    <row r="1992" spans="1:40" x14ac:dyDescent="0.25">
      <c r="A1992" t="str">
        <f>"20190312164511489"</f>
        <v>20190312164511489</v>
      </c>
      <c r="B1992" t="str">
        <f>"1552380311483787"</f>
        <v>1552380311483787</v>
      </c>
      <c r="C1992" t="s">
        <v>40</v>
      </c>
      <c r="D1992">
        <v>4.7860509999999996</v>
      </c>
      <c r="E1992">
        <v>0.44884180000000001</v>
      </c>
      <c r="F1992" t="s">
        <v>46</v>
      </c>
      <c r="G1992">
        <v>-489.12790000000001</v>
      </c>
      <c r="H1992" s="1">
        <v>9.21775699999999E-7</v>
      </c>
      <c r="I1992">
        <v>272.43209999999999</v>
      </c>
      <c r="J1992">
        <v>-483.14260000000002</v>
      </c>
      <c r="K1992">
        <v>1.12568</v>
      </c>
      <c r="L1992">
        <v>279.89060000000001</v>
      </c>
      <c r="M1992">
        <v>-0.87196209999999996</v>
      </c>
      <c r="N1992">
        <v>0</v>
      </c>
      <c r="O1992">
        <v>-0.4892939</v>
      </c>
      <c r="P1992">
        <v>-0.71484459999999905</v>
      </c>
      <c r="Q1992">
        <v>0.1493004</v>
      </c>
      <c r="R1992">
        <v>-0.68315969999999904</v>
      </c>
      <c r="S1992">
        <v>-1.9767760000000001</v>
      </c>
      <c r="T1992">
        <v>-0.356479299999999</v>
      </c>
      <c r="U1992">
        <v>-2.4060969999999999</v>
      </c>
      <c r="V1992">
        <v>-0.25284459999999997</v>
      </c>
      <c r="W1992">
        <v>0.1543726</v>
      </c>
      <c r="X1992">
        <v>0.95511190000000001</v>
      </c>
      <c r="Y1992">
        <v>-0.3636953</v>
      </c>
      <c r="Z1992">
        <v>3.7071760000000002E-2</v>
      </c>
      <c r="AA1992">
        <v>0.93078000000000005</v>
      </c>
      <c r="AB1992">
        <v>48</v>
      </c>
      <c r="AC1992">
        <v>-5.9852999999999899</v>
      </c>
      <c r="AD1992">
        <v>-1.1256790782243</v>
      </c>
      <c r="AE1992">
        <v>-7.4585000000000097</v>
      </c>
      <c r="AF1992">
        <v>-3.5265840731549698</v>
      </c>
      <c r="AG1992">
        <v>-1.1256790782243</v>
      </c>
      <c r="AH1992">
        <v>8.7483513896429006</v>
      </c>
      <c r="AI1992">
        <v>96.805580181059696</v>
      </c>
      <c r="AJ1992">
        <v>111.95506015278001</v>
      </c>
      <c r="AK1992">
        <v>9.4993473801545498</v>
      </c>
      <c r="AL1992">
        <v>81.119589213899204</v>
      </c>
      <c r="AM1992">
        <v>104.827649483768</v>
      </c>
      <c r="AN1992">
        <v>1.0000000164507601</v>
      </c>
    </row>
    <row r="1993" spans="1:40" x14ac:dyDescent="0.25">
      <c r="A1993" t="str">
        <f>"20190312164511511"</f>
        <v>20190312164511511</v>
      </c>
      <c r="B1993" t="str">
        <f>"1552380311503307"</f>
        <v>1552380311503307</v>
      </c>
      <c r="C1993" t="s">
        <v>40</v>
      </c>
      <c r="D1993">
        <v>4.6682360000000003</v>
      </c>
      <c r="E1993">
        <v>0.4624221</v>
      </c>
      <c r="F1993" t="s">
        <v>46</v>
      </c>
      <c r="G1993">
        <v>-489.29539999999997</v>
      </c>
      <c r="H1993" s="1">
        <v>8.7431780000000002E-7</v>
      </c>
      <c r="I1993">
        <v>272.2559</v>
      </c>
      <c r="J1993">
        <v>-483.52749999999997</v>
      </c>
      <c r="K1993">
        <v>1.125791</v>
      </c>
      <c r="L1993">
        <v>279.67540000000002</v>
      </c>
      <c r="M1993">
        <v>-0.86529469999999997</v>
      </c>
      <c r="N1993">
        <v>0</v>
      </c>
      <c r="O1993">
        <v>-0.50098940000000003</v>
      </c>
      <c r="P1993">
        <v>-0.70374199999999998</v>
      </c>
      <c r="Q1993">
        <v>0.15309389999999901</v>
      </c>
      <c r="R1993">
        <v>-0.69376510000000002</v>
      </c>
      <c r="S1993">
        <v>-1.954102</v>
      </c>
      <c r="T1993">
        <v>-0.35750989999999999</v>
      </c>
      <c r="U1993">
        <v>-2.424744</v>
      </c>
      <c r="V1993">
        <v>-0.25486959999999997</v>
      </c>
      <c r="W1993">
        <v>0.15803449999999999</v>
      </c>
      <c r="X1993">
        <v>0.95397410000000005</v>
      </c>
      <c r="Y1993">
        <v>-0.360002299999999</v>
      </c>
      <c r="Z1993">
        <v>3.8858179999999999E-2</v>
      </c>
      <c r="AA1993">
        <v>0.93214180000000002</v>
      </c>
      <c r="AB1993">
        <v>48</v>
      </c>
      <c r="AC1993">
        <v>-5.7678999999999903</v>
      </c>
      <c r="AD1993">
        <v>-1.1257901256821901</v>
      </c>
      <c r="AE1993">
        <v>-7.4195000000000197</v>
      </c>
      <c r="AF1993">
        <v>-3.48092916029701</v>
      </c>
      <c r="AG1993">
        <v>-1.1257901256821901</v>
      </c>
      <c r="AH1993">
        <v>8.5860068760025108</v>
      </c>
      <c r="AI1993">
        <v>96.928200026116698</v>
      </c>
      <c r="AJ1993">
        <v>112.068561869243</v>
      </c>
      <c r="AK1993">
        <v>9.3329408709608792</v>
      </c>
      <c r="AL1993">
        <v>80.907170053393202</v>
      </c>
      <c r="AM1993">
        <v>104.958132872718</v>
      </c>
      <c r="AN1993">
        <v>0.99999999983260901</v>
      </c>
    </row>
    <row r="1994" spans="1:40" x14ac:dyDescent="0.25">
      <c r="A1994" t="str">
        <f>"20190312164511522"</f>
        <v>20190312164511522</v>
      </c>
      <c r="B1994" t="str">
        <f>"1552380311514043"</f>
        <v>1552380311514043</v>
      </c>
      <c r="C1994" t="s">
        <v>40</v>
      </c>
      <c r="D1994">
        <v>4.9891030000000001</v>
      </c>
      <c r="E1994">
        <v>0.46247870000000002</v>
      </c>
      <c r="F1994" t="s">
        <v>46</v>
      </c>
      <c r="G1994">
        <v>-490.51229999999998</v>
      </c>
      <c r="H1994" s="1">
        <v>6.0880520000000002E-7</v>
      </c>
      <c r="I1994">
        <v>271.33859999999999</v>
      </c>
      <c r="J1994">
        <v>-483.77719999999999</v>
      </c>
      <c r="K1994">
        <v>1.1258570000000001</v>
      </c>
      <c r="L1994">
        <v>279.53179999999998</v>
      </c>
      <c r="M1994">
        <v>-0.86081980000000002</v>
      </c>
      <c r="N1994">
        <v>0</v>
      </c>
      <c r="O1994">
        <v>-0.50863939999999996</v>
      </c>
      <c r="P1994">
        <v>-0.69666799999999995</v>
      </c>
      <c r="Q1994">
        <v>0.1555666</v>
      </c>
      <c r="R1994">
        <v>-0.7003239</v>
      </c>
      <c r="S1994">
        <v>-1.99054</v>
      </c>
      <c r="T1994">
        <v>-0.32083139999999999</v>
      </c>
      <c r="U1994">
        <v>-2.3758539999999999</v>
      </c>
      <c r="V1994">
        <v>-0.25575769999999998</v>
      </c>
      <c r="W1994">
        <v>0.16044340000000001</v>
      </c>
      <c r="X1994">
        <v>0.95333409999999996</v>
      </c>
      <c r="Y1994">
        <v>-0.33385809999999999</v>
      </c>
      <c r="Z1994">
        <v>3.7214820000000003E-2</v>
      </c>
      <c r="AA1994">
        <v>0.94188850000000002</v>
      </c>
      <c r="AB1994">
        <v>48</v>
      </c>
      <c r="AC1994">
        <v>-6.7350999999999797</v>
      </c>
      <c r="AD1994">
        <v>-1.1258563911948001</v>
      </c>
      <c r="AE1994">
        <v>-8.1931999999999903</v>
      </c>
      <c r="AF1994">
        <v>-3.5872096869318799</v>
      </c>
      <c r="AG1994">
        <v>-1.1258563911948001</v>
      </c>
      <c r="AH1994">
        <v>9.8554113912848091</v>
      </c>
      <c r="AI1994">
        <v>96.127098688667203</v>
      </c>
      <c r="AJ1994">
        <v>110.000684271423</v>
      </c>
      <c r="AK1994">
        <v>10.5482112058433</v>
      </c>
      <c r="AL1994">
        <v>80.767366291508694</v>
      </c>
      <c r="AM1994">
        <v>105.017527313234</v>
      </c>
      <c r="AN1994">
        <v>0.99999999596782896</v>
      </c>
    </row>
    <row r="1995" spans="1:40" x14ac:dyDescent="0.25">
      <c r="A1995" t="str">
        <f>"20190312164511536"</f>
        <v>20190312164511536</v>
      </c>
      <c r="B1995" t="str">
        <f>"1552380311533563"</f>
        <v>1552380311533563</v>
      </c>
      <c r="C1995" t="s">
        <v>40</v>
      </c>
      <c r="D1995">
        <v>4.6010629999999999</v>
      </c>
      <c r="E1995">
        <v>0.46189059999999998</v>
      </c>
      <c r="F1995" t="s">
        <v>46</v>
      </c>
      <c r="G1995">
        <v>-490.71359999999999</v>
      </c>
      <c r="H1995" s="1">
        <v>5.2072309999999999E-7</v>
      </c>
      <c r="I1995">
        <v>271.08940000000001</v>
      </c>
      <c r="J1995">
        <v>-484.0111</v>
      </c>
      <c r="K1995">
        <v>1.1259220000000001</v>
      </c>
      <c r="L1995">
        <v>279.39510000000001</v>
      </c>
      <c r="M1995">
        <v>-0.85653049999999997</v>
      </c>
      <c r="N1995">
        <v>0</v>
      </c>
      <c r="O1995">
        <v>-0.51582859999999997</v>
      </c>
      <c r="P1995">
        <v>-0.68989889999999998</v>
      </c>
      <c r="Q1995">
        <v>0.15787899999999999</v>
      </c>
      <c r="R1995">
        <v>-0.7064802</v>
      </c>
      <c r="S1995">
        <v>-1.9688110000000001</v>
      </c>
      <c r="T1995">
        <v>-0.31956289999999998</v>
      </c>
      <c r="U1995">
        <v>-2.3963009999999998</v>
      </c>
      <c r="V1995">
        <v>-0.25663360000000002</v>
      </c>
      <c r="W1995">
        <v>0.16269449999999999</v>
      </c>
      <c r="X1995">
        <v>0.95271700000000004</v>
      </c>
      <c r="Y1995">
        <v>-0.33502959999999998</v>
      </c>
      <c r="Z1995">
        <v>3.780352E-2</v>
      </c>
      <c r="AA1995">
        <v>0.94144890000000003</v>
      </c>
      <c r="AB1995">
        <v>48</v>
      </c>
      <c r="AC1995">
        <v>-6.7024999999999801</v>
      </c>
      <c r="AD1995">
        <v>-1.1259214792768999</v>
      </c>
      <c r="AE1995">
        <v>-8.3056999999999999</v>
      </c>
      <c r="AF1995">
        <v>-3.6169955437768802</v>
      </c>
      <c r="AG1995">
        <v>-1.1259214792768999</v>
      </c>
      <c r="AH1995">
        <v>9.9162396788799096</v>
      </c>
      <c r="AI1995">
        <v>96.088647661414299</v>
      </c>
      <c r="AJ1995">
        <v>110.039681438977</v>
      </c>
      <c r="AK1995">
        <v>10.6151855994227</v>
      </c>
      <c r="AL1995">
        <v>80.636670553199096</v>
      </c>
      <c r="AM1995">
        <v>105.075938508557</v>
      </c>
      <c r="AN1995">
        <v>0.99999999353410496</v>
      </c>
    </row>
    <row r="1996" spans="1:40" x14ac:dyDescent="0.25">
      <c r="A1996" t="str">
        <f>"20190312164511551"</f>
        <v>20190312164511551</v>
      </c>
      <c r="B1996" t="str">
        <f>"1552380311543323"</f>
        <v>1552380311543323</v>
      </c>
      <c r="C1996" t="s">
        <v>40</v>
      </c>
      <c r="D1996">
        <v>4.6900930000000001</v>
      </c>
      <c r="E1996">
        <v>0.46189059999999998</v>
      </c>
      <c r="F1996" t="s">
        <v>46</v>
      </c>
      <c r="G1996">
        <v>-490.75979999999998</v>
      </c>
      <c r="H1996" s="1">
        <v>4.8913579999999996E-7</v>
      </c>
      <c r="I1996">
        <v>271</v>
      </c>
      <c r="J1996">
        <v>-484.26119999999997</v>
      </c>
      <c r="K1996">
        <v>1.1259870000000001</v>
      </c>
      <c r="L1996">
        <v>279.2466</v>
      </c>
      <c r="M1996">
        <v>-0.85183850000000005</v>
      </c>
      <c r="N1996">
        <v>0</v>
      </c>
      <c r="O1996">
        <v>-0.52354009999999995</v>
      </c>
      <c r="P1996">
        <v>-0.68275529999999995</v>
      </c>
      <c r="Q1996">
        <v>0.15934400000000001</v>
      </c>
      <c r="R1996">
        <v>-0.71306009999999997</v>
      </c>
      <c r="S1996">
        <v>-1.945038</v>
      </c>
      <c r="T1996">
        <v>-0.32450030000000002</v>
      </c>
      <c r="U1996">
        <v>-2.4195250000000001</v>
      </c>
      <c r="V1996">
        <v>-0.25743260000000001</v>
      </c>
      <c r="W1996">
        <v>0.16410250000000001</v>
      </c>
      <c r="X1996">
        <v>0.95225979999999999</v>
      </c>
      <c r="Y1996">
        <v>-0.33660679999999998</v>
      </c>
      <c r="Z1996">
        <v>3.9156589999999998E-2</v>
      </c>
      <c r="AA1996">
        <v>0.94083079999999997</v>
      </c>
      <c r="AB1996">
        <v>48</v>
      </c>
      <c r="AC1996">
        <v>-6.4985999999999997</v>
      </c>
      <c r="AD1996">
        <v>-1.1259865108642</v>
      </c>
      <c r="AE1996">
        <v>-8.2466000000000008</v>
      </c>
      <c r="AF1996">
        <v>-3.58180121605935</v>
      </c>
      <c r="AG1996">
        <v>-1.1259865108642</v>
      </c>
      <c r="AH1996">
        <v>9.7424999548364006</v>
      </c>
      <c r="AI1996">
        <v>96.1910057798369</v>
      </c>
      <c r="AJ1996">
        <v>110.185801776834</v>
      </c>
      <c r="AK1996">
        <v>10.4409506724244</v>
      </c>
      <c r="AL1996">
        <v>80.554898680147105</v>
      </c>
      <c r="AM1996">
        <v>105.12765679836799</v>
      </c>
      <c r="AN1996">
        <v>0.99999995037252298</v>
      </c>
    </row>
    <row r="1997" spans="1:40" x14ac:dyDescent="0.25">
      <c r="A1997" t="str">
        <f>"20190312164511561"</f>
        <v>20190312164511561</v>
      </c>
      <c r="B1997" t="str">
        <f>"1552380311554059"</f>
        <v>1552380311554059</v>
      </c>
      <c r="C1997" t="s">
        <v>40</v>
      </c>
      <c r="D1997">
        <v>4.6247360000000004</v>
      </c>
      <c r="E1997">
        <v>0.44512190000000001</v>
      </c>
      <c r="F1997" t="s">
        <v>46</v>
      </c>
      <c r="G1997">
        <v>-491.02159999999998</v>
      </c>
      <c r="H1997" s="1">
        <v>3.7169470000000002E-7</v>
      </c>
      <c r="I1997">
        <v>270.6678</v>
      </c>
      <c r="J1997">
        <v>-484.4819</v>
      </c>
      <c r="K1997">
        <v>1.1260410000000001</v>
      </c>
      <c r="L1997">
        <v>279.1121</v>
      </c>
      <c r="M1997">
        <v>-0.84758040000000001</v>
      </c>
      <c r="N1997">
        <v>0</v>
      </c>
      <c r="O1997">
        <v>-0.53040529999999997</v>
      </c>
      <c r="P1997">
        <v>-0.67626769999999903</v>
      </c>
      <c r="Q1997">
        <v>0.16008889999999901</v>
      </c>
      <c r="R1997">
        <v>-0.71905079999999999</v>
      </c>
      <c r="S1997">
        <v>-1.921692</v>
      </c>
      <c r="T1997">
        <v>-0.32007239999999998</v>
      </c>
      <c r="U1997">
        <v>-2.438599</v>
      </c>
      <c r="V1997">
        <v>-0.25828190000000001</v>
      </c>
      <c r="W1997">
        <v>0.16479160000000001</v>
      </c>
      <c r="X1997">
        <v>0.95191079999999995</v>
      </c>
      <c r="Y1997">
        <v>-0.33813559999999998</v>
      </c>
      <c r="Z1997">
        <v>3.9328750000000003E-2</v>
      </c>
      <c r="AA1997">
        <v>0.94027530000000004</v>
      </c>
      <c r="AB1997">
        <v>48</v>
      </c>
      <c r="AC1997">
        <v>-6.5396999999999803</v>
      </c>
      <c r="AD1997">
        <v>-1.1260406283052999</v>
      </c>
      <c r="AE1997">
        <v>-8.4442999999999895</v>
      </c>
      <c r="AF1997">
        <v>-3.64848973419253</v>
      </c>
      <c r="AG1997">
        <v>-1.1260406283052999</v>
      </c>
      <c r="AH1997">
        <v>9.9130282857920804</v>
      </c>
      <c r="AI1997">
        <v>96.084813145552104</v>
      </c>
      <c r="AJ1997">
        <v>110.206136566593</v>
      </c>
      <c r="AK1997">
        <v>10.6229739071512</v>
      </c>
      <c r="AL1997">
        <v>80.514871609312095</v>
      </c>
      <c r="AM1997">
        <v>105.180573724775</v>
      </c>
      <c r="AN1997">
        <v>0.99999999122740402</v>
      </c>
    </row>
    <row r="1998" spans="1:40" x14ac:dyDescent="0.25">
      <c r="A1998" t="str">
        <f>"20190312164511576"</f>
        <v>20190312164511576</v>
      </c>
      <c r="B1998" t="str">
        <f>"1552380311563819"</f>
        <v>1552380311563819</v>
      </c>
      <c r="C1998" t="s">
        <v>40</v>
      </c>
      <c r="D1998">
        <v>4.7874210000000001</v>
      </c>
      <c r="E1998">
        <v>0.44205640000000002</v>
      </c>
      <c r="F1998" t="s">
        <v>46</v>
      </c>
      <c r="G1998">
        <v>-490.5915</v>
      </c>
      <c r="H1998" s="1">
        <v>3.0629869999999998E-7</v>
      </c>
      <c r="I1998">
        <v>270.4828</v>
      </c>
      <c r="J1998">
        <v>-484.7217</v>
      </c>
      <c r="K1998">
        <v>1.1261000000000001</v>
      </c>
      <c r="L1998">
        <v>278.96379999999999</v>
      </c>
      <c r="M1998">
        <v>-0.8428544</v>
      </c>
      <c r="N1998">
        <v>0</v>
      </c>
      <c r="O1998">
        <v>-0.53788259999999999</v>
      </c>
      <c r="P1998">
        <v>-0.66869080000000003</v>
      </c>
      <c r="Q1998">
        <v>0.16021340000000001</v>
      </c>
      <c r="R1998">
        <v>-0.72607509999999997</v>
      </c>
      <c r="S1998">
        <v>-1.804657</v>
      </c>
      <c r="T1998">
        <v>-0.33261049999999998</v>
      </c>
      <c r="U1998">
        <v>-2.5489199999999999</v>
      </c>
      <c r="V1998">
        <v>-0.25985069999999999</v>
      </c>
      <c r="W1998">
        <v>0.1648259</v>
      </c>
      <c r="X1998">
        <v>0.95147780000000004</v>
      </c>
      <c r="Y1998">
        <v>-0.377664</v>
      </c>
      <c r="Z1998">
        <v>3.9542279999999999E-2</v>
      </c>
      <c r="AA1998">
        <v>0.92509799999999998</v>
      </c>
      <c r="AB1998">
        <v>48</v>
      </c>
      <c r="AC1998">
        <v>-5.8697999999999899</v>
      </c>
      <c r="AD1998">
        <v>-1.1260996937012999</v>
      </c>
      <c r="AE1998">
        <v>-8.4809999999999892</v>
      </c>
      <c r="AF1998">
        <v>-3.9445215394340898</v>
      </c>
      <c r="AG1998">
        <v>-1.1260996937012999</v>
      </c>
      <c r="AH1998">
        <v>9.3984626371187403</v>
      </c>
      <c r="AI1998">
        <v>96.304550453216393</v>
      </c>
      <c r="AJ1998">
        <v>112.767724293813</v>
      </c>
      <c r="AK1998">
        <v>10.2546794506961</v>
      </c>
      <c r="AL1998">
        <v>80.5128790461942</v>
      </c>
      <c r="AM1998">
        <v>105.27511244831901</v>
      </c>
      <c r="AN1998">
        <v>0.999999983747069</v>
      </c>
    </row>
    <row r="1999" spans="1:40" x14ac:dyDescent="0.25">
      <c r="A1999" t="str">
        <f>"20190312164511587"</f>
        <v>20190312164511587</v>
      </c>
      <c r="B1999" t="str">
        <f>"1552380311583339"</f>
        <v>1552380311583339</v>
      </c>
      <c r="C1999" t="s">
        <v>40</v>
      </c>
      <c r="D1999">
        <v>4.702267</v>
      </c>
      <c r="E1999">
        <v>0.44043159999999998</v>
      </c>
      <c r="F1999" t="s">
        <v>41</v>
      </c>
      <c r="G1999">
        <v>-485.33800000000002</v>
      </c>
      <c r="H1999">
        <v>1.002607</v>
      </c>
      <c r="I1999">
        <v>278.06049999999999</v>
      </c>
      <c r="J1999">
        <v>-484.92930000000001</v>
      </c>
      <c r="K1999">
        <v>1.126142</v>
      </c>
      <c r="L1999">
        <v>278.83359999999999</v>
      </c>
      <c r="M1999">
        <v>-0.83867599999999998</v>
      </c>
      <c r="N1999">
        <v>0</v>
      </c>
      <c r="O1999">
        <v>-0.54437419999999903</v>
      </c>
      <c r="P1999">
        <v>-0.66261630000000005</v>
      </c>
      <c r="Q1999">
        <v>0.1600203</v>
      </c>
      <c r="R1999">
        <v>-0.73166509999999996</v>
      </c>
      <c r="S1999">
        <v>-1.763916</v>
      </c>
      <c r="T1999">
        <v>-0.35342869999999998</v>
      </c>
      <c r="U1999">
        <v>-2.5853269999999999</v>
      </c>
      <c r="V1999">
        <v>-0.26048290000000002</v>
      </c>
      <c r="W1999">
        <v>0.16459079999999901</v>
      </c>
      <c r="X1999">
        <v>0.95134560000000001</v>
      </c>
      <c r="Y1999">
        <v>-0.38659650000000001</v>
      </c>
      <c r="Z1999">
        <v>4.2256490000000001E-2</v>
      </c>
      <c r="AA1999">
        <v>0.9212804</v>
      </c>
      <c r="AB1999">
        <v>48</v>
      </c>
      <c r="AC1999">
        <v>-0.40870000000001</v>
      </c>
      <c r="AD1999">
        <v>-0.12353499999999901</v>
      </c>
      <c r="AE1999">
        <v>-0.77309999999999901</v>
      </c>
      <c r="AF1999">
        <v>-0.41762005610338199</v>
      </c>
      <c r="AG1999">
        <v>-0.12353499999999901</v>
      </c>
      <c r="AH1999">
        <v>0.74878630242638</v>
      </c>
      <c r="AI1999">
        <v>98.199067038152293</v>
      </c>
      <c r="AJ1999">
        <v>119.14968825686999</v>
      </c>
      <c r="AK1999">
        <v>0.86622649127474904</v>
      </c>
      <c r="AL1999">
        <v>80.526535592555504</v>
      </c>
      <c r="AM1999">
        <v>105.312561442629</v>
      </c>
      <c r="AN1999">
        <v>0.99999996163820404</v>
      </c>
    </row>
    <row r="2000" spans="1:40" x14ac:dyDescent="0.25">
      <c r="A2000" t="str">
        <f>"20190312164511598"</f>
        <v>20190312164511598</v>
      </c>
      <c r="B2000" t="str">
        <f>"1552380311594075"</f>
        <v>1552380311594075</v>
      </c>
      <c r="C2000" t="s">
        <v>40</v>
      </c>
      <c r="D2000">
        <v>4.6344390000000004</v>
      </c>
      <c r="E2000">
        <v>0.44057600000000002</v>
      </c>
      <c r="F2000" t="s">
        <v>46</v>
      </c>
      <c r="G2000">
        <v>-490.1678</v>
      </c>
      <c r="H2000" s="1">
        <v>4.7157970000000002E-7</v>
      </c>
      <c r="I2000">
        <v>270.9504</v>
      </c>
      <c r="J2000">
        <v>-485.12849999999997</v>
      </c>
      <c r="K2000">
        <v>1.1261779999999999</v>
      </c>
      <c r="L2000">
        <v>278.70549999999997</v>
      </c>
      <c r="M2000">
        <v>-0.83456580000000002</v>
      </c>
      <c r="N2000">
        <v>0</v>
      </c>
      <c r="O2000">
        <v>-0.55065459999999899</v>
      </c>
      <c r="P2000">
        <v>-0.65666469999999999</v>
      </c>
      <c r="Q2000">
        <v>0.15995589999999901</v>
      </c>
      <c r="R2000">
        <v>-0.73702489999999998</v>
      </c>
      <c r="S2000">
        <v>-1.7348330000000001</v>
      </c>
      <c r="T2000">
        <v>-0.37294899999999997</v>
      </c>
      <c r="U2000">
        <v>-2.6107179999999999</v>
      </c>
      <c r="V2000">
        <v>-0.2610808</v>
      </c>
      <c r="W2000">
        <v>0.164487299999999</v>
      </c>
      <c r="X2000">
        <v>0.95119969999999998</v>
      </c>
      <c r="Y2000">
        <v>-0.39100489999999999</v>
      </c>
      <c r="Z2000">
        <v>4.5096020000000001E-2</v>
      </c>
      <c r="AA2000">
        <v>0.91928319999999997</v>
      </c>
      <c r="AB2000">
        <v>48</v>
      </c>
      <c r="AC2000">
        <v>-5.0393000000000203</v>
      </c>
      <c r="AD2000">
        <v>-1.1261775284202999</v>
      </c>
      <c r="AE2000">
        <v>-7.7550999999999704</v>
      </c>
      <c r="AF2000">
        <v>-3.6437174374434602</v>
      </c>
      <c r="AG2000">
        <v>-1.1261775284202999</v>
      </c>
      <c r="AH2000">
        <v>8.3533354211771602</v>
      </c>
      <c r="AI2000">
        <v>97.044509721500503</v>
      </c>
      <c r="AJ2000">
        <v>113.56678668223201</v>
      </c>
      <c r="AK2000">
        <v>9.1827645754501095</v>
      </c>
      <c r="AL2000">
        <v>80.532548611826897</v>
      </c>
      <c r="AM2000">
        <v>105.348296791287</v>
      </c>
      <c r="AN2000">
        <v>1.0000000626350001</v>
      </c>
    </row>
    <row r="2001" spans="1:40" x14ac:dyDescent="0.25">
      <c r="A2001" t="str">
        <f>"20190312164511609"</f>
        <v>20190312164511609</v>
      </c>
      <c r="B2001" t="str">
        <f>"1552380311603835"</f>
        <v>1552380311603835</v>
      </c>
      <c r="C2001" t="s">
        <v>40</v>
      </c>
      <c r="D2001">
        <v>4.7670180000000002</v>
      </c>
      <c r="E2001">
        <v>0.4413919</v>
      </c>
      <c r="F2001" t="s">
        <v>41</v>
      </c>
      <c r="G2001">
        <v>-485.7473</v>
      </c>
      <c r="H2001">
        <v>0.99225339999999995</v>
      </c>
      <c r="I2001">
        <v>277.75880000000001</v>
      </c>
      <c r="J2001">
        <v>-485.3295</v>
      </c>
      <c r="K2001">
        <v>1.1262219999999901</v>
      </c>
      <c r="L2001">
        <v>278.5754</v>
      </c>
      <c r="M2001">
        <v>-0.83035490000000001</v>
      </c>
      <c r="N2001">
        <v>0</v>
      </c>
      <c r="O2001">
        <v>-0.55698319999999901</v>
      </c>
      <c r="P2001">
        <v>-0.65050259999999904</v>
      </c>
      <c r="Q2001">
        <v>0.15960659999999999</v>
      </c>
      <c r="R2001">
        <v>-0.74254430000000005</v>
      </c>
      <c r="S2001">
        <v>-1.714661</v>
      </c>
      <c r="T2001">
        <v>-0.37111159999999999</v>
      </c>
      <c r="U2001">
        <v>-2.623291</v>
      </c>
      <c r="V2001">
        <v>-0.26184030000000003</v>
      </c>
      <c r="W2001">
        <v>0.16409079999999901</v>
      </c>
      <c r="X2001">
        <v>0.95105930000000005</v>
      </c>
      <c r="Y2001">
        <v>-0.39100089999999998</v>
      </c>
      <c r="Z2001">
        <v>4.5730460000000001E-2</v>
      </c>
      <c r="AA2001">
        <v>0.91925349999999995</v>
      </c>
      <c r="AB2001">
        <v>48</v>
      </c>
      <c r="AC2001">
        <v>-0.41779999999999901</v>
      </c>
      <c r="AD2001">
        <v>-0.13396859999999899</v>
      </c>
      <c r="AE2001">
        <v>-0.816599999999994</v>
      </c>
      <c r="AF2001">
        <v>-0.43611990222813402</v>
      </c>
      <c r="AG2001">
        <v>-0.13396859999999899</v>
      </c>
      <c r="AH2001">
        <v>0.78511996124988304</v>
      </c>
      <c r="AI2001">
        <v>98.484032840454404</v>
      </c>
      <c r="AJ2001">
        <v>119.05137773846199</v>
      </c>
      <c r="AK2001">
        <v>0.90805369249756096</v>
      </c>
      <c r="AL2001">
        <v>80.555578370712098</v>
      </c>
      <c r="AM2001">
        <v>105.39299603186799</v>
      </c>
      <c r="AN2001">
        <v>0.99999996273260905</v>
      </c>
    </row>
    <row r="2002" spans="1:40" x14ac:dyDescent="0.25">
      <c r="A2002" t="str">
        <f>"20190312164511620"</f>
        <v>20190312164511620</v>
      </c>
      <c r="B2002" t="str">
        <f>"1552380311613595"</f>
        <v>1552380311613595</v>
      </c>
      <c r="C2002" t="s">
        <v>40</v>
      </c>
      <c r="D2002">
        <v>4.907845</v>
      </c>
      <c r="E2002">
        <v>0.44192120000000001</v>
      </c>
      <c r="F2002" t="s">
        <v>46</v>
      </c>
      <c r="G2002">
        <v>-490.5215</v>
      </c>
      <c r="H2002" s="1">
        <v>3.2068560000000002E-7</v>
      </c>
      <c r="I2002">
        <v>270.52350000000001</v>
      </c>
      <c r="J2002">
        <v>-485.52089999999998</v>
      </c>
      <c r="K2002">
        <v>1.1262620000000001</v>
      </c>
      <c r="L2002">
        <v>278.44819999999999</v>
      </c>
      <c r="M2002">
        <v>-0.82624010000000003</v>
      </c>
      <c r="N2002">
        <v>0</v>
      </c>
      <c r="O2002">
        <v>-0.56306859999999903</v>
      </c>
      <c r="P2002">
        <v>-0.64451359999999902</v>
      </c>
      <c r="Q2002">
        <v>0.159631299999999</v>
      </c>
      <c r="R2002">
        <v>-0.74774350000000001</v>
      </c>
      <c r="S2002">
        <v>-1.697357</v>
      </c>
      <c r="T2002">
        <v>-0.36818269999999997</v>
      </c>
      <c r="U2002">
        <v>-2.6323240000000001</v>
      </c>
      <c r="V2002">
        <v>-0.2625131</v>
      </c>
      <c r="W2002">
        <v>0.16407430000000001</v>
      </c>
      <c r="X2002">
        <v>0.95087670000000002</v>
      </c>
      <c r="Y2002">
        <v>-0.38996370000000002</v>
      </c>
      <c r="Z2002">
        <v>4.6264960000000001E-2</v>
      </c>
      <c r="AA2002">
        <v>0.91966729999999997</v>
      </c>
      <c r="AB2002">
        <v>48</v>
      </c>
      <c r="AC2002">
        <v>-5.0006000000000199</v>
      </c>
      <c r="AD2002">
        <v>-1.1262616793144</v>
      </c>
      <c r="AE2002">
        <v>-7.9246999999999703</v>
      </c>
      <c r="AF2002">
        <v>-3.6793957723613802</v>
      </c>
      <c r="AG2002">
        <v>-1.1262616793144</v>
      </c>
      <c r="AH2002">
        <v>8.4726571666147006</v>
      </c>
      <c r="AI2002">
        <v>96.951655741267203</v>
      </c>
      <c r="AJ2002">
        <v>113.473717546611</v>
      </c>
      <c r="AK2002">
        <v>9.3055004208774399</v>
      </c>
      <c r="AL2002">
        <v>80.556537105879499</v>
      </c>
      <c r="AM2002">
        <v>105.433487628232</v>
      </c>
      <c r="AN2002">
        <v>1.0000000010974901</v>
      </c>
    </row>
    <row r="2003" spans="1:40" x14ac:dyDescent="0.25">
      <c r="A2003" t="str">
        <f>"20190312164511632"</f>
        <v>20190312164511632</v>
      </c>
      <c r="B2003" t="str">
        <f>"1552380311623355"</f>
        <v>1552380311623355</v>
      </c>
      <c r="C2003" t="s">
        <v>40</v>
      </c>
      <c r="D2003">
        <v>4.6986759999999999</v>
      </c>
      <c r="E2003">
        <v>0.44206719999999999</v>
      </c>
      <c r="F2003" t="s">
        <v>46</v>
      </c>
      <c r="G2003">
        <v>-490.55930000000001</v>
      </c>
      <c r="H2003" s="1">
        <v>3.1844619999999998E-7</v>
      </c>
      <c r="I2003">
        <v>270.5172</v>
      </c>
      <c r="J2003">
        <v>-485.71339999999998</v>
      </c>
      <c r="K2003">
        <v>1.1263019999999999</v>
      </c>
      <c r="L2003">
        <v>278.31939999999997</v>
      </c>
      <c r="M2003">
        <v>-0.82203919999999997</v>
      </c>
      <c r="N2003">
        <v>0</v>
      </c>
      <c r="O2003">
        <v>-0.56918329999999995</v>
      </c>
      <c r="P2003">
        <v>-0.63826059999999996</v>
      </c>
      <c r="Q2003">
        <v>0.15951209999999999</v>
      </c>
      <c r="R2003">
        <v>-0.75311300000000003</v>
      </c>
      <c r="S2003">
        <v>-1.67984</v>
      </c>
      <c r="T2003">
        <v>-0.3755057</v>
      </c>
      <c r="U2003">
        <v>-2.6442869999999998</v>
      </c>
      <c r="V2003">
        <v>-0.26341560000000003</v>
      </c>
      <c r="W2003">
        <v>0.1639022</v>
      </c>
      <c r="X2003">
        <v>0.95065679999999997</v>
      </c>
      <c r="Y2003">
        <v>-0.38941300000000001</v>
      </c>
      <c r="Z2003">
        <v>4.8027479999999997E-2</v>
      </c>
      <c r="AA2003">
        <v>0.91981020000000002</v>
      </c>
      <c r="AB2003">
        <v>48</v>
      </c>
      <c r="AC2003">
        <v>-4.8459000000000199</v>
      </c>
      <c r="AD2003">
        <v>-1.1263016815538001</v>
      </c>
      <c r="AE2003">
        <v>-7.8021999999999698</v>
      </c>
      <c r="AF2003">
        <v>-3.6018597865958002</v>
      </c>
      <c r="AG2003">
        <v>-1.1263016815538001</v>
      </c>
      <c r="AH2003">
        <v>8.3007632066011094</v>
      </c>
      <c r="AI2003">
        <v>97.0953018386422</v>
      </c>
      <c r="AJ2003">
        <v>113.456943364468</v>
      </c>
      <c r="AK2003">
        <v>9.1183671351963902</v>
      </c>
      <c r="AL2003">
        <v>80.566533310759795</v>
      </c>
      <c r="AM2003">
        <v>105.487414642788</v>
      </c>
      <c r="AN2003">
        <v>1.0000000304372101</v>
      </c>
    </row>
    <row r="2004" spans="1:40" x14ac:dyDescent="0.25">
      <c r="A2004" t="str">
        <f>"20190312164511643"</f>
        <v>20190312164511643</v>
      </c>
      <c r="B2004" t="str">
        <f>"1552380311634091"</f>
        <v>1552380311634091</v>
      </c>
      <c r="C2004" t="s">
        <v>40</v>
      </c>
      <c r="D2004">
        <v>4.8166250000000002</v>
      </c>
      <c r="E2004">
        <v>0.44216729999999999</v>
      </c>
      <c r="F2004" t="s">
        <v>46</v>
      </c>
      <c r="G2004">
        <v>-490.65129999999999</v>
      </c>
      <c r="H2004" s="1">
        <v>2.81411E-7</v>
      </c>
      <c r="I2004">
        <v>270.41239999999999</v>
      </c>
      <c r="J2004">
        <v>-485.92250000000001</v>
      </c>
      <c r="K2004">
        <v>1.1263449999999999</v>
      </c>
      <c r="L2004">
        <v>278.17660000000001</v>
      </c>
      <c r="M2004">
        <v>-0.81737389999999999</v>
      </c>
      <c r="N2004">
        <v>0</v>
      </c>
      <c r="O2004">
        <v>-0.57586230000000005</v>
      </c>
      <c r="P2004">
        <v>-0.63157830000000004</v>
      </c>
      <c r="Q2004">
        <v>0.15934039999999999</v>
      </c>
      <c r="R2004">
        <v>-0.75876189999999999</v>
      </c>
      <c r="S2004">
        <v>-1.659454</v>
      </c>
      <c r="T2004">
        <v>-0.37851010000000002</v>
      </c>
      <c r="U2004">
        <v>-2.657257</v>
      </c>
      <c r="V2004">
        <v>-0.2641155</v>
      </c>
      <c r="W2004">
        <v>0.16368859999999999</v>
      </c>
      <c r="X2004">
        <v>0.95049939999999999</v>
      </c>
      <c r="Y2004">
        <v>-0.38904620000000001</v>
      </c>
      <c r="Z2004">
        <v>4.9341950000000002E-2</v>
      </c>
      <c r="AA2004">
        <v>0.91989589999999999</v>
      </c>
      <c r="AB2004">
        <v>48</v>
      </c>
      <c r="AC2004">
        <v>-4.7287999999999704</v>
      </c>
      <c r="AD2004">
        <v>-1.1263447185889901</v>
      </c>
      <c r="AE2004">
        <v>-7.7642000000000104</v>
      </c>
      <c r="AF2004">
        <v>-3.56884427705387</v>
      </c>
      <c r="AG2004">
        <v>-1.1263447185889901</v>
      </c>
      <c r="AH2004">
        <v>8.2114339649441099</v>
      </c>
      <c r="AI2004">
        <v>97.170146462533296</v>
      </c>
      <c r="AJ2004">
        <v>113.490675907816</v>
      </c>
      <c r="AK2004">
        <v>9.0240207036326794</v>
      </c>
      <c r="AL2004">
        <v>80.578939256543407</v>
      </c>
      <c r="AM2004">
        <v>105.529029285091</v>
      </c>
      <c r="AN2004">
        <v>1.00000003225528</v>
      </c>
    </row>
    <row r="2005" spans="1:40" x14ac:dyDescent="0.25">
      <c r="A2005" t="str">
        <f>"20190312164511656"</f>
        <v>20190312164511656</v>
      </c>
      <c r="B2005" t="str">
        <f>"1552380311643851"</f>
        <v>1552380311643851</v>
      </c>
      <c r="C2005" t="s">
        <v>40</v>
      </c>
      <c r="D2005">
        <v>4.685263</v>
      </c>
      <c r="E2005">
        <v>0.4426042</v>
      </c>
      <c r="F2005" t="s">
        <v>46</v>
      </c>
      <c r="G2005">
        <v>-490.72770000000003</v>
      </c>
      <c r="H2005" s="1">
        <v>2.5542180000000001E-7</v>
      </c>
      <c r="I2005">
        <v>270.33890000000002</v>
      </c>
      <c r="J2005">
        <v>-486.1232</v>
      </c>
      <c r="K2005">
        <v>1.126387</v>
      </c>
      <c r="L2005">
        <v>278.03719999999998</v>
      </c>
      <c r="M2005">
        <v>-0.81280359999999996</v>
      </c>
      <c r="N2005">
        <v>0</v>
      </c>
      <c r="O2005">
        <v>-0.58229489999999995</v>
      </c>
      <c r="P2005">
        <v>-0.62546990000000002</v>
      </c>
      <c r="Q2005">
        <v>0.15894</v>
      </c>
      <c r="R2005">
        <v>-0.76388869999999998</v>
      </c>
      <c r="S2005">
        <v>-1.6376949999999999</v>
      </c>
      <c r="T2005">
        <v>-0.38388430000000001</v>
      </c>
      <c r="U2005">
        <v>-2.671265</v>
      </c>
      <c r="V2005">
        <v>-0.26430979999999998</v>
      </c>
      <c r="W2005">
        <v>0.1632728</v>
      </c>
      <c r="X2005">
        <v>0.9505169</v>
      </c>
      <c r="Y2005">
        <v>-0.38942209999999999</v>
      </c>
      <c r="Z2005">
        <v>5.0902580000000003E-2</v>
      </c>
      <c r="AA2005">
        <v>0.91965169999999996</v>
      </c>
      <c r="AB2005">
        <v>48</v>
      </c>
      <c r="AC2005">
        <v>-4.60450000000003</v>
      </c>
      <c r="AD2005">
        <v>-1.1263867445781901</v>
      </c>
      <c r="AE2005">
        <v>-7.6982999999999597</v>
      </c>
      <c r="AF2005">
        <v>-3.5210169926453401</v>
      </c>
      <c r="AG2005">
        <v>-1.1263867445781901</v>
      </c>
      <c r="AH2005">
        <v>8.0987015254738495</v>
      </c>
      <c r="AI2005">
        <v>97.268782318222605</v>
      </c>
      <c r="AJ2005">
        <v>113.49762805672501</v>
      </c>
      <c r="AK2005">
        <v>8.9025431287678192</v>
      </c>
      <c r="AL2005">
        <v>80.603087675531697</v>
      </c>
      <c r="AM2005">
        <v>105.53962925799</v>
      </c>
      <c r="AN2005">
        <v>1.0000000273907399</v>
      </c>
    </row>
    <row r="2006" spans="1:40" x14ac:dyDescent="0.25">
      <c r="A2006" t="str">
        <f>"20190312164511666"</f>
        <v>20190312164511666</v>
      </c>
      <c r="B2006" t="str">
        <f>"1552380311653611"</f>
        <v>1552380311653611</v>
      </c>
      <c r="C2006" t="s">
        <v>40</v>
      </c>
      <c r="D2006">
        <v>4.9294609999999999</v>
      </c>
      <c r="E2006">
        <v>0.44266899999999998</v>
      </c>
      <c r="F2006" t="s">
        <v>41</v>
      </c>
      <c r="G2006">
        <v>-486.68700000000001</v>
      </c>
      <c r="H2006">
        <v>0.99220129999999995</v>
      </c>
      <c r="I2006">
        <v>277.10390000000001</v>
      </c>
      <c r="J2006">
        <v>-486.30669999999998</v>
      </c>
      <c r="K2006">
        <v>1.126422</v>
      </c>
      <c r="L2006">
        <v>277.9083</v>
      </c>
      <c r="M2006">
        <v>-0.80855269999999901</v>
      </c>
      <c r="N2006">
        <v>0</v>
      </c>
      <c r="O2006">
        <v>-0.58818230000000005</v>
      </c>
      <c r="P2006">
        <v>-0.61960599999999999</v>
      </c>
      <c r="Q2006">
        <v>0.15834200000000001</v>
      </c>
      <c r="R2006">
        <v>-0.76877600000000001</v>
      </c>
      <c r="S2006">
        <v>-1.6193850000000001</v>
      </c>
      <c r="T2006">
        <v>-0.38546799999999998</v>
      </c>
      <c r="U2006">
        <v>-2.6815190000000002</v>
      </c>
      <c r="V2006">
        <v>-0.26476899999999998</v>
      </c>
      <c r="W2006">
        <v>0.1626475</v>
      </c>
      <c r="X2006">
        <v>0.95049629999999996</v>
      </c>
      <c r="Y2006">
        <v>-0.3889262</v>
      </c>
      <c r="Z2006">
        <v>5.1975199999999902E-2</v>
      </c>
      <c r="AA2006">
        <v>0.9198016</v>
      </c>
      <c r="AB2006">
        <v>48</v>
      </c>
      <c r="AC2006">
        <v>-0.38029999999997699</v>
      </c>
      <c r="AD2006">
        <v>-0.134220699999999</v>
      </c>
      <c r="AE2006">
        <v>-0.80439999999998602</v>
      </c>
      <c r="AF2006">
        <v>-0.41727931914600502</v>
      </c>
      <c r="AG2006">
        <v>-0.134220699999999</v>
      </c>
      <c r="AH2006">
        <v>0.76336660765884201</v>
      </c>
      <c r="AI2006">
        <v>98.7705386643335</v>
      </c>
      <c r="AJ2006">
        <v>118.662352927444</v>
      </c>
      <c r="AK2006">
        <v>0.88026462168146502</v>
      </c>
      <c r="AL2006">
        <v>80.639400099661401</v>
      </c>
      <c r="AM2006">
        <v>105.565640282872</v>
      </c>
      <c r="AN2006">
        <v>1.0000000244654601</v>
      </c>
    </row>
    <row r="2007" spans="1:40" x14ac:dyDescent="0.25">
      <c r="A2007" t="str">
        <f>"20190312164511677"</f>
        <v>20190312164511677</v>
      </c>
      <c r="B2007" t="str">
        <f>"1552380311674107"</f>
        <v>1552380311674107</v>
      </c>
      <c r="C2007" t="s">
        <v>40</v>
      </c>
      <c r="D2007">
        <v>4.6917920000000004</v>
      </c>
      <c r="E2007">
        <v>0.44392399999999999</v>
      </c>
      <c r="F2007" t="s">
        <v>46</v>
      </c>
      <c r="G2007">
        <v>-490.89359999999999</v>
      </c>
      <c r="H2007" s="1">
        <v>2.0097910000000001E-7</v>
      </c>
      <c r="I2007">
        <v>270.18490000000003</v>
      </c>
      <c r="J2007">
        <v>-486.48809999999997</v>
      </c>
      <c r="K2007">
        <v>1.1264540000000001</v>
      </c>
      <c r="L2007">
        <v>277.77809999999999</v>
      </c>
      <c r="M2007">
        <v>-0.80425970000000002</v>
      </c>
      <c r="N2007">
        <v>0</v>
      </c>
      <c r="O2007">
        <v>-0.59403850000000002</v>
      </c>
      <c r="P2007">
        <v>-0.61387799999999904</v>
      </c>
      <c r="Q2007">
        <v>0.1576823</v>
      </c>
      <c r="R2007">
        <v>-0.77349190000000001</v>
      </c>
      <c r="S2007">
        <v>-1.5998540000000001</v>
      </c>
      <c r="T2007">
        <v>-0.39288139999999999</v>
      </c>
      <c r="U2007">
        <v>-2.6938170000000001</v>
      </c>
      <c r="V2007">
        <v>-0.26502170000000003</v>
      </c>
      <c r="W2007">
        <v>0.16197230000000001</v>
      </c>
      <c r="X2007">
        <v>0.95054110000000003</v>
      </c>
      <c r="Y2007">
        <v>-0.38906879999999999</v>
      </c>
      <c r="Z2007">
        <v>5.3784789999999999E-2</v>
      </c>
      <c r="AA2007">
        <v>0.91963729999999999</v>
      </c>
      <c r="AB2007">
        <v>48</v>
      </c>
      <c r="AC2007">
        <v>-4.4055000000000097</v>
      </c>
      <c r="AD2007">
        <v>-1.12645379902089</v>
      </c>
      <c r="AE2007">
        <v>-7.5931999999999604</v>
      </c>
      <c r="AF2007">
        <v>-3.4338259675721399</v>
      </c>
      <c r="AG2007">
        <v>-1.12645379902089</v>
      </c>
      <c r="AH2007">
        <v>7.9244866967348999</v>
      </c>
      <c r="AI2007">
        <v>97.431130339686604</v>
      </c>
      <c r="AJ2007">
        <v>113.427972887919</v>
      </c>
      <c r="AK2007">
        <v>8.7096238922027993</v>
      </c>
      <c r="AL2007">
        <v>80.678605435596396</v>
      </c>
      <c r="AM2007">
        <v>105.579076530667</v>
      </c>
      <c r="AN2007">
        <v>0.99999995511369399</v>
      </c>
    </row>
    <row r="2008" spans="1:40" x14ac:dyDescent="0.25">
      <c r="A2008" t="str">
        <f>"20190312164511688"</f>
        <v>20190312164511688</v>
      </c>
      <c r="B2008" t="str">
        <f>"1552380311683867"</f>
        <v>1552380311683867</v>
      </c>
      <c r="C2008" t="s">
        <v>40</v>
      </c>
      <c r="D2008">
        <v>4.7151699999999996</v>
      </c>
      <c r="E2008">
        <v>0.4443976</v>
      </c>
      <c r="F2008" t="s">
        <v>46</v>
      </c>
      <c r="G2008">
        <v>-491.04360000000003</v>
      </c>
      <c r="H2008" s="1">
        <v>1.456752E-7</v>
      </c>
      <c r="I2008">
        <v>270.02839999999998</v>
      </c>
      <c r="J2008">
        <v>-486.67939999999999</v>
      </c>
      <c r="K2008">
        <v>1.1264879999999999</v>
      </c>
      <c r="L2008">
        <v>277.63990000000001</v>
      </c>
      <c r="M2008">
        <v>-0.7996683</v>
      </c>
      <c r="N2008">
        <v>0</v>
      </c>
      <c r="O2008">
        <v>-0.60020459999999998</v>
      </c>
      <c r="P2008">
        <v>-0.60798980000000002</v>
      </c>
      <c r="Q2008">
        <v>0.15642700000000001</v>
      </c>
      <c r="R2008">
        <v>-0.77838280000000004</v>
      </c>
      <c r="S2008">
        <v>-1.5867</v>
      </c>
      <c r="T2008">
        <v>-0.39234629999999998</v>
      </c>
      <c r="U2008">
        <v>-2.6992189999999998</v>
      </c>
      <c r="V2008">
        <v>-0.26508979999999999</v>
      </c>
      <c r="W2008">
        <v>0.1607111</v>
      </c>
      <c r="X2008">
        <v>0.95073620000000003</v>
      </c>
      <c r="Y2008">
        <v>-0.38615850000000002</v>
      </c>
      <c r="Z2008">
        <v>5.4793300000000003E-2</v>
      </c>
      <c r="AA2008">
        <v>0.92080360000000006</v>
      </c>
      <c r="AB2008">
        <v>47</v>
      </c>
      <c r="AC2008">
        <v>-4.3642000000000296</v>
      </c>
      <c r="AD2008">
        <v>-1.1264878543248</v>
      </c>
      <c r="AE2008">
        <v>-7.6115000000000297</v>
      </c>
      <c r="AF2008">
        <v>-3.4115203595622501</v>
      </c>
      <c r="AG2008">
        <v>-1.1264878543248</v>
      </c>
      <c r="AH2008">
        <v>7.9288180549338403</v>
      </c>
      <c r="AI2008">
        <v>97.435494832576694</v>
      </c>
      <c r="AJ2008">
        <v>113.280685070122</v>
      </c>
      <c r="AK2008">
        <v>8.7048033750277103</v>
      </c>
      <c r="AL2008">
        <v>80.751826508696794</v>
      </c>
      <c r="AM2008">
        <v>105.57984281984</v>
      </c>
      <c r="AN2008">
        <v>0.99999999085884494</v>
      </c>
    </row>
    <row r="2009" spans="1:40" x14ac:dyDescent="0.25">
      <c r="A2009" t="str">
        <f>"20190312164511699"</f>
        <v>20190312164511699</v>
      </c>
      <c r="B2009" t="str">
        <f>"1552380311693628"</f>
        <v>1552380311693628</v>
      </c>
      <c r="C2009" t="s">
        <v>40</v>
      </c>
      <c r="D2009">
        <v>4.6403869999999996</v>
      </c>
      <c r="E2009">
        <v>0.44504870000000002</v>
      </c>
      <c r="F2009" t="s">
        <v>46</v>
      </c>
      <c r="G2009">
        <v>-491.15109999999999</v>
      </c>
      <c r="H2009" s="1">
        <v>1.062358E-7</v>
      </c>
      <c r="I2009">
        <v>269.9169</v>
      </c>
      <c r="J2009">
        <v>-486.86509999999998</v>
      </c>
      <c r="K2009">
        <v>1.1265259999999999</v>
      </c>
      <c r="L2009">
        <v>277.50209999999998</v>
      </c>
      <c r="M2009">
        <v>-0.7951009</v>
      </c>
      <c r="N2009">
        <v>0</v>
      </c>
      <c r="O2009">
        <v>-0.60624119999999904</v>
      </c>
      <c r="P2009">
        <v>-0.6021493</v>
      </c>
      <c r="Q2009">
        <v>0.15554970000000001</v>
      </c>
      <c r="R2009">
        <v>-0.78308429999999996</v>
      </c>
      <c r="S2009">
        <v>-1.568268</v>
      </c>
      <c r="T2009">
        <v>-0.39507710000000001</v>
      </c>
      <c r="U2009">
        <v>-2.7085880000000002</v>
      </c>
      <c r="V2009">
        <v>-0.26511780000000001</v>
      </c>
      <c r="W2009">
        <v>0.159831</v>
      </c>
      <c r="X2009">
        <v>0.95087679999999997</v>
      </c>
      <c r="Y2009">
        <v>-0.385293</v>
      </c>
      <c r="Z2009">
        <v>5.6111309999999998E-2</v>
      </c>
      <c r="AA2009">
        <v>0.92108679999999998</v>
      </c>
      <c r="AB2009">
        <v>47</v>
      </c>
      <c r="AC2009">
        <v>-4.2859999999999996</v>
      </c>
      <c r="AD2009">
        <v>-1.1265258937642</v>
      </c>
      <c r="AE2009">
        <v>-7.58519999999998</v>
      </c>
      <c r="AF2009">
        <v>-3.3766858358510001</v>
      </c>
      <c r="AG2009">
        <v>-1.1265258937642</v>
      </c>
      <c r="AH2009">
        <v>7.8757342022194496</v>
      </c>
      <c r="AI2009">
        <v>97.489382750352505</v>
      </c>
      <c r="AJ2009">
        <v>113.20701737888901</v>
      </c>
      <c r="AK2009">
        <v>8.6428153426627894</v>
      </c>
      <c r="AL2009">
        <v>80.802913398458998</v>
      </c>
      <c r="AM2009">
        <v>105.579216472826</v>
      </c>
      <c r="AN2009">
        <v>1.00000004260803</v>
      </c>
    </row>
    <row r="2010" spans="1:40" x14ac:dyDescent="0.25">
      <c r="A2010" t="str">
        <f>"20190312164511713"</f>
        <v>20190312164511713</v>
      </c>
      <c r="B2010" t="str">
        <f>"1552380311703388"</f>
        <v>1552380311703388</v>
      </c>
      <c r="C2010" t="s">
        <v>40</v>
      </c>
      <c r="D2010">
        <v>4.7132959999999997</v>
      </c>
      <c r="E2010">
        <v>0.44550640000000002</v>
      </c>
      <c r="F2010" t="s">
        <v>46</v>
      </c>
      <c r="G2010">
        <v>-491.29070000000002</v>
      </c>
      <c r="H2010" s="1">
        <v>4.8011159999999997E-8</v>
      </c>
      <c r="I2010">
        <v>269.75220000000002</v>
      </c>
      <c r="J2010">
        <v>-487.07619999999997</v>
      </c>
      <c r="K2010">
        <v>1.12656</v>
      </c>
      <c r="L2010">
        <v>277.3442</v>
      </c>
      <c r="M2010">
        <v>-0.78982869999999905</v>
      </c>
      <c r="N2010">
        <v>0</v>
      </c>
      <c r="O2010">
        <v>-0.61309380000000002</v>
      </c>
      <c r="P2010">
        <v>-0.59547700000000003</v>
      </c>
      <c r="Q2010">
        <v>0.154574499999999</v>
      </c>
      <c r="R2010">
        <v>-0.78836139999999999</v>
      </c>
      <c r="S2010">
        <v>-1.5512999999999999</v>
      </c>
      <c r="T2010">
        <v>-0.39487830000000002</v>
      </c>
      <c r="U2010">
        <v>-2.716583</v>
      </c>
      <c r="V2010">
        <v>-0.26509480000000002</v>
      </c>
      <c r="W2010">
        <v>0.15885560000000001</v>
      </c>
      <c r="X2010">
        <v>0.95104659999999996</v>
      </c>
      <c r="Y2010">
        <v>-0.38285970000000002</v>
      </c>
      <c r="Z2010">
        <v>5.7237040000000003E-2</v>
      </c>
      <c r="AA2010">
        <v>0.92203159999999895</v>
      </c>
      <c r="AB2010">
        <v>47</v>
      </c>
      <c r="AC2010">
        <v>-4.2145000000000401</v>
      </c>
      <c r="AD2010">
        <v>-1.1265599519888401</v>
      </c>
      <c r="AE2010">
        <v>-7.5919999999999801</v>
      </c>
      <c r="AF2010">
        <v>-3.35648855374503</v>
      </c>
      <c r="AG2010">
        <v>-1.1265599519888401</v>
      </c>
      <c r="AH2010">
        <v>7.8523156948814199</v>
      </c>
      <c r="AI2010">
        <v>97.515164547460202</v>
      </c>
      <c r="AJ2010">
        <v>113.144385674719</v>
      </c>
      <c r="AK2010">
        <v>8.6135947495182101</v>
      </c>
      <c r="AL2010">
        <v>80.8595225504844</v>
      </c>
      <c r="AM2010">
        <v>105.575284280003</v>
      </c>
      <c r="AN2010">
        <v>0.99999999500497905</v>
      </c>
    </row>
    <row r="2011" spans="1:40" x14ac:dyDescent="0.25">
      <c r="A2011" t="str">
        <f>"20190312164511726"</f>
        <v>20190312164511726</v>
      </c>
      <c r="B2011" t="str">
        <f>"1552380311714122"</f>
        <v>1552380311714122</v>
      </c>
      <c r="C2011" t="s">
        <v>40</v>
      </c>
      <c r="D2011">
        <v>4.6181570000000001</v>
      </c>
      <c r="E2011">
        <v>0.44606469999999998</v>
      </c>
      <c r="F2011" t="s">
        <v>42</v>
      </c>
      <c r="G2011">
        <v>-491.4205</v>
      </c>
      <c r="H2011" s="1">
        <v>-4.5452780000000002E-6</v>
      </c>
      <c r="I2011">
        <v>269.60289999999998</v>
      </c>
      <c r="J2011">
        <v>-487.31180000000001</v>
      </c>
      <c r="K2011">
        <v>1.1265989999999999</v>
      </c>
      <c r="L2011">
        <v>277.16419999999999</v>
      </c>
      <c r="M2011">
        <v>-0.78380729999999998</v>
      </c>
      <c r="N2011">
        <v>0</v>
      </c>
      <c r="O2011">
        <v>-0.62077289999999996</v>
      </c>
      <c r="P2011">
        <v>-0.5878177</v>
      </c>
      <c r="Q2011">
        <v>0.153383299999999</v>
      </c>
      <c r="R2011">
        <v>-0.79432019999999903</v>
      </c>
      <c r="S2011">
        <v>-1.5304260000000001</v>
      </c>
      <c r="T2011">
        <v>-0.39687670000000003</v>
      </c>
      <c r="U2011">
        <v>-2.7271730000000001</v>
      </c>
      <c r="V2011">
        <v>-0.26516390000000001</v>
      </c>
      <c r="W2011">
        <v>0.15766060000000001</v>
      </c>
      <c r="X2011">
        <v>0.95122620000000002</v>
      </c>
      <c r="Y2011">
        <v>-0.38079220000000003</v>
      </c>
      <c r="Z2011">
        <v>5.8775769999999998E-2</v>
      </c>
      <c r="AA2011">
        <v>0.92279069999999996</v>
      </c>
      <c r="AB2011">
        <v>47</v>
      </c>
      <c r="AC2011">
        <v>-4.10869999999999</v>
      </c>
      <c r="AD2011">
        <v>-1.1266035452780001</v>
      </c>
      <c r="AE2011">
        <v>-7.5613000000000099</v>
      </c>
      <c r="AF2011">
        <v>-3.3196217387377698</v>
      </c>
      <c r="AG2011">
        <v>-1.1266035452780001</v>
      </c>
      <c r="AH2011">
        <v>7.7820379510345896</v>
      </c>
      <c r="AI2011">
        <v>97.584910733244996</v>
      </c>
      <c r="AJ2011">
        <v>113.101876612819</v>
      </c>
      <c r="AK2011">
        <v>8.5351765481374802</v>
      </c>
      <c r="AL2011">
        <v>80.928865118021804</v>
      </c>
      <c r="AM2011">
        <v>105.57634834478201</v>
      </c>
      <c r="AN2011">
        <v>1.0000000211110001</v>
      </c>
    </row>
    <row r="2012" spans="1:40" x14ac:dyDescent="0.25">
      <c r="A2012" t="str">
        <f>"20190312164511740"</f>
        <v>20190312164511740</v>
      </c>
      <c r="B2012" t="str">
        <f>"1552380311733643"</f>
        <v>1552380311733643</v>
      </c>
      <c r="C2012" t="s">
        <v>40</v>
      </c>
      <c r="D2012">
        <v>4.6885500000000002</v>
      </c>
      <c r="E2012">
        <v>0.44697959999999898</v>
      </c>
      <c r="F2012" t="s">
        <v>42</v>
      </c>
      <c r="G2012">
        <v>-491.56540000000001</v>
      </c>
      <c r="H2012" s="1">
        <v>-4.5131799999999997E-6</v>
      </c>
      <c r="I2012">
        <v>269.43299999999999</v>
      </c>
      <c r="J2012">
        <v>-487.52940000000001</v>
      </c>
      <c r="K2012">
        <v>1.1266290000000001</v>
      </c>
      <c r="L2012">
        <v>276.99430000000001</v>
      </c>
      <c r="M2012">
        <v>-0.778111199999999</v>
      </c>
      <c r="N2012">
        <v>0</v>
      </c>
      <c r="O2012">
        <v>-0.62789700000000004</v>
      </c>
      <c r="P2012">
        <v>-0.58056529999999995</v>
      </c>
      <c r="Q2012">
        <v>0.15226149999999999</v>
      </c>
      <c r="R2012">
        <v>-0.79985050000000002</v>
      </c>
      <c r="S2012">
        <v>-1.5068360000000001</v>
      </c>
      <c r="T2012">
        <v>-0.39910230000000002</v>
      </c>
      <c r="U2012">
        <v>-2.7387999999999999</v>
      </c>
      <c r="V2012">
        <v>-0.26527279999999998</v>
      </c>
      <c r="W2012">
        <v>0.1565337</v>
      </c>
      <c r="X2012">
        <v>0.9513819</v>
      </c>
      <c r="Y2012">
        <v>-0.38015850000000001</v>
      </c>
      <c r="Z2012">
        <v>6.0206049999999997E-2</v>
      </c>
      <c r="AA2012">
        <v>0.9229598</v>
      </c>
      <c r="AB2012">
        <v>47</v>
      </c>
      <c r="AC2012">
        <v>-4.0359999999999996</v>
      </c>
      <c r="AD2012">
        <v>-1.1266335131799901</v>
      </c>
      <c r="AE2012">
        <v>-7.5613000000000099</v>
      </c>
      <c r="AF2012">
        <v>-3.2929269098746299</v>
      </c>
      <c r="AG2012">
        <v>-1.1266335131799901</v>
      </c>
      <c r="AH2012">
        <v>7.75531367414795</v>
      </c>
      <c r="AI2012">
        <v>97.616289010769805</v>
      </c>
      <c r="AJ2012">
        <v>113.006206917055</v>
      </c>
      <c r="AK2012">
        <v>8.5004447466719597</v>
      </c>
      <c r="AL2012">
        <v>80.994243233241406</v>
      </c>
      <c r="AM2012">
        <v>105.580008344078</v>
      </c>
      <c r="AN2012">
        <v>0.99999998865156903</v>
      </c>
    </row>
    <row r="2013" spans="1:40" x14ac:dyDescent="0.25">
      <c r="A2013" t="str">
        <f>"20190312164511753"</f>
        <v>20190312164511753</v>
      </c>
      <c r="B2013" t="str">
        <f>"1552380311743403"</f>
        <v>1552380311743403</v>
      </c>
      <c r="C2013" t="s">
        <v>40</v>
      </c>
      <c r="D2013">
        <v>4.713527</v>
      </c>
      <c r="E2013">
        <v>0.44750000000000001</v>
      </c>
      <c r="F2013" t="s">
        <v>42</v>
      </c>
      <c r="G2013">
        <v>-491.7088</v>
      </c>
      <c r="H2013" s="1">
        <v>-4.484684E-6</v>
      </c>
      <c r="I2013">
        <v>269.27460000000002</v>
      </c>
      <c r="J2013">
        <v>-487.745</v>
      </c>
      <c r="K2013">
        <v>1.1266609999999999</v>
      </c>
      <c r="L2013">
        <v>276.82369999999997</v>
      </c>
      <c r="M2013">
        <v>-0.77236269999999996</v>
      </c>
      <c r="N2013">
        <v>0</v>
      </c>
      <c r="O2013">
        <v>-0.63495429999999997</v>
      </c>
      <c r="P2013">
        <v>-0.57338149999999999</v>
      </c>
      <c r="Q2013">
        <v>0.1515454</v>
      </c>
      <c r="R2013">
        <v>-0.80515099999999995</v>
      </c>
      <c r="S2013">
        <v>-1.4873959999999999</v>
      </c>
      <c r="T2013">
        <v>-0.40096029999999999</v>
      </c>
      <c r="U2013">
        <v>-2.7474059999999998</v>
      </c>
      <c r="V2013">
        <v>-0.26521549999999999</v>
      </c>
      <c r="W2013">
        <v>0.1558216</v>
      </c>
      <c r="X2013">
        <v>0.95151479999999999</v>
      </c>
      <c r="Y2013">
        <v>-0.37804880000000002</v>
      </c>
      <c r="Z2013">
        <v>6.1676290000000002E-2</v>
      </c>
      <c r="AA2013">
        <v>0.92372889999999996</v>
      </c>
      <c r="AB2013">
        <v>47</v>
      </c>
      <c r="AC2013">
        <v>-3.9637999999999902</v>
      </c>
      <c r="AD2013">
        <v>-1.1266654846840001</v>
      </c>
      <c r="AE2013">
        <v>-7.5490999999999504</v>
      </c>
      <c r="AF2013">
        <v>-3.25741472354711</v>
      </c>
      <c r="AG2013">
        <v>-1.1266654846840001</v>
      </c>
      <c r="AH2013">
        <v>7.72114606306054</v>
      </c>
      <c r="AI2013">
        <v>97.657193683888806</v>
      </c>
      <c r="AJ2013">
        <v>112.874019397098</v>
      </c>
      <c r="AK2013">
        <v>8.4555438809502395</v>
      </c>
      <c r="AL2013">
        <v>81.035550756108407</v>
      </c>
      <c r="AM2013">
        <v>105.574736371044</v>
      </c>
      <c r="AN2013">
        <v>1.0000000235429201</v>
      </c>
    </row>
    <row r="2014" spans="1:40" x14ac:dyDescent="0.25">
      <c r="A2014" t="str">
        <f>"20190312164511765"</f>
        <v>20190312164511765</v>
      </c>
      <c r="B2014" t="str">
        <f>"1552380311754138"</f>
        <v>1552380311754138</v>
      </c>
      <c r="C2014" t="s">
        <v>40</v>
      </c>
      <c r="D2014">
        <v>4.8032440000000003</v>
      </c>
      <c r="E2014">
        <v>0.44750000000000001</v>
      </c>
      <c r="F2014" t="s">
        <v>42</v>
      </c>
      <c r="G2014">
        <v>-491.84859999999998</v>
      </c>
      <c r="H2014" s="1">
        <v>-4.4520239999999997E-6</v>
      </c>
      <c r="I2014">
        <v>269.10570000000001</v>
      </c>
      <c r="J2014">
        <v>-487.96120000000002</v>
      </c>
      <c r="K2014">
        <v>1.1266969999999901</v>
      </c>
      <c r="L2014">
        <v>276.64909999999998</v>
      </c>
      <c r="M2014">
        <v>-0.76647129999999997</v>
      </c>
      <c r="N2014">
        <v>0</v>
      </c>
      <c r="O2014">
        <v>-0.64205269999999903</v>
      </c>
      <c r="P2014">
        <v>-0.56633420000000001</v>
      </c>
      <c r="Q2014">
        <v>0.1507782</v>
      </c>
      <c r="R2014">
        <v>-0.81026640000000005</v>
      </c>
      <c r="S2014">
        <v>-1.4661869999999999</v>
      </c>
      <c r="T2014">
        <v>-0.40254780000000001</v>
      </c>
      <c r="U2014">
        <v>-2.757568</v>
      </c>
      <c r="V2014">
        <v>-0.2648277</v>
      </c>
      <c r="W2014">
        <v>0.15507499999999999</v>
      </c>
      <c r="X2014">
        <v>0.9517447</v>
      </c>
      <c r="Y2014">
        <v>-0.37650450000000002</v>
      </c>
      <c r="Z2014">
        <v>6.3078819999999994E-2</v>
      </c>
      <c r="AA2014">
        <v>0.9242648</v>
      </c>
      <c r="AB2014">
        <v>47</v>
      </c>
      <c r="AC2014">
        <v>-3.8873999999999498</v>
      </c>
      <c r="AD2014">
        <v>-1.12670145202399</v>
      </c>
      <c r="AE2014">
        <v>-7.5433999999999601</v>
      </c>
      <c r="AF2014">
        <v>-3.2294330750235498</v>
      </c>
      <c r="AG2014">
        <v>-1.12670145202399</v>
      </c>
      <c r="AH2014">
        <v>7.6884459450331297</v>
      </c>
      <c r="AI2014">
        <v>97.6946290633812</v>
      </c>
      <c r="AJ2014">
        <v>112.784216037549</v>
      </c>
      <c r="AK2014">
        <v>8.4149209858289993</v>
      </c>
      <c r="AL2014">
        <v>81.078853700058403</v>
      </c>
      <c r="AM2014">
        <v>105.549490834883</v>
      </c>
      <c r="AN2014">
        <v>0.99999997014518904</v>
      </c>
    </row>
    <row r="2015" spans="1:40" x14ac:dyDescent="0.25">
      <c r="A2015" t="str">
        <f>"20190312164511777"</f>
        <v>20190312164511777</v>
      </c>
      <c r="B2015" t="str">
        <f>"1552380311773658"</f>
        <v>1552380311773658</v>
      </c>
      <c r="C2015" t="s">
        <v>40</v>
      </c>
      <c r="D2015">
        <v>4.8380710000000002</v>
      </c>
      <c r="E2015">
        <v>0.46126349999999999</v>
      </c>
      <c r="F2015" t="s">
        <v>42</v>
      </c>
      <c r="G2015">
        <v>-491.97039999999998</v>
      </c>
      <c r="H2015" s="1">
        <v>-4.4198810000000003E-6</v>
      </c>
      <c r="I2015">
        <v>268.94779999999997</v>
      </c>
      <c r="J2015">
        <v>-488.13650000000001</v>
      </c>
      <c r="K2015">
        <v>1.1267240000000001</v>
      </c>
      <c r="L2015">
        <v>276.50459999999998</v>
      </c>
      <c r="M2015">
        <v>-0.76159200000000005</v>
      </c>
      <c r="N2015">
        <v>0</v>
      </c>
      <c r="O2015">
        <v>-0.64783250000000003</v>
      </c>
      <c r="P2015">
        <v>-0.56053129999999995</v>
      </c>
      <c r="Q2015">
        <v>0.15072679999999899</v>
      </c>
      <c r="R2015">
        <v>-0.81430119999999995</v>
      </c>
      <c r="S2015">
        <v>-1.4420170000000001</v>
      </c>
      <c r="T2015">
        <v>-0.40524470000000001</v>
      </c>
      <c r="U2015">
        <v>-2.7699889999999998</v>
      </c>
      <c r="V2015">
        <v>-0.26444230000000002</v>
      </c>
      <c r="W2015">
        <v>0.15504389999999901</v>
      </c>
      <c r="X2015">
        <v>0.95185699999999995</v>
      </c>
      <c r="Y2015">
        <v>-0.3775752</v>
      </c>
      <c r="Z2015">
        <v>6.430901E-2</v>
      </c>
      <c r="AA2015">
        <v>0.92374310000000004</v>
      </c>
      <c r="AB2015">
        <v>47</v>
      </c>
      <c r="AC2015">
        <v>-3.8338999999999701</v>
      </c>
      <c r="AD2015">
        <v>-1.1267284198809999</v>
      </c>
      <c r="AE2015">
        <v>-7.5568000000000097</v>
      </c>
      <c r="AF2015">
        <v>-3.2151049416419402</v>
      </c>
      <c r="AG2015">
        <v>-1.1267284198809999</v>
      </c>
      <c r="AH2015">
        <v>7.6807463911002101</v>
      </c>
      <c r="AI2015">
        <v>97.706352924066806</v>
      </c>
      <c r="AJ2015">
        <v>112.713833327023</v>
      </c>
      <c r="AK2015">
        <v>8.4023973865996702</v>
      </c>
      <c r="AL2015">
        <v>81.080658084957506</v>
      </c>
      <c r="AM2015">
        <v>105.526210889821</v>
      </c>
      <c r="AN2015">
        <v>1.00000004470274</v>
      </c>
    </row>
    <row r="2016" spans="1:40" x14ac:dyDescent="0.25">
      <c r="A2016" t="str">
        <f>"20190312164511789"</f>
        <v>20190312164511789</v>
      </c>
      <c r="B2016" t="str">
        <f>"1552380311783419"</f>
        <v>1552380311783419</v>
      </c>
      <c r="C2016" t="s">
        <v>40</v>
      </c>
      <c r="D2016">
        <v>4.77522</v>
      </c>
      <c r="E2016">
        <v>0.4611633</v>
      </c>
      <c r="F2016" t="s">
        <v>42</v>
      </c>
      <c r="G2016">
        <v>-493.22500000000002</v>
      </c>
      <c r="H2016" s="1">
        <v>-4.0977580000000001E-6</v>
      </c>
      <c r="I2016">
        <v>267.34719999999999</v>
      </c>
      <c r="J2016">
        <v>-488.32420000000002</v>
      </c>
      <c r="K2016">
        <v>1.126754</v>
      </c>
      <c r="L2016">
        <v>276.34890000000001</v>
      </c>
      <c r="M2016">
        <v>-0.75630220000000004</v>
      </c>
      <c r="N2016">
        <v>0</v>
      </c>
      <c r="O2016">
        <v>-0.65399940000000001</v>
      </c>
      <c r="P2016">
        <v>-0.55404900000000001</v>
      </c>
      <c r="Q2016">
        <v>0.15062719999999999</v>
      </c>
      <c r="R2016">
        <v>-0.81874349999999996</v>
      </c>
      <c r="S2016">
        <v>-1.5055540000000001</v>
      </c>
      <c r="T2016">
        <v>-0.3333738</v>
      </c>
      <c r="U2016">
        <v>-2.709473</v>
      </c>
      <c r="V2016">
        <v>-0.26428449999999998</v>
      </c>
      <c r="W2016">
        <v>0.15495349999999999</v>
      </c>
      <c r="X2016">
        <v>0.95191550000000003</v>
      </c>
      <c r="Y2016">
        <v>-0.34444599999999997</v>
      </c>
      <c r="Z2016">
        <v>5.5660210000000002E-2</v>
      </c>
      <c r="AA2016">
        <v>0.93715470000000001</v>
      </c>
      <c r="AB2016">
        <v>47</v>
      </c>
      <c r="AC2016">
        <v>-4.9008000000000003</v>
      </c>
      <c r="AD2016">
        <v>-1.1267580977580001</v>
      </c>
      <c r="AE2016">
        <v>-9.0017000000000191</v>
      </c>
      <c r="AF2016">
        <v>-3.5603812764440899</v>
      </c>
      <c r="AG2016">
        <v>-1.1267580977580001</v>
      </c>
      <c r="AH2016">
        <v>9.4804146417249893</v>
      </c>
      <c r="AI2016">
        <v>96.348822852629397</v>
      </c>
      <c r="AJ2016">
        <v>110.58372899309001</v>
      </c>
      <c r="AK2016">
        <v>10.189414135442201</v>
      </c>
      <c r="AL2016">
        <v>81.085900598190406</v>
      </c>
      <c r="AM2016">
        <v>105.516484867976</v>
      </c>
      <c r="AN2016">
        <v>1.0000000016213699</v>
      </c>
    </row>
    <row r="2017" spans="1:40" x14ac:dyDescent="0.25">
      <c r="A2017" t="str">
        <f>"20190312164511800"</f>
        <v>20190312164511800</v>
      </c>
      <c r="B2017" t="str">
        <f>"1552380311794155"</f>
        <v>1552380311794155</v>
      </c>
      <c r="C2017" t="s">
        <v>40</v>
      </c>
      <c r="D2017">
        <v>4.8929919999999996</v>
      </c>
      <c r="E2017">
        <v>0.46117459999999999</v>
      </c>
      <c r="F2017" t="s">
        <v>41</v>
      </c>
      <c r="G2017">
        <v>-488.92680000000001</v>
      </c>
      <c r="H2017">
        <v>0.9918091</v>
      </c>
      <c r="I2017">
        <v>275.24270000000001</v>
      </c>
      <c r="J2017">
        <v>-488.50119999999998</v>
      </c>
      <c r="K2017">
        <v>1.126773</v>
      </c>
      <c r="L2017">
        <v>276.19799999999998</v>
      </c>
      <c r="M2017">
        <v>-0.75119309999999995</v>
      </c>
      <c r="N2017">
        <v>0</v>
      </c>
      <c r="O2017">
        <v>-0.65986160000000005</v>
      </c>
      <c r="P2017">
        <v>-0.54786579999999996</v>
      </c>
      <c r="Q2017">
        <v>0.1503765</v>
      </c>
      <c r="R2017">
        <v>-0.82294009999999995</v>
      </c>
      <c r="S2017">
        <v>-1.4830319999999999</v>
      </c>
      <c r="T2017">
        <v>-0.33207550000000002</v>
      </c>
      <c r="U2017">
        <v>-2.7217099999999999</v>
      </c>
      <c r="V2017">
        <v>-0.26408530000000002</v>
      </c>
      <c r="W2017">
        <v>0.15471509999999999</v>
      </c>
      <c r="X2017">
        <v>0.95200960000000001</v>
      </c>
      <c r="Y2017">
        <v>-0.34490460000000001</v>
      </c>
      <c r="Z2017">
        <v>5.6148450000000003E-2</v>
      </c>
      <c r="AA2017">
        <v>0.93695689999999998</v>
      </c>
      <c r="AB2017">
        <v>47</v>
      </c>
      <c r="AC2017">
        <v>-0.42560000000003101</v>
      </c>
      <c r="AD2017">
        <v>-0.1349639</v>
      </c>
      <c r="AE2017">
        <v>-0.95529999999996495</v>
      </c>
      <c r="AF2017">
        <v>-0.42968530213063599</v>
      </c>
      <c r="AG2017">
        <v>-0.1349639</v>
      </c>
      <c r="AH2017">
        <v>0.93464633283369702</v>
      </c>
      <c r="AI2017">
        <v>97.474536062942803</v>
      </c>
      <c r="AJ2017">
        <v>114.689678178973</v>
      </c>
      <c r="AK2017">
        <v>1.03750107501138</v>
      </c>
      <c r="AL2017">
        <v>81.099727020710503</v>
      </c>
      <c r="AM2017">
        <v>105.503893595265</v>
      </c>
      <c r="AN2017">
        <v>1.00000004316812</v>
      </c>
    </row>
    <row r="2018" spans="1:40" x14ac:dyDescent="0.25">
      <c r="A2018" t="str">
        <f>"20190312164511811"</f>
        <v>20190312164511811</v>
      </c>
      <c r="B2018" t="str">
        <f>"1552380311803916"</f>
        <v>1552380311803916</v>
      </c>
      <c r="C2018" t="s">
        <v>40</v>
      </c>
      <c r="D2018">
        <v>4.8870040000000001</v>
      </c>
      <c r="E2018">
        <v>0.46189049999999998</v>
      </c>
      <c r="F2018" t="s">
        <v>42</v>
      </c>
      <c r="G2018">
        <v>-493.49130000000002</v>
      </c>
      <c r="H2018" s="1">
        <v>-3.9837859999999999E-6</v>
      </c>
      <c r="I2018">
        <v>266.87349999999998</v>
      </c>
      <c r="J2018">
        <v>-488.67700000000002</v>
      </c>
      <c r="K2018">
        <v>1.1267959999999999</v>
      </c>
      <c r="L2018">
        <v>276.0471</v>
      </c>
      <c r="M2018">
        <v>-0.74605440000000001</v>
      </c>
      <c r="N2018">
        <v>0</v>
      </c>
      <c r="O2018">
        <v>-0.66566530000000002</v>
      </c>
      <c r="P2018">
        <v>-0.5413753</v>
      </c>
      <c r="Q2018">
        <v>0.1498254</v>
      </c>
      <c r="R2018">
        <v>-0.82732410000000001</v>
      </c>
      <c r="S2018">
        <v>-1.46225</v>
      </c>
      <c r="T2018">
        <v>-0.33017419999999997</v>
      </c>
      <c r="U2018">
        <v>-2.7323300000000001</v>
      </c>
      <c r="V2018">
        <v>-0.26425290000000001</v>
      </c>
      <c r="W2018">
        <v>0.1541582</v>
      </c>
      <c r="X2018">
        <v>0.95205340000000005</v>
      </c>
      <c r="Y2018">
        <v>-0.34468989999999999</v>
      </c>
      <c r="Z2018">
        <v>5.6559989999999997E-2</v>
      </c>
      <c r="AA2018">
        <v>0.93701109999999999</v>
      </c>
      <c r="AB2018">
        <v>47</v>
      </c>
      <c r="AC2018">
        <v>-4.8143000000000598</v>
      </c>
      <c r="AD2018">
        <v>-1.1267999837860001</v>
      </c>
      <c r="AE2018">
        <v>-9.17360000000002</v>
      </c>
      <c r="AF2018">
        <v>-3.5972710669874601</v>
      </c>
      <c r="AG2018">
        <v>-1.1267999837860001</v>
      </c>
      <c r="AH2018">
        <v>9.5862956444671603</v>
      </c>
      <c r="AI2018">
        <v>96.280109160274506</v>
      </c>
      <c r="AJ2018">
        <v>110.568673556557</v>
      </c>
      <c r="AK2018">
        <v>10.300830137225599</v>
      </c>
      <c r="AL2018">
        <v>81.132022211618903</v>
      </c>
      <c r="AM2018">
        <v>105.512579966506</v>
      </c>
      <c r="AN2018">
        <v>1.0000000111186</v>
      </c>
    </row>
    <row r="2019" spans="1:40" x14ac:dyDescent="0.25">
      <c r="A2019" t="str">
        <f>"20190312164511821"</f>
        <v>20190312164511821</v>
      </c>
      <c r="B2019" t="str">
        <f>"1552380311813676"</f>
        <v>1552380311813676</v>
      </c>
      <c r="C2019" t="s">
        <v>40</v>
      </c>
      <c r="D2019">
        <v>4.8024500000000003</v>
      </c>
      <c r="E2019">
        <v>0.4618119</v>
      </c>
      <c r="F2019" t="s">
        <v>42</v>
      </c>
      <c r="G2019">
        <v>-493.55860000000001</v>
      </c>
      <c r="H2019" s="1">
        <v>-3.9681899999999997E-6</v>
      </c>
      <c r="I2019">
        <v>266.79259999999999</v>
      </c>
      <c r="J2019">
        <v>-488.84519999999998</v>
      </c>
      <c r="K2019">
        <v>1.1268149999999999</v>
      </c>
      <c r="L2019">
        <v>275.89980000000003</v>
      </c>
      <c r="M2019">
        <v>-0.74104300000000001</v>
      </c>
      <c r="N2019">
        <v>0</v>
      </c>
      <c r="O2019">
        <v>-0.67123929999999998</v>
      </c>
      <c r="P2019">
        <v>-0.53512899999999997</v>
      </c>
      <c r="Q2019">
        <v>0.1491545</v>
      </c>
      <c r="R2019">
        <v>-0.83149869999999904</v>
      </c>
      <c r="S2019">
        <v>-1.4456180000000001</v>
      </c>
      <c r="T2019">
        <v>-0.33368599999999998</v>
      </c>
      <c r="U2019">
        <v>-2.7406009999999998</v>
      </c>
      <c r="V2019">
        <v>-0.26435360000000002</v>
      </c>
      <c r="W2019">
        <v>0.15348499999999901</v>
      </c>
      <c r="X2019">
        <v>0.95213419999999904</v>
      </c>
      <c r="Y2019">
        <v>-0.34330909999999998</v>
      </c>
      <c r="Z2019">
        <v>5.791789E-2</v>
      </c>
      <c r="AA2019">
        <v>0.93743500000000002</v>
      </c>
      <c r="AB2019">
        <v>47</v>
      </c>
      <c r="AC2019">
        <v>-4.7134000000000302</v>
      </c>
      <c r="AD2019">
        <v>-1.1268189681899901</v>
      </c>
      <c r="AE2019">
        <v>-9.1072000000000308</v>
      </c>
      <c r="AF2019">
        <v>-3.54275593877089</v>
      </c>
      <c r="AG2019">
        <v>-1.1268189681899901</v>
      </c>
      <c r="AH2019">
        <v>9.4927305908253299</v>
      </c>
      <c r="AI2019">
        <v>96.345835158720803</v>
      </c>
      <c r="AJ2019">
        <v>110.465939235251</v>
      </c>
      <c r="AK2019">
        <v>10.1947425028178</v>
      </c>
      <c r="AL2019">
        <v>81.171058240748195</v>
      </c>
      <c r="AM2019">
        <v>105.516953130457</v>
      </c>
      <c r="AN2019">
        <v>1.0000000029337901</v>
      </c>
    </row>
    <row r="2020" spans="1:40" x14ac:dyDescent="0.25">
      <c r="A2020" t="str">
        <f>"20190312164511833"</f>
        <v>20190312164511833</v>
      </c>
      <c r="B2020" t="str">
        <f>"1552380311823435"</f>
        <v>1552380311823435</v>
      </c>
      <c r="C2020" t="s">
        <v>40</v>
      </c>
      <c r="D2020">
        <v>4.9806100000000004</v>
      </c>
      <c r="E2020">
        <v>0.46190130000000001</v>
      </c>
      <c r="F2020" t="s">
        <v>42</v>
      </c>
      <c r="G2020">
        <v>-493.64389999999997</v>
      </c>
      <c r="H2020" s="1">
        <v>-3.9265509999999999E-6</v>
      </c>
      <c r="I2020">
        <v>266.62580000000003</v>
      </c>
      <c r="J2020">
        <v>-489.0127</v>
      </c>
      <c r="K2020">
        <v>1.1268320000000001</v>
      </c>
      <c r="L2020">
        <v>275.75139999999999</v>
      </c>
      <c r="M2020">
        <v>-0.73597900000000005</v>
      </c>
      <c r="N2020">
        <v>0</v>
      </c>
      <c r="O2020">
        <v>-0.67678739999999904</v>
      </c>
      <c r="P2020">
        <v>-0.52880559999999999</v>
      </c>
      <c r="Q2020">
        <v>0.14890809999999999</v>
      </c>
      <c r="R2020">
        <v>-0.83557839999999906</v>
      </c>
      <c r="S2020">
        <v>-1.423767</v>
      </c>
      <c r="T2020">
        <v>-0.33432030000000001</v>
      </c>
      <c r="U2020">
        <v>-2.7515559999999999</v>
      </c>
      <c r="V2020">
        <v>-0.26445340000000001</v>
      </c>
      <c r="W2020">
        <v>0.1532366</v>
      </c>
      <c r="X2020">
        <v>0.95214650000000001</v>
      </c>
      <c r="Y2020">
        <v>-0.34366809999999998</v>
      </c>
      <c r="Z2020">
        <v>5.8710169999999999E-2</v>
      </c>
      <c r="AA2020">
        <v>0.93725420000000004</v>
      </c>
      <c r="AB2020">
        <v>47</v>
      </c>
      <c r="AC2020">
        <v>-4.6311999999999696</v>
      </c>
      <c r="AD2020">
        <v>-1.126835926551</v>
      </c>
      <c r="AE2020">
        <v>-9.1255999999999595</v>
      </c>
      <c r="AF2020">
        <v>-3.5395225061948299</v>
      </c>
      <c r="AG2020">
        <v>-1.126835926551</v>
      </c>
      <c r="AH2020">
        <v>9.4711299132883493</v>
      </c>
      <c r="AI2020">
        <v>96.359230624060302</v>
      </c>
      <c r="AJ2020">
        <v>110.491571820722</v>
      </c>
      <c r="AK2020">
        <v>10.173508765986799</v>
      </c>
      <c r="AL2020">
        <v>81.185460927277603</v>
      </c>
      <c r="AM2020">
        <v>105.52233789404799</v>
      </c>
      <c r="AN2020">
        <v>1.0000000069066799</v>
      </c>
    </row>
    <row r="2021" spans="1:40" x14ac:dyDescent="0.25">
      <c r="A2021" t="str">
        <f>"20190312164511843"</f>
        <v>20190312164511843</v>
      </c>
      <c r="B2021" t="str">
        <f>"1552380311833196"</f>
        <v>1552380311833196</v>
      </c>
      <c r="C2021" t="s">
        <v>40</v>
      </c>
      <c r="D2021">
        <v>4.7799620000000003</v>
      </c>
      <c r="E2021">
        <v>0.46195900000000001</v>
      </c>
      <c r="F2021" t="s">
        <v>42</v>
      </c>
      <c r="G2021">
        <v>-493.73329999999999</v>
      </c>
      <c r="H2021" s="1">
        <v>-3.8887429999999998E-6</v>
      </c>
      <c r="I2021">
        <v>266.46800000000002</v>
      </c>
      <c r="J2021">
        <v>-489.18520000000001</v>
      </c>
      <c r="K2021">
        <v>1.126854</v>
      </c>
      <c r="L2021">
        <v>275.596</v>
      </c>
      <c r="M2021">
        <v>-0.73067340000000003</v>
      </c>
      <c r="N2021">
        <v>0</v>
      </c>
      <c r="O2021">
        <v>-0.6825116</v>
      </c>
      <c r="P2021">
        <v>-0.52203650000000001</v>
      </c>
      <c r="Q2021">
        <v>0.14848129999999901</v>
      </c>
      <c r="R2021">
        <v>-0.83989979999999997</v>
      </c>
      <c r="S2021">
        <v>-1.4042049999999999</v>
      </c>
      <c r="T2021">
        <v>-0.33518700000000001</v>
      </c>
      <c r="U2021">
        <v>-2.7614139999999998</v>
      </c>
      <c r="V2021">
        <v>-0.26475979999999999</v>
      </c>
      <c r="W2021">
        <v>0.1527974</v>
      </c>
      <c r="X2021">
        <v>0.95213190000000003</v>
      </c>
      <c r="Y2021">
        <v>-0.34298919999999999</v>
      </c>
      <c r="Z2021">
        <v>5.9609919999999997E-2</v>
      </c>
      <c r="AA2021">
        <v>0.937446</v>
      </c>
      <c r="AB2021">
        <v>47</v>
      </c>
      <c r="AC2021">
        <v>-4.5480999999999696</v>
      </c>
      <c r="AD2021">
        <v>-1.1268578887430001</v>
      </c>
      <c r="AE2021">
        <v>-9.1279999999999806</v>
      </c>
      <c r="AF2021">
        <v>-3.5229684870836002</v>
      </c>
      <c r="AG2021">
        <v>-1.1268578887430001</v>
      </c>
      <c r="AH2021">
        <v>9.4393027794697097</v>
      </c>
      <c r="AI2021">
        <v>96.381643183790104</v>
      </c>
      <c r="AJ2021">
        <v>110.466750102033</v>
      </c>
      <c r="AK2021">
        <v>10.1381237231013</v>
      </c>
      <c r="AL2021">
        <v>81.210924838035695</v>
      </c>
      <c r="AM2021">
        <v>105.539680517527</v>
      </c>
      <c r="AN2021">
        <v>0.99999997607020397</v>
      </c>
    </row>
    <row r="2022" spans="1:40" x14ac:dyDescent="0.25">
      <c r="A2022" t="str">
        <f>"20190312164511868"</f>
        <v>20190312164511868</v>
      </c>
      <c r="B2022" t="str">
        <f>"1552380311863451"</f>
        <v>1552380311863451</v>
      </c>
      <c r="C2022" t="s">
        <v>40</v>
      </c>
      <c r="D2022">
        <v>4.7983729999999998</v>
      </c>
      <c r="E2022">
        <v>0.46247860000000002</v>
      </c>
      <c r="F2022" t="s">
        <v>42</v>
      </c>
      <c r="G2022">
        <v>-493.8347</v>
      </c>
      <c r="H2022" s="1">
        <v>-3.8405750000000001E-6</v>
      </c>
      <c r="I2022">
        <v>266.27370000000002</v>
      </c>
      <c r="J2022">
        <v>-489.53719999999998</v>
      </c>
      <c r="K2022">
        <v>1.126903</v>
      </c>
      <c r="L2022">
        <v>275.27210000000002</v>
      </c>
      <c r="M2022">
        <v>-0.7195838</v>
      </c>
      <c r="N2022">
        <v>0</v>
      </c>
      <c r="O2022">
        <v>-0.69419310000000001</v>
      </c>
      <c r="P2022">
        <v>-0.50747089999999995</v>
      </c>
      <c r="Q2022">
        <v>0.14935599999999999</v>
      </c>
      <c r="R2022">
        <v>-0.84862610000000005</v>
      </c>
      <c r="S2022">
        <v>-1.3824459999999901</v>
      </c>
      <c r="T2022">
        <v>-0.3350514</v>
      </c>
      <c r="U2022">
        <v>-2.7718509999999998</v>
      </c>
      <c r="V2022">
        <v>-0.2657948</v>
      </c>
      <c r="W2022">
        <v>0.15362400000000001</v>
      </c>
      <c r="X2022">
        <v>0.95171050000000001</v>
      </c>
      <c r="Y2022">
        <v>-0.33520440000000001</v>
      </c>
      <c r="Z2022">
        <v>6.139174E-2</v>
      </c>
      <c r="AA2022">
        <v>0.94014310000000001</v>
      </c>
      <c r="AB2022">
        <v>47</v>
      </c>
      <c r="AC2022">
        <v>-4.2975000000000101</v>
      </c>
      <c r="AD2022">
        <v>-1.126906840575</v>
      </c>
      <c r="AE2022">
        <v>-8.9984000000000002</v>
      </c>
      <c r="AF2022">
        <v>-3.4482861612167399</v>
      </c>
      <c r="AG2022">
        <v>-1.126906840575</v>
      </c>
      <c r="AH2022">
        <v>9.2226368955922506</v>
      </c>
      <c r="AI2022">
        <v>96.529144419342103</v>
      </c>
      <c r="AJ2022">
        <v>110.500455239342</v>
      </c>
      <c r="AK2022">
        <v>9.9104807040280907</v>
      </c>
      <c r="AL2022">
        <v>81.162998892793695</v>
      </c>
      <c r="AM2022">
        <v>105.60404641188499</v>
      </c>
      <c r="AN2022">
        <v>1.00000004244664</v>
      </c>
    </row>
    <row r="2023" spans="1:40" x14ac:dyDescent="0.25">
      <c r="A2023" t="str">
        <f>"20190312164511880"</f>
        <v>20190312164511880</v>
      </c>
      <c r="B2023" t="str">
        <f>"1552380311873211"</f>
        <v>1552380311873211</v>
      </c>
      <c r="C2023" t="s">
        <v>40</v>
      </c>
      <c r="D2023">
        <v>4.7591839999999896</v>
      </c>
      <c r="E2023">
        <v>0.46246369999999998</v>
      </c>
      <c r="F2023" t="s">
        <v>42</v>
      </c>
      <c r="G2023">
        <v>-494.08030000000002</v>
      </c>
      <c r="H2023" s="1">
        <v>-3.723084E-6</v>
      </c>
      <c r="I2023">
        <v>265.80040000000002</v>
      </c>
      <c r="J2023">
        <v>-489.70830000000001</v>
      </c>
      <c r="K2023">
        <v>1.126924</v>
      </c>
      <c r="L2023">
        <v>275.10980000000001</v>
      </c>
      <c r="M2023">
        <v>-0.71403470000000002</v>
      </c>
      <c r="N2023">
        <v>0</v>
      </c>
      <c r="O2023">
        <v>-0.69989899999999905</v>
      </c>
      <c r="P2023">
        <v>-0.50002950000000002</v>
      </c>
      <c r="Q2023">
        <v>0.14979519999999999</v>
      </c>
      <c r="R2023">
        <v>-0.85295480000000001</v>
      </c>
      <c r="S2023">
        <v>-1.3394779999999999</v>
      </c>
      <c r="T2023">
        <v>-0.33225329999999997</v>
      </c>
      <c r="U2023">
        <v>-2.7926030000000002</v>
      </c>
      <c r="V2023">
        <v>-0.26651560000000002</v>
      </c>
      <c r="W2023">
        <v>0.1540301</v>
      </c>
      <c r="X2023">
        <v>0.95144320000000004</v>
      </c>
      <c r="Y2023">
        <v>-0.34216049999999998</v>
      </c>
      <c r="Z2023">
        <v>6.1307939999999998E-2</v>
      </c>
      <c r="AA2023">
        <v>0.93763940000000001</v>
      </c>
      <c r="AB2023">
        <v>47</v>
      </c>
      <c r="AC2023">
        <v>-4.3720000000000097</v>
      </c>
      <c r="AD2023">
        <v>-1.126927723084</v>
      </c>
      <c r="AE2023">
        <v>-9.3093999999999806</v>
      </c>
      <c r="AF2023">
        <v>-3.5452434391269798</v>
      </c>
      <c r="AG2023">
        <v>-1.126927723084</v>
      </c>
      <c r="AH2023">
        <v>9.52447629328225</v>
      </c>
      <c r="AI2023">
        <v>96.327479429496606</v>
      </c>
      <c r="AJ2023">
        <v>110.416499546273</v>
      </c>
      <c r="AK2023">
        <v>10.225182922423601</v>
      </c>
      <c r="AL2023">
        <v>81.139450422192397</v>
      </c>
      <c r="AM2023">
        <v>105.648472858639</v>
      </c>
      <c r="AN2023">
        <v>0.99999999978780496</v>
      </c>
    </row>
    <row r="2024" spans="1:40" x14ac:dyDescent="0.25">
      <c r="A2024" t="str">
        <f>"20190312164511889"</f>
        <v>20190312164511889</v>
      </c>
      <c r="B2024" t="str">
        <f>"1552380311883947"</f>
        <v>1552380311883947</v>
      </c>
      <c r="C2024" t="s">
        <v>40</v>
      </c>
      <c r="D2024">
        <v>4.7517550000000002</v>
      </c>
      <c r="E2024">
        <v>0.46246369999999998</v>
      </c>
      <c r="F2024" t="s">
        <v>42</v>
      </c>
      <c r="G2024">
        <v>-494.13900000000001</v>
      </c>
      <c r="H2024" s="1">
        <v>-3.687575E-6</v>
      </c>
      <c r="I2024">
        <v>265.66550000000001</v>
      </c>
      <c r="J2024">
        <v>-489.87430000000001</v>
      </c>
      <c r="K2024">
        <v>1.1269439999999999</v>
      </c>
      <c r="L2024">
        <v>274.9513</v>
      </c>
      <c r="M2024">
        <v>-0.70858829999999995</v>
      </c>
      <c r="N2024">
        <v>0</v>
      </c>
      <c r="O2024">
        <v>-0.70541189999999998</v>
      </c>
      <c r="P2024">
        <v>-0.49275619999999998</v>
      </c>
      <c r="Q2024">
        <v>0.15034649999999999</v>
      </c>
      <c r="R2024">
        <v>-0.85708090000000003</v>
      </c>
      <c r="S2024">
        <v>-1.3157650000000001</v>
      </c>
      <c r="T2024">
        <v>-0.33465679999999998</v>
      </c>
      <c r="U2024">
        <v>-2.8046259999999998</v>
      </c>
      <c r="V2024">
        <v>-0.26719949999999998</v>
      </c>
      <c r="W2024">
        <v>0.1545493</v>
      </c>
      <c r="X2024">
        <v>0.95116719999999999</v>
      </c>
      <c r="Y2024">
        <v>-0.34295029999999999</v>
      </c>
      <c r="Z2024">
        <v>6.2395440000000003E-2</v>
      </c>
      <c r="AA2024">
        <v>0.93727899999999997</v>
      </c>
      <c r="AB2024">
        <v>47</v>
      </c>
      <c r="AC2024">
        <v>-4.2647000000000004</v>
      </c>
      <c r="AD2024">
        <v>-1.126947687575</v>
      </c>
      <c r="AE2024">
        <v>-9.2857999999999894</v>
      </c>
      <c r="AF2024">
        <v>-3.5290443300661098</v>
      </c>
      <c r="AG2024">
        <v>-1.126947687575</v>
      </c>
      <c r="AH2024">
        <v>9.4586031616633299</v>
      </c>
      <c r="AI2024">
        <v>96.369478478639294</v>
      </c>
      <c r="AJ2024">
        <v>110.460754995885</v>
      </c>
      <c r="AK2024">
        <v>10.1582153326226</v>
      </c>
      <c r="AL2024">
        <v>81.109342379248403</v>
      </c>
      <c r="AM2024">
        <v>105.690981275491</v>
      </c>
      <c r="AN2024">
        <v>1.00000005064328</v>
      </c>
    </row>
    <row r="2025" spans="1:40" x14ac:dyDescent="0.25">
      <c r="A2025" t="str">
        <f>"20190312164511900"</f>
        <v>20190312164511900</v>
      </c>
      <c r="B2025" t="str">
        <f>"1552380311893707"</f>
        <v>1552380311893707</v>
      </c>
      <c r="C2025" t="s">
        <v>40</v>
      </c>
      <c r="D2025">
        <v>4.7985220000000002</v>
      </c>
      <c r="E2025">
        <v>0.46386709999999898</v>
      </c>
      <c r="F2025" t="s">
        <v>42</v>
      </c>
      <c r="G2025">
        <v>-494.24740000000003</v>
      </c>
      <c r="H2025" s="1">
        <v>-3.624593E-6</v>
      </c>
      <c r="I2025">
        <v>265.4239</v>
      </c>
      <c r="J2025">
        <v>-490.03120000000001</v>
      </c>
      <c r="K2025">
        <v>1.126965</v>
      </c>
      <c r="L2025">
        <v>274.79790000000003</v>
      </c>
      <c r="M2025">
        <v>-0.70333179999999995</v>
      </c>
      <c r="N2025">
        <v>0</v>
      </c>
      <c r="O2025">
        <v>-0.71065259999999997</v>
      </c>
      <c r="P2025">
        <v>-0.48592940000000001</v>
      </c>
      <c r="Q2025">
        <v>0.15017339999999901</v>
      </c>
      <c r="R2025">
        <v>-0.86099969999999904</v>
      </c>
      <c r="S2025">
        <v>-1.292419</v>
      </c>
      <c r="T2025">
        <v>-0.33305359999999901</v>
      </c>
      <c r="U2025">
        <v>-2.8157040000000002</v>
      </c>
      <c r="V2025">
        <v>-0.26771800000000001</v>
      </c>
      <c r="W2025">
        <v>0.1543542</v>
      </c>
      <c r="X2025">
        <v>0.95105300000000004</v>
      </c>
      <c r="Y2025">
        <v>-0.34379769999999998</v>
      </c>
      <c r="Z2025">
        <v>6.2718750000000004E-2</v>
      </c>
      <c r="AA2025">
        <v>0.93694690000000003</v>
      </c>
      <c r="AB2025">
        <v>47</v>
      </c>
      <c r="AC2025">
        <v>-4.2162000000000104</v>
      </c>
      <c r="AD2025">
        <v>-1.126968624593</v>
      </c>
      <c r="AE2025">
        <v>-9.3740000000000201</v>
      </c>
      <c r="AF2025">
        <v>-3.5545818295996501</v>
      </c>
      <c r="AG2025">
        <v>-1.126968624593</v>
      </c>
      <c r="AH2025">
        <v>9.5141016863020802</v>
      </c>
      <c r="AI2025">
        <v>96.331697880978695</v>
      </c>
      <c r="AJ2025">
        <v>110.486287667879</v>
      </c>
      <c r="AK2025">
        <v>10.218769062926899</v>
      </c>
      <c r="AL2025">
        <v>81.120655898611602</v>
      </c>
      <c r="AM2025">
        <v>105.721720037587</v>
      </c>
      <c r="AN2025">
        <v>0.99999997769531901</v>
      </c>
    </row>
    <row r="2026" spans="1:40" x14ac:dyDescent="0.25">
      <c r="A2026" t="str">
        <f>"20190312164511912"</f>
        <v>20190312164511912</v>
      </c>
      <c r="B2026" t="str">
        <f>"1552380311903467"</f>
        <v>1552380311903467</v>
      </c>
      <c r="C2026" t="s">
        <v>40</v>
      </c>
      <c r="D2026">
        <v>4.766788</v>
      </c>
      <c r="E2026">
        <v>0.46360249999999997</v>
      </c>
      <c r="F2026" t="s">
        <v>42</v>
      </c>
      <c r="G2026">
        <v>-493.54</v>
      </c>
      <c r="H2026" s="1">
        <v>-4.0635000000000001E-6</v>
      </c>
      <c r="I2026">
        <v>267.08240000000001</v>
      </c>
      <c r="J2026">
        <v>-490.19229999999999</v>
      </c>
      <c r="K2026">
        <v>1.1269800000000001</v>
      </c>
      <c r="L2026">
        <v>274.63920000000002</v>
      </c>
      <c r="M2026">
        <v>-0.69787290000000002</v>
      </c>
      <c r="N2026">
        <v>0</v>
      </c>
      <c r="O2026">
        <v>-0.71601400000000004</v>
      </c>
      <c r="P2026">
        <v>-0.47891129999999998</v>
      </c>
      <c r="Q2026">
        <v>0.15001049999999999</v>
      </c>
      <c r="R2026">
        <v>-0.86495169999999999</v>
      </c>
      <c r="S2026">
        <v>-1.287018</v>
      </c>
      <c r="T2026">
        <v>-0.41336669999999998</v>
      </c>
      <c r="U2026">
        <v>-2.8300169999999998</v>
      </c>
      <c r="V2026">
        <v>-0.26819379999999998</v>
      </c>
      <c r="W2026">
        <v>0.154171</v>
      </c>
      <c r="X2026">
        <v>0.95094869999999998</v>
      </c>
      <c r="Y2026">
        <v>-0.34044010000000002</v>
      </c>
      <c r="Z2026">
        <v>7.8394259999999993E-2</v>
      </c>
      <c r="AA2026">
        <v>0.93699250000000001</v>
      </c>
      <c r="AB2026">
        <v>47</v>
      </c>
      <c r="AC2026">
        <v>-3.3477000000000299</v>
      </c>
      <c r="AD2026">
        <v>-1.1269840634999999</v>
      </c>
      <c r="AE2026">
        <v>-7.5568000000000097</v>
      </c>
      <c r="AF2026">
        <v>-2.82459750079741</v>
      </c>
      <c r="AG2026">
        <v>-1.1269840634999999</v>
      </c>
      <c r="AH2026">
        <v>7.6067674134300596</v>
      </c>
      <c r="AI2026">
        <v>97.907184266535594</v>
      </c>
      <c r="AJ2026">
        <v>110.371316843581</v>
      </c>
      <c r="AK2026">
        <v>8.1921520129276999</v>
      </c>
      <c r="AL2026">
        <v>81.131280038762696</v>
      </c>
      <c r="AM2026">
        <v>105.749917902984</v>
      </c>
      <c r="AN2026">
        <v>1.0000000208155599</v>
      </c>
    </row>
    <row r="2027" spans="1:40" x14ac:dyDescent="0.25">
      <c r="A2027" t="str">
        <f>"20190312164511923"</f>
        <v>20190312164511923</v>
      </c>
      <c r="B2027" t="str">
        <f>"1552380311914203"</f>
        <v>1552380311914203</v>
      </c>
      <c r="C2027" t="s">
        <v>40</v>
      </c>
      <c r="D2027">
        <v>4.7450349999999997</v>
      </c>
      <c r="E2027">
        <v>0.46460040000000002</v>
      </c>
      <c r="F2027" t="s">
        <v>42</v>
      </c>
      <c r="G2027">
        <v>-493.64940000000001</v>
      </c>
      <c r="H2027" s="1">
        <v>-4.0063019999999997E-6</v>
      </c>
      <c r="I2027">
        <v>266.85730000000001</v>
      </c>
      <c r="J2027">
        <v>-490.36919999999998</v>
      </c>
      <c r="K2027">
        <v>1.126992</v>
      </c>
      <c r="L2027">
        <v>274.46140000000003</v>
      </c>
      <c r="M2027">
        <v>-0.69176499999999996</v>
      </c>
      <c r="N2027">
        <v>0</v>
      </c>
      <c r="O2027">
        <v>-0.72191609999999995</v>
      </c>
      <c r="P2027">
        <v>-0.47090860000000001</v>
      </c>
      <c r="Q2027">
        <v>0.15016260000000001</v>
      </c>
      <c r="R2027">
        <v>-0.86930810000000003</v>
      </c>
      <c r="S2027">
        <v>-1.2620849999999999</v>
      </c>
      <c r="T2027">
        <v>-0.4114295</v>
      </c>
      <c r="U2027">
        <v>-2.8409420000000001</v>
      </c>
      <c r="V2027">
        <v>-0.2688873</v>
      </c>
      <c r="W2027">
        <v>0.15429300000000001</v>
      </c>
      <c r="X2027">
        <v>0.95073300000000005</v>
      </c>
      <c r="Y2027">
        <v>-0.3406671</v>
      </c>
      <c r="Z2027">
        <v>7.8940629999999998E-2</v>
      </c>
      <c r="AA2027">
        <v>0.93686409999999998</v>
      </c>
      <c r="AB2027">
        <v>46</v>
      </c>
      <c r="AC2027">
        <v>-3.28020000000003</v>
      </c>
      <c r="AD2027">
        <v>-1.1269960063019999</v>
      </c>
      <c r="AE2027">
        <v>-7.6041000000000096</v>
      </c>
      <c r="AF2027">
        <v>-2.8400555398662299</v>
      </c>
      <c r="AG2027">
        <v>-1.1269960063019999</v>
      </c>
      <c r="AH2027">
        <v>7.6187109883317099</v>
      </c>
      <c r="AI2027">
        <v>97.891342285712895</v>
      </c>
      <c r="AJ2027">
        <v>110.444135141262</v>
      </c>
      <c r="AK2027">
        <v>8.2085804248646994</v>
      </c>
      <c r="AL2027">
        <v>81.124204879895998</v>
      </c>
      <c r="AM2027">
        <v>105.79201951437</v>
      </c>
      <c r="AN2027">
        <v>0.99999997361964399</v>
      </c>
    </row>
    <row r="2028" spans="1:40" x14ac:dyDescent="0.25">
      <c r="A2028" t="str">
        <f>"20190312164511936"</f>
        <v>20190312164511936</v>
      </c>
      <c r="B2028" t="str">
        <f>"1552380311933723"</f>
        <v>1552380311933723</v>
      </c>
      <c r="C2028" t="s">
        <v>40</v>
      </c>
      <c r="D2028">
        <v>5.0391859999999999</v>
      </c>
      <c r="E2028">
        <v>0.46520260000000002</v>
      </c>
      <c r="F2028" t="s">
        <v>42</v>
      </c>
      <c r="G2028">
        <v>-493.82310000000001</v>
      </c>
      <c r="H2028" s="1">
        <v>-3.930656E-6</v>
      </c>
      <c r="I2028">
        <v>266.5444</v>
      </c>
      <c r="J2028">
        <v>-490.53809999999999</v>
      </c>
      <c r="K2028">
        <v>1.127008</v>
      </c>
      <c r="L2028">
        <v>274.28879999999998</v>
      </c>
      <c r="M2028">
        <v>-0.68583209999999994</v>
      </c>
      <c r="N2028">
        <v>0</v>
      </c>
      <c r="O2028">
        <v>-0.7275549</v>
      </c>
      <c r="P2028">
        <v>-0.46357910000000002</v>
      </c>
      <c r="Q2028">
        <v>0.1497656</v>
      </c>
      <c r="R2028">
        <v>-0.87330699999999895</v>
      </c>
      <c r="S2028">
        <v>-1.242523</v>
      </c>
      <c r="T2028">
        <v>-0.40542729999999999</v>
      </c>
      <c r="U2028">
        <v>-2.8480530000000002</v>
      </c>
      <c r="V2028">
        <v>-0.26913690000000001</v>
      </c>
      <c r="W2028">
        <v>0.1538892</v>
      </c>
      <c r="X2028">
        <v>0.95072780000000001</v>
      </c>
      <c r="Y2028">
        <v>-0.33921709999999999</v>
      </c>
      <c r="Z2028">
        <v>7.8771939999999999E-2</v>
      </c>
      <c r="AA2028">
        <v>0.93740429999999997</v>
      </c>
      <c r="AB2028">
        <v>46</v>
      </c>
      <c r="AC2028">
        <v>-3.2850000000000201</v>
      </c>
      <c r="AD2028">
        <v>-1.127011930656</v>
      </c>
      <c r="AE2028">
        <v>-7.7443999999999802</v>
      </c>
      <c r="AF2028">
        <v>-2.8702592821785502</v>
      </c>
      <c r="AG2028">
        <v>-1.127011930656</v>
      </c>
      <c r="AH2028">
        <v>7.7495191715846401</v>
      </c>
      <c r="AI2028">
        <v>97.765880624195503</v>
      </c>
      <c r="AJ2028">
        <v>110.323572412901</v>
      </c>
      <c r="AK2028">
        <v>8.3404791007190404</v>
      </c>
      <c r="AL2028">
        <v>81.147620396752799</v>
      </c>
      <c r="AM2028">
        <v>105.806028721329</v>
      </c>
      <c r="AN2028">
        <v>0.99999995325554403</v>
      </c>
    </row>
    <row r="2029" spans="1:40" x14ac:dyDescent="0.25">
      <c r="A2029" t="str">
        <f>"20190312164511949"</f>
        <v>20190312164511949</v>
      </c>
      <c r="B2029" t="str">
        <f>"1552380311943483"</f>
        <v>1552380311943483</v>
      </c>
      <c r="C2029" t="s">
        <v>40</v>
      </c>
      <c r="D2029">
        <v>4.7636599999999998</v>
      </c>
      <c r="E2029">
        <v>0.46555770000000002</v>
      </c>
      <c r="F2029" t="s">
        <v>42</v>
      </c>
      <c r="G2029">
        <v>-494.03629999999998</v>
      </c>
      <c r="H2029" s="1">
        <v>-3.8226280000000004E-6</v>
      </c>
      <c r="I2029">
        <v>266.11579999999998</v>
      </c>
      <c r="J2029">
        <v>-490.72680000000003</v>
      </c>
      <c r="K2029">
        <v>1.1270230000000001</v>
      </c>
      <c r="L2029">
        <v>274.09370000000001</v>
      </c>
      <c r="M2029">
        <v>-0.67910360000000003</v>
      </c>
      <c r="N2029">
        <v>0</v>
      </c>
      <c r="O2029">
        <v>-0.73383900000000002</v>
      </c>
      <c r="P2029">
        <v>-0.45507740000000002</v>
      </c>
      <c r="Q2029">
        <v>0.14965909999999999</v>
      </c>
      <c r="R2029">
        <v>-0.8777857</v>
      </c>
      <c r="S2029">
        <v>-1.2216800000000001</v>
      </c>
      <c r="T2029">
        <v>-0.39358870000000001</v>
      </c>
      <c r="U2029">
        <v>-2.8542480000000001</v>
      </c>
      <c r="V2029">
        <v>-0.26962909999999901</v>
      </c>
      <c r="W2029">
        <v>0.15376479999999901</v>
      </c>
      <c r="X2029">
        <v>0.95060849999999997</v>
      </c>
      <c r="Y2029">
        <v>-0.33702019999999999</v>
      </c>
      <c r="Z2029">
        <v>7.7603560000000002E-2</v>
      </c>
      <c r="AA2029">
        <v>0.93829370000000001</v>
      </c>
      <c r="AB2029">
        <v>46</v>
      </c>
      <c r="AC2029">
        <v>-3.3094999999999501</v>
      </c>
      <c r="AD2029">
        <v>-1.12702682262799</v>
      </c>
      <c r="AE2029">
        <v>-7.9779000000000302</v>
      </c>
      <c r="AF2029">
        <v>-2.9395754661137099</v>
      </c>
      <c r="AG2029">
        <v>-1.12702682262799</v>
      </c>
      <c r="AH2029">
        <v>7.9675363283824101</v>
      </c>
      <c r="AI2029">
        <v>97.559455290287701</v>
      </c>
      <c r="AJ2029">
        <v>110.251241429204</v>
      </c>
      <c r="AK2029">
        <v>8.5669672886030206</v>
      </c>
      <c r="AL2029">
        <v>81.154834200436596</v>
      </c>
      <c r="AM2029">
        <v>105.835374232611</v>
      </c>
      <c r="AN2029">
        <v>0.99999999277905005</v>
      </c>
    </row>
    <row r="2030" spans="1:40" x14ac:dyDescent="0.25">
      <c r="A2030" t="str">
        <f>"20190312164511962"</f>
        <v>20190312164511962</v>
      </c>
      <c r="B2030" t="str">
        <f>"1552380311953244"</f>
        <v>1552380311953244</v>
      </c>
      <c r="C2030" t="s">
        <v>40</v>
      </c>
      <c r="D2030">
        <v>4.701854</v>
      </c>
      <c r="E2030">
        <v>0.4657772</v>
      </c>
      <c r="F2030" t="s">
        <v>42</v>
      </c>
      <c r="G2030">
        <v>-494.21710000000002</v>
      </c>
      <c r="H2030" s="1">
        <v>-3.726759E-6</v>
      </c>
      <c r="I2030">
        <v>265.73989999999998</v>
      </c>
      <c r="J2030">
        <v>-490.91329999999999</v>
      </c>
      <c r="K2030">
        <v>1.127038</v>
      </c>
      <c r="L2030">
        <v>273.89550000000003</v>
      </c>
      <c r="M2030">
        <v>-0.6722939</v>
      </c>
      <c r="N2030">
        <v>0</v>
      </c>
      <c r="O2030">
        <v>-0.74008200000000002</v>
      </c>
      <c r="P2030">
        <v>-0.4466695</v>
      </c>
      <c r="Q2030">
        <v>0.1497925</v>
      </c>
      <c r="R2030">
        <v>-0.88207089999999999</v>
      </c>
      <c r="S2030">
        <v>-1.1963200000000001</v>
      </c>
      <c r="T2030">
        <v>-0.38629629999999998</v>
      </c>
      <c r="U2030">
        <v>-2.8633120000000001</v>
      </c>
      <c r="V2030">
        <v>-0.26992470000000002</v>
      </c>
      <c r="W2030">
        <v>0.15388969999999999</v>
      </c>
      <c r="X2030">
        <v>0.95050440000000003</v>
      </c>
      <c r="Y2030">
        <v>-0.336424</v>
      </c>
      <c r="Z2030">
        <v>7.7163469999999998E-2</v>
      </c>
      <c r="AA2030">
        <v>0.93854389999999999</v>
      </c>
      <c r="AB2030">
        <v>46</v>
      </c>
      <c r="AC2030">
        <v>-3.3038000000000198</v>
      </c>
      <c r="AD2030">
        <v>-1.1270417267590001</v>
      </c>
      <c r="AE2030">
        <v>-8.1556000000000495</v>
      </c>
      <c r="AF2030">
        <v>-2.9892928909418401</v>
      </c>
      <c r="AG2030">
        <v>-1.1270417267590001</v>
      </c>
      <c r="AH2030">
        <v>8.1248853485871706</v>
      </c>
      <c r="AI2030">
        <v>97.417239007389398</v>
      </c>
      <c r="AJ2030">
        <v>110.19948539231</v>
      </c>
      <c r="AK2030">
        <v>8.7303984427618104</v>
      </c>
      <c r="AL2030">
        <v>81.147591811053402</v>
      </c>
      <c r="AM2030">
        <v>105.853511724375</v>
      </c>
      <c r="AN2030">
        <v>0.99999999892777003</v>
      </c>
    </row>
    <row r="2031" spans="1:40" x14ac:dyDescent="0.25">
      <c r="A2031" t="str">
        <f>"20190312164511972"</f>
        <v>20190312164511972</v>
      </c>
      <c r="B2031" t="str">
        <f>"1552380311963980"</f>
        <v>1552380311963980</v>
      </c>
      <c r="C2031" t="s">
        <v>40</v>
      </c>
      <c r="D2031">
        <v>4.7687520000000001</v>
      </c>
      <c r="E2031">
        <v>0.4657772</v>
      </c>
      <c r="F2031" t="s">
        <v>42</v>
      </c>
      <c r="G2031">
        <v>-494.37650000000002</v>
      </c>
      <c r="H2031" s="1">
        <v>-3.636407E-6</v>
      </c>
      <c r="I2031">
        <v>265.3913</v>
      </c>
      <c r="J2031">
        <v>-491.05829999999997</v>
      </c>
      <c r="K2031">
        <v>1.1270500000000001</v>
      </c>
      <c r="L2031">
        <v>273.74</v>
      </c>
      <c r="M2031">
        <v>-0.66693069999999999</v>
      </c>
      <c r="N2031">
        <v>0</v>
      </c>
      <c r="O2031">
        <v>-0.74491850000000004</v>
      </c>
      <c r="P2031">
        <v>-0.43962319999999999</v>
      </c>
      <c r="Q2031">
        <v>0.15019549999999901</v>
      </c>
      <c r="R2031">
        <v>-0.88553570000000004</v>
      </c>
      <c r="S2031">
        <v>-1.1700740000000001</v>
      </c>
      <c r="T2031">
        <v>-0.38078450000000003</v>
      </c>
      <c r="U2031">
        <v>-2.8732600000000001</v>
      </c>
      <c r="V2031">
        <v>-0.2706153</v>
      </c>
      <c r="W2031">
        <v>0.1542637</v>
      </c>
      <c r="X2031">
        <v>0.95024730000000002</v>
      </c>
      <c r="Y2031">
        <v>-0.33808270000000001</v>
      </c>
      <c r="Z2031">
        <v>7.6722799999999994E-2</v>
      </c>
      <c r="AA2031">
        <v>0.93798389999999998</v>
      </c>
      <c r="AB2031">
        <v>46</v>
      </c>
      <c r="AC2031">
        <v>-3.31820000000004</v>
      </c>
      <c r="AD2031">
        <v>-1.1270536364070001</v>
      </c>
      <c r="AE2031">
        <v>-8.3486999999999991</v>
      </c>
      <c r="AF2031">
        <v>-3.0486990598575701</v>
      </c>
      <c r="AG2031">
        <v>-1.1270536364070001</v>
      </c>
      <c r="AH2031">
        <v>8.3027054208979596</v>
      </c>
      <c r="AI2031">
        <v>97.261857902833995</v>
      </c>
      <c r="AJ2031">
        <v>110.16290447034</v>
      </c>
      <c r="AK2031">
        <v>8.9162622865819205</v>
      </c>
      <c r="AL2031">
        <v>81.125903602760403</v>
      </c>
      <c r="AM2031">
        <v>105.896109172718</v>
      </c>
      <c r="AN2031">
        <v>0.99999993044453195</v>
      </c>
    </row>
    <row r="2032" spans="1:40" x14ac:dyDescent="0.25">
      <c r="A2032" t="str">
        <f>"20190312164511985"</f>
        <v>20190312164511985</v>
      </c>
      <c r="B2032" t="str">
        <f>"1552380311973739"</f>
        <v>1552380311973739</v>
      </c>
      <c r="C2032" t="s">
        <v>40</v>
      </c>
      <c r="D2032">
        <v>4.8138690000000004</v>
      </c>
      <c r="E2032">
        <v>0.44738549999999999</v>
      </c>
      <c r="F2032" t="s">
        <v>42</v>
      </c>
      <c r="G2032">
        <v>-494.46679999999998</v>
      </c>
      <c r="H2032" s="1">
        <v>-3.5801510000000002E-6</v>
      </c>
      <c r="I2032">
        <v>265.1789</v>
      </c>
      <c r="J2032">
        <v>-491.22410000000002</v>
      </c>
      <c r="K2032">
        <v>1.1270610000000001</v>
      </c>
      <c r="L2032">
        <v>273.55880000000002</v>
      </c>
      <c r="M2032">
        <v>-0.66068890000000002</v>
      </c>
      <c r="N2032">
        <v>0</v>
      </c>
      <c r="O2032">
        <v>-0.75045969999999995</v>
      </c>
      <c r="P2032">
        <v>-0.43171530000000002</v>
      </c>
      <c r="Q2032">
        <v>0.15093399999999901</v>
      </c>
      <c r="R2032">
        <v>-0.88929230000000004</v>
      </c>
      <c r="S2032">
        <v>-1.1476139999999999</v>
      </c>
      <c r="T2032">
        <v>-0.3794631</v>
      </c>
      <c r="U2032">
        <v>-2.8823850000000002</v>
      </c>
      <c r="V2032">
        <v>-0.27110640000000003</v>
      </c>
      <c r="W2032">
        <v>0.1549836</v>
      </c>
      <c r="X2032">
        <v>0.94999020000000001</v>
      </c>
      <c r="Y2032">
        <v>-0.33756730000000001</v>
      </c>
      <c r="Z2032">
        <v>7.7284050000000007E-2</v>
      </c>
      <c r="AA2032">
        <v>0.93812340000000005</v>
      </c>
      <c r="AB2032">
        <v>46</v>
      </c>
      <c r="AC2032">
        <v>-3.24269999999995</v>
      </c>
      <c r="AD2032">
        <v>-1.127064580151</v>
      </c>
      <c r="AE2032">
        <v>-8.3799000000000099</v>
      </c>
      <c r="AF2032">
        <v>-3.0553860579173899</v>
      </c>
      <c r="AG2032">
        <v>-1.127064580151</v>
      </c>
      <c r="AH2032">
        <v>8.3018442317558403</v>
      </c>
      <c r="AI2032">
        <v>97.260710278950995</v>
      </c>
      <c r="AJ2032">
        <v>110.205483531369</v>
      </c>
      <c r="AK2032">
        <v>8.9177506232841406</v>
      </c>
      <c r="AL2032">
        <v>81.084154785978399</v>
      </c>
      <c r="AM2032">
        <v>105.927586130012</v>
      </c>
      <c r="AN2032">
        <v>0.99999998824297998</v>
      </c>
    </row>
    <row r="2033" spans="1:40" x14ac:dyDescent="0.25">
      <c r="A2033" t="str">
        <f>"20190312164511999"</f>
        <v>20190312164511999</v>
      </c>
      <c r="B2033" t="str">
        <f>"1552380311993259"</f>
        <v>1552380311993259</v>
      </c>
      <c r="C2033" t="s">
        <v>40</v>
      </c>
      <c r="D2033">
        <v>4.706664</v>
      </c>
      <c r="E2033">
        <v>0.43147570000000002</v>
      </c>
      <c r="F2033" t="s">
        <v>42</v>
      </c>
      <c r="G2033">
        <v>-493.95119999999997</v>
      </c>
      <c r="H2033" s="1">
        <v>-3.557715E-6</v>
      </c>
      <c r="I2033">
        <v>265.4316</v>
      </c>
      <c r="J2033">
        <v>-491.4051</v>
      </c>
      <c r="K2033">
        <v>1.127075</v>
      </c>
      <c r="L2033">
        <v>273.35719999999998</v>
      </c>
      <c r="M2033">
        <v>-0.65374299999999996</v>
      </c>
      <c r="N2033">
        <v>0</v>
      </c>
      <c r="O2033">
        <v>-0.75651759999999901</v>
      </c>
      <c r="P2033">
        <v>-0.42303069999999998</v>
      </c>
      <c r="Q2033">
        <v>0.15074770000000001</v>
      </c>
      <c r="R2033">
        <v>-0.89348760000000005</v>
      </c>
      <c r="S2033">
        <v>-0.99349980000000004</v>
      </c>
      <c r="T2033">
        <v>-0.41059899999999999</v>
      </c>
      <c r="U2033">
        <v>-2.9608150000000002</v>
      </c>
      <c r="V2033">
        <v>-0.27162150000000002</v>
      </c>
      <c r="W2033">
        <v>0.1547801</v>
      </c>
      <c r="X2033">
        <v>0.94987619999999895</v>
      </c>
      <c r="Y2033">
        <v>-0.38032579999999999</v>
      </c>
      <c r="Z2033">
        <v>8.1917710000000005E-2</v>
      </c>
      <c r="AA2033">
        <v>0.92121759999999997</v>
      </c>
      <c r="AB2033">
        <v>46</v>
      </c>
      <c r="AC2033">
        <v>-2.5460999999999601</v>
      </c>
      <c r="AD2033">
        <v>-1.127078557715</v>
      </c>
      <c r="AE2033">
        <v>-7.92559999999997</v>
      </c>
      <c r="AF2033">
        <v>-3.1970214047863101</v>
      </c>
      <c r="AG2033">
        <v>-1.127078557715</v>
      </c>
      <c r="AH2033">
        <v>7.5235890252499802</v>
      </c>
      <c r="AI2033">
        <v>97.850128425862707</v>
      </c>
      <c r="AJ2033">
        <v>113.02224138187501</v>
      </c>
      <c r="AK2033">
        <v>8.2520084681721393</v>
      </c>
      <c r="AL2033">
        <v>81.095956612602293</v>
      </c>
      <c r="AM2033">
        <v>105.95812665618899</v>
      </c>
      <c r="AN2033">
        <v>0.999999956972348</v>
      </c>
    </row>
    <row r="2034" spans="1:40" x14ac:dyDescent="0.25">
      <c r="A2034" t="str">
        <f>"20190312164512012"</f>
        <v>20190312164512012</v>
      </c>
      <c r="B2034" t="str">
        <f>"1552380312003995"</f>
        <v>1552380312003995</v>
      </c>
      <c r="C2034" t="s">
        <v>40</v>
      </c>
      <c r="D2034">
        <v>4.947603</v>
      </c>
      <c r="E2034">
        <v>0.42840040000000001</v>
      </c>
      <c r="F2034" t="s">
        <v>41</v>
      </c>
      <c r="G2034">
        <v>-491.6841</v>
      </c>
      <c r="H2034">
        <v>1.008049</v>
      </c>
      <c r="I2034">
        <v>272.36099999999999</v>
      </c>
      <c r="J2034">
        <v>-491.59350000000001</v>
      </c>
      <c r="K2034">
        <v>1.1270849999999999</v>
      </c>
      <c r="L2034">
        <v>273.14420000000001</v>
      </c>
      <c r="M2034">
        <v>-0.64639099999999905</v>
      </c>
      <c r="N2034">
        <v>0</v>
      </c>
      <c r="O2034">
        <v>-0.76280870000000001</v>
      </c>
      <c r="P2034">
        <v>-0.41370620000000002</v>
      </c>
      <c r="Q2034">
        <v>0.1503401</v>
      </c>
      <c r="R2034">
        <v>-0.89791169999999998</v>
      </c>
      <c r="S2034">
        <v>-0.84527589999999997</v>
      </c>
      <c r="T2034">
        <v>-0.36060429999999999</v>
      </c>
      <c r="U2034">
        <v>-3.0182500000000001</v>
      </c>
      <c r="V2034">
        <v>-0.27234760000000002</v>
      </c>
      <c r="W2034">
        <v>0.15434619999999999</v>
      </c>
      <c r="X2034">
        <v>0.94973890000000005</v>
      </c>
      <c r="Y2034">
        <v>-0.41744609999999899</v>
      </c>
      <c r="Z2034">
        <v>7.1120970000000006E-2</v>
      </c>
      <c r="AA2034">
        <v>0.9059142</v>
      </c>
      <c r="AB2034">
        <v>46</v>
      </c>
      <c r="AC2034">
        <v>-9.0599999999994907E-2</v>
      </c>
      <c r="AD2034">
        <v>-0.119036</v>
      </c>
      <c r="AE2034">
        <v>-0.78320000000002199</v>
      </c>
      <c r="AF2034">
        <v>-0.42746485982079302</v>
      </c>
      <c r="AG2034">
        <v>-0.119036</v>
      </c>
      <c r="AH2034">
        <v>0.64147143681950902</v>
      </c>
      <c r="AI2034">
        <v>98.778360558618701</v>
      </c>
      <c r="AJ2034">
        <v>123.67876452012401</v>
      </c>
      <c r="AK2034">
        <v>0.77998806396822296</v>
      </c>
      <c r="AL2034">
        <v>81.121119768343505</v>
      </c>
      <c r="AM2034">
        <v>106.000800082998</v>
      </c>
      <c r="AN2034">
        <v>0.99999997142670405</v>
      </c>
    </row>
    <row r="2035" spans="1:40" x14ac:dyDescent="0.25">
      <c r="A2035" t="str">
        <f>"20190312164512023"</f>
        <v>20190312164512023</v>
      </c>
      <c r="B2035" t="str">
        <f>"1552380312013756"</f>
        <v>1552380312013756</v>
      </c>
      <c r="C2035" t="s">
        <v>40</v>
      </c>
      <c r="D2035">
        <v>4.734483</v>
      </c>
      <c r="E2035">
        <v>0.42621429999999999</v>
      </c>
      <c r="F2035" t="s">
        <v>41</v>
      </c>
      <c r="G2035">
        <v>-491.88479999999998</v>
      </c>
      <c r="H2035">
        <v>1.00275</v>
      </c>
      <c r="I2035">
        <v>272.02449999999999</v>
      </c>
      <c r="J2035">
        <v>-491.74290000000002</v>
      </c>
      <c r="K2035">
        <v>1.127092</v>
      </c>
      <c r="L2035">
        <v>272.9717</v>
      </c>
      <c r="M2035">
        <v>-0.64044089999999998</v>
      </c>
      <c r="N2035">
        <v>0</v>
      </c>
      <c r="O2035">
        <v>-0.76781089999999996</v>
      </c>
      <c r="P2035">
        <v>-0.40658090000000002</v>
      </c>
      <c r="Q2035">
        <v>0.1495389</v>
      </c>
      <c r="R2035">
        <v>-0.90129389999999998</v>
      </c>
      <c r="S2035">
        <v>-0.78881840000000003</v>
      </c>
      <c r="T2035">
        <v>-0.33684059999999999</v>
      </c>
      <c r="U2035">
        <v>-3.0340579999999999</v>
      </c>
      <c r="V2035">
        <v>-0.2725379</v>
      </c>
      <c r="W2035">
        <v>0.1535453</v>
      </c>
      <c r="X2035">
        <v>0.94981420000000005</v>
      </c>
      <c r="Y2035">
        <v>-0.4272145</v>
      </c>
      <c r="Z2035">
        <v>6.6753439999999997E-2</v>
      </c>
      <c r="AA2035">
        <v>0.90168269999999995</v>
      </c>
      <c r="AB2035">
        <v>46</v>
      </c>
      <c r="AC2035">
        <v>-0.141899999999964</v>
      </c>
      <c r="AD2035">
        <v>-0.12434199999999899</v>
      </c>
      <c r="AE2035">
        <v>-0.94720000000000903</v>
      </c>
      <c r="AF2035">
        <v>-0.48949819193349198</v>
      </c>
      <c r="AG2035">
        <v>-0.12434199999999899</v>
      </c>
      <c r="AH2035">
        <v>0.80470967002410099</v>
      </c>
      <c r="AI2035">
        <v>97.520279659848697</v>
      </c>
      <c r="AJ2035">
        <v>121.31180104347401</v>
      </c>
      <c r="AK2035">
        <v>0.95006687443592897</v>
      </c>
      <c r="AL2035">
        <v>81.167562192906004</v>
      </c>
      <c r="AM2035">
        <v>106.010203295724</v>
      </c>
      <c r="AN2035">
        <v>1.00000004030506</v>
      </c>
    </row>
    <row r="2036" spans="1:40" x14ac:dyDescent="0.25">
      <c r="A2036" t="str">
        <f>"20190312164512034"</f>
        <v>20190312164512034</v>
      </c>
      <c r="B2036" t="str">
        <f>"1552380312023516"</f>
        <v>1552380312023516</v>
      </c>
      <c r="C2036" t="s">
        <v>40</v>
      </c>
      <c r="D2036">
        <v>4.7142619999999997</v>
      </c>
      <c r="E2036">
        <v>0.42488939999999997</v>
      </c>
      <c r="F2036" t="s">
        <v>41</v>
      </c>
      <c r="G2036">
        <v>-491.98140000000001</v>
      </c>
      <c r="H2036">
        <v>1.0206059999999999</v>
      </c>
      <c r="I2036">
        <v>272.00049999999999</v>
      </c>
      <c r="J2036">
        <v>-491.88350000000003</v>
      </c>
      <c r="K2036">
        <v>1.127095</v>
      </c>
      <c r="L2036">
        <v>272.80700000000002</v>
      </c>
      <c r="M2036">
        <v>-0.63475939999999997</v>
      </c>
      <c r="N2036">
        <v>0</v>
      </c>
      <c r="O2036">
        <v>-0.77251400000000003</v>
      </c>
      <c r="P2036">
        <v>-0.39990789999999998</v>
      </c>
      <c r="Q2036">
        <v>0.14864939999999999</v>
      </c>
      <c r="R2036">
        <v>-0.90442120000000004</v>
      </c>
      <c r="S2036">
        <v>-0.74752810000000003</v>
      </c>
      <c r="T2036">
        <v>-0.33402359999999998</v>
      </c>
      <c r="U2036">
        <v>-3.046783</v>
      </c>
      <c r="V2036">
        <v>-0.27260590000000001</v>
      </c>
      <c r="W2036">
        <v>0.15266260000000001</v>
      </c>
      <c r="X2036">
        <v>0.94993689999999997</v>
      </c>
      <c r="Y2036">
        <v>-0.4329327</v>
      </c>
      <c r="Z2036">
        <v>6.6561980000000007E-2</v>
      </c>
      <c r="AA2036">
        <v>0.89896540000000003</v>
      </c>
      <c r="AB2036">
        <v>46</v>
      </c>
      <c r="AC2036">
        <v>-9.7899999999981405E-2</v>
      </c>
      <c r="AD2036">
        <v>-0.106489</v>
      </c>
      <c r="AE2036">
        <v>-0.80650000000002797</v>
      </c>
      <c r="AF2036">
        <v>-0.42899973126868601</v>
      </c>
      <c r="AG2036">
        <v>-0.106489</v>
      </c>
      <c r="AH2036">
        <v>0.67370428290739204</v>
      </c>
      <c r="AI2036">
        <v>97.594358294557097</v>
      </c>
      <c r="AJ2036">
        <v>122.488067083828</v>
      </c>
      <c r="AK2036">
        <v>0.80576555979848696</v>
      </c>
      <c r="AL2036">
        <v>81.218740032502296</v>
      </c>
      <c r="AM2036">
        <v>106.012030722086</v>
      </c>
      <c r="AN2036">
        <v>0.99999998006758894</v>
      </c>
    </row>
    <row r="2037" spans="1:40" x14ac:dyDescent="0.25">
      <c r="A2037" t="str">
        <f>"20190312164512044"</f>
        <v>20190312164512044</v>
      </c>
      <c r="B2037" t="str">
        <f>"1552380312033275"</f>
        <v>1552380312033275</v>
      </c>
      <c r="C2037" t="s">
        <v>40</v>
      </c>
      <c r="D2037">
        <v>4.7038840000000004</v>
      </c>
      <c r="E2037">
        <v>0.4248729</v>
      </c>
      <c r="F2037" t="s">
        <v>41</v>
      </c>
      <c r="G2037">
        <v>-492.13819999999998</v>
      </c>
      <c r="H2037">
        <v>1.0057579999999999</v>
      </c>
      <c r="I2037">
        <v>271.71609999999998</v>
      </c>
      <c r="J2037">
        <v>-492.02980000000002</v>
      </c>
      <c r="K2037">
        <v>1.127097</v>
      </c>
      <c r="L2037">
        <v>272.63319999999999</v>
      </c>
      <c r="M2037">
        <v>-0.62875760000000003</v>
      </c>
      <c r="N2037">
        <v>0</v>
      </c>
      <c r="O2037">
        <v>-0.77740679999999995</v>
      </c>
      <c r="P2037">
        <v>-0.39290910000000001</v>
      </c>
      <c r="Q2037">
        <v>0.14757600000000001</v>
      </c>
      <c r="R2037">
        <v>-0.90765879999999999</v>
      </c>
      <c r="S2037">
        <v>-0.7141113</v>
      </c>
      <c r="T2037">
        <v>-0.34007949999999998</v>
      </c>
      <c r="U2037">
        <v>-3.0571899999999999</v>
      </c>
      <c r="V2037">
        <v>-0.27264969999999999</v>
      </c>
      <c r="W2037">
        <v>0.1515985</v>
      </c>
      <c r="X2037">
        <v>0.95009480000000002</v>
      </c>
      <c r="Y2037">
        <v>-0.43597180000000002</v>
      </c>
      <c r="Z2037">
        <v>6.8260039999999994E-2</v>
      </c>
      <c r="AA2037">
        <v>0.89736800000000005</v>
      </c>
      <c r="AB2037">
        <v>46</v>
      </c>
      <c r="AC2037">
        <v>-0.10839999999996</v>
      </c>
      <c r="AD2037">
        <v>-0.121339</v>
      </c>
      <c r="AE2037">
        <v>-0.91710000000000402</v>
      </c>
      <c r="AF2037">
        <v>-0.48408002899479802</v>
      </c>
      <c r="AG2037">
        <v>-0.121339</v>
      </c>
      <c r="AH2037">
        <v>0.76797692053686495</v>
      </c>
      <c r="AI2037">
        <v>97.613087610590895</v>
      </c>
      <c r="AJ2037">
        <v>122.22452180395599</v>
      </c>
      <c r="AK2037">
        <v>0.915884915188524</v>
      </c>
      <c r="AL2037">
        <v>81.280427065195795</v>
      </c>
      <c r="AM2037">
        <v>106.011946423561</v>
      </c>
      <c r="AN2037">
        <v>1.0000000465496801</v>
      </c>
    </row>
    <row r="2038" spans="1:40" x14ac:dyDescent="0.25">
      <c r="A2038" t="str">
        <f>"20190312164512057"</f>
        <v>20190312164512057</v>
      </c>
      <c r="B2038" t="str">
        <f>"1552380312053772"</f>
        <v>1552380312053772</v>
      </c>
      <c r="C2038" t="s">
        <v>40</v>
      </c>
      <c r="D2038">
        <v>4.733797</v>
      </c>
      <c r="E2038">
        <v>0.424182</v>
      </c>
      <c r="F2038" t="s">
        <v>42</v>
      </c>
      <c r="G2038">
        <v>-494.23570000000001</v>
      </c>
      <c r="H2038" s="1">
        <v>-2.519791E-6</v>
      </c>
      <c r="I2038">
        <v>262.83580000000001</v>
      </c>
      <c r="J2038">
        <v>-492.1832</v>
      </c>
      <c r="K2038">
        <v>1.1271</v>
      </c>
      <c r="L2038">
        <v>272.44720000000001</v>
      </c>
      <c r="M2038">
        <v>-0.62234409999999996</v>
      </c>
      <c r="N2038">
        <v>0</v>
      </c>
      <c r="O2038">
        <v>-0.78254990000000002</v>
      </c>
      <c r="P2038">
        <v>-0.38535659999999999</v>
      </c>
      <c r="Q2038">
        <v>0.14650360000000001</v>
      </c>
      <c r="R2038">
        <v>-0.91106370000000003</v>
      </c>
      <c r="S2038">
        <v>-0.68981930000000002</v>
      </c>
      <c r="T2038">
        <v>-0.35247590000000001</v>
      </c>
      <c r="U2038">
        <v>-3.0639340000000002</v>
      </c>
      <c r="V2038">
        <v>-0.27278799999999997</v>
      </c>
      <c r="W2038">
        <v>0.15053179999999999</v>
      </c>
      <c r="X2038">
        <v>0.95022459999999997</v>
      </c>
      <c r="Y2038">
        <v>-0.4358128</v>
      </c>
      <c r="Z2038">
        <v>7.1440470000000006E-2</v>
      </c>
      <c r="AA2038">
        <v>0.89719749999999998</v>
      </c>
      <c r="AB2038">
        <v>46</v>
      </c>
      <c r="AC2038">
        <v>-2.0525000000000002</v>
      </c>
      <c r="AD2038">
        <v>-1.1271025197910001</v>
      </c>
      <c r="AE2038">
        <v>-9.6113999999999997</v>
      </c>
      <c r="AF2038">
        <v>-4.3192720753589402</v>
      </c>
      <c r="AG2038">
        <v>-1.1271025197910001</v>
      </c>
      <c r="AH2038">
        <v>8.6858616610374</v>
      </c>
      <c r="AI2038">
        <v>96.627466552034804</v>
      </c>
      <c r="AJ2038">
        <v>116.440064320167</v>
      </c>
      <c r="AK2038">
        <v>9.7657905028612095</v>
      </c>
      <c r="AL2038">
        <v>81.342253196045903</v>
      </c>
      <c r="AM2038">
        <v>106.017575753892</v>
      </c>
      <c r="AN2038">
        <v>0.99999995310019896</v>
      </c>
    </row>
    <row r="2039" spans="1:40" x14ac:dyDescent="0.25">
      <c r="A2039" t="str">
        <f>"20190312164512068"</f>
        <v>20190312164512068</v>
      </c>
      <c r="B2039" t="str">
        <f>"1552380312063531"</f>
        <v>1552380312063531</v>
      </c>
      <c r="C2039" t="s">
        <v>40</v>
      </c>
      <c r="D2039">
        <v>4.8672959999999996</v>
      </c>
      <c r="E2039">
        <v>0.4242377</v>
      </c>
      <c r="F2039" t="s">
        <v>41</v>
      </c>
      <c r="G2039">
        <v>-492.40539999999999</v>
      </c>
      <c r="H2039">
        <v>1.004313</v>
      </c>
      <c r="I2039">
        <v>271.41379999999998</v>
      </c>
      <c r="J2039">
        <v>-492.32190000000003</v>
      </c>
      <c r="K2039">
        <v>1.1270910000000001</v>
      </c>
      <c r="L2039">
        <v>272.27780000000001</v>
      </c>
      <c r="M2039">
        <v>-0.61648119999999995</v>
      </c>
      <c r="N2039">
        <v>0</v>
      </c>
      <c r="O2039">
        <v>-0.7871766</v>
      </c>
      <c r="P2039">
        <v>-0.37864370000000003</v>
      </c>
      <c r="Q2039">
        <v>0.14576210000000001</v>
      </c>
      <c r="R2039">
        <v>-0.91399280000000005</v>
      </c>
      <c r="S2039">
        <v>-0.65969849999999997</v>
      </c>
      <c r="T2039">
        <v>-0.36490830000000002</v>
      </c>
      <c r="U2039">
        <v>-3.0725099999999999</v>
      </c>
      <c r="V2039">
        <v>-0.27272109999999999</v>
      </c>
      <c r="W2039">
        <v>0.14980439999999901</v>
      </c>
      <c r="X2039">
        <v>0.95035879999999995</v>
      </c>
      <c r="Y2039">
        <v>-0.43805319999999998</v>
      </c>
      <c r="Z2039">
        <v>7.4482499999999993E-2</v>
      </c>
      <c r="AA2039">
        <v>0.89585809999999999</v>
      </c>
      <c r="AB2039">
        <v>46</v>
      </c>
      <c r="AC2039">
        <v>-8.3499999999958094E-2</v>
      </c>
      <c r="AD2039">
        <v>-0.122778</v>
      </c>
      <c r="AE2039">
        <v>-0.86400000000003196</v>
      </c>
      <c r="AF2039">
        <v>-0.45782195982600499</v>
      </c>
      <c r="AG2039">
        <v>-0.122778</v>
      </c>
      <c r="AH2039">
        <v>0.717356015724952</v>
      </c>
      <c r="AI2039">
        <v>98.209699575017794</v>
      </c>
      <c r="AJ2039">
        <v>122.546322634094</v>
      </c>
      <c r="AK2039">
        <v>0.85981104754457705</v>
      </c>
      <c r="AL2039">
        <v>81.384408596763507</v>
      </c>
      <c r="AM2039">
        <v>106.01170354516501</v>
      </c>
      <c r="AN2039">
        <v>1.0000000026910001</v>
      </c>
    </row>
    <row r="2040" spans="1:40" x14ac:dyDescent="0.25">
      <c r="A2040" t="str">
        <f>"20190312164512081"</f>
        <v>20190312164512081</v>
      </c>
      <c r="B2040" t="str">
        <f>"1552380312073291"</f>
        <v>1552380312073291</v>
      </c>
      <c r="C2040" t="s">
        <v>40</v>
      </c>
      <c r="D2040">
        <v>4.7490930000000002</v>
      </c>
      <c r="E2040">
        <v>0.42436370000000001</v>
      </c>
      <c r="F2040" t="s">
        <v>42</v>
      </c>
      <c r="G2040">
        <v>-494.26459999999997</v>
      </c>
      <c r="H2040" s="1">
        <v>-2.5572330000000001E-6</v>
      </c>
      <c r="I2040">
        <v>262.9051</v>
      </c>
      <c r="J2040">
        <v>-492.48070000000001</v>
      </c>
      <c r="K2040">
        <v>1.1270929999999999</v>
      </c>
      <c r="L2040">
        <v>272.07850000000002</v>
      </c>
      <c r="M2040">
        <v>-0.60960969999999903</v>
      </c>
      <c r="N2040">
        <v>0</v>
      </c>
      <c r="O2040">
        <v>-0.79250989999999999</v>
      </c>
      <c r="P2040">
        <v>-0.37052390000000002</v>
      </c>
      <c r="Q2040">
        <v>0.14519479999999901</v>
      </c>
      <c r="R2040">
        <v>-0.91740449999999996</v>
      </c>
      <c r="S2040">
        <v>-0.63778690000000005</v>
      </c>
      <c r="T2040">
        <v>-0.3700292</v>
      </c>
      <c r="U2040">
        <v>-3.0770870000000001</v>
      </c>
      <c r="V2040">
        <v>-0.27291009999999999</v>
      </c>
      <c r="W2040">
        <v>0.14924100000000001</v>
      </c>
      <c r="X2040">
        <v>0.95039320000000005</v>
      </c>
      <c r="Y2040">
        <v>-0.43664160000000002</v>
      </c>
      <c r="Z2040">
        <v>7.638346E-2</v>
      </c>
      <c r="AA2040">
        <v>0.89638700000000004</v>
      </c>
      <c r="AB2040">
        <v>46</v>
      </c>
      <c r="AC2040">
        <v>-1.7838999999999601</v>
      </c>
      <c r="AD2040">
        <v>-1.1270955572329999</v>
      </c>
      <c r="AE2040">
        <v>-9.1734000000000098</v>
      </c>
      <c r="AF2040">
        <v>-4.1191538727244703</v>
      </c>
      <c r="AG2040">
        <v>-1.1270955572329999</v>
      </c>
      <c r="AH2040">
        <v>8.2389215495572099</v>
      </c>
      <c r="AI2040">
        <v>96.976072146110198</v>
      </c>
      <c r="AJ2040">
        <v>116.563343725021</v>
      </c>
      <c r="AK2040">
        <v>9.2799569676843596</v>
      </c>
      <c r="AL2040">
        <v>81.417056173459699</v>
      </c>
      <c r="AM2040">
        <v>106.02168041531399</v>
      </c>
      <c r="AN2040">
        <v>1.0000000166846199</v>
      </c>
    </row>
    <row r="2041" spans="1:40" x14ac:dyDescent="0.25">
      <c r="A2041" t="str">
        <f>"20190312164512091"</f>
        <v>20190312164512091</v>
      </c>
      <c r="B2041" t="str">
        <f>"1552380312084027"</f>
        <v>1552380312084027</v>
      </c>
      <c r="C2041" t="s">
        <v>40</v>
      </c>
      <c r="D2041">
        <v>4.7847619999999997</v>
      </c>
      <c r="E2041">
        <v>0.42459609999999898</v>
      </c>
      <c r="F2041" t="s">
        <v>41</v>
      </c>
      <c r="G2041">
        <v>-492.67239999999998</v>
      </c>
      <c r="H2041">
        <v>1.011306</v>
      </c>
      <c r="I2041">
        <v>271.11</v>
      </c>
      <c r="J2041">
        <v>-492.61380000000003</v>
      </c>
      <c r="K2041">
        <v>1.1270960000000001</v>
      </c>
      <c r="L2041">
        <v>271.90989999999999</v>
      </c>
      <c r="M2041">
        <v>-0.60377760000000003</v>
      </c>
      <c r="N2041">
        <v>0</v>
      </c>
      <c r="O2041">
        <v>-0.79696160000000005</v>
      </c>
      <c r="P2041">
        <v>-0.36398170000000002</v>
      </c>
      <c r="Q2041">
        <v>0.14439540000000001</v>
      </c>
      <c r="R2041">
        <v>-0.9201454</v>
      </c>
      <c r="S2041">
        <v>-0.61050419999999905</v>
      </c>
      <c r="T2041">
        <v>-0.36852960000000001</v>
      </c>
      <c r="U2041">
        <v>-3.0818479999999999</v>
      </c>
      <c r="V2041">
        <v>-0.27274300000000001</v>
      </c>
      <c r="W2041">
        <v>0.1484616</v>
      </c>
      <c r="X2041">
        <v>0.9505633</v>
      </c>
      <c r="Y2041">
        <v>-0.43794100000000002</v>
      </c>
      <c r="Z2041">
        <v>7.6715519999999995E-2</v>
      </c>
      <c r="AA2041">
        <v>0.89572450000000003</v>
      </c>
      <c r="AB2041">
        <v>46</v>
      </c>
      <c r="AC2041">
        <v>-5.8599999999955799E-2</v>
      </c>
      <c r="AD2041">
        <v>-0.115789999999999</v>
      </c>
      <c r="AE2041">
        <v>-0.79989999999997896</v>
      </c>
      <c r="AF2041">
        <v>-0.42741787598076603</v>
      </c>
      <c r="AG2041">
        <v>-0.115789999999999</v>
      </c>
      <c r="AH2041">
        <v>0.659233567011692</v>
      </c>
      <c r="AI2041">
        <v>98.383768017312505</v>
      </c>
      <c r="AJ2041">
        <v>122.957590448441</v>
      </c>
      <c r="AK2041">
        <v>0.79415506085579302</v>
      </c>
      <c r="AL2041">
        <v>81.462216221114801</v>
      </c>
      <c r="AM2041">
        <v>106.00965500281799</v>
      </c>
      <c r="AN2041">
        <v>1.0000000890152201</v>
      </c>
    </row>
    <row r="2042" spans="1:40" x14ac:dyDescent="0.25">
      <c r="A2042" t="str">
        <f>"20190312164512102"</f>
        <v>20190312164512102</v>
      </c>
      <c r="B2042" t="str">
        <f>"1552380312093788"</f>
        <v>1552380312093788</v>
      </c>
      <c r="C2042" t="s">
        <v>40</v>
      </c>
      <c r="D2042">
        <v>4.7580910000000003</v>
      </c>
      <c r="E2042">
        <v>0.42469570000000001</v>
      </c>
      <c r="F2042" t="s">
        <v>42</v>
      </c>
      <c r="G2042">
        <v>-494.41030000000001</v>
      </c>
      <c r="H2042" s="1">
        <v>-2.4292800000000001E-6</v>
      </c>
      <c r="I2042">
        <v>262.51639999999998</v>
      </c>
      <c r="J2042">
        <v>-492.74979999999999</v>
      </c>
      <c r="K2042">
        <v>1.1270929999999999</v>
      </c>
      <c r="L2042">
        <v>271.73390000000001</v>
      </c>
      <c r="M2042">
        <v>-0.59770140000000005</v>
      </c>
      <c r="N2042">
        <v>0</v>
      </c>
      <c r="O2042">
        <v>-0.80152849999999998</v>
      </c>
      <c r="P2042">
        <v>-0.35699570000000003</v>
      </c>
      <c r="Q2042">
        <v>0.14378270000000001</v>
      </c>
      <c r="R2042">
        <v>-0.92297410000000002</v>
      </c>
      <c r="S2042">
        <v>-0.59002690000000002</v>
      </c>
      <c r="T2042">
        <v>-0.3701663</v>
      </c>
      <c r="U2042">
        <v>-3.0850219999999999</v>
      </c>
      <c r="V2042">
        <v>-0.27275139999999998</v>
      </c>
      <c r="W2042">
        <v>0.14786079999999999</v>
      </c>
      <c r="X2042">
        <v>0.95065440000000001</v>
      </c>
      <c r="Y2042">
        <v>-0.43702649999999998</v>
      </c>
      <c r="Z2042">
        <v>7.7806349999999996E-2</v>
      </c>
      <c r="AA2042">
        <v>0.89607700000000001</v>
      </c>
      <c r="AB2042">
        <v>46</v>
      </c>
      <c r="AC2042">
        <v>-1.6605000000000101</v>
      </c>
      <c r="AD2042">
        <v>-1.1270954292799999</v>
      </c>
      <c r="AE2042">
        <v>-9.2175000000000296</v>
      </c>
      <c r="AF2042">
        <v>-4.1193561224630004</v>
      </c>
      <c r="AG2042">
        <v>-1.1270954292799999</v>
      </c>
      <c r="AH2042">
        <v>8.26219871469997</v>
      </c>
      <c r="AI2042">
        <v>96.960421785484996</v>
      </c>
      <c r="AJ2042">
        <v>116.499865598799</v>
      </c>
      <c r="AK2042">
        <v>9.3007186051168809</v>
      </c>
      <c r="AL2042">
        <v>81.497022625392006</v>
      </c>
      <c r="AM2042">
        <v>106.008667188179</v>
      </c>
      <c r="AN2042">
        <v>0.99999996530897906</v>
      </c>
    </row>
    <row r="2043" spans="1:40" x14ac:dyDescent="0.25">
      <c r="A2043" t="str">
        <f>"20190312164512115"</f>
        <v>20190312164512115</v>
      </c>
      <c r="B2043" t="str">
        <f>"1552380312103547"</f>
        <v>1552380312103547</v>
      </c>
      <c r="C2043" t="s">
        <v>40</v>
      </c>
      <c r="D2043">
        <v>4.7799500000000004</v>
      </c>
      <c r="E2043">
        <v>0.42485719999999999</v>
      </c>
      <c r="F2043" t="s">
        <v>41</v>
      </c>
      <c r="G2043">
        <v>-492.92419999999998</v>
      </c>
      <c r="H2043">
        <v>1.0139879999999999</v>
      </c>
      <c r="I2043">
        <v>270.78339999999997</v>
      </c>
      <c r="J2043">
        <v>-492.89359999999999</v>
      </c>
      <c r="K2043">
        <v>1.127092</v>
      </c>
      <c r="L2043">
        <v>271.5453</v>
      </c>
      <c r="M2043">
        <v>-0.59118179999999998</v>
      </c>
      <c r="N2043">
        <v>0</v>
      </c>
      <c r="O2043">
        <v>-0.80634890000000004</v>
      </c>
      <c r="P2043">
        <v>-0.34974549999999999</v>
      </c>
      <c r="Q2043">
        <v>0.1431364</v>
      </c>
      <c r="R2043">
        <v>-0.92584540000000004</v>
      </c>
      <c r="S2043">
        <v>-0.56622309999999998</v>
      </c>
      <c r="T2043">
        <v>-0.36742639999999999</v>
      </c>
      <c r="U2043">
        <v>-3.0885929999999999</v>
      </c>
      <c r="V2043">
        <v>-0.27252759999999998</v>
      </c>
      <c r="W2043">
        <v>0.14723910000000001</v>
      </c>
      <c r="X2043">
        <v>0.95081510000000002</v>
      </c>
      <c r="Y2043">
        <v>-0.4366004</v>
      </c>
      <c r="Z2043">
        <v>7.8008679999999997E-2</v>
      </c>
      <c r="AA2043">
        <v>0.89626709999999998</v>
      </c>
      <c r="AB2043">
        <v>46</v>
      </c>
      <c r="AC2043">
        <v>-3.0599999999992598E-2</v>
      </c>
      <c r="AD2043">
        <v>-0.113104</v>
      </c>
      <c r="AE2043">
        <v>-0.761900000000025</v>
      </c>
      <c r="AF2043">
        <v>-0.416645208952932</v>
      </c>
      <c r="AG2043">
        <v>-0.113104</v>
      </c>
      <c r="AH2043">
        <v>0.61892647537545198</v>
      </c>
      <c r="AI2043">
        <v>98.620058396061793</v>
      </c>
      <c r="AJ2043">
        <v>123.94741463253401</v>
      </c>
      <c r="AK2043">
        <v>0.75462290376062202</v>
      </c>
      <c r="AL2043">
        <v>81.533037906328303</v>
      </c>
      <c r="AM2043">
        <v>105.99363861220201</v>
      </c>
      <c r="AN2043">
        <v>0.99999999985929</v>
      </c>
    </row>
    <row r="2044" spans="1:40" x14ac:dyDescent="0.25">
      <c r="A2044" t="str">
        <f>"20190312164512127"</f>
        <v>20190312164512127</v>
      </c>
      <c r="B2044" t="str">
        <f>"1552380312124043"</f>
        <v>1552380312124043</v>
      </c>
      <c r="C2044" t="s">
        <v>40</v>
      </c>
      <c r="D2044">
        <v>4.7817689999999997</v>
      </c>
      <c r="E2044">
        <v>0.42504249999999999</v>
      </c>
      <c r="F2044" t="s">
        <v>41</v>
      </c>
      <c r="G2044">
        <v>-493.08679999999998</v>
      </c>
      <c r="H2044">
        <v>0.99680930000000001</v>
      </c>
      <c r="I2044">
        <v>270.44490000000002</v>
      </c>
      <c r="J2044">
        <v>-493.05759999999998</v>
      </c>
      <c r="K2044">
        <v>1.1270910000000001</v>
      </c>
      <c r="L2044">
        <v>271.32679999999999</v>
      </c>
      <c r="M2044">
        <v>-0.58361850000000004</v>
      </c>
      <c r="N2044">
        <v>0</v>
      </c>
      <c r="O2044">
        <v>-0.81183959999999999</v>
      </c>
      <c r="P2044">
        <v>-0.34128069999999999</v>
      </c>
      <c r="Q2044">
        <v>0.14221589999999901</v>
      </c>
      <c r="R2044">
        <v>-0.92914099999999999</v>
      </c>
      <c r="S2044">
        <v>-0.54257200000000005</v>
      </c>
      <c r="T2044">
        <v>-0.36601159999999999</v>
      </c>
      <c r="U2044">
        <v>-3.091888</v>
      </c>
      <c r="V2044">
        <v>-0.27235799999999999</v>
      </c>
      <c r="W2044">
        <v>0.1463421</v>
      </c>
      <c r="X2044">
        <v>0.95100220000000002</v>
      </c>
      <c r="Y2044">
        <v>-0.43501289999999998</v>
      </c>
      <c r="Z2044">
        <v>7.8633040000000001E-2</v>
      </c>
      <c r="AA2044">
        <v>0.89698419999999901</v>
      </c>
      <c r="AB2044">
        <v>46</v>
      </c>
      <c r="AC2044">
        <v>-2.9200000000002901E-2</v>
      </c>
      <c r="AD2044">
        <v>-0.130281699999999</v>
      </c>
      <c r="AE2044">
        <v>-0.88189999999997304</v>
      </c>
      <c r="AF2044">
        <v>-0.48058588414151998</v>
      </c>
      <c r="AG2044">
        <v>-0.130281699999999</v>
      </c>
      <c r="AH2044">
        <v>0.71747435601621601</v>
      </c>
      <c r="AI2044">
        <v>98.579297033490803</v>
      </c>
      <c r="AJ2044">
        <v>123.815364151276</v>
      </c>
      <c r="AK2044">
        <v>0.87333015803409697</v>
      </c>
      <c r="AL2044">
        <v>81.5849953616856</v>
      </c>
      <c r="AM2044">
        <v>105.981209878581</v>
      </c>
      <c r="AN2044">
        <v>1.0000000374006199</v>
      </c>
    </row>
    <row r="2045" spans="1:40" x14ac:dyDescent="0.25">
      <c r="A2045" t="str">
        <f>"20190312164512148"</f>
        <v>20190312164512148</v>
      </c>
      <c r="B2045" t="str">
        <f>"1552380312143564"</f>
        <v>1552380312143564</v>
      </c>
      <c r="C2045" t="s">
        <v>40</v>
      </c>
      <c r="D2045">
        <v>4.7765230000000001</v>
      </c>
      <c r="E2045">
        <v>0.42550009999999999</v>
      </c>
      <c r="F2045" t="s">
        <v>42</v>
      </c>
      <c r="G2045">
        <v>-494.6542</v>
      </c>
      <c r="H2045" s="1">
        <v>-2.1489779999999999E-6</v>
      </c>
      <c r="I2045">
        <v>261.71179999999998</v>
      </c>
      <c r="J2045">
        <v>-493.28930000000003</v>
      </c>
      <c r="K2045">
        <v>1.1270899999999999</v>
      </c>
      <c r="L2045">
        <v>271.0095</v>
      </c>
      <c r="M2045">
        <v>-0.57263929999999996</v>
      </c>
      <c r="N2045">
        <v>0</v>
      </c>
      <c r="O2045">
        <v>-0.81962009999999996</v>
      </c>
      <c r="P2045">
        <v>-0.32968449999999999</v>
      </c>
      <c r="Q2045">
        <v>0.1410739</v>
      </c>
      <c r="R2045">
        <v>-0.93349139999999997</v>
      </c>
      <c r="S2045">
        <v>-0.51403809999999905</v>
      </c>
      <c r="T2045">
        <v>-0.36286459999999998</v>
      </c>
      <c r="U2045">
        <v>-3.0955509999999999</v>
      </c>
      <c r="V2045">
        <v>-0.27144489999999999</v>
      </c>
      <c r="W2045">
        <v>0.14526929999999999</v>
      </c>
      <c r="X2045">
        <v>0.95142760000000004</v>
      </c>
      <c r="Y2045">
        <v>-0.43112020000000001</v>
      </c>
      <c r="Z2045">
        <v>7.9323840000000007E-2</v>
      </c>
      <c r="AA2045">
        <v>0.89880090000000001</v>
      </c>
      <c r="AB2045">
        <v>46</v>
      </c>
      <c r="AC2045">
        <v>-1.36489999999997</v>
      </c>
      <c r="AD2045">
        <v>-1.1270921489779999</v>
      </c>
      <c r="AE2045">
        <v>-9.2977000000000096</v>
      </c>
      <c r="AF2045">
        <v>-4.1465273505395697</v>
      </c>
      <c r="AG2045">
        <v>-1.1270921489779999</v>
      </c>
      <c r="AH2045">
        <v>8.28429858730909</v>
      </c>
      <c r="AI2045">
        <v>96.936658542234198</v>
      </c>
      <c r="AJ2045">
        <v>116.589269633185</v>
      </c>
      <c r="AK2045">
        <v>9.3323967374277501</v>
      </c>
      <c r="AL2045">
        <v>81.647125859086898</v>
      </c>
      <c r="AM2045">
        <v>105.92359324294701</v>
      </c>
      <c r="AN2045">
        <v>0.99999999065013001</v>
      </c>
    </row>
    <row r="2046" spans="1:40" x14ac:dyDescent="0.25">
      <c r="A2046" t="str">
        <f>"20190312164512161"</f>
        <v>20190312164512161</v>
      </c>
      <c r="B2046" t="str">
        <f>"1552380312153324"</f>
        <v>1552380312153324</v>
      </c>
      <c r="C2046" t="s">
        <v>40</v>
      </c>
      <c r="D2046">
        <v>4.8117789999999996</v>
      </c>
      <c r="E2046">
        <v>0.42567660000000002</v>
      </c>
      <c r="F2046" t="s">
        <v>42</v>
      </c>
      <c r="G2046">
        <v>-494.77780000000001</v>
      </c>
      <c r="H2046" s="1">
        <v>-2.0198600000000001E-6</v>
      </c>
      <c r="I2046">
        <v>261.33409999999998</v>
      </c>
      <c r="J2046">
        <v>-493.44720000000001</v>
      </c>
      <c r="K2046">
        <v>1.127087</v>
      </c>
      <c r="L2046">
        <v>270.78699999999998</v>
      </c>
      <c r="M2046">
        <v>-0.56494480000000002</v>
      </c>
      <c r="N2046">
        <v>0</v>
      </c>
      <c r="O2046">
        <v>-0.82494279999999998</v>
      </c>
      <c r="P2046">
        <v>-0.321102099999999</v>
      </c>
      <c r="Q2046">
        <v>0.1406521</v>
      </c>
      <c r="R2046">
        <v>-0.93654230000000005</v>
      </c>
      <c r="S2046">
        <v>-0.47689819999999999</v>
      </c>
      <c r="T2046">
        <v>-0.36111009999999999</v>
      </c>
      <c r="U2046">
        <v>-3.0998839999999999</v>
      </c>
      <c r="V2046">
        <v>-0.27128989999999997</v>
      </c>
      <c r="W2046">
        <v>0.14487059999999999</v>
      </c>
      <c r="X2046">
        <v>0.95153259999999995</v>
      </c>
      <c r="Y2046">
        <v>-0.43338130000000002</v>
      </c>
      <c r="Z2046">
        <v>7.9705440000000002E-2</v>
      </c>
      <c r="AA2046">
        <v>0.897679</v>
      </c>
      <c r="AB2046">
        <v>46</v>
      </c>
      <c r="AC2046">
        <v>-1.3306</v>
      </c>
      <c r="AD2046">
        <v>-1.1270890198600001</v>
      </c>
      <c r="AE2046">
        <v>-9.4529000000000494</v>
      </c>
      <c r="AF2046">
        <v>-4.1850092898257296</v>
      </c>
      <c r="AG2046">
        <v>-1.1270890198600001</v>
      </c>
      <c r="AH2046">
        <v>8.4335643535060196</v>
      </c>
      <c r="AI2046">
        <v>96.826620328033499</v>
      </c>
      <c r="AJ2046">
        <v>116.392104676795</v>
      </c>
      <c r="AK2046">
        <v>9.4820694006816897</v>
      </c>
      <c r="AL2046">
        <v>81.670213960335005</v>
      </c>
      <c r="AM2046">
        <v>105.91329398159</v>
      </c>
      <c r="AN2046">
        <v>0.99999999472456402</v>
      </c>
    </row>
    <row r="2047" spans="1:40" x14ac:dyDescent="0.25">
      <c r="A2047" t="str">
        <f>"20190312164512174"</f>
        <v>20190312164512174</v>
      </c>
      <c r="B2047" t="str">
        <f>"1552380312164059"</f>
        <v>1552380312164059</v>
      </c>
      <c r="C2047" t="s">
        <v>40</v>
      </c>
      <c r="D2047">
        <v>4.8532469999999996</v>
      </c>
      <c r="E2047">
        <v>0.42595840000000001</v>
      </c>
      <c r="F2047" t="s">
        <v>41</v>
      </c>
      <c r="G2047">
        <v>-493.58730000000003</v>
      </c>
      <c r="H2047">
        <v>1.015056</v>
      </c>
      <c r="I2047">
        <v>269.8175</v>
      </c>
      <c r="J2047">
        <v>-493.59899999999999</v>
      </c>
      <c r="K2047">
        <v>1.1270830000000001</v>
      </c>
      <c r="L2047">
        <v>270.56979999999999</v>
      </c>
      <c r="M2047">
        <v>-0.55741819999999997</v>
      </c>
      <c r="N2047">
        <v>0</v>
      </c>
      <c r="O2047">
        <v>-0.83004679999999997</v>
      </c>
      <c r="P2047">
        <v>-0.31308530000000001</v>
      </c>
      <c r="Q2047">
        <v>0.1408259</v>
      </c>
      <c r="R2047">
        <v>-0.93922629999999996</v>
      </c>
      <c r="S2047">
        <v>-0.44845580000000002</v>
      </c>
      <c r="T2047">
        <v>-0.35861609999999899</v>
      </c>
      <c r="U2047">
        <v>-3.1033629999999999</v>
      </c>
      <c r="V2047">
        <v>-0.27076040000000001</v>
      </c>
      <c r="W2047">
        <v>0.14508480000000001</v>
      </c>
      <c r="X2047">
        <v>0.95165080000000002</v>
      </c>
      <c r="Y2047">
        <v>-0.4333882</v>
      </c>
      <c r="Z2047">
        <v>7.9953129999999997E-2</v>
      </c>
      <c r="AA2047">
        <v>0.8976537</v>
      </c>
      <c r="AB2047">
        <v>45</v>
      </c>
      <c r="AC2047">
        <v>1.1699999999961999E-2</v>
      </c>
      <c r="AD2047">
        <v>-0.112027</v>
      </c>
      <c r="AE2047">
        <v>-0.75229999999999098</v>
      </c>
      <c r="AF2047">
        <v>-0.41981602872114698</v>
      </c>
      <c r="AG2047">
        <v>-0.112027</v>
      </c>
      <c r="AH2047">
        <v>0.60461332025436298</v>
      </c>
      <c r="AI2047">
        <v>98.653756243798995</v>
      </c>
      <c r="AJ2047">
        <v>124.774357596337</v>
      </c>
      <c r="AK2047">
        <v>0.74454873160136403</v>
      </c>
      <c r="AL2047">
        <v>81.657810363354898</v>
      </c>
      <c r="AM2047">
        <v>105.88192977156</v>
      </c>
      <c r="AN2047">
        <v>1.0000000192699099</v>
      </c>
    </row>
    <row r="2048" spans="1:40" x14ac:dyDescent="0.25">
      <c r="A2048" t="str">
        <f>"20190312164512186"</f>
        <v>20190312164512186</v>
      </c>
      <c r="B2048" t="str">
        <f>"1552380312183579"</f>
        <v>1552380312183579</v>
      </c>
      <c r="C2048" t="s">
        <v>40</v>
      </c>
      <c r="D2048">
        <v>4.8175359999999996</v>
      </c>
      <c r="E2048">
        <v>0.42620180000000002</v>
      </c>
      <c r="F2048" t="s">
        <v>41</v>
      </c>
      <c r="G2048">
        <v>-493.74939999999998</v>
      </c>
      <c r="H2048">
        <v>1.0018100000000001</v>
      </c>
      <c r="I2048">
        <v>269.46710000000002</v>
      </c>
      <c r="J2048">
        <v>-493.73680000000002</v>
      </c>
      <c r="K2048">
        <v>1.1270849999999999</v>
      </c>
      <c r="L2048">
        <v>270.36930000000001</v>
      </c>
      <c r="M2048">
        <v>-0.55046200000000001</v>
      </c>
      <c r="N2048">
        <v>0</v>
      </c>
      <c r="O2048">
        <v>-0.83467579999999997</v>
      </c>
      <c r="P2048">
        <v>-0.30551499999999998</v>
      </c>
      <c r="Q2048">
        <v>0.14109940000000001</v>
      </c>
      <c r="R2048">
        <v>-0.94167489999999998</v>
      </c>
      <c r="S2048">
        <v>-0.42318729999999899</v>
      </c>
      <c r="T2048">
        <v>-0.35281879999999999</v>
      </c>
      <c r="U2048">
        <v>-3.105988</v>
      </c>
      <c r="V2048">
        <v>-0.27045649999999999</v>
      </c>
      <c r="W2048">
        <v>0.145387299999999</v>
      </c>
      <c r="X2048">
        <v>0.95169099999999995</v>
      </c>
      <c r="Y2048">
        <v>-0.43312390000000001</v>
      </c>
      <c r="Z2048">
        <v>7.9400899999999996E-2</v>
      </c>
      <c r="AA2048">
        <v>0.89783020000000002</v>
      </c>
      <c r="AB2048">
        <v>45</v>
      </c>
      <c r="AC2048">
        <v>-1.25999999999635E-2</v>
      </c>
      <c r="AD2048">
        <v>-0.125275</v>
      </c>
      <c r="AE2048">
        <v>-0.90219999999999301</v>
      </c>
      <c r="AF2048">
        <v>-0.47698984145871798</v>
      </c>
      <c r="AG2048">
        <v>-0.125275</v>
      </c>
      <c r="AH2048">
        <v>0.74572209938740197</v>
      </c>
      <c r="AI2048">
        <v>98.054891272015993</v>
      </c>
      <c r="AJ2048">
        <v>122.60439832437901</v>
      </c>
      <c r="AK2048">
        <v>0.89404394969965995</v>
      </c>
      <c r="AL2048">
        <v>81.640292256289698</v>
      </c>
      <c r="AM2048">
        <v>105.86436531275901</v>
      </c>
      <c r="AN2048">
        <v>0.99999997243726901</v>
      </c>
    </row>
    <row r="2049" spans="1:40" x14ac:dyDescent="0.25">
      <c r="A2049" t="str">
        <f>"20190312164512202"</f>
        <v>20190312164512202</v>
      </c>
      <c r="B2049" t="str">
        <f>"1552380312193343"</f>
        <v>1552380312193343</v>
      </c>
      <c r="C2049" t="s">
        <v>40</v>
      </c>
      <c r="D2049">
        <v>4.8352750000000002</v>
      </c>
      <c r="E2049">
        <v>0.42632540000000002</v>
      </c>
      <c r="F2049" t="s">
        <v>42</v>
      </c>
      <c r="G2049">
        <v>-495.03550000000001</v>
      </c>
      <c r="H2049" s="1">
        <v>-1.6252159999999999E-6</v>
      </c>
      <c r="I2049">
        <v>260.25439999999998</v>
      </c>
      <c r="J2049">
        <v>-493.91300000000001</v>
      </c>
      <c r="K2049">
        <v>1.127092</v>
      </c>
      <c r="L2049">
        <v>270.10599999999999</v>
      </c>
      <c r="M2049">
        <v>-0.54133260000000005</v>
      </c>
      <c r="N2049">
        <v>0</v>
      </c>
      <c r="O2049">
        <v>-0.84062510000000001</v>
      </c>
      <c r="P2049">
        <v>-0.29628179999999998</v>
      </c>
      <c r="Q2049">
        <v>0.14201900000000001</v>
      </c>
      <c r="R2049">
        <v>-0.94448319999999997</v>
      </c>
      <c r="S2049">
        <v>-0.3990784</v>
      </c>
      <c r="T2049">
        <v>-0.34634999999999999</v>
      </c>
      <c r="U2049">
        <v>-3.108276</v>
      </c>
      <c r="V2049">
        <v>-0.26936589999999999</v>
      </c>
      <c r="W2049">
        <v>0.14637929999999999</v>
      </c>
      <c r="X2049">
        <v>0.95184829999999998</v>
      </c>
      <c r="Y2049">
        <v>-0.43023359999999999</v>
      </c>
      <c r="Z2049">
        <v>7.8963389999999994E-2</v>
      </c>
      <c r="AA2049">
        <v>0.89925739999999998</v>
      </c>
      <c r="AB2049">
        <v>45</v>
      </c>
      <c r="AC2049">
        <v>-1.1225000000000001</v>
      </c>
      <c r="AD2049">
        <v>-1.127093625216</v>
      </c>
      <c r="AE2049">
        <v>-9.8516000000000101</v>
      </c>
      <c r="AF2049">
        <v>-4.3340661465454904</v>
      </c>
      <c r="AG2049">
        <v>-1.127093625216</v>
      </c>
      <c r="AH2049">
        <v>8.7771081583389208</v>
      </c>
      <c r="AI2049">
        <v>96.568138522192896</v>
      </c>
      <c r="AJ2049">
        <v>116.279793273981</v>
      </c>
      <c r="AK2049">
        <v>9.8535322106244703</v>
      </c>
      <c r="AL2049">
        <v>81.582840752054295</v>
      </c>
      <c r="AM2049">
        <v>105.80111353749101</v>
      </c>
      <c r="AN2049">
        <v>1.00000003688209</v>
      </c>
    </row>
    <row r="2050" spans="1:40" x14ac:dyDescent="0.25">
      <c r="A2050" t="str">
        <f>"20190312164512214"</f>
        <v>20190312164512214</v>
      </c>
      <c r="B2050" t="str">
        <f>"1552380312204075"</f>
        <v>1552380312204075</v>
      </c>
      <c r="C2050" t="s">
        <v>40</v>
      </c>
      <c r="D2050">
        <v>4.8713759999999997</v>
      </c>
      <c r="E2050">
        <v>0.42641479999999998</v>
      </c>
      <c r="F2050" t="s">
        <v>41</v>
      </c>
      <c r="G2050">
        <v>-494.02859999999998</v>
      </c>
      <c r="H2050">
        <v>1.0203</v>
      </c>
      <c r="I2050">
        <v>269.12830000000002</v>
      </c>
      <c r="J2050">
        <v>-494.04129999999998</v>
      </c>
      <c r="K2050">
        <v>1.127092</v>
      </c>
      <c r="L2050">
        <v>269.91070000000002</v>
      </c>
      <c r="M2050">
        <v>-0.53455169999999996</v>
      </c>
      <c r="N2050">
        <v>0</v>
      </c>
      <c r="O2050">
        <v>-0.84495309999999901</v>
      </c>
      <c r="P2050">
        <v>-0.28945779999999999</v>
      </c>
      <c r="Q2050">
        <v>0.14253560000000001</v>
      </c>
      <c r="R2050">
        <v>-0.946519</v>
      </c>
      <c r="S2050">
        <v>-0.36758420000000003</v>
      </c>
      <c r="T2050">
        <v>-0.33987329999999999</v>
      </c>
      <c r="U2050">
        <v>-3.1121219999999998</v>
      </c>
      <c r="V2050">
        <v>-0.2685572</v>
      </c>
      <c r="W2050">
        <v>0.1469491</v>
      </c>
      <c r="X2050">
        <v>0.95198890000000003</v>
      </c>
      <c r="Y2050">
        <v>-0.43206860000000002</v>
      </c>
      <c r="Z2050">
        <v>7.8072139999999998E-2</v>
      </c>
      <c r="AA2050">
        <v>0.89845509999999995</v>
      </c>
      <c r="AB2050">
        <v>45</v>
      </c>
      <c r="AC2050">
        <v>1.26999999999952E-2</v>
      </c>
      <c r="AD2050">
        <v>-0.106792</v>
      </c>
      <c r="AE2050">
        <v>-0.78239999999999499</v>
      </c>
      <c r="AF2050">
        <v>-0.42118564245929901</v>
      </c>
      <c r="AG2050">
        <v>-0.106792</v>
      </c>
      <c r="AH2050">
        <v>0.64243787151447695</v>
      </c>
      <c r="AI2050">
        <v>97.914350501101296</v>
      </c>
      <c r="AJ2050">
        <v>123.24905922240001</v>
      </c>
      <c r="AK2050">
        <v>0.77558255230110995</v>
      </c>
      <c r="AL2050">
        <v>81.549835870437207</v>
      </c>
      <c r="AM2050">
        <v>105.75382233752499</v>
      </c>
      <c r="AN2050">
        <v>0.99999993669292797</v>
      </c>
    </row>
    <row r="2051" spans="1:40" x14ac:dyDescent="0.25">
      <c r="A2051" t="str">
        <f>"20190312164512225"</f>
        <v>20190312164512225</v>
      </c>
      <c r="B2051" t="str">
        <f>"1552380312213835"</f>
        <v>1552380312213835</v>
      </c>
      <c r="C2051" t="s">
        <v>40</v>
      </c>
      <c r="D2051">
        <v>4.8596320000000004</v>
      </c>
      <c r="E2051">
        <v>0.426591</v>
      </c>
      <c r="F2051" t="s">
        <v>41</v>
      </c>
      <c r="G2051">
        <v>-494.16399999999999</v>
      </c>
      <c r="H2051">
        <v>1.0080199999999999</v>
      </c>
      <c r="I2051">
        <v>268.80180000000001</v>
      </c>
      <c r="J2051">
        <v>-494.16669999999999</v>
      </c>
      <c r="K2051">
        <v>1.1270910000000001</v>
      </c>
      <c r="L2051">
        <v>269.71690000000001</v>
      </c>
      <c r="M2051">
        <v>-0.52781</v>
      </c>
      <c r="N2051">
        <v>0</v>
      </c>
      <c r="O2051">
        <v>-0.84918039999999995</v>
      </c>
      <c r="P2051">
        <v>-0.28263379999999999</v>
      </c>
      <c r="Q2051">
        <v>0.1426886</v>
      </c>
      <c r="R2051">
        <v>-0.94855579999999995</v>
      </c>
      <c r="S2051">
        <v>-0.3445435</v>
      </c>
      <c r="T2051">
        <v>-0.3343853</v>
      </c>
      <c r="U2051">
        <v>-3.1145320000000001</v>
      </c>
      <c r="V2051">
        <v>-0.26782850000000002</v>
      </c>
      <c r="W2051">
        <v>0.14715239999999999</v>
      </c>
      <c r="X2051">
        <v>0.95216290000000003</v>
      </c>
      <c r="Y2051">
        <v>-0.43153180000000002</v>
      </c>
      <c r="Z2051">
        <v>7.7457139999999994E-2</v>
      </c>
      <c r="AA2051">
        <v>0.89876619999999996</v>
      </c>
      <c r="AB2051">
        <v>45</v>
      </c>
      <c r="AC2051">
        <v>2.7000000000043599E-3</v>
      </c>
      <c r="AD2051">
        <v>-0.119070999999999</v>
      </c>
      <c r="AE2051">
        <v>-0.91509999999999503</v>
      </c>
      <c r="AF2051">
        <v>-0.47728605795828399</v>
      </c>
      <c r="AG2051">
        <v>-0.119070999999999</v>
      </c>
      <c r="AH2051">
        <v>0.76286415115272399</v>
      </c>
      <c r="AI2051">
        <v>97.537613535050497</v>
      </c>
      <c r="AJ2051">
        <v>122.03216182772999</v>
      </c>
      <c r="AK2051">
        <v>0.90771228771914603</v>
      </c>
      <c r="AL2051">
        <v>81.538060678624603</v>
      </c>
      <c r="AM2051">
        <v>105.710460403787</v>
      </c>
      <c r="AN2051">
        <v>1.0000000611872</v>
      </c>
    </row>
    <row r="2052" spans="1:40" x14ac:dyDescent="0.25">
      <c r="A2052" t="str">
        <f>"20190312164512237"</f>
        <v>20190312164512237</v>
      </c>
      <c r="B2052" t="str">
        <f>"1552380312233356"</f>
        <v>1552380312233356</v>
      </c>
      <c r="C2052" t="s">
        <v>40</v>
      </c>
      <c r="D2052">
        <v>4.862628</v>
      </c>
      <c r="E2052">
        <v>0.42702449999999997</v>
      </c>
      <c r="F2052" t="s">
        <v>42</v>
      </c>
      <c r="G2052">
        <v>-495.26519999999999</v>
      </c>
      <c r="H2052" s="1">
        <v>-5.046511E-6</v>
      </c>
      <c r="I2052">
        <v>259.07170000000002</v>
      </c>
      <c r="J2052">
        <v>-494.28059999999999</v>
      </c>
      <c r="K2052">
        <v>1.1270819999999999</v>
      </c>
      <c r="L2052">
        <v>269.5367</v>
      </c>
      <c r="M2052">
        <v>-0.52154699999999998</v>
      </c>
      <c r="N2052">
        <v>0</v>
      </c>
      <c r="O2052">
        <v>-0.8530413</v>
      </c>
      <c r="P2052">
        <v>-0.2763041</v>
      </c>
      <c r="Q2052">
        <v>0.14300370000000001</v>
      </c>
      <c r="R2052">
        <v>-0.95037190000000005</v>
      </c>
      <c r="S2052">
        <v>-0.3215942</v>
      </c>
      <c r="T2052">
        <v>-0.32996920000000002</v>
      </c>
      <c r="U2052">
        <v>-3.1164860000000001</v>
      </c>
      <c r="V2052">
        <v>-0.26715650000000002</v>
      </c>
      <c r="W2052">
        <v>0.14751410000000001</v>
      </c>
      <c r="X2052">
        <v>0.95229569999999997</v>
      </c>
      <c r="Y2052">
        <v>-0.4314984</v>
      </c>
      <c r="Z2052">
        <v>7.7009590000000003E-2</v>
      </c>
      <c r="AA2052">
        <v>0.89882070000000003</v>
      </c>
      <c r="AB2052">
        <v>45</v>
      </c>
      <c r="AC2052">
        <v>-0.98460000000000003</v>
      </c>
      <c r="AD2052">
        <v>-1.1270870465109999</v>
      </c>
      <c r="AE2052">
        <v>-10.4649999999999</v>
      </c>
      <c r="AF2052">
        <v>-4.5662974885453602</v>
      </c>
      <c r="AG2052">
        <v>-1.1270870465109999</v>
      </c>
      <c r="AH2052">
        <v>9.3347251719423205</v>
      </c>
      <c r="AI2052">
        <v>96.190100152721797</v>
      </c>
      <c r="AJ2052">
        <v>116.066641784781</v>
      </c>
      <c r="AK2052">
        <v>10.452678699740099</v>
      </c>
      <c r="AL2052">
        <v>81.517108066978594</v>
      </c>
      <c r="AM2052">
        <v>105.670902948708</v>
      </c>
      <c r="AN2052">
        <v>1.0000000527147701</v>
      </c>
    </row>
    <row r="2053" spans="1:40" x14ac:dyDescent="0.25">
      <c r="A2053" t="str">
        <f>"20190312164512247"</f>
        <v>20190312164512247</v>
      </c>
      <c r="B2053" t="str">
        <f>"1552380312244091"</f>
        <v>1552380312244091</v>
      </c>
      <c r="C2053" t="s">
        <v>40</v>
      </c>
      <c r="D2053">
        <v>5.0508259999999998</v>
      </c>
      <c r="E2053">
        <v>0.42741479999999998</v>
      </c>
      <c r="F2053" t="s">
        <v>41</v>
      </c>
      <c r="G2053">
        <v>-494.38400000000001</v>
      </c>
      <c r="H2053">
        <v>1.0163819999999999</v>
      </c>
      <c r="I2053">
        <v>268.47269999999997</v>
      </c>
      <c r="J2053">
        <v>-494.40129999999999</v>
      </c>
      <c r="K2053">
        <v>1.1270770000000001</v>
      </c>
      <c r="L2053">
        <v>269.34399999999999</v>
      </c>
      <c r="M2053">
        <v>-0.51482929999999905</v>
      </c>
      <c r="N2053">
        <v>0</v>
      </c>
      <c r="O2053">
        <v>-0.85711209999999904</v>
      </c>
      <c r="P2053">
        <v>-0.26962989999999998</v>
      </c>
      <c r="Q2053">
        <v>0.143166299999999</v>
      </c>
      <c r="R2053">
        <v>-0.95226239999999995</v>
      </c>
      <c r="S2053">
        <v>-0.30300899999999997</v>
      </c>
      <c r="T2053">
        <v>-0.32435320000000001</v>
      </c>
      <c r="U2053">
        <v>-3.1173709999999999</v>
      </c>
      <c r="V2053">
        <v>-0.26634760000000002</v>
      </c>
      <c r="W2053">
        <v>0.1477311</v>
      </c>
      <c r="X2053">
        <v>0.95248860000000002</v>
      </c>
      <c r="Y2053">
        <v>-0.42974250000000003</v>
      </c>
      <c r="Z2053">
        <v>7.6364399999999902E-2</v>
      </c>
      <c r="AA2053">
        <v>0.89971659999999998</v>
      </c>
      <c r="AB2053">
        <v>45</v>
      </c>
      <c r="AC2053">
        <v>1.7299999999977399E-2</v>
      </c>
      <c r="AD2053">
        <v>-0.110695</v>
      </c>
      <c r="AE2053">
        <v>-0.87130000000001895</v>
      </c>
      <c r="AF2053">
        <v>-0.45611154037032298</v>
      </c>
      <c r="AG2053">
        <v>-0.110695</v>
      </c>
      <c r="AH2053">
        <v>0.72629131101426403</v>
      </c>
      <c r="AI2053">
        <v>97.354514594211594</v>
      </c>
      <c r="AJ2053">
        <v>122.128854740856</v>
      </c>
      <c r="AK2053">
        <v>0.86474862748593395</v>
      </c>
      <c r="AL2053">
        <v>81.504536938053505</v>
      </c>
      <c r="AM2053">
        <v>105.622765581389</v>
      </c>
      <c r="AN2053">
        <v>1.00000002753146</v>
      </c>
    </row>
    <row r="2054" spans="1:40" x14ac:dyDescent="0.25">
      <c r="A2054" t="str">
        <f>"20190312164512258"</f>
        <v>20190312164512258</v>
      </c>
      <c r="B2054" t="str">
        <f>"1552380312253851"</f>
        <v>1552380312253851</v>
      </c>
      <c r="C2054" t="s">
        <v>40</v>
      </c>
      <c r="D2054">
        <v>4.8990999999999998</v>
      </c>
      <c r="E2054">
        <v>0.42760769999999998</v>
      </c>
      <c r="F2054" t="s">
        <v>42</v>
      </c>
      <c r="G2054">
        <v>-495.392</v>
      </c>
      <c r="H2054" s="1">
        <v>-4.8459219999999998E-6</v>
      </c>
      <c r="I2054">
        <v>258.4162</v>
      </c>
      <c r="J2054">
        <v>-494.5127</v>
      </c>
      <c r="K2054">
        <v>1.1270709999999999</v>
      </c>
      <c r="L2054">
        <v>269.16109999999998</v>
      </c>
      <c r="M2054">
        <v>-0.508463</v>
      </c>
      <c r="N2054">
        <v>0</v>
      </c>
      <c r="O2054">
        <v>-0.86090370000000005</v>
      </c>
      <c r="P2054">
        <v>-0.26328760000000001</v>
      </c>
      <c r="Q2054">
        <v>0.14321989999999901</v>
      </c>
      <c r="R2054">
        <v>-0.95402690000000001</v>
      </c>
      <c r="S2054">
        <v>-0.28271479999999999</v>
      </c>
      <c r="T2054">
        <v>-0.321654299999999</v>
      </c>
      <c r="U2054">
        <v>-3.118652</v>
      </c>
      <c r="V2054">
        <v>-0.26562170000000002</v>
      </c>
      <c r="W2054">
        <v>0.14783479999999999</v>
      </c>
      <c r="X2054">
        <v>0.95267520000000006</v>
      </c>
      <c r="Y2054">
        <v>-0.4288922</v>
      </c>
      <c r="Z2054">
        <v>7.6309009999999997E-2</v>
      </c>
      <c r="AA2054">
        <v>0.90012689999999995</v>
      </c>
      <c r="AB2054">
        <v>45</v>
      </c>
      <c r="AC2054">
        <v>-0.87929999999999997</v>
      </c>
      <c r="AD2054">
        <v>-1.1270758459219901</v>
      </c>
      <c r="AE2054">
        <v>-10.7448999999999</v>
      </c>
      <c r="AF2054">
        <v>-4.6562310156050097</v>
      </c>
      <c r="AG2054">
        <v>-1.1270758459219901</v>
      </c>
      <c r="AH2054">
        <v>9.5940611831574998</v>
      </c>
      <c r="AI2054">
        <v>96.033033343730096</v>
      </c>
      <c r="AJ2054">
        <v>115.88842587227199</v>
      </c>
      <c r="AK2054">
        <v>10.723655963304299</v>
      </c>
      <c r="AL2054">
        <v>81.498529390197007</v>
      </c>
      <c r="AM2054">
        <v>105.579354913077</v>
      </c>
      <c r="AN2054">
        <v>1.00000002614848</v>
      </c>
    </row>
    <row r="2055" spans="1:40" x14ac:dyDescent="0.25">
      <c r="A2055" t="str">
        <f>"20190312164512271"</f>
        <v>20190312164512271</v>
      </c>
      <c r="B2055" t="str">
        <f>"1552380312263611"</f>
        <v>1552380312263611</v>
      </c>
      <c r="C2055" t="s">
        <v>40</v>
      </c>
      <c r="D2055">
        <v>4.8336959999999998</v>
      </c>
      <c r="E2055">
        <v>0.42794209999999999</v>
      </c>
      <c r="F2055" t="s">
        <v>41</v>
      </c>
      <c r="G2055">
        <v>-494.59899999999999</v>
      </c>
      <c r="H2055">
        <v>1.02242099999999</v>
      </c>
      <c r="I2055">
        <v>268.14100000000002</v>
      </c>
      <c r="J2055">
        <v>-494.6377</v>
      </c>
      <c r="K2055">
        <v>1.1270720000000001</v>
      </c>
      <c r="L2055">
        <v>268.95400000000001</v>
      </c>
      <c r="M2055">
        <v>-0.50123099999999998</v>
      </c>
      <c r="N2055">
        <v>0</v>
      </c>
      <c r="O2055">
        <v>-0.86513419999999897</v>
      </c>
      <c r="P2055">
        <v>-0.25622070000000002</v>
      </c>
      <c r="Q2055">
        <v>0.14321020000000001</v>
      </c>
      <c r="R2055">
        <v>-0.95595090000000005</v>
      </c>
      <c r="S2055">
        <v>-0.26358029999999999</v>
      </c>
      <c r="T2055">
        <v>-0.31997969999999998</v>
      </c>
      <c r="U2055">
        <v>-3.1198429999999999</v>
      </c>
      <c r="V2055">
        <v>-0.26468409999999998</v>
      </c>
      <c r="W2055">
        <v>0.14788760000000001</v>
      </c>
      <c r="X2055">
        <v>0.95292790000000005</v>
      </c>
      <c r="Y2055">
        <v>-0.42683549999999998</v>
      </c>
      <c r="Z2055">
        <v>7.6582769999999994E-2</v>
      </c>
      <c r="AA2055">
        <v>0.90108069999999896</v>
      </c>
      <c r="AB2055">
        <v>45</v>
      </c>
      <c r="AC2055">
        <v>3.8700000000005702E-2</v>
      </c>
      <c r="AD2055">
        <v>-0.10465099999999999</v>
      </c>
      <c r="AE2055">
        <v>-0.81300000000004502</v>
      </c>
      <c r="AF2055">
        <v>-0.43387711858084499</v>
      </c>
      <c r="AG2055">
        <v>-0.10465099999999999</v>
      </c>
      <c r="AH2055">
        <v>0.67293766870926397</v>
      </c>
      <c r="AI2055">
        <v>97.446464091524305</v>
      </c>
      <c r="AJ2055">
        <v>122.811932802313</v>
      </c>
      <c r="AK2055">
        <v>0.80749383390641205</v>
      </c>
      <c r="AL2055">
        <v>81.495470316526905</v>
      </c>
      <c r="AM2055">
        <v>105.523100977731</v>
      </c>
      <c r="AN2055">
        <v>0.99999999881249002</v>
      </c>
    </row>
    <row r="2056" spans="1:40" x14ac:dyDescent="0.25">
      <c r="A2056" t="str">
        <f>"20190312164512282"</f>
        <v>20190312164512282</v>
      </c>
      <c r="B2056" t="str">
        <f>"1552380312273371"</f>
        <v>1552380312273371</v>
      </c>
      <c r="C2056" t="s">
        <v>40</v>
      </c>
      <c r="D2056">
        <v>5.0912899999999999</v>
      </c>
      <c r="E2056">
        <v>0.42829970000000001</v>
      </c>
      <c r="F2056" t="s">
        <v>41</v>
      </c>
      <c r="G2056">
        <v>-494.72879999999998</v>
      </c>
      <c r="H2056">
        <v>1.007816</v>
      </c>
      <c r="I2056">
        <v>267.7817</v>
      </c>
      <c r="J2056">
        <v>-494.74970000000002</v>
      </c>
      <c r="K2056">
        <v>1.1270659999999999</v>
      </c>
      <c r="L2056">
        <v>268.76350000000002</v>
      </c>
      <c r="M2056">
        <v>-0.49458239999999998</v>
      </c>
      <c r="N2056">
        <v>0</v>
      </c>
      <c r="O2056">
        <v>-0.86895219999999995</v>
      </c>
      <c r="P2056">
        <v>-0.2497924</v>
      </c>
      <c r="Q2056">
        <v>0.1429849</v>
      </c>
      <c r="R2056">
        <v>-0.95768430000000004</v>
      </c>
      <c r="S2056">
        <v>-0.24288940000000001</v>
      </c>
      <c r="T2056">
        <v>-0.31752789999999997</v>
      </c>
      <c r="U2056">
        <v>-3.1206670000000001</v>
      </c>
      <c r="V2056">
        <v>-0.26378170000000001</v>
      </c>
      <c r="W2056">
        <v>0.14772260000000001</v>
      </c>
      <c r="X2056">
        <v>0.95320369999999999</v>
      </c>
      <c r="Y2056">
        <v>-0.42585899999999999</v>
      </c>
      <c r="Z2056">
        <v>7.6585039999999993E-2</v>
      </c>
      <c r="AA2056">
        <v>0.90154250000000002</v>
      </c>
      <c r="AB2056">
        <v>45</v>
      </c>
      <c r="AC2056">
        <v>2.0900000000040098E-2</v>
      </c>
      <c r="AD2056">
        <v>-0.119249999999999</v>
      </c>
      <c r="AE2056">
        <v>-0.98180000000002099</v>
      </c>
      <c r="AF2056">
        <v>-0.49649891260651402</v>
      </c>
      <c r="AG2056">
        <v>-0.119249999999999</v>
      </c>
      <c r="AH2056">
        <v>0.83068206850688897</v>
      </c>
      <c r="AI2056">
        <v>97.024787088373301</v>
      </c>
      <c r="AJ2056">
        <v>120.866773138315</v>
      </c>
      <c r="AK2056">
        <v>0.97507150079280602</v>
      </c>
      <c r="AL2056">
        <v>81.505029313943595</v>
      </c>
      <c r="AM2056">
        <v>105.468454653946</v>
      </c>
      <c r="AN2056">
        <v>1.0000000227496599</v>
      </c>
    </row>
    <row r="2057" spans="1:40" x14ac:dyDescent="0.25">
      <c r="A2057" t="str">
        <f>"20190312164512292"</f>
        <v>20190312164512292</v>
      </c>
      <c r="B2057" t="str">
        <f>"1552380312284108"</f>
        <v>1552380312284108</v>
      </c>
      <c r="C2057" t="s">
        <v>40</v>
      </c>
      <c r="D2057">
        <v>5.0866419999999897</v>
      </c>
      <c r="E2057">
        <v>0.42872460000000001</v>
      </c>
      <c r="F2057" t="s">
        <v>41</v>
      </c>
      <c r="G2057">
        <v>-494.82209999999998</v>
      </c>
      <c r="H2057">
        <v>1.025018</v>
      </c>
      <c r="I2057">
        <v>267.7509</v>
      </c>
      <c r="J2057">
        <v>-494.85989999999998</v>
      </c>
      <c r="K2057">
        <v>1.127062</v>
      </c>
      <c r="L2057">
        <v>268.57369999999997</v>
      </c>
      <c r="M2057">
        <v>-0.48794009999999999</v>
      </c>
      <c r="N2057">
        <v>0</v>
      </c>
      <c r="O2057">
        <v>-0.872699</v>
      </c>
      <c r="P2057">
        <v>-0.2435176</v>
      </c>
      <c r="Q2057">
        <v>0.14271389999999901</v>
      </c>
      <c r="R2057">
        <v>-0.95933930000000001</v>
      </c>
      <c r="S2057">
        <v>-0.2236938</v>
      </c>
      <c r="T2057">
        <v>-0.3145926</v>
      </c>
      <c r="U2057">
        <v>-3.1211549999999999</v>
      </c>
      <c r="V2057">
        <v>-0.26275379999999998</v>
      </c>
      <c r="W2057">
        <v>0.14751839999999999</v>
      </c>
      <c r="X2057">
        <v>0.95351920000000001</v>
      </c>
      <c r="Y2057">
        <v>-0.4244848</v>
      </c>
      <c r="Z2057">
        <v>7.6467649999999998E-2</v>
      </c>
      <c r="AA2057">
        <v>0.90220029999999996</v>
      </c>
      <c r="AB2057">
        <v>45</v>
      </c>
      <c r="AC2057">
        <v>3.7800000000004198E-2</v>
      </c>
      <c r="AD2057">
        <v>-0.102044</v>
      </c>
      <c r="AE2057">
        <v>-0.822799999999972</v>
      </c>
      <c r="AF2057">
        <v>-0.42796401449071703</v>
      </c>
      <c r="AG2057">
        <v>-0.102044</v>
      </c>
      <c r="AH2057">
        <v>0.68914394355731101</v>
      </c>
      <c r="AI2057">
        <v>97.169652198975399</v>
      </c>
      <c r="AJ2057">
        <v>121.840618553192</v>
      </c>
      <c r="AK2057">
        <v>0.81760965660682705</v>
      </c>
      <c r="AL2057">
        <v>81.516858957501498</v>
      </c>
      <c r="AM2057">
        <v>105.406191183196</v>
      </c>
      <c r="AN2057">
        <v>1.00000005126081</v>
      </c>
    </row>
    <row r="2058" spans="1:40" x14ac:dyDescent="0.25">
      <c r="A2058" t="str">
        <f>"20190312164512304"</f>
        <v>20190312164512304</v>
      </c>
      <c r="B2058" t="str">
        <f>"1552380312293867"</f>
        <v>1552380312293867</v>
      </c>
      <c r="C2058" t="s">
        <v>40</v>
      </c>
      <c r="D2058">
        <v>4.9192669999999996</v>
      </c>
      <c r="E2058">
        <v>0.42916799999999999</v>
      </c>
      <c r="F2058" t="s">
        <v>41</v>
      </c>
      <c r="G2058">
        <v>-494.93470000000002</v>
      </c>
      <c r="H2058">
        <v>1.014157</v>
      </c>
      <c r="I2058">
        <v>267.44630000000001</v>
      </c>
      <c r="J2058">
        <v>-494.97190000000001</v>
      </c>
      <c r="K2058">
        <v>1.1270610000000001</v>
      </c>
      <c r="L2058">
        <v>268.3768</v>
      </c>
      <c r="M2058">
        <v>-0.48104479999999999</v>
      </c>
      <c r="N2058">
        <v>0</v>
      </c>
      <c r="O2058">
        <v>-0.87651859999999904</v>
      </c>
      <c r="P2058">
        <v>-0.23729220000000001</v>
      </c>
      <c r="Q2058">
        <v>0.14209720000000001</v>
      </c>
      <c r="R2058">
        <v>-0.96098989999999995</v>
      </c>
      <c r="S2058">
        <v>-0.20617679999999999</v>
      </c>
      <c r="T2058">
        <v>-0.31246760000000001</v>
      </c>
      <c r="U2058">
        <v>-3.1213380000000002</v>
      </c>
      <c r="V2058">
        <v>-0.26142959999999998</v>
      </c>
      <c r="W2058">
        <v>0.14698449999999999</v>
      </c>
      <c r="X2058">
        <v>0.95396550000000002</v>
      </c>
      <c r="Y2058">
        <v>-0.4223925</v>
      </c>
      <c r="Z2058">
        <v>7.6569769999999995E-2</v>
      </c>
      <c r="AA2058">
        <v>0.90317309999999995</v>
      </c>
      <c r="AB2058">
        <v>45</v>
      </c>
      <c r="AC2058">
        <v>3.7199999999984301E-2</v>
      </c>
      <c r="AD2058">
        <v>-0.112904</v>
      </c>
      <c r="AE2058">
        <v>-0.930499999999994</v>
      </c>
      <c r="AF2058">
        <v>-0.47333574549218299</v>
      </c>
      <c r="AG2058">
        <v>-0.112904</v>
      </c>
      <c r="AH2058">
        <v>0.78627224399252205</v>
      </c>
      <c r="AI2058">
        <v>97.013412705374193</v>
      </c>
      <c r="AJ2058">
        <v>121.04793291411799</v>
      </c>
      <c r="AK2058">
        <v>0.92467187847888899</v>
      </c>
      <c r="AL2058">
        <v>81.547786103481201</v>
      </c>
      <c r="AM2058">
        <v>105.32537540102</v>
      </c>
      <c r="AN2058">
        <v>1.00000002709332</v>
      </c>
    </row>
    <row r="2059" spans="1:40" x14ac:dyDescent="0.25">
      <c r="A2059" t="str">
        <f>"20190312164512315"</f>
        <v>20190312164512315</v>
      </c>
      <c r="B2059" t="str">
        <f>"1552380312303627"</f>
        <v>1552380312303627</v>
      </c>
      <c r="C2059" t="s">
        <v>40</v>
      </c>
      <c r="D2059">
        <v>5.0295249999999996</v>
      </c>
      <c r="E2059">
        <v>0.42959619999999998</v>
      </c>
      <c r="F2059" t="s">
        <v>42</v>
      </c>
      <c r="G2059">
        <v>-495.65359999999998</v>
      </c>
      <c r="H2059" s="1">
        <v>-4.4318280000000004E-6</v>
      </c>
      <c r="I2059">
        <v>257.06299999999999</v>
      </c>
      <c r="J2059">
        <v>-495.07279999999997</v>
      </c>
      <c r="K2059">
        <v>1.1270579999999999</v>
      </c>
      <c r="L2059">
        <v>268.19600000000003</v>
      </c>
      <c r="M2059">
        <v>-0.4747072</v>
      </c>
      <c r="N2059">
        <v>0</v>
      </c>
      <c r="O2059">
        <v>-0.87996669999999999</v>
      </c>
      <c r="P2059">
        <v>-0.23189109999999999</v>
      </c>
      <c r="Q2059">
        <v>0.14179839999999999</v>
      </c>
      <c r="R2059">
        <v>-0.96235130000000002</v>
      </c>
      <c r="S2059">
        <v>-0.1880493</v>
      </c>
      <c r="T2059">
        <v>-0.31093670000000001</v>
      </c>
      <c r="U2059">
        <v>-3.1212770000000001</v>
      </c>
      <c r="V2059">
        <v>-0.25990530000000001</v>
      </c>
      <c r="W2059">
        <v>0.1467774</v>
      </c>
      <c r="X2059">
        <v>0.95441379999999998</v>
      </c>
      <c r="Y2059">
        <v>-0.42107800000000001</v>
      </c>
      <c r="Z2059">
        <v>7.674214E-2</v>
      </c>
      <c r="AA2059">
        <v>0.90377209999999997</v>
      </c>
      <c r="AB2059">
        <v>45</v>
      </c>
      <c r="AC2059">
        <v>-0.58080000000000997</v>
      </c>
      <c r="AD2059">
        <v>-1.12706243182799</v>
      </c>
      <c r="AE2059">
        <v>-11.1329999999999</v>
      </c>
      <c r="AF2059">
        <v>-4.7262677949084599</v>
      </c>
      <c r="AG2059">
        <v>-1.12706243182799</v>
      </c>
      <c r="AH2059">
        <v>9.9720257164962192</v>
      </c>
      <c r="AI2059">
        <v>95.831514001818405</v>
      </c>
      <c r="AJ2059">
        <v>115.35873546827</v>
      </c>
      <c r="AK2059">
        <v>11.092753214819499</v>
      </c>
      <c r="AL2059">
        <v>81.559782240939796</v>
      </c>
      <c r="AM2059">
        <v>105.23335972836701</v>
      </c>
      <c r="AN2059">
        <v>1.0000000358746399</v>
      </c>
    </row>
    <row r="2060" spans="1:40" x14ac:dyDescent="0.25">
      <c r="A2060" t="str">
        <f>"20190312164512328"</f>
        <v>20190312164512328</v>
      </c>
      <c r="B2060" t="str">
        <f>"1552380312324124"</f>
        <v>1552380312324124</v>
      </c>
      <c r="C2060" t="s">
        <v>40</v>
      </c>
      <c r="D2060">
        <v>4.9018160000000002</v>
      </c>
      <c r="E2060">
        <v>0.44509179999999998</v>
      </c>
      <c r="F2060" t="s">
        <v>41</v>
      </c>
      <c r="G2060">
        <v>-495.13290000000001</v>
      </c>
      <c r="H2060">
        <v>1.019433</v>
      </c>
      <c r="I2060">
        <v>267.10770000000002</v>
      </c>
      <c r="J2060">
        <v>-495.2002</v>
      </c>
      <c r="K2060">
        <v>1.127051</v>
      </c>
      <c r="L2060">
        <v>267.96469999999999</v>
      </c>
      <c r="M2060">
        <v>-0.46657539999999997</v>
      </c>
      <c r="N2060">
        <v>0</v>
      </c>
      <c r="O2060">
        <v>-0.88430520000000001</v>
      </c>
      <c r="P2060">
        <v>-0.22450729999999999</v>
      </c>
      <c r="Q2060">
        <v>0.1415747</v>
      </c>
      <c r="R2060">
        <v>-0.96413380000000004</v>
      </c>
      <c r="S2060">
        <v>-0.1724243</v>
      </c>
      <c r="T2060">
        <v>-0.30867420000000001</v>
      </c>
      <c r="U2060">
        <v>-3.1213069999999998</v>
      </c>
      <c r="V2060">
        <v>-0.25842280000000001</v>
      </c>
      <c r="W2060">
        <v>0.14664679999999999</v>
      </c>
      <c r="X2060">
        <v>0.95483629999999997</v>
      </c>
      <c r="Y2060">
        <v>-0.4172283</v>
      </c>
      <c r="Z2060">
        <v>7.6913499999999996E-2</v>
      </c>
      <c r="AA2060">
        <v>0.90554120000000005</v>
      </c>
      <c r="AB2060">
        <v>45</v>
      </c>
      <c r="AC2060">
        <v>6.7299999999988799E-2</v>
      </c>
      <c r="AD2060">
        <v>-0.10761800000000001</v>
      </c>
      <c r="AE2060">
        <v>-0.85699999999997001</v>
      </c>
      <c r="AF2060">
        <v>-0.45235100027418201</v>
      </c>
      <c r="AG2060">
        <v>-0.10761800000000001</v>
      </c>
      <c r="AH2060">
        <v>0.71535094448230196</v>
      </c>
      <c r="AI2060">
        <v>97.246380559923296</v>
      </c>
      <c r="AJ2060">
        <v>122.307147161979</v>
      </c>
      <c r="AK2060">
        <v>0.85318815928538005</v>
      </c>
      <c r="AL2060">
        <v>81.567346566516704</v>
      </c>
      <c r="AM2060">
        <v>105.14407743898499</v>
      </c>
      <c r="AN2060">
        <v>0.99999999365388403</v>
      </c>
    </row>
    <row r="2061" spans="1:40" x14ac:dyDescent="0.25">
      <c r="A2061" t="str">
        <f>"20190312164512342"</f>
        <v>20190312164512342</v>
      </c>
      <c r="B2061" t="str">
        <f>"1552380312333883"</f>
        <v>1552380312333883</v>
      </c>
      <c r="C2061" t="s">
        <v>40</v>
      </c>
      <c r="D2061">
        <v>5.2533070000000004</v>
      </c>
      <c r="E2061">
        <v>0.4445345</v>
      </c>
      <c r="F2061" t="s">
        <v>42</v>
      </c>
      <c r="G2061">
        <v>-496.55770000000001</v>
      </c>
      <c r="H2061" s="1">
        <v>-2.8610689999999998E-6</v>
      </c>
      <c r="I2061">
        <v>252.19110000000001</v>
      </c>
      <c r="J2061">
        <v>-495.32549999999998</v>
      </c>
      <c r="K2061">
        <v>1.1270370000000001</v>
      </c>
      <c r="L2061">
        <v>267.72930000000002</v>
      </c>
      <c r="M2061">
        <v>-0.4583025</v>
      </c>
      <c r="N2061">
        <v>0</v>
      </c>
      <c r="O2061">
        <v>-0.88862059999999998</v>
      </c>
      <c r="P2061">
        <v>-0.21728140000000001</v>
      </c>
      <c r="Q2061">
        <v>0.14166129999999999</v>
      </c>
      <c r="R2061">
        <v>-0.9657751</v>
      </c>
      <c r="S2061">
        <v>-0.26525880000000002</v>
      </c>
      <c r="T2061">
        <v>-0.22023019999999999</v>
      </c>
      <c r="U2061">
        <v>-3.082214</v>
      </c>
      <c r="V2061">
        <v>-0.25665379999999999</v>
      </c>
      <c r="W2061">
        <v>0.1468411</v>
      </c>
      <c r="X2061">
        <v>0.95528349999999995</v>
      </c>
      <c r="Y2061">
        <v>-0.38058799999999998</v>
      </c>
      <c r="Z2061">
        <v>5.6684430000000001E-2</v>
      </c>
      <c r="AA2061">
        <v>0.92300579999999999</v>
      </c>
      <c r="AB2061">
        <v>45</v>
      </c>
      <c r="AC2061">
        <v>-1.2322000000000299</v>
      </c>
      <c r="AD2061">
        <v>-1.127039861069</v>
      </c>
      <c r="AE2061">
        <v>-15.5382</v>
      </c>
      <c r="AF2061">
        <v>-5.9958310884750396</v>
      </c>
      <c r="AG2061">
        <v>-1.127039861069</v>
      </c>
      <c r="AH2061">
        <v>14.2997668842313</v>
      </c>
      <c r="AI2061">
        <v>94.1572058134023</v>
      </c>
      <c r="AJ2061">
        <v>112.74809574440501</v>
      </c>
      <c r="AK2061">
        <v>15.5468177526245</v>
      </c>
      <c r="AL2061">
        <v>81.556092416214796</v>
      </c>
      <c r="AM2061">
        <v>105.038401687823</v>
      </c>
      <c r="AN2061">
        <v>1.00000002353794</v>
      </c>
    </row>
    <row r="2062" spans="1:40" x14ac:dyDescent="0.25">
      <c r="A2062" t="str">
        <f>"20190312164512362"</f>
        <v>20190312164512362</v>
      </c>
      <c r="B2062" t="str">
        <f>"1552380312353405"</f>
        <v>1552380312353405</v>
      </c>
      <c r="C2062" t="s">
        <v>40</v>
      </c>
      <c r="D2062">
        <v>4.9757550000000004</v>
      </c>
      <c r="E2062">
        <v>0.44428010000000001</v>
      </c>
      <c r="F2062" t="s">
        <v>42</v>
      </c>
      <c r="G2062">
        <v>-496.54770000000002</v>
      </c>
      <c r="H2062" s="1">
        <v>-2.7062769999999998E-6</v>
      </c>
      <c r="I2062">
        <v>251.8364</v>
      </c>
      <c r="J2062">
        <v>-495.49979999999999</v>
      </c>
      <c r="K2062">
        <v>1.1270260000000001</v>
      </c>
      <c r="L2062">
        <v>267.39440000000002</v>
      </c>
      <c r="M2062">
        <v>-0.44649450000000002</v>
      </c>
      <c r="N2062">
        <v>0</v>
      </c>
      <c r="O2062">
        <v>-0.89461139999999995</v>
      </c>
      <c r="P2062">
        <v>-0.20834359999999999</v>
      </c>
      <c r="Q2062">
        <v>0.141545899999999</v>
      </c>
      <c r="R2062">
        <v>-0.96775940000000005</v>
      </c>
      <c r="S2062">
        <v>-0.2372437</v>
      </c>
      <c r="T2062">
        <v>-0.21877360000000001</v>
      </c>
      <c r="U2062">
        <v>-3.0850219999999999</v>
      </c>
      <c r="V2062">
        <v>-0.25282320000000003</v>
      </c>
      <c r="W2062">
        <v>0.14694670000000001</v>
      </c>
      <c r="X2062">
        <v>0.95628820000000003</v>
      </c>
      <c r="Y2062">
        <v>-0.3767394</v>
      </c>
      <c r="Z2062">
        <v>5.6956550000000002E-2</v>
      </c>
      <c r="AA2062">
        <v>0.92456660000000002</v>
      </c>
      <c r="AB2062">
        <v>45</v>
      </c>
      <c r="AC2062">
        <v>-1.04790000000002</v>
      </c>
      <c r="AD2062">
        <v>-1.1270287062769999</v>
      </c>
      <c r="AE2062">
        <v>-15.558</v>
      </c>
      <c r="AF2062">
        <v>-5.9788062883864903</v>
      </c>
      <c r="AG2062">
        <v>-1.1270287062769999</v>
      </c>
      <c r="AH2062">
        <v>14.3137247001613</v>
      </c>
      <c r="AI2062">
        <v>94.155481495194707</v>
      </c>
      <c r="AJ2062">
        <v>112.670169378474</v>
      </c>
      <c r="AK2062">
        <v>15.5531036494595</v>
      </c>
      <c r="AL2062">
        <v>81.549975532852301</v>
      </c>
      <c r="AM2062">
        <v>104.809014159409</v>
      </c>
      <c r="AN2062">
        <v>1.0000000122791799</v>
      </c>
    </row>
    <row r="2063" spans="1:40" x14ac:dyDescent="0.25">
      <c r="A2063" t="str">
        <f>"20190312164512375"</f>
        <v>20190312164512375</v>
      </c>
      <c r="B2063" t="str">
        <f>"1552380312364139"</f>
        <v>1552380312364139</v>
      </c>
      <c r="C2063" t="s">
        <v>40</v>
      </c>
      <c r="D2063">
        <v>4.9942460000000004</v>
      </c>
      <c r="E2063">
        <v>0.44452520000000001</v>
      </c>
      <c r="F2063" t="s">
        <v>42</v>
      </c>
      <c r="G2063">
        <v>-496.57670000000002</v>
      </c>
      <c r="H2063" s="1">
        <v>-2.421314E-6</v>
      </c>
      <c r="I2063">
        <v>251.1542</v>
      </c>
      <c r="J2063">
        <v>-495.62130000000002</v>
      </c>
      <c r="K2063">
        <v>1.127019</v>
      </c>
      <c r="L2063">
        <v>267.15449999999998</v>
      </c>
      <c r="M2063">
        <v>-0.43801440000000003</v>
      </c>
      <c r="N2063">
        <v>0</v>
      </c>
      <c r="O2063">
        <v>-0.89879359999999997</v>
      </c>
      <c r="P2063">
        <v>-0.20130909999999999</v>
      </c>
      <c r="Q2063">
        <v>0.1415575</v>
      </c>
      <c r="R2063">
        <v>-0.96924520000000003</v>
      </c>
      <c r="S2063">
        <v>-0.2047119</v>
      </c>
      <c r="T2063">
        <v>-0.21424480000000001</v>
      </c>
      <c r="U2063">
        <v>-3.0872190000000002</v>
      </c>
      <c r="V2063">
        <v>-0.2507181</v>
      </c>
      <c r="W2063">
        <v>0.14708399999999999</v>
      </c>
      <c r="X2063">
        <v>0.95682109999999998</v>
      </c>
      <c r="Y2063">
        <v>-0.37772060000000002</v>
      </c>
      <c r="Z2063">
        <v>5.6171649999999997E-2</v>
      </c>
      <c r="AA2063">
        <v>0.92421419999999999</v>
      </c>
      <c r="AB2063">
        <v>45</v>
      </c>
      <c r="AC2063">
        <v>-0.95539999999999703</v>
      </c>
      <c r="AD2063">
        <v>-1.127021421314</v>
      </c>
      <c r="AE2063">
        <v>-16.0002999999999</v>
      </c>
      <c r="AF2063">
        <v>-6.1203604876514897</v>
      </c>
      <c r="AG2063">
        <v>-1.127021421314</v>
      </c>
      <c r="AH2063">
        <v>14.7289489556746</v>
      </c>
      <c r="AI2063">
        <v>94.041795945209202</v>
      </c>
      <c r="AJ2063">
        <v>112.564484191283</v>
      </c>
      <c r="AK2063">
        <v>15.989713165712899</v>
      </c>
      <c r="AL2063">
        <v>81.542021815703606</v>
      </c>
      <c r="AM2063">
        <v>104.683234974478</v>
      </c>
      <c r="AN2063">
        <v>0.99999994306440798</v>
      </c>
    </row>
    <row r="2064" spans="1:40" x14ac:dyDescent="0.25">
      <c r="A2064" t="str">
        <f>"20190312164512393"</f>
        <v>20190312164512393</v>
      </c>
      <c r="B2064" t="str">
        <f>"1552380312383663"</f>
        <v>1552380312383663</v>
      </c>
      <c r="C2064" t="s">
        <v>40</v>
      </c>
      <c r="D2064">
        <v>5.1516669999999998</v>
      </c>
      <c r="E2064">
        <v>0.46516299999999999</v>
      </c>
      <c r="F2064" t="s">
        <v>41</v>
      </c>
      <c r="G2064">
        <v>-495.69060000000002</v>
      </c>
      <c r="H2064">
        <v>1.0466580000000001</v>
      </c>
      <c r="I2064">
        <v>265.99520000000001</v>
      </c>
      <c r="J2064">
        <v>-495.7792</v>
      </c>
      <c r="K2064">
        <v>1.1270039999999999</v>
      </c>
      <c r="L2064">
        <v>266.83359999999999</v>
      </c>
      <c r="M2064">
        <v>-0.4266413</v>
      </c>
      <c r="N2064">
        <v>0</v>
      </c>
      <c r="O2064">
        <v>-0.90424729999999998</v>
      </c>
      <c r="P2064">
        <v>-0.19333110000000001</v>
      </c>
      <c r="Q2064">
        <v>0.1414406</v>
      </c>
      <c r="R2064">
        <v>-0.9708852</v>
      </c>
      <c r="S2064">
        <v>-0.18396000000000001</v>
      </c>
      <c r="T2064">
        <v>-0.2139789</v>
      </c>
      <c r="U2064">
        <v>-3.088257</v>
      </c>
      <c r="V2064">
        <v>-0.24650449999999999</v>
      </c>
      <c r="W2064">
        <v>0.14720620000000001</v>
      </c>
      <c r="X2064">
        <v>0.95789659999999999</v>
      </c>
      <c r="Y2064">
        <v>-0.3722433</v>
      </c>
      <c r="Z2064">
        <v>5.672717E-2</v>
      </c>
      <c r="AA2064">
        <v>0.9264</v>
      </c>
      <c r="AB2064">
        <v>45</v>
      </c>
      <c r="AC2064">
        <v>8.8599999999985302E-2</v>
      </c>
      <c r="AD2064">
        <v>-8.0346000000000001E-2</v>
      </c>
      <c r="AE2064">
        <v>-0.83839999999997805</v>
      </c>
      <c r="AF2064">
        <v>-0.43393989886199102</v>
      </c>
      <c r="AG2064">
        <v>-8.0346000000000001E-2</v>
      </c>
      <c r="AH2064">
        <v>0.71394923714124303</v>
      </c>
      <c r="AI2064">
        <v>95.493096112987701</v>
      </c>
      <c r="AJ2064">
        <v>121.291325174939</v>
      </c>
      <c r="AK2064">
        <v>0.83933475369182597</v>
      </c>
      <c r="AL2064">
        <v>81.534943833898097</v>
      </c>
      <c r="AM2064">
        <v>104.431333238007</v>
      </c>
      <c r="AN2064">
        <v>1.00000001506512</v>
      </c>
    </row>
    <row r="2065" spans="1:40" x14ac:dyDescent="0.25">
      <c r="A2065" t="str">
        <f>"20190312164512406"</f>
        <v>20190312164512406</v>
      </c>
      <c r="B2065" t="str">
        <f>"1552380312393420"</f>
        <v>1552380312393420</v>
      </c>
      <c r="C2065" t="s">
        <v>40</v>
      </c>
      <c r="D2065">
        <v>5.1784189999999999</v>
      </c>
      <c r="E2065">
        <v>0.47017429999999899</v>
      </c>
      <c r="F2065" t="s">
        <v>42</v>
      </c>
      <c r="G2065">
        <v>-497.23489999999998</v>
      </c>
      <c r="H2065" s="1">
        <v>-3.2812640000000001E-6</v>
      </c>
      <c r="I2065">
        <v>252.8578</v>
      </c>
      <c r="J2065">
        <v>-495.88929999999999</v>
      </c>
      <c r="K2065">
        <v>1.127</v>
      </c>
      <c r="L2065">
        <v>266.60359999999997</v>
      </c>
      <c r="M2065">
        <v>-0.41847210000000001</v>
      </c>
      <c r="N2065">
        <v>0</v>
      </c>
      <c r="O2065">
        <v>-0.90805639999999999</v>
      </c>
      <c r="P2065">
        <v>-0.1868602</v>
      </c>
      <c r="Q2065">
        <v>0.1416415</v>
      </c>
      <c r="R2065">
        <v>-0.97212180000000004</v>
      </c>
      <c r="S2065">
        <v>-0.31896970000000002</v>
      </c>
      <c r="T2065">
        <v>-0.2469549</v>
      </c>
      <c r="U2065">
        <v>-3.0624389999999999</v>
      </c>
      <c r="V2065">
        <v>-0.24423839999999999</v>
      </c>
      <c r="W2065">
        <v>0.14753959999999999</v>
      </c>
      <c r="X2065">
        <v>0.95842559999999999</v>
      </c>
      <c r="Y2065">
        <v>-0.32241979999999998</v>
      </c>
      <c r="Z2065">
        <v>6.7080650000000006E-2</v>
      </c>
      <c r="AA2065">
        <v>0.94421699999999997</v>
      </c>
      <c r="AB2065">
        <v>44</v>
      </c>
      <c r="AC2065">
        <v>-1.3455999999999899</v>
      </c>
      <c r="AD2065">
        <v>-1.1270032812639901</v>
      </c>
      <c r="AE2065">
        <v>-13.7457999999999</v>
      </c>
      <c r="AF2065">
        <v>-4.5010960706184102</v>
      </c>
      <c r="AG2065">
        <v>-1.1270032812639901</v>
      </c>
      <c r="AH2065">
        <v>12.960812711052601</v>
      </c>
      <c r="AI2065">
        <v>94.695858498245499</v>
      </c>
      <c r="AJ2065">
        <v>109.151348201022</v>
      </c>
      <c r="AK2065">
        <v>13.7663600259436</v>
      </c>
      <c r="AL2065">
        <v>81.515630241125805</v>
      </c>
      <c r="AM2065">
        <v>104.296563308313</v>
      </c>
      <c r="AN2065">
        <v>0.99999998016903902</v>
      </c>
    </row>
    <row r="2066" spans="1:40" x14ac:dyDescent="0.25">
      <c r="A2066" t="str">
        <f>"20190312164512418"</f>
        <v>20190312164512418</v>
      </c>
      <c r="B2066" t="str">
        <f>"1552380312413916"</f>
        <v>1552380312413916</v>
      </c>
      <c r="C2066" t="s">
        <v>40</v>
      </c>
      <c r="D2066">
        <v>5.0831089999999897</v>
      </c>
      <c r="E2066">
        <v>0.4750432</v>
      </c>
      <c r="F2066" t="s">
        <v>42</v>
      </c>
      <c r="G2066">
        <v>-497.48559999999998</v>
      </c>
      <c r="H2066" s="1">
        <v>-3.0703710000000001E-6</v>
      </c>
      <c r="I2066">
        <v>252.10730000000001</v>
      </c>
      <c r="J2066">
        <v>-495.98430000000002</v>
      </c>
      <c r="K2066">
        <v>1.126995</v>
      </c>
      <c r="L2066">
        <v>266.3997</v>
      </c>
      <c r="M2066">
        <v>-0.41121609999999997</v>
      </c>
      <c r="N2066">
        <v>0</v>
      </c>
      <c r="O2066">
        <v>-0.91136530000000004</v>
      </c>
      <c r="P2066">
        <v>-0.1808439</v>
      </c>
      <c r="Q2066">
        <v>0.14178789999999999</v>
      </c>
      <c r="R2066">
        <v>-0.97323809999999999</v>
      </c>
      <c r="S2066">
        <v>-0.33651730000000002</v>
      </c>
      <c r="T2066">
        <v>-0.23758460000000001</v>
      </c>
      <c r="U2066">
        <v>-3.0559690000000002</v>
      </c>
      <c r="V2066">
        <v>-0.2425137</v>
      </c>
      <c r="W2066">
        <v>0.14778859999999999</v>
      </c>
      <c r="X2066">
        <v>0.95882509999999999</v>
      </c>
      <c r="Y2066">
        <v>-0.30926279999999901</v>
      </c>
      <c r="Z2066">
        <v>6.5217929999999993E-2</v>
      </c>
      <c r="AA2066">
        <v>0.94873759999999996</v>
      </c>
      <c r="AB2066">
        <v>44</v>
      </c>
      <c r="AC2066">
        <v>-1.5012999999999499</v>
      </c>
      <c r="AD2066">
        <v>-1.1269980703710001</v>
      </c>
      <c r="AE2066">
        <v>-14.292399999999899</v>
      </c>
      <c r="AF2066">
        <v>-4.4821766374771297</v>
      </c>
      <c r="AG2066">
        <v>-1.1269980703710001</v>
      </c>
      <c r="AH2066">
        <v>13.5616992148954</v>
      </c>
      <c r="AI2066">
        <v>94.511507195098801</v>
      </c>
      <c r="AJ2066">
        <v>108.288854094721</v>
      </c>
      <c r="AK2066">
        <v>14.3275858976821</v>
      </c>
      <c r="AL2066">
        <v>81.501205362713506</v>
      </c>
      <c r="AM2066">
        <v>104.194027215036</v>
      </c>
      <c r="AN2066">
        <v>0.99999996868382901</v>
      </c>
    </row>
    <row r="2067" spans="1:40" x14ac:dyDescent="0.25">
      <c r="A2067" t="str">
        <f>"20190312164512431"</f>
        <v>20190312164512431</v>
      </c>
      <c r="B2067" t="str">
        <f>"1552380312423676"</f>
        <v>1552380312423676</v>
      </c>
      <c r="C2067" t="s">
        <v>40</v>
      </c>
      <c r="D2067">
        <v>5.0752579999999998</v>
      </c>
      <c r="E2067">
        <v>0.4763077</v>
      </c>
      <c r="F2067" t="s">
        <v>42</v>
      </c>
      <c r="G2067">
        <v>-497.77050000000003</v>
      </c>
      <c r="H2067" s="1">
        <v>-2.7041870000000002E-6</v>
      </c>
      <c r="I2067">
        <v>251.07310000000001</v>
      </c>
      <c r="J2067">
        <v>-496.09039999999999</v>
      </c>
      <c r="K2067">
        <v>1.1269899999999999</v>
      </c>
      <c r="L2067">
        <v>266.16820000000001</v>
      </c>
      <c r="M2067">
        <v>-0.40296019999999999</v>
      </c>
      <c r="N2067">
        <v>0</v>
      </c>
      <c r="O2067">
        <v>-0.91504540000000001</v>
      </c>
      <c r="P2067">
        <v>-0.17363120000000001</v>
      </c>
      <c r="Q2067">
        <v>0.14176859999999999</v>
      </c>
      <c r="R2067">
        <v>-0.97455329999999996</v>
      </c>
      <c r="S2067">
        <v>-0.3553772</v>
      </c>
      <c r="T2067">
        <v>-0.22421250000000001</v>
      </c>
      <c r="U2067">
        <v>-3.0491640000000002</v>
      </c>
      <c r="V2067">
        <v>-0.24094090000000001</v>
      </c>
      <c r="W2067">
        <v>0.14786640000000001</v>
      </c>
      <c r="X2067">
        <v>0.9592096</v>
      </c>
      <c r="Y2067">
        <v>-0.29458669999999998</v>
      </c>
      <c r="Z2067">
        <v>6.225323E-2</v>
      </c>
      <c r="AA2067">
        <v>0.95359490000000002</v>
      </c>
      <c r="AB2067">
        <v>44</v>
      </c>
      <c r="AC2067">
        <v>-1.6801000000000299</v>
      </c>
      <c r="AD2067">
        <v>-1.126992704187</v>
      </c>
      <c r="AE2067">
        <v>-15.0951</v>
      </c>
      <c r="AF2067">
        <v>-4.5211799108798898</v>
      </c>
      <c r="AG2067">
        <v>-1.126992704187</v>
      </c>
      <c r="AH2067">
        <v>14.412644214717499</v>
      </c>
      <c r="AI2067">
        <v>94.266924382796006</v>
      </c>
      <c r="AJ2067">
        <v>107.416400201877</v>
      </c>
      <c r="AK2067">
        <v>15.147128229531299</v>
      </c>
      <c r="AL2067">
        <v>81.496698698257504</v>
      </c>
      <c r="AM2067">
        <v>104.10023046972999</v>
      </c>
      <c r="AN2067">
        <v>1.0000000231369599</v>
      </c>
    </row>
    <row r="2068" spans="1:40" x14ac:dyDescent="0.25">
      <c r="A2068" t="str">
        <f>"20190312164512444"</f>
        <v>20190312164512444</v>
      </c>
      <c r="B2068" t="str">
        <f>"1552380312433435"</f>
        <v>1552380312433435</v>
      </c>
      <c r="C2068" t="s">
        <v>40</v>
      </c>
      <c r="D2068">
        <v>5.7523099999999996</v>
      </c>
      <c r="E2068">
        <v>0.47708590000000001</v>
      </c>
      <c r="F2068" t="s">
        <v>42</v>
      </c>
      <c r="G2068">
        <v>-497.84199999999998</v>
      </c>
      <c r="H2068" s="1">
        <v>-2.4954510000000002E-6</v>
      </c>
      <c r="I2068">
        <v>250.54220000000001</v>
      </c>
      <c r="J2068">
        <v>-496.19619999999998</v>
      </c>
      <c r="K2068">
        <v>1.1269849999999999</v>
      </c>
      <c r="L2068">
        <v>265.93020000000001</v>
      </c>
      <c r="M2068">
        <v>-0.39445400000000003</v>
      </c>
      <c r="N2068">
        <v>0</v>
      </c>
      <c r="O2068">
        <v>-0.91874400000000001</v>
      </c>
      <c r="P2068">
        <v>-0.16609640000000001</v>
      </c>
      <c r="Q2068">
        <v>0.14195279999999999</v>
      </c>
      <c r="R2068">
        <v>-0.97583900000000001</v>
      </c>
      <c r="S2068">
        <v>-0.3418274</v>
      </c>
      <c r="T2068">
        <v>-0.2199324</v>
      </c>
      <c r="U2068">
        <v>-3.0494080000000001</v>
      </c>
      <c r="V2068">
        <v>-0.23944499999999999</v>
      </c>
      <c r="W2068">
        <v>0.14814279999999999</v>
      </c>
      <c r="X2068">
        <v>0.95954139999999999</v>
      </c>
      <c r="Y2068">
        <v>-0.28990440000000001</v>
      </c>
      <c r="Z2068">
        <v>6.1522599999999997E-2</v>
      </c>
      <c r="AA2068">
        <v>0.95507620000000004</v>
      </c>
      <c r="AB2068">
        <v>44</v>
      </c>
      <c r="AC2068">
        <v>-1.6457999999999999</v>
      </c>
      <c r="AD2068">
        <v>-1.126987495451</v>
      </c>
      <c r="AE2068">
        <v>-15.388</v>
      </c>
      <c r="AF2068">
        <v>-4.53446150679894</v>
      </c>
      <c r="AG2068">
        <v>-1.126987495451</v>
      </c>
      <c r="AH2068">
        <v>14.7111428356764</v>
      </c>
      <c r="AI2068">
        <v>94.187093520329498</v>
      </c>
      <c r="AJ2068">
        <v>107.13103121845501</v>
      </c>
      <c r="AK2068">
        <v>15.4353220084071</v>
      </c>
      <c r="AL2068">
        <v>81.480685142825195</v>
      </c>
      <c r="AM2068">
        <v>104.011493488181</v>
      </c>
      <c r="AN2068">
        <v>0.99999994776539802</v>
      </c>
    </row>
    <row r="2069" spans="1:40" x14ac:dyDescent="0.25">
      <c r="A2069" t="str">
        <f>"20190312164512462"</f>
        <v>20190312164512462</v>
      </c>
      <c r="B2069" t="str">
        <f>"1552380312453932"</f>
        <v>1552380312453932</v>
      </c>
      <c r="C2069" t="s">
        <v>40</v>
      </c>
      <c r="D2069">
        <v>5.0895570000000001</v>
      </c>
      <c r="E2069">
        <v>0.47850199999999998</v>
      </c>
      <c r="F2069" t="s">
        <v>42</v>
      </c>
      <c r="G2069">
        <v>-497.90120000000002</v>
      </c>
      <c r="H2069" s="1">
        <v>-2.212852E-6</v>
      </c>
      <c r="I2069">
        <v>249.8468</v>
      </c>
      <c r="J2069">
        <v>-496.3365</v>
      </c>
      <c r="K2069">
        <v>1.1269739999999999</v>
      </c>
      <c r="L2069">
        <v>265.60500000000002</v>
      </c>
      <c r="M2069">
        <v>-0.38279659999999999</v>
      </c>
      <c r="N2069">
        <v>0</v>
      </c>
      <c r="O2069">
        <v>-0.92366159999999997</v>
      </c>
      <c r="P2069">
        <v>-0.15698799999999999</v>
      </c>
      <c r="Q2069">
        <v>0.14156640000000001</v>
      </c>
      <c r="R2069">
        <v>-0.97740179999999999</v>
      </c>
      <c r="S2069">
        <v>-0.32336429999999999</v>
      </c>
      <c r="T2069">
        <v>-0.21374009999999999</v>
      </c>
      <c r="U2069">
        <v>-3.0503230000000001</v>
      </c>
      <c r="V2069">
        <v>-0.23624490000000001</v>
      </c>
      <c r="W2069">
        <v>0.1479424</v>
      </c>
      <c r="X2069">
        <v>0.96036520000000003</v>
      </c>
      <c r="Y2069">
        <v>-0.28352490000000002</v>
      </c>
      <c r="Z2069">
        <v>6.0371620000000001E-2</v>
      </c>
      <c r="AA2069">
        <v>0.95706270000000004</v>
      </c>
      <c r="AB2069">
        <v>44</v>
      </c>
      <c r="AC2069">
        <v>-1.56470000000001</v>
      </c>
      <c r="AD2069">
        <v>-1.126976212852</v>
      </c>
      <c r="AE2069">
        <v>-15.7582</v>
      </c>
      <c r="AF2069">
        <v>-4.5645389020330898</v>
      </c>
      <c r="AG2069">
        <v>-1.126976212852</v>
      </c>
      <c r="AH2069">
        <v>15.080223983833299</v>
      </c>
      <c r="AI2069">
        <v>94.091243716671897</v>
      </c>
      <c r="AJ2069">
        <v>106.840211512069</v>
      </c>
      <c r="AK2069">
        <v>15.796146560952399</v>
      </c>
      <c r="AL2069">
        <v>81.492295269923503</v>
      </c>
      <c r="AM2069">
        <v>103.82006166695101</v>
      </c>
      <c r="AN2069">
        <v>0.99999996193240404</v>
      </c>
    </row>
    <row r="2070" spans="1:40" x14ac:dyDescent="0.25">
      <c r="A2070" t="str">
        <f>"20190312164512477"</f>
        <v>20190312164512477</v>
      </c>
      <c r="B2070" t="str">
        <f>"1552380312473452"</f>
        <v>1552380312473452</v>
      </c>
      <c r="C2070" t="s">
        <v>40</v>
      </c>
      <c r="D2070">
        <v>5.3074729999999999</v>
      </c>
      <c r="E2070">
        <v>0.47937220000000003</v>
      </c>
      <c r="F2070" t="s">
        <v>42</v>
      </c>
      <c r="G2070">
        <v>-497.9323</v>
      </c>
      <c r="H2070" s="1">
        <v>-5.6938140000000004E-6</v>
      </c>
      <c r="I2070">
        <v>249.58359999999999</v>
      </c>
      <c r="J2070">
        <v>-496.44080000000002</v>
      </c>
      <c r="K2070">
        <v>1.126968</v>
      </c>
      <c r="L2070">
        <v>265.35579999999999</v>
      </c>
      <c r="M2070">
        <v>-0.37383499999999997</v>
      </c>
      <c r="N2070">
        <v>0</v>
      </c>
      <c r="O2070">
        <v>-0.9273247</v>
      </c>
      <c r="P2070">
        <v>-0.1494231</v>
      </c>
      <c r="Q2070">
        <v>0.1414435</v>
      </c>
      <c r="R2070">
        <v>-0.97860429999999998</v>
      </c>
      <c r="S2070">
        <v>-0.30395509999999998</v>
      </c>
      <c r="T2070">
        <v>-0.2146602</v>
      </c>
      <c r="U2070">
        <v>-3.051666</v>
      </c>
      <c r="V2070">
        <v>-0.2343682</v>
      </c>
      <c r="W2070">
        <v>0.14793049999999999</v>
      </c>
      <c r="X2070">
        <v>0.96082679999999998</v>
      </c>
      <c r="Y2070">
        <v>-0.28030899999999997</v>
      </c>
      <c r="Z2070">
        <v>6.1033759999999999E-2</v>
      </c>
      <c r="AA2070">
        <v>0.95796749999999997</v>
      </c>
      <c r="AB2070">
        <v>44</v>
      </c>
      <c r="AC2070">
        <v>-1.4914999999999701</v>
      </c>
      <c r="AD2070">
        <v>-1.126973693814</v>
      </c>
      <c r="AE2070">
        <v>-15.7721999999999</v>
      </c>
      <c r="AF2070">
        <v>-4.4910832535968304</v>
      </c>
      <c r="AG2070">
        <v>-1.126973693814</v>
      </c>
      <c r="AH2070">
        <v>15.1094688334664</v>
      </c>
      <c r="AI2070">
        <v>94.089447918777793</v>
      </c>
      <c r="AJ2070">
        <v>106.55386248632701</v>
      </c>
      <c r="AK2070">
        <v>15.8030360034639</v>
      </c>
      <c r="AL2070">
        <v>81.492985111282806</v>
      </c>
      <c r="AM2070">
        <v>103.708097925858</v>
      </c>
      <c r="AN2070">
        <v>1.0000000127998601</v>
      </c>
    </row>
    <row r="2071" spans="1:40" x14ac:dyDescent="0.25">
      <c r="A2071" t="str">
        <f>"20190312164512490"</f>
        <v>20190312164512490</v>
      </c>
      <c r="B2071" t="str">
        <f>"1552380312483212"</f>
        <v>1552380312483212</v>
      </c>
      <c r="C2071" t="s">
        <v>40</v>
      </c>
      <c r="D2071">
        <v>5.2976369999999999</v>
      </c>
      <c r="E2071">
        <v>0.47973329999999997</v>
      </c>
      <c r="F2071" t="s">
        <v>42</v>
      </c>
      <c r="G2071">
        <v>-497.96269999999998</v>
      </c>
      <c r="H2071" s="1">
        <v>-5.5348729999999996E-6</v>
      </c>
      <c r="I2071">
        <v>249.10069999999999</v>
      </c>
      <c r="J2071">
        <v>-496.54219999999998</v>
      </c>
      <c r="K2071">
        <v>1.12696</v>
      </c>
      <c r="L2071">
        <v>265.1078</v>
      </c>
      <c r="M2071">
        <v>-0.36489139999999998</v>
      </c>
      <c r="N2071">
        <v>0</v>
      </c>
      <c r="O2071">
        <v>-0.93088000000000004</v>
      </c>
      <c r="P2071">
        <v>-0.14175119999999999</v>
      </c>
      <c r="Q2071">
        <v>0.14155190000000001</v>
      </c>
      <c r="R2071">
        <v>-0.97972969999999904</v>
      </c>
      <c r="S2071">
        <v>-0.28579710000000003</v>
      </c>
      <c r="T2071">
        <v>-0.21163489999999999</v>
      </c>
      <c r="U2071">
        <v>-3.0525509999999998</v>
      </c>
      <c r="V2071">
        <v>-0.2326405</v>
      </c>
      <c r="W2071">
        <v>0.14814229999999901</v>
      </c>
      <c r="X2071">
        <v>0.96121389999999995</v>
      </c>
      <c r="Y2071">
        <v>-0.27673769999999998</v>
      </c>
      <c r="Z2071">
        <v>6.0574719999999999E-2</v>
      </c>
      <c r="AA2071">
        <v>0.95903439999999995</v>
      </c>
      <c r="AB2071">
        <v>44</v>
      </c>
      <c r="AC2071">
        <v>-1.4205000000000001</v>
      </c>
      <c r="AD2071">
        <v>-1.1269655348730001</v>
      </c>
      <c r="AE2071">
        <v>-16.007100000000001</v>
      </c>
      <c r="AF2071">
        <v>-4.4971367962966697</v>
      </c>
      <c r="AG2071">
        <v>-1.1269655348730001</v>
      </c>
      <c r="AH2071">
        <v>15.345987909103</v>
      </c>
      <c r="AI2071">
        <v>94.031163782856893</v>
      </c>
      <c r="AJ2071">
        <v>106.333205705436</v>
      </c>
      <c r="AK2071">
        <v>16.031021040087602</v>
      </c>
      <c r="AL2071">
        <v>81.480714150304095</v>
      </c>
      <c r="AM2071">
        <v>103.605540070421</v>
      </c>
      <c r="AN2071">
        <v>0.99999995242137396</v>
      </c>
    </row>
    <row r="2072" spans="1:40" x14ac:dyDescent="0.25">
      <c r="A2072" t="str">
        <f>"20190312164512505"</f>
        <v>20190312164512505</v>
      </c>
      <c r="B2072" t="str">
        <f>"1552380312493948"</f>
        <v>1552380312493948</v>
      </c>
      <c r="C2072" t="s">
        <v>40</v>
      </c>
      <c r="D2072">
        <v>5.1699190000000002</v>
      </c>
      <c r="E2072">
        <v>0.48009800000000002</v>
      </c>
      <c r="F2072" t="s">
        <v>42</v>
      </c>
      <c r="G2072">
        <v>-497.95600000000002</v>
      </c>
      <c r="H2072" s="1">
        <v>-5.3988620000000003E-6</v>
      </c>
      <c r="I2072">
        <v>248.7045</v>
      </c>
      <c r="J2072">
        <v>-496.64949999999999</v>
      </c>
      <c r="K2072">
        <v>1.126952</v>
      </c>
      <c r="L2072">
        <v>264.83580000000001</v>
      </c>
      <c r="M2072">
        <v>-0.35505710000000001</v>
      </c>
      <c r="N2072">
        <v>0</v>
      </c>
      <c r="O2072">
        <v>-0.93467489999999998</v>
      </c>
      <c r="P2072">
        <v>-0.13451009999999999</v>
      </c>
      <c r="Q2072">
        <v>0.14236760000000001</v>
      </c>
      <c r="R2072">
        <v>-0.98063160000000005</v>
      </c>
      <c r="S2072">
        <v>-0.2632446</v>
      </c>
      <c r="T2072">
        <v>-0.209843</v>
      </c>
      <c r="U2072">
        <v>-3.0543209999999998</v>
      </c>
      <c r="V2072">
        <v>-0.22959360000000001</v>
      </c>
      <c r="W2072">
        <v>0.14912690000000001</v>
      </c>
      <c r="X2072">
        <v>0.96179409999999999</v>
      </c>
      <c r="Y2072">
        <v>-0.2736808</v>
      </c>
      <c r="Z2072">
        <v>6.0462090000000003E-2</v>
      </c>
      <c r="AA2072">
        <v>0.9599183</v>
      </c>
      <c r="AB2072">
        <v>44</v>
      </c>
      <c r="AC2072">
        <v>-1.30649999999997</v>
      </c>
      <c r="AD2072">
        <v>-1.1269573988620001</v>
      </c>
      <c r="AE2072">
        <v>-16.1313</v>
      </c>
      <c r="AF2072">
        <v>-4.4853462475374704</v>
      </c>
      <c r="AG2072">
        <v>-1.1269573988620001</v>
      </c>
      <c r="AH2072">
        <v>15.4688635915909</v>
      </c>
      <c r="AI2072">
        <v>94.002528869166497</v>
      </c>
      <c r="AJ2072">
        <v>106.17002636781901</v>
      </c>
      <c r="AK2072">
        <v>16.145405066284201</v>
      </c>
      <c r="AL2072">
        <v>81.423667222308794</v>
      </c>
      <c r="AM2072">
        <v>103.426036981214</v>
      </c>
      <c r="AN2072">
        <v>0.99999997212968905</v>
      </c>
    </row>
    <row r="2073" spans="1:40" x14ac:dyDescent="0.25">
      <c r="A2073" t="str">
        <f>"20190312164512519"</f>
        <v>20190312164512519</v>
      </c>
      <c r="B2073" t="str">
        <f>"1552380312513329"</f>
        <v>1552380312513329</v>
      </c>
      <c r="C2073" t="s">
        <v>40</v>
      </c>
      <c r="D2073">
        <v>5.1761679999999997</v>
      </c>
      <c r="E2073">
        <v>0.48056490000000002</v>
      </c>
      <c r="F2073" t="s">
        <v>42</v>
      </c>
      <c r="G2073">
        <v>-497.96910000000003</v>
      </c>
      <c r="H2073" s="1">
        <v>-5.2420400000000002E-6</v>
      </c>
      <c r="I2073">
        <v>248.23689999999999</v>
      </c>
      <c r="J2073">
        <v>-496.73919999999998</v>
      </c>
      <c r="K2073">
        <v>1.126943</v>
      </c>
      <c r="L2073">
        <v>264.601</v>
      </c>
      <c r="M2073">
        <v>-0.3465452</v>
      </c>
      <c r="N2073">
        <v>0</v>
      </c>
      <c r="O2073">
        <v>-0.93786389999999997</v>
      </c>
      <c r="P2073">
        <v>-0.1273484</v>
      </c>
      <c r="Q2073">
        <v>0.14302000000000001</v>
      </c>
      <c r="R2073">
        <v>-0.9814929</v>
      </c>
      <c r="S2073">
        <v>-0.24295040000000001</v>
      </c>
      <c r="T2073">
        <v>-0.20748630000000001</v>
      </c>
      <c r="U2073">
        <v>-3.0560610000000001</v>
      </c>
      <c r="V2073">
        <v>-0.22786100000000001</v>
      </c>
      <c r="W2073">
        <v>0.14987890000000001</v>
      </c>
      <c r="X2073">
        <v>0.96208919999999998</v>
      </c>
      <c r="Y2073">
        <v>-0.27131189999999999</v>
      </c>
      <c r="Z2073">
        <v>6.0109509999999998E-2</v>
      </c>
      <c r="AA2073">
        <v>0.96061269999999999</v>
      </c>
      <c r="AB2073">
        <v>44</v>
      </c>
      <c r="AC2073">
        <v>-1.22990000000004</v>
      </c>
      <c r="AD2073">
        <v>-1.1269482420399899</v>
      </c>
      <c r="AE2073">
        <v>-16.364100000000001</v>
      </c>
      <c r="AF2073">
        <v>-4.4969316232846097</v>
      </c>
      <c r="AG2073">
        <v>-1.1269482420399899</v>
      </c>
      <c r="AH2073">
        <v>15.7019699424539</v>
      </c>
      <c r="AI2073">
        <v>93.946997870948394</v>
      </c>
      <c r="AJ2073">
        <v>105.981333061076</v>
      </c>
      <c r="AK2073">
        <v>16.3720574894684</v>
      </c>
      <c r="AL2073">
        <v>81.380091073200205</v>
      </c>
      <c r="AM2073">
        <v>103.32440542235</v>
      </c>
      <c r="AN2073">
        <v>0.99999997437142396</v>
      </c>
    </row>
    <row r="2074" spans="1:40" x14ac:dyDescent="0.25">
      <c r="A2074" t="str">
        <f>"20190312164512530"</f>
        <v>20190312164512530</v>
      </c>
      <c r="B2074" t="str">
        <f>"1552380312524065"</f>
        <v>1552380312524065</v>
      </c>
      <c r="C2074" t="s">
        <v>40</v>
      </c>
      <c r="D2074">
        <v>5.2366929999999998</v>
      </c>
      <c r="E2074">
        <v>0.48081930000000001</v>
      </c>
      <c r="F2074" t="s">
        <v>42</v>
      </c>
      <c r="G2074">
        <v>-497.9674</v>
      </c>
      <c r="H2074" s="1">
        <v>-5.1125629999999996E-6</v>
      </c>
      <c r="I2074">
        <v>247.85730000000001</v>
      </c>
      <c r="J2074">
        <v>-496.82380000000001</v>
      </c>
      <c r="K2074">
        <v>1.1269400000000001</v>
      </c>
      <c r="L2074">
        <v>264.37549999999999</v>
      </c>
      <c r="M2074">
        <v>-0.33834649999999999</v>
      </c>
      <c r="N2074">
        <v>0</v>
      </c>
      <c r="O2074">
        <v>-0.94085280000000004</v>
      </c>
      <c r="P2074">
        <v>-0.1206517</v>
      </c>
      <c r="Q2074">
        <v>0.14338870000000001</v>
      </c>
      <c r="R2074">
        <v>-0.98228499999999996</v>
      </c>
      <c r="S2074">
        <v>-0.22427369999999999</v>
      </c>
      <c r="T2074">
        <v>-0.20578479999999999</v>
      </c>
      <c r="U2074">
        <v>-3.0574650000000001</v>
      </c>
      <c r="V2074">
        <v>-0.22601830000000001</v>
      </c>
      <c r="W2074">
        <v>0.15035219999999999</v>
      </c>
      <c r="X2074">
        <v>0.96245000000000003</v>
      </c>
      <c r="Y2074">
        <v>-0.26877849999999998</v>
      </c>
      <c r="Z2074">
        <v>5.9925430000000002E-2</v>
      </c>
      <c r="AA2074">
        <v>0.96133610000000003</v>
      </c>
      <c r="AB2074">
        <v>44</v>
      </c>
      <c r="AC2074">
        <v>-1.14359999999999</v>
      </c>
      <c r="AD2074">
        <v>-1.1269451125629999</v>
      </c>
      <c r="AE2074">
        <v>-16.518199999999901</v>
      </c>
      <c r="AF2074">
        <v>-4.4928204245628196</v>
      </c>
      <c r="AG2074">
        <v>-1.1269451125629999</v>
      </c>
      <c r="AH2074">
        <v>15.857201748279101</v>
      </c>
      <c r="AI2074">
        <v>93.911614461117296</v>
      </c>
      <c r="AJ2074">
        <v>105.819015325168</v>
      </c>
      <c r="AK2074">
        <v>16.519875542501101</v>
      </c>
      <c r="AL2074">
        <v>81.352662646104093</v>
      </c>
      <c r="AM2074">
        <v>103.215668228911</v>
      </c>
      <c r="AN2074">
        <v>1.0000000292398601</v>
      </c>
    </row>
    <row r="2075" spans="1:40" x14ac:dyDescent="0.25">
      <c r="A2075" t="str">
        <f>"20190312164512543"</f>
        <v>20190312164512543</v>
      </c>
      <c r="B2075" t="str">
        <f>"1552380312533824"</f>
        <v>1552380312533824</v>
      </c>
      <c r="C2075" t="s">
        <v>40</v>
      </c>
      <c r="D2075">
        <v>5.3549429999999996</v>
      </c>
      <c r="E2075">
        <v>0.48109659999999899</v>
      </c>
      <c r="F2075" t="s">
        <v>42</v>
      </c>
      <c r="G2075">
        <v>-497.95299999999997</v>
      </c>
      <c r="H2075" s="1">
        <v>-5.0002180000000001E-6</v>
      </c>
      <c r="I2075">
        <v>247.53460000000001</v>
      </c>
      <c r="J2075">
        <v>-496.90929999999997</v>
      </c>
      <c r="K2075">
        <v>1.126933</v>
      </c>
      <c r="L2075">
        <v>264.13889999999998</v>
      </c>
      <c r="M2075">
        <v>-0.32972649999999998</v>
      </c>
      <c r="N2075">
        <v>0</v>
      </c>
      <c r="O2075">
        <v>-0.94390799999999997</v>
      </c>
      <c r="P2075">
        <v>-0.1137254</v>
      </c>
      <c r="Q2075">
        <v>0.14382400000000001</v>
      </c>
      <c r="R2075">
        <v>-0.98304709999999995</v>
      </c>
      <c r="S2075">
        <v>-0.2051086</v>
      </c>
      <c r="T2075">
        <v>-0.2046896</v>
      </c>
      <c r="U2075">
        <v>-3.0588380000000002</v>
      </c>
      <c r="V2075">
        <v>-0.223991</v>
      </c>
      <c r="W2075">
        <v>0.15090139999999999</v>
      </c>
      <c r="X2075">
        <v>0.96283790000000002</v>
      </c>
      <c r="Y2075">
        <v>-0.26599220000000001</v>
      </c>
      <c r="Z2075">
        <v>5.9921599999999998E-2</v>
      </c>
      <c r="AA2075">
        <v>0.96211100000000005</v>
      </c>
      <c r="AB2075">
        <v>44</v>
      </c>
      <c r="AC2075">
        <v>-1.04370000000005</v>
      </c>
      <c r="AD2075">
        <v>-1.1269380002180001</v>
      </c>
      <c r="AE2075">
        <v>-16.604299999999899</v>
      </c>
      <c r="AF2075">
        <v>-4.4699261502553798</v>
      </c>
      <c r="AG2075">
        <v>-1.1269380002180001</v>
      </c>
      <c r="AH2075">
        <v>15.946449278820101</v>
      </c>
      <c r="AI2075">
        <v>93.892825413376201</v>
      </c>
      <c r="AJ2075">
        <v>105.65863876663001</v>
      </c>
      <c r="AK2075">
        <v>16.599381724843099</v>
      </c>
      <c r="AL2075">
        <v>81.320832488100905</v>
      </c>
      <c r="AM2075">
        <v>103.09613885525</v>
      </c>
      <c r="AN2075">
        <v>1.0000000111396801</v>
      </c>
    </row>
    <row r="2076" spans="1:40" x14ac:dyDescent="0.25">
      <c r="A2076" t="str">
        <f>"20190312164512564"</f>
        <v>20190312164512564</v>
      </c>
      <c r="B2076" t="str">
        <f>"1552380312553345"</f>
        <v>1552380312553345</v>
      </c>
      <c r="C2076" t="s">
        <v>40</v>
      </c>
      <c r="D2076">
        <v>5.9859390000000001</v>
      </c>
      <c r="E2076">
        <v>0.48164449999999998</v>
      </c>
      <c r="F2076" t="s">
        <v>42</v>
      </c>
      <c r="G2076">
        <v>-497.9316</v>
      </c>
      <c r="H2076" s="1">
        <v>-4.8882720000000003E-6</v>
      </c>
      <c r="I2076">
        <v>247.21690000000001</v>
      </c>
      <c r="J2076">
        <v>-497.03379999999999</v>
      </c>
      <c r="K2076">
        <v>1.1269279999999999</v>
      </c>
      <c r="L2076">
        <v>263.7826</v>
      </c>
      <c r="M2076">
        <v>-0.31669599999999998</v>
      </c>
      <c r="N2076">
        <v>0</v>
      </c>
      <c r="O2076">
        <v>-0.94835899999999995</v>
      </c>
      <c r="P2076">
        <v>-0.104906</v>
      </c>
      <c r="Q2076">
        <v>0.1444317</v>
      </c>
      <c r="R2076">
        <v>-0.98393810000000004</v>
      </c>
      <c r="S2076">
        <v>-0.1848755</v>
      </c>
      <c r="T2076">
        <v>-0.2037948</v>
      </c>
      <c r="U2076">
        <v>-3.060181</v>
      </c>
      <c r="V2076">
        <v>-0.2193503</v>
      </c>
      <c r="W2076">
        <v>0.15175829999999901</v>
      </c>
      <c r="X2076">
        <v>0.96377120000000005</v>
      </c>
      <c r="Y2076">
        <v>-0.25907449999999999</v>
      </c>
      <c r="Z2076">
        <v>6.0148380000000001E-2</v>
      </c>
      <c r="AA2076">
        <v>0.96398260000000002</v>
      </c>
      <c r="AB2076">
        <v>44</v>
      </c>
      <c r="AC2076">
        <v>-0.89780000000001703</v>
      </c>
      <c r="AD2076">
        <v>-1.126932888272</v>
      </c>
      <c r="AE2076">
        <v>-16.5656999999999</v>
      </c>
      <c r="AF2076">
        <v>-4.3753659271283896</v>
      </c>
      <c r="AG2076">
        <v>-1.126932888272</v>
      </c>
      <c r="AH2076">
        <v>15.9236349925787</v>
      </c>
      <c r="AI2076">
        <v>93.903916775350893</v>
      </c>
      <c r="AJ2076">
        <v>105.364095172087</v>
      </c>
      <c r="AK2076">
        <v>16.552219068989601</v>
      </c>
      <c r="AL2076">
        <v>81.271163887537497</v>
      </c>
      <c r="AM2076">
        <v>102.82186765363601</v>
      </c>
      <c r="AN2076">
        <v>1.0000000308392001</v>
      </c>
    </row>
    <row r="2077" spans="1:40" x14ac:dyDescent="0.25">
      <c r="A2077" t="str">
        <f>"20190312164512577"</f>
        <v>20190312164512577</v>
      </c>
      <c r="B2077" t="str">
        <f>"1552380312573841"</f>
        <v>1552380312573841</v>
      </c>
      <c r="C2077" t="s">
        <v>40</v>
      </c>
      <c r="D2077">
        <v>5.3781809999999997</v>
      </c>
      <c r="E2077">
        <v>0.48212700000000003</v>
      </c>
      <c r="F2077" t="s">
        <v>42</v>
      </c>
      <c r="G2077">
        <v>-497.91919999999999</v>
      </c>
      <c r="H2077" s="1">
        <v>-4.6980779999999998E-6</v>
      </c>
      <c r="I2077">
        <v>246.6644</v>
      </c>
      <c r="J2077">
        <v>-497.11900000000003</v>
      </c>
      <c r="K2077">
        <v>1.1269199999999999</v>
      </c>
      <c r="L2077">
        <v>263.52870000000001</v>
      </c>
      <c r="M2077">
        <v>-0.30737930000000002</v>
      </c>
      <c r="N2077">
        <v>0</v>
      </c>
      <c r="O2077">
        <v>-0.95141960000000003</v>
      </c>
      <c r="P2077">
        <v>-9.7607340000000001E-2</v>
      </c>
      <c r="Q2077">
        <v>0.14468200000000001</v>
      </c>
      <c r="R2077">
        <v>-0.98465250000000004</v>
      </c>
      <c r="S2077">
        <v>-0.15835569999999999</v>
      </c>
      <c r="T2077">
        <v>-0.20155790000000001</v>
      </c>
      <c r="U2077">
        <v>-3.0616759999999998</v>
      </c>
      <c r="V2077">
        <v>-0.2170369</v>
      </c>
      <c r="W2077">
        <v>0.1521354</v>
      </c>
      <c r="X2077">
        <v>0.96423539999999996</v>
      </c>
      <c r="Y2077">
        <v>-0.25795200000000001</v>
      </c>
      <c r="Z2077">
        <v>5.978377E-2</v>
      </c>
      <c r="AA2077">
        <v>0.96430629999999995</v>
      </c>
      <c r="AB2077">
        <v>44</v>
      </c>
      <c r="AC2077">
        <v>-0.80019999999996105</v>
      </c>
      <c r="AD2077">
        <v>-1.1269246980779899</v>
      </c>
      <c r="AE2077">
        <v>-16.8643</v>
      </c>
      <c r="AF2077">
        <v>-4.4034967910223397</v>
      </c>
      <c r="AG2077">
        <v>-1.1269246980779899</v>
      </c>
      <c r="AH2077">
        <v>16.2213164030053</v>
      </c>
      <c r="AI2077">
        <v>93.835676859002007</v>
      </c>
      <c r="AJ2077">
        <v>105.18770600433101</v>
      </c>
      <c r="AK2077">
        <v>16.846122672890999</v>
      </c>
      <c r="AL2077">
        <v>81.249304005181102</v>
      </c>
      <c r="AM2077">
        <v>102.685130574846</v>
      </c>
      <c r="AN2077">
        <v>1.00000005125396</v>
      </c>
    </row>
    <row r="2078" spans="1:40" x14ac:dyDescent="0.25">
      <c r="A2078" t="str">
        <f>"20190312164512598"</f>
        <v>20190312164512598</v>
      </c>
      <c r="B2078" t="str">
        <f>"1552380312593361"</f>
        <v>1552380312593361</v>
      </c>
      <c r="C2078" t="s">
        <v>40</v>
      </c>
      <c r="D2078">
        <v>5.1794909999999996</v>
      </c>
      <c r="E2078">
        <v>0.48929879999999998</v>
      </c>
      <c r="F2078" t="s">
        <v>42</v>
      </c>
      <c r="G2078">
        <v>-497.89589999999998</v>
      </c>
      <c r="H2078" s="1">
        <v>-4.5620289999999999E-6</v>
      </c>
      <c r="I2078">
        <v>246.27680000000001</v>
      </c>
      <c r="J2078">
        <v>-497.23540000000003</v>
      </c>
      <c r="K2078">
        <v>1.1269169999999999</v>
      </c>
      <c r="L2078">
        <v>263.16770000000002</v>
      </c>
      <c r="M2078">
        <v>-0.29408489999999998</v>
      </c>
      <c r="N2078">
        <v>0</v>
      </c>
      <c r="O2078">
        <v>-0.95561220000000002</v>
      </c>
      <c r="P2078">
        <v>-8.83462E-2</v>
      </c>
      <c r="Q2078">
        <v>0.14624960000000001</v>
      </c>
      <c r="R2078">
        <v>-0.98529480000000003</v>
      </c>
      <c r="S2078">
        <v>-0.1379089</v>
      </c>
      <c r="T2078">
        <v>-0.2000459</v>
      </c>
      <c r="U2078">
        <v>-3.0624690000000001</v>
      </c>
      <c r="V2078">
        <v>-0.212649</v>
      </c>
      <c r="W2078">
        <v>0.1539354</v>
      </c>
      <c r="X2078">
        <v>0.96492710000000004</v>
      </c>
      <c r="Y2078">
        <v>-0.25091170000000002</v>
      </c>
      <c r="Z2078">
        <v>5.979814E-2</v>
      </c>
      <c r="AA2078">
        <v>0.96616120000000005</v>
      </c>
      <c r="AB2078">
        <v>44</v>
      </c>
      <c r="AC2078">
        <v>-0.66049999999995601</v>
      </c>
      <c r="AD2078">
        <v>-1.1269215620289901</v>
      </c>
      <c r="AE2078">
        <v>-16.890899999999998</v>
      </c>
      <c r="AF2078">
        <v>-4.3176797013655097</v>
      </c>
      <c r="AG2078">
        <v>-1.1269215620289901</v>
      </c>
      <c r="AH2078">
        <v>16.2657103619696</v>
      </c>
      <c r="AI2078">
        <v>93.830979171515807</v>
      </c>
      <c r="AJ2078">
        <v>104.86614088353799</v>
      </c>
      <c r="AK2078">
        <v>16.866702220352298</v>
      </c>
      <c r="AL2078">
        <v>81.144941884956907</v>
      </c>
      <c r="AM2078">
        <v>102.42809158423999</v>
      </c>
      <c r="AN2078">
        <v>1.00000000644428</v>
      </c>
    </row>
    <row r="2079" spans="1:40" x14ac:dyDescent="0.25">
      <c r="A2079" t="str">
        <f>"20190312164512610"</f>
        <v>20190312164512610</v>
      </c>
      <c r="B2079" t="str">
        <f>"1552380312604004"</f>
        <v>1552380312604004</v>
      </c>
      <c r="C2079" t="s">
        <v>40</v>
      </c>
      <c r="D2079">
        <v>5.2472890000000003</v>
      </c>
      <c r="E2079">
        <v>0.48951230000000001</v>
      </c>
      <c r="F2079" t="s">
        <v>42</v>
      </c>
      <c r="G2079">
        <v>-497.90769999999998</v>
      </c>
      <c r="H2079" s="1">
        <v>-2.5211420000000002E-6</v>
      </c>
      <c r="I2079">
        <v>250.56139999999999</v>
      </c>
      <c r="J2079">
        <v>-497.30970000000002</v>
      </c>
      <c r="K2079">
        <v>1.1269209999999901</v>
      </c>
      <c r="L2079">
        <v>262.9298</v>
      </c>
      <c r="M2079">
        <v>-0.28529480000000002</v>
      </c>
      <c r="N2079">
        <v>0</v>
      </c>
      <c r="O2079">
        <v>-0.95827320000000005</v>
      </c>
      <c r="P2079">
        <v>-8.1606590000000007E-2</v>
      </c>
      <c r="Q2079">
        <v>0.14756949999999999</v>
      </c>
      <c r="R2079">
        <v>-0.98567930000000004</v>
      </c>
      <c r="S2079">
        <v>-0.16375729999999999</v>
      </c>
      <c r="T2079">
        <v>-0.2745126</v>
      </c>
      <c r="U2079">
        <v>-3.0708310000000001</v>
      </c>
      <c r="V2079">
        <v>-0.21038129999999999</v>
      </c>
      <c r="W2079">
        <v>0.1553755</v>
      </c>
      <c r="X2079">
        <v>0.96519330000000003</v>
      </c>
      <c r="Y2079">
        <v>-0.23407030000000001</v>
      </c>
      <c r="Z2079">
        <v>8.2214019999999999E-2</v>
      </c>
      <c r="AA2079">
        <v>0.96873730000000002</v>
      </c>
      <c r="AB2079">
        <v>44</v>
      </c>
      <c r="AC2079">
        <v>-0.59799999999995601</v>
      </c>
      <c r="AD2079">
        <v>-1.1269235211419999</v>
      </c>
      <c r="AE2079">
        <v>-12.368399999999999</v>
      </c>
      <c r="AF2079">
        <v>-2.9317831483864198</v>
      </c>
      <c r="AG2079">
        <v>-1.1269235211419999</v>
      </c>
      <c r="AH2079">
        <v>11.926058286835801</v>
      </c>
      <c r="AI2079">
        <v>95.242810485241804</v>
      </c>
      <c r="AJ2079">
        <v>103.811155776164</v>
      </c>
      <c r="AK2079">
        <v>12.3327278131268</v>
      </c>
      <c r="AL2079">
        <v>81.061425082658303</v>
      </c>
      <c r="AM2079">
        <v>102.29632375116201</v>
      </c>
      <c r="AN2079">
        <v>0.99999997187741396</v>
      </c>
    </row>
    <row r="2080" spans="1:40" x14ac:dyDescent="0.25">
      <c r="A2080" t="str">
        <f>"20190312164512622"</f>
        <v>20190312164512622</v>
      </c>
      <c r="B2080" t="str">
        <f>"1552380312613764"</f>
        <v>1552380312613764</v>
      </c>
      <c r="C2080" t="s">
        <v>40</v>
      </c>
      <c r="D2080">
        <v>5.2253030000000003</v>
      </c>
      <c r="E2080">
        <v>0.48965039999999999</v>
      </c>
      <c r="F2080" t="s">
        <v>42</v>
      </c>
      <c r="G2080">
        <v>-497.90289999999999</v>
      </c>
      <c r="H2080" s="1">
        <v>-2.4192460000000001E-6</v>
      </c>
      <c r="I2080">
        <v>250.32689999999999</v>
      </c>
      <c r="J2080">
        <v>-497.38040000000001</v>
      </c>
      <c r="K2080">
        <v>1.1269209999999901</v>
      </c>
      <c r="L2080">
        <v>262.69209999999998</v>
      </c>
      <c r="M2080">
        <v>-0.27648539999999999</v>
      </c>
      <c r="N2080">
        <v>0</v>
      </c>
      <c r="O2080">
        <v>-0.96085180000000003</v>
      </c>
      <c r="P2080">
        <v>-7.5210869999999999E-2</v>
      </c>
      <c r="Q2080">
        <v>0.14909420000000001</v>
      </c>
      <c r="R2080">
        <v>-0.98595889999999997</v>
      </c>
      <c r="S2080">
        <v>-0.1446228</v>
      </c>
      <c r="T2080">
        <v>-0.27475490000000002</v>
      </c>
      <c r="U2080">
        <v>-3.0727229999999999</v>
      </c>
      <c r="V2080">
        <v>-0.20778070000000001</v>
      </c>
      <c r="W2080">
        <v>0.1570358</v>
      </c>
      <c r="X2080">
        <v>0.96548800000000001</v>
      </c>
      <c r="Y2080">
        <v>-0.2311946</v>
      </c>
      <c r="Z2080">
        <v>8.2620070000000004E-2</v>
      </c>
      <c r="AA2080">
        <v>0.96939310000000001</v>
      </c>
      <c r="AB2080">
        <v>43</v>
      </c>
      <c r="AC2080">
        <v>-0.52249999999997898</v>
      </c>
      <c r="AD2080">
        <v>-1.12692341924599</v>
      </c>
      <c r="AE2080">
        <v>-12.3651999999999</v>
      </c>
      <c r="AF2080">
        <v>-2.8932304316391599</v>
      </c>
      <c r="AG2080">
        <v>-1.12692341924599</v>
      </c>
      <c r="AH2080">
        <v>11.928609497183</v>
      </c>
      <c r="AI2080">
        <v>95.245641810891897</v>
      </c>
      <c r="AJ2080">
        <v>103.633556026216</v>
      </c>
      <c r="AK2080">
        <v>12.326088725126599</v>
      </c>
      <c r="AL2080">
        <v>80.965115524998694</v>
      </c>
      <c r="AM2080">
        <v>102.145268303972</v>
      </c>
      <c r="AN2080">
        <v>1.0000000699590601</v>
      </c>
    </row>
    <row r="2081" spans="1:40" x14ac:dyDescent="0.25">
      <c r="A2081" t="str">
        <f>"20190312164512640"</f>
        <v>20190312164512640</v>
      </c>
      <c r="B2081" t="str">
        <f>"1552380312634260"</f>
        <v>1552380312634260</v>
      </c>
      <c r="C2081" t="s">
        <v>40</v>
      </c>
      <c r="D2081">
        <v>5.2017519999999999</v>
      </c>
      <c r="E2081">
        <v>0.48999280000000001</v>
      </c>
      <c r="F2081" t="s">
        <v>42</v>
      </c>
      <c r="G2081">
        <v>-497.94779999999997</v>
      </c>
      <c r="H2081" s="1">
        <v>-5.478839E-6</v>
      </c>
      <c r="I2081">
        <v>248.94380000000001</v>
      </c>
      <c r="J2081">
        <v>-497.46780000000001</v>
      </c>
      <c r="K2081">
        <v>1.126925</v>
      </c>
      <c r="L2081">
        <v>262.38819999999998</v>
      </c>
      <c r="M2081">
        <v>-0.26518770000000003</v>
      </c>
      <c r="N2081">
        <v>0</v>
      </c>
      <c r="O2081">
        <v>-0.96403090000000002</v>
      </c>
      <c r="P2081">
        <v>-6.9530839999999997E-2</v>
      </c>
      <c r="Q2081">
        <v>0.15044489999999999</v>
      </c>
      <c r="R2081">
        <v>-0.98617049999999995</v>
      </c>
      <c r="S2081">
        <v>-0.1267395</v>
      </c>
      <c r="T2081">
        <v>-0.2517375</v>
      </c>
      <c r="U2081">
        <v>-3.0711360000000001</v>
      </c>
      <c r="V2081">
        <v>-0.20199980000000001</v>
      </c>
      <c r="W2081">
        <v>0.158681399999999</v>
      </c>
      <c r="X2081">
        <v>0.96644509999999995</v>
      </c>
      <c r="Y2081">
        <v>-0.22536120000000001</v>
      </c>
      <c r="Z2081">
        <v>7.6236579999999998E-2</v>
      </c>
      <c r="AA2081">
        <v>0.97128800000000004</v>
      </c>
      <c r="AB2081">
        <v>43</v>
      </c>
      <c r="AC2081">
        <v>-0.47999999999996101</v>
      </c>
      <c r="AD2081">
        <v>-1.126930478839</v>
      </c>
      <c r="AE2081">
        <v>-13.4443999999999</v>
      </c>
      <c r="AF2081">
        <v>-3.0814283505503601</v>
      </c>
      <c r="AG2081">
        <v>-1.126930478839</v>
      </c>
      <c r="AH2081">
        <v>12.998985834053901</v>
      </c>
      <c r="AI2081">
        <v>94.821826626268404</v>
      </c>
      <c r="AJ2081">
        <v>103.335887834464</v>
      </c>
      <c r="AK2081">
        <v>13.4066701942594</v>
      </c>
      <c r="AL2081">
        <v>80.869630997972905</v>
      </c>
      <c r="AM2081">
        <v>101.80561795574999</v>
      </c>
      <c r="AN2081">
        <v>0.99999991861000104</v>
      </c>
    </row>
    <row r="2082" spans="1:40" x14ac:dyDescent="0.25">
      <c r="A2082" t="str">
        <f>"20190312164512651"</f>
        <v>20190312164512651</v>
      </c>
      <c r="B2082" t="str">
        <f>"1552380312644020"</f>
        <v>1552380312644020</v>
      </c>
      <c r="C2082" t="s">
        <v>40</v>
      </c>
      <c r="D2082">
        <v>5.3594780000000002</v>
      </c>
      <c r="E2082">
        <v>0.49021320000000002</v>
      </c>
      <c r="F2082" t="s">
        <v>42</v>
      </c>
      <c r="G2082">
        <v>-497.94900000000001</v>
      </c>
      <c r="H2082" s="1">
        <v>-5.3421089999999997E-6</v>
      </c>
      <c r="I2082">
        <v>248.54140000000001</v>
      </c>
      <c r="J2082">
        <v>-497.53089999999997</v>
      </c>
      <c r="K2082">
        <v>1.126922</v>
      </c>
      <c r="L2082">
        <v>262.16109999999998</v>
      </c>
      <c r="M2082">
        <v>-0.25672050000000002</v>
      </c>
      <c r="N2082">
        <v>0</v>
      </c>
      <c r="O2082">
        <v>-0.96632019999999996</v>
      </c>
      <c r="P2082">
        <v>-6.4308229999999994E-2</v>
      </c>
      <c r="Q2082">
        <v>0.15056820000000001</v>
      </c>
      <c r="R2082">
        <v>-0.98650590000000005</v>
      </c>
      <c r="S2082">
        <v>-0.106781</v>
      </c>
      <c r="T2082">
        <v>-0.25007370000000001</v>
      </c>
      <c r="U2082">
        <v>-3.0726930000000001</v>
      </c>
      <c r="V2082">
        <v>-0.19863040000000001</v>
      </c>
      <c r="W2082">
        <v>0.15897890000000001</v>
      </c>
      <c r="X2082">
        <v>0.96709440000000002</v>
      </c>
      <c r="Y2082">
        <v>-0.22313350000000001</v>
      </c>
      <c r="Z2082">
        <v>7.6004150000000006E-2</v>
      </c>
      <c r="AA2082">
        <v>0.97182040000000003</v>
      </c>
      <c r="AB2082">
        <v>43</v>
      </c>
      <c r="AC2082">
        <v>-0.418100000000038</v>
      </c>
      <c r="AD2082">
        <v>-1.126927342109</v>
      </c>
      <c r="AE2082">
        <v>-13.6196999999999</v>
      </c>
      <c r="AF2082">
        <v>-3.0719208732659098</v>
      </c>
      <c r="AG2082">
        <v>-1.126927342109</v>
      </c>
      <c r="AH2082">
        <v>13.180297072549701</v>
      </c>
      <c r="AI2082">
        <v>94.759990781103895</v>
      </c>
      <c r="AJ2082">
        <v>103.119667410055</v>
      </c>
      <c r="AK2082">
        <v>13.5803863717738</v>
      </c>
      <c r="AL2082">
        <v>80.852366655692606</v>
      </c>
      <c r="AM2082">
        <v>101.606505140172</v>
      </c>
      <c r="AN2082">
        <v>0.999999952480363</v>
      </c>
    </row>
    <row r="2083" spans="1:40" x14ac:dyDescent="0.25">
      <c r="A2083" t="str">
        <f>"20190312164512663"</f>
        <v>20190312164512663</v>
      </c>
      <c r="B2083" t="str">
        <f>"1552380312653780"</f>
        <v>1552380312653780</v>
      </c>
      <c r="C2083" t="s">
        <v>40</v>
      </c>
      <c r="D2083">
        <v>5.3699409999999999</v>
      </c>
      <c r="E2083">
        <v>0.49051309999999898</v>
      </c>
      <c r="F2083" t="s">
        <v>42</v>
      </c>
      <c r="G2083">
        <v>-497.9504</v>
      </c>
      <c r="H2083" s="1">
        <v>-5.1101469999999998E-6</v>
      </c>
      <c r="I2083">
        <v>247.85900000000001</v>
      </c>
      <c r="J2083">
        <v>-497.58929999999998</v>
      </c>
      <c r="K2083">
        <v>1.1269180000000001</v>
      </c>
      <c r="L2083">
        <v>261.94170000000003</v>
      </c>
      <c r="M2083">
        <v>-0.2485192</v>
      </c>
      <c r="N2083">
        <v>0</v>
      </c>
      <c r="O2083">
        <v>-0.96846160000000003</v>
      </c>
      <c r="P2083">
        <v>-5.9230350000000001E-2</v>
      </c>
      <c r="Q2083">
        <v>0.1510666</v>
      </c>
      <c r="R2083">
        <v>-0.98674770000000001</v>
      </c>
      <c r="S2083">
        <v>-9.0118409999999996E-2</v>
      </c>
      <c r="T2083">
        <v>-0.24206920000000001</v>
      </c>
      <c r="U2083">
        <v>-3.0721440000000002</v>
      </c>
      <c r="V2083">
        <v>-0.19540399999999999</v>
      </c>
      <c r="W2083">
        <v>0.1596427</v>
      </c>
      <c r="X2083">
        <v>0.96764220000000001</v>
      </c>
      <c r="Y2083">
        <v>-0.22012399999999999</v>
      </c>
      <c r="Z2083">
        <v>7.3883180000000007E-2</v>
      </c>
      <c r="AA2083">
        <v>0.97266989999999998</v>
      </c>
      <c r="AB2083">
        <v>43</v>
      </c>
      <c r="AC2083">
        <v>-0.36110000000002102</v>
      </c>
      <c r="AD2083">
        <v>-1.1269231101469901</v>
      </c>
      <c r="AE2083">
        <v>-14.082700000000001</v>
      </c>
      <c r="AF2083">
        <v>-3.1305810511290399</v>
      </c>
      <c r="AG2083">
        <v>-1.1269231101469901</v>
      </c>
      <c r="AH2083">
        <v>13.643187216825901</v>
      </c>
      <c r="AI2083">
        <v>94.602808691253301</v>
      </c>
      <c r="AJ2083">
        <v>102.923436896738</v>
      </c>
      <c r="AK2083">
        <v>14.043042791618699</v>
      </c>
      <c r="AL2083">
        <v>80.813841864291604</v>
      </c>
      <c r="AM2083">
        <v>101.416676382617</v>
      </c>
      <c r="AN2083">
        <v>0.999999971050064</v>
      </c>
    </row>
    <row r="2084" spans="1:40" x14ac:dyDescent="0.25">
      <c r="A2084" t="str">
        <f>"20190312164512675"</f>
        <v>20190312164512675</v>
      </c>
      <c r="B2084" t="str">
        <f>"1552380312663540"</f>
        <v>1552380312663540</v>
      </c>
      <c r="C2084" t="s">
        <v>40</v>
      </c>
      <c r="D2084">
        <v>5.217085</v>
      </c>
      <c r="E2084">
        <v>0.4908207</v>
      </c>
      <c r="F2084" t="s">
        <v>42</v>
      </c>
      <c r="G2084">
        <v>-497.94439999999997</v>
      </c>
      <c r="H2084" s="1">
        <v>-4.8802889999999996E-6</v>
      </c>
      <c r="I2084">
        <v>247.18680000000001</v>
      </c>
      <c r="J2084">
        <v>-497.6431</v>
      </c>
      <c r="K2084">
        <v>1.1269149999999999</v>
      </c>
      <c r="L2084">
        <v>261.73320000000001</v>
      </c>
      <c r="M2084">
        <v>-0.24070340000000001</v>
      </c>
      <c r="N2084">
        <v>0</v>
      </c>
      <c r="O2084">
        <v>-0.97043349999999995</v>
      </c>
      <c r="P2084">
        <v>-5.4703920000000003E-2</v>
      </c>
      <c r="Q2084">
        <v>0.15219929999999901</v>
      </c>
      <c r="R2084">
        <v>-0.98683480000000001</v>
      </c>
      <c r="S2084">
        <v>-7.3913569999999998E-2</v>
      </c>
      <c r="T2084">
        <v>-0.23460909999999999</v>
      </c>
      <c r="U2084">
        <v>-3.071777</v>
      </c>
      <c r="V2084">
        <v>-0.19204280000000001</v>
      </c>
      <c r="W2084">
        <v>0.16094549999999999</v>
      </c>
      <c r="X2084">
        <v>0.96809920000000005</v>
      </c>
      <c r="Y2084">
        <v>-0.2173802</v>
      </c>
      <c r="Z2084">
        <v>7.1880180000000002E-2</v>
      </c>
      <c r="AA2084">
        <v>0.97343670000000004</v>
      </c>
      <c r="AB2084">
        <v>43</v>
      </c>
      <c r="AC2084">
        <v>-0.30129999999996898</v>
      </c>
      <c r="AD2084">
        <v>-1.1269198802889999</v>
      </c>
      <c r="AE2084">
        <v>-14.5464</v>
      </c>
      <c r="AF2084">
        <v>-3.1903516447999198</v>
      </c>
      <c r="AG2084">
        <v>-1.1269198802889999</v>
      </c>
      <c r="AH2084">
        <v>14.1064867533444</v>
      </c>
      <c r="AI2084">
        <v>94.455413341449201</v>
      </c>
      <c r="AJ2084">
        <v>102.74373880764099</v>
      </c>
      <c r="AK2084">
        <v>14.5065936923989</v>
      </c>
      <c r="AL2084">
        <v>80.7382191052574</v>
      </c>
      <c r="AM2084">
        <v>101.220159035829</v>
      </c>
      <c r="AN2084">
        <v>0.99999997602136403</v>
      </c>
    </row>
    <row r="2085" spans="1:40" x14ac:dyDescent="0.25">
      <c r="A2085" t="str">
        <f>"20190312164512687"</f>
        <v>20190312164512687</v>
      </c>
      <c r="B2085" t="str">
        <f>"1552380312684036"</f>
        <v>1552380312684036</v>
      </c>
      <c r="C2085" t="s">
        <v>40</v>
      </c>
      <c r="D2085">
        <v>5.3241199999999997</v>
      </c>
      <c r="E2085">
        <v>0.49178240000000001</v>
      </c>
      <c r="F2085" t="s">
        <v>42</v>
      </c>
      <c r="G2085">
        <v>-497.94200000000001</v>
      </c>
      <c r="H2085" s="1">
        <v>-4.6451099999999996E-6</v>
      </c>
      <c r="I2085">
        <v>246.49690000000001</v>
      </c>
      <c r="J2085">
        <v>-497.70080000000002</v>
      </c>
      <c r="K2085">
        <v>1.1269169999999999</v>
      </c>
      <c r="L2085">
        <v>261.50319999999999</v>
      </c>
      <c r="M2085">
        <v>-0.23205899999999999</v>
      </c>
      <c r="N2085">
        <v>0</v>
      </c>
      <c r="O2085">
        <v>-0.97253690000000004</v>
      </c>
      <c r="P2085">
        <v>-4.9035490000000001E-2</v>
      </c>
      <c r="Q2085">
        <v>0.15392520000000001</v>
      </c>
      <c r="R2085">
        <v>-0.9868652</v>
      </c>
      <c r="S2085">
        <v>-6.0272220000000001E-2</v>
      </c>
      <c r="T2085">
        <v>-0.22718949999999999</v>
      </c>
      <c r="U2085">
        <v>-3.0716860000000001</v>
      </c>
      <c r="V2085">
        <v>-0.1889971</v>
      </c>
      <c r="W2085">
        <v>0.16282489999999999</v>
      </c>
      <c r="X2085">
        <v>0.96838429999999998</v>
      </c>
      <c r="Y2085">
        <v>-0.21301110000000001</v>
      </c>
      <c r="Z2085">
        <v>6.989186E-2</v>
      </c>
      <c r="AA2085">
        <v>0.97454680000000005</v>
      </c>
      <c r="AB2085">
        <v>43</v>
      </c>
      <c r="AC2085">
        <v>-0.24119999999993499</v>
      </c>
      <c r="AD2085">
        <v>-1.1269216451099999</v>
      </c>
      <c r="AE2085">
        <v>-15.0062999999999</v>
      </c>
      <c r="AF2085">
        <v>-3.2300804952289299</v>
      </c>
      <c r="AG2085">
        <v>-1.1269216451099999</v>
      </c>
      <c r="AH2085">
        <v>14.5703538773747</v>
      </c>
      <c r="AI2085">
        <v>94.318221758852303</v>
      </c>
      <c r="AJ2085">
        <v>102.499665694889</v>
      </c>
      <c r="AK2085">
        <v>14.9665822588794</v>
      </c>
      <c r="AL2085">
        <v>80.629098293644304</v>
      </c>
      <c r="AM2085">
        <v>101.04345175240999</v>
      </c>
      <c r="AN2085">
        <v>1.00000000217745</v>
      </c>
    </row>
    <row r="2086" spans="1:40" x14ac:dyDescent="0.25">
      <c r="A2086" t="str">
        <f>"20190312164512706"</f>
        <v>20190312164512706</v>
      </c>
      <c r="B2086" t="str">
        <f>"1552380312703556"</f>
        <v>1552380312703556</v>
      </c>
      <c r="C2086" t="s">
        <v>40</v>
      </c>
      <c r="D2086">
        <v>5.246664</v>
      </c>
      <c r="E2086">
        <v>0.49143629999999999</v>
      </c>
      <c r="F2086" t="s">
        <v>42</v>
      </c>
      <c r="G2086">
        <v>-497.94549999999998</v>
      </c>
      <c r="H2086" s="1">
        <v>-4.5833379999999996E-6</v>
      </c>
      <c r="I2086">
        <v>246.31360000000001</v>
      </c>
      <c r="J2086">
        <v>-497.78199999999998</v>
      </c>
      <c r="K2086">
        <v>1.1269340000000001</v>
      </c>
      <c r="L2086">
        <v>261.16000000000003</v>
      </c>
      <c r="M2086">
        <v>-0.21912290000000001</v>
      </c>
      <c r="N2086">
        <v>0</v>
      </c>
      <c r="O2086">
        <v>-0.97553279999999998</v>
      </c>
      <c r="P2086">
        <v>-4.241284E-2</v>
      </c>
      <c r="Q2086">
        <v>0.1576022</v>
      </c>
      <c r="R2086">
        <v>-0.98659160000000001</v>
      </c>
      <c r="S2086">
        <v>-4.9499509999999997E-2</v>
      </c>
      <c r="T2086">
        <v>-0.22798879999999999</v>
      </c>
      <c r="U2086">
        <v>-3.073029</v>
      </c>
      <c r="V2086">
        <v>-0.18265670000000001</v>
      </c>
      <c r="W2086">
        <v>0.16681550000000001</v>
      </c>
      <c r="X2086">
        <v>0.96892160000000005</v>
      </c>
      <c r="Y2086">
        <v>-0.2034503</v>
      </c>
      <c r="Z2086">
        <v>7.0514899999999894E-2</v>
      </c>
      <c r="AA2086">
        <v>0.97654269999999999</v>
      </c>
      <c r="AB2086">
        <v>43</v>
      </c>
      <c r="AC2086">
        <v>-0.16349999999999901</v>
      </c>
      <c r="AD2086">
        <v>-1.1269385833379999</v>
      </c>
      <c r="AE2086">
        <v>-14.846399999999999</v>
      </c>
      <c r="AF2086">
        <v>-3.07645933409108</v>
      </c>
      <c r="AG2086">
        <v>-1.1269385833379999</v>
      </c>
      <c r="AH2086">
        <v>14.438127450190599</v>
      </c>
      <c r="AI2086">
        <v>94.365446846920804</v>
      </c>
      <c r="AJ2086">
        <v>102.028627317568</v>
      </c>
      <c r="AK2086">
        <v>14.8052057355809</v>
      </c>
      <c r="AL2086">
        <v>80.397282925291606</v>
      </c>
      <c r="AM2086">
        <v>100.675850451937</v>
      </c>
      <c r="AN2086">
        <v>0.99999997402084895</v>
      </c>
    </row>
    <row r="2087" spans="1:40" x14ac:dyDescent="0.25">
      <c r="A2087" t="str">
        <f>"20190312164512718"</f>
        <v>20190312164512718</v>
      </c>
      <c r="B2087" t="str">
        <f>"1552380312713316"</f>
        <v>1552380312713316</v>
      </c>
      <c r="C2087" t="s">
        <v>40</v>
      </c>
      <c r="D2087">
        <v>5.0367800000000003</v>
      </c>
      <c r="E2087">
        <v>0.4747246</v>
      </c>
      <c r="F2087" t="s">
        <v>42</v>
      </c>
      <c r="G2087">
        <v>-497.9273</v>
      </c>
      <c r="H2087" s="1">
        <v>-4.0681650000000004E-6</v>
      </c>
      <c r="I2087">
        <v>244.8092</v>
      </c>
      <c r="J2087">
        <v>-497.82859999999999</v>
      </c>
      <c r="K2087">
        <v>1.126941</v>
      </c>
      <c r="L2087">
        <v>260.95170000000002</v>
      </c>
      <c r="M2087">
        <v>-0.21124409999999999</v>
      </c>
      <c r="N2087">
        <v>0</v>
      </c>
      <c r="O2087">
        <v>-0.9772691</v>
      </c>
      <c r="P2087">
        <v>-3.7972789999999999E-2</v>
      </c>
      <c r="Q2087">
        <v>0.15867699999999901</v>
      </c>
      <c r="R2087">
        <v>-0.98660049999999999</v>
      </c>
      <c r="S2087">
        <v>-2.7313230000000001E-2</v>
      </c>
      <c r="T2087">
        <v>-0.21182989999999999</v>
      </c>
      <c r="U2087">
        <v>-3.0734560000000002</v>
      </c>
      <c r="V2087">
        <v>-0.17920229999999901</v>
      </c>
      <c r="W2087">
        <v>0.16806270000000001</v>
      </c>
      <c r="X2087">
        <v>0.96935110000000002</v>
      </c>
      <c r="Y2087">
        <v>-0.20259830000000001</v>
      </c>
      <c r="Z2087">
        <v>6.5719379999999994E-2</v>
      </c>
      <c r="AA2087">
        <v>0.97705419999999998</v>
      </c>
      <c r="AB2087">
        <v>43</v>
      </c>
      <c r="AC2087">
        <v>-9.8700000000008004E-2</v>
      </c>
      <c r="AD2087">
        <v>-1.126945068165</v>
      </c>
      <c r="AE2087">
        <v>-16.142499999999998</v>
      </c>
      <c r="AF2087">
        <v>-3.29801033621272</v>
      </c>
      <c r="AG2087">
        <v>-1.126945068165</v>
      </c>
      <c r="AH2087">
        <v>15.7223285125838</v>
      </c>
      <c r="AI2087">
        <v>94.012795164806207</v>
      </c>
      <c r="AJ2087">
        <v>101.84693889283</v>
      </c>
      <c r="AK2087">
        <v>16.1039899162298</v>
      </c>
      <c r="AL2087">
        <v>80.324801039328605</v>
      </c>
      <c r="AM2087">
        <v>100.473922402455</v>
      </c>
      <c r="AN2087">
        <v>1.00000004526389</v>
      </c>
    </row>
    <row r="2088" spans="1:40" x14ac:dyDescent="0.25">
      <c r="A2088" t="str">
        <f>"20190312164512729"</f>
        <v>20190312164512729</v>
      </c>
      <c r="B2088" t="str">
        <f>"1552380312724052"</f>
        <v>1552380312724052</v>
      </c>
      <c r="C2088" t="s">
        <v>40</v>
      </c>
      <c r="D2088">
        <v>5.1790209999999997</v>
      </c>
      <c r="E2088">
        <v>0.47153149999999999</v>
      </c>
      <c r="F2088" t="s">
        <v>42</v>
      </c>
      <c r="G2088">
        <v>-496.90499999999997</v>
      </c>
      <c r="H2088" s="1">
        <v>-4.5662940000000001E-6</v>
      </c>
      <c r="I2088">
        <v>236.8058</v>
      </c>
      <c r="J2088">
        <v>-497.87849999999997</v>
      </c>
      <c r="K2088">
        <v>1.1269450000000001</v>
      </c>
      <c r="L2088">
        <v>260.72370000000001</v>
      </c>
      <c r="M2088">
        <v>-0.202601</v>
      </c>
      <c r="N2088">
        <v>0</v>
      </c>
      <c r="O2088">
        <v>-0.97909740000000001</v>
      </c>
      <c r="P2088">
        <v>-3.2608459999999999E-2</v>
      </c>
      <c r="Q2088">
        <v>0.1593224</v>
      </c>
      <c r="R2088">
        <v>-0.98668809999999996</v>
      </c>
      <c r="S2088">
        <v>0.11737060000000001</v>
      </c>
      <c r="T2088">
        <v>-0.1432061</v>
      </c>
      <c r="U2088">
        <v>-3.0683289999999999</v>
      </c>
      <c r="V2088">
        <v>-0.17590720000000001</v>
      </c>
      <c r="W2088">
        <v>0.16887349999999901</v>
      </c>
      <c r="X2088">
        <v>0.96981360000000005</v>
      </c>
      <c r="Y2088">
        <v>-0.2398749</v>
      </c>
      <c r="Z2088">
        <v>4.4472539999999998E-2</v>
      </c>
      <c r="AA2088">
        <v>0.9697846</v>
      </c>
      <c r="AB2088">
        <v>43</v>
      </c>
      <c r="AC2088">
        <v>0.97350000000000103</v>
      </c>
      <c r="AD2088">
        <v>-1.1269495662939999</v>
      </c>
      <c r="AE2088">
        <v>-23.917899999999999</v>
      </c>
      <c r="AF2088">
        <v>-5.7870467797612202</v>
      </c>
      <c r="AG2088">
        <v>-1.1269495662939999</v>
      </c>
      <c r="AH2088">
        <v>23.173090454194099</v>
      </c>
      <c r="AI2088">
        <v>92.701370550799993</v>
      </c>
      <c r="AJ2088">
        <v>104.021754591624</v>
      </c>
      <c r="AK2088">
        <v>23.911337205484301</v>
      </c>
      <c r="AL2088">
        <v>80.277671669405905</v>
      </c>
      <c r="AM2088">
        <v>100.28067981988001</v>
      </c>
      <c r="AN2088">
        <v>1.0000000103795199</v>
      </c>
    </row>
    <row r="2089" spans="1:40" x14ac:dyDescent="0.25">
      <c r="A2089" t="str">
        <f>"20190312164512742"</f>
        <v>20190312164512742</v>
      </c>
      <c r="B2089" t="str">
        <f>"1552380312733813"</f>
        <v>1552380312733813</v>
      </c>
      <c r="C2089" t="s">
        <v>40</v>
      </c>
      <c r="D2089">
        <v>5.2080279999999997</v>
      </c>
      <c r="E2089">
        <v>0.4713078</v>
      </c>
      <c r="F2089" t="s">
        <v>42</v>
      </c>
      <c r="G2089">
        <v>-496.76429999999999</v>
      </c>
      <c r="H2089" s="1">
        <v>-5.475371E-6</v>
      </c>
      <c r="I2089">
        <v>239.5506</v>
      </c>
      <c r="J2089">
        <v>-497.92759999999998</v>
      </c>
      <c r="K2089">
        <v>1.1269400000000001</v>
      </c>
      <c r="L2089">
        <v>260.4846</v>
      </c>
      <c r="M2089">
        <v>-0.1935077</v>
      </c>
      <c r="N2089">
        <v>0</v>
      </c>
      <c r="O2089">
        <v>-0.98093509999999995</v>
      </c>
      <c r="P2089">
        <v>-2.692027E-2</v>
      </c>
      <c r="Q2089">
        <v>0.15939339999999999</v>
      </c>
      <c r="R2089">
        <v>-0.98684839999999996</v>
      </c>
      <c r="S2089">
        <v>0.1616821</v>
      </c>
      <c r="T2089">
        <v>-0.16351949999999901</v>
      </c>
      <c r="U2089">
        <v>-3.0722049999999999</v>
      </c>
      <c r="V2089">
        <v>-0.17249110000000001</v>
      </c>
      <c r="W2089">
        <v>0.1691165</v>
      </c>
      <c r="X2089">
        <v>0.97038469999999999</v>
      </c>
      <c r="Y2089">
        <v>-0.244759</v>
      </c>
      <c r="Z2089">
        <v>5.0797410000000001E-2</v>
      </c>
      <c r="AA2089">
        <v>0.96825240000000001</v>
      </c>
      <c r="AB2089">
        <v>43</v>
      </c>
      <c r="AC2089">
        <v>1.16329999999999</v>
      </c>
      <c r="AD2089">
        <v>-1.126945475371</v>
      </c>
      <c r="AE2089">
        <v>-20.934000000000001</v>
      </c>
      <c r="AF2089">
        <v>-5.1778863480080002</v>
      </c>
      <c r="AG2089">
        <v>-1.126945475371</v>
      </c>
      <c r="AH2089">
        <v>20.254532058679398</v>
      </c>
      <c r="AI2089">
        <v>93.085578330498805</v>
      </c>
      <c r="AJ2089">
        <v>104.340024216347</v>
      </c>
      <c r="AK2089">
        <v>20.936250429659498</v>
      </c>
      <c r="AL2089">
        <v>80.263545694448297</v>
      </c>
      <c r="AM2089">
        <v>100.079353937927</v>
      </c>
      <c r="AN2089">
        <v>1.0000000180727699</v>
      </c>
    </row>
    <row r="2090" spans="1:40" x14ac:dyDescent="0.25">
      <c r="A2090" t="str">
        <f>"20190312164512765"</f>
        <v>20190312164512765</v>
      </c>
      <c r="B2090" t="str">
        <f>"1552380312753332"</f>
        <v>1552380312753332</v>
      </c>
      <c r="C2090" t="s">
        <v>40</v>
      </c>
      <c r="D2090">
        <v>5.1041019999999904</v>
      </c>
      <c r="E2090">
        <v>0.47011829999999999</v>
      </c>
      <c r="F2090" t="s">
        <v>42</v>
      </c>
      <c r="G2090">
        <v>-496.74220000000003</v>
      </c>
      <c r="H2090" s="1">
        <v>-2.2611599999999998E-6</v>
      </c>
      <c r="I2090">
        <v>240.67830000000001</v>
      </c>
      <c r="J2090">
        <v>-498.00560000000002</v>
      </c>
      <c r="K2090">
        <v>1.126935</v>
      </c>
      <c r="L2090">
        <v>260.08269999999999</v>
      </c>
      <c r="M2090">
        <v>-0.178173</v>
      </c>
      <c r="N2090">
        <v>0</v>
      </c>
      <c r="O2090">
        <v>-0.98383569999999998</v>
      </c>
      <c r="P2090">
        <v>-1.7498690000000001E-2</v>
      </c>
      <c r="Q2090">
        <v>0.16068479999999999</v>
      </c>
      <c r="R2090">
        <v>-0.98685080000000003</v>
      </c>
      <c r="S2090">
        <v>0.18392939999999999</v>
      </c>
      <c r="T2090">
        <v>-0.17486119999999999</v>
      </c>
      <c r="U2090">
        <v>-3.073242</v>
      </c>
      <c r="V2090">
        <v>-0.1666126</v>
      </c>
      <c r="W2090">
        <v>0.17070009999999999</v>
      </c>
      <c r="X2090">
        <v>0.97113419999999895</v>
      </c>
      <c r="Y2090">
        <v>-0.23657429999999999</v>
      </c>
      <c r="Z2090">
        <v>5.458532E-2</v>
      </c>
      <c r="AA2090">
        <v>0.97007889999999997</v>
      </c>
      <c r="AB2090">
        <v>43</v>
      </c>
      <c r="AC2090">
        <v>1.2633999999999901</v>
      </c>
      <c r="AD2090">
        <v>-1.1269372611599999</v>
      </c>
      <c r="AE2090">
        <v>-19.4043999999999</v>
      </c>
      <c r="AF2090">
        <v>-4.6853381003853496</v>
      </c>
      <c r="AG2090">
        <v>-1.1269372611599999</v>
      </c>
      <c r="AH2090">
        <v>18.8055122186741</v>
      </c>
      <c r="AI2090">
        <v>93.3279055780324</v>
      </c>
      <c r="AJ2090">
        <v>103.99023913609599</v>
      </c>
      <c r="AK2090">
        <v>19.4131313937812</v>
      </c>
      <c r="AL2090">
        <v>80.171472754628695</v>
      </c>
      <c r="AM2090">
        <v>99.735169764200606</v>
      </c>
      <c r="AN2090">
        <v>0.99999995851420398</v>
      </c>
    </row>
    <row r="2091" spans="1:40" x14ac:dyDescent="0.25">
      <c r="A2091" t="str">
        <f>"20190312164512796"</f>
        <v>20190312164512796</v>
      </c>
      <c r="B2091" t="str">
        <f>"1552380312783588"</f>
        <v>1552380312783588</v>
      </c>
      <c r="C2091" t="s">
        <v>40</v>
      </c>
      <c r="D2091">
        <v>5.2506449999999996</v>
      </c>
      <c r="E2091">
        <v>0.47071180000000001</v>
      </c>
      <c r="F2091" t="s">
        <v>42</v>
      </c>
      <c r="G2091">
        <v>-496.64089999999999</v>
      </c>
      <c r="H2091" s="1">
        <v>-2.6152960000000001E-6</v>
      </c>
      <c r="I2091">
        <v>241.56659999999999</v>
      </c>
      <c r="J2091">
        <v>-498.10610000000003</v>
      </c>
      <c r="K2091">
        <v>1.126951</v>
      </c>
      <c r="L2091">
        <v>259.50369999999998</v>
      </c>
      <c r="M2091">
        <v>-0.1559537</v>
      </c>
      <c r="N2091">
        <v>0</v>
      </c>
      <c r="O2091">
        <v>-0.98760150000000002</v>
      </c>
      <c r="P2091">
        <v>-3.8850339999999999E-3</v>
      </c>
      <c r="Q2091">
        <v>0.166666799999999</v>
      </c>
      <c r="R2091">
        <v>-0.98600560000000004</v>
      </c>
      <c r="S2091">
        <v>0.22659299999999999</v>
      </c>
      <c r="T2091">
        <v>-0.1871176</v>
      </c>
      <c r="U2091">
        <v>-3.0744319999999998</v>
      </c>
      <c r="V2091">
        <v>-0.1582114</v>
      </c>
      <c r="W2091">
        <v>0.17708859999999901</v>
      </c>
      <c r="X2091">
        <v>0.97139529999999996</v>
      </c>
      <c r="Y2091">
        <v>-0.22802790000000001</v>
      </c>
      <c r="Z2091">
        <v>5.8753319999999998E-2</v>
      </c>
      <c r="AA2091">
        <v>0.97188030000000003</v>
      </c>
      <c r="AB2091">
        <v>43</v>
      </c>
      <c r="AC2091">
        <v>1.46520000000003</v>
      </c>
      <c r="AD2091">
        <v>-1.126953615296</v>
      </c>
      <c r="AE2091">
        <v>-17.937099999999901</v>
      </c>
      <c r="AF2091">
        <v>-4.22849296631487</v>
      </c>
      <c r="AG2091">
        <v>-1.126953615296</v>
      </c>
      <c r="AH2091">
        <v>17.420706877912</v>
      </c>
      <c r="AI2091">
        <v>93.597168906355705</v>
      </c>
      <c r="AJ2091">
        <v>103.643430533791</v>
      </c>
      <c r="AK2091">
        <v>17.9619376834276</v>
      </c>
      <c r="AL2091">
        <v>79.7997755538278</v>
      </c>
      <c r="AM2091">
        <v>99.250553296051095</v>
      </c>
      <c r="AN2091">
        <v>1.0000000241010001</v>
      </c>
    </row>
    <row r="2092" spans="1:40" x14ac:dyDescent="0.25">
      <c r="A2092" t="str">
        <f>"20190312164512808"</f>
        <v>20190312164512808</v>
      </c>
      <c r="B2092" t="str">
        <f>"1552380312803616"</f>
        <v>1552380312803616</v>
      </c>
      <c r="C2092" t="s">
        <v>40</v>
      </c>
      <c r="D2092">
        <v>5.2337360000000004</v>
      </c>
      <c r="E2092">
        <v>0.47115309999999999</v>
      </c>
      <c r="F2092" t="s">
        <v>42</v>
      </c>
      <c r="G2092">
        <v>-496.49180000000001</v>
      </c>
      <c r="H2092" s="1">
        <v>-2.1742939999999999E-6</v>
      </c>
      <c r="I2092">
        <v>240.6311</v>
      </c>
      <c r="J2092">
        <v>-498.14339999999999</v>
      </c>
      <c r="K2092">
        <v>1.126957</v>
      </c>
      <c r="L2092">
        <v>259.2706</v>
      </c>
      <c r="M2092">
        <v>-0.14697060000000001</v>
      </c>
      <c r="N2092">
        <v>0</v>
      </c>
      <c r="O2092">
        <v>-0.98897800000000002</v>
      </c>
      <c r="P2092">
        <v>1.4880239999999999E-3</v>
      </c>
      <c r="Q2092">
        <v>0.1680817</v>
      </c>
      <c r="R2092">
        <v>-0.98577210000000004</v>
      </c>
      <c r="S2092">
        <v>0.26300050000000003</v>
      </c>
      <c r="T2092">
        <v>-0.18359880000000001</v>
      </c>
      <c r="U2092">
        <v>-3.074646</v>
      </c>
      <c r="V2092">
        <v>-0.15469550000000001</v>
      </c>
      <c r="W2092">
        <v>0.17867459999999999</v>
      </c>
      <c r="X2092">
        <v>0.97167110000000001</v>
      </c>
      <c r="Y2092">
        <v>-0.2306137</v>
      </c>
      <c r="Z2092">
        <v>5.7726189999999997E-2</v>
      </c>
      <c r="AA2092">
        <v>0.97133159999999996</v>
      </c>
      <c r="AB2092">
        <v>43</v>
      </c>
      <c r="AC2092">
        <v>1.65159999999997</v>
      </c>
      <c r="AD2092">
        <v>-1.1269591742939999</v>
      </c>
      <c r="AE2092">
        <v>-18.639500000000002</v>
      </c>
      <c r="AF2092">
        <v>-4.3577533981132603</v>
      </c>
      <c r="AG2092">
        <v>-1.1269591742939999</v>
      </c>
      <c r="AH2092">
        <v>18.128497098081699</v>
      </c>
      <c r="AI2092">
        <v>93.458936839676895</v>
      </c>
      <c r="AJ2092">
        <v>103.51639360344301</v>
      </c>
      <c r="AK2092">
        <v>18.678930876644198</v>
      </c>
      <c r="AL2092">
        <v>79.707431671812202</v>
      </c>
      <c r="AM2092">
        <v>99.045892903412707</v>
      </c>
      <c r="AN2092">
        <v>1.0000000184903099</v>
      </c>
    </row>
    <row r="2093" spans="1:40" x14ac:dyDescent="0.25">
      <c r="A2093" t="str">
        <f>"20190312164512820"</f>
        <v>20190312164512820</v>
      </c>
      <c r="B2093" t="str">
        <f>"1552380312813377"</f>
        <v>1552380312813377</v>
      </c>
      <c r="C2093" t="s">
        <v>40</v>
      </c>
      <c r="D2093">
        <v>5.3617850000000002</v>
      </c>
      <c r="E2093">
        <v>0.47170820000000002</v>
      </c>
      <c r="F2093" t="s">
        <v>42</v>
      </c>
      <c r="G2093">
        <v>-496.43290000000002</v>
      </c>
      <c r="H2093" s="1">
        <v>-2.000938E-6</v>
      </c>
      <c r="I2093">
        <v>240.26349999999999</v>
      </c>
      <c r="J2093">
        <v>-498.17290000000003</v>
      </c>
      <c r="K2093">
        <v>1.12696</v>
      </c>
      <c r="L2093">
        <v>259.06729999999999</v>
      </c>
      <c r="M2093">
        <v>-0.13911270000000001</v>
      </c>
      <c r="N2093">
        <v>0</v>
      </c>
      <c r="O2093">
        <v>-0.99011400000000005</v>
      </c>
      <c r="P2093">
        <v>5.3696819999999998E-3</v>
      </c>
      <c r="Q2093">
        <v>0.16911570000000001</v>
      </c>
      <c r="R2093">
        <v>-0.98558179999999995</v>
      </c>
      <c r="S2093">
        <v>0.27664179999999999</v>
      </c>
      <c r="T2093">
        <v>-0.1822627</v>
      </c>
      <c r="U2093">
        <v>-3.0740050000000001</v>
      </c>
      <c r="V2093">
        <v>-0.15081820000000001</v>
      </c>
      <c r="W2093">
        <v>0.1798971</v>
      </c>
      <c r="X2093">
        <v>0.972055</v>
      </c>
      <c r="Y2093">
        <v>-0.22718240000000001</v>
      </c>
      <c r="Z2093">
        <v>5.7433030000000003E-2</v>
      </c>
      <c r="AA2093">
        <v>0.97215720000000005</v>
      </c>
      <c r="AB2093">
        <v>43</v>
      </c>
      <c r="AC2093">
        <v>1.74</v>
      </c>
      <c r="AD2093">
        <v>-1.1269620009379999</v>
      </c>
      <c r="AE2093">
        <v>-18.803799999999899</v>
      </c>
      <c r="AF2093">
        <v>-4.3239448460125098</v>
      </c>
      <c r="AG2093">
        <v>-1.1269620009379999</v>
      </c>
      <c r="AH2093">
        <v>18.313585505498999</v>
      </c>
      <c r="AI2093">
        <v>93.427365048987795</v>
      </c>
      <c r="AJ2093">
        <v>103.28458147722699</v>
      </c>
      <c r="AK2093">
        <v>18.8508343701317</v>
      </c>
      <c r="AL2093">
        <v>79.636233869091797</v>
      </c>
      <c r="AM2093">
        <v>98.819348087042599</v>
      </c>
      <c r="AN2093">
        <v>1.00000000953232</v>
      </c>
    </row>
    <row r="2094" spans="1:40" x14ac:dyDescent="0.25">
      <c r="A2094" t="str">
        <f>"20190312164512831"</f>
        <v>20190312164512831</v>
      </c>
      <c r="B2094" t="str">
        <f>"1552380312824113"</f>
        <v>1552380312824113</v>
      </c>
      <c r="C2094" t="s">
        <v>40</v>
      </c>
      <c r="D2094">
        <v>5.1295479999999998</v>
      </c>
      <c r="E2094">
        <v>0.47200039999999999</v>
      </c>
      <c r="F2094" t="s">
        <v>42</v>
      </c>
      <c r="G2094">
        <v>-496.39769999999999</v>
      </c>
      <c r="H2094" s="1">
        <v>-1.855627E-6</v>
      </c>
      <c r="I2094">
        <v>239.94659999999999</v>
      </c>
      <c r="J2094">
        <v>-498.2045</v>
      </c>
      <c r="K2094">
        <v>1.1269629999999999</v>
      </c>
      <c r="L2094">
        <v>258.84440000000001</v>
      </c>
      <c r="M2094">
        <v>-0.13048119999999999</v>
      </c>
      <c r="N2094">
        <v>0</v>
      </c>
      <c r="O2094">
        <v>-0.99128830000000001</v>
      </c>
      <c r="P2094">
        <v>9.7339939999999993E-3</v>
      </c>
      <c r="Q2094">
        <v>0.16972590000000001</v>
      </c>
      <c r="R2094">
        <v>-0.98544339999999997</v>
      </c>
      <c r="S2094">
        <v>0.28533940000000002</v>
      </c>
      <c r="T2094">
        <v>-0.181143</v>
      </c>
      <c r="U2094">
        <v>-3.0733799999999998</v>
      </c>
      <c r="V2094">
        <v>-0.14665729999999999</v>
      </c>
      <c r="W2094">
        <v>0.18071039999999999</v>
      </c>
      <c r="X2094">
        <v>0.97254070000000004</v>
      </c>
      <c r="Y2094">
        <v>-0.2214419</v>
      </c>
      <c r="Z2094">
        <v>5.722812E-2</v>
      </c>
      <c r="AA2094">
        <v>0.97349289999999999</v>
      </c>
      <c r="AB2094">
        <v>43</v>
      </c>
      <c r="AC2094">
        <v>1.8068</v>
      </c>
      <c r="AD2094">
        <v>-1.126964855627</v>
      </c>
      <c r="AE2094">
        <v>-18.8978</v>
      </c>
      <c r="AF2094">
        <v>-4.2426019002663304</v>
      </c>
      <c r="AG2094">
        <v>-1.126964855627</v>
      </c>
      <c r="AH2094">
        <v>18.435426903082</v>
      </c>
      <c r="AI2094">
        <v>93.409264027880695</v>
      </c>
      <c r="AJ2094">
        <v>102.960007094432</v>
      </c>
      <c r="AK2094">
        <v>18.950849209701499</v>
      </c>
      <c r="AL2094">
        <v>79.588858812967501</v>
      </c>
      <c r="AM2094">
        <v>98.575482484156197</v>
      </c>
      <c r="AN2094">
        <v>1.0000000127339701</v>
      </c>
    </row>
    <row r="2095" spans="1:40" x14ac:dyDescent="0.25">
      <c r="A2095" t="str">
        <f>"20190312164512842"</f>
        <v>20190312164512842</v>
      </c>
      <c r="B2095" t="str">
        <f>"1552380312833872"</f>
        <v>1552380312833872</v>
      </c>
      <c r="C2095" t="s">
        <v>40</v>
      </c>
      <c r="D2095">
        <v>5.2566269999999999</v>
      </c>
      <c r="E2095">
        <v>0.47276249999999997</v>
      </c>
      <c r="F2095" t="s">
        <v>42</v>
      </c>
      <c r="G2095">
        <v>-496.34249999999997</v>
      </c>
      <c r="H2095" s="1">
        <v>-1.7110720000000001E-6</v>
      </c>
      <c r="I2095">
        <v>239.6438</v>
      </c>
      <c r="J2095">
        <v>-498.23349999999999</v>
      </c>
      <c r="K2095">
        <v>1.1269629999999999</v>
      </c>
      <c r="L2095">
        <v>258.62090000000001</v>
      </c>
      <c r="M2095">
        <v>-0.1218035</v>
      </c>
      <c r="N2095">
        <v>0</v>
      </c>
      <c r="O2095">
        <v>-0.99239180000000005</v>
      </c>
      <c r="P2095">
        <v>1.4553679999999999E-2</v>
      </c>
      <c r="Q2095">
        <v>0.17007649999999999</v>
      </c>
      <c r="R2095">
        <v>-0.98532370000000002</v>
      </c>
      <c r="S2095">
        <v>0.29794310000000002</v>
      </c>
      <c r="T2095">
        <v>-0.18033440000000001</v>
      </c>
      <c r="U2095">
        <v>-3.0724330000000002</v>
      </c>
      <c r="V2095">
        <v>-0.14290369999999999</v>
      </c>
      <c r="W2095">
        <v>0.18124399999999999</v>
      </c>
      <c r="X2095">
        <v>0.97299999999999998</v>
      </c>
      <c r="Y2095">
        <v>-0.21689449999999999</v>
      </c>
      <c r="Z2095">
        <v>5.7106770000000001E-2</v>
      </c>
      <c r="AA2095">
        <v>0.97452320000000003</v>
      </c>
      <c r="AB2095">
        <v>43</v>
      </c>
      <c r="AC2095">
        <v>1.89100000000002</v>
      </c>
      <c r="AD2095">
        <v>-1.126964711072</v>
      </c>
      <c r="AE2095">
        <v>-18.9771</v>
      </c>
      <c r="AF2095">
        <v>-4.17418930025603</v>
      </c>
      <c r="AG2095">
        <v>-1.126964711072</v>
      </c>
      <c r="AH2095">
        <v>18.540644363233799</v>
      </c>
      <c r="AI2095">
        <v>93.393620051438205</v>
      </c>
      <c r="AJ2095">
        <v>102.687867061262</v>
      </c>
      <c r="AK2095">
        <v>19.038103875604001</v>
      </c>
      <c r="AL2095">
        <v>79.557771565250107</v>
      </c>
      <c r="AM2095">
        <v>98.355249372330107</v>
      </c>
      <c r="AN2095">
        <v>0.99999992750484201</v>
      </c>
    </row>
    <row r="2096" spans="1:40" x14ac:dyDescent="0.25">
      <c r="A2096" t="str">
        <f>"20190312164512854"</f>
        <v>20190312164512854</v>
      </c>
      <c r="B2096" t="str">
        <f>"1552380312843633"</f>
        <v>1552380312843633</v>
      </c>
      <c r="C2096" t="s">
        <v>40</v>
      </c>
      <c r="D2096">
        <v>5.1717979999999999</v>
      </c>
      <c r="E2096">
        <v>0.47316930000000001</v>
      </c>
      <c r="F2096" t="s">
        <v>42</v>
      </c>
      <c r="G2096">
        <v>-496.29360000000003</v>
      </c>
      <c r="H2096" s="1">
        <v>-5.3042449999999997E-6</v>
      </c>
      <c r="I2096">
        <v>239.29300000000001</v>
      </c>
      <c r="J2096">
        <v>-498.25869999999998</v>
      </c>
      <c r="K2096">
        <v>1.1269640000000001</v>
      </c>
      <c r="L2096">
        <v>258.41480000000001</v>
      </c>
      <c r="M2096">
        <v>-0.1137822</v>
      </c>
      <c r="N2096">
        <v>0</v>
      </c>
      <c r="O2096">
        <v>-0.99334350000000005</v>
      </c>
      <c r="P2096">
        <v>1.8597599999999999E-2</v>
      </c>
      <c r="Q2096">
        <v>0.170316</v>
      </c>
      <c r="R2096">
        <v>-0.98521409999999998</v>
      </c>
      <c r="S2096">
        <v>0.30822749999999999</v>
      </c>
      <c r="T2096">
        <v>-0.1790659</v>
      </c>
      <c r="U2096">
        <v>-3.0710449999999998</v>
      </c>
      <c r="V2096">
        <v>-0.13903309999999999</v>
      </c>
      <c r="W2096">
        <v>0.18167259999999999</v>
      </c>
      <c r="X2096">
        <v>0.97348080000000003</v>
      </c>
      <c r="Y2096">
        <v>-0.21228230000000001</v>
      </c>
      <c r="Z2096">
        <v>5.6835070000000001E-2</v>
      </c>
      <c r="AA2096">
        <v>0.97555420000000004</v>
      </c>
      <c r="AB2096">
        <v>43</v>
      </c>
      <c r="AC2096">
        <v>1.9650999999999399</v>
      </c>
      <c r="AD2096">
        <v>-1.12696930424499</v>
      </c>
      <c r="AE2096">
        <v>-19.1218</v>
      </c>
      <c r="AF2096">
        <v>-4.1142636123554199</v>
      </c>
      <c r="AG2096">
        <v>-1.12696930424499</v>
      </c>
      <c r="AH2096">
        <v>18.709639363582902</v>
      </c>
      <c r="AI2096">
        <v>93.366778765070094</v>
      </c>
      <c r="AJ2096">
        <v>102.40199399519901</v>
      </c>
      <c r="AK2096">
        <v>19.189784521979199</v>
      </c>
      <c r="AL2096">
        <v>79.532800821618906</v>
      </c>
      <c r="AM2096">
        <v>98.128049778245</v>
      </c>
      <c r="AN2096">
        <v>1.0000000022275</v>
      </c>
    </row>
    <row r="2097" spans="1:40" x14ac:dyDescent="0.25">
      <c r="A2097" t="str">
        <f>"20190312164512867"</f>
        <v>20190312164512867</v>
      </c>
      <c r="B2097" t="str">
        <f>"1552380312864130"</f>
        <v>1552380312864130</v>
      </c>
      <c r="C2097" t="s">
        <v>40</v>
      </c>
      <c r="D2097">
        <v>5.354209</v>
      </c>
      <c r="E2097">
        <v>0.47392450000000003</v>
      </c>
      <c r="F2097" t="s">
        <v>42</v>
      </c>
      <c r="G2097">
        <v>-496.20589999999999</v>
      </c>
      <c r="H2097" s="1">
        <v>-5.0557729999999901E-6</v>
      </c>
      <c r="I2097">
        <v>238.6086</v>
      </c>
      <c r="J2097">
        <v>-498.28530000000001</v>
      </c>
      <c r="K2097">
        <v>1.1269659999999999</v>
      </c>
      <c r="L2097">
        <v>258.1832</v>
      </c>
      <c r="M2097">
        <v>-0.1047515</v>
      </c>
      <c r="N2097">
        <v>0</v>
      </c>
      <c r="O2097">
        <v>-0.99433629999999995</v>
      </c>
      <c r="P2097">
        <v>2.4329070000000001E-2</v>
      </c>
      <c r="Q2097">
        <v>0.16982729999999999</v>
      </c>
      <c r="R2097">
        <v>-0.98517350000000004</v>
      </c>
      <c r="S2097">
        <v>0.31811519999999999</v>
      </c>
      <c r="T2097">
        <v>-0.174639299999999</v>
      </c>
      <c r="U2097">
        <v>-3.0692439999999999</v>
      </c>
      <c r="V2097">
        <v>-0.13582949999999999</v>
      </c>
      <c r="W2097">
        <v>0.18134210000000001</v>
      </c>
      <c r="X2097">
        <v>0.97399460000000004</v>
      </c>
      <c r="Y2097">
        <v>-0.2065747</v>
      </c>
      <c r="Z2097">
        <v>5.5577080000000001E-2</v>
      </c>
      <c r="AA2097">
        <v>0.97685109999999997</v>
      </c>
      <c r="AB2097">
        <v>42</v>
      </c>
      <c r="AC2097">
        <v>2.0794000000000201</v>
      </c>
      <c r="AD2097">
        <v>-1.1269710557729999</v>
      </c>
      <c r="AE2097">
        <v>-19.5746</v>
      </c>
      <c r="AF2097">
        <v>-4.1052998540915597</v>
      </c>
      <c r="AG2097">
        <v>-1.1269710557729999</v>
      </c>
      <c r="AH2097">
        <v>19.186132735178401</v>
      </c>
      <c r="AI2097">
        <v>93.287380703625999</v>
      </c>
      <c r="AJ2097">
        <v>102.07758390127999</v>
      </c>
      <c r="AK2097">
        <v>19.6527667259457</v>
      </c>
      <c r="AL2097">
        <v>79.552057386556797</v>
      </c>
      <c r="AM2097">
        <v>97.939044669675994</v>
      </c>
      <c r="AN2097">
        <v>1.0000000455658999</v>
      </c>
    </row>
    <row r="2098" spans="1:40" x14ac:dyDescent="0.25">
      <c r="A2098" t="str">
        <f>"20190312164512885"</f>
        <v>20190312164512885</v>
      </c>
      <c r="B2098" t="str">
        <f>"1552380312873888"</f>
        <v>1552380312873888</v>
      </c>
      <c r="C2098" t="s">
        <v>40</v>
      </c>
      <c r="D2098">
        <v>5.1589479999999996</v>
      </c>
      <c r="E2098">
        <v>0.47426049999999997</v>
      </c>
      <c r="F2098" t="s">
        <v>42</v>
      </c>
      <c r="G2098">
        <v>-496.1103</v>
      </c>
      <c r="H2098" s="1">
        <v>-4.8258779999999996E-6</v>
      </c>
      <c r="I2098">
        <v>237.9828</v>
      </c>
      <c r="J2098">
        <v>-498.31979999999999</v>
      </c>
      <c r="K2098">
        <v>1.12697</v>
      </c>
      <c r="L2098">
        <v>257.8433</v>
      </c>
      <c r="M2098">
        <v>-9.1453259999999995E-2</v>
      </c>
      <c r="N2098">
        <v>0</v>
      </c>
      <c r="O2098">
        <v>-0.99564730000000001</v>
      </c>
      <c r="P2098">
        <v>2.9823200000000001E-2</v>
      </c>
      <c r="Q2098">
        <v>0.1683499</v>
      </c>
      <c r="R2098">
        <v>-0.98527600000000004</v>
      </c>
      <c r="S2098">
        <v>0.33016970000000001</v>
      </c>
      <c r="T2098">
        <v>-0.17107629999999999</v>
      </c>
      <c r="U2098">
        <v>-3.066452</v>
      </c>
      <c r="V2098">
        <v>-0.1281803</v>
      </c>
      <c r="W2098">
        <v>0.18023900000000001</v>
      </c>
      <c r="X2098">
        <v>0.97523519999999997</v>
      </c>
      <c r="Y2098">
        <v>-0.19738439999999999</v>
      </c>
      <c r="Z2098">
        <v>5.4646790000000001E-2</v>
      </c>
      <c r="AA2098">
        <v>0.9788019</v>
      </c>
      <c r="AB2098">
        <v>42</v>
      </c>
      <c r="AC2098">
        <v>2.20949999999999</v>
      </c>
      <c r="AD2098">
        <v>-1.1269748258779999</v>
      </c>
      <c r="AE2098">
        <v>-19.860499999999998</v>
      </c>
      <c r="AF2098">
        <v>-4.0041031019378996</v>
      </c>
      <c r="AG2098">
        <v>-1.1269748258779999</v>
      </c>
      <c r="AH2098">
        <v>19.513083606419599</v>
      </c>
      <c r="AI2098">
        <v>93.238112767105207</v>
      </c>
      <c r="AJ2098">
        <v>101.59617449074101</v>
      </c>
      <c r="AK2098">
        <v>19.951524897617102</v>
      </c>
      <c r="AL2098">
        <v>79.616318719531407</v>
      </c>
      <c r="AM2098">
        <v>97.487765374275895</v>
      </c>
      <c r="AN2098">
        <v>0.99999999087406399</v>
      </c>
    </row>
    <row r="2099" spans="1:40" x14ac:dyDescent="0.25">
      <c r="A2099" t="str">
        <f>"20190312164512897"</f>
        <v>20190312164512897</v>
      </c>
      <c r="B2099" t="str">
        <f>"1552380312893408"</f>
        <v>1552380312893408</v>
      </c>
      <c r="C2099" t="s">
        <v>40</v>
      </c>
      <c r="D2099">
        <v>5.2656510000000001</v>
      </c>
      <c r="E2099">
        <v>0.47497529999999999</v>
      </c>
      <c r="F2099" t="s">
        <v>42</v>
      </c>
      <c r="G2099">
        <v>-496.06720000000001</v>
      </c>
      <c r="H2099" s="1">
        <v>-4.773864E-6</v>
      </c>
      <c r="I2099">
        <v>237.85249999999999</v>
      </c>
      <c r="J2099">
        <v>-498.33960000000002</v>
      </c>
      <c r="K2099">
        <v>1.12697</v>
      </c>
      <c r="L2099">
        <v>257.62139999999999</v>
      </c>
      <c r="M2099">
        <v>-8.2749939999999994E-2</v>
      </c>
      <c r="N2099">
        <v>0</v>
      </c>
      <c r="O2099">
        <v>-0.99640839999999997</v>
      </c>
      <c r="P2099">
        <v>3.420546E-2</v>
      </c>
      <c r="Q2099">
        <v>0.16743939999999999</v>
      </c>
      <c r="R2099">
        <v>-0.98528899999999997</v>
      </c>
      <c r="S2099">
        <v>0.34524539999999998</v>
      </c>
      <c r="T2099">
        <v>-0.17272570000000001</v>
      </c>
      <c r="U2099">
        <v>-3.0638890000000001</v>
      </c>
      <c r="V2099">
        <v>-0.1239579</v>
      </c>
      <c r="W2099">
        <v>0.1795349</v>
      </c>
      <c r="X2099">
        <v>0.97591070000000002</v>
      </c>
      <c r="Y2099">
        <v>-0.193659</v>
      </c>
      <c r="Z2099">
        <v>5.5287969999999999E-2</v>
      </c>
      <c r="AA2099">
        <v>0.97950979999999999</v>
      </c>
      <c r="AB2099">
        <v>42</v>
      </c>
      <c r="AC2099">
        <v>2.2724000000000002</v>
      </c>
      <c r="AD2099">
        <v>-1.1269747738639999</v>
      </c>
      <c r="AE2099">
        <v>-19.768899999999999</v>
      </c>
      <c r="AF2099">
        <v>-3.8882717515285599</v>
      </c>
      <c r="AG2099">
        <v>-1.1269747738639999</v>
      </c>
      <c r="AH2099">
        <v>19.450618925171899</v>
      </c>
      <c r="AI2099">
        <v>93.251831421433806</v>
      </c>
      <c r="AJ2099">
        <v>101.30468666279</v>
      </c>
      <c r="AK2099">
        <v>19.8674433666468</v>
      </c>
      <c r="AL2099">
        <v>79.657329960980107</v>
      </c>
      <c r="AM2099">
        <v>97.238813205600295</v>
      </c>
      <c r="AN2099">
        <v>1.00000001783245</v>
      </c>
    </row>
    <row r="2100" spans="1:40" x14ac:dyDescent="0.25">
      <c r="A2100" t="str">
        <f>"20190312164512909"</f>
        <v>20190312164512909</v>
      </c>
      <c r="B2100" t="str">
        <f>"1552380312903676"</f>
        <v>1552380312903676</v>
      </c>
      <c r="C2100" t="s">
        <v>40</v>
      </c>
      <c r="D2100">
        <v>5.2859309999999997</v>
      </c>
      <c r="E2100">
        <v>0.4752748</v>
      </c>
      <c r="F2100" t="s">
        <v>42</v>
      </c>
      <c r="G2100">
        <v>-496.02839999999998</v>
      </c>
      <c r="H2100" s="1">
        <v>-4.6901780000000002E-6</v>
      </c>
      <c r="I2100">
        <v>237.6268</v>
      </c>
      <c r="J2100">
        <v>-498.35890000000001</v>
      </c>
      <c r="K2100">
        <v>1.12696</v>
      </c>
      <c r="L2100">
        <v>257.39120000000003</v>
      </c>
      <c r="M2100">
        <v>-7.3700260000000004E-2</v>
      </c>
      <c r="N2100">
        <v>0</v>
      </c>
      <c r="O2100">
        <v>-0.99711850000000002</v>
      </c>
      <c r="P2100">
        <v>3.8849439999999999E-2</v>
      </c>
      <c r="Q2100">
        <v>0.16639419999999999</v>
      </c>
      <c r="R2100">
        <v>-0.98529389999999994</v>
      </c>
      <c r="S2100">
        <v>0.35391240000000002</v>
      </c>
      <c r="T2100">
        <v>-0.17257620000000001</v>
      </c>
      <c r="U2100">
        <v>-3.0618289999999999</v>
      </c>
      <c r="V2100">
        <v>-0.1196535</v>
      </c>
      <c r="W2100">
        <v>0.17869989999999999</v>
      </c>
      <c r="X2100">
        <v>0.97660089999999999</v>
      </c>
      <c r="Y2100">
        <v>-0.18755869999999999</v>
      </c>
      <c r="Z2100">
        <v>5.5361359999999998E-2</v>
      </c>
      <c r="AA2100">
        <v>0.98069200000000001</v>
      </c>
      <c r="AB2100">
        <v>42</v>
      </c>
      <c r="AC2100">
        <v>2.3305000000000202</v>
      </c>
      <c r="AD2100">
        <v>-1.1269646901779999</v>
      </c>
      <c r="AE2100">
        <v>-19.764399999999998</v>
      </c>
      <c r="AF2100">
        <v>-3.7689508629729001</v>
      </c>
      <c r="AG2100">
        <v>-1.1269646901779999</v>
      </c>
      <c r="AH2100">
        <v>19.4763911980878</v>
      </c>
      <c r="AI2100">
        <v>93.251433095867</v>
      </c>
      <c r="AJ2100">
        <v>100.952153603483</v>
      </c>
      <c r="AK2100">
        <v>19.869696880460101</v>
      </c>
      <c r="AL2100">
        <v>79.705957832133095</v>
      </c>
      <c r="AM2100">
        <v>96.985087108520602</v>
      </c>
      <c r="AN2100">
        <v>0.99999996610153397</v>
      </c>
    </row>
    <row r="2101" spans="1:40" x14ac:dyDescent="0.25">
      <c r="A2101" t="str">
        <f>"20190312164512921"</f>
        <v>20190312164512921</v>
      </c>
      <c r="B2101" t="str">
        <f>"1552380312913437"</f>
        <v>1552380312913437</v>
      </c>
      <c r="C2101" t="s">
        <v>40</v>
      </c>
      <c r="D2101">
        <v>5.1714949999999904</v>
      </c>
      <c r="E2101">
        <v>0.47560370000000002</v>
      </c>
      <c r="F2101" t="s">
        <v>42</v>
      </c>
      <c r="G2101">
        <v>-495.99689999999998</v>
      </c>
      <c r="H2101" s="1">
        <v>-4.7031209999999999E-6</v>
      </c>
      <c r="I2101">
        <v>237.68129999999999</v>
      </c>
      <c r="J2101">
        <v>-498.37389999999999</v>
      </c>
      <c r="K2101">
        <v>1.1269530000000001</v>
      </c>
      <c r="L2101">
        <v>257.17739999999998</v>
      </c>
      <c r="M2101">
        <v>-6.5271389999999999E-2</v>
      </c>
      <c r="N2101">
        <v>0</v>
      </c>
      <c r="O2101">
        <v>-0.99770590000000003</v>
      </c>
      <c r="P2101">
        <v>4.2945579999999997E-2</v>
      </c>
      <c r="Q2101">
        <v>0.16569879999999901</v>
      </c>
      <c r="R2101">
        <v>-0.98524120000000004</v>
      </c>
      <c r="S2101">
        <v>0.3666992</v>
      </c>
      <c r="T2101">
        <v>-0.17495520000000001</v>
      </c>
      <c r="U2101">
        <v>-3.05986</v>
      </c>
      <c r="V2101">
        <v>-0.115427</v>
      </c>
      <c r="W2101">
        <v>0.17820820000000001</v>
      </c>
      <c r="X2101">
        <v>0.97719929999999999</v>
      </c>
      <c r="Y2101">
        <v>-0.18336520000000001</v>
      </c>
      <c r="Z2101">
        <v>5.6216910000000002E-2</v>
      </c>
      <c r="AA2101">
        <v>0.98143610000000003</v>
      </c>
      <c r="AB2101">
        <v>42</v>
      </c>
      <c r="AC2101">
        <v>2.3769999999999998</v>
      </c>
      <c r="AD2101">
        <v>-1.1269577031209901</v>
      </c>
      <c r="AE2101">
        <v>-19.496099999999899</v>
      </c>
      <c r="AF2101">
        <v>-3.6327120614257602</v>
      </c>
      <c r="AG2101">
        <v>-1.1269577031209901</v>
      </c>
      <c r="AH2101">
        <v>19.236004508794</v>
      </c>
      <c r="AI2101">
        <v>93.294783047627703</v>
      </c>
      <c r="AJ2101">
        <v>100.694338057659</v>
      </c>
      <c r="AK2101">
        <v>19.6084293110946</v>
      </c>
      <c r="AL2101">
        <v>79.734590251671094</v>
      </c>
      <c r="AM2101">
        <v>96.736575585832696</v>
      </c>
      <c r="AN2101">
        <v>1.00000001339836</v>
      </c>
    </row>
    <row r="2102" spans="1:40" x14ac:dyDescent="0.25">
      <c r="A2102" t="str">
        <f>"20190312164512933"</f>
        <v>20190312164512933</v>
      </c>
      <c r="B2102" t="str">
        <f>"1552380312924172"</f>
        <v>1552380312924172</v>
      </c>
      <c r="C2102" t="s">
        <v>40</v>
      </c>
      <c r="D2102">
        <v>5.2790080000000001</v>
      </c>
      <c r="E2102">
        <v>0.47592329999999999</v>
      </c>
      <c r="F2102" t="s">
        <v>42</v>
      </c>
      <c r="G2102">
        <v>-495.95819999999998</v>
      </c>
      <c r="H2102" s="1">
        <v>-4.682997E-6</v>
      </c>
      <c r="I2102">
        <v>237.64230000000001</v>
      </c>
      <c r="J2102">
        <v>-498.38819999999998</v>
      </c>
      <c r="K2102">
        <v>1.126951</v>
      </c>
      <c r="L2102">
        <v>256.95549999999997</v>
      </c>
      <c r="M2102">
        <v>-5.6509570000000002E-2</v>
      </c>
      <c r="N2102">
        <v>0</v>
      </c>
      <c r="O2102">
        <v>-0.99824020000000002</v>
      </c>
      <c r="P2102">
        <v>4.776213E-2</v>
      </c>
      <c r="Q2102">
        <v>0.16477269999999999</v>
      </c>
      <c r="R2102">
        <v>-0.98517469999999996</v>
      </c>
      <c r="S2102">
        <v>0.3781738</v>
      </c>
      <c r="T2102">
        <v>-0.17641950000000001</v>
      </c>
      <c r="U2102">
        <v>-3.0581209999999999</v>
      </c>
      <c r="V2102">
        <v>-0.11158410000000001</v>
      </c>
      <c r="W2102">
        <v>0.17746770000000001</v>
      </c>
      <c r="X2102">
        <v>0.97778019999999999</v>
      </c>
      <c r="Y2102">
        <v>-0.17842359999999999</v>
      </c>
      <c r="Z2102">
        <v>5.6777170000000002E-2</v>
      </c>
      <c r="AA2102">
        <v>0.98231429999999997</v>
      </c>
      <c r="AB2102">
        <v>42</v>
      </c>
      <c r="AC2102">
        <v>2.4300000000000002</v>
      </c>
      <c r="AD2102">
        <v>-1.126955682997</v>
      </c>
      <c r="AE2102">
        <v>-19.313199999999899</v>
      </c>
      <c r="AF2102">
        <v>-3.5059214632145301</v>
      </c>
      <c r="AG2102">
        <v>-1.126955682997</v>
      </c>
      <c r="AH2102">
        <v>19.081031541645</v>
      </c>
      <c r="AI2102">
        <v>93.324528140436698</v>
      </c>
      <c r="AJ2102">
        <v>100.411319572529</v>
      </c>
      <c r="AK2102">
        <v>19.433148975678598</v>
      </c>
      <c r="AL2102">
        <v>79.777704460434407</v>
      </c>
      <c r="AM2102">
        <v>96.510419056107807</v>
      </c>
      <c r="AN2102">
        <v>0.99999995771406902</v>
      </c>
    </row>
    <row r="2103" spans="1:40" x14ac:dyDescent="0.25">
      <c r="A2103" t="str">
        <f>"20190312164512947"</f>
        <v>20190312164512947</v>
      </c>
      <c r="B2103" t="str">
        <f>"1552380312943694"</f>
        <v>1552380312943694</v>
      </c>
      <c r="C2103" t="s">
        <v>40</v>
      </c>
      <c r="D2103">
        <v>5.2958990000000004</v>
      </c>
      <c r="E2103">
        <v>0.47657100000000002</v>
      </c>
      <c r="F2103" t="s">
        <v>42</v>
      </c>
      <c r="G2103">
        <v>-495.92</v>
      </c>
      <c r="H2103" s="1">
        <v>-4.6854640000000001E-6</v>
      </c>
      <c r="I2103">
        <v>237.6695</v>
      </c>
      <c r="J2103">
        <v>-498.40309999999999</v>
      </c>
      <c r="K2103">
        <v>1.126949</v>
      </c>
      <c r="L2103">
        <v>256.68630000000002</v>
      </c>
      <c r="M2103">
        <v>-4.5854329999999999E-2</v>
      </c>
      <c r="N2103">
        <v>0</v>
      </c>
      <c r="O2103">
        <v>-0.99878639999999996</v>
      </c>
      <c r="P2103">
        <v>5.4021279999999998E-2</v>
      </c>
      <c r="Q2103">
        <v>0.16437099999999999</v>
      </c>
      <c r="R2103">
        <v>-0.98491850000000003</v>
      </c>
      <c r="S2103">
        <v>0.3911133</v>
      </c>
      <c r="T2103">
        <v>-0.1785725</v>
      </c>
      <c r="U2103">
        <v>-3.055984</v>
      </c>
      <c r="V2103">
        <v>-0.10733860000000001</v>
      </c>
      <c r="W2103">
        <v>0.17726739999999999</v>
      </c>
      <c r="X2103">
        <v>0.97829169999999999</v>
      </c>
      <c r="Y2103">
        <v>-0.1720931</v>
      </c>
      <c r="Z2103">
        <v>5.7572810000000002E-2</v>
      </c>
      <c r="AA2103">
        <v>0.98339679999999996</v>
      </c>
      <c r="AB2103">
        <v>42</v>
      </c>
      <c r="AC2103">
        <v>2.4830999999999701</v>
      </c>
      <c r="AD2103">
        <v>-1.1269536854640001</v>
      </c>
      <c r="AE2103">
        <v>-19.0168</v>
      </c>
      <c r="AF2103">
        <v>-3.34109404715494</v>
      </c>
      <c r="AG2103">
        <v>-1.1269536854640001</v>
      </c>
      <c r="AH2103">
        <v>18.8179330700961</v>
      </c>
      <c r="AI2103">
        <v>93.374540606501597</v>
      </c>
      <c r="AJ2103">
        <v>100.067858155286</v>
      </c>
      <c r="AK2103">
        <v>19.145431284558001</v>
      </c>
      <c r="AL2103">
        <v>79.789365909876594</v>
      </c>
      <c r="AM2103">
        <v>96.261472141618398</v>
      </c>
      <c r="AN2103">
        <v>0.999999978220804</v>
      </c>
    </row>
    <row r="2104" spans="1:40" x14ac:dyDescent="0.25">
      <c r="A2104" t="str">
        <f>"20190312164512966"</f>
        <v>20190312164512966</v>
      </c>
      <c r="B2104" t="str">
        <f>"1552380312953452"</f>
        <v>1552380312953452</v>
      </c>
      <c r="C2104" t="s">
        <v>40</v>
      </c>
      <c r="D2104">
        <v>5.2911419999999998</v>
      </c>
      <c r="E2104">
        <v>0.47686299999999998</v>
      </c>
      <c r="F2104" t="s">
        <v>42</v>
      </c>
      <c r="G2104">
        <v>-495.89100000000002</v>
      </c>
      <c r="H2104" s="1">
        <v>-4.7194120000000004E-6</v>
      </c>
      <c r="I2104">
        <v>237.7843</v>
      </c>
      <c r="J2104">
        <v>-498.41640000000001</v>
      </c>
      <c r="K2104">
        <v>1.1269469999999999</v>
      </c>
      <c r="L2104">
        <v>256.36270000000002</v>
      </c>
      <c r="M2104">
        <v>-3.3002579999999997E-2</v>
      </c>
      <c r="N2104">
        <v>0</v>
      </c>
      <c r="O2104">
        <v>-0.99929380000000001</v>
      </c>
      <c r="P2104">
        <v>5.7952259999999998E-2</v>
      </c>
      <c r="Q2104">
        <v>0.16416259999999999</v>
      </c>
      <c r="R2104">
        <v>-0.98472969999999904</v>
      </c>
      <c r="S2104">
        <v>0.40588380000000002</v>
      </c>
      <c r="T2104">
        <v>-0.18208550000000001</v>
      </c>
      <c r="U2104">
        <v>-3.0540620000000001</v>
      </c>
      <c r="V2104">
        <v>-9.8629910000000001E-2</v>
      </c>
      <c r="W2104">
        <v>0.17746819999999999</v>
      </c>
      <c r="X2104">
        <v>0.97917169999999998</v>
      </c>
      <c r="Y2104">
        <v>-0.16416129999999901</v>
      </c>
      <c r="Z2104">
        <v>5.8805009999999998E-2</v>
      </c>
      <c r="AA2104">
        <v>0.98467919999999998</v>
      </c>
      <c r="AB2104">
        <v>42</v>
      </c>
      <c r="AC2104">
        <v>2.5254000000000398</v>
      </c>
      <c r="AD2104">
        <v>-1.126951719412</v>
      </c>
      <c r="AE2104">
        <v>-18.578399999999998</v>
      </c>
      <c r="AF2104">
        <v>-3.1259645317040698</v>
      </c>
      <c r="AG2104">
        <v>-1.126951719412</v>
      </c>
      <c r="AH2104">
        <v>18.418376585515301</v>
      </c>
      <c r="AI2104">
        <v>93.452106093800097</v>
      </c>
      <c r="AJ2104">
        <v>99.632445308850905</v>
      </c>
      <c r="AK2104">
        <v>18.715722547559199</v>
      </c>
      <c r="AL2104">
        <v>79.777675990085896</v>
      </c>
      <c r="AM2104">
        <v>95.751882879095703</v>
      </c>
      <c r="AN2104">
        <v>1.0000000196193599</v>
      </c>
    </row>
    <row r="2105" spans="1:40" x14ac:dyDescent="0.25">
      <c r="A2105" t="str">
        <f>"20190312164512980"</f>
        <v>20190312164512980</v>
      </c>
      <c r="B2105" t="str">
        <f>"1552380312973948"</f>
        <v>1552380312973948</v>
      </c>
      <c r="C2105" t="s">
        <v>40</v>
      </c>
      <c r="D2105">
        <v>5.3505900000000004</v>
      </c>
      <c r="E2105">
        <v>0.47744540000000002</v>
      </c>
      <c r="F2105" t="s">
        <v>42</v>
      </c>
      <c r="G2105">
        <v>-495.83319999999998</v>
      </c>
      <c r="H2105" s="1">
        <v>-4.592972E-6</v>
      </c>
      <c r="I2105">
        <v>237.44290000000001</v>
      </c>
      <c r="J2105">
        <v>-498.42439999999999</v>
      </c>
      <c r="K2105">
        <v>1.126952</v>
      </c>
      <c r="L2105">
        <v>256.08539999999999</v>
      </c>
      <c r="M2105">
        <v>-2.1955820000000001E-2</v>
      </c>
      <c r="N2105">
        <v>0</v>
      </c>
      <c r="O2105">
        <v>-0.99959759999999998</v>
      </c>
      <c r="P2105">
        <v>6.3700209999999993E-2</v>
      </c>
      <c r="Q2105">
        <v>0.1640576</v>
      </c>
      <c r="R2105">
        <v>-0.98439200000000004</v>
      </c>
      <c r="S2105">
        <v>0.41674800000000001</v>
      </c>
      <c r="T2105">
        <v>-0.18180950000000001</v>
      </c>
      <c r="U2105">
        <v>-3.0523069999999999</v>
      </c>
      <c r="V2105">
        <v>-9.3509040000000002E-2</v>
      </c>
      <c r="W2105">
        <v>0.17760100000000001</v>
      </c>
      <c r="X2105">
        <v>0.97964989999999996</v>
      </c>
      <c r="Y2105">
        <v>-0.15677079999999999</v>
      </c>
      <c r="Z2105">
        <v>5.8798250000000003E-2</v>
      </c>
      <c r="AA2105">
        <v>0.98588319999999996</v>
      </c>
      <c r="AB2105">
        <v>42</v>
      </c>
      <c r="AC2105">
        <v>2.5912000000000099</v>
      </c>
      <c r="AD2105">
        <v>-1.126956592972</v>
      </c>
      <c r="AE2105">
        <v>-18.642499999999899</v>
      </c>
      <c r="AF2105">
        <v>-2.9892360023648799</v>
      </c>
      <c r="AG2105">
        <v>-1.126956592972</v>
      </c>
      <c r="AH2105">
        <v>18.514727215901601</v>
      </c>
      <c r="AI2105">
        <v>93.438767460471297</v>
      </c>
      <c r="AJ2105">
        <v>99.171364107848603</v>
      </c>
      <c r="AK2105">
        <v>18.788312508565699</v>
      </c>
      <c r="AL2105">
        <v>79.769943995030005</v>
      </c>
      <c r="AM2105">
        <v>95.452448351199905</v>
      </c>
      <c r="AN2105">
        <v>0.99999999116636495</v>
      </c>
    </row>
    <row r="2106" spans="1:40" x14ac:dyDescent="0.25">
      <c r="A2106" t="str">
        <f>"20190312164512999"</f>
        <v>20190312164512999</v>
      </c>
      <c r="B2106" t="str">
        <f>"1552380312993468"</f>
        <v>1552380312993468</v>
      </c>
      <c r="C2106" t="s">
        <v>40</v>
      </c>
      <c r="D2106">
        <v>5.4143720000000002</v>
      </c>
      <c r="E2106">
        <v>0.4775819</v>
      </c>
      <c r="F2106" t="s">
        <v>42</v>
      </c>
      <c r="G2106">
        <v>-495.72930000000002</v>
      </c>
      <c r="H2106" s="1">
        <v>-4.426228E-6</v>
      </c>
      <c r="I2106">
        <v>237.00710000000001</v>
      </c>
      <c r="J2106">
        <v>-498.43020000000001</v>
      </c>
      <c r="K2106">
        <v>1.1269530000000001</v>
      </c>
      <c r="L2106">
        <v>255.73910000000001</v>
      </c>
      <c r="M2106">
        <v>-8.1281240000000005E-3</v>
      </c>
      <c r="N2106">
        <v>0</v>
      </c>
      <c r="O2106">
        <v>-0.99980570000000002</v>
      </c>
      <c r="P2106">
        <v>6.690778E-2</v>
      </c>
      <c r="Q2106">
        <v>0.16369159999999999</v>
      </c>
      <c r="R2106">
        <v>-0.9842398</v>
      </c>
      <c r="S2106">
        <v>0.4308167</v>
      </c>
      <c r="T2106">
        <v>-0.1801469</v>
      </c>
      <c r="U2106">
        <v>-3.0497130000000001</v>
      </c>
      <c r="V2106">
        <v>-8.3110329999999996E-2</v>
      </c>
      <c r="W2106">
        <v>0.17771779999999901</v>
      </c>
      <c r="X2106">
        <v>0.98056569999999998</v>
      </c>
      <c r="Y2106">
        <v>-0.14768239999999999</v>
      </c>
      <c r="Z2106">
        <v>5.8352420000000002E-2</v>
      </c>
      <c r="AA2106">
        <v>0.98731199999999997</v>
      </c>
      <c r="AB2106">
        <v>42</v>
      </c>
      <c r="AC2106">
        <v>2.7008999999999901</v>
      </c>
      <c r="AD2106">
        <v>-1.126957426228</v>
      </c>
      <c r="AE2106">
        <v>-18.731999999999999</v>
      </c>
      <c r="AF2106">
        <v>-2.8430106671138802</v>
      </c>
      <c r="AG2106">
        <v>-1.126957426228</v>
      </c>
      <c r="AH2106">
        <v>18.6433193186942</v>
      </c>
      <c r="AI2106">
        <v>93.419785619028602</v>
      </c>
      <c r="AJ2106">
        <v>98.670514540415297</v>
      </c>
      <c r="AK2106">
        <v>18.892487869855799</v>
      </c>
      <c r="AL2106">
        <v>79.763143943156905</v>
      </c>
      <c r="AM2106">
        <v>94.844669972211506</v>
      </c>
      <c r="AN2106">
        <v>1.0000000177030099</v>
      </c>
    </row>
    <row r="2107" spans="1:40" x14ac:dyDescent="0.25">
      <c r="A2107" t="str">
        <f>"20190312164513021"</f>
        <v>20190312164513021</v>
      </c>
      <c r="B2107" t="str">
        <f>"1552380313013497"</f>
        <v>1552380313013497</v>
      </c>
      <c r="C2107" t="s">
        <v>40</v>
      </c>
      <c r="D2107">
        <v>5.3403729999999996</v>
      </c>
      <c r="E2107">
        <v>0.49126700000000001</v>
      </c>
      <c r="F2107" t="s">
        <v>42</v>
      </c>
      <c r="G2107">
        <v>-495.70549999999997</v>
      </c>
      <c r="H2107" s="1">
        <v>-4.4078639999999996E-6</v>
      </c>
      <c r="I2107">
        <v>236.96549999999999</v>
      </c>
      <c r="J2107">
        <v>-498.43099999999998</v>
      </c>
      <c r="K2107">
        <v>1.1269549999999999</v>
      </c>
      <c r="L2107">
        <v>255.33860000000001</v>
      </c>
      <c r="M2107">
        <v>7.9133450000000004E-3</v>
      </c>
      <c r="N2107">
        <v>0</v>
      </c>
      <c r="O2107">
        <v>-0.99980769999999997</v>
      </c>
      <c r="P2107">
        <v>7.3141460000000005E-2</v>
      </c>
      <c r="Q2107">
        <v>0.1641417</v>
      </c>
      <c r="R2107">
        <v>-0.98372150000000003</v>
      </c>
      <c r="S2107">
        <v>0.4424438</v>
      </c>
      <c r="T2107">
        <v>-0.1829933</v>
      </c>
      <c r="U2107">
        <v>-3.048416</v>
      </c>
      <c r="V2107">
        <v>-7.358845E-2</v>
      </c>
      <c r="W2107">
        <v>0.17860139999999999</v>
      </c>
      <c r="X2107">
        <v>0.98116579999999998</v>
      </c>
      <c r="Y2107">
        <v>-0.13554389999999999</v>
      </c>
      <c r="Z2107">
        <v>5.933211E-2</v>
      </c>
      <c r="AA2107">
        <v>0.98899320000000002</v>
      </c>
      <c r="AB2107">
        <v>42</v>
      </c>
      <c r="AC2107">
        <v>2.72550000000001</v>
      </c>
      <c r="AD2107">
        <v>-1.126959407864</v>
      </c>
      <c r="AE2107">
        <v>-18.373100000000001</v>
      </c>
      <c r="AF2107">
        <v>-2.5705356913551598</v>
      </c>
      <c r="AG2107">
        <v>-1.126959407864</v>
      </c>
      <c r="AH2107">
        <v>18.326630422856201</v>
      </c>
      <c r="AI2107">
        <v>93.484831021340696</v>
      </c>
      <c r="AJ2107">
        <v>97.984350740926004</v>
      </c>
      <c r="AK2107">
        <v>18.540309433865001</v>
      </c>
      <c r="AL2107">
        <v>79.711694340392</v>
      </c>
      <c r="AM2107">
        <v>94.289212268825295</v>
      </c>
      <c r="AN2107">
        <v>1.0000000235725</v>
      </c>
    </row>
    <row r="2108" spans="1:40" x14ac:dyDescent="0.25">
      <c r="A2108" t="str">
        <f>"20190312164513033"</f>
        <v>20190312164513033</v>
      </c>
      <c r="B2108" t="str">
        <f>"1552380313023256"</f>
        <v>1552380313023256</v>
      </c>
      <c r="C2108" t="s">
        <v>40</v>
      </c>
      <c r="D2108">
        <v>5.5091659999999996</v>
      </c>
      <c r="E2108">
        <v>0.49009849999999999</v>
      </c>
      <c r="F2108" t="s">
        <v>42</v>
      </c>
      <c r="G2108">
        <v>-496.7706</v>
      </c>
      <c r="H2108" s="1">
        <v>-2.493686E-6</v>
      </c>
      <c r="I2108">
        <v>241.20269999999999</v>
      </c>
      <c r="J2108">
        <v>-498.42849999999999</v>
      </c>
      <c r="K2108">
        <v>1.1269579999999999</v>
      </c>
      <c r="L2108">
        <v>255.1035</v>
      </c>
      <c r="M2108">
        <v>1.735358E-2</v>
      </c>
      <c r="N2108">
        <v>0</v>
      </c>
      <c r="O2108">
        <v>-0.99968880000000004</v>
      </c>
      <c r="P2108">
        <v>7.8549250000000001E-2</v>
      </c>
      <c r="Q2108">
        <v>0.16537789999999999</v>
      </c>
      <c r="R2108">
        <v>-0.98309760000000002</v>
      </c>
      <c r="S2108">
        <v>0.3598633</v>
      </c>
      <c r="T2108">
        <v>-0.24424080000000001</v>
      </c>
      <c r="U2108">
        <v>-3.0636290000000002</v>
      </c>
      <c r="V2108">
        <v>-6.9770780000000004E-2</v>
      </c>
      <c r="W2108">
        <v>0.18000350000000001</v>
      </c>
      <c r="X2108">
        <v>0.98118839999999996</v>
      </c>
      <c r="Y2108">
        <v>-9.9041160000000003E-2</v>
      </c>
      <c r="Z2108">
        <v>7.8987570000000007E-2</v>
      </c>
      <c r="AA2108">
        <v>0.99194349999999998</v>
      </c>
      <c r="AB2108">
        <v>42</v>
      </c>
      <c r="AC2108">
        <v>1.6578999999999799</v>
      </c>
      <c r="AD2108">
        <v>-1.1269604936859901</v>
      </c>
      <c r="AE2108">
        <v>-13.9008</v>
      </c>
      <c r="AF2108">
        <v>-1.4072632071296201</v>
      </c>
      <c r="AG2108">
        <v>-1.1269604936859901</v>
      </c>
      <c r="AH2108">
        <v>13.837806292318399</v>
      </c>
      <c r="AI2108">
        <v>94.632145263753998</v>
      </c>
      <c r="AJ2108">
        <v>95.806844394854195</v>
      </c>
      <c r="AK2108">
        <v>13.954759498902099</v>
      </c>
      <c r="AL2108">
        <v>79.630035794956001</v>
      </c>
      <c r="AM2108">
        <v>94.067367498261703</v>
      </c>
      <c r="AN2108">
        <v>0.999999949024307</v>
      </c>
    </row>
    <row r="2109" spans="1:40" x14ac:dyDescent="0.25">
      <c r="A2109" t="str">
        <f>"20190312164513045"</f>
        <v>20190312164513045</v>
      </c>
      <c r="B2109" t="str">
        <f>"1552380313033992"</f>
        <v>1552380313033992</v>
      </c>
      <c r="C2109" t="s">
        <v>40</v>
      </c>
      <c r="D2109">
        <v>5.4657910000000003</v>
      </c>
      <c r="E2109">
        <v>0.49030560000000001</v>
      </c>
      <c r="F2109" t="s">
        <v>42</v>
      </c>
      <c r="G2109">
        <v>-496.42809999999997</v>
      </c>
      <c r="H2109" s="1">
        <v>-5.2822159999999996E-6</v>
      </c>
      <c r="I2109">
        <v>239.15819999999999</v>
      </c>
      <c r="J2109">
        <v>-498.42430000000002</v>
      </c>
      <c r="K2109">
        <v>1.126959</v>
      </c>
      <c r="L2109">
        <v>254.88669999999999</v>
      </c>
      <c r="M2109">
        <v>2.6075419999999998E-2</v>
      </c>
      <c r="N2109">
        <v>0</v>
      </c>
      <c r="O2109">
        <v>-0.99949929999999998</v>
      </c>
      <c r="P2109">
        <v>8.3130330000000002E-2</v>
      </c>
      <c r="Q2109">
        <v>0.16665769999999999</v>
      </c>
      <c r="R2109">
        <v>-0.9825045</v>
      </c>
      <c r="S2109">
        <v>0.38354490000000002</v>
      </c>
      <c r="T2109">
        <v>-0.21607580000000001</v>
      </c>
      <c r="U2109">
        <v>-3.0572509999999999</v>
      </c>
      <c r="V2109">
        <v>-6.5837759999999995E-2</v>
      </c>
      <c r="W2109">
        <v>0.18145410000000001</v>
      </c>
      <c r="X2109">
        <v>0.98119310000000004</v>
      </c>
      <c r="Y2109">
        <v>-9.8253869999999993E-2</v>
      </c>
      <c r="Z2109">
        <v>7.0021230000000004E-2</v>
      </c>
      <c r="AA2109">
        <v>0.99269490000000005</v>
      </c>
      <c r="AB2109">
        <v>42</v>
      </c>
      <c r="AC2109">
        <v>1.9962000000000399</v>
      </c>
      <c r="AD2109">
        <v>-1.126964282216</v>
      </c>
      <c r="AE2109">
        <v>-15.728499999999899</v>
      </c>
      <c r="AF2109">
        <v>-1.57735830458185</v>
      </c>
      <c r="AG2109">
        <v>-1.126964282216</v>
      </c>
      <c r="AH2109">
        <v>15.6959068662514</v>
      </c>
      <c r="AI2109">
        <v>94.086270840317397</v>
      </c>
      <c r="AJ2109">
        <v>95.738665656774202</v>
      </c>
      <c r="AK2109">
        <v>15.815169934858799</v>
      </c>
      <c r="AL2109">
        <v>79.545532051473302</v>
      </c>
      <c r="AM2109">
        <v>93.838775167949393</v>
      </c>
      <c r="AN2109">
        <v>1.0000000502681099</v>
      </c>
    </row>
    <row r="2110" spans="1:40" x14ac:dyDescent="0.25">
      <c r="A2110" t="str">
        <f>"20190312164513064"</f>
        <v>20190312164513064</v>
      </c>
      <c r="B2110" t="str">
        <f>"1552380313053515"</f>
        <v>1552380313053515</v>
      </c>
      <c r="C2110" t="s">
        <v>40</v>
      </c>
      <c r="D2110">
        <v>5.3453290000000004</v>
      </c>
      <c r="E2110">
        <v>0.49024410000000002</v>
      </c>
      <c r="F2110" t="s">
        <v>42</v>
      </c>
      <c r="G2110">
        <v>-496.21080000000001</v>
      </c>
      <c r="H2110" s="1">
        <v>-4.7762649999999996E-6</v>
      </c>
      <c r="I2110">
        <v>237.78469999999999</v>
      </c>
      <c r="J2110">
        <v>-498.41329999999999</v>
      </c>
      <c r="K2110">
        <v>1.1269629999999999</v>
      </c>
      <c r="L2110">
        <v>254.54490000000001</v>
      </c>
      <c r="M2110">
        <v>3.9855990000000001E-2</v>
      </c>
      <c r="N2110">
        <v>0</v>
      </c>
      <c r="O2110">
        <v>-0.99904510000000002</v>
      </c>
      <c r="P2110">
        <v>8.7035070000000006E-2</v>
      </c>
      <c r="Q2110">
        <v>0.16962339999999901</v>
      </c>
      <c r="R2110">
        <v>-0.98165820000000004</v>
      </c>
      <c r="S2110">
        <v>0.39529419999999998</v>
      </c>
      <c r="T2110">
        <v>-0.20125770000000001</v>
      </c>
      <c r="U2110">
        <v>-3.0541529999999999</v>
      </c>
      <c r="V2110">
        <v>-5.6338399999999997E-2</v>
      </c>
      <c r="W2110">
        <v>0.18483669999999999</v>
      </c>
      <c r="X2110">
        <v>0.9811531</v>
      </c>
      <c r="Y2110">
        <v>-8.8449310000000003E-2</v>
      </c>
      <c r="Z2110">
        <v>6.527579E-2</v>
      </c>
      <c r="AA2110">
        <v>0.99393949999999998</v>
      </c>
      <c r="AB2110">
        <v>42</v>
      </c>
      <c r="AC2110">
        <v>2.2024999999999801</v>
      </c>
      <c r="AD2110">
        <v>-1.1269677762650001</v>
      </c>
      <c r="AE2110">
        <v>-16.760200000000001</v>
      </c>
      <c r="AF2110">
        <v>-1.52586620745085</v>
      </c>
      <c r="AG2110">
        <v>-1.1269677762650001</v>
      </c>
      <c r="AH2110">
        <v>16.760183906824601</v>
      </c>
      <c r="AI2110">
        <v>93.8310256207441</v>
      </c>
      <c r="AJ2110">
        <v>95.201932516217695</v>
      </c>
      <c r="AK2110">
        <v>16.867189707902199</v>
      </c>
      <c r="AL2110">
        <v>79.348388339773805</v>
      </c>
      <c r="AM2110">
        <v>93.286349389876406</v>
      </c>
      <c r="AN2110">
        <v>1.00000001331053</v>
      </c>
    </row>
    <row r="2111" spans="1:40" x14ac:dyDescent="0.25">
      <c r="A2111" t="str">
        <f>"20190312164513087"</f>
        <v>20190312164513087</v>
      </c>
      <c r="B2111" t="str">
        <f>"1552380313083768"</f>
        <v>1552380313083768</v>
      </c>
      <c r="C2111" t="s">
        <v>40</v>
      </c>
      <c r="D2111">
        <v>5.3478599999999998</v>
      </c>
      <c r="E2111">
        <v>0.49053000000000002</v>
      </c>
      <c r="F2111" t="s">
        <v>42</v>
      </c>
      <c r="G2111">
        <v>-495.77629999999999</v>
      </c>
      <c r="H2111" s="1">
        <v>-3.674149E-6</v>
      </c>
      <c r="I2111">
        <v>234.77250000000001</v>
      </c>
      <c r="J2111">
        <v>-498.39400000000001</v>
      </c>
      <c r="K2111">
        <v>1.126968</v>
      </c>
      <c r="L2111">
        <v>254.1337</v>
      </c>
      <c r="M2111">
        <v>5.6464680000000003E-2</v>
      </c>
      <c r="N2111">
        <v>0</v>
      </c>
      <c r="O2111">
        <v>-0.99824480000000004</v>
      </c>
      <c r="P2111">
        <v>9.1215450000000003E-2</v>
      </c>
      <c r="Q2111">
        <v>0.16944089999999901</v>
      </c>
      <c r="R2111">
        <v>-0.98131020000000002</v>
      </c>
      <c r="S2111">
        <v>0.40676879999999999</v>
      </c>
      <c r="T2111">
        <v>-0.173843</v>
      </c>
      <c r="U2111">
        <v>-3.0500340000000001</v>
      </c>
      <c r="V2111">
        <v>-4.4157910000000002E-2</v>
      </c>
      <c r="W2111">
        <v>0.18519060000000001</v>
      </c>
      <c r="X2111">
        <v>0.98170999999999997</v>
      </c>
      <c r="Y2111">
        <v>-7.5794970000000003E-2</v>
      </c>
      <c r="Z2111">
        <v>5.6438040000000002E-2</v>
      </c>
      <c r="AA2111">
        <v>0.99552490000000005</v>
      </c>
      <c r="AB2111">
        <v>42</v>
      </c>
      <c r="AC2111">
        <v>2.6177000000000099</v>
      </c>
      <c r="AD2111">
        <v>-1.1269716741489999</v>
      </c>
      <c r="AE2111">
        <v>-19.3612</v>
      </c>
      <c r="AF2111">
        <v>-1.5150828128822</v>
      </c>
      <c r="AG2111">
        <v>-1.1269716741489999</v>
      </c>
      <c r="AH2111">
        <v>19.4135373956222</v>
      </c>
      <c r="AI2111">
        <v>93.312288933088297</v>
      </c>
      <c r="AJ2111">
        <v>94.462466146101406</v>
      </c>
      <c r="AK2111">
        <v>19.505152531970801</v>
      </c>
      <c r="AL2111">
        <v>79.327755026056195</v>
      </c>
      <c r="AM2111">
        <v>92.575462838857504</v>
      </c>
      <c r="AN2111">
        <v>1.0000000017219599</v>
      </c>
    </row>
    <row r="2112" spans="1:40" x14ac:dyDescent="0.25">
      <c r="A2112" t="str">
        <f>"20190312164513099"</f>
        <v>20190312164513099</v>
      </c>
      <c r="B2112" t="str">
        <f>"1552380313093529"</f>
        <v>1552380313093529</v>
      </c>
      <c r="C2112" t="s">
        <v>40</v>
      </c>
      <c r="D2112">
        <v>5.7283980000000003</v>
      </c>
      <c r="E2112">
        <v>0.49065039999999999</v>
      </c>
      <c r="F2112" t="s">
        <v>42</v>
      </c>
      <c r="G2112">
        <v>-495.59960000000001</v>
      </c>
      <c r="H2112" s="1">
        <v>-3.356486E-6</v>
      </c>
      <c r="I2112">
        <v>233.9401</v>
      </c>
      <c r="J2112">
        <v>-498.37950000000001</v>
      </c>
      <c r="K2112">
        <v>1.126959</v>
      </c>
      <c r="L2112">
        <v>253.9007</v>
      </c>
      <c r="M2112">
        <v>6.5888939999999993E-2</v>
      </c>
      <c r="N2112">
        <v>0</v>
      </c>
      <c r="O2112">
        <v>-0.99766730000000003</v>
      </c>
      <c r="P2112">
        <v>9.4471509999999995E-2</v>
      </c>
      <c r="Q2112">
        <v>0.168213</v>
      </c>
      <c r="R2112">
        <v>-0.98121329999999995</v>
      </c>
      <c r="S2112">
        <v>0.42169190000000001</v>
      </c>
      <c r="T2112">
        <v>-0.17006459999999901</v>
      </c>
      <c r="U2112">
        <v>-3.0472869999999999</v>
      </c>
      <c r="V2112">
        <v>-3.8058479999999999E-2</v>
      </c>
      <c r="W2112">
        <v>0.18422659999999999</v>
      </c>
      <c r="X2112">
        <v>0.98214670000000004</v>
      </c>
      <c r="Y2112">
        <v>-7.1291720000000003E-2</v>
      </c>
      <c r="Z2112">
        <v>5.5207560000000003E-2</v>
      </c>
      <c r="AA2112">
        <v>0.99592650000000005</v>
      </c>
      <c r="AB2112">
        <v>42</v>
      </c>
      <c r="AC2112">
        <v>2.7798999999999898</v>
      </c>
      <c r="AD2112">
        <v>-1.1269623564860001</v>
      </c>
      <c r="AE2112">
        <v>-19.960599999999999</v>
      </c>
      <c r="AF2112">
        <v>-1.45391849589723</v>
      </c>
      <c r="AG2112">
        <v>-1.1269623564860001</v>
      </c>
      <c r="AH2112">
        <v>20.037746727053001</v>
      </c>
      <c r="AI2112">
        <v>93.210613474286106</v>
      </c>
      <c r="AJ2112">
        <v>94.150050537833195</v>
      </c>
      <c r="AK2112">
        <v>20.1220082755965</v>
      </c>
      <c r="AL2112">
        <v>79.383955311043806</v>
      </c>
      <c r="AM2112">
        <v>92.219118399691297</v>
      </c>
      <c r="AN2112">
        <v>1.0000000141841801</v>
      </c>
    </row>
    <row r="2113" spans="1:40" x14ac:dyDescent="0.25">
      <c r="A2113" t="str">
        <f>"20190312164513112"</f>
        <v>20190312164513112</v>
      </c>
      <c r="B2113" t="str">
        <f>"1552380313103797"</f>
        <v>1552380313103797</v>
      </c>
      <c r="C2113" t="s">
        <v>40</v>
      </c>
      <c r="D2113">
        <v>5.4848860000000004</v>
      </c>
      <c r="E2113">
        <v>0.49079739999999999</v>
      </c>
      <c r="F2113" t="s">
        <v>42</v>
      </c>
      <c r="G2113">
        <v>-495.51850000000002</v>
      </c>
      <c r="H2113" s="1">
        <v>-3.2786350000000002E-6</v>
      </c>
      <c r="I2113">
        <v>233.809</v>
      </c>
      <c r="J2113">
        <v>-498.36290000000002</v>
      </c>
      <c r="K2113">
        <v>1.126951</v>
      </c>
      <c r="L2113">
        <v>253.6628</v>
      </c>
      <c r="M2113">
        <v>7.5516979999999997E-2</v>
      </c>
      <c r="N2113">
        <v>0</v>
      </c>
      <c r="O2113">
        <v>-0.99698540000000002</v>
      </c>
      <c r="P2113">
        <v>9.7993250000000004E-2</v>
      </c>
      <c r="Q2113">
        <v>0.16760069999999999</v>
      </c>
      <c r="R2113">
        <v>-0.98097310000000004</v>
      </c>
      <c r="S2113">
        <v>0.43359379999999997</v>
      </c>
      <c r="T2113">
        <v>-0.17079510000000001</v>
      </c>
      <c r="U2113">
        <v>-3.0449679999999999</v>
      </c>
      <c r="V2113">
        <v>-3.2050450000000001E-2</v>
      </c>
      <c r="W2113">
        <v>0.18386949999999999</v>
      </c>
      <c r="X2113">
        <v>0.98242799999999997</v>
      </c>
      <c r="Y2113">
        <v>-6.558021E-2</v>
      </c>
      <c r="Z2113">
        <v>5.542478E-2</v>
      </c>
      <c r="AA2113">
        <v>0.99630680000000005</v>
      </c>
      <c r="AB2113">
        <v>41</v>
      </c>
      <c r="AC2113">
        <v>2.8443999999999998</v>
      </c>
      <c r="AD2113">
        <v>-1.126954278635</v>
      </c>
      <c r="AE2113">
        <v>-19.8537999999999</v>
      </c>
      <c r="AF2113">
        <v>-1.33253128177181</v>
      </c>
      <c r="AG2113">
        <v>-1.126954278635</v>
      </c>
      <c r="AH2113">
        <v>19.9489416514186</v>
      </c>
      <c r="AI2113">
        <v>93.226138708856794</v>
      </c>
      <c r="AJ2113">
        <v>93.821514499614494</v>
      </c>
      <c r="AK2113">
        <v>20.0251326730871</v>
      </c>
      <c r="AL2113">
        <v>79.404771072489297</v>
      </c>
      <c r="AM2113">
        <v>91.868538407265504</v>
      </c>
      <c r="AN2113">
        <v>0.99999999977972598</v>
      </c>
    </row>
    <row r="2114" spans="1:40" x14ac:dyDescent="0.25">
      <c r="A2114" t="str">
        <f>"20190312164513134"</f>
        <v>20190312164513134</v>
      </c>
      <c r="B2114" t="str">
        <f>"1552380313123319"</f>
        <v>1552380313123319</v>
      </c>
      <c r="C2114" t="s">
        <v>40</v>
      </c>
      <c r="D2114">
        <v>5.3995319999999998</v>
      </c>
      <c r="E2114">
        <v>0.49102590000000002</v>
      </c>
      <c r="F2114" t="s">
        <v>42</v>
      </c>
      <c r="G2114">
        <v>-495.4221</v>
      </c>
      <c r="H2114" s="1">
        <v>-3.1502649999999998E-6</v>
      </c>
      <c r="I2114">
        <v>233.56950000000001</v>
      </c>
      <c r="J2114">
        <v>-498.33100000000002</v>
      </c>
      <c r="K2114">
        <v>1.126932</v>
      </c>
      <c r="L2114">
        <v>253.28110000000001</v>
      </c>
      <c r="M2114">
        <v>9.0963150000000007E-2</v>
      </c>
      <c r="N2114">
        <v>0</v>
      </c>
      <c r="O2114">
        <v>-0.99569560000000001</v>
      </c>
      <c r="P2114">
        <v>0.10287640000000001</v>
      </c>
      <c r="Q2114">
        <v>0.16883319999999999</v>
      </c>
      <c r="R2114">
        <v>-0.98026120000000005</v>
      </c>
      <c r="S2114">
        <v>0.44534299999999999</v>
      </c>
      <c r="T2114">
        <v>-0.17066190000000001</v>
      </c>
      <c r="U2114">
        <v>-3.0428470000000001</v>
      </c>
      <c r="V2114">
        <v>-2.175417E-2</v>
      </c>
      <c r="W2114">
        <v>0.18552750000000001</v>
      </c>
      <c r="X2114">
        <v>0.98239829999999995</v>
      </c>
      <c r="Y2114">
        <v>-5.397296E-2</v>
      </c>
      <c r="Z2114">
        <v>5.5316610000000002E-2</v>
      </c>
      <c r="AA2114">
        <v>0.99700900000000003</v>
      </c>
      <c r="AB2114">
        <v>41</v>
      </c>
      <c r="AC2114">
        <v>2.9088999999999601</v>
      </c>
      <c r="AD2114">
        <v>-1.126935150265</v>
      </c>
      <c r="AE2114">
        <v>-19.711600000000001</v>
      </c>
      <c r="AF2114">
        <v>-1.1000052790949899</v>
      </c>
      <c r="AG2114">
        <v>-1.126935150265</v>
      </c>
      <c r="AH2114">
        <v>19.831062308270099</v>
      </c>
      <c r="AI2114">
        <v>93.247454573200997</v>
      </c>
      <c r="AJ2114">
        <v>93.174874807819606</v>
      </c>
      <c r="AK2114">
        <v>19.8934920695546</v>
      </c>
      <c r="AL2114">
        <v>79.308112289804498</v>
      </c>
      <c r="AM2114">
        <v>91.268547042802197</v>
      </c>
      <c r="AN2114">
        <v>1.00000005850576</v>
      </c>
    </row>
    <row r="2115" spans="1:40" x14ac:dyDescent="0.25">
      <c r="A2115" t="str">
        <f>"20190312164513162"</f>
        <v>20190312164513162</v>
      </c>
      <c r="B2115" t="str">
        <f>"1552380313153573"</f>
        <v>1552380313153573</v>
      </c>
      <c r="C2115" t="s">
        <v>40</v>
      </c>
      <c r="D2115">
        <v>5.4072170000000002</v>
      </c>
      <c r="E2115">
        <v>0.49123</v>
      </c>
      <c r="F2115" t="s">
        <v>42</v>
      </c>
      <c r="G2115">
        <v>-495.19869999999997</v>
      </c>
      <c r="H2115" s="1">
        <v>-2.6246409999999999E-6</v>
      </c>
      <c r="I2115">
        <v>232.4828</v>
      </c>
      <c r="J2115">
        <v>-498.27910000000003</v>
      </c>
      <c r="K2115">
        <v>1.126895</v>
      </c>
      <c r="L2115">
        <v>252.7748</v>
      </c>
      <c r="M2115">
        <v>0.1114444</v>
      </c>
      <c r="N2115">
        <v>0</v>
      </c>
      <c r="O2115">
        <v>-0.99361319999999997</v>
      </c>
      <c r="P2115">
        <v>0.1182063</v>
      </c>
      <c r="Q2115">
        <v>0.1703694</v>
      </c>
      <c r="R2115">
        <v>-0.97826489999999999</v>
      </c>
      <c r="S2115">
        <v>0.45794679999999999</v>
      </c>
      <c r="T2115">
        <v>-0.16475879999999901</v>
      </c>
      <c r="U2115">
        <v>-3.0407259999999998</v>
      </c>
      <c r="V2115">
        <v>-1.6972190000000002E-2</v>
      </c>
      <c r="W2115">
        <v>0.1872037</v>
      </c>
      <c r="X2115">
        <v>0.98217449999999995</v>
      </c>
      <c r="Y2115">
        <v>-3.7565260000000003E-2</v>
      </c>
      <c r="Z2115">
        <v>5.3282280000000001E-2</v>
      </c>
      <c r="AA2115">
        <v>0.99787269999999995</v>
      </c>
      <c r="AB2115">
        <v>41</v>
      </c>
      <c r="AC2115">
        <v>3.0804000000000502</v>
      </c>
      <c r="AD2115">
        <v>-1.1268976246410001</v>
      </c>
      <c r="AE2115">
        <v>-20.292000000000002</v>
      </c>
      <c r="AF2115">
        <v>-0.79701877206171801</v>
      </c>
      <c r="AG2115">
        <v>-1.1268976246410001</v>
      </c>
      <c r="AH2115">
        <v>20.4472621959858</v>
      </c>
      <c r="AI2115">
        <v>93.152127591733901</v>
      </c>
      <c r="AJ2115">
        <v>92.232215957773093</v>
      </c>
      <c r="AK2115">
        <v>20.4937958536438</v>
      </c>
      <c r="AL2115">
        <v>79.210360051081594</v>
      </c>
      <c r="AM2115">
        <v>90.989985060516005</v>
      </c>
      <c r="AN2115">
        <v>1.00000001448866</v>
      </c>
    </row>
    <row r="2116" spans="1:40" x14ac:dyDescent="0.25">
      <c r="A2116" t="str">
        <f>"20190312164513177"</f>
        <v>20190312164513177</v>
      </c>
      <c r="B2116" t="str">
        <f>"1552380313174069"</f>
        <v>1552380313174069</v>
      </c>
      <c r="C2116" t="s">
        <v>40</v>
      </c>
      <c r="D2116">
        <v>5.2831049999999999</v>
      </c>
      <c r="E2116">
        <v>0.4913903</v>
      </c>
      <c r="F2116" t="s">
        <v>42</v>
      </c>
      <c r="G2116">
        <v>-494.66809999999998</v>
      </c>
      <c r="H2116" s="1">
        <v>-1.8239790000000001E-6</v>
      </c>
      <c r="I2116">
        <v>230.94560000000001</v>
      </c>
      <c r="J2116">
        <v>-498.24639999999999</v>
      </c>
      <c r="K2116">
        <v>1.12686</v>
      </c>
      <c r="L2116">
        <v>252.4984</v>
      </c>
      <c r="M2116">
        <v>0.12260359999999999</v>
      </c>
      <c r="N2116">
        <v>0</v>
      </c>
      <c r="O2116">
        <v>-0.99229880000000004</v>
      </c>
      <c r="P2116">
        <v>0.1131947</v>
      </c>
      <c r="Q2116">
        <v>0.16841779999999901</v>
      </c>
      <c r="R2116">
        <v>-0.97919480000000003</v>
      </c>
      <c r="S2116">
        <v>0.50176999999999905</v>
      </c>
      <c r="T2116">
        <v>-0.1565888</v>
      </c>
      <c r="U2116">
        <v>-3.0332949999999999</v>
      </c>
      <c r="V2116">
        <v>-7.2416149999999905E-4</v>
      </c>
      <c r="W2116">
        <v>0.18594820000000001</v>
      </c>
      <c r="X2116">
        <v>0.98255930000000002</v>
      </c>
      <c r="Y2116">
        <v>-4.0781940000000003E-2</v>
      </c>
      <c r="Z2116">
        <v>5.0609220000000003E-2</v>
      </c>
      <c r="AA2116">
        <v>0.99788549999999998</v>
      </c>
      <c r="AB2116">
        <v>41</v>
      </c>
      <c r="AC2116">
        <v>3.5783000000000098</v>
      </c>
      <c r="AD2116">
        <v>-1.126861823979</v>
      </c>
      <c r="AE2116">
        <v>-21.552799999999898</v>
      </c>
      <c r="AF2116">
        <v>-0.90602314029241404</v>
      </c>
      <c r="AG2116">
        <v>-1.126861823979</v>
      </c>
      <c r="AH2116">
        <v>21.771012929731601</v>
      </c>
      <c r="AI2116">
        <v>92.960412268793704</v>
      </c>
      <c r="AJ2116">
        <v>92.383047819554704</v>
      </c>
      <c r="AK2116">
        <v>21.818975674573402</v>
      </c>
      <c r="AL2116">
        <v>79.283580655666597</v>
      </c>
      <c r="AM2116">
        <v>90.042227873801806</v>
      </c>
      <c r="AN2116">
        <v>1.0000000177548001</v>
      </c>
    </row>
    <row r="2117" spans="1:40" x14ac:dyDescent="0.25">
      <c r="A2117" t="str">
        <f>"20190312164513192"</f>
        <v>20190312164513192</v>
      </c>
      <c r="B2117" t="str">
        <f>"1552380313183829"</f>
        <v>1552380313183829</v>
      </c>
      <c r="C2117" t="s">
        <v>40</v>
      </c>
      <c r="D2117">
        <v>5.3955089999999997</v>
      </c>
      <c r="E2117">
        <v>0.49145830000000001</v>
      </c>
      <c r="F2117" t="s">
        <v>42</v>
      </c>
      <c r="G2117">
        <v>-494.82569999999998</v>
      </c>
      <c r="H2117" s="1">
        <v>-1.985053E-6</v>
      </c>
      <c r="I2117">
        <v>231.22329999999999</v>
      </c>
      <c r="J2117">
        <v>-498.21269999999998</v>
      </c>
      <c r="K2117">
        <v>1.1268119999999999</v>
      </c>
      <c r="L2117">
        <v>252.2372</v>
      </c>
      <c r="M2117">
        <v>0.13312939999999901</v>
      </c>
      <c r="N2117">
        <v>0</v>
      </c>
      <c r="O2117">
        <v>-0.99094249999999995</v>
      </c>
      <c r="P2117">
        <v>0.1175414</v>
      </c>
      <c r="Q2117">
        <v>0.16578199999999901</v>
      </c>
      <c r="R2117">
        <v>-0.97913260000000002</v>
      </c>
      <c r="S2117">
        <v>0.48797610000000002</v>
      </c>
      <c r="T2117">
        <v>-0.16075120000000001</v>
      </c>
      <c r="U2117">
        <v>-3.0349729999999999</v>
      </c>
      <c r="V2117">
        <v>5.5508249999999997E-3</v>
      </c>
      <c r="W2117">
        <v>0.1835521</v>
      </c>
      <c r="X2117">
        <v>0.98299429999999999</v>
      </c>
      <c r="Y2117">
        <v>-2.5654949999999999E-2</v>
      </c>
      <c r="Z2117">
        <v>5.1848180000000001E-2</v>
      </c>
      <c r="AA2117">
        <v>0.99832540000000003</v>
      </c>
      <c r="AB2117">
        <v>41</v>
      </c>
      <c r="AC2117">
        <v>3.387</v>
      </c>
      <c r="AD2117">
        <v>-1.1268139850529999</v>
      </c>
      <c r="AE2117">
        <v>-21.0139</v>
      </c>
      <c r="AF2117">
        <v>-0.55727904268603601</v>
      </c>
      <c r="AG2117">
        <v>-1.1268139850529999</v>
      </c>
      <c r="AH2117">
        <v>21.218303850088599</v>
      </c>
      <c r="AI2117">
        <v>93.038833950190295</v>
      </c>
      <c r="AJ2117">
        <v>91.504474565614203</v>
      </c>
      <c r="AK2117">
        <v>21.255509590762902</v>
      </c>
      <c r="AL2117">
        <v>79.423271515710994</v>
      </c>
      <c r="AM2117">
        <v>89.676462554309694</v>
      </c>
      <c r="AN2117">
        <v>0.99999998945253998</v>
      </c>
    </row>
    <row r="2118" spans="1:40" x14ac:dyDescent="0.25">
      <c r="A2118" t="str">
        <f>"20190312164513211"</f>
        <v>20190312164513211</v>
      </c>
      <c r="B2118" t="str">
        <f>"1552380313204325"</f>
        <v>1552380313204325</v>
      </c>
      <c r="C2118" t="s">
        <v>40</v>
      </c>
      <c r="D2118">
        <v>5.3161750000000003</v>
      </c>
      <c r="E2118">
        <v>0.49149150000000003</v>
      </c>
      <c r="F2118" t="s">
        <v>42</v>
      </c>
      <c r="G2118">
        <v>-494.827</v>
      </c>
      <c r="H2118" s="1">
        <v>-2.2475180000000002E-6</v>
      </c>
      <c r="I2118">
        <v>231.83430000000001</v>
      </c>
      <c r="J2118">
        <v>-498.16359999999997</v>
      </c>
      <c r="K2118">
        <v>1.1267210000000001</v>
      </c>
      <c r="L2118">
        <v>251.8931</v>
      </c>
      <c r="M2118">
        <v>0.14693139999999999</v>
      </c>
      <c r="N2118">
        <v>0</v>
      </c>
      <c r="O2118">
        <v>-0.98899159999999997</v>
      </c>
      <c r="P2118">
        <v>0.1204863</v>
      </c>
      <c r="Q2118">
        <v>0.16153000000000001</v>
      </c>
      <c r="R2118">
        <v>-0.97948539999999995</v>
      </c>
      <c r="S2118">
        <v>0.50311279999999903</v>
      </c>
      <c r="T2118">
        <v>-0.16744419999999999</v>
      </c>
      <c r="U2118">
        <v>-3.03186</v>
      </c>
      <c r="V2118">
        <v>1.664506E-2</v>
      </c>
      <c r="W2118">
        <v>0.17973430000000001</v>
      </c>
      <c r="X2118">
        <v>0.98357430000000001</v>
      </c>
      <c r="Y2118">
        <v>-1.671423E-2</v>
      </c>
      <c r="Z2118">
        <v>5.3879589999999998E-2</v>
      </c>
      <c r="AA2118">
        <v>0.9984075</v>
      </c>
      <c r="AB2118">
        <v>41</v>
      </c>
      <c r="AC2118">
        <v>3.33659999999997</v>
      </c>
      <c r="AD2118">
        <v>-1.12672324751799</v>
      </c>
      <c r="AE2118">
        <v>-20.058799999999898</v>
      </c>
      <c r="AF2118">
        <v>-0.35157648262602698</v>
      </c>
      <c r="AG2118">
        <v>-1.12672324751799</v>
      </c>
      <c r="AH2118">
        <v>20.269123951661701</v>
      </c>
      <c r="AI2118">
        <v>93.181214765933206</v>
      </c>
      <c r="AJ2118">
        <v>90.993719751254204</v>
      </c>
      <c r="AK2118">
        <v>20.303460223997799</v>
      </c>
      <c r="AL2118">
        <v>79.645715453940198</v>
      </c>
      <c r="AM2118">
        <v>89.030474198947203</v>
      </c>
      <c r="AN2118">
        <v>0.99999994011968996</v>
      </c>
    </row>
    <row r="2119" spans="1:40" x14ac:dyDescent="0.25">
      <c r="A2119" t="str">
        <f>"20190312164513223"</f>
        <v>20190312164513223</v>
      </c>
      <c r="B2119" t="str">
        <f>"1552380313214085"</f>
        <v>1552380313214085</v>
      </c>
      <c r="C2119" t="s">
        <v>40</v>
      </c>
      <c r="D2119">
        <v>5.4012580000000003</v>
      </c>
      <c r="E2119">
        <v>0.49157020000000001</v>
      </c>
      <c r="F2119" t="s">
        <v>42</v>
      </c>
      <c r="G2119">
        <v>-494.91359999999997</v>
      </c>
      <c r="H2119" s="1">
        <v>-2.6851029999999998E-6</v>
      </c>
      <c r="I2119">
        <v>232.8006</v>
      </c>
      <c r="J2119">
        <v>-498.12639999999999</v>
      </c>
      <c r="K2119">
        <v>1.126657</v>
      </c>
      <c r="L2119">
        <v>251.65479999999999</v>
      </c>
      <c r="M2119">
        <v>0.15643799999999999</v>
      </c>
      <c r="N2119">
        <v>0</v>
      </c>
      <c r="O2119">
        <v>-0.98753329999999995</v>
      </c>
      <c r="P2119">
        <v>0.1247571</v>
      </c>
      <c r="Q2119">
        <v>0.1612905</v>
      </c>
      <c r="R2119">
        <v>-0.97899009999999997</v>
      </c>
      <c r="S2119">
        <v>0.51559449999999996</v>
      </c>
      <c r="T2119">
        <v>-0.1787475</v>
      </c>
      <c r="U2119">
        <v>-3.0289000000000001</v>
      </c>
      <c r="V2119">
        <v>2.1869260000000001E-2</v>
      </c>
      <c r="W2119">
        <v>0.17967149999999901</v>
      </c>
      <c r="X2119">
        <v>0.98348360000000001</v>
      </c>
      <c r="Y2119">
        <v>-1.122093E-2</v>
      </c>
      <c r="Z2119">
        <v>5.7415849999999997E-2</v>
      </c>
      <c r="AA2119">
        <v>0.99828729999999999</v>
      </c>
      <c r="AB2119">
        <v>41</v>
      </c>
      <c r="AC2119">
        <v>3.2128000000000099</v>
      </c>
      <c r="AD2119">
        <v>-1.126659685103</v>
      </c>
      <c r="AE2119">
        <v>-18.854199999999899</v>
      </c>
      <c r="AF2119">
        <v>-0.22249563689701901</v>
      </c>
      <c r="AG2119">
        <v>-1.126659685103</v>
      </c>
      <c r="AH2119">
        <v>19.058537890718199</v>
      </c>
      <c r="AI2119">
        <v>93.382915435302806</v>
      </c>
      <c r="AJ2119">
        <v>90.668859381056294</v>
      </c>
      <c r="AK2119">
        <v>19.0931069469171</v>
      </c>
      <c r="AL2119">
        <v>79.649374343735005</v>
      </c>
      <c r="AM2119">
        <v>88.726150759543401</v>
      </c>
      <c r="AN2119">
        <v>1.00000005195707</v>
      </c>
    </row>
    <row r="2120" spans="1:40" x14ac:dyDescent="0.25">
      <c r="A2120" t="str">
        <f>"20190312164513237"</f>
        <v>20190312164513237</v>
      </c>
      <c r="B2120" t="str">
        <f>"1552380313233606"</f>
        <v>1552380313233606</v>
      </c>
      <c r="C2120" t="s">
        <v>40</v>
      </c>
      <c r="D2120">
        <v>5.3407049999999998</v>
      </c>
      <c r="E2120">
        <v>0.49164770000000002</v>
      </c>
      <c r="F2120" t="s">
        <v>42</v>
      </c>
      <c r="G2120">
        <v>-494.79520000000002</v>
      </c>
      <c r="H2120" s="1">
        <v>-2.5640290000000001E-6</v>
      </c>
      <c r="I2120">
        <v>232.59180000000001</v>
      </c>
      <c r="J2120">
        <v>-498.08909999999997</v>
      </c>
      <c r="K2120">
        <v>1.126587</v>
      </c>
      <c r="L2120">
        <v>251.4299</v>
      </c>
      <c r="M2120">
        <v>0.16536149999999999</v>
      </c>
      <c r="N2120">
        <v>0</v>
      </c>
      <c r="O2120">
        <v>-0.98607940000000005</v>
      </c>
      <c r="P2120">
        <v>0.12838530000000001</v>
      </c>
      <c r="Q2120">
        <v>0.16282569999999999</v>
      </c>
      <c r="R2120">
        <v>-0.97826679999999999</v>
      </c>
      <c r="S2120">
        <v>0.52886959999999905</v>
      </c>
      <c r="T2120">
        <v>-0.17887069999999999</v>
      </c>
      <c r="U2120">
        <v>-3.0264739999999999</v>
      </c>
      <c r="V2120">
        <v>2.7044559999999999E-2</v>
      </c>
      <c r="W2120">
        <v>0.18137349999999999</v>
      </c>
      <c r="X2120">
        <v>0.98304239999999998</v>
      </c>
      <c r="Y2120">
        <v>-6.5635859999999997E-3</v>
      </c>
      <c r="Z2120">
        <v>5.7353849999999998E-2</v>
      </c>
      <c r="AA2120">
        <v>0.99833229999999995</v>
      </c>
      <c r="AB2120">
        <v>41</v>
      </c>
      <c r="AC2120">
        <v>3.2938999999999501</v>
      </c>
      <c r="AD2120">
        <v>-1.126589564029</v>
      </c>
      <c r="AE2120">
        <v>-18.838100000000001</v>
      </c>
      <c r="AF2120">
        <v>-0.13251074458463399</v>
      </c>
      <c r="AG2120">
        <v>-1.126589564029</v>
      </c>
      <c r="AH2120">
        <v>19.0573076443048</v>
      </c>
      <c r="AI2120">
        <v>93.383071636410506</v>
      </c>
      <c r="AJ2120">
        <v>90.398387022569693</v>
      </c>
      <c r="AK2120">
        <v>19.091038153879602</v>
      </c>
      <c r="AL2120">
        <v>79.550228087864497</v>
      </c>
      <c r="AM2120">
        <v>88.424128606920107</v>
      </c>
      <c r="AN2120">
        <v>1.0000000574628001</v>
      </c>
    </row>
    <row r="2121" spans="1:40" x14ac:dyDescent="0.25">
      <c r="A2121" t="str">
        <f>"20190312164513254"</f>
        <v>20190312164513254</v>
      </c>
      <c r="B2121" t="str">
        <f>"1552380313243603"</f>
        <v>1552380313243603</v>
      </c>
      <c r="C2121" t="s">
        <v>40</v>
      </c>
      <c r="D2121">
        <v>5.3170400000000004</v>
      </c>
      <c r="E2121">
        <v>0.491705</v>
      </c>
      <c r="F2121" t="s">
        <v>42</v>
      </c>
      <c r="G2121">
        <v>-494.57299999999998</v>
      </c>
      <c r="H2121" s="1">
        <v>-2.1218799999999998E-6</v>
      </c>
      <c r="I2121">
        <v>231.69890000000001</v>
      </c>
      <c r="J2121">
        <v>-498.03379999999999</v>
      </c>
      <c r="K2121">
        <v>1.126482</v>
      </c>
      <c r="L2121">
        <v>251.11510000000001</v>
      </c>
      <c r="M2121">
        <v>0.17775750000000001</v>
      </c>
      <c r="N2121">
        <v>0</v>
      </c>
      <c r="O2121">
        <v>-0.98392179999999996</v>
      </c>
      <c r="P2121">
        <v>0.1293086</v>
      </c>
      <c r="Q2121">
        <v>0.16463120000000001</v>
      </c>
      <c r="R2121">
        <v>-0.97784260000000001</v>
      </c>
      <c r="S2121">
        <v>0.53900150000000002</v>
      </c>
      <c r="T2121">
        <v>-0.17270079999999999</v>
      </c>
      <c r="U2121">
        <v>-3.0246580000000001</v>
      </c>
      <c r="V2121">
        <v>3.8422379999999999E-2</v>
      </c>
      <c r="W2121">
        <v>0.18358450000000001</v>
      </c>
      <c r="X2121">
        <v>0.98225280000000004</v>
      </c>
      <c r="Y2121">
        <v>2.6551109999999999E-3</v>
      </c>
      <c r="Z2121">
        <v>5.5217490000000001E-2</v>
      </c>
      <c r="AA2121">
        <v>0.99847079999999999</v>
      </c>
      <c r="AB2121">
        <v>41</v>
      </c>
      <c r="AC2121">
        <v>3.4607999999999399</v>
      </c>
      <c r="AD2121">
        <v>-1.1264841218799999</v>
      </c>
      <c r="AE2121">
        <v>-19.4162</v>
      </c>
      <c r="AF2121">
        <v>4.6075227883100901E-2</v>
      </c>
      <c r="AG2121">
        <v>-1.1264841218799999</v>
      </c>
      <c r="AH2121">
        <v>19.6580331941487</v>
      </c>
      <c r="AI2121">
        <v>93.279682150880305</v>
      </c>
      <c r="AJ2121">
        <v>89.865708271139894</v>
      </c>
      <c r="AK2121">
        <v>19.690336677307599</v>
      </c>
      <c r="AL2121">
        <v>79.421383748428795</v>
      </c>
      <c r="AM2121">
        <v>87.759926539212202</v>
      </c>
      <c r="AN2121">
        <v>1.0000000555164701</v>
      </c>
    </row>
    <row r="2122" spans="1:40" x14ac:dyDescent="0.25">
      <c r="A2122" t="str">
        <f>"20190312164513266"</f>
        <v>20190312164513266</v>
      </c>
      <c r="B2122" t="str">
        <f>"1552380313263509"</f>
        <v>1552380313263509</v>
      </c>
      <c r="C2122" t="s">
        <v>40</v>
      </c>
      <c r="D2122">
        <v>5.4663559999999896</v>
      </c>
      <c r="E2122">
        <v>0.4918227</v>
      </c>
      <c r="F2122" t="s">
        <v>42</v>
      </c>
      <c r="G2122">
        <v>-494.36829999999998</v>
      </c>
      <c r="H2122" s="1">
        <v>-1.5967429999999901E-6</v>
      </c>
      <c r="I2122">
        <v>230.6018</v>
      </c>
      <c r="J2122">
        <v>-497.99310000000003</v>
      </c>
      <c r="K2122">
        <v>1.1263970000000001</v>
      </c>
      <c r="L2122">
        <v>250.8963</v>
      </c>
      <c r="M2122">
        <v>0.18630189999999999</v>
      </c>
      <c r="N2122">
        <v>0</v>
      </c>
      <c r="O2122">
        <v>-0.98234089999999996</v>
      </c>
      <c r="P2122">
        <v>0.1314438</v>
      </c>
      <c r="Q2122">
        <v>0.16439579999999901</v>
      </c>
      <c r="R2122">
        <v>-0.97759770000000001</v>
      </c>
      <c r="S2122">
        <v>0.54043580000000002</v>
      </c>
      <c r="T2122">
        <v>-0.16608889999999901</v>
      </c>
      <c r="U2122">
        <v>-3.0244900000000001</v>
      </c>
      <c r="V2122">
        <v>4.4884060000000003E-2</v>
      </c>
      <c r="W2122">
        <v>0.183561</v>
      </c>
      <c r="X2122">
        <v>0.9819831</v>
      </c>
      <c r="Y2122">
        <v>1.085586E-2</v>
      </c>
      <c r="Z2122">
        <v>5.2981019999999997E-2</v>
      </c>
      <c r="AA2122">
        <v>0.99853650000000005</v>
      </c>
      <c r="AB2122">
        <v>41</v>
      </c>
      <c r="AC2122">
        <v>3.6248000000000502</v>
      </c>
      <c r="AD2122">
        <v>-1.1263985967429999</v>
      </c>
      <c r="AE2122">
        <v>-20.294499999999999</v>
      </c>
      <c r="AF2122">
        <v>0.21949216319196699</v>
      </c>
      <c r="AG2122">
        <v>-1.1263985967429999</v>
      </c>
      <c r="AH2122">
        <v>20.553138418877101</v>
      </c>
      <c r="AI2122">
        <v>93.1367335963198</v>
      </c>
      <c r="AJ2122">
        <v>89.388147139293494</v>
      </c>
      <c r="AK2122">
        <v>20.5851511889996</v>
      </c>
      <c r="AL2122">
        <v>79.422753033292096</v>
      </c>
      <c r="AM2122">
        <v>87.382970691147904</v>
      </c>
      <c r="AN2122">
        <v>1.0000000141243399</v>
      </c>
    </row>
    <row r="2123" spans="1:40" x14ac:dyDescent="0.25">
      <c r="A2123" t="str">
        <f>"20190312164513279"</f>
        <v>20190312164513279</v>
      </c>
      <c r="B2123" t="str">
        <f>"1552380313273270"</f>
        <v>1552380313273270</v>
      </c>
      <c r="C2123" t="s">
        <v>40</v>
      </c>
      <c r="D2123">
        <v>5.601972</v>
      </c>
      <c r="E2123">
        <v>0.4918883</v>
      </c>
      <c r="F2123" t="s">
        <v>42</v>
      </c>
      <c r="G2123">
        <v>-494.26670000000001</v>
      </c>
      <c r="H2123" s="1">
        <v>-1.446553E-6</v>
      </c>
      <c r="I2123">
        <v>230.31479999999999</v>
      </c>
      <c r="J2123">
        <v>-497.95209999999997</v>
      </c>
      <c r="K2123">
        <v>1.1262939999999999</v>
      </c>
      <c r="L2123">
        <v>250.68969999999999</v>
      </c>
      <c r="M2123">
        <v>0.1942634</v>
      </c>
      <c r="N2123">
        <v>0</v>
      </c>
      <c r="O2123">
        <v>-0.98079870000000002</v>
      </c>
      <c r="P2123">
        <v>0.1326398</v>
      </c>
      <c r="Q2123">
        <v>0.1635482</v>
      </c>
      <c r="R2123">
        <v>-0.97757819999999995</v>
      </c>
      <c r="S2123">
        <v>0.54733279999999995</v>
      </c>
      <c r="T2123">
        <v>-0.1654426</v>
      </c>
      <c r="U2123">
        <v>-3.022964</v>
      </c>
      <c r="V2123">
        <v>5.177201E-2</v>
      </c>
      <c r="W2123">
        <v>0.1829366</v>
      </c>
      <c r="X2123">
        <v>0.98176059999999998</v>
      </c>
      <c r="Y2123">
        <v>1.6669239999999998E-2</v>
      </c>
      <c r="Z2123">
        <v>5.2664620000000002E-2</v>
      </c>
      <c r="AA2123">
        <v>0.9984731</v>
      </c>
      <c r="AB2123">
        <v>41</v>
      </c>
      <c r="AC2123">
        <v>3.6853999999999498</v>
      </c>
      <c r="AD2123">
        <v>-1.126295446553</v>
      </c>
      <c r="AE2123">
        <v>-20.3749</v>
      </c>
      <c r="AF2123">
        <v>0.34249917643455902</v>
      </c>
      <c r="AG2123">
        <v>-1.126295446553</v>
      </c>
      <c r="AH2123">
        <v>20.6415975851756</v>
      </c>
      <c r="AI2123">
        <v>93.122781135857693</v>
      </c>
      <c r="AJ2123">
        <v>89.049397383255695</v>
      </c>
      <c r="AK2123">
        <v>20.675139612276102</v>
      </c>
      <c r="AL2123">
        <v>79.459144691479906</v>
      </c>
      <c r="AM2123">
        <v>86.981369376316394</v>
      </c>
      <c r="AN2123">
        <v>1.0000000081756799</v>
      </c>
    </row>
    <row r="2124" spans="1:40" x14ac:dyDescent="0.25">
      <c r="A2124" t="str">
        <f>"20190312164513300"</f>
        <v>20190312164513300</v>
      </c>
      <c r="B2124" t="str">
        <f>"1552380313293766"</f>
        <v>1552380313293766</v>
      </c>
      <c r="C2124" t="s">
        <v>40</v>
      </c>
      <c r="D2124">
        <v>5.4113829999999998</v>
      </c>
      <c r="E2124">
        <v>0.49192449999999999</v>
      </c>
      <c r="F2124" t="s">
        <v>42</v>
      </c>
      <c r="G2124">
        <v>-494.23809999999997</v>
      </c>
      <c r="H2124" s="1">
        <v>-1.4549259999999999E-6</v>
      </c>
      <c r="I2124">
        <v>230.352</v>
      </c>
      <c r="J2124">
        <v>-497.87400000000002</v>
      </c>
      <c r="K2124">
        <v>1.1260650000000001</v>
      </c>
      <c r="L2124">
        <v>250.3151</v>
      </c>
      <c r="M2124">
        <v>0.20848030000000001</v>
      </c>
      <c r="N2124">
        <v>0</v>
      </c>
      <c r="O2124">
        <v>-0.97787740000000001</v>
      </c>
      <c r="P2124">
        <v>0.134456399999999</v>
      </c>
      <c r="Q2124">
        <v>0.16147700000000001</v>
      </c>
      <c r="R2124">
        <v>-0.97767409999999999</v>
      </c>
      <c r="S2124">
        <v>0.55184940000000005</v>
      </c>
      <c r="T2124">
        <v>-0.16735359999999999</v>
      </c>
      <c r="U2124">
        <v>-3.0219269999999998</v>
      </c>
      <c r="V2124">
        <v>6.4483429999999994E-2</v>
      </c>
      <c r="W2124">
        <v>0.18125759999999999</v>
      </c>
      <c r="X2124">
        <v>0.98131930000000001</v>
      </c>
      <c r="Y2124">
        <v>2.96814E-2</v>
      </c>
      <c r="Z2124">
        <v>5.3035730000000003E-2</v>
      </c>
      <c r="AA2124">
        <v>0.99815140000000002</v>
      </c>
      <c r="AB2124">
        <v>41</v>
      </c>
      <c r="AC2124">
        <v>3.6359000000000399</v>
      </c>
      <c r="AD2124">
        <v>-1.12606645492599</v>
      </c>
      <c r="AE2124">
        <v>-19.963100000000001</v>
      </c>
      <c r="AF2124">
        <v>0.60467494535369504</v>
      </c>
      <c r="AG2124">
        <v>-1.12606645492599</v>
      </c>
      <c r="AH2124">
        <v>20.2201660370492</v>
      </c>
      <c r="AI2124">
        <v>93.186103354885006</v>
      </c>
      <c r="AJ2124">
        <v>88.287106037742603</v>
      </c>
      <c r="AK2124">
        <v>20.260522501068099</v>
      </c>
      <c r="AL2124">
        <v>79.556979978400804</v>
      </c>
      <c r="AM2124">
        <v>86.240444464181195</v>
      </c>
      <c r="AN2124">
        <v>0.99999999942740703</v>
      </c>
    </row>
    <row r="2125" spans="1:40" x14ac:dyDescent="0.25">
      <c r="A2125" t="str">
        <f>"20190312164513312"</f>
        <v>20190312164513312</v>
      </c>
      <c r="B2125" t="str">
        <f>"1552380313303525"</f>
        <v>1552380313303525</v>
      </c>
      <c r="C2125" t="s">
        <v>40</v>
      </c>
      <c r="D2125">
        <v>5.4175170000000001</v>
      </c>
      <c r="E2125">
        <v>0.49208790000000002</v>
      </c>
      <c r="F2125" t="s">
        <v>42</v>
      </c>
      <c r="G2125">
        <v>-494.3186</v>
      </c>
      <c r="H2125" s="1">
        <v>-1.8250520000000001E-6</v>
      </c>
      <c r="I2125">
        <v>231.16489999999999</v>
      </c>
      <c r="J2125">
        <v>-497.82600000000002</v>
      </c>
      <c r="K2125">
        <v>1.1259079999999999</v>
      </c>
      <c r="L2125">
        <v>250.0968</v>
      </c>
      <c r="M2125">
        <v>0.21661050000000001</v>
      </c>
      <c r="N2125">
        <v>0</v>
      </c>
      <c r="O2125">
        <v>-0.97611020000000004</v>
      </c>
      <c r="P2125">
        <v>0.13681889999999999</v>
      </c>
      <c r="Q2125">
        <v>0.16095950000000001</v>
      </c>
      <c r="R2125">
        <v>-0.97743210000000003</v>
      </c>
      <c r="S2125">
        <v>0.56082149999999997</v>
      </c>
      <c r="T2125">
        <v>-0.17762410000000001</v>
      </c>
      <c r="U2125">
        <v>-3.020737</v>
      </c>
      <c r="V2125">
        <v>7.0399879999999998E-2</v>
      </c>
      <c r="W2125">
        <v>0.1808862</v>
      </c>
      <c r="X2125">
        <v>0.9809812</v>
      </c>
      <c r="Y2125">
        <v>3.5093770000000003E-2</v>
      </c>
      <c r="Z2125">
        <v>5.6129110000000003E-2</v>
      </c>
      <c r="AA2125">
        <v>0.99780650000000004</v>
      </c>
      <c r="AB2125">
        <v>41</v>
      </c>
      <c r="AC2125">
        <v>3.5073999999999601</v>
      </c>
      <c r="AD2125">
        <v>-1.1259098250520001</v>
      </c>
      <c r="AE2125">
        <v>-18.931899999999999</v>
      </c>
      <c r="AF2125">
        <v>0.67502895127543106</v>
      </c>
      <c r="AG2125">
        <v>-1.1259098250520001</v>
      </c>
      <c r="AH2125">
        <v>19.1765645464471</v>
      </c>
      <c r="AI2125">
        <v>93.358063184536206</v>
      </c>
      <c r="AJ2125">
        <v>87.983979495347</v>
      </c>
      <c r="AK2125">
        <v>19.221445440529699</v>
      </c>
      <c r="AL2125">
        <v>79.578617701284401</v>
      </c>
      <c r="AM2125">
        <v>85.895219292155303</v>
      </c>
      <c r="AN2125">
        <v>1.00000003760394</v>
      </c>
    </row>
    <row r="2126" spans="1:40" x14ac:dyDescent="0.25">
      <c r="A2126" t="str">
        <f>"20190312164513325"</f>
        <v>20190312164513325</v>
      </c>
      <c r="B2126" t="str">
        <f>"1552380313313286"</f>
        <v>1552380313313286</v>
      </c>
      <c r="C2126" t="s">
        <v>40</v>
      </c>
      <c r="D2126">
        <v>5.536422</v>
      </c>
      <c r="E2126">
        <v>0.49236069999999998</v>
      </c>
      <c r="F2126" t="s">
        <v>42</v>
      </c>
      <c r="G2126">
        <v>-494.28989999999999</v>
      </c>
      <c r="H2126" s="1">
        <v>-1.85736E-6</v>
      </c>
      <c r="I2126">
        <v>231.25790000000001</v>
      </c>
      <c r="J2126">
        <v>-497.77120000000002</v>
      </c>
      <c r="K2126">
        <v>1.125713</v>
      </c>
      <c r="L2126">
        <v>249.858</v>
      </c>
      <c r="M2126">
        <v>0.22532779999999999</v>
      </c>
      <c r="N2126">
        <v>0</v>
      </c>
      <c r="O2126">
        <v>-0.97413649999999996</v>
      </c>
      <c r="P2126">
        <v>0.14049300000000001</v>
      </c>
      <c r="Q2126">
        <v>0.16133749999999999</v>
      </c>
      <c r="R2126">
        <v>-0.97684820000000006</v>
      </c>
      <c r="S2126">
        <v>0.56680299999999995</v>
      </c>
      <c r="T2126">
        <v>-0.18047070000000001</v>
      </c>
      <c r="U2126">
        <v>-3.0196529999999999</v>
      </c>
      <c r="V2126">
        <v>7.5548669999999998E-2</v>
      </c>
      <c r="W2126">
        <v>0.1813505</v>
      </c>
      <c r="X2126">
        <v>0.9805123</v>
      </c>
      <c r="Y2126">
        <v>4.2060779999999999E-2</v>
      </c>
      <c r="Z2126">
        <v>5.6854259999999997E-2</v>
      </c>
      <c r="AA2126">
        <v>0.9974961</v>
      </c>
      <c r="AB2126">
        <v>41</v>
      </c>
      <c r="AC2126">
        <v>3.4813000000000298</v>
      </c>
      <c r="AD2126">
        <v>-1.12571485736</v>
      </c>
      <c r="AE2126">
        <v>-18.600100000000001</v>
      </c>
      <c r="AF2126">
        <v>0.79715133559069595</v>
      </c>
      <c r="AG2126">
        <v>-1.12571485736</v>
      </c>
      <c r="AH2126">
        <v>18.8394968709053</v>
      </c>
      <c r="AI2126">
        <v>93.416474256310806</v>
      </c>
      <c r="AJ2126">
        <v>87.577102017342</v>
      </c>
      <c r="AK2126">
        <v>18.8899265890782</v>
      </c>
      <c r="AL2126">
        <v>79.551567378377399</v>
      </c>
      <c r="AM2126">
        <v>85.594053875750106</v>
      </c>
      <c r="AN2126">
        <v>0.99999998792015399</v>
      </c>
    </row>
    <row r="2127" spans="1:40" x14ac:dyDescent="0.25">
      <c r="A2127" t="str">
        <f>"20190312164513345"</f>
        <v>20190312164513345</v>
      </c>
      <c r="B2127" t="str">
        <f>"1552380313333789"</f>
        <v>1552380313333789</v>
      </c>
      <c r="C2127" t="s">
        <v>40</v>
      </c>
      <c r="D2127">
        <v>5.6810660000000004</v>
      </c>
      <c r="E2127">
        <v>0.49268119999999999</v>
      </c>
      <c r="F2127" t="s">
        <v>42</v>
      </c>
      <c r="G2127">
        <v>-494.21730000000002</v>
      </c>
      <c r="H2127" s="1">
        <v>-1.8221690000000001E-6</v>
      </c>
      <c r="I2127">
        <v>231.2209</v>
      </c>
      <c r="J2127">
        <v>-497.69229999999999</v>
      </c>
      <c r="K2127">
        <v>1.1254010000000001</v>
      </c>
      <c r="L2127">
        <v>249.5309</v>
      </c>
      <c r="M2127">
        <v>0.23693259999999999</v>
      </c>
      <c r="N2127">
        <v>0</v>
      </c>
      <c r="O2127">
        <v>-0.97138139999999995</v>
      </c>
      <c r="P2127">
        <v>0.14187130000000001</v>
      </c>
      <c r="Q2127">
        <v>0.16173309999999999</v>
      </c>
      <c r="R2127">
        <v>-0.9765836</v>
      </c>
      <c r="S2127">
        <v>0.57559199999999999</v>
      </c>
      <c r="T2127">
        <v>-0.1823196</v>
      </c>
      <c r="U2127">
        <v>-3.0184479999999998</v>
      </c>
      <c r="V2127">
        <v>8.5989629999999997E-2</v>
      </c>
      <c r="W2127">
        <v>0.18197369999999999</v>
      </c>
      <c r="X2127">
        <v>0.97953630000000003</v>
      </c>
      <c r="Y2127">
        <v>5.1105829999999998E-2</v>
      </c>
      <c r="Z2127">
        <v>5.718521E-2</v>
      </c>
      <c r="AA2127">
        <v>0.99705469999999896</v>
      </c>
      <c r="AB2127">
        <v>41</v>
      </c>
      <c r="AC2127">
        <v>3.4749999999999601</v>
      </c>
      <c r="AD2127">
        <v>-1.125402822169</v>
      </c>
      <c r="AE2127">
        <v>-18.309999999999999</v>
      </c>
      <c r="AF2127">
        <v>0.959322751248328</v>
      </c>
      <c r="AG2127">
        <v>-1.125402822169</v>
      </c>
      <c r="AH2127">
        <v>18.544329317884799</v>
      </c>
      <c r="AI2127">
        <v>93.468233042596196</v>
      </c>
      <c r="AJ2127">
        <v>87.038653100844201</v>
      </c>
      <c r="AK2127">
        <v>18.6031981525589</v>
      </c>
      <c r="AL2127">
        <v>79.515256635827996</v>
      </c>
      <c r="AM2127">
        <v>84.983090448475807</v>
      </c>
      <c r="AN2127">
        <v>1.00000000348845</v>
      </c>
    </row>
    <row r="2128" spans="1:40" x14ac:dyDescent="0.25">
      <c r="A2128" t="str">
        <f>"20190312164513361"</f>
        <v>20190312164513361</v>
      </c>
      <c r="B2128" t="str">
        <f>"1552380313353302"</f>
        <v>1552380313353302</v>
      </c>
      <c r="C2128" t="s">
        <v>40</v>
      </c>
      <c r="D2128">
        <v>5.6398519999999897</v>
      </c>
      <c r="E2128">
        <v>0.49287999999999998</v>
      </c>
      <c r="F2128" t="s">
        <v>42</v>
      </c>
      <c r="G2128">
        <v>-494.15010000000001</v>
      </c>
      <c r="H2128" s="1">
        <v>-1.69624E-6</v>
      </c>
      <c r="I2128">
        <v>230.9691</v>
      </c>
      <c r="J2128">
        <v>-497.62790000000001</v>
      </c>
      <c r="K2128">
        <v>1.1251169999999999</v>
      </c>
      <c r="L2128">
        <v>249.2765</v>
      </c>
      <c r="M2128">
        <v>0.24563499999999999</v>
      </c>
      <c r="N2128">
        <v>0</v>
      </c>
      <c r="O2128">
        <v>-0.96921930000000001</v>
      </c>
      <c r="P2128">
        <v>0.14528479999999999</v>
      </c>
      <c r="Q2128">
        <v>0.1620772</v>
      </c>
      <c r="R2128">
        <v>-0.97602429999999996</v>
      </c>
      <c r="S2128">
        <v>0.57604979999999995</v>
      </c>
      <c r="T2128">
        <v>-0.18301529999999999</v>
      </c>
      <c r="U2128">
        <v>-3.0185550000000001</v>
      </c>
      <c r="V2128">
        <v>9.1463310000000006E-2</v>
      </c>
      <c r="W2128">
        <v>0.18236189999999999</v>
      </c>
      <c r="X2128">
        <v>0.97896810000000001</v>
      </c>
      <c r="Y2128">
        <v>5.9921750000000003E-2</v>
      </c>
      <c r="Z2128">
        <v>5.7192850000000003E-2</v>
      </c>
      <c r="AA2128">
        <v>0.99656330000000004</v>
      </c>
      <c r="AB2128">
        <v>41</v>
      </c>
      <c r="AC2128">
        <v>3.4777999999999998</v>
      </c>
      <c r="AD2128">
        <v>-1.1251186962399999</v>
      </c>
      <c r="AE2128">
        <v>-18.307400000000001</v>
      </c>
      <c r="AF2128">
        <v>1.1222524738275901</v>
      </c>
      <c r="AG2128">
        <v>-1.1251186962399999</v>
      </c>
      <c r="AH2128">
        <v>18.533173768780099</v>
      </c>
      <c r="AI2128">
        <v>93.467733139399499</v>
      </c>
      <c r="AJ2128">
        <v>86.534759106602294</v>
      </c>
      <c r="AK2128">
        <v>18.601179334640001</v>
      </c>
      <c r="AL2128">
        <v>79.492635558512603</v>
      </c>
      <c r="AM2128">
        <v>84.662447855903594</v>
      </c>
      <c r="AN2128">
        <v>0.99999997023268705</v>
      </c>
    </row>
    <row r="2129" spans="1:40" x14ac:dyDescent="0.25">
      <c r="A2129" t="str">
        <f>"20190312164513379"</f>
        <v>20190312164513379</v>
      </c>
      <c r="B2129" t="str">
        <f>"1552380313373797"</f>
        <v>1552380313373797</v>
      </c>
      <c r="C2129" t="s">
        <v>40</v>
      </c>
      <c r="D2129">
        <v>5.4673499999999997</v>
      </c>
      <c r="E2129">
        <v>0.4932687</v>
      </c>
      <c r="F2129" t="s">
        <v>42</v>
      </c>
      <c r="G2129">
        <v>-494.01440000000002</v>
      </c>
      <c r="H2129" s="1">
        <v>-1.5088749999999901E-6</v>
      </c>
      <c r="I2129">
        <v>230.6165</v>
      </c>
      <c r="J2129">
        <v>-497.5403</v>
      </c>
      <c r="K2129">
        <v>1.1246969999999901</v>
      </c>
      <c r="L2129">
        <v>248.9435</v>
      </c>
      <c r="M2129">
        <v>0.25659700000000002</v>
      </c>
      <c r="N2129">
        <v>0</v>
      </c>
      <c r="O2129">
        <v>-0.9663775</v>
      </c>
      <c r="P2129">
        <v>0.14518229999999999</v>
      </c>
      <c r="Q2129">
        <v>0.16293750000000001</v>
      </c>
      <c r="R2129">
        <v>-0.97589610000000004</v>
      </c>
      <c r="S2129">
        <v>0.58422850000000004</v>
      </c>
      <c r="T2129">
        <v>-0.18190980000000001</v>
      </c>
      <c r="U2129">
        <v>-3.016953</v>
      </c>
      <c r="V2129">
        <v>0.10279679999999999</v>
      </c>
      <c r="W2129">
        <v>0.18340919999999999</v>
      </c>
      <c r="X2129">
        <v>0.97764709999999999</v>
      </c>
      <c r="Y2129">
        <v>6.8516670000000002E-2</v>
      </c>
      <c r="Z2129">
        <v>5.6596380000000002E-2</v>
      </c>
      <c r="AA2129">
        <v>0.99604329999999996</v>
      </c>
      <c r="AB2129">
        <v>41</v>
      </c>
      <c r="AC2129">
        <v>3.5258999999999698</v>
      </c>
      <c r="AD2129">
        <v>-1.1246985088749999</v>
      </c>
      <c r="AE2129">
        <v>-18.327000000000002</v>
      </c>
      <c r="AF2129">
        <v>1.2907916012946199</v>
      </c>
      <c r="AG2129">
        <v>-1.1246985088749999</v>
      </c>
      <c r="AH2129">
        <v>18.550702911688401</v>
      </c>
      <c r="AI2129">
        <v>93.461153396481194</v>
      </c>
      <c r="AJ2129">
        <v>86.019671084150104</v>
      </c>
      <c r="AK2129">
        <v>18.6295375200664</v>
      </c>
      <c r="AL2129">
        <v>79.431600427242898</v>
      </c>
      <c r="AM2129">
        <v>83.997568406881697</v>
      </c>
      <c r="AN2129">
        <v>0.99999998443664395</v>
      </c>
    </row>
    <row r="2130" spans="1:40" x14ac:dyDescent="0.25">
      <c r="A2130" t="str">
        <f>"20190312164513403"</f>
        <v>20190312164513403</v>
      </c>
      <c r="B2130" t="str">
        <f>"1552380313393318"</f>
        <v>1552380313393318</v>
      </c>
      <c r="C2130" t="s">
        <v>40</v>
      </c>
      <c r="D2130">
        <v>5.4582230000000003</v>
      </c>
      <c r="E2130">
        <v>0.49334929999999999</v>
      </c>
      <c r="F2130" t="s">
        <v>42</v>
      </c>
      <c r="G2130">
        <v>-493.8956</v>
      </c>
      <c r="H2130" s="1">
        <v>-1.244059E-6</v>
      </c>
      <c r="I2130">
        <v>230.0729</v>
      </c>
      <c r="J2130">
        <v>-497.42619999999999</v>
      </c>
      <c r="K2130">
        <v>1.1241110000000001</v>
      </c>
      <c r="L2130">
        <v>248.53059999999999</v>
      </c>
      <c r="M2130">
        <v>0.26943309999999998</v>
      </c>
      <c r="N2130">
        <v>0</v>
      </c>
      <c r="O2130">
        <v>-0.96288070000000003</v>
      </c>
      <c r="P2130">
        <v>0.1482202</v>
      </c>
      <c r="Q2130">
        <v>0.16474549999999999</v>
      </c>
      <c r="R2130">
        <v>-0.97513570000000005</v>
      </c>
      <c r="S2130">
        <v>0.58279419999999904</v>
      </c>
      <c r="T2130">
        <v>-0.17984120000000001</v>
      </c>
      <c r="U2130">
        <v>-3.0174560000000001</v>
      </c>
      <c r="V2130">
        <v>0.1129066</v>
      </c>
      <c r="W2130">
        <v>0.18523700000000001</v>
      </c>
      <c r="X2130">
        <v>0.9761862</v>
      </c>
      <c r="Y2130">
        <v>8.2261829999999994E-2</v>
      </c>
      <c r="Z2130">
        <v>5.561224E-2</v>
      </c>
      <c r="AA2130">
        <v>0.99505790000000005</v>
      </c>
      <c r="AB2130">
        <v>41</v>
      </c>
      <c r="AC2130">
        <v>3.53059999999999</v>
      </c>
      <c r="AD2130">
        <v>-1.1241122440589999</v>
      </c>
      <c r="AE2130">
        <v>-18.4576999999999</v>
      </c>
      <c r="AF2130">
        <v>1.56816736957331</v>
      </c>
      <c r="AG2130">
        <v>-1.1241122440589999</v>
      </c>
      <c r="AH2130">
        <v>18.6595530489436</v>
      </c>
      <c r="AI2130">
        <v>93.435436200548196</v>
      </c>
      <c r="AJ2130">
        <v>85.196094381375801</v>
      </c>
      <c r="AK2130">
        <v>18.759043078541499</v>
      </c>
      <c r="AL2130">
        <v>79.325050451582797</v>
      </c>
      <c r="AM2130">
        <v>83.402432399633796</v>
      </c>
      <c r="AN2130">
        <v>1.0000000717814901</v>
      </c>
    </row>
    <row r="2131" spans="1:40" x14ac:dyDescent="0.25">
      <c r="A2131" t="str">
        <f>"20190312164513415"</f>
        <v>20190312164513415</v>
      </c>
      <c r="B2131" t="str">
        <f>"1552380313404054"</f>
        <v>1552380313404054</v>
      </c>
      <c r="C2131" t="s">
        <v>40</v>
      </c>
      <c r="D2131">
        <v>5.4646949999999999</v>
      </c>
      <c r="E2131">
        <v>0.49335269999999998</v>
      </c>
      <c r="F2131" t="s">
        <v>46</v>
      </c>
      <c r="G2131">
        <v>-493.59199999999998</v>
      </c>
      <c r="H2131" s="1">
        <v>5.5339389999999997E-6</v>
      </c>
      <c r="I2131">
        <v>229.0196</v>
      </c>
      <c r="J2131">
        <v>-497.36219999999997</v>
      </c>
      <c r="K2131">
        <v>1.1237649999999999</v>
      </c>
      <c r="L2131">
        <v>248.30789999999999</v>
      </c>
      <c r="M2131">
        <v>0.27597509999999997</v>
      </c>
      <c r="N2131">
        <v>0</v>
      </c>
      <c r="O2131">
        <v>-0.96102799999999999</v>
      </c>
      <c r="P2131">
        <v>0.1502627</v>
      </c>
      <c r="Q2131">
        <v>0.16607249999999901</v>
      </c>
      <c r="R2131">
        <v>-0.97459790000000002</v>
      </c>
      <c r="S2131">
        <v>0.59265140000000005</v>
      </c>
      <c r="T2131">
        <v>-0.1737515</v>
      </c>
      <c r="U2131">
        <v>-3.0157929999999999</v>
      </c>
      <c r="V2131">
        <v>0.117562899999999</v>
      </c>
      <c r="W2131">
        <v>0.18652350000000001</v>
      </c>
      <c r="X2131">
        <v>0.97539109999999996</v>
      </c>
      <c r="Y2131">
        <v>8.5781419999999997E-2</v>
      </c>
      <c r="Z2131">
        <v>5.35833E-2</v>
      </c>
      <c r="AA2131">
        <v>0.99487199999999998</v>
      </c>
      <c r="AB2131">
        <v>41</v>
      </c>
      <c r="AC2131">
        <v>3.77019999999998</v>
      </c>
      <c r="AD2131">
        <v>-1.123759466061</v>
      </c>
      <c r="AE2131">
        <v>-19.2882999999999</v>
      </c>
      <c r="AF2131">
        <v>1.6945061585072101</v>
      </c>
      <c r="AG2131">
        <v>-1.123759466061</v>
      </c>
      <c r="AH2131">
        <v>19.5158457591786</v>
      </c>
      <c r="AI2131">
        <v>93.283235009945699</v>
      </c>
      <c r="AJ2131">
        <v>85.037613583016594</v>
      </c>
      <c r="AK2131">
        <v>19.621478592471799</v>
      </c>
      <c r="AL2131">
        <v>79.250030440893099</v>
      </c>
      <c r="AM2131">
        <v>83.127350057326097</v>
      </c>
      <c r="AN2131">
        <v>0.99999992473393196</v>
      </c>
    </row>
    <row r="2132" spans="1:40" x14ac:dyDescent="0.25">
      <c r="A2132" t="str">
        <f>"20190312164513435"</f>
        <v>20190312164513435</v>
      </c>
      <c r="B2132" t="str">
        <f>"1552380313423574"</f>
        <v>1552380313423574</v>
      </c>
      <c r="C2132" t="s">
        <v>40</v>
      </c>
      <c r="D2132">
        <v>5.4035909999999996</v>
      </c>
      <c r="E2132">
        <v>0.49336239999999998</v>
      </c>
      <c r="F2132" t="s">
        <v>46</v>
      </c>
      <c r="G2132">
        <v>-493.39069999999998</v>
      </c>
      <c r="H2132" s="1">
        <v>5.4263339999999997E-6</v>
      </c>
      <c r="I2132">
        <v>228.29069999999999</v>
      </c>
      <c r="J2132">
        <v>-497.26319999999998</v>
      </c>
      <c r="K2132">
        <v>1.1232169999999999</v>
      </c>
      <c r="L2132">
        <v>247.97389999999999</v>
      </c>
      <c r="M2132">
        <v>0.28527190000000002</v>
      </c>
      <c r="N2132">
        <v>0</v>
      </c>
      <c r="O2132">
        <v>-0.95831189999999999</v>
      </c>
      <c r="P2132">
        <v>0.14967220000000001</v>
      </c>
      <c r="Q2132">
        <v>0.16880609999999999</v>
      </c>
      <c r="R2132">
        <v>-0.9742191</v>
      </c>
      <c r="S2132">
        <v>0.59814449999999997</v>
      </c>
      <c r="T2132">
        <v>-0.16924819999999999</v>
      </c>
      <c r="U2132">
        <v>-3.0147710000000001</v>
      </c>
      <c r="V2132">
        <v>0.1276523</v>
      </c>
      <c r="W2132">
        <v>0.18927930000000001</v>
      </c>
      <c r="X2132">
        <v>0.97359039999999997</v>
      </c>
      <c r="Y2132">
        <v>9.3604800000000002E-2</v>
      </c>
      <c r="Z2132">
        <v>5.1964580000000003E-2</v>
      </c>
      <c r="AA2132">
        <v>0.99425240000000004</v>
      </c>
      <c r="AB2132">
        <v>41</v>
      </c>
      <c r="AC2132">
        <v>3.8725000000000001</v>
      </c>
      <c r="AD2132">
        <v>-1.123211573666</v>
      </c>
      <c r="AE2132">
        <v>-19.683199999999999</v>
      </c>
      <c r="AF2132">
        <v>1.89829575507264</v>
      </c>
      <c r="AG2132">
        <v>-1.123211573666</v>
      </c>
      <c r="AH2132">
        <v>19.907528707766801</v>
      </c>
      <c r="AI2132">
        <v>93.214735548914604</v>
      </c>
      <c r="AJ2132">
        <v>84.552992009849802</v>
      </c>
      <c r="AK2132">
        <v>20.029349222166498</v>
      </c>
      <c r="AL2132">
        <v>79.0892721990609</v>
      </c>
      <c r="AM2132">
        <v>82.530274072628004</v>
      </c>
      <c r="AN2132">
        <v>1.00000001503796</v>
      </c>
    </row>
    <row r="2133" spans="1:40" x14ac:dyDescent="0.25">
      <c r="A2133" t="str">
        <f>"20190312164513456"</f>
        <v>20190312164513456</v>
      </c>
      <c r="B2133" t="str">
        <f>"1552380313444088"</f>
        <v>1552380313444088</v>
      </c>
      <c r="C2133" t="s">
        <v>40</v>
      </c>
      <c r="D2133">
        <v>6.2574209999999999</v>
      </c>
      <c r="E2133">
        <v>0.49345430000000001</v>
      </c>
      <c r="F2133" t="s">
        <v>46</v>
      </c>
      <c r="G2133">
        <v>-493.09390000000002</v>
      </c>
      <c r="H2133" s="1">
        <v>5.0964089999999996E-6</v>
      </c>
      <c r="I2133">
        <v>226.9014</v>
      </c>
      <c r="J2133">
        <v>-497.14850000000001</v>
      </c>
      <c r="K2133">
        <v>1.122555</v>
      </c>
      <c r="L2133">
        <v>247.60079999999999</v>
      </c>
      <c r="M2133">
        <v>0.29485650000000002</v>
      </c>
      <c r="N2133">
        <v>0</v>
      </c>
      <c r="O2133">
        <v>-0.95540930000000002</v>
      </c>
      <c r="P2133">
        <v>0.14853479999999999</v>
      </c>
      <c r="Q2133">
        <v>0.17184160000000001</v>
      </c>
      <c r="R2133">
        <v>-0.97386249999999996</v>
      </c>
      <c r="S2133">
        <v>0.59664919999999899</v>
      </c>
      <c r="T2133">
        <v>-0.16073660000000001</v>
      </c>
      <c r="U2133">
        <v>-3.0155789999999998</v>
      </c>
      <c r="V2133">
        <v>0.13862289999999999</v>
      </c>
      <c r="W2133">
        <v>0.19228200000000001</v>
      </c>
      <c r="X2133">
        <v>0.97149949999999996</v>
      </c>
      <c r="Y2133">
        <v>0.10406799999999999</v>
      </c>
      <c r="Z2133">
        <v>4.909401E-2</v>
      </c>
      <c r="AA2133">
        <v>0.99335779999999996</v>
      </c>
      <c r="AB2133">
        <v>41</v>
      </c>
      <c r="AC2133">
        <v>4.05459999999999</v>
      </c>
      <c r="AD2133">
        <v>-1.122549903591</v>
      </c>
      <c r="AE2133">
        <v>-20.699400000000001</v>
      </c>
      <c r="AF2133">
        <v>2.2235340752241801</v>
      </c>
      <c r="AG2133">
        <v>-1.122549903591</v>
      </c>
      <c r="AH2133">
        <v>20.915335715447899</v>
      </c>
      <c r="AI2133">
        <v>93.054999630271993</v>
      </c>
      <c r="AJ2133">
        <v>83.931611201903806</v>
      </c>
      <c r="AK2133">
        <v>21.063131062584802</v>
      </c>
      <c r="AL2133">
        <v>78.914010589276401</v>
      </c>
      <c r="AM2133">
        <v>81.879303933252004</v>
      </c>
      <c r="AN2133">
        <v>0.99999997721432898</v>
      </c>
    </row>
    <row r="2134" spans="1:40" x14ac:dyDescent="0.25">
      <c r="A2134" t="str">
        <f>"20190312164513480"</f>
        <v>20190312164513480</v>
      </c>
      <c r="B2134" t="str">
        <f>"1552380313473350"</f>
        <v>1552380313473350</v>
      </c>
      <c r="C2134" t="s">
        <v>40</v>
      </c>
      <c r="D2134">
        <v>5.447838</v>
      </c>
      <c r="E2134">
        <v>0.49356179999999999</v>
      </c>
      <c r="F2134" t="s">
        <v>46</v>
      </c>
      <c r="G2134">
        <v>-492.72219999999999</v>
      </c>
      <c r="H2134" s="1">
        <v>4.6467919999999999E-6</v>
      </c>
      <c r="I2134">
        <v>225.18389999999999</v>
      </c>
      <c r="J2134">
        <v>-497.02249999999998</v>
      </c>
      <c r="K2134">
        <v>1.1217999999999999</v>
      </c>
      <c r="L2134">
        <v>247.2055</v>
      </c>
      <c r="M2134">
        <v>0.30407079999999997</v>
      </c>
      <c r="N2134">
        <v>0</v>
      </c>
      <c r="O2134">
        <v>-0.95251949999999996</v>
      </c>
      <c r="P2134">
        <v>0.14640139999999999</v>
      </c>
      <c r="Q2134">
        <v>0.1738083</v>
      </c>
      <c r="R2134">
        <v>-0.9738367</v>
      </c>
      <c r="S2134">
        <v>0.59558109999999997</v>
      </c>
      <c r="T2134">
        <v>-0.1510457</v>
      </c>
      <c r="U2134">
        <v>-3.016327</v>
      </c>
      <c r="V2134">
        <v>0.15036050000000001</v>
      </c>
      <c r="W2134">
        <v>0.19416459999999999</v>
      </c>
      <c r="X2134">
        <v>0.96937700000000004</v>
      </c>
      <c r="Y2134">
        <v>0.1140235</v>
      </c>
      <c r="Z2134">
        <v>4.5892929999999998E-2</v>
      </c>
      <c r="AA2134">
        <v>0.99241749999999995</v>
      </c>
      <c r="AB2134">
        <v>41</v>
      </c>
      <c r="AC2134">
        <v>4.3002999999999902</v>
      </c>
      <c r="AD2134">
        <v>-1.1217953532079901</v>
      </c>
      <c r="AE2134">
        <v>-22.021599999999999</v>
      </c>
      <c r="AF2134">
        <v>2.59384413648942</v>
      </c>
      <c r="AG2134">
        <v>-1.1217953532079901</v>
      </c>
      <c r="AH2134">
        <v>22.230788898979199</v>
      </c>
      <c r="AI2134">
        <v>92.8693390642851</v>
      </c>
      <c r="AJ2134">
        <v>83.344933942668206</v>
      </c>
      <c r="AK2134">
        <v>22.409694939687601</v>
      </c>
      <c r="AL2134">
        <v>78.804073670983996</v>
      </c>
      <c r="AM2134">
        <v>81.1830874245925</v>
      </c>
      <c r="AN2134">
        <v>0.999999969991204</v>
      </c>
    </row>
    <row r="2135" spans="1:40" x14ac:dyDescent="0.25">
      <c r="A2135" t="str">
        <f>"20190312164513493"</f>
        <v>20190312164513493</v>
      </c>
      <c r="B2135" t="str">
        <f>"1552380313484086"</f>
        <v>1552380313484086</v>
      </c>
      <c r="C2135" t="s">
        <v>40</v>
      </c>
      <c r="D2135">
        <v>5.3830119999999999</v>
      </c>
      <c r="E2135">
        <v>0.49356179999999999</v>
      </c>
      <c r="F2135" t="s">
        <v>46</v>
      </c>
      <c r="G2135">
        <v>-492.41860000000003</v>
      </c>
      <c r="H2135" s="1">
        <v>4.3586190000000004E-6</v>
      </c>
      <c r="I2135">
        <v>223.80369999999999</v>
      </c>
      <c r="J2135">
        <v>-496.94630000000001</v>
      </c>
      <c r="K2135">
        <v>1.121316</v>
      </c>
      <c r="L2135">
        <v>246.97219999999999</v>
      </c>
      <c r="M2135">
        <v>0.30905290000000002</v>
      </c>
      <c r="N2135">
        <v>0</v>
      </c>
      <c r="O2135">
        <v>-0.95091610000000004</v>
      </c>
      <c r="P2135">
        <v>0.14616460000000001</v>
      </c>
      <c r="Q2135">
        <v>0.173569</v>
      </c>
      <c r="R2135">
        <v>-0.97391479999999997</v>
      </c>
      <c r="S2135">
        <v>0.59359740000000005</v>
      </c>
      <c r="T2135">
        <v>-0.14463529999999999</v>
      </c>
      <c r="U2135">
        <v>-3.017242</v>
      </c>
      <c r="V2135">
        <v>0.15594430000000001</v>
      </c>
      <c r="W2135">
        <v>0.19380820000000001</v>
      </c>
      <c r="X2135">
        <v>0.96856580000000003</v>
      </c>
      <c r="Y2135">
        <v>0.1198885</v>
      </c>
      <c r="Z2135">
        <v>4.381036E-2</v>
      </c>
      <c r="AA2135">
        <v>0.99182020000000004</v>
      </c>
      <c r="AB2135">
        <v>41</v>
      </c>
      <c r="AC2135">
        <v>4.5276999999999799</v>
      </c>
      <c r="AD2135">
        <v>-1.121311641381</v>
      </c>
      <c r="AE2135">
        <v>-23.168499999999899</v>
      </c>
      <c r="AF2135">
        <v>2.8487515079249599</v>
      </c>
      <c r="AG2135">
        <v>-1.121311641381</v>
      </c>
      <c r="AH2135">
        <v>23.380715979883501</v>
      </c>
      <c r="AI2135">
        <v>92.725608204422102</v>
      </c>
      <c r="AJ2135">
        <v>83.053212803981793</v>
      </c>
      <c r="AK2135">
        <v>23.580301200005501</v>
      </c>
      <c r="AL2135">
        <v>78.824889364765795</v>
      </c>
      <c r="AM2135">
        <v>80.853565998592401</v>
      </c>
      <c r="AN2135">
        <v>0.99999997600968404</v>
      </c>
    </row>
    <row r="2136" spans="1:40" x14ac:dyDescent="0.25">
      <c r="A2136" t="str">
        <f>"20190312164513512"</f>
        <v>20190312164513512</v>
      </c>
      <c r="B2136" t="str">
        <f>"1552380313503608"</f>
        <v>1552380313503608</v>
      </c>
      <c r="C2136" t="s">
        <v>40</v>
      </c>
      <c r="D2136">
        <v>5.5750140000000004</v>
      </c>
      <c r="E2136">
        <v>0.4936547</v>
      </c>
      <c r="F2136" t="s">
        <v>46</v>
      </c>
      <c r="G2136">
        <v>-492.35149999999999</v>
      </c>
      <c r="H2136" s="1">
        <v>4.3397439999999997E-6</v>
      </c>
      <c r="I2136">
        <v>223.65110000000001</v>
      </c>
      <c r="J2136">
        <v>-496.83670000000001</v>
      </c>
      <c r="K2136">
        <v>1.120574</v>
      </c>
      <c r="L2136">
        <v>246.64400000000001</v>
      </c>
      <c r="M2136">
        <v>0.31537209999999899</v>
      </c>
      <c r="N2136">
        <v>0</v>
      </c>
      <c r="O2136">
        <v>-0.94884100000000005</v>
      </c>
      <c r="P2136">
        <v>0.14291960000000001</v>
      </c>
      <c r="Q2136">
        <v>0.1716367</v>
      </c>
      <c r="R2136">
        <v>-0.97473869999999896</v>
      </c>
      <c r="S2136">
        <v>0.59442139999999999</v>
      </c>
      <c r="T2136">
        <v>-0.1450622</v>
      </c>
      <c r="U2136">
        <v>-3.0170140000000001</v>
      </c>
      <c r="V2136">
        <v>0.1661648</v>
      </c>
      <c r="W2136">
        <v>0.19173399999999999</v>
      </c>
      <c r="X2136">
        <v>0.96727830000000004</v>
      </c>
      <c r="Y2136">
        <v>0.1262152</v>
      </c>
      <c r="Z2136">
        <v>4.3777040000000003E-2</v>
      </c>
      <c r="AA2136">
        <v>0.99103649999999999</v>
      </c>
      <c r="AB2136">
        <v>41</v>
      </c>
      <c r="AC2136">
        <v>4.4852000000000096</v>
      </c>
      <c r="AD2136">
        <v>-1.120569660256</v>
      </c>
      <c r="AE2136">
        <v>-22.992899999999899</v>
      </c>
      <c r="AF2136">
        <v>2.9890995316747602</v>
      </c>
      <c r="AG2136">
        <v>-1.120569660256</v>
      </c>
      <c r="AH2136">
        <v>23.180875603724601</v>
      </c>
      <c r="AI2136">
        <v>92.744848362096405</v>
      </c>
      <c r="AJ2136">
        <v>82.652437375190303</v>
      </c>
      <c r="AK2136">
        <v>23.3996450000657</v>
      </c>
      <c r="AL2136">
        <v>78.946004094144001</v>
      </c>
      <c r="AM2136">
        <v>80.2525321694784</v>
      </c>
      <c r="AN2136">
        <v>0.99999998858296502</v>
      </c>
    </row>
    <row r="2137" spans="1:40" x14ac:dyDescent="0.25">
      <c r="A2137" t="str">
        <f>"20190312164513524"</f>
        <v>20190312164513524</v>
      </c>
      <c r="B2137" t="str">
        <f>"1552380313513366"</f>
        <v>1552380313513366</v>
      </c>
      <c r="C2137" t="s">
        <v>40</v>
      </c>
      <c r="D2137">
        <v>5.5729699999999998</v>
      </c>
      <c r="E2137">
        <v>0.4937299</v>
      </c>
      <c r="F2137" t="s">
        <v>46</v>
      </c>
      <c r="G2137">
        <v>-492.55250000000001</v>
      </c>
      <c r="H2137" s="1">
        <v>4.4664990000000001E-6</v>
      </c>
      <c r="I2137">
        <v>224.42590000000001</v>
      </c>
      <c r="J2137">
        <v>-496.76690000000002</v>
      </c>
      <c r="K2137">
        <v>1.120061</v>
      </c>
      <c r="L2137">
        <v>246.4384</v>
      </c>
      <c r="M2137">
        <v>0.31889640000000002</v>
      </c>
      <c r="N2137">
        <v>0</v>
      </c>
      <c r="O2137">
        <v>-0.9476637</v>
      </c>
      <c r="P2137">
        <v>0.14214019999999999</v>
      </c>
      <c r="Q2137">
        <v>0.1696685</v>
      </c>
      <c r="R2137">
        <v>-0.97519710000000004</v>
      </c>
      <c r="S2137">
        <v>0.58218380000000003</v>
      </c>
      <c r="T2137">
        <v>-0.15227309999999999</v>
      </c>
      <c r="U2137">
        <v>-3.019196</v>
      </c>
      <c r="V2137">
        <v>0.17095940000000001</v>
      </c>
      <c r="W2137">
        <v>0.18959909999999999</v>
      </c>
      <c r="X2137">
        <v>0.96686349999999999</v>
      </c>
      <c r="Y2137">
        <v>0.13392179999999901</v>
      </c>
      <c r="Z2137">
        <v>4.5820230000000003E-2</v>
      </c>
      <c r="AA2137">
        <v>0.98993209999999998</v>
      </c>
      <c r="AB2137">
        <v>40</v>
      </c>
      <c r="AC2137">
        <v>4.2144000000000101</v>
      </c>
      <c r="AD2137">
        <v>-1.120056533501</v>
      </c>
      <c r="AE2137">
        <v>-22.0124999999999</v>
      </c>
      <c r="AF2137">
        <v>3.0186949403190502</v>
      </c>
      <c r="AG2137">
        <v>-1.120056533501</v>
      </c>
      <c r="AH2137">
        <v>22.1517294936349</v>
      </c>
      <c r="AI2137">
        <v>92.868114127405704</v>
      </c>
      <c r="AJ2137">
        <v>82.239901069869802</v>
      </c>
      <c r="AK2137">
        <v>22.384507261499401</v>
      </c>
      <c r="AL2137">
        <v>79.070610730124102</v>
      </c>
      <c r="AM2137">
        <v>79.972686848088202</v>
      </c>
      <c r="AN2137">
        <v>0.999999981400709</v>
      </c>
    </row>
    <row r="2138" spans="1:40" x14ac:dyDescent="0.25">
      <c r="A2138" t="str">
        <f>"20190312164513537"</f>
        <v>20190312164513537</v>
      </c>
      <c r="B2138" t="str">
        <f>"1552380313533862"</f>
        <v>1552380313533862</v>
      </c>
      <c r="C2138" t="s">
        <v>40</v>
      </c>
      <c r="D2138">
        <v>5.4393320000000003</v>
      </c>
      <c r="E2138">
        <v>0.49377789999999999</v>
      </c>
      <c r="F2138" t="s">
        <v>46</v>
      </c>
      <c r="G2138">
        <v>-492.71069999999997</v>
      </c>
      <c r="H2138" s="1">
        <v>4.6588460000000002E-6</v>
      </c>
      <c r="I2138">
        <v>225.21459999999999</v>
      </c>
      <c r="J2138">
        <v>-496.69499999999999</v>
      </c>
      <c r="K2138">
        <v>1.1195029999999999</v>
      </c>
      <c r="L2138">
        <v>246.22929999999999</v>
      </c>
      <c r="M2138">
        <v>0.3221175</v>
      </c>
      <c r="N2138">
        <v>0</v>
      </c>
      <c r="O2138">
        <v>-0.94657469999999999</v>
      </c>
      <c r="P2138">
        <v>0.14086099999999999</v>
      </c>
      <c r="Q2138">
        <v>0.16742389999999999</v>
      </c>
      <c r="R2138">
        <v>-0.97577049999999999</v>
      </c>
      <c r="S2138">
        <v>0.57714840000000001</v>
      </c>
      <c r="T2138">
        <v>-0.1593705</v>
      </c>
      <c r="U2138">
        <v>-3.0198969999999998</v>
      </c>
      <c r="V2138">
        <v>0.17598029999999901</v>
      </c>
      <c r="W2138">
        <v>0.187162</v>
      </c>
      <c r="X2138">
        <v>0.96643749999999995</v>
      </c>
      <c r="Y2138">
        <v>0.1389436</v>
      </c>
      <c r="Z2138">
        <v>4.7844520000000001E-2</v>
      </c>
      <c r="AA2138">
        <v>0.98914380000000002</v>
      </c>
      <c r="AB2138">
        <v>40</v>
      </c>
      <c r="AC2138">
        <v>3.9843000000000099</v>
      </c>
      <c r="AD2138">
        <v>-1.119498341154</v>
      </c>
      <c r="AE2138">
        <v>-21.014700000000001</v>
      </c>
      <c r="AF2138">
        <v>2.98992907183275</v>
      </c>
      <c r="AG2138">
        <v>-1.119498341154</v>
      </c>
      <c r="AH2138">
        <v>21.1200448868085</v>
      </c>
      <c r="AI2138">
        <v>93.004305096064996</v>
      </c>
      <c r="AJ2138">
        <v>81.942278430225699</v>
      </c>
      <c r="AK2138">
        <v>21.359991769924498</v>
      </c>
      <c r="AL2138">
        <v>79.212792780148504</v>
      </c>
      <c r="AM2138">
        <v>79.679981287380201</v>
      </c>
      <c r="AN2138">
        <v>1.0000000608191599</v>
      </c>
    </row>
    <row r="2139" spans="1:40" x14ac:dyDescent="0.25">
      <c r="A2139" t="str">
        <f>"20190312164513550"</f>
        <v>20190312164513550</v>
      </c>
      <c r="B2139" t="str">
        <f>"1552380313543622"</f>
        <v>1552380313543622</v>
      </c>
      <c r="C2139" t="s">
        <v>40</v>
      </c>
      <c r="D2139">
        <v>5.4259510000000004</v>
      </c>
      <c r="E2139">
        <v>0.49380800000000002</v>
      </c>
      <c r="F2139" t="s">
        <v>46</v>
      </c>
      <c r="G2139">
        <v>-492.87860000000001</v>
      </c>
      <c r="H2139" s="1">
        <v>4.8734389999999998E-6</v>
      </c>
      <c r="I2139">
        <v>226.0275</v>
      </c>
      <c r="J2139">
        <v>-496.62040000000002</v>
      </c>
      <c r="K2139">
        <v>1.118906</v>
      </c>
      <c r="L2139">
        <v>246.01400000000001</v>
      </c>
      <c r="M2139">
        <v>0.32520080000000001</v>
      </c>
      <c r="N2139">
        <v>0</v>
      </c>
      <c r="O2139">
        <v>-0.94552099999999994</v>
      </c>
      <c r="P2139">
        <v>0.13932159999999999</v>
      </c>
      <c r="Q2139">
        <v>0.16536099999999901</v>
      </c>
      <c r="R2139">
        <v>-0.97634270000000001</v>
      </c>
      <c r="S2139">
        <v>0.57067869999999998</v>
      </c>
      <c r="T2139">
        <v>-0.16740379999999999</v>
      </c>
      <c r="U2139">
        <v>-3.0208740000000001</v>
      </c>
      <c r="V2139">
        <v>0.18111579999999999</v>
      </c>
      <c r="W2139">
        <v>0.1848775</v>
      </c>
      <c r="X2139">
        <v>0.96592829999999996</v>
      </c>
      <c r="Y2139">
        <v>0.14429420000000001</v>
      </c>
      <c r="Z2139">
        <v>5.0136510000000002E-2</v>
      </c>
      <c r="AA2139">
        <v>0.98826389999999997</v>
      </c>
      <c r="AB2139">
        <v>40</v>
      </c>
      <c r="AC2139">
        <v>3.7418000000000098</v>
      </c>
      <c r="AD2139">
        <v>-1.118901126561</v>
      </c>
      <c r="AE2139">
        <v>-19.986499999999999</v>
      </c>
      <c r="AF2139">
        <v>2.95308081747039</v>
      </c>
      <c r="AG2139">
        <v>-1.118901126561</v>
      </c>
      <c r="AH2139">
        <v>20.056121519462401</v>
      </c>
      <c r="AI2139">
        <v>93.159144956801896</v>
      </c>
      <c r="AJ2139">
        <v>81.623904346112298</v>
      </c>
      <c r="AK2139">
        <v>20.3032173915607</v>
      </c>
      <c r="AL2139">
        <v>79.346010092424805</v>
      </c>
      <c r="AM2139">
        <v>79.380101547526195</v>
      </c>
      <c r="AN2139">
        <v>1.00000005187838</v>
      </c>
    </row>
    <row r="2140" spans="1:40" x14ac:dyDescent="0.25">
      <c r="A2140" t="str">
        <f>"20190312164513568"</f>
        <v>20190312164513568</v>
      </c>
      <c r="B2140" t="str">
        <f>"1552380313564117"</f>
        <v>1552380313564117</v>
      </c>
      <c r="C2140" t="s">
        <v>40</v>
      </c>
      <c r="D2140">
        <v>5.5709249999999999</v>
      </c>
      <c r="E2140">
        <v>0.49390129999999999</v>
      </c>
      <c r="F2140" t="s">
        <v>46</v>
      </c>
      <c r="G2140">
        <v>-492.99529999999999</v>
      </c>
      <c r="H2140" s="1">
        <v>5.030764E-6</v>
      </c>
      <c r="I2140">
        <v>226.6189</v>
      </c>
      <c r="J2140">
        <v>-496.50850000000003</v>
      </c>
      <c r="K2140">
        <v>1.11791</v>
      </c>
      <c r="L2140">
        <v>245.6951</v>
      </c>
      <c r="M2140">
        <v>0.3288857</v>
      </c>
      <c r="N2140">
        <v>0</v>
      </c>
      <c r="O2140">
        <v>-0.94424719999999995</v>
      </c>
      <c r="P2140">
        <v>0.13352510000000001</v>
      </c>
      <c r="Q2140">
        <v>0.16139300000000001</v>
      </c>
      <c r="R2140">
        <v>-0.97781569999999995</v>
      </c>
      <c r="S2140">
        <v>0.56475830000000005</v>
      </c>
      <c r="T2140">
        <v>-0.174318</v>
      </c>
      <c r="U2140">
        <v>-3.0216370000000001</v>
      </c>
      <c r="V2140">
        <v>0.19140579999999999</v>
      </c>
      <c r="W2140">
        <v>0.1805631</v>
      </c>
      <c r="X2140">
        <v>0.96475949999999999</v>
      </c>
      <c r="Y2140">
        <v>0.15008540000000001</v>
      </c>
      <c r="Z2140">
        <v>5.2064729999999997E-2</v>
      </c>
      <c r="AA2140">
        <v>0.98730119999999999</v>
      </c>
      <c r="AB2140">
        <v>40</v>
      </c>
      <c r="AC2140">
        <v>3.5132000000000398</v>
      </c>
      <c r="AD2140">
        <v>-1.1179049692359999</v>
      </c>
      <c r="AE2140">
        <v>-19.0762</v>
      </c>
      <c r="AF2140">
        <v>2.9471133215255501</v>
      </c>
      <c r="AG2140">
        <v>-1.1179049692359999</v>
      </c>
      <c r="AH2140">
        <v>19.106843766260798</v>
      </c>
      <c r="AI2140">
        <v>93.309402072820006</v>
      </c>
      <c r="AJ2140">
        <v>81.231579088503494</v>
      </c>
      <c r="AK2140">
        <v>19.365088875563099</v>
      </c>
      <c r="AL2140">
        <v>79.597440061339</v>
      </c>
      <c r="AM2140">
        <v>78.778383920399193</v>
      </c>
      <c r="AN2140">
        <v>1.00000005309774</v>
      </c>
    </row>
    <row r="2141" spans="1:40" x14ac:dyDescent="0.25">
      <c r="A2141" t="str">
        <f>"20190312164513603"</f>
        <v>20190312164513603</v>
      </c>
      <c r="B2141" t="str">
        <f>"1552380313593398"</f>
        <v>1552380313593398</v>
      </c>
      <c r="C2141" t="s">
        <v>40</v>
      </c>
      <c r="D2141">
        <v>5.5848279999999999</v>
      </c>
      <c r="E2141">
        <v>0.49398389999999998</v>
      </c>
      <c r="F2141" t="s">
        <v>46</v>
      </c>
      <c r="G2141">
        <v>-493.25139999999999</v>
      </c>
      <c r="H2141" s="1">
        <v>5.2841639999999899E-6</v>
      </c>
      <c r="I2141">
        <v>227.62020000000001</v>
      </c>
      <c r="J2141">
        <v>-496.30279999999999</v>
      </c>
      <c r="K2141">
        <v>1.1159250000000001</v>
      </c>
      <c r="L2141">
        <v>245.11580000000001</v>
      </c>
      <c r="M2141">
        <v>0.3332292</v>
      </c>
      <c r="N2141">
        <v>0</v>
      </c>
      <c r="O2141">
        <v>-0.9427257</v>
      </c>
      <c r="P2141">
        <v>0.1224258</v>
      </c>
      <c r="Q2141">
        <v>0.16188540000000001</v>
      </c>
      <c r="R2141">
        <v>-0.97918620000000001</v>
      </c>
      <c r="S2141">
        <v>0.54501339999999998</v>
      </c>
      <c r="T2141">
        <v>-0.1870626</v>
      </c>
      <c r="U2141">
        <v>-3.0245359999999999</v>
      </c>
      <c r="V2141">
        <v>0.20768339999999999</v>
      </c>
      <c r="W2141">
        <v>0.18016070000000001</v>
      </c>
      <c r="X2141">
        <v>0.96146229999999999</v>
      </c>
      <c r="Y2141">
        <v>0.16106879999999901</v>
      </c>
      <c r="Z2141">
        <v>5.5645479999999997E-2</v>
      </c>
      <c r="AA2141">
        <v>0.98537330000000001</v>
      </c>
      <c r="AB2141">
        <v>40</v>
      </c>
      <c r="AC2141">
        <v>3.0514000000000001</v>
      </c>
      <c r="AD2141">
        <v>-1.1159197158359999</v>
      </c>
      <c r="AE2141">
        <v>-17.4955999999999</v>
      </c>
      <c r="AF2141">
        <v>2.9421302082388898</v>
      </c>
      <c r="AG2141">
        <v>-1.1159197158359999</v>
      </c>
      <c r="AH2141">
        <v>17.443481588179601</v>
      </c>
      <c r="AI2141">
        <v>93.609575071704896</v>
      </c>
      <c r="AJ2141">
        <v>80.426231364643897</v>
      </c>
      <c r="AK2141">
        <v>17.725023466601801</v>
      </c>
      <c r="AL2141">
        <v>79.620879877607194</v>
      </c>
      <c r="AM2141">
        <v>77.810937319669705</v>
      </c>
      <c r="AN2141">
        <v>1.0000000133906699</v>
      </c>
    </row>
    <row r="2142" spans="1:40" x14ac:dyDescent="0.25">
      <c r="A2142" t="str">
        <f>"20190312164513624"</f>
        <v>20190312164513624</v>
      </c>
      <c r="B2142" t="str">
        <f>"1552380313613893"</f>
        <v>1552380313613893</v>
      </c>
      <c r="C2142" t="s">
        <v>40</v>
      </c>
      <c r="D2142">
        <v>5.4915089999999998</v>
      </c>
      <c r="E2142">
        <v>0.4939191</v>
      </c>
      <c r="F2142" t="s">
        <v>46</v>
      </c>
      <c r="G2142">
        <v>-493.26080000000002</v>
      </c>
      <c r="H2142" s="1">
        <v>5.0759789999999901E-6</v>
      </c>
      <c r="I2142">
        <v>226.95480000000001</v>
      </c>
      <c r="J2142">
        <v>-496.17219999999998</v>
      </c>
      <c r="K2142">
        <v>1.1145940000000001</v>
      </c>
      <c r="L2142">
        <v>244.74940000000001</v>
      </c>
      <c r="M2142">
        <v>0.33453179999999999</v>
      </c>
      <c r="N2142">
        <v>0</v>
      </c>
      <c r="O2142">
        <v>-0.94226560000000004</v>
      </c>
      <c r="P2142">
        <v>0.112704</v>
      </c>
      <c r="Q2142">
        <v>0.1651745</v>
      </c>
      <c r="R2142">
        <v>-0.97980389999999995</v>
      </c>
      <c r="S2142">
        <v>0.50772090000000003</v>
      </c>
      <c r="T2142">
        <v>-0.18624789999999999</v>
      </c>
      <c r="U2142">
        <v>-3.0310820000000001</v>
      </c>
      <c r="V2142">
        <v>0.2189528</v>
      </c>
      <c r="W2142">
        <v>0.18277489999999999</v>
      </c>
      <c r="X2142">
        <v>0.95846379999999998</v>
      </c>
      <c r="Y2142">
        <v>0.17455209999999999</v>
      </c>
      <c r="Z2142">
        <v>5.522912E-2</v>
      </c>
      <c r="AA2142">
        <v>0.98309780000000002</v>
      </c>
      <c r="AB2142">
        <v>40</v>
      </c>
      <c r="AC2142">
        <v>2.9113999999999498</v>
      </c>
      <c r="AD2142">
        <v>-1.1145889240210001</v>
      </c>
      <c r="AE2142">
        <v>-17.794599999999999</v>
      </c>
      <c r="AF2142">
        <v>3.1976885906900598</v>
      </c>
      <c r="AG2142">
        <v>-1.1145889240210001</v>
      </c>
      <c r="AH2142">
        <v>17.6756436471704</v>
      </c>
      <c r="AI2142">
        <v>93.550689092625603</v>
      </c>
      <c r="AJ2142">
        <v>79.745569420389401</v>
      </c>
      <c r="AK2142">
        <v>17.997108076975501</v>
      </c>
      <c r="AL2142">
        <v>79.468567410009797</v>
      </c>
      <c r="AM2142">
        <v>77.132079525185503</v>
      </c>
      <c r="AN2142">
        <v>0.99999992430414197</v>
      </c>
    </row>
    <row r="2143" spans="1:40" x14ac:dyDescent="0.25">
      <c r="A2143" t="str">
        <f>"20190312164513635"</f>
        <v>20190312164513635</v>
      </c>
      <c r="B2143" t="str">
        <f>"1552380313623654"</f>
        <v>1552380313623654</v>
      </c>
      <c r="C2143" t="s">
        <v>40</v>
      </c>
      <c r="D2143">
        <v>5.5537280000000004</v>
      </c>
      <c r="E2143">
        <v>0.49381219999999998</v>
      </c>
      <c r="F2143" t="s">
        <v>46</v>
      </c>
      <c r="G2143">
        <v>-493.15109999999999</v>
      </c>
      <c r="H2143" s="1">
        <v>4.6535280000000003E-6</v>
      </c>
      <c r="I2143">
        <v>225.5127</v>
      </c>
      <c r="J2143">
        <v>-496.10489999999999</v>
      </c>
      <c r="K2143">
        <v>1.1139019999999999</v>
      </c>
      <c r="L2143">
        <v>244.56059999999999</v>
      </c>
      <c r="M2143">
        <v>0.33472390000000002</v>
      </c>
      <c r="N2143">
        <v>0</v>
      </c>
      <c r="O2143">
        <v>-0.94219779999999997</v>
      </c>
      <c r="P2143">
        <v>0.1076946</v>
      </c>
      <c r="Q2143">
        <v>0.166983399999999</v>
      </c>
      <c r="R2143">
        <v>-0.98006090000000001</v>
      </c>
      <c r="S2143">
        <v>0.47689819999999999</v>
      </c>
      <c r="T2143">
        <v>-0.17594699999999999</v>
      </c>
      <c r="U2143">
        <v>-3.036667</v>
      </c>
      <c r="V2143">
        <v>0.22425899999999999</v>
      </c>
      <c r="W2143">
        <v>0.18420220000000001</v>
      </c>
      <c r="X2143">
        <v>0.9569626</v>
      </c>
      <c r="Y2143">
        <v>0.1847327</v>
      </c>
      <c r="Z2143">
        <v>5.2069869999999997E-2</v>
      </c>
      <c r="AA2143">
        <v>0.98140850000000002</v>
      </c>
      <c r="AB2143">
        <v>40</v>
      </c>
      <c r="AC2143">
        <v>2.9538000000000002</v>
      </c>
      <c r="AD2143">
        <v>-1.1138973464719999</v>
      </c>
      <c r="AE2143">
        <v>-19.047899999999998</v>
      </c>
      <c r="AF2143">
        <v>3.5811654037849001</v>
      </c>
      <c r="AG2143">
        <v>-1.1138973464719999</v>
      </c>
      <c r="AH2143">
        <v>18.874679439908899</v>
      </c>
      <c r="AI2143">
        <v>93.318353133377002</v>
      </c>
      <c r="AJ2143">
        <v>79.256752151292105</v>
      </c>
      <c r="AK2143">
        <v>19.243675244273501</v>
      </c>
      <c r="AL2143">
        <v>79.385377342656099</v>
      </c>
      <c r="AM2143">
        <v>76.811041398572698</v>
      </c>
      <c r="AN2143">
        <v>0.99999998368229903</v>
      </c>
    </row>
    <row r="2144" spans="1:40" x14ac:dyDescent="0.25">
      <c r="A2144" t="str">
        <f>"20190312164513647"</f>
        <v>20190312164513647</v>
      </c>
      <c r="B2144" t="str">
        <f>"1552380313644150"</f>
        <v>1552380313644150</v>
      </c>
      <c r="C2144" t="s">
        <v>40</v>
      </c>
      <c r="D2144">
        <v>5.5415279999999996</v>
      </c>
      <c r="E2144">
        <v>0.49354690000000001</v>
      </c>
      <c r="F2144" t="s">
        <v>46</v>
      </c>
      <c r="G2144">
        <v>-493.077</v>
      </c>
      <c r="H2144" s="1">
        <v>4.387925E-6</v>
      </c>
      <c r="I2144">
        <v>224.5966</v>
      </c>
      <c r="J2144">
        <v>-496.03530000000001</v>
      </c>
      <c r="K2144">
        <v>1.113175</v>
      </c>
      <c r="L2144">
        <v>244.3648</v>
      </c>
      <c r="M2144">
        <v>0.33469339999999997</v>
      </c>
      <c r="N2144">
        <v>0</v>
      </c>
      <c r="O2144">
        <v>-0.94220899999999996</v>
      </c>
      <c r="P2144">
        <v>0.1025059</v>
      </c>
      <c r="Q2144">
        <v>0.16858809999999999</v>
      </c>
      <c r="R2144">
        <v>-0.9803423</v>
      </c>
      <c r="S2144">
        <v>0.46096799999999999</v>
      </c>
      <c r="T2144">
        <v>-0.16957939999999999</v>
      </c>
      <c r="U2144">
        <v>-3.039307</v>
      </c>
      <c r="V2144">
        <v>0.22953660000000001</v>
      </c>
      <c r="W2144">
        <v>0.18539249999999999</v>
      </c>
      <c r="X2144">
        <v>0.95548029999999995</v>
      </c>
      <c r="Y2144">
        <v>0.18983749999999999</v>
      </c>
      <c r="Z2144">
        <v>5.0140499999999998E-2</v>
      </c>
      <c r="AA2144">
        <v>0.98053440000000003</v>
      </c>
      <c r="AB2144">
        <v>40</v>
      </c>
      <c r="AC2144">
        <v>2.9582999999999999</v>
      </c>
      <c r="AD2144">
        <v>-1.113170612075</v>
      </c>
      <c r="AE2144">
        <v>-19.7682</v>
      </c>
      <c r="AF2144">
        <v>3.8175352302283199</v>
      </c>
      <c r="AG2144">
        <v>-1.113170612075</v>
      </c>
      <c r="AH2144">
        <v>19.5574251731822</v>
      </c>
      <c r="AI2144">
        <v>93.197434077910202</v>
      </c>
      <c r="AJ2144">
        <v>78.954961324545195</v>
      </c>
      <c r="AK2144">
        <v>19.9575951319352</v>
      </c>
      <c r="AL2144">
        <v>79.315983324122698</v>
      </c>
      <c r="AM2144">
        <v>76.491718185624293</v>
      </c>
      <c r="AN2144">
        <v>1.0000000167419401</v>
      </c>
    </row>
    <row r="2145" spans="1:40" x14ac:dyDescent="0.25">
      <c r="A2145" t="str">
        <f>"20190312164513658"</f>
        <v>20190312164513658</v>
      </c>
      <c r="B2145" t="str">
        <f>"1552380313653910"</f>
        <v>1552380313653910</v>
      </c>
      <c r="C2145" t="s">
        <v>40</v>
      </c>
      <c r="D2145">
        <v>5.5415029999999996</v>
      </c>
      <c r="E2145">
        <v>0.49342409999999998</v>
      </c>
      <c r="F2145" t="s">
        <v>46</v>
      </c>
      <c r="G2145">
        <v>-492.98950000000002</v>
      </c>
      <c r="H2145" s="1">
        <v>4.1900889999999998E-6</v>
      </c>
      <c r="I2145">
        <v>223.61410000000001</v>
      </c>
      <c r="J2145">
        <v>-495.96879999999999</v>
      </c>
      <c r="K2145">
        <v>1.1124799999999999</v>
      </c>
      <c r="L2145">
        <v>244.1771</v>
      </c>
      <c r="M2145">
        <v>0.33423700000000001</v>
      </c>
      <c r="N2145">
        <v>0</v>
      </c>
      <c r="O2145">
        <v>-0.94237139999999997</v>
      </c>
      <c r="P2145">
        <v>9.7309820000000005E-2</v>
      </c>
      <c r="Q2145">
        <v>0.16969509999999999</v>
      </c>
      <c r="R2145">
        <v>-0.98068080000000002</v>
      </c>
      <c r="S2145">
        <v>0.4464417</v>
      </c>
      <c r="T2145">
        <v>-0.1631647</v>
      </c>
      <c r="U2145">
        <v>-3.0415649999999999</v>
      </c>
      <c r="V2145">
        <v>0.234399</v>
      </c>
      <c r="W2145">
        <v>0.18609490000000001</v>
      </c>
      <c r="X2145">
        <v>0.95416239999999997</v>
      </c>
      <c r="Y2145">
        <v>0.1940346</v>
      </c>
      <c r="Z2145">
        <v>4.8220279999999997E-2</v>
      </c>
      <c r="AA2145">
        <v>0.97980889999999998</v>
      </c>
      <c r="AB2145">
        <v>40</v>
      </c>
      <c r="AC2145">
        <v>2.9792999999999599</v>
      </c>
      <c r="AD2145">
        <v>-1.1124758099109999</v>
      </c>
      <c r="AE2145">
        <v>-20.562999999999899</v>
      </c>
      <c r="AF2145">
        <v>4.0541370897241</v>
      </c>
      <c r="AG2145">
        <v>-1.1124758099109999</v>
      </c>
      <c r="AH2145">
        <v>20.3177894503104</v>
      </c>
      <c r="AI2145">
        <v>93.073561476642595</v>
      </c>
      <c r="AJ2145">
        <v>78.715614492285994</v>
      </c>
      <c r="AK2145">
        <v>20.748161318947201</v>
      </c>
      <c r="AL2145">
        <v>79.275026337965699</v>
      </c>
      <c r="AM2145">
        <v>76.198061178682394</v>
      </c>
      <c r="AN2145">
        <v>1.00000004429038</v>
      </c>
    </row>
    <row r="2146" spans="1:40" x14ac:dyDescent="0.25">
      <c r="A2146" t="str">
        <f>"20190312164513670"</f>
        <v>20190312164513670</v>
      </c>
      <c r="B2146" t="str">
        <f>"1552380313663670"</f>
        <v>1552380313663670</v>
      </c>
      <c r="C2146" t="s">
        <v>40</v>
      </c>
      <c r="D2146">
        <v>5.475079</v>
      </c>
      <c r="E2146">
        <v>0.49342409999999998</v>
      </c>
      <c r="F2146" t="s">
        <v>46</v>
      </c>
      <c r="G2146">
        <v>-492.95080000000002</v>
      </c>
      <c r="H2146" s="1">
        <v>4.0094299999999997E-6</v>
      </c>
      <c r="I2146">
        <v>222.86170000000001</v>
      </c>
      <c r="J2146">
        <v>-495.89830000000001</v>
      </c>
      <c r="K2146">
        <v>1.1117349999999999</v>
      </c>
      <c r="L2146">
        <v>243.9777</v>
      </c>
      <c r="M2146">
        <v>0.33361809999999997</v>
      </c>
      <c r="N2146">
        <v>0</v>
      </c>
      <c r="O2146">
        <v>-0.94259139999999997</v>
      </c>
      <c r="P2146">
        <v>9.192517E-2</v>
      </c>
      <c r="Q2146">
        <v>0.17019809999999999</v>
      </c>
      <c r="R2146">
        <v>-0.98111320000000002</v>
      </c>
      <c r="S2146">
        <v>0.4309692</v>
      </c>
      <c r="T2146">
        <v>-0.15886040000000001</v>
      </c>
      <c r="U2146">
        <v>-3.0438230000000002</v>
      </c>
      <c r="V2146">
        <v>0.2393335</v>
      </c>
      <c r="W2146">
        <v>0.1861525</v>
      </c>
      <c r="X2146">
        <v>0.95292529999999998</v>
      </c>
      <c r="Y2146">
        <v>0.19836280000000001</v>
      </c>
      <c r="Z2146">
        <v>4.6927150000000001E-2</v>
      </c>
      <c r="AA2146">
        <v>0.9790046</v>
      </c>
      <c r="AB2146">
        <v>40</v>
      </c>
      <c r="AC2146">
        <v>2.94749999999999</v>
      </c>
      <c r="AD2146">
        <v>-1.1117309905699999</v>
      </c>
      <c r="AE2146">
        <v>-21.1159999999999</v>
      </c>
      <c r="AF2146">
        <v>4.2552921399180601</v>
      </c>
      <c r="AG2146">
        <v>-1.1117309905699999</v>
      </c>
      <c r="AH2146">
        <v>20.8327591627631</v>
      </c>
      <c r="AI2146">
        <v>92.992983714538099</v>
      </c>
      <c r="AJ2146">
        <v>78.455587749598394</v>
      </c>
      <c r="AK2146">
        <v>21.291954145289999</v>
      </c>
      <c r="AL2146">
        <v>79.271666411155607</v>
      </c>
      <c r="AM2146">
        <v>75.9014021406349</v>
      </c>
      <c r="AN2146">
        <v>0.99999995242929296</v>
      </c>
    </row>
    <row r="2147" spans="1:40" x14ac:dyDescent="0.25">
      <c r="A2147" t="str">
        <f>"20190312164513682"</f>
        <v>20190312164513682</v>
      </c>
      <c r="B2147" t="str">
        <f>"1552380313673430"</f>
        <v>1552380313673430</v>
      </c>
      <c r="C2147" t="s">
        <v>40</v>
      </c>
      <c r="D2147">
        <v>5.533677</v>
      </c>
      <c r="E2147">
        <v>0.48565550000000002</v>
      </c>
      <c r="F2147" t="s">
        <v>46</v>
      </c>
      <c r="G2147">
        <v>-492.97370000000001</v>
      </c>
      <c r="H2147" s="1">
        <v>3.8778390000000004E-6</v>
      </c>
      <c r="I2147">
        <v>222.45</v>
      </c>
      <c r="J2147">
        <v>-495.82260000000002</v>
      </c>
      <c r="K2147">
        <v>1.110946</v>
      </c>
      <c r="L2147">
        <v>243.76169999999999</v>
      </c>
      <c r="M2147">
        <v>0.33243149999999999</v>
      </c>
      <c r="N2147">
        <v>0</v>
      </c>
      <c r="O2147">
        <v>-0.94301060000000003</v>
      </c>
      <c r="P2147">
        <v>8.6244169999999995E-2</v>
      </c>
      <c r="Q2147">
        <v>0.1703431</v>
      </c>
      <c r="R2147">
        <v>-0.98160369999999997</v>
      </c>
      <c r="S2147">
        <v>0.41384890000000002</v>
      </c>
      <c r="T2147">
        <v>-0.15731529999999999</v>
      </c>
      <c r="U2147">
        <v>-3.046265</v>
      </c>
      <c r="V2147">
        <v>0.24401610000000001</v>
      </c>
      <c r="W2147">
        <v>0.18581329999999999</v>
      </c>
      <c r="X2147">
        <v>0.95180330000000002</v>
      </c>
      <c r="Y2147">
        <v>0.20263110000000001</v>
      </c>
      <c r="Z2147">
        <v>4.6460929999999998E-2</v>
      </c>
      <c r="AA2147">
        <v>0.97815229999999997</v>
      </c>
      <c r="AB2147">
        <v>40</v>
      </c>
      <c r="AC2147">
        <v>2.8489000000000102</v>
      </c>
      <c r="AD2147">
        <v>-1.1109421221610001</v>
      </c>
      <c r="AE2147">
        <v>-21.311699999999998</v>
      </c>
      <c r="AF2147">
        <v>4.3869105288324501</v>
      </c>
      <c r="AG2147">
        <v>-1.1109421221610001</v>
      </c>
      <c r="AH2147">
        <v>20.9905042539602</v>
      </c>
      <c r="AI2147">
        <v>92.965648349650394</v>
      </c>
      <c r="AJ2147">
        <v>78.195381908098497</v>
      </c>
      <c r="AK2147">
        <v>21.472783825631399</v>
      </c>
      <c r="AL2147">
        <v>79.291446546021703</v>
      </c>
      <c r="AM2147">
        <v>75.620640426685199</v>
      </c>
      <c r="AN2147">
        <v>0.99999998070349405</v>
      </c>
    </row>
    <row r="2148" spans="1:40" x14ac:dyDescent="0.25">
      <c r="A2148" t="str">
        <f>"20190312164513693"</f>
        <v>20190312164513693</v>
      </c>
      <c r="B2148" t="str">
        <f>"1552380313684166"</f>
        <v>1552380313684166</v>
      </c>
      <c r="C2148" t="s">
        <v>40</v>
      </c>
      <c r="D2148">
        <v>5.6334400000000002</v>
      </c>
      <c r="E2148">
        <v>0.48611070000000001</v>
      </c>
      <c r="F2148" t="s">
        <v>46</v>
      </c>
      <c r="G2148">
        <v>-490.58870000000002</v>
      </c>
      <c r="H2148" s="1">
        <v>2.7066800000000001E-6</v>
      </c>
      <c r="I2148">
        <v>208.5342</v>
      </c>
      <c r="J2148">
        <v>-495.75619999999998</v>
      </c>
      <c r="K2148">
        <v>1.1102620000000001</v>
      </c>
      <c r="L2148">
        <v>243.57140000000001</v>
      </c>
      <c r="M2148">
        <v>0.33120339999999998</v>
      </c>
      <c r="N2148">
        <v>0</v>
      </c>
      <c r="O2148">
        <v>-0.94344300000000003</v>
      </c>
      <c r="P2148">
        <v>8.1107609999999997E-2</v>
      </c>
      <c r="Q2148">
        <v>0.16961010000000001</v>
      </c>
      <c r="R2148">
        <v>-0.98216840000000005</v>
      </c>
      <c r="S2148">
        <v>0.45065309999999997</v>
      </c>
      <c r="T2148">
        <v>-9.565651E-2</v>
      </c>
      <c r="U2148">
        <v>-3.0332180000000002</v>
      </c>
      <c r="V2148">
        <v>0.24812310000000001</v>
      </c>
      <c r="W2148">
        <v>0.18465309999999999</v>
      </c>
      <c r="X2148">
        <v>0.95096700000000001</v>
      </c>
      <c r="Y2148">
        <v>0.18904170000000001</v>
      </c>
      <c r="Z2148">
        <v>2.8434109999999999E-2</v>
      </c>
      <c r="AA2148">
        <v>0.98155729999999997</v>
      </c>
      <c r="AB2148">
        <v>40</v>
      </c>
      <c r="AC2148">
        <v>5.1674999999999596</v>
      </c>
      <c r="AD2148">
        <v>-1.11025929332</v>
      </c>
      <c r="AE2148">
        <v>-35.037199999999999</v>
      </c>
      <c r="AF2148">
        <v>6.7233297231962101</v>
      </c>
      <c r="AG2148">
        <v>-1.11025929332</v>
      </c>
      <c r="AH2148">
        <v>34.736775262224398</v>
      </c>
      <c r="AI2148">
        <v>91.79733480678</v>
      </c>
      <c r="AJ2148">
        <v>79.045805559296596</v>
      </c>
      <c r="AK2148">
        <v>35.398861477221203</v>
      </c>
      <c r="AL2148">
        <v>79.359092355118193</v>
      </c>
      <c r="AM2148">
        <v>75.376601521949397</v>
      </c>
      <c r="AN2148">
        <v>1.0000000375911</v>
      </c>
    </row>
    <row r="2149" spans="1:40" x14ac:dyDescent="0.25">
      <c r="A2149" t="str">
        <f>"20190312164513703"</f>
        <v>20190312164513703</v>
      </c>
      <c r="B2149" t="str">
        <f>"1552380313693927"</f>
        <v>1552380313693927</v>
      </c>
      <c r="C2149" t="s">
        <v>40</v>
      </c>
      <c r="D2149">
        <v>5.5263710000000001</v>
      </c>
      <c r="E2149">
        <v>0.48611070000000001</v>
      </c>
      <c r="F2149" t="s">
        <v>46</v>
      </c>
      <c r="G2149">
        <v>-490.89089999999999</v>
      </c>
      <c r="H2149" s="1">
        <v>2.8852240000000002E-6</v>
      </c>
      <c r="I2149">
        <v>209.26050000000001</v>
      </c>
      <c r="J2149">
        <v>-495.6934</v>
      </c>
      <c r="K2149">
        <v>1.1096299999999999</v>
      </c>
      <c r="L2149">
        <v>243.39019999999999</v>
      </c>
      <c r="M2149">
        <v>0.32980389999999998</v>
      </c>
      <c r="N2149">
        <v>0</v>
      </c>
      <c r="O2149">
        <v>-0.94393340000000003</v>
      </c>
      <c r="P2149">
        <v>7.5854459999999999E-2</v>
      </c>
      <c r="Q2149">
        <v>0.16844990000000001</v>
      </c>
      <c r="R2149">
        <v>-0.98278739999999998</v>
      </c>
      <c r="S2149">
        <v>0.430481</v>
      </c>
      <c r="T2149">
        <v>-9.8236680000000007E-2</v>
      </c>
      <c r="U2149">
        <v>-3.0358580000000002</v>
      </c>
      <c r="V2149">
        <v>0.25216159999999999</v>
      </c>
      <c r="W2149">
        <v>0.183089</v>
      </c>
      <c r="X2149">
        <v>0.95020680000000002</v>
      </c>
      <c r="Y2149">
        <v>0.19409750000000001</v>
      </c>
      <c r="Z2149">
        <v>2.9195550000000001E-2</v>
      </c>
      <c r="AA2149">
        <v>0.98054770000000002</v>
      </c>
      <c r="AB2149">
        <v>40</v>
      </c>
      <c r="AC2149">
        <v>4.8025000000000002</v>
      </c>
      <c r="AD2149">
        <v>-1.109627114776</v>
      </c>
      <c r="AE2149">
        <v>-34.1296999999999</v>
      </c>
      <c r="AF2149">
        <v>6.7166428271146801</v>
      </c>
      <c r="AG2149">
        <v>-1.109627114776</v>
      </c>
      <c r="AH2149">
        <v>33.768749106300099</v>
      </c>
      <c r="AI2149">
        <v>91.845904793500296</v>
      </c>
      <c r="AJ2149">
        <v>78.7506185814688</v>
      </c>
      <c r="AK2149">
        <v>34.448120114240297</v>
      </c>
      <c r="AL2149">
        <v>79.450262808921806</v>
      </c>
      <c r="AM2149">
        <v>75.137672230941803</v>
      </c>
      <c r="AN2149">
        <v>1.0000000086009</v>
      </c>
    </row>
    <row r="2150" spans="1:40" x14ac:dyDescent="0.25">
      <c r="A2150" t="str">
        <f>"20190312164513714"</f>
        <v>20190312164513714</v>
      </c>
      <c r="B2150" t="str">
        <f>"1552380313703686"</f>
        <v>1552380313703686</v>
      </c>
      <c r="C2150" t="s">
        <v>40</v>
      </c>
      <c r="D2150">
        <v>5.568181</v>
      </c>
      <c r="E2150">
        <v>0.48662539999999999</v>
      </c>
      <c r="F2150" t="s">
        <v>46</v>
      </c>
      <c r="G2150">
        <v>-491.1841</v>
      </c>
      <c r="H2150" s="1">
        <v>2.9097939999999999E-6</v>
      </c>
      <c r="I2150">
        <v>210.29040000000001</v>
      </c>
      <c r="J2150">
        <v>-495.63260000000002</v>
      </c>
      <c r="K2150">
        <v>1.1090370000000001</v>
      </c>
      <c r="L2150">
        <v>243.21350000000001</v>
      </c>
      <c r="M2150">
        <v>0.32823999999999998</v>
      </c>
      <c r="N2150">
        <v>0</v>
      </c>
      <c r="O2150">
        <v>-0.9444785</v>
      </c>
      <c r="P2150">
        <v>7.0744539999999995E-2</v>
      </c>
      <c r="Q2150">
        <v>0.166546</v>
      </c>
      <c r="R2150">
        <v>-0.98349260000000005</v>
      </c>
      <c r="S2150">
        <v>0.41387940000000001</v>
      </c>
      <c r="T2150">
        <v>-0.1018462</v>
      </c>
      <c r="U2150">
        <v>-3.0380400000000001</v>
      </c>
      <c r="V2150">
        <v>0.25591069999999999</v>
      </c>
      <c r="W2150">
        <v>0.1807966</v>
      </c>
      <c r="X2150">
        <v>0.94964329999999997</v>
      </c>
      <c r="Y2150">
        <v>0.19783020000000001</v>
      </c>
      <c r="Z2150">
        <v>3.0270620000000002E-2</v>
      </c>
      <c r="AA2150">
        <v>0.9797688</v>
      </c>
      <c r="AB2150">
        <v>40</v>
      </c>
      <c r="AC2150">
        <v>4.4485000000000197</v>
      </c>
      <c r="AD2150">
        <v>-1.1090340902060001</v>
      </c>
      <c r="AE2150">
        <v>-32.923099999999998</v>
      </c>
      <c r="AF2150">
        <v>6.5985354396518003</v>
      </c>
      <c r="AG2150">
        <v>-1.1090340902060001</v>
      </c>
      <c r="AH2150">
        <v>32.5226565409329</v>
      </c>
      <c r="AI2150">
        <v>91.914080643201203</v>
      </c>
      <c r="AJ2150">
        <v>78.5309171133013</v>
      </c>
      <c r="AK2150">
        <v>33.203822295649402</v>
      </c>
      <c r="AL2150">
        <v>79.583837564894495</v>
      </c>
      <c r="AM2150">
        <v>74.918151602750697</v>
      </c>
      <c r="AN2150">
        <v>1.00000004709046</v>
      </c>
    </row>
    <row r="2151" spans="1:40" x14ac:dyDescent="0.25">
      <c r="A2151" t="str">
        <f>"20190312164513725"</f>
        <v>20190312164513725</v>
      </c>
      <c r="B2151" t="str">
        <f>"1552380313713446"</f>
        <v>1552380313713446</v>
      </c>
      <c r="C2151" t="s">
        <v>40</v>
      </c>
      <c r="D2151">
        <v>5.5140469999999997</v>
      </c>
      <c r="E2151">
        <v>0.48650470000000001</v>
      </c>
      <c r="F2151" t="s">
        <v>46</v>
      </c>
      <c r="G2151">
        <v>-491.51319999999998</v>
      </c>
      <c r="H2151" s="1">
        <v>2.8986519999999998E-6</v>
      </c>
      <c r="I2151">
        <v>211.37100000000001</v>
      </c>
      <c r="J2151">
        <v>-495.57</v>
      </c>
      <c r="K2151">
        <v>1.108439</v>
      </c>
      <c r="L2151">
        <v>243.03020000000001</v>
      </c>
      <c r="M2151">
        <v>0.32645760000000001</v>
      </c>
      <c r="N2151">
        <v>0</v>
      </c>
      <c r="O2151">
        <v>-0.9450963</v>
      </c>
      <c r="P2151">
        <v>6.5951579999999996E-2</v>
      </c>
      <c r="Q2151">
        <v>0.16495950000000001</v>
      </c>
      <c r="R2151">
        <v>-0.98409290000000005</v>
      </c>
      <c r="S2151">
        <v>0.39328000000000002</v>
      </c>
      <c r="T2151">
        <v>-0.10587969999999999</v>
      </c>
      <c r="U2151">
        <v>-3.040009</v>
      </c>
      <c r="V2151">
        <v>0.25910569999999999</v>
      </c>
      <c r="W2151">
        <v>0.17880869999999999</v>
      </c>
      <c r="X2151">
        <v>0.94915309999999997</v>
      </c>
      <c r="Y2151">
        <v>0.2025921</v>
      </c>
      <c r="Z2151">
        <v>3.1475679999999999E-2</v>
      </c>
      <c r="AA2151">
        <v>0.97875730000000005</v>
      </c>
      <c r="AB2151">
        <v>40</v>
      </c>
      <c r="AC2151">
        <v>4.0568000000000097</v>
      </c>
      <c r="AD2151">
        <v>-1.108436101348</v>
      </c>
      <c r="AE2151">
        <v>-31.659199999999998</v>
      </c>
      <c r="AF2151">
        <v>6.4941978813864196</v>
      </c>
      <c r="AG2151">
        <v>-1.108436101348</v>
      </c>
      <c r="AH2151">
        <v>31.211138102203201</v>
      </c>
      <c r="AI2151">
        <v>91.991339610210204</v>
      </c>
      <c r="AJ2151">
        <v>78.246002519549094</v>
      </c>
      <c r="AK2151">
        <v>31.898877383822999</v>
      </c>
      <c r="AL2151">
        <v>79.699621952603707</v>
      </c>
      <c r="AM2151">
        <v>74.731073720656894</v>
      </c>
      <c r="AN2151">
        <v>0.999999961103894</v>
      </c>
    </row>
    <row r="2152" spans="1:40" x14ac:dyDescent="0.25">
      <c r="A2152" t="str">
        <f>"20190312164513735"</f>
        <v>20190312164513735</v>
      </c>
      <c r="B2152" t="str">
        <f>"1552380313724182"</f>
        <v>1552380313724182</v>
      </c>
      <c r="C2152" t="s">
        <v>40</v>
      </c>
      <c r="D2152">
        <v>5.5730300000000002</v>
      </c>
      <c r="E2152">
        <v>0.48666609999999999</v>
      </c>
      <c r="F2152" t="s">
        <v>46</v>
      </c>
      <c r="G2152">
        <v>-491.774</v>
      </c>
      <c r="H2152" s="1">
        <v>2.904405E-6</v>
      </c>
      <c r="I2152">
        <v>212.56100000000001</v>
      </c>
      <c r="J2152">
        <v>-495.51</v>
      </c>
      <c r="K2152">
        <v>1.10789</v>
      </c>
      <c r="L2152">
        <v>242.85300000000001</v>
      </c>
      <c r="M2152">
        <v>0.32451770000000002</v>
      </c>
      <c r="N2152">
        <v>0</v>
      </c>
      <c r="O2152">
        <v>-0.94576420000000005</v>
      </c>
      <c r="P2152">
        <v>6.107452E-2</v>
      </c>
      <c r="Q2152">
        <v>0.16353470000000001</v>
      </c>
      <c r="R2152">
        <v>-0.98464549999999995</v>
      </c>
      <c r="S2152">
        <v>0.37893680000000002</v>
      </c>
      <c r="T2152">
        <v>-0.110651</v>
      </c>
      <c r="U2152">
        <v>-3.0416259999999999</v>
      </c>
      <c r="V2152">
        <v>0.26218609999999998</v>
      </c>
      <c r="W2152">
        <v>0.17700360000000001</v>
      </c>
      <c r="X2152">
        <v>0.94864550000000003</v>
      </c>
      <c r="Y2152">
        <v>0.2051962</v>
      </c>
      <c r="Z2152">
        <v>3.291003E-2</v>
      </c>
      <c r="AA2152">
        <v>0.97816740000000002</v>
      </c>
      <c r="AB2152">
        <v>40</v>
      </c>
      <c r="AC2152">
        <v>3.73599999999999</v>
      </c>
      <c r="AD2152">
        <v>-1.107887095595</v>
      </c>
      <c r="AE2152">
        <v>-30.291999999999899</v>
      </c>
      <c r="AF2152">
        <v>6.2893159539365797</v>
      </c>
      <c r="AG2152">
        <v>-1.107887095595</v>
      </c>
      <c r="AH2152">
        <v>29.825450212141</v>
      </c>
      <c r="AI2152">
        <v>92.081578243443204</v>
      </c>
      <c r="AJ2152">
        <v>78.092444537557299</v>
      </c>
      <c r="AK2152">
        <v>30.5014817564971</v>
      </c>
      <c r="AL2152">
        <v>79.804724184618394</v>
      </c>
      <c r="AM2152">
        <v>74.550296148827201</v>
      </c>
      <c r="AN2152">
        <v>1.0000000550582</v>
      </c>
    </row>
    <row r="2153" spans="1:40" x14ac:dyDescent="0.25">
      <c r="A2153" t="str">
        <f>"20190312164513746"</f>
        <v>20190312164513746</v>
      </c>
      <c r="B2153" t="str">
        <f>"1552380313743702"</f>
        <v>1552380313743702</v>
      </c>
      <c r="C2153" t="s">
        <v>40</v>
      </c>
      <c r="D2153">
        <v>5.5212909999999997</v>
      </c>
      <c r="E2153">
        <v>0.48671409999999998</v>
      </c>
      <c r="F2153" t="s">
        <v>46</v>
      </c>
      <c r="G2153">
        <v>-492.01260000000002</v>
      </c>
      <c r="H2153" s="1">
        <v>2.8989709999999999E-6</v>
      </c>
      <c r="I2153">
        <v>213.40469999999999</v>
      </c>
      <c r="J2153">
        <v>-495.44580000000002</v>
      </c>
      <c r="K2153">
        <v>1.1073040000000001</v>
      </c>
      <c r="L2153">
        <v>242.6619</v>
      </c>
      <c r="M2153">
        <v>0.32231219999999999</v>
      </c>
      <c r="N2153">
        <v>0</v>
      </c>
      <c r="O2153">
        <v>-0.94651839999999998</v>
      </c>
      <c r="P2153">
        <v>5.6126959999999997E-2</v>
      </c>
      <c r="Q2153">
        <v>0.16186020000000001</v>
      </c>
      <c r="R2153">
        <v>-0.98521630000000004</v>
      </c>
      <c r="S2153">
        <v>0.3614502</v>
      </c>
      <c r="T2153">
        <v>-0.1144965</v>
      </c>
      <c r="U2153">
        <v>-3.0433810000000001</v>
      </c>
      <c r="V2153">
        <v>0.26508500000000002</v>
      </c>
      <c r="W2153">
        <v>0.17492179999999999</v>
      </c>
      <c r="X2153">
        <v>0.94822589999999995</v>
      </c>
      <c r="Y2153">
        <v>0.20852560000000001</v>
      </c>
      <c r="Z2153">
        <v>3.4072320000000003E-2</v>
      </c>
      <c r="AA2153">
        <v>0.97742320000000005</v>
      </c>
      <c r="AB2153">
        <v>40</v>
      </c>
      <c r="AC2153">
        <v>3.4331999999999998</v>
      </c>
      <c r="AD2153">
        <v>-1.1073011010289999</v>
      </c>
      <c r="AE2153">
        <v>-29.257200000000001</v>
      </c>
      <c r="AF2153">
        <v>6.1723173975843704</v>
      </c>
      <c r="AG2153">
        <v>-1.1073011010289999</v>
      </c>
      <c r="AH2153">
        <v>28.7615379997332</v>
      </c>
      <c r="AI2153">
        <v>92.155728679307302</v>
      </c>
      <c r="AJ2153">
        <v>77.8878533963736</v>
      </c>
      <c r="AK2153">
        <v>29.437216001092199</v>
      </c>
      <c r="AL2153">
        <v>79.925892873740693</v>
      </c>
      <c r="AM2153">
        <v>74.381191442021105</v>
      </c>
      <c r="AN2153">
        <v>1.0000000253855199</v>
      </c>
    </row>
    <row r="2154" spans="1:40" x14ac:dyDescent="0.25">
      <c r="A2154" t="str">
        <f>"20190312164513758"</f>
        <v>20190312164513758</v>
      </c>
      <c r="B2154" t="str">
        <f>"1552380313753463"</f>
        <v>1552380313753463</v>
      </c>
      <c r="C2154" t="s">
        <v>40</v>
      </c>
      <c r="D2154">
        <v>5.407108</v>
      </c>
      <c r="E2154">
        <v>0.48647010000000002</v>
      </c>
      <c r="F2154" t="s">
        <v>46</v>
      </c>
      <c r="G2154">
        <v>-492.16410000000002</v>
      </c>
      <c r="H2154" s="1">
        <v>2.8837730000000001E-6</v>
      </c>
      <c r="I2154">
        <v>213.672</v>
      </c>
      <c r="J2154">
        <v>-495.38119999999998</v>
      </c>
      <c r="K2154">
        <v>1.1067370000000001</v>
      </c>
      <c r="L2154">
        <v>242.46700000000001</v>
      </c>
      <c r="M2154">
        <v>0.31979180000000001</v>
      </c>
      <c r="N2154">
        <v>0</v>
      </c>
      <c r="O2154">
        <v>-0.94737309999999997</v>
      </c>
      <c r="P2154">
        <v>5.11111E-2</v>
      </c>
      <c r="Q2154">
        <v>0.16099189999999999</v>
      </c>
      <c r="R2154">
        <v>-0.98563160000000005</v>
      </c>
      <c r="S2154">
        <v>0.34463500000000002</v>
      </c>
      <c r="T2154">
        <v>-0.1162864</v>
      </c>
      <c r="U2154">
        <v>-3.0444640000000001</v>
      </c>
      <c r="V2154">
        <v>0.26767760000000002</v>
      </c>
      <c r="W2154">
        <v>0.173655</v>
      </c>
      <c r="X2154">
        <v>0.94773019999999997</v>
      </c>
      <c r="Y2154">
        <v>0.21129120000000001</v>
      </c>
      <c r="Z2154">
        <v>3.4639080000000003E-2</v>
      </c>
      <c r="AA2154">
        <v>0.97680909999999999</v>
      </c>
      <c r="AB2154">
        <v>40</v>
      </c>
      <c r="AC2154">
        <v>3.2170999999999501</v>
      </c>
      <c r="AD2154">
        <v>-1.1067341162269999</v>
      </c>
      <c r="AE2154">
        <v>-28.795000000000002</v>
      </c>
      <c r="AF2154">
        <v>6.1523042795848601</v>
      </c>
      <c r="AG2154">
        <v>-1.1067341162269999</v>
      </c>
      <c r="AH2154">
        <v>28.270241236611199</v>
      </c>
      <c r="AI2154">
        <v>92.1906682509413</v>
      </c>
      <c r="AJ2154">
        <v>77.7224548362109</v>
      </c>
      <c r="AK2154">
        <v>28.953104288293702</v>
      </c>
      <c r="AL2154">
        <v>79.9996025157877</v>
      </c>
      <c r="AM2154">
        <v>74.228159562341503</v>
      </c>
      <c r="AN2154">
        <v>0.99999994427939798</v>
      </c>
    </row>
    <row r="2155" spans="1:40" x14ac:dyDescent="0.25">
      <c r="A2155" t="str">
        <f>"20190312164513771"</f>
        <v>20190312164513771</v>
      </c>
      <c r="B2155" t="str">
        <f>"1552380313763222"</f>
        <v>1552380313763222</v>
      </c>
      <c r="C2155" t="s">
        <v>40</v>
      </c>
      <c r="D2155">
        <v>5.5180230000000003</v>
      </c>
      <c r="E2155">
        <v>0.48652620000000002</v>
      </c>
      <c r="F2155" t="s">
        <v>46</v>
      </c>
      <c r="G2155">
        <v>-492.24900000000002</v>
      </c>
      <c r="H2155" s="1">
        <v>2.8655890000000001E-6</v>
      </c>
      <c r="I2155">
        <v>213.60040000000001</v>
      </c>
      <c r="J2155">
        <v>-495.31540000000001</v>
      </c>
      <c r="K2155">
        <v>1.1061620000000001</v>
      </c>
      <c r="L2155">
        <v>242.26740000000001</v>
      </c>
      <c r="M2155">
        <v>0.3171254</v>
      </c>
      <c r="N2155">
        <v>0</v>
      </c>
      <c r="O2155">
        <v>-0.94826940000000004</v>
      </c>
      <c r="P2155">
        <v>4.610467E-2</v>
      </c>
      <c r="Q2155">
        <v>0.16009209999999999</v>
      </c>
      <c r="R2155">
        <v>-0.98602529999999999</v>
      </c>
      <c r="S2155">
        <v>0.33047490000000002</v>
      </c>
      <c r="T2155">
        <v>-0.11676930000000001</v>
      </c>
      <c r="U2155">
        <v>-3.0456539999999999</v>
      </c>
      <c r="V2155">
        <v>0.27011289999999999</v>
      </c>
      <c r="W2155">
        <v>0.17234849999999999</v>
      </c>
      <c r="X2155">
        <v>0.9472777</v>
      </c>
      <c r="Y2155">
        <v>0.2130707</v>
      </c>
      <c r="Z2155">
        <v>3.4820839999999999E-2</v>
      </c>
      <c r="AA2155">
        <v>0.97641610000000001</v>
      </c>
      <c r="AB2155">
        <v>40</v>
      </c>
      <c r="AC2155">
        <v>3.0663999999999798</v>
      </c>
      <c r="AD2155">
        <v>-1.106159134411</v>
      </c>
      <c r="AE2155">
        <v>-28.666999999999899</v>
      </c>
      <c r="AF2155">
        <v>6.1748405625832996</v>
      </c>
      <c r="AG2155">
        <v>-1.106159134411</v>
      </c>
      <c r="AH2155">
        <v>28.118130431763699</v>
      </c>
      <c r="AI2155">
        <v>92.200456572839698</v>
      </c>
      <c r="AJ2155">
        <v>77.614250898734895</v>
      </c>
      <c r="AK2155">
        <v>28.809399559547199</v>
      </c>
      <c r="AL2155">
        <v>80.0756061557788</v>
      </c>
      <c r="AM2155">
        <v>74.084686265396897</v>
      </c>
      <c r="AN2155">
        <v>1.00000001255797</v>
      </c>
    </row>
    <row r="2156" spans="1:40" x14ac:dyDescent="0.25">
      <c r="A2156" t="str">
        <f>"20190312164513783"</f>
        <v>20190312164513783</v>
      </c>
      <c r="B2156" t="str">
        <f>"1552380313773958"</f>
        <v>1552380313773958</v>
      </c>
      <c r="C2156" t="s">
        <v>40</v>
      </c>
      <c r="D2156">
        <v>5.4704139999999999</v>
      </c>
      <c r="E2156">
        <v>0.48651070000000002</v>
      </c>
      <c r="F2156" t="s">
        <v>46</v>
      </c>
      <c r="G2156">
        <v>-492.40780000000001</v>
      </c>
      <c r="H2156" s="1">
        <v>2.8573039999999998E-6</v>
      </c>
      <c r="I2156">
        <v>214.05549999999999</v>
      </c>
      <c r="J2156">
        <v>-495.2371</v>
      </c>
      <c r="K2156">
        <v>1.1055109999999999</v>
      </c>
      <c r="L2156">
        <v>242.02500000000001</v>
      </c>
      <c r="M2156">
        <v>0.3135619</v>
      </c>
      <c r="N2156">
        <v>0</v>
      </c>
      <c r="O2156">
        <v>-0.94945369999999996</v>
      </c>
      <c r="P2156">
        <v>4.0498819999999998E-2</v>
      </c>
      <c r="Q2156">
        <v>0.159367799999999</v>
      </c>
      <c r="R2156">
        <v>-0.9863885</v>
      </c>
      <c r="S2156">
        <v>0.31405640000000001</v>
      </c>
      <c r="T2156">
        <v>-0.1194791</v>
      </c>
      <c r="U2156">
        <v>-3.0472410000000001</v>
      </c>
      <c r="V2156">
        <v>0.27224870000000001</v>
      </c>
      <c r="W2156">
        <v>0.17116519999999999</v>
      </c>
      <c r="X2156">
        <v>0.94688079999999997</v>
      </c>
      <c r="Y2156">
        <v>0.2146614</v>
      </c>
      <c r="Z2156">
        <v>3.5680490000000002E-2</v>
      </c>
      <c r="AA2156">
        <v>0.97603649999999997</v>
      </c>
      <c r="AB2156">
        <v>40</v>
      </c>
      <c r="AC2156">
        <v>2.8292999999999799</v>
      </c>
      <c r="AD2156">
        <v>-1.1055081426960001</v>
      </c>
      <c r="AE2156">
        <v>-27.9695</v>
      </c>
      <c r="AF2156">
        <v>6.0751443730732699</v>
      </c>
      <c r="AG2156">
        <v>-1.1055081426960001</v>
      </c>
      <c r="AH2156">
        <v>27.403500713370502</v>
      </c>
      <c r="AI2156">
        <v>92.255463753442697</v>
      </c>
      <c r="AJ2156">
        <v>77.500130479063799</v>
      </c>
      <c r="AK2156">
        <v>28.090592353222998</v>
      </c>
      <c r="AL2156">
        <v>80.144427496541297</v>
      </c>
      <c r="AM2156">
        <v>73.9589126253031</v>
      </c>
      <c r="AN2156">
        <v>1.0000000648756799</v>
      </c>
    </row>
    <row r="2157" spans="1:40" x14ac:dyDescent="0.25">
      <c r="A2157" t="str">
        <f>"20190312164513804"</f>
        <v>20190312164513804</v>
      </c>
      <c r="B2157" t="str">
        <f>"1552380313793477"</f>
        <v>1552380313793477</v>
      </c>
      <c r="C2157" t="s">
        <v>40</v>
      </c>
      <c r="D2157">
        <v>5.2572349999999997</v>
      </c>
      <c r="E2157">
        <v>0.48630220000000002</v>
      </c>
      <c r="F2157" t="s">
        <v>46</v>
      </c>
      <c r="G2157">
        <v>-492.53879999999998</v>
      </c>
      <c r="H2157" s="1">
        <v>2.8407709999999998E-6</v>
      </c>
      <c r="I2157">
        <v>214.20869999999999</v>
      </c>
      <c r="J2157">
        <v>-495.13029999999998</v>
      </c>
      <c r="K2157">
        <v>1.1046739999999999</v>
      </c>
      <c r="L2157">
        <v>241.6893</v>
      </c>
      <c r="M2157">
        <v>0.30828719999999998</v>
      </c>
      <c r="N2157">
        <v>0</v>
      </c>
      <c r="O2157">
        <v>-0.95117940000000001</v>
      </c>
      <c r="P2157">
        <v>3.2635650000000002E-2</v>
      </c>
      <c r="Q2157">
        <v>0.1573128</v>
      </c>
      <c r="R2157">
        <v>-0.98700949999999998</v>
      </c>
      <c r="S2157">
        <v>0.2957458</v>
      </c>
      <c r="T2157">
        <v>-0.1211708</v>
      </c>
      <c r="U2157">
        <v>-3.0488430000000002</v>
      </c>
      <c r="V2157">
        <v>0.27497509999999997</v>
      </c>
      <c r="W2157">
        <v>0.16851629999999901</v>
      </c>
      <c r="X2157">
        <v>0.94656799999999996</v>
      </c>
      <c r="Y2157">
        <v>0.21509829999999999</v>
      </c>
      <c r="Z2157">
        <v>3.6275689999999999E-2</v>
      </c>
      <c r="AA2157">
        <v>0.97591850000000002</v>
      </c>
      <c r="AB2157">
        <v>40</v>
      </c>
      <c r="AC2157">
        <v>2.5914999999999901</v>
      </c>
      <c r="AD2157">
        <v>-1.1046711592289999</v>
      </c>
      <c r="AE2157">
        <v>-27.480599999999999</v>
      </c>
      <c r="AF2157">
        <v>5.9979802404886504</v>
      </c>
      <c r="AG2157">
        <v>-1.1046711592289999</v>
      </c>
      <c r="AH2157">
        <v>26.897745925864101</v>
      </c>
      <c r="AI2157">
        <v>92.295458595134406</v>
      </c>
      <c r="AJ2157">
        <v>77.429173555102693</v>
      </c>
      <c r="AK2157">
        <v>27.580514883295098</v>
      </c>
      <c r="AL2157">
        <v>80.298435333072604</v>
      </c>
      <c r="AM2157">
        <v>73.801581114953905</v>
      </c>
      <c r="AN2157">
        <v>1.0000000138048499</v>
      </c>
    </row>
    <row r="2158" spans="1:40" x14ac:dyDescent="0.25">
      <c r="A2158" t="str">
        <f>"20190312164513816"</f>
        <v>20190312164513816</v>
      </c>
      <c r="B2158" t="str">
        <f>"1552380313803238"</f>
        <v>1552380313803238</v>
      </c>
      <c r="C2158" t="s">
        <v>40</v>
      </c>
      <c r="D2158">
        <v>5.4721909999999996</v>
      </c>
      <c r="E2158">
        <v>0.4864445</v>
      </c>
      <c r="F2158" t="s">
        <v>46</v>
      </c>
      <c r="G2158">
        <v>-492.7296</v>
      </c>
      <c r="H2158" s="1">
        <v>2.828756E-6</v>
      </c>
      <c r="I2158">
        <v>214.7079</v>
      </c>
      <c r="J2158">
        <v>-495.06420000000003</v>
      </c>
      <c r="K2158">
        <v>1.10419</v>
      </c>
      <c r="L2158">
        <v>241.47710000000001</v>
      </c>
      <c r="M2158">
        <v>0.30473050000000002</v>
      </c>
      <c r="N2158">
        <v>0</v>
      </c>
      <c r="O2158">
        <v>-0.95232490000000003</v>
      </c>
      <c r="P2158">
        <v>2.8463869999999999E-2</v>
      </c>
      <c r="Q2158">
        <v>0.15695599999999901</v>
      </c>
      <c r="R2158">
        <v>-0.98719539999999995</v>
      </c>
      <c r="S2158">
        <v>0.27142329999999998</v>
      </c>
      <c r="T2158">
        <v>-0.124889899999999</v>
      </c>
      <c r="U2158">
        <v>-3.0504150000000001</v>
      </c>
      <c r="V2158">
        <v>0.27565309999999998</v>
      </c>
      <c r="W2158">
        <v>0.16782159999999999</v>
      </c>
      <c r="X2158">
        <v>0.94649419999999995</v>
      </c>
      <c r="Y2158">
        <v>0.21921350000000001</v>
      </c>
      <c r="Z2158">
        <v>3.743163E-2</v>
      </c>
      <c r="AA2158">
        <v>0.97495860000000001</v>
      </c>
      <c r="AB2158">
        <v>40</v>
      </c>
      <c r="AC2158">
        <v>2.33460000000002</v>
      </c>
      <c r="AD2158">
        <v>-1.1041871712439999</v>
      </c>
      <c r="AE2158">
        <v>-26.769200000000001</v>
      </c>
      <c r="AF2158">
        <v>5.9247323411325796</v>
      </c>
      <c r="AG2158">
        <v>-1.1041871712439999</v>
      </c>
      <c r="AH2158">
        <v>26.163059383829101</v>
      </c>
      <c r="AI2158">
        <v>92.357068502108405</v>
      </c>
      <c r="AJ2158">
        <v>77.240341404784999</v>
      </c>
      <c r="AK2158">
        <v>26.848228227295898</v>
      </c>
      <c r="AL2158">
        <v>80.3388135979922</v>
      </c>
      <c r="AM2158">
        <v>73.762543489475803</v>
      </c>
      <c r="AN2158">
        <v>0.99999999579990495</v>
      </c>
    </row>
    <row r="2159" spans="1:40" x14ac:dyDescent="0.25">
      <c r="A2159" t="str">
        <f>"20190312164513826"</f>
        <v>20190312164513826</v>
      </c>
      <c r="B2159" t="str">
        <f>"1552380313823734"</f>
        <v>1552380313823734</v>
      </c>
      <c r="C2159" t="s">
        <v>40</v>
      </c>
      <c r="D2159">
        <v>5.5354010000000002</v>
      </c>
      <c r="E2159">
        <v>0.48642469999999999</v>
      </c>
      <c r="F2159" t="s">
        <v>46</v>
      </c>
      <c r="G2159">
        <v>-492.80470000000003</v>
      </c>
      <c r="H2159" s="1">
        <v>2.8071039999999999E-6</v>
      </c>
      <c r="I2159">
        <v>214.51769999999999</v>
      </c>
      <c r="J2159">
        <v>-495.00439999999998</v>
      </c>
      <c r="K2159">
        <v>1.103764</v>
      </c>
      <c r="L2159">
        <v>241.2833</v>
      </c>
      <c r="M2159">
        <v>0.30138510000000002</v>
      </c>
      <c r="N2159">
        <v>0</v>
      </c>
      <c r="O2159">
        <v>-0.95338909999999999</v>
      </c>
      <c r="P2159">
        <v>2.4769269999999999E-2</v>
      </c>
      <c r="Q2159">
        <v>0.1574065</v>
      </c>
      <c r="R2159">
        <v>-0.98722350000000003</v>
      </c>
      <c r="S2159">
        <v>0.2557373</v>
      </c>
      <c r="T2159">
        <v>-0.1249777</v>
      </c>
      <c r="U2159">
        <v>-3.0514070000000002</v>
      </c>
      <c r="V2159">
        <v>0.27603129999999998</v>
      </c>
      <c r="W2159">
        <v>0.16797619999999999</v>
      </c>
      <c r="X2159">
        <v>0.94635650000000004</v>
      </c>
      <c r="Y2159">
        <v>0.2207904</v>
      </c>
      <c r="Z2159">
        <v>3.7510790000000002E-2</v>
      </c>
      <c r="AA2159">
        <v>0.97459969999999996</v>
      </c>
      <c r="AB2159">
        <v>40</v>
      </c>
      <c r="AC2159">
        <v>2.1996999999999498</v>
      </c>
      <c r="AD2159">
        <v>-1.1037611928960001</v>
      </c>
      <c r="AE2159">
        <v>-26.765599999999999</v>
      </c>
      <c r="AF2159">
        <v>5.9601608690396501</v>
      </c>
      <c r="AG2159">
        <v>-1.1037611928960001</v>
      </c>
      <c r="AH2159">
        <v>26.139665034791101</v>
      </c>
      <c r="AI2159">
        <v>92.357473645926106</v>
      </c>
      <c r="AJ2159">
        <v>77.155456152607997</v>
      </c>
      <c r="AK2159">
        <v>26.833260973777499</v>
      </c>
      <c r="AL2159">
        <v>80.329827703644497</v>
      </c>
      <c r="AM2159">
        <v>73.739200823661307</v>
      </c>
      <c r="AN2159">
        <v>0.99999995371918804</v>
      </c>
    </row>
    <row r="2160" spans="1:40" x14ac:dyDescent="0.25">
      <c r="A2160" t="str">
        <f>"20190312164513840"</f>
        <v>20190312164513840</v>
      </c>
      <c r="B2160" t="str">
        <f>"1552380313833494"</f>
        <v>1552380313833494</v>
      </c>
      <c r="C2160" t="s">
        <v>40</v>
      </c>
      <c r="D2160">
        <v>5.300853</v>
      </c>
      <c r="E2160">
        <v>0.48640899999999998</v>
      </c>
      <c r="F2160" t="s">
        <v>46</v>
      </c>
      <c r="G2160">
        <v>-492.8655</v>
      </c>
      <c r="H2160" s="1">
        <v>2.793123E-6</v>
      </c>
      <c r="I2160">
        <v>214.4443</v>
      </c>
      <c r="J2160">
        <v>-494.94139999999999</v>
      </c>
      <c r="K2160">
        <v>1.1033409999999999</v>
      </c>
      <c r="L2160">
        <v>241.0744</v>
      </c>
      <c r="M2160">
        <v>0.29756320000000003</v>
      </c>
      <c r="N2160">
        <v>0</v>
      </c>
      <c r="O2160">
        <v>-0.95458909999999997</v>
      </c>
      <c r="P2160">
        <v>2.094501E-2</v>
      </c>
      <c r="Q2160">
        <v>0.15791620000000001</v>
      </c>
      <c r="R2160">
        <v>-0.98723090000000002</v>
      </c>
      <c r="S2160">
        <v>0.24328610000000001</v>
      </c>
      <c r="T2160">
        <v>-0.12554509999999999</v>
      </c>
      <c r="U2160">
        <v>-3.0527500000000001</v>
      </c>
      <c r="V2160">
        <v>0.2760611</v>
      </c>
      <c r="W2160">
        <v>0.1682023</v>
      </c>
      <c r="X2160">
        <v>0.94630769999999997</v>
      </c>
      <c r="Y2160">
        <v>0.22086800000000001</v>
      </c>
      <c r="Z2160">
        <v>3.7742980000000002E-2</v>
      </c>
      <c r="AA2160">
        <v>0.97457309999999997</v>
      </c>
      <c r="AB2160">
        <v>40</v>
      </c>
      <c r="AC2160">
        <v>2.0758999999999901</v>
      </c>
      <c r="AD2160">
        <v>-1.1033382068769999</v>
      </c>
      <c r="AE2160">
        <v>-26.630099999999999</v>
      </c>
      <c r="AF2160">
        <v>5.9330243611224898</v>
      </c>
      <c r="AG2160">
        <v>-1.1033382068769999</v>
      </c>
      <c r="AH2160">
        <v>25.996967429194399</v>
      </c>
      <c r="AI2160">
        <v>92.369385164145697</v>
      </c>
      <c r="AJ2160">
        <v>77.144142962603993</v>
      </c>
      <c r="AK2160">
        <v>26.688208047432202</v>
      </c>
      <c r="AL2160">
        <v>80.316686636583796</v>
      </c>
      <c r="AM2160">
        <v>73.736743786952701</v>
      </c>
      <c r="AN2160">
        <v>1.0000000038688901</v>
      </c>
    </row>
    <row r="2161" spans="1:40" x14ac:dyDescent="0.25">
      <c r="A2161" t="str">
        <f>"20190312164513851"</f>
        <v>20190312164513851</v>
      </c>
      <c r="B2161" t="str">
        <f>"1552380313844230"</f>
        <v>1552380313844230</v>
      </c>
      <c r="C2161" t="s">
        <v>40</v>
      </c>
      <c r="D2161">
        <v>5.4145149999999997</v>
      </c>
      <c r="E2161">
        <v>0.48644379999999998</v>
      </c>
      <c r="F2161" t="s">
        <v>46</v>
      </c>
      <c r="G2161">
        <v>-492.8569</v>
      </c>
      <c r="H2161" s="1">
        <v>2.749919E-6</v>
      </c>
      <c r="I2161">
        <v>213.4211</v>
      </c>
      <c r="J2161">
        <v>-494.88240000000002</v>
      </c>
      <c r="K2161">
        <v>1.102957</v>
      </c>
      <c r="L2161">
        <v>240.8776</v>
      </c>
      <c r="M2161">
        <v>0.29389379999999998</v>
      </c>
      <c r="N2161">
        <v>0</v>
      </c>
      <c r="O2161">
        <v>-0.95572500000000005</v>
      </c>
      <c r="P2161">
        <v>1.7390820000000001E-2</v>
      </c>
      <c r="Q2161">
        <v>0.15855849999999999</v>
      </c>
      <c r="R2161">
        <v>-0.98719659999999998</v>
      </c>
      <c r="S2161">
        <v>0.2301636</v>
      </c>
      <c r="T2161">
        <v>-0.1218284</v>
      </c>
      <c r="U2161">
        <v>-3.0534210000000002</v>
      </c>
      <c r="V2161">
        <v>0.27596939999999998</v>
      </c>
      <c r="W2161">
        <v>0.16858589999999901</v>
      </c>
      <c r="X2161">
        <v>0.94626619999999995</v>
      </c>
      <c r="Y2161">
        <v>0.22129860000000001</v>
      </c>
      <c r="Z2161">
        <v>3.6690319999999998E-2</v>
      </c>
      <c r="AA2161">
        <v>0.97451569999999998</v>
      </c>
      <c r="AB2161">
        <v>40</v>
      </c>
      <c r="AC2161">
        <v>2.0255000000000201</v>
      </c>
      <c r="AD2161">
        <v>-1.1029542500809999</v>
      </c>
      <c r="AE2161">
        <v>-27.456499999999998</v>
      </c>
      <c r="AF2161">
        <v>6.12430779724352</v>
      </c>
      <c r="AG2161">
        <v>-1.1029542500809999</v>
      </c>
      <c r="AH2161">
        <v>26.796039357055498</v>
      </c>
      <c r="AI2161">
        <v>92.297840853888005</v>
      </c>
      <c r="AJ2161">
        <v>77.126016907144304</v>
      </c>
      <c r="AK2161">
        <v>27.509114476806001</v>
      </c>
      <c r="AL2161">
        <v>80.294389709598406</v>
      </c>
      <c r="AM2161">
        <v>73.7411852427594</v>
      </c>
      <c r="AN2161">
        <v>1.0000000183388</v>
      </c>
    </row>
    <row r="2162" spans="1:40" x14ac:dyDescent="0.25">
      <c r="A2162" t="str">
        <f>"20190312164513869"</f>
        <v>20190312164513869</v>
      </c>
      <c r="B2162" t="str">
        <f>"1552380313863749"</f>
        <v>1552380313863749</v>
      </c>
      <c r="C2162" t="s">
        <v>40</v>
      </c>
      <c r="D2162">
        <v>5.3650469999999997</v>
      </c>
      <c r="E2162">
        <v>0.48647839999999998</v>
      </c>
      <c r="F2162" t="s">
        <v>46</v>
      </c>
      <c r="G2162">
        <v>-492.86020000000002</v>
      </c>
      <c r="H2162" s="1">
        <v>2.707371E-6</v>
      </c>
      <c r="I2162">
        <v>212.46090000000001</v>
      </c>
      <c r="J2162">
        <v>-494.7921</v>
      </c>
      <c r="K2162">
        <v>1.1023959999999999</v>
      </c>
      <c r="L2162">
        <v>240.5684</v>
      </c>
      <c r="M2162">
        <v>0.287848299999999</v>
      </c>
      <c r="N2162">
        <v>0</v>
      </c>
      <c r="O2162">
        <v>-0.95756300000000005</v>
      </c>
      <c r="P2162">
        <v>1.335684E-2</v>
      </c>
      <c r="Q2162">
        <v>0.16061230000000001</v>
      </c>
      <c r="R2162">
        <v>-0.9869272</v>
      </c>
      <c r="S2162">
        <v>0.21734619999999999</v>
      </c>
      <c r="T2162">
        <v>-0.1185404</v>
      </c>
      <c r="U2162">
        <v>-3.0540919999999998</v>
      </c>
      <c r="V2162">
        <v>0.27401930000000002</v>
      </c>
      <c r="W2162">
        <v>0.17029920000000001</v>
      </c>
      <c r="X2162">
        <v>0.94652610000000004</v>
      </c>
      <c r="Y2162">
        <v>0.2192171</v>
      </c>
      <c r="Z2162">
        <v>3.5813970000000001E-2</v>
      </c>
      <c r="AA2162">
        <v>0.97501859999999996</v>
      </c>
      <c r="AB2162">
        <v>40</v>
      </c>
      <c r="AC2162">
        <v>1.93189999999998</v>
      </c>
      <c r="AD2162">
        <v>-1.1023932926290001</v>
      </c>
      <c r="AE2162">
        <v>-28.107499999999899</v>
      </c>
      <c r="AF2162">
        <v>6.2319144660710801</v>
      </c>
      <c r="AG2162">
        <v>-1.1023932926290001</v>
      </c>
      <c r="AH2162">
        <v>27.431771077649199</v>
      </c>
      <c r="AI2162">
        <v>92.244170187274804</v>
      </c>
      <c r="AJ2162">
        <v>77.200856056556205</v>
      </c>
      <c r="AK2162">
        <v>28.1523372624833</v>
      </c>
      <c r="AL2162">
        <v>80.194784632241607</v>
      </c>
      <c r="AM2162">
        <v>73.854270354387197</v>
      </c>
      <c r="AN2162">
        <v>1.00000002613716</v>
      </c>
    </row>
    <row r="2163" spans="1:40" x14ac:dyDescent="0.25">
      <c r="A2163" t="str">
        <f>"20190312164513880"</f>
        <v>20190312164513880</v>
      </c>
      <c r="B2163" t="str">
        <f>"1552380313873510"</f>
        <v>1552380313873510</v>
      </c>
      <c r="C2163" t="s">
        <v>40</v>
      </c>
      <c r="D2163">
        <v>5.4921509999999998</v>
      </c>
      <c r="E2163">
        <v>0.48638209999999998</v>
      </c>
      <c r="F2163" t="s">
        <v>46</v>
      </c>
      <c r="G2163">
        <v>-492.84039999999999</v>
      </c>
      <c r="H2163" s="1">
        <v>2.6435449999999902E-6</v>
      </c>
      <c r="I2163">
        <v>210.9205</v>
      </c>
      <c r="J2163">
        <v>-494.73750000000001</v>
      </c>
      <c r="K2163">
        <v>1.1020760000000001</v>
      </c>
      <c r="L2163">
        <v>240.37629999999999</v>
      </c>
      <c r="M2163">
        <v>0.28390169999999998</v>
      </c>
      <c r="N2163">
        <v>0</v>
      </c>
      <c r="O2163">
        <v>-0.9587407</v>
      </c>
      <c r="P2163">
        <v>1.105504E-2</v>
      </c>
      <c r="Q2163">
        <v>0.16128199999999901</v>
      </c>
      <c r="R2163">
        <v>-0.98684689999999997</v>
      </c>
      <c r="S2163">
        <v>0.2011414</v>
      </c>
      <c r="T2163">
        <v>-0.11361309999999999</v>
      </c>
      <c r="U2163">
        <v>-3.0555270000000001</v>
      </c>
      <c r="V2163">
        <v>0.27243679999999998</v>
      </c>
      <c r="W2163">
        <v>0.170795</v>
      </c>
      <c r="X2163">
        <v>0.94689350000000005</v>
      </c>
      <c r="Y2163">
        <v>0.22037399999999999</v>
      </c>
      <c r="Z2163">
        <v>3.4377280000000003E-2</v>
      </c>
      <c r="AA2163">
        <v>0.9748095</v>
      </c>
      <c r="AB2163">
        <v>40</v>
      </c>
      <c r="AC2163">
        <v>1.89710000000002</v>
      </c>
      <c r="AD2163">
        <v>-1.102073356455</v>
      </c>
      <c r="AE2163">
        <v>-29.455799999999901</v>
      </c>
      <c r="AF2163">
        <v>6.5353212268479499</v>
      </c>
      <c r="AG2163">
        <v>-1.102073356455</v>
      </c>
      <c r="AH2163">
        <v>28.742105998952301</v>
      </c>
      <c r="AI2163">
        <v>92.141244245732693</v>
      </c>
      <c r="AJ2163">
        <v>77.190001194577903</v>
      </c>
      <c r="AK2163">
        <v>29.496332763177701</v>
      </c>
      <c r="AL2163">
        <v>80.165954968427201</v>
      </c>
      <c r="AM2163">
        <v>73.948604527685703</v>
      </c>
      <c r="AN2163">
        <v>1.0000000211807401</v>
      </c>
    </row>
    <row r="2164" spans="1:40" x14ac:dyDescent="0.25">
      <c r="A2164" t="str">
        <f>"20190312164513892"</f>
        <v>20190312164513892</v>
      </c>
      <c r="B2164" t="str">
        <f>"1552380313883270"</f>
        <v>1552380313883270</v>
      </c>
      <c r="C2164" t="s">
        <v>40</v>
      </c>
      <c r="D2164">
        <v>5.5359660000000002</v>
      </c>
      <c r="E2164">
        <v>0.48659520000000001</v>
      </c>
      <c r="F2164" t="s">
        <v>46</v>
      </c>
      <c r="G2164">
        <v>-492.85759999999999</v>
      </c>
      <c r="H2164" s="1">
        <v>2.6359169999999999E-6</v>
      </c>
      <c r="I2164">
        <v>210.816</v>
      </c>
      <c r="J2164">
        <v>-494.6814</v>
      </c>
      <c r="K2164">
        <v>1.10175</v>
      </c>
      <c r="L2164">
        <v>240.17750000000001</v>
      </c>
      <c r="M2164">
        <v>0.27977239999999998</v>
      </c>
      <c r="N2164">
        <v>0</v>
      </c>
      <c r="O2164">
        <v>-0.95995350000000002</v>
      </c>
      <c r="P2164">
        <v>8.9826100000000002E-3</v>
      </c>
      <c r="Q2164">
        <v>0.1610559</v>
      </c>
      <c r="R2164">
        <v>-0.98690469999999997</v>
      </c>
      <c r="S2164">
        <v>0.1943665</v>
      </c>
      <c r="T2164">
        <v>-0.11395</v>
      </c>
      <c r="U2164">
        <v>-3.0564119999999999</v>
      </c>
      <c r="V2164">
        <v>0.27048539999999999</v>
      </c>
      <c r="W2164">
        <v>0.170404</v>
      </c>
      <c r="X2164">
        <v>0.94752309999999995</v>
      </c>
      <c r="Y2164">
        <v>0.21834580000000001</v>
      </c>
      <c r="Z2164">
        <v>3.454724E-2</v>
      </c>
      <c r="AA2164">
        <v>0.97525980000000001</v>
      </c>
      <c r="AB2164">
        <v>40</v>
      </c>
      <c r="AC2164">
        <v>1.8238000000000001</v>
      </c>
      <c r="AD2164">
        <v>-1.101747364083</v>
      </c>
      <c r="AE2164">
        <v>-29.361499999999999</v>
      </c>
      <c r="AF2164">
        <v>6.4554201354729601</v>
      </c>
      <c r="AG2164">
        <v>-1.101747364083</v>
      </c>
      <c r="AH2164">
        <v>28.658836039912099</v>
      </c>
      <c r="AI2164">
        <v>92.147807851821696</v>
      </c>
      <c r="AJ2164">
        <v>77.305950551464306</v>
      </c>
      <c r="AK2164">
        <v>29.3975369638733</v>
      </c>
      <c r="AL2164">
        <v>80.188690210598807</v>
      </c>
      <c r="AM2164">
        <v>74.067769864299507</v>
      </c>
      <c r="AN2164">
        <v>0.99999994993138297</v>
      </c>
    </row>
    <row r="2165" spans="1:40" x14ac:dyDescent="0.25">
      <c r="A2165" t="str">
        <f>"20190312164513901"</f>
        <v>20190312164513901</v>
      </c>
      <c r="B2165" t="str">
        <f>"1552380313894006"</f>
        <v>1552380313894006</v>
      </c>
      <c r="C2165" t="s">
        <v>40</v>
      </c>
      <c r="D2165">
        <v>5.5319760000000002</v>
      </c>
      <c r="E2165">
        <v>0.48690830000000002</v>
      </c>
      <c r="F2165" t="s">
        <v>46</v>
      </c>
      <c r="G2165">
        <v>-492.87880000000001</v>
      </c>
      <c r="H2165" s="1">
        <v>2.6118250000000002E-6</v>
      </c>
      <c r="I2165">
        <v>210.35069999999999</v>
      </c>
      <c r="J2165">
        <v>-494.6302</v>
      </c>
      <c r="K2165">
        <v>1.1014710000000001</v>
      </c>
      <c r="L2165">
        <v>239.99160000000001</v>
      </c>
      <c r="M2165">
        <v>0.27578619999999998</v>
      </c>
      <c r="N2165">
        <v>0</v>
      </c>
      <c r="O2165">
        <v>-0.96110609999999996</v>
      </c>
      <c r="P2165">
        <v>7.6890559999999997E-3</v>
      </c>
      <c r="Q2165">
        <v>0.15990389999999999</v>
      </c>
      <c r="R2165">
        <v>-0.9871027</v>
      </c>
      <c r="S2165">
        <v>0.1847229</v>
      </c>
      <c r="T2165">
        <v>-0.11290409999999999</v>
      </c>
      <c r="U2165">
        <v>-3.0565639999999998</v>
      </c>
      <c r="V2165">
        <v>0.2679357</v>
      </c>
      <c r="W2165">
        <v>0.1691357</v>
      </c>
      <c r="X2165">
        <v>0.94847429999999999</v>
      </c>
      <c r="Y2165">
        <v>0.21736369999999999</v>
      </c>
      <c r="Z2165">
        <v>3.4299379999999997E-2</v>
      </c>
      <c r="AA2165">
        <v>0.97548789999999996</v>
      </c>
      <c r="AB2165">
        <v>40</v>
      </c>
      <c r="AC2165">
        <v>1.7513999999999801</v>
      </c>
      <c r="AD2165">
        <v>-1.10146838817499</v>
      </c>
      <c r="AE2165">
        <v>-29.640899999999998</v>
      </c>
      <c r="AF2165">
        <v>6.4830532056219496</v>
      </c>
      <c r="AG2165">
        <v>-1.10146838817499</v>
      </c>
      <c r="AH2165">
        <v>28.934389747677098</v>
      </c>
      <c r="AI2165">
        <v>92.127375023904804</v>
      </c>
      <c r="AJ2165">
        <v>77.370863573657203</v>
      </c>
      <c r="AK2165">
        <v>29.6722449697955</v>
      </c>
      <c r="AL2165">
        <v>80.262428975976505</v>
      </c>
      <c r="AM2165">
        <v>74.2254778049777</v>
      </c>
      <c r="AN2165">
        <v>0.99999996105473399</v>
      </c>
    </row>
    <row r="2166" spans="1:40" x14ac:dyDescent="0.25">
      <c r="A2166" t="str">
        <f>"20190312164513912"</f>
        <v>20190312164513912</v>
      </c>
      <c r="B2166" t="str">
        <f>"1552380313903766"</f>
        <v>1552380313903766</v>
      </c>
      <c r="C2166" t="s">
        <v>40</v>
      </c>
      <c r="D2166">
        <v>5.4894470000000002</v>
      </c>
      <c r="E2166">
        <v>0.48681259999999998</v>
      </c>
      <c r="F2166" t="s">
        <v>46</v>
      </c>
      <c r="G2166">
        <v>-492.96339999999998</v>
      </c>
      <c r="H2166" s="1">
        <v>2.6320130000000001E-6</v>
      </c>
      <c r="I2166">
        <v>211.1558</v>
      </c>
      <c r="J2166">
        <v>-494.5806</v>
      </c>
      <c r="K2166">
        <v>1.1012</v>
      </c>
      <c r="L2166">
        <v>239.8091</v>
      </c>
      <c r="M2166">
        <v>0.27180749999999998</v>
      </c>
      <c r="N2166">
        <v>0</v>
      </c>
      <c r="O2166">
        <v>-0.96223879999999995</v>
      </c>
      <c r="P2166">
        <v>7.2676819999999897E-3</v>
      </c>
      <c r="Q2166">
        <v>0.15802759999999999</v>
      </c>
      <c r="R2166">
        <v>-0.98740830000000002</v>
      </c>
      <c r="S2166">
        <v>0.17669679999999999</v>
      </c>
      <c r="T2166">
        <v>-0.1167614</v>
      </c>
      <c r="U2166">
        <v>-3.0567470000000001</v>
      </c>
      <c r="V2166">
        <v>0.26456400000000002</v>
      </c>
      <c r="W2166">
        <v>0.16717609999999999</v>
      </c>
      <c r="X2166">
        <v>0.94976740000000004</v>
      </c>
      <c r="Y2166">
        <v>0.2158834</v>
      </c>
      <c r="Z2166">
        <v>3.554073E-2</v>
      </c>
      <c r="AA2166">
        <v>0.97577210000000003</v>
      </c>
      <c r="AB2166">
        <v>40</v>
      </c>
      <c r="AC2166">
        <v>1.61720000000002</v>
      </c>
      <c r="AD2166">
        <v>-1.101197367987</v>
      </c>
      <c r="AE2166">
        <v>-28.653300000000002</v>
      </c>
      <c r="AF2166">
        <v>6.2235630591848699</v>
      </c>
      <c r="AG2166">
        <v>-1.101197367987</v>
      </c>
      <c r="AH2166">
        <v>27.9727416234063</v>
      </c>
      <c r="AI2166">
        <v>92.200634121151197</v>
      </c>
      <c r="AJ2166">
        <v>77.456752576698605</v>
      </c>
      <c r="AK2166">
        <v>28.677859870024399</v>
      </c>
      <c r="AL2166">
        <v>80.376328411611695</v>
      </c>
      <c r="AM2166">
        <v>74.434469362437497</v>
      </c>
      <c r="AN2166">
        <v>1.0000000363049799</v>
      </c>
    </row>
    <row r="2167" spans="1:40" x14ac:dyDescent="0.25">
      <c r="A2167" t="str">
        <f>"20190312164513923"</f>
        <v>20190312164513923</v>
      </c>
      <c r="B2167" t="str">
        <f>"1552380313913526"</f>
        <v>1552380313913526</v>
      </c>
      <c r="C2167" t="s">
        <v>40</v>
      </c>
      <c r="D2167">
        <v>5.4566990000000004</v>
      </c>
      <c r="E2167">
        <v>0.48686679999999999</v>
      </c>
      <c r="F2167" t="s">
        <v>46</v>
      </c>
      <c r="G2167">
        <v>-493.04270000000002</v>
      </c>
      <c r="H2167" s="1">
        <v>2.693342E-6</v>
      </c>
      <c r="I2167">
        <v>212.88069999999999</v>
      </c>
      <c r="J2167">
        <v>-494.52859999999998</v>
      </c>
      <c r="K2167">
        <v>1.1009230000000001</v>
      </c>
      <c r="L2167">
        <v>239.61359999999999</v>
      </c>
      <c r="M2167">
        <v>0.26744030000000002</v>
      </c>
      <c r="N2167">
        <v>0</v>
      </c>
      <c r="O2167">
        <v>-0.96346149999999997</v>
      </c>
      <c r="P2167">
        <v>6.7448009999999999E-3</v>
      </c>
      <c r="Q2167">
        <v>0.15608810000000001</v>
      </c>
      <c r="R2167">
        <v>-0.9877203</v>
      </c>
      <c r="S2167">
        <v>0.1745911</v>
      </c>
      <c r="T2167">
        <v>-0.12501139999999999</v>
      </c>
      <c r="U2167">
        <v>-3.0569920000000002</v>
      </c>
      <c r="V2167">
        <v>0.2609049</v>
      </c>
      <c r="W2167">
        <v>0.16516169999999999</v>
      </c>
      <c r="X2167">
        <v>0.95113099999999995</v>
      </c>
      <c r="Y2167">
        <v>0.21213299999999999</v>
      </c>
      <c r="Z2167">
        <v>3.8136980000000001E-2</v>
      </c>
      <c r="AA2167">
        <v>0.97649640000000004</v>
      </c>
      <c r="AB2167">
        <v>40</v>
      </c>
      <c r="AC2167">
        <v>1.48589999999995</v>
      </c>
      <c r="AD2167">
        <v>-1.10092030665799</v>
      </c>
      <c r="AE2167">
        <v>-26.732900000000001</v>
      </c>
      <c r="AF2167">
        <v>5.7088174297823198</v>
      </c>
      <c r="AG2167">
        <v>-1.10092030665799</v>
      </c>
      <c r="AH2167">
        <v>26.112206486708999</v>
      </c>
      <c r="AI2167">
        <v>92.358581324696701</v>
      </c>
      <c r="AJ2167">
        <v>77.667671822664701</v>
      </c>
      <c r="AK2167">
        <v>26.7516345215152</v>
      </c>
      <c r="AL2167">
        <v>80.493371603286207</v>
      </c>
      <c r="AM2167">
        <v>74.660501052305605</v>
      </c>
      <c r="AN2167">
        <v>0.99999996657594903</v>
      </c>
    </row>
    <row r="2168" spans="1:40" x14ac:dyDescent="0.25">
      <c r="A2168" t="str">
        <f>"20190312164513935"</f>
        <v>20190312164513935</v>
      </c>
      <c r="B2168" t="str">
        <f>"1552380313924262"</f>
        <v>1552380313924262</v>
      </c>
      <c r="C2168" t="s">
        <v>40</v>
      </c>
      <c r="D2168">
        <v>5.3596979999999999</v>
      </c>
      <c r="E2168">
        <v>0.48700539999999998</v>
      </c>
      <c r="F2168" t="s">
        <v>46</v>
      </c>
      <c r="G2168">
        <v>-493.09559999999999</v>
      </c>
      <c r="H2168" s="1">
        <v>2.7236519999999998E-6</v>
      </c>
      <c r="I2168">
        <v>213.78899999999999</v>
      </c>
      <c r="J2168">
        <v>-494.47789999999998</v>
      </c>
      <c r="K2168">
        <v>1.1006659999999999</v>
      </c>
      <c r="L2168">
        <v>239.4194</v>
      </c>
      <c r="M2168">
        <v>0.26300630000000003</v>
      </c>
      <c r="N2168">
        <v>0</v>
      </c>
      <c r="O2168">
        <v>-0.96468120000000002</v>
      </c>
      <c r="P2168">
        <v>6.6252660000000003E-3</v>
      </c>
      <c r="Q2168">
        <v>0.15513489999999999</v>
      </c>
      <c r="R2168">
        <v>-0.98787130000000001</v>
      </c>
      <c r="S2168">
        <v>0.16961670000000001</v>
      </c>
      <c r="T2168">
        <v>-0.13031129999999999</v>
      </c>
      <c r="U2168">
        <v>-3.0567470000000001</v>
      </c>
      <c r="V2168">
        <v>0.2567585</v>
      </c>
      <c r="W2168">
        <v>0.16415759999999999</v>
      </c>
      <c r="X2168">
        <v>0.95243230000000001</v>
      </c>
      <c r="Y2168">
        <v>0.20922080000000001</v>
      </c>
      <c r="Z2168">
        <v>3.9846699999999999E-2</v>
      </c>
      <c r="AA2168">
        <v>0.97705629999999999</v>
      </c>
      <c r="AB2168">
        <v>40</v>
      </c>
      <c r="AC2168">
        <v>1.3822999999999801</v>
      </c>
      <c r="AD2168">
        <v>-1.100663276348</v>
      </c>
      <c r="AE2168">
        <v>-25.630399999999899</v>
      </c>
      <c r="AF2168">
        <v>5.3981408505503898</v>
      </c>
      <c r="AG2168">
        <v>-1.100663276348</v>
      </c>
      <c r="AH2168">
        <v>25.0453983816593</v>
      </c>
      <c r="AI2168">
        <v>92.459925321900101</v>
      </c>
      <c r="AJ2168">
        <v>77.836865884652298</v>
      </c>
      <c r="AK2168">
        <v>25.644168233465901</v>
      </c>
      <c r="AL2168">
        <v>80.551698425435504</v>
      </c>
      <c r="AM2168">
        <v>74.912755411570004</v>
      </c>
      <c r="AN2168">
        <v>0.99999996552164905</v>
      </c>
    </row>
    <row r="2169" spans="1:40" x14ac:dyDescent="0.25">
      <c r="A2169" t="str">
        <f>"20190312164513945"</f>
        <v>20190312164513945</v>
      </c>
      <c r="B2169" t="str">
        <f>"1552380313934022"</f>
        <v>1552380313934022</v>
      </c>
      <c r="C2169" t="s">
        <v>40</v>
      </c>
      <c r="D2169">
        <v>5.3546360000000002</v>
      </c>
      <c r="E2169">
        <v>0.48708780000000002</v>
      </c>
      <c r="F2169" t="s">
        <v>46</v>
      </c>
      <c r="G2169">
        <v>-493.09280000000001</v>
      </c>
      <c r="H2169" s="1">
        <v>2.7263679999999998E-6</v>
      </c>
      <c r="I2169">
        <v>213.83969999999999</v>
      </c>
      <c r="J2169">
        <v>-494.4314</v>
      </c>
      <c r="K2169">
        <v>1.1004290000000001</v>
      </c>
      <c r="L2169">
        <v>239.23830000000001</v>
      </c>
      <c r="M2169">
        <v>0.25880890000000001</v>
      </c>
      <c r="N2169">
        <v>0</v>
      </c>
      <c r="O2169">
        <v>-0.96581570000000005</v>
      </c>
      <c r="P2169">
        <v>6.4199369999999997E-3</v>
      </c>
      <c r="Q2169">
        <v>0.15555139999999901</v>
      </c>
      <c r="R2169">
        <v>-0.9878072</v>
      </c>
      <c r="S2169">
        <v>0.165496799999999</v>
      </c>
      <c r="T2169">
        <v>-0.1315125</v>
      </c>
      <c r="U2169">
        <v>-3.056381</v>
      </c>
      <c r="V2169">
        <v>0.25288929999999998</v>
      </c>
      <c r="W2169">
        <v>0.1645334</v>
      </c>
      <c r="X2169">
        <v>0.95340219999999998</v>
      </c>
      <c r="Y2169">
        <v>0.20627519999999999</v>
      </c>
      <c r="Z2169">
        <v>4.0305779999999999E-2</v>
      </c>
      <c r="AA2169">
        <v>0.97766350000000002</v>
      </c>
      <c r="AB2169">
        <v>40</v>
      </c>
      <c r="AC2169">
        <v>1.33859999999998</v>
      </c>
      <c r="AD2169">
        <v>-1.1004262736319901</v>
      </c>
      <c r="AE2169">
        <v>-25.398599999999998</v>
      </c>
      <c r="AF2169">
        <v>5.2712508739702901</v>
      </c>
      <c r="AG2169">
        <v>-1.1004262736319901</v>
      </c>
      <c r="AH2169">
        <v>24.833033518725401</v>
      </c>
      <c r="AI2169">
        <v>92.482057914290706</v>
      </c>
      <c r="AJ2169">
        <v>78.015836126567606</v>
      </c>
      <c r="AK2169">
        <v>25.410166813741601</v>
      </c>
      <c r="AL2169">
        <v>80.529870158884506</v>
      </c>
      <c r="AM2169">
        <v>75.144425292027094</v>
      </c>
      <c r="AN2169">
        <v>0.99999999636744497</v>
      </c>
    </row>
    <row r="2170" spans="1:40" x14ac:dyDescent="0.25">
      <c r="A2170" t="str">
        <f>"20190312164513957"</f>
        <v>20190312164513957</v>
      </c>
      <c r="B2170" t="str">
        <f>"1552380313953542"</f>
        <v>1552380313953542</v>
      </c>
      <c r="C2170" t="s">
        <v>40</v>
      </c>
      <c r="D2170">
        <v>5.3555320000000002</v>
      </c>
      <c r="E2170">
        <v>0.48733189999999998</v>
      </c>
      <c r="F2170" t="s">
        <v>46</v>
      </c>
      <c r="G2170">
        <v>-493.04149999999998</v>
      </c>
      <c r="H2170" s="1">
        <v>2.7022149999999999E-6</v>
      </c>
      <c r="I2170">
        <v>213.0788</v>
      </c>
      <c r="J2170">
        <v>-494.38119999999998</v>
      </c>
      <c r="K2170">
        <v>1.1001810000000001</v>
      </c>
      <c r="L2170">
        <v>239.0377</v>
      </c>
      <c r="M2170">
        <v>0.25404719999999997</v>
      </c>
      <c r="N2170">
        <v>0</v>
      </c>
      <c r="O2170">
        <v>-0.96707880000000002</v>
      </c>
      <c r="P2170">
        <v>5.6793440000000002E-3</v>
      </c>
      <c r="Q2170">
        <v>0.1563744</v>
      </c>
      <c r="R2170">
        <v>-0.9876817</v>
      </c>
      <c r="S2170">
        <v>0.162384</v>
      </c>
      <c r="T2170">
        <v>-0.1285635</v>
      </c>
      <c r="U2170">
        <v>-3.0562290000000001</v>
      </c>
      <c r="V2170">
        <v>0.24897820000000001</v>
      </c>
      <c r="W2170">
        <v>0.16531789999999999</v>
      </c>
      <c r="X2170">
        <v>0.95429549999999996</v>
      </c>
      <c r="Y2170">
        <v>0.20244129999999999</v>
      </c>
      <c r="Z2170">
        <v>3.9502610000000001E-2</v>
      </c>
      <c r="AA2170">
        <v>0.97849730000000001</v>
      </c>
      <c r="AB2170">
        <v>40</v>
      </c>
      <c r="AC2170">
        <v>1.3396999999999899</v>
      </c>
      <c r="AD2170">
        <v>-1.1001782977850001</v>
      </c>
      <c r="AE2170">
        <v>-25.9589</v>
      </c>
      <c r="AF2170">
        <v>5.29029257004367</v>
      </c>
      <c r="AG2170">
        <v>-1.1001782977850001</v>
      </c>
      <c r="AH2170">
        <v>25.4019250200488</v>
      </c>
      <c r="AI2170">
        <v>92.427946307371101</v>
      </c>
      <c r="AJ2170">
        <v>78.235548522901496</v>
      </c>
      <c r="AK2170">
        <v>25.970278829611299</v>
      </c>
      <c r="AL2170">
        <v>80.484297838746997</v>
      </c>
      <c r="AM2170">
        <v>75.377352586019299</v>
      </c>
      <c r="AN2170">
        <v>1.0000000267279401</v>
      </c>
    </row>
    <row r="2171" spans="1:40" x14ac:dyDescent="0.25">
      <c r="A2171" t="str">
        <f>"20190312164513970"</f>
        <v>20190312164513970</v>
      </c>
      <c r="B2171" t="str">
        <f>"1552380313964278"</f>
        <v>1552380313964278</v>
      </c>
      <c r="C2171" t="s">
        <v>40</v>
      </c>
      <c r="D2171">
        <v>5.3604349999999998</v>
      </c>
      <c r="E2171">
        <v>0.4874407</v>
      </c>
      <c r="F2171" t="s">
        <v>46</v>
      </c>
      <c r="G2171">
        <v>-492.96820000000002</v>
      </c>
      <c r="H2171" s="1">
        <v>2.6492009999999998E-6</v>
      </c>
      <c r="I2171">
        <v>211.5686</v>
      </c>
      <c r="J2171">
        <v>-494.32920000000001</v>
      </c>
      <c r="K2171">
        <v>1.099931</v>
      </c>
      <c r="L2171">
        <v>238.82730000000001</v>
      </c>
      <c r="M2171">
        <v>0.2489989</v>
      </c>
      <c r="N2171">
        <v>0</v>
      </c>
      <c r="O2171">
        <v>-0.96839059999999999</v>
      </c>
      <c r="P2171">
        <v>5.0194920000000004E-3</v>
      </c>
      <c r="Q2171">
        <v>0.15701399999999999</v>
      </c>
      <c r="R2171">
        <v>-0.98758389999999996</v>
      </c>
      <c r="S2171">
        <v>0.157196</v>
      </c>
      <c r="T2171">
        <v>-0.1223938</v>
      </c>
      <c r="U2171">
        <v>-3.0559080000000001</v>
      </c>
      <c r="V2171">
        <v>0.24471490000000001</v>
      </c>
      <c r="W2171">
        <v>0.16592970000000001</v>
      </c>
      <c r="X2171">
        <v>0.95529160000000002</v>
      </c>
      <c r="Y2171">
        <v>0.1989793</v>
      </c>
      <c r="Z2171">
        <v>3.770801E-2</v>
      </c>
      <c r="AA2171">
        <v>0.97927799999999998</v>
      </c>
      <c r="AB2171">
        <v>40</v>
      </c>
      <c r="AC2171">
        <v>1.36099999999998</v>
      </c>
      <c r="AD2171">
        <v>-1.0999283507989901</v>
      </c>
      <c r="AE2171">
        <v>-27.258700000000001</v>
      </c>
      <c r="AF2171">
        <v>5.4611363063738301</v>
      </c>
      <c r="AG2171">
        <v>-1.0999283507989901</v>
      </c>
      <c r="AH2171">
        <v>26.695528361239901</v>
      </c>
      <c r="AI2171">
        <v>92.311587385696996</v>
      </c>
      <c r="AJ2171">
        <v>78.438453273458506</v>
      </c>
      <c r="AK2171">
        <v>27.270590140652399</v>
      </c>
      <c r="AL2171">
        <v>80.448753546539194</v>
      </c>
      <c r="AM2171">
        <v>75.631643588172395</v>
      </c>
      <c r="AN2171">
        <v>1.00000004432732</v>
      </c>
    </row>
    <row r="2172" spans="1:40" x14ac:dyDescent="0.25">
      <c r="A2172" t="str">
        <f>"20190312164513982"</f>
        <v>20190312164513982</v>
      </c>
      <c r="B2172" t="str">
        <f>"1552380313974038"</f>
        <v>1552380313974038</v>
      </c>
      <c r="C2172" t="s">
        <v>40</v>
      </c>
      <c r="D2172">
        <v>5.3836459999999997</v>
      </c>
      <c r="E2172">
        <v>0.48757509999999998</v>
      </c>
      <c r="F2172" t="s">
        <v>46</v>
      </c>
      <c r="G2172">
        <v>-492.89929999999998</v>
      </c>
      <c r="H2172" s="1">
        <v>2.6102640000000001E-6</v>
      </c>
      <c r="I2172">
        <v>210.39830000000001</v>
      </c>
      <c r="J2172">
        <v>-494.27440000000001</v>
      </c>
      <c r="K2172">
        <v>1.0996809999999999</v>
      </c>
      <c r="L2172">
        <v>238.59700000000001</v>
      </c>
      <c r="M2172">
        <v>0.24333460000000001</v>
      </c>
      <c r="N2172">
        <v>0</v>
      </c>
      <c r="O2172">
        <v>-0.9698291</v>
      </c>
      <c r="P2172">
        <v>3.9801639999999996E-3</v>
      </c>
      <c r="Q2172">
        <v>0.15777720000000001</v>
      </c>
      <c r="R2172">
        <v>-0.98746670000000003</v>
      </c>
      <c r="S2172">
        <v>0.1536865</v>
      </c>
      <c r="T2172">
        <v>-0.1182262</v>
      </c>
      <c r="U2172">
        <v>-3.0556950000000001</v>
      </c>
      <c r="V2172">
        <v>0.24021200000000001</v>
      </c>
      <c r="W2172">
        <v>0.1666811</v>
      </c>
      <c r="X2172">
        <v>0.95630309999999996</v>
      </c>
      <c r="Y2172">
        <v>0.1943655</v>
      </c>
      <c r="Z2172">
        <v>3.6530420000000001E-2</v>
      </c>
      <c r="AA2172">
        <v>0.98024869999999997</v>
      </c>
      <c r="AB2172">
        <v>40</v>
      </c>
      <c r="AC2172">
        <v>1.37510000000003</v>
      </c>
      <c r="AD2172">
        <v>-1.0996783897360001</v>
      </c>
      <c r="AE2172">
        <v>-28.198699999999999</v>
      </c>
      <c r="AF2172">
        <v>5.5203395620151801</v>
      </c>
      <c r="AG2172">
        <v>-1.0996783897360001</v>
      </c>
      <c r="AH2172">
        <v>27.643631107115102</v>
      </c>
      <c r="AI2172">
        <v>92.233992580953895</v>
      </c>
      <c r="AJ2172">
        <v>78.706782608961703</v>
      </c>
      <c r="AK2172">
        <v>28.2108805645458</v>
      </c>
      <c r="AL2172">
        <v>80.405093135866906</v>
      </c>
      <c r="AM2172">
        <v>75.899703322812996</v>
      </c>
      <c r="AN2172">
        <v>1.0000000065554</v>
      </c>
    </row>
    <row r="2173" spans="1:40" x14ac:dyDescent="0.25">
      <c r="A2173" t="str">
        <f>"20190312164513997"</f>
        <v>20190312164513997</v>
      </c>
      <c r="B2173" t="str">
        <f>"1552380313993558"</f>
        <v>1552380313993558</v>
      </c>
      <c r="C2173" t="s">
        <v>40</v>
      </c>
      <c r="D2173">
        <v>5.4315639999999998</v>
      </c>
      <c r="E2173">
        <v>0.48789939999999998</v>
      </c>
      <c r="F2173" t="s">
        <v>46</v>
      </c>
      <c r="G2173">
        <v>-492.83429999999998</v>
      </c>
      <c r="H2173" s="1">
        <v>2.495719E-6</v>
      </c>
      <c r="I2173">
        <v>208.9222</v>
      </c>
      <c r="J2173">
        <v>-494.21690000000001</v>
      </c>
      <c r="K2173">
        <v>1.099426</v>
      </c>
      <c r="L2173">
        <v>238.34989999999999</v>
      </c>
      <c r="M2173">
        <v>0.23717659999999999</v>
      </c>
      <c r="N2173">
        <v>0</v>
      </c>
      <c r="O2173">
        <v>-0.97135320000000003</v>
      </c>
      <c r="P2173">
        <v>3.0230750000000001E-3</v>
      </c>
      <c r="Q2173">
        <v>0.15788369999999999</v>
      </c>
      <c r="R2173">
        <v>-0.98745329999999998</v>
      </c>
      <c r="S2173">
        <v>0.1482849</v>
      </c>
      <c r="T2173">
        <v>-0.11323229999999999</v>
      </c>
      <c r="U2173">
        <v>-3.0555729999999999</v>
      </c>
      <c r="V2173">
        <v>0.23515639999999999</v>
      </c>
      <c r="W2173">
        <v>0.16679759999999999</v>
      </c>
      <c r="X2173">
        <v>0.95753849999999996</v>
      </c>
      <c r="Y2173">
        <v>0.18986420000000001</v>
      </c>
      <c r="Z2173">
        <v>3.5092940000000003E-2</v>
      </c>
      <c r="AA2173">
        <v>0.98118300000000003</v>
      </c>
      <c r="AB2173">
        <v>40</v>
      </c>
      <c r="AC2173">
        <v>1.38260000000002</v>
      </c>
      <c r="AD2173">
        <v>-1.0994235042810001</v>
      </c>
      <c r="AE2173">
        <v>-29.427699999999898</v>
      </c>
      <c r="AF2173">
        <v>5.6293496109913201</v>
      </c>
      <c r="AG2173">
        <v>-1.0994235042810001</v>
      </c>
      <c r="AH2173">
        <v>28.875579817401299</v>
      </c>
      <c r="AI2173">
        <v>92.140202649561402</v>
      </c>
      <c r="AJ2173">
        <v>78.9684451093094</v>
      </c>
      <c r="AK2173">
        <v>29.439725183425999</v>
      </c>
      <c r="AL2173">
        <v>80.398323106303394</v>
      </c>
      <c r="AM2173">
        <v>76.202122635350307</v>
      </c>
      <c r="AN2173">
        <v>0.99999997540448404</v>
      </c>
    </row>
    <row r="2174" spans="1:40" x14ac:dyDescent="0.25">
      <c r="A2174" t="str">
        <f>"20190312164514015"</f>
        <v>20190312164514015</v>
      </c>
      <c r="B2174" t="str">
        <f>"1552380314003318"</f>
        <v>1552380314003318</v>
      </c>
      <c r="C2174" t="s">
        <v>40</v>
      </c>
      <c r="D2174">
        <v>5.4258009999999999</v>
      </c>
      <c r="E2174">
        <v>0.48805110000000002</v>
      </c>
      <c r="F2174" t="s">
        <v>46</v>
      </c>
      <c r="G2174">
        <v>-492.7867</v>
      </c>
      <c r="H2174" s="1">
        <v>2.1785800000000001E-6</v>
      </c>
      <c r="I2174">
        <v>207.4588</v>
      </c>
      <c r="J2174">
        <v>-494.14780000000002</v>
      </c>
      <c r="K2174">
        <v>1.099137</v>
      </c>
      <c r="L2174">
        <v>238.04320000000001</v>
      </c>
      <c r="M2174">
        <v>0.22941410000000001</v>
      </c>
      <c r="N2174">
        <v>0</v>
      </c>
      <c r="O2174">
        <v>-0.97321530000000001</v>
      </c>
      <c r="P2174">
        <v>6.4163040000000003E-3</v>
      </c>
      <c r="Q2174">
        <v>0.1556372</v>
      </c>
      <c r="R2174">
        <v>-0.98779340000000004</v>
      </c>
      <c r="S2174">
        <v>0.14144899999999999</v>
      </c>
      <c r="T2174">
        <v>-0.10873099999999999</v>
      </c>
      <c r="U2174">
        <v>-3.0550839999999999</v>
      </c>
      <c r="V2174">
        <v>0.22432489999999999</v>
      </c>
      <c r="W2174">
        <v>0.16471540000000001</v>
      </c>
      <c r="X2174">
        <v>0.96049320000000005</v>
      </c>
      <c r="Y2174">
        <v>0.1842037</v>
      </c>
      <c r="Z2174">
        <v>3.3824899999999998E-2</v>
      </c>
      <c r="AA2174">
        <v>0.98230589999999995</v>
      </c>
      <c r="AB2174">
        <v>40</v>
      </c>
      <c r="AC2174">
        <v>1.36110000000002</v>
      </c>
      <c r="AD2174">
        <v>-1.0991348214200001</v>
      </c>
      <c r="AE2174">
        <v>-30.584399999999999</v>
      </c>
      <c r="AF2174">
        <v>5.6851507501514096</v>
      </c>
      <c r="AG2174">
        <v>-1.0991348214200001</v>
      </c>
      <c r="AH2174">
        <v>30.042064616030199</v>
      </c>
      <c r="AI2174">
        <v>92.058810867732603</v>
      </c>
      <c r="AJ2174">
        <v>79.284083956672006</v>
      </c>
      <c r="AK2174">
        <v>30.595010750142499</v>
      </c>
      <c r="AL2174">
        <v>80.519298172454896</v>
      </c>
      <c r="AM2174">
        <v>76.854108245713505</v>
      </c>
      <c r="AN2174">
        <v>1.0000000055017</v>
      </c>
    </row>
    <row r="2175" spans="1:40" x14ac:dyDescent="0.25">
      <c r="A2175" t="str">
        <f>"20190312164514025"</f>
        <v>20190312164514025</v>
      </c>
      <c r="B2175" t="str">
        <f>"1552380314014054"</f>
        <v>1552380314014054</v>
      </c>
      <c r="C2175" t="s">
        <v>40</v>
      </c>
      <c r="D2175">
        <v>5.4582319999999998</v>
      </c>
      <c r="E2175">
        <v>0.48805110000000002</v>
      </c>
      <c r="F2175" t="s">
        <v>46</v>
      </c>
      <c r="G2175">
        <v>-492.73110000000003</v>
      </c>
      <c r="H2175" s="1">
        <v>2.4774779999999998E-6</v>
      </c>
      <c r="I2175">
        <v>208.64619999999999</v>
      </c>
      <c r="J2175">
        <v>-494.10449999999997</v>
      </c>
      <c r="K2175">
        <v>1.098965</v>
      </c>
      <c r="L2175">
        <v>237.84520000000001</v>
      </c>
      <c r="M2175">
        <v>0.2243434</v>
      </c>
      <c r="N2175">
        <v>0</v>
      </c>
      <c r="O2175">
        <v>-0.97439659999999995</v>
      </c>
      <c r="P2175">
        <v>6.8768269999999899E-3</v>
      </c>
      <c r="Q2175">
        <v>0.15425169999999999</v>
      </c>
      <c r="R2175">
        <v>-0.98800790000000005</v>
      </c>
      <c r="S2175">
        <v>0.14718629999999999</v>
      </c>
      <c r="T2175">
        <v>-0.114189899999999</v>
      </c>
      <c r="U2175">
        <v>-3.0540769999999999</v>
      </c>
      <c r="V2175">
        <v>0.2189411</v>
      </c>
      <c r="W2175">
        <v>0.16340729999999901</v>
      </c>
      <c r="X2175">
        <v>0.96195779999999997</v>
      </c>
      <c r="Y2175">
        <v>0.177228</v>
      </c>
      <c r="Z2175">
        <v>3.5620939999999997E-2</v>
      </c>
      <c r="AA2175">
        <v>0.98352499999999998</v>
      </c>
      <c r="AB2175">
        <v>40</v>
      </c>
      <c r="AC2175">
        <v>1.37339999999994</v>
      </c>
      <c r="AD2175">
        <v>-1.0989625225220001</v>
      </c>
      <c r="AE2175">
        <v>-29.199000000000002</v>
      </c>
      <c r="AF2175">
        <v>5.2055858436617397</v>
      </c>
      <c r="AG2175">
        <v>-1.0989625225220001</v>
      </c>
      <c r="AH2175">
        <v>28.722106098363302</v>
      </c>
      <c r="AI2175">
        <v>92.156085585983107</v>
      </c>
      <c r="AJ2175">
        <v>79.727240829927595</v>
      </c>
      <c r="AK2175">
        <v>29.210703882776901</v>
      </c>
      <c r="AL2175">
        <v>80.5952760378009</v>
      </c>
      <c r="AM2175">
        <v>77.177932886568996</v>
      </c>
      <c r="AN2175">
        <v>0.99999997997166901</v>
      </c>
    </row>
    <row r="2176" spans="1:40" x14ac:dyDescent="0.25">
      <c r="A2176" t="str">
        <f>"20190312164514036"</f>
        <v>20190312164514036</v>
      </c>
      <c r="B2176" t="str">
        <f>"1552380314033575"</f>
        <v>1552380314033575</v>
      </c>
      <c r="C2176" t="s">
        <v>40</v>
      </c>
      <c r="D2176">
        <v>5.4293589999999998</v>
      </c>
      <c r="E2176">
        <v>0.49339290000000002</v>
      </c>
      <c r="F2176" t="s">
        <v>46</v>
      </c>
      <c r="G2176">
        <v>-492.74360000000001</v>
      </c>
      <c r="H2176" s="1">
        <v>2.6010019999999998E-6</v>
      </c>
      <c r="I2176">
        <v>209.5959</v>
      </c>
      <c r="J2176">
        <v>-494.06639999999999</v>
      </c>
      <c r="K2176">
        <v>1.0988249999999999</v>
      </c>
      <c r="L2176">
        <v>237.6652</v>
      </c>
      <c r="M2176">
        <v>0.21969559999999999</v>
      </c>
      <c r="N2176">
        <v>0</v>
      </c>
      <c r="O2176">
        <v>-0.97545510000000002</v>
      </c>
      <c r="P2176">
        <v>8.1565409999999998E-3</v>
      </c>
      <c r="Q2176">
        <v>0.15244179999999999</v>
      </c>
      <c r="R2176">
        <v>-0.98827929999999997</v>
      </c>
      <c r="S2176">
        <v>0.14712520000000001</v>
      </c>
      <c r="T2176">
        <v>-0.1188047</v>
      </c>
      <c r="U2176">
        <v>-3.053925</v>
      </c>
      <c r="V2176">
        <v>0.2131625</v>
      </c>
      <c r="W2176">
        <v>0.1617046</v>
      </c>
      <c r="X2176">
        <v>0.96354209999999996</v>
      </c>
      <c r="Y2176">
        <v>0.17255409999999999</v>
      </c>
      <c r="Z2176">
        <v>3.7137910000000003E-2</v>
      </c>
      <c r="AA2176">
        <v>0.9842997</v>
      </c>
      <c r="AB2176">
        <v>40</v>
      </c>
      <c r="AC2176">
        <v>1.32279999999997</v>
      </c>
      <c r="AD2176">
        <v>-1.0988223989979999</v>
      </c>
      <c r="AE2176">
        <v>-28.069299999999998</v>
      </c>
      <c r="AF2176">
        <v>4.8694633254531396</v>
      </c>
      <c r="AG2176">
        <v>-1.0988223989979999</v>
      </c>
      <c r="AH2176">
        <v>27.6317649691781</v>
      </c>
      <c r="AI2176">
        <v>92.2427378135434</v>
      </c>
      <c r="AJ2176">
        <v>80.005555269449104</v>
      </c>
      <c r="AK2176">
        <v>28.079058371932099</v>
      </c>
      <c r="AL2176">
        <v>80.694148872313903</v>
      </c>
      <c r="AM2176">
        <v>77.525487279155101</v>
      </c>
      <c r="AN2176">
        <v>1.0000000037699099</v>
      </c>
    </row>
    <row r="2177" spans="1:40" x14ac:dyDescent="0.25">
      <c r="A2177" t="str">
        <f>"20190312164514048"</f>
        <v>20190312164514048</v>
      </c>
      <c r="B2177" t="str">
        <f>"1552380314043335"</f>
        <v>1552380314043335</v>
      </c>
      <c r="C2177" t="s">
        <v>40</v>
      </c>
      <c r="D2177">
        <v>5.6777360000000003</v>
      </c>
      <c r="E2177">
        <v>0.4938382</v>
      </c>
      <c r="F2177" t="s">
        <v>52</v>
      </c>
      <c r="G2177">
        <v>-491.19060000000002</v>
      </c>
      <c r="H2177" s="1">
        <v>-4.5035350000000001E-6</v>
      </c>
      <c r="I2177">
        <v>152.1525</v>
      </c>
      <c r="J2177">
        <v>-494.02249999999998</v>
      </c>
      <c r="K2177">
        <v>1.0986720000000001</v>
      </c>
      <c r="L2177">
        <v>237.4545</v>
      </c>
      <c r="M2177">
        <v>0.21423010000000001</v>
      </c>
      <c r="N2177">
        <v>0</v>
      </c>
      <c r="O2177">
        <v>-0.97666949999999997</v>
      </c>
      <c r="P2177">
        <v>9.3891349999999998E-3</v>
      </c>
      <c r="Q2177">
        <v>0.15144850000000001</v>
      </c>
      <c r="R2177">
        <v>-0.98842079999999999</v>
      </c>
      <c r="S2177">
        <v>0.10226440000000001</v>
      </c>
      <c r="T2177">
        <v>-3.9073589999999998E-2</v>
      </c>
      <c r="U2177">
        <v>-3.0407709999999999</v>
      </c>
      <c r="V2177">
        <v>0.2066115</v>
      </c>
      <c r="W2177">
        <v>0.1608349</v>
      </c>
      <c r="X2177">
        <v>0.96511340000000001</v>
      </c>
      <c r="Y2177">
        <v>0.18130379999999999</v>
      </c>
      <c r="Z2177">
        <v>1.229188E-2</v>
      </c>
      <c r="AA2177">
        <v>0.98335030000000001</v>
      </c>
      <c r="AB2177">
        <v>40</v>
      </c>
      <c r="AC2177">
        <v>2.8318999999999601</v>
      </c>
      <c r="AD2177">
        <v>-1.0986765035349999</v>
      </c>
      <c r="AE2177">
        <v>-85.301999999999893</v>
      </c>
      <c r="AF2177">
        <v>15.5075788080854</v>
      </c>
      <c r="AG2177">
        <v>-1.0986765035349999</v>
      </c>
      <c r="AH2177">
        <v>83.913957605050399</v>
      </c>
      <c r="AI2177">
        <v>90.737635866025798</v>
      </c>
      <c r="AJ2177">
        <v>79.529677696694193</v>
      </c>
      <c r="AK2177">
        <v>85.341926223226295</v>
      </c>
      <c r="AL2177">
        <v>80.744640129601507</v>
      </c>
      <c r="AM2177">
        <v>77.916511175202203</v>
      </c>
      <c r="AN2177">
        <v>1.0000000259249</v>
      </c>
    </row>
    <row r="2178" spans="1:40" x14ac:dyDescent="0.25">
      <c r="A2178" t="str">
        <f>"20190312164514058"</f>
        <v>20190312164514058</v>
      </c>
      <c r="B2178" t="str">
        <f>"1552380314054071"</f>
        <v>1552380314054071</v>
      </c>
      <c r="C2178" t="s">
        <v>40</v>
      </c>
      <c r="D2178">
        <v>5.4931340000000004</v>
      </c>
      <c r="E2178">
        <v>0.49419299999999999</v>
      </c>
      <c r="F2178" t="s">
        <v>52</v>
      </c>
      <c r="G2178">
        <v>-491.13720000000001</v>
      </c>
      <c r="H2178" s="1">
        <v>-5.3082089999999999E-6</v>
      </c>
      <c r="I2178">
        <v>150.56710000000001</v>
      </c>
      <c r="J2178">
        <v>-493.98500000000001</v>
      </c>
      <c r="K2178">
        <v>1.098568</v>
      </c>
      <c r="L2178">
        <v>237.26689999999999</v>
      </c>
      <c r="M2178">
        <v>0.20934150000000001</v>
      </c>
      <c r="N2178">
        <v>0</v>
      </c>
      <c r="O2178">
        <v>-0.97772879999999995</v>
      </c>
      <c r="P2178">
        <v>1.099147E-2</v>
      </c>
      <c r="Q2178">
        <v>0.1513661</v>
      </c>
      <c r="R2178">
        <v>-0.98841670000000004</v>
      </c>
      <c r="S2178">
        <v>0.1009521</v>
      </c>
      <c r="T2178">
        <v>-3.8441419999999997E-2</v>
      </c>
      <c r="U2178">
        <v>-3.0400849999999999</v>
      </c>
      <c r="V2178">
        <v>0.20024059999999999</v>
      </c>
      <c r="W2178">
        <v>0.16089189999999901</v>
      </c>
      <c r="X2178">
        <v>0.96644580000000002</v>
      </c>
      <c r="Y2178">
        <v>0.1767987</v>
      </c>
      <c r="Z2178">
        <v>1.2121089999999999E-2</v>
      </c>
      <c r="AA2178">
        <v>0.98417239999999995</v>
      </c>
      <c r="AB2178">
        <v>40</v>
      </c>
      <c r="AC2178">
        <v>2.8477999999999999</v>
      </c>
      <c r="AD2178">
        <v>-1.0985733082089999</v>
      </c>
      <c r="AE2178">
        <v>-86.699799999999897</v>
      </c>
      <c r="AF2178">
        <v>15.3647358164369</v>
      </c>
      <c r="AG2178">
        <v>-1.0985733082089999</v>
      </c>
      <c r="AH2178">
        <v>85.360863585689302</v>
      </c>
      <c r="AI2178">
        <v>90.725681160761695</v>
      </c>
      <c r="AJ2178">
        <v>79.796169070864494</v>
      </c>
      <c r="AK2178">
        <v>86.739604576669905</v>
      </c>
      <c r="AL2178">
        <v>80.741330867833696</v>
      </c>
      <c r="AM2178">
        <v>78.294355408008499</v>
      </c>
      <c r="AN2178">
        <v>0.99999999285580499</v>
      </c>
    </row>
    <row r="2179" spans="1:40" x14ac:dyDescent="0.25">
      <c r="A2179" t="str">
        <f>"20190312164514070"</f>
        <v>20190312164514070</v>
      </c>
      <c r="B2179" t="str">
        <f>"1552380314063830"</f>
        <v>1552380314063830</v>
      </c>
      <c r="C2179" t="s">
        <v>40</v>
      </c>
      <c r="D2179">
        <v>5.3756009999999996</v>
      </c>
      <c r="E2179">
        <v>0.49453900000000001</v>
      </c>
      <c r="F2179" t="s">
        <v>52</v>
      </c>
      <c r="G2179">
        <v>-490.90230000000003</v>
      </c>
      <c r="H2179" s="1">
        <v>-7.5091589999999902E-6</v>
      </c>
      <c r="I2179">
        <v>145.36859999999999</v>
      </c>
      <c r="J2179">
        <v>-493.94600000000003</v>
      </c>
      <c r="K2179">
        <v>1.0984640000000001</v>
      </c>
      <c r="L2179">
        <v>237.0701</v>
      </c>
      <c r="M2179">
        <v>0.20420869999999999</v>
      </c>
      <c r="N2179">
        <v>0</v>
      </c>
      <c r="O2179">
        <v>-0.9788135</v>
      </c>
      <c r="P2179">
        <v>1.319702E-2</v>
      </c>
      <c r="Q2179">
        <v>0.15238940000000001</v>
      </c>
      <c r="R2179">
        <v>-0.98823260000000002</v>
      </c>
      <c r="S2179">
        <v>0.1019592</v>
      </c>
      <c r="T2179">
        <v>-3.6335949999999999E-2</v>
      </c>
      <c r="U2179">
        <v>-3.0395810000000001</v>
      </c>
      <c r="V2179">
        <v>0.1930249</v>
      </c>
      <c r="W2179">
        <v>0.16207769999999999</v>
      </c>
      <c r="X2179">
        <v>0.96771499999999999</v>
      </c>
      <c r="Y2179">
        <v>0.17130049999999999</v>
      </c>
      <c r="Z2179">
        <v>1.1484360000000001E-2</v>
      </c>
      <c r="AA2179">
        <v>0.98515189999999997</v>
      </c>
      <c r="AB2179">
        <v>40</v>
      </c>
      <c r="AC2179">
        <v>3.0436999999999399</v>
      </c>
      <c r="AD2179">
        <v>-1.0984715091589901</v>
      </c>
      <c r="AE2179">
        <v>-91.701499999999996</v>
      </c>
      <c r="AF2179">
        <v>15.7465280617698</v>
      </c>
      <c r="AG2179">
        <v>-1.0984715091589901</v>
      </c>
      <c r="AH2179">
        <v>90.377338450422002</v>
      </c>
      <c r="AI2179">
        <v>90.686020964044005</v>
      </c>
      <c r="AJ2179">
        <v>80.116514955282597</v>
      </c>
      <c r="AK2179">
        <v>91.745425450202504</v>
      </c>
      <c r="AL2179">
        <v>80.672486555819205</v>
      </c>
      <c r="AM2179">
        <v>78.7195660367247</v>
      </c>
      <c r="AN2179">
        <v>1.00000005704114</v>
      </c>
    </row>
    <row r="2180" spans="1:40" x14ac:dyDescent="0.25">
      <c r="A2180" t="str">
        <f>"20190312164514081"</f>
        <v>20190312164514081</v>
      </c>
      <c r="B2180" t="str">
        <f>"1552380314073590"</f>
        <v>1552380314073590</v>
      </c>
      <c r="C2180" t="s">
        <v>40</v>
      </c>
      <c r="D2180">
        <v>5.4777500000000003</v>
      </c>
      <c r="E2180">
        <v>0.49453900000000001</v>
      </c>
      <c r="F2180" t="s">
        <v>52</v>
      </c>
      <c r="G2180">
        <v>-490.24040000000002</v>
      </c>
      <c r="H2180">
        <v>4.6169120000000001E-2</v>
      </c>
      <c r="I2180">
        <v>129.6163</v>
      </c>
      <c r="J2180">
        <v>-493.90820000000002</v>
      </c>
      <c r="K2180">
        <v>1.098395</v>
      </c>
      <c r="L2180">
        <v>236.87100000000001</v>
      </c>
      <c r="M2180">
        <v>0.1990256</v>
      </c>
      <c r="N2180">
        <v>0</v>
      </c>
      <c r="O2180">
        <v>-0.97988070000000005</v>
      </c>
      <c r="P2180">
        <v>1.482637E-2</v>
      </c>
      <c r="Q2180">
        <v>0.15361610000000001</v>
      </c>
      <c r="R2180">
        <v>-0.98801950000000005</v>
      </c>
      <c r="S2180">
        <v>0.1047974</v>
      </c>
      <c r="T2180">
        <v>-2.9759879999999999E-2</v>
      </c>
      <c r="U2180">
        <v>-3.0388950000000001</v>
      </c>
      <c r="V2180">
        <v>0.186309</v>
      </c>
      <c r="W2180">
        <v>0.1634661</v>
      </c>
      <c r="X2180">
        <v>0.96879709999999997</v>
      </c>
      <c r="Y2180">
        <v>0.16515579999999999</v>
      </c>
      <c r="Z2180">
        <v>9.4289049999999996E-3</v>
      </c>
      <c r="AA2180">
        <v>0.98622240000000005</v>
      </c>
      <c r="AB2180">
        <v>39</v>
      </c>
      <c r="AC2180">
        <v>3.6678000000000002</v>
      </c>
      <c r="AD2180">
        <v>-1.0522258799999999</v>
      </c>
      <c r="AE2180">
        <v>-107.2547</v>
      </c>
      <c r="AF2180">
        <v>17.752694339267698</v>
      </c>
      <c r="AG2180">
        <v>-1.0522258799999999</v>
      </c>
      <c r="AH2180">
        <v>105.828404661951</v>
      </c>
      <c r="AI2180">
        <v>90.561809807124504</v>
      </c>
      <c r="AJ2180">
        <v>80.477306390851396</v>
      </c>
      <c r="AK2180">
        <v>107.312238672482</v>
      </c>
      <c r="AL2180">
        <v>80.591861462381701</v>
      </c>
      <c r="AM2180">
        <v>79.114366558793606</v>
      </c>
      <c r="AN2180">
        <v>1.0000000151493</v>
      </c>
    </row>
    <row r="2181" spans="1:40" x14ac:dyDescent="0.25">
      <c r="A2181" t="str">
        <f>"20190312164514093"</f>
        <v>20190312164514093</v>
      </c>
      <c r="B2181" t="str">
        <f>"1552380314083350"</f>
        <v>1552380314083350</v>
      </c>
      <c r="C2181" t="s">
        <v>40</v>
      </c>
      <c r="D2181">
        <v>5.6812050000000003</v>
      </c>
      <c r="E2181">
        <v>0.4732422</v>
      </c>
      <c r="F2181" t="s">
        <v>43</v>
      </c>
      <c r="G2181">
        <v>-489.08949999999999</v>
      </c>
      <c r="H2181">
        <v>-0.05</v>
      </c>
      <c r="I2181">
        <v>102.84050000000001</v>
      </c>
      <c r="J2181">
        <v>-493.87169999999998</v>
      </c>
      <c r="K2181">
        <v>1.0983400000000001</v>
      </c>
      <c r="L2181">
        <v>236.67490000000001</v>
      </c>
      <c r="M2181">
        <v>0.19393299999999999</v>
      </c>
      <c r="N2181">
        <v>0</v>
      </c>
      <c r="O2181">
        <v>-0.98090109999999997</v>
      </c>
      <c r="P2181">
        <v>1.6492280000000002E-2</v>
      </c>
      <c r="Q2181">
        <v>0.15439269999999999</v>
      </c>
      <c r="R2181">
        <v>-0.98787210000000003</v>
      </c>
      <c r="S2181">
        <v>0.1092529</v>
      </c>
      <c r="T2181">
        <v>-2.6036980000000001E-2</v>
      </c>
      <c r="U2181">
        <v>-3.0388030000000001</v>
      </c>
      <c r="V2181">
        <v>0.17964279999999999</v>
      </c>
      <c r="W2181">
        <v>0.16440920000000001</v>
      </c>
      <c r="X2181">
        <v>0.96989590000000003</v>
      </c>
      <c r="Y2181">
        <v>0.15858349999999999</v>
      </c>
      <c r="Z2181">
        <v>8.2672140000000002E-3</v>
      </c>
      <c r="AA2181">
        <v>0.98731089999999999</v>
      </c>
      <c r="AB2181">
        <v>39</v>
      </c>
      <c r="AC2181">
        <v>4.78219999999998</v>
      </c>
      <c r="AD2181">
        <v>-1.1483399999999999</v>
      </c>
      <c r="AE2181">
        <v>-133.83439999999999</v>
      </c>
      <c r="AF2181">
        <v>21.264849485563101</v>
      </c>
      <c r="AG2181">
        <v>-1.1483399999999999</v>
      </c>
      <c r="AH2181">
        <v>132.210760371069</v>
      </c>
      <c r="AI2181">
        <v>90.491325811523197</v>
      </c>
      <c r="AJ2181">
        <v>80.862772214561303</v>
      </c>
      <c r="AK2181">
        <v>133.91488963627401</v>
      </c>
      <c r="AL2181">
        <v>80.5370844682609</v>
      </c>
      <c r="AM2181">
        <v>79.506669707809195</v>
      </c>
      <c r="AN2181">
        <v>0.99999998873664497</v>
      </c>
    </row>
    <row r="2182" spans="1:40" x14ac:dyDescent="0.25">
      <c r="A2182" t="str">
        <f>"20190312164514103"</f>
        <v>20190312164514103</v>
      </c>
      <c r="B2182" t="str">
        <f>"1552380314094086"</f>
        <v>1552380314094086</v>
      </c>
      <c r="C2182" t="s">
        <v>40</v>
      </c>
      <c r="D2182">
        <v>5.3589900000000004</v>
      </c>
      <c r="E2182">
        <v>0.46414660000000002</v>
      </c>
      <c r="F2182" t="s">
        <v>53</v>
      </c>
      <c r="G2182">
        <v>-477.8596</v>
      </c>
      <c r="H2182">
        <v>4.1258629999999998</v>
      </c>
      <c r="I2182">
        <v>64.450009999999907</v>
      </c>
      <c r="J2182">
        <v>-493.83519999999999</v>
      </c>
      <c r="K2182">
        <v>1.0983019999999999</v>
      </c>
      <c r="L2182">
        <v>236.47219999999999</v>
      </c>
      <c r="M2182">
        <v>0.18869030000000001</v>
      </c>
      <c r="N2182">
        <v>0</v>
      </c>
      <c r="O2182">
        <v>-0.9819232</v>
      </c>
      <c r="P2182">
        <v>1.7906229999999999E-2</v>
      </c>
      <c r="Q2182">
        <v>0.15516669999999999</v>
      </c>
      <c r="R2182">
        <v>-0.98772649999999995</v>
      </c>
      <c r="S2182">
        <v>0.28112789999999999</v>
      </c>
      <c r="T2182">
        <v>5.3155420000000002E-2</v>
      </c>
      <c r="U2182">
        <v>-3.0238040000000002</v>
      </c>
      <c r="V2182">
        <v>0.1730662</v>
      </c>
      <c r="W2182">
        <v>0.1653541</v>
      </c>
      <c r="X2182">
        <v>0.97093059999999998</v>
      </c>
      <c r="Y2182">
        <v>9.7005530000000006E-2</v>
      </c>
      <c r="Z2182">
        <v>-1.7025849999999999E-2</v>
      </c>
      <c r="AA2182">
        <v>0.99513819999999997</v>
      </c>
      <c r="AB2182">
        <v>39</v>
      </c>
      <c r="AC2182">
        <v>15.975599999999901</v>
      </c>
      <c r="AD2182">
        <v>3.0275609999999902</v>
      </c>
      <c r="AE2182">
        <v>-172.02218999999999</v>
      </c>
      <c r="AF2182">
        <v>16.768825294279502</v>
      </c>
      <c r="AG2182">
        <v>3.0275609999999902</v>
      </c>
      <c r="AH2182">
        <v>171.89338654010999</v>
      </c>
      <c r="AI2182">
        <v>88.995719267280606</v>
      </c>
      <c r="AJ2182">
        <v>84.428218617132899</v>
      </c>
      <c r="AK2182">
        <v>172.735913936815</v>
      </c>
      <c r="AL2182">
        <v>80.482195097869607</v>
      </c>
      <c r="AM2182">
        <v>79.893301375715794</v>
      </c>
      <c r="AN2182">
        <v>1.0000000589928</v>
      </c>
    </row>
    <row r="2183" spans="1:40" x14ac:dyDescent="0.25">
      <c r="A2183" t="str">
        <f>"20190312164514116"</f>
        <v>20190312164514116</v>
      </c>
      <c r="B2183" t="str">
        <f>"1552380314103847"</f>
        <v>1552380314103847</v>
      </c>
      <c r="C2183" t="s">
        <v>40</v>
      </c>
      <c r="D2183">
        <v>5.4322720000000002</v>
      </c>
      <c r="E2183">
        <v>0.4559243</v>
      </c>
      <c r="F2183" t="s">
        <v>53</v>
      </c>
      <c r="G2183">
        <v>-473.56099999999998</v>
      </c>
      <c r="H2183">
        <v>5.5147000000000004</v>
      </c>
      <c r="I2183">
        <v>65.014020000000002</v>
      </c>
      <c r="J2183">
        <v>-493.79989999999998</v>
      </c>
      <c r="K2183">
        <v>1.098285</v>
      </c>
      <c r="L2183">
        <v>236.27029999999999</v>
      </c>
      <c r="M2183">
        <v>0.18352089999999999</v>
      </c>
      <c r="N2183">
        <v>0</v>
      </c>
      <c r="O2183">
        <v>-0.98290219999999995</v>
      </c>
      <c r="P2183">
        <v>1.9878449999999999E-2</v>
      </c>
      <c r="Q2183">
        <v>0.15620339999999999</v>
      </c>
      <c r="R2183">
        <v>-0.98752490000000004</v>
      </c>
      <c r="S2183">
        <v>0.35693360000000002</v>
      </c>
      <c r="T2183">
        <v>7.7753069999999994E-2</v>
      </c>
      <c r="U2183">
        <v>-3.0186000000000002</v>
      </c>
      <c r="V2183">
        <v>0.1659997</v>
      </c>
      <c r="W2183">
        <v>0.1665819</v>
      </c>
      <c r="X2183">
        <v>0.97195399999999998</v>
      </c>
      <c r="Y2183">
        <v>6.6876989999999997E-2</v>
      </c>
      <c r="Z2183">
        <v>-2.498001E-2</v>
      </c>
      <c r="AA2183">
        <v>0.99744849999999996</v>
      </c>
      <c r="AB2183">
        <v>39</v>
      </c>
      <c r="AC2183">
        <v>20.238900000000001</v>
      </c>
      <c r="AD2183">
        <v>4.4164149999999998</v>
      </c>
      <c r="AE2183">
        <v>-171.25628</v>
      </c>
      <c r="AF2183">
        <v>11.5299735363654</v>
      </c>
      <c r="AG2183">
        <v>4.4164149999999998</v>
      </c>
      <c r="AH2183">
        <v>171.94887357766399</v>
      </c>
      <c r="AI2183">
        <v>88.532007113171701</v>
      </c>
      <c r="AJ2183">
        <v>86.163793627479293</v>
      </c>
      <c r="AK2183">
        <v>172.391589515931</v>
      </c>
      <c r="AL2183">
        <v>80.410857441778006</v>
      </c>
      <c r="AM2183">
        <v>80.307986684031704</v>
      </c>
      <c r="AN2183">
        <v>1.00000000396185</v>
      </c>
    </row>
    <row r="2184" spans="1:40" x14ac:dyDescent="0.25">
      <c r="A2184" t="str">
        <f>"20190312164514126"</f>
        <v>20190312164514126</v>
      </c>
      <c r="B2184" t="str">
        <f>"1552380314113606"</f>
        <v>1552380314113606</v>
      </c>
      <c r="C2184" t="s">
        <v>40</v>
      </c>
      <c r="D2184">
        <v>5.6845330000000001</v>
      </c>
      <c r="E2184">
        <v>0.44855889999999998</v>
      </c>
      <c r="F2184" t="s">
        <v>54</v>
      </c>
      <c r="G2184">
        <v>-473.15</v>
      </c>
      <c r="H2184">
        <v>5.8085019999999998</v>
      </c>
      <c r="I2184">
        <v>90.697959999999995</v>
      </c>
      <c r="J2184">
        <v>-493.76830000000001</v>
      </c>
      <c r="K2184">
        <v>1.0982829999999999</v>
      </c>
      <c r="L2184">
        <v>236.0855</v>
      </c>
      <c r="M2184">
        <v>0.17881559999999999</v>
      </c>
      <c r="N2184">
        <v>0</v>
      </c>
      <c r="O2184">
        <v>-0.98376940000000002</v>
      </c>
      <c r="P2184">
        <v>2.2528630000000001E-2</v>
      </c>
      <c r="Q2184">
        <v>0.1574188</v>
      </c>
      <c r="R2184">
        <v>-0.98727509999999996</v>
      </c>
      <c r="S2184">
        <v>0.42752079999999998</v>
      </c>
      <c r="T2184">
        <v>9.7518209999999994E-2</v>
      </c>
      <c r="U2184">
        <v>-3.013855</v>
      </c>
      <c r="V2184">
        <v>0.15871479999999999</v>
      </c>
      <c r="W2184">
        <v>0.16799829999999999</v>
      </c>
      <c r="X2184">
        <v>0.97292659999999997</v>
      </c>
      <c r="Y2184">
        <v>3.8951560000000003E-2</v>
      </c>
      <c r="Z2184">
        <v>-3.139198E-2</v>
      </c>
      <c r="AA2184">
        <v>0.99874790000000002</v>
      </c>
      <c r="AB2184">
        <v>39</v>
      </c>
      <c r="AC2184">
        <v>20.618300000000001</v>
      </c>
      <c r="AD2184">
        <v>4.7102190000000004</v>
      </c>
      <c r="AE2184">
        <v>-145.38754</v>
      </c>
      <c r="AF2184">
        <v>5.7086703231156601</v>
      </c>
      <c r="AG2184">
        <v>4.7102190000000004</v>
      </c>
      <c r="AH2184">
        <v>146.58021090348799</v>
      </c>
      <c r="AI2184">
        <v>88.160879917679594</v>
      </c>
      <c r="AJ2184">
        <v>87.769702370462397</v>
      </c>
      <c r="AK2184">
        <v>146.766935337619</v>
      </c>
      <c r="AL2184">
        <v>80.328543594434095</v>
      </c>
      <c r="AM2184">
        <v>80.734875933776806</v>
      </c>
      <c r="AN2184">
        <v>0.99999999276474405</v>
      </c>
    </row>
    <row r="2185" spans="1:40" x14ac:dyDescent="0.25">
      <c r="A2185" t="str">
        <f>"20190312164514138"</f>
        <v>20190312164514138</v>
      </c>
      <c r="B2185" t="str">
        <f>"1552380314134103"</f>
        <v>1552380314134103</v>
      </c>
      <c r="C2185" t="s">
        <v>40</v>
      </c>
      <c r="D2185">
        <v>5.5322459999999998</v>
      </c>
      <c r="E2185">
        <v>0.44413029999999998</v>
      </c>
      <c r="F2185" t="s">
        <v>54</v>
      </c>
      <c r="G2185">
        <v>-473.15</v>
      </c>
      <c r="H2185">
        <v>5.725193</v>
      </c>
      <c r="I2185">
        <v>110.5121</v>
      </c>
      <c r="J2185">
        <v>-493.73430000000002</v>
      </c>
      <c r="K2185">
        <v>1.098322</v>
      </c>
      <c r="L2185">
        <v>235.87860000000001</v>
      </c>
      <c r="M2185">
        <v>0.1736625</v>
      </c>
      <c r="N2185">
        <v>0</v>
      </c>
      <c r="O2185">
        <v>-0.98469220000000002</v>
      </c>
      <c r="P2185">
        <v>2.5109309999999999E-2</v>
      </c>
      <c r="Q2185">
        <v>0.15867699999999901</v>
      </c>
      <c r="R2185">
        <v>-0.98701170000000005</v>
      </c>
      <c r="S2185">
        <v>0.49417109999999898</v>
      </c>
      <c r="T2185">
        <v>0.11089739999999999</v>
      </c>
      <c r="U2185">
        <v>-3.0097200000000002</v>
      </c>
      <c r="V2185">
        <v>0.15103529999999901</v>
      </c>
      <c r="W2185">
        <v>0.1694764</v>
      </c>
      <c r="X2185">
        <v>0.97389219999999999</v>
      </c>
      <c r="Y2185">
        <v>1.193224E-2</v>
      </c>
      <c r="Z2185">
        <v>-3.5746029999999998E-2</v>
      </c>
      <c r="AA2185">
        <v>0.99928969999999995</v>
      </c>
      <c r="AB2185">
        <v>39</v>
      </c>
      <c r="AC2185">
        <v>20.584299999999999</v>
      </c>
      <c r="AD2185">
        <v>4.6268710000000004</v>
      </c>
      <c r="AE2185">
        <v>-125.3665</v>
      </c>
      <c r="AF2185">
        <v>1.50043728201118</v>
      </c>
      <c r="AG2185">
        <v>4.6268710000000004</v>
      </c>
      <c r="AH2185">
        <v>126.86800455248</v>
      </c>
      <c r="AI2185">
        <v>87.911496843385606</v>
      </c>
      <c r="AJ2185">
        <v>89.322408229633893</v>
      </c>
      <c r="AK2185">
        <v>126.961213866346</v>
      </c>
      <c r="AL2185">
        <v>80.242622400413794</v>
      </c>
      <c r="AM2185">
        <v>81.184555536039696</v>
      </c>
      <c r="AN2185">
        <v>0.99999996461194396</v>
      </c>
    </row>
    <row r="2186" spans="1:40" x14ac:dyDescent="0.25">
      <c r="A2186" t="str">
        <f>"20190312164514150"</f>
        <v>20190312164514150</v>
      </c>
      <c r="B2186" t="str">
        <f>"1552380314143862"</f>
        <v>1552380314143862</v>
      </c>
      <c r="C2186" t="s">
        <v>40</v>
      </c>
      <c r="D2186">
        <v>5.5114210000000003</v>
      </c>
      <c r="E2186">
        <v>0.44349309999999997</v>
      </c>
      <c r="F2186" t="s">
        <v>54</v>
      </c>
      <c r="G2186">
        <v>-472.9907</v>
      </c>
      <c r="H2186">
        <v>5.5225569999999999</v>
      </c>
      <c r="I2186">
        <v>119.8177</v>
      </c>
      <c r="J2186">
        <v>-493.69889999999998</v>
      </c>
      <c r="K2186">
        <v>1.0983849999999999</v>
      </c>
      <c r="L2186">
        <v>235.65860000000001</v>
      </c>
      <c r="M2186">
        <v>0.16824629999999999</v>
      </c>
      <c r="N2186">
        <v>0</v>
      </c>
      <c r="O2186">
        <v>-0.98563199999999995</v>
      </c>
      <c r="P2186">
        <v>2.7383859999999999E-2</v>
      </c>
      <c r="Q2186">
        <v>0.1595731</v>
      </c>
      <c r="R2186">
        <v>-0.98680639999999997</v>
      </c>
      <c r="S2186">
        <v>0.53750609999999999</v>
      </c>
      <c r="T2186">
        <v>0.1146421</v>
      </c>
      <c r="U2186">
        <v>-3.0073850000000002</v>
      </c>
      <c r="V2186">
        <v>0.14338629999999999</v>
      </c>
      <c r="W2186">
        <v>0.1705962</v>
      </c>
      <c r="X2186">
        <v>0.97485239999999995</v>
      </c>
      <c r="Y2186">
        <v>-7.6696719999999998E-3</v>
      </c>
      <c r="Z2186">
        <v>-3.6989069999999999E-2</v>
      </c>
      <c r="AA2186">
        <v>0.99928620000000001</v>
      </c>
      <c r="AB2186">
        <v>39</v>
      </c>
      <c r="AC2186">
        <v>20.708199999999898</v>
      </c>
      <c r="AD2186">
        <v>4.4241720000000004</v>
      </c>
      <c r="AE2186">
        <v>-115.8409</v>
      </c>
      <c r="AF2186">
        <v>-0.91966444914419998</v>
      </c>
      <c r="AG2186">
        <v>4.4241720000000004</v>
      </c>
      <c r="AH2186">
        <v>117.507591766414</v>
      </c>
      <c r="AI2186">
        <v>87.843892853826304</v>
      </c>
      <c r="AJ2186">
        <v>90.448412012252007</v>
      </c>
      <c r="AK2186">
        <v>117.594443760437</v>
      </c>
      <c r="AL2186">
        <v>80.177514302156396</v>
      </c>
      <c r="AM2186">
        <v>81.632638076926398</v>
      </c>
      <c r="AN2186">
        <v>0.999999948133943</v>
      </c>
    </row>
    <row r="2187" spans="1:40" x14ac:dyDescent="0.25">
      <c r="A2187" t="str">
        <f>"20190312164514162"</f>
        <v>20190312164514162</v>
      </c>
      <c r="B2187" t="str">
        <f>"1552380314153622"</f>
        <v>1552380314153622</v>
      </c>
      <c r="C2187" t="s">
        <v>40</v>
      </c>
      <c r="D2187">
        <v>5.3323700000000001</v>
      </c>
      <c r="E2187">
        <v>0.44298700000000002</v>
      </c>
      <c r="F2187" t="s">
        <v>54</v>
      </c>
      <c r="G2187">
        <v>-472.51760000000002</v>
      </c>
      <c r="H2187">
        <v>5.6591950000000004</v>
      </c>
      <c r="I2187">
        <v>119.8177</v>
      </c>
      <c r="J2187">
        <v>-493.66550000000001</v>
      </c>
      <c r="K2187">
        <v>1.0985009999999999</v>
      </c>
      <c r="L2187">
        <v>235.44149999999999</v>
      </c>
      <c r="M2187">
        <v>0.1630924</v>
      </c>
      <c r="N2187">
        <v>0</v>
      </c>
      <c r="O2187">
        <v>-0.98649810000000004</v>
      </c>
      <c r="P2187">
        <v>3.0351119999999999E-2</v>
      </c>
      <c r="Q2187">
        <v>0.1604006</v>
      </c>
      <c r="R2187">
        <v>-0.98658500000000005</v>
      </c>
      <c r="S2187">
        <v>0.5495911</v>
      </c>
      <c r="T2187">
        <v>0.11834119999999999</v>
      </c>
      <c r="U2187">
        <v>-3.0057529999999999</v>
      </c>
      <c r="V2187">
        <v>0.1352864</v>
      </c>
      <c r="W2187">
        <v>0.17166600000000001</v>
      </c>
      <c r="X2187">
        <v>0.97582190000000002</v>
      </c>
      <c r="Y2187">
        <v>-1.6871899999999999E-2</v>
      </c>
      <c r="Z2187">
        <v>-3.823584E-2</v>
      </c>
      <c r="AA2187">
        <v>0.99912630000000002</v>
      </c>
      <c r="AB2187">
        <v>39</v>
      </c>
      <c r="AC2187">
        <v>21.1479</v>
      </c>
      <c r="AD2187">
        <v>4.5606939999999998</v>
      </c>
      <c r="AE2187">
        <v>-115.6238</v>
      </c>
      <c r="AF2187">
        <v>-2.0022087949661498</v>
      </c>
      <c r="AG2187">
        <v>4.5606939999999998</v>
      </c>
      <c r="AH2187">
        <v>117.348122503143</v>
      </c>
      <c r="AI2187">
        <v>87.774663147602197</v>
      </c>
      <c r="AJ2187">
        <v>90.977493129422598</v>
      </c>
      <c r="AK2187">
        <v>117.45378080263301</v>
      </c>
      <c r="AL2187">
        <v>80.115302072637206</v>
      </c>
      <c r="AM2187">
        <v>82.106917367312704</v>
      </c>
      <c r="AN2187">
        <v>1.00000000305028</v>
      </c>
    </row>
    <row r="2188" spans="1:40" x14ac:dyDescent="0.25">
      <c r="A2188" t="str">
        <f>"20190312164514183"</f>
        <v>20190312164514183</v>
      </c>
      <c r="B2188" t="str">
        <f>"1552380314174118"</f>
        <v>1552380314174118</v>
      </c>
      <c r="C2188" t="s">
        <v>40</v>
      </c>
      <c r="D2188">
        <v>5.4479550000000003</v>
      </c>
      <c r="E2188">
        <v>0.44291819999999998</v>
      </c>
      <c r="F2188" t="s">
        <v>54</v>
      </c>
      <c r="G2188">
        <v>-471.9821</v>
      </c>
      <c r="H2188">
        <v>5.6972060000000004</v>
      </c>
      <c r="I2188">
        <v>119.8177</v>
      </c>
      <c r="J2188">
        <v>-493.61320000000001</v>
      </c>
      <c r="K2188">
        <v>1.0987579999999999</v>
      </c>
      <c r="L2188">
        <v>235.0899</v>
      </c>
      <c r="M2188">
        <v>0.1550405</v>
      </c>
      <c r="N2188">
        <v>0</v>
      </c>
      <c r="O2188">
        <v>-0.98779600000000001</v>
      </c>
      <c r="P2188">
        <v>3.9160680000000003E-2</v>
      </c>
      <c r="Q2188">
        <v>0.16067200000000001</v>
      </c>
      <c r="R2188">
        <v>-0.98623070000000002</v>
      </c>
      <c r="S2188">
        <v>0.56335449999999998</v>
      </c>
      <c r="T2188">
        <v>0.1194805</v>
      </c>
      <c r="U2188">
        <v>-3.0040439999999999</v>
      </c>
      <c r="V2188">
        <v>0.11844880000000001</v>
      </c>
      <c r="W2188">
        <v>0.17242969999999999</v>
      </c>
      <c r="X2188">
        <v>0.97787420000000003</v>
      </c>
      <c r="Y2188">
        <v>-2.9549140000000002E-2</v>
      </c>
      <c r="Z2188">
        <v>-3.8679390000000001E-2</v>
      </c>
      <c r="AA2188">
        <v>0.99881470000000006</v>
      </c>
      <c r="AB2188">
        <v>39</v>
      </c>
      <c r="AC2188">
        <v>21.6311</v>
      </c>
      <c r="AD2188">
        <v>4.5984479999999897</v>
      </c>
      <c r="AE2188">
        <v>-115.2722</v>
      </c>
      <c r="AF2188">
        <v>-3.4902762903495401</v>
      </c>
      <c r="AG2188">
        <v>4.5984479999999897</v>
      </c>
      <c r="AH2188">
        <v>117.05216111854701</v>
      </c>
      <c r="AI2188">
        <v>87.751264290337303</v>
      </c>
      <c r="AJ2188">
        <v>91.707946801096</v>
      </c>
      <c r="AK2188">
        <v>117.194437475138</v>
      </c>
      <c r="AL2188">
        <v>80.070883256824601</v>
      </c>
      <c r="AM2188">
        <v>83.093473621756601</v>
      </c>
      <c r="AN2188">
        <v>1.0000000353445799</v>
      </c>
    </row>
    <row r="2189" spans="1:40" x14ac:dyDescent="0.25">
      <c r="A2189" t="str">
        <f>"20190312164514206"</f>
        <v>20190312164514206</v>
      </c>
      <c r="B2189" t="str">
        <f>"1552380314193638"</f>
        <v>1552380314193638</v>
      </c>
      <c r="C2189" t="s">
        <v>40</v>
      </c>
      <c r="D2189">
        <v>5.3120520000000004</v>
      </c>
      <c r="E2189">
        <v>0.44343680000000002</v>
      </c>
      <c r="F2189" t="s">
        <v>54</v>
      </c>
      <c r="G2189">
        <v>-470.9015</v>
      </c>
      <c r="H2189">
        <v>5.6009650000000004</v>
      </c>
      <c r="I2189">
        <v>119.8177</v>
      </c>
      <c r="J2189">
        <v>-493.55650000000003</v>
      </c>
      <c r="K2189">
        <v>1.0991709999999999</v>
      </c>
      <c r="L2189">
        <v>234.68889999999999</v>
      </c>
      <c r="M2189">
        <v>0.14648559999999999</v>
      </c>
      <c r="N2189">
        <v>0</v>
      </c>
      <c r="O2189">
        <v>-0.98910140000000002</v>
      </c>
      <c r="P2189">
        <v>4.8115070000000003E-2</v>
      </c>
      <c r="Q2189">
        <v>0.15995329999999999</v>
      </c>
      <c r="R2189">
        <v>-0.98595140000000003</v>
      </c>
      <c r="S2189">
        <v>0.59094239999999998</v>
      </c>
      <c r="T2189">
        <v>0.117146</v>
      </c>
      <c r="U2189">
        <v>-2.9993289999999999</v>
      </c>
      <c r="V2189">
        <v>0.1008718</v>
      </c>
      <c r="W2189">
        <v>0.17222299999999999</v>
      </c>
      <c r="X2189">
        <v>0.97987959999999996</v>
      </c>
      <c r="Y2189">
        <v>-4.734331E-2</v>
      </c>
      <c r="Z2189">
        <v>-3.8012669999999998E-2</v>
      </c>
      <c r="AA2189">
        <v>0.99815509999999996</v>
      </c>
      <c r="AB2189">
        <v>39</v>
      </c>
      <c r="AC2189">
        <v>22.655000000000001</v>
      </c>
      <c r="AD2189">
        <v>4.5017940000000003</v>
      </c>
      <c r="AE2189">
        <v>-114.8712</v>
      </c>
      <c r="AF2189">
        <v>-5.5734911116175798</v>
      </c>
      <c r="AG2189">
        <v>4.5017940000000003</v>
      </c>
      <c r="AH2189">
        <v>116.778145289614</v>
      </c>
      <c r="AI2189">
        <v>87.794850210564107</v>
      </c>
      <c r="AJ2189">
        <v>92.732492254505999</v>
      </c>
      <c r="AK2189">
        <v>116.99771437798201</v>
      </c>
      <c r="AL2189">
        <v>80.082905364175403</v>
      </c>
      <c r="AM2189">
        <v>84.122500864493404</v>
      </c>
      <c r="AN2189">
        <v>0.99999995613019899</v>
      </c>
    </row>
    <row r="2190" spans="1:40" x14ac:dyDescent="0.25">
      <c r="A2190" t="str">
        <f>"20190312164514225"</f>
        <v>20190312164514225</v>
      </c>
      <c r="B2190" t="str">
        <f>"1552380314214133"</f>
        <v>1552380314214133</v>
      </c>
      <c r="C2190" t="s">
        <v>40</v>
      </c>
      <c r="D2190">
        <v>5.434418</v>
      </c>
      <c r="E2190">
        <v>0.44426450000000001</v>
      </c>
      <c r="F2190" t="s">
        <v>54</v>
      </c>
      <c r="G2190">
        <v>-469.92669999999998</v>
      </c>
      <c r="H2190">
        <v>5.5683870000000004</v>
      </c>
      <c r="I2190">
        <v>119.395</v>
      </c>
      <c r="J2190">
        <v>-493.51089999999999</v>
      </c>
      <c r="K2190">
        <v>1.0996459999999999</v>
      </c>
      <c r="L2190">
        <v>234.3492</v>
      </c>
      <c r="M2190">
        <v>0.13995560000000001</v>
      </c>
      <c r="N2190">
        <v>0</v>
      </c>
      <c r="O2190">
        <v>-0.99004729999999996</v>
      </c>
      <c r="P2190">
        <v>5.7574800000000002E-2</v>
      </c>
      <c r="Q2190">
        <v>0.15916930000000001</v>
      </c>
      <c r="R2190">
        <v>-0.98557090000000003</v>
      </c>
      <c r="S2190">
        <v>0.61361690000000002</v>
      </c>
      <c r="T2190">
        <v>0.11605749999999999</v>
      </c>
      <c r="U2190">
        <v>-2.9939580000000001</v>
      </c>
      <c r="V2190">
        <v>8.4747779999999995E-2</v>
      </c>
      <c r="W2190">
        <v>0.17188909999999999</v>
      </c>
      <c r="X2190">
        <v>0.98146420000000001</v>
      </c>
      <c r="Y2190">
        <v>-6.1536800000000003E-2</v>
      </c>
      <c r="Z2190">
        <v>-3.773754E-2</v>
      </c>
      <c r="AA2190">
        <v>0.99739120000000003</v>
      </c>
      <c r="AB2190">
        <v>39</v>
      </c>
      <c r="AC2190">
        <v>23.584199999999999</v>
      </c>
      <c r="AD2190">
        <v>4.4687409999999996</v>
      </c>
      <c r="AE2190">
        <v>-114.9542</v>
      </c>
      <c r="AF2190">
        <v>-7.2512684119014397</v>
      </c>
      <c r="AG2190">
        <v>4.4687409999999996</v>
      </c>
      <c r="AH2190">
        <v>116.954047006135</v>
      </c>
      <c r="AI2190">
        <v>87.816018208049499</v>
      </c>
      <c r="AJ2190">
        <v>93.547854411270606</v>
      </c>
      <c r="AK2190">
        <v>117.263803668565</v>
      </c>
      <c r="AL2190">
        <v>80.102326605896906</v>
      </c>
      <c r="AM2190">
        <v>85.064847235780704</v>
      </c>
      <c r="AN2190">
        <v>1.00000001239768</v>
      </c>
    </row>
    <row r="2191" spans="1:40" x14ac:dyDescent="0.25">
      <c r="A2191" t="str">
        <f>"20190312164514236"</f>
        <v>20190312164514236</v>
      </c>
      <c r="B2191" t="str">
        <f>"1552380314233654"</f>
        <v>1552380314233654</v>
      </c>
      <c r="C2191" t="s">
        <v>40</v>
      </c>
      <c r="D2191">
        <v>4.782972</v>
      </c>
      <c r="E2191">
        <v>0.44476650000000001</v>
      </c>
      <c r="F2191" t="s">
        <v>54</v>
      </c>
      <c r="G2191">
        <v>-469.02890000000002</v>
      </c>
      <c r="H2191">
        <v>5.5403460000000004</v>
      </c>
      <c r="I2191">
        <v>119.395</v>
      </c>
      <c r="J2191">
        <v>-493.48559999999998</v>
      </c>
      <c r="K2191">
        <v>1.099988</v>
      </c>
      <c r="L2191">
        <v>234.15430000000001</v>
      </c>
      <c r="M2191">
        <v>0.13658670000000001</v>
      </c>
      <c r="N2191">
        <v>0</v>
      </c>
      <c r="O2191">
        <v>-0.99051800000000001</v>
      </c>
      <c r="P2191">
        <v>6.2198240000000002E-2</v>
      </c>
      <c r="Q2191">
        <v>0.15909709999999999</v>
      </c>
      <c r="R2191">
        <v>-0.98530200000000001</v>
      </c>
      <c r="S2191">
        <v>0.63638309999999998</v>
      </c>
      <c r="T2191">
        <v>0.1154326</v>
      </c>
      <c r="U2191">
        <v>-2.9881289999999998</v>
      </c>
      <c r="V2191">
        <v>7.6638040000000004E-2</v>
      </c>
      <c r="W2191">
        <v>0.172038</v>
      </c>
      <c r="X2191">
        <v>0.98210469999999905</v>
      </c>
      <c r="Y2191">
        <v>-7.2592619999999997E-2</v>
      </c>
      <c r="Z2191">
        <v>-3.7589959999999999E-2</v>
      </c>
      <c r="AA2191">
        <v>0.99665309999999996</v>
      </c>
      <c r="AB2191">
        <v>39</v>
      </c>
      <c r="AC2191">
        <v>24.456699999999898</v>
      </c>
      <c r="AD2191">
        <v>4.4403579999999998</v>
      </c>
      <c r="AE2191">
        <v>-114.7593</v>
      </c>
      <c r="AF2191">
        <v>-8.5389118227356207</v>
      </c>
      <c r="AG2191">
        <v>4.4403579999999998</v>
      </c>
      <c r="AH2191">
        <v>116.85702839421199</v>
      </c>
      <c r="AI2191">
        <v>87.8296906590909</v>
      </c>
      <c r="AJ2191">
        <v>94.179257620875504</v>
      </c>
      <c r="AK2191">
        <v>117.25269668289199</v>
      </c>
      <c r="AL2191">
        <v>80.093666652052093</v>
      </c>
      <c r="AM2191">
        <v>85.537995320672906</v>
      </c>
      <c r="AN2191">
        <v>1.0000000521905601</v>
      </c>
    </row>
    <row r="2192" spans="1:40" x14ac:dyDescent="0.25">
      <c r="A2192" t="str">
        <f>"20190312164514248"</f>
        <v>20190312164514248</v>
      </c>
      <c r="B2192" t="str">
        <f>"1552380314243415"</f>
        <v>1552380314243415</v>
      </c>
      <c r="C2192" t="s">
        <v>40</v>
      </c>
      <c r="D2192">
        <v>5.5697150000000004</v>
      </c>
      <c r="E2192">
        <v>0.44519959999999997</v>
      </c>
      <c r="F2192" t="s">
        <v>54</v>
      </c>
      <c r="G2192">
        <v>-468.59070000000003</v>
      </c>
      <c r="H2192">
        <v>5.5668689999999996</v>
      </c>
      <c r="I2192">
        <v>119.395</v>
      </c>
      <c r="J2192">
        <v>-493.45830000000001</v>
      </c>
      <c r="K2192">
        <v>1.1003969999999901</v>
      </c>
      <c r="L2192">
        <v>233.94229999999999</v>
      </c>
      <c r="M2192">
        <v>0.1330866</v>
      </c>
      <c r="N2192">
        <v>0</v>
      </c>
      <c r="O2192">
        <v>-0.99099490000000001</v>
      </c>
      <c r="P2192">
        <v>6.6961359999999998E-2</v>
      </c>
      <c r="Q2192">
        <v>0.1596958</v>
      </c>
      <c r="R2192">
        <v>-0.98489249999999995</v>
      </c>
      <c r="S2192">
        <v>0.64755249999999998</v>
      </c>
      <c r="T2192">
        <v>0.11619160000000001</v>
      </c>
      <c r="U2192">
        <v>-2.985077</v>
      </c>
      <c r="V2192">
        <v>6.8228330000000004E-2</v>
      </c>
      <c r="W2192">
        <v>0.17285519999999999</v>
      </c>
      <c r="X2192">
        <v>0.98258129999999999</v>
      </c>
      <c r="Y2192">
        <v>-7.9883869999999996E-2</v>
      </c>
      <c r="Z2192">
        <v>-3.7876430000000003E-2</v>
      </c>
      <c r="AA2192">
        <v>0.99608430000000003</v>
      </c>
      <c r="AB2192">
        <v>39</v>
      </c>
      <c r="AC2192">
        <v>24.8675999999999</v>
      </c>
      <c r="AD2192">
        <v>4.4664720000000004</v>
      </c>
      <c r="AE2192">
        <v>-114.54730000000001</v>
      </c>
      <c r="AF2192">
        <v>-9.3863456061719202</v>
      </c>
      <c r="AG2192">
        <v>4.4664720000000004</v>
      </c>
      <c r="AH2192">
        <v>116.66861604111899</v>
      </c>
      <c r="AI2192">
        <v>87.814647339038999</v>
      </c>
      <c r="AJ2192">
        <v>94.599712916364993</v>
      </c>
      <c r="AK2192">
        <v>117.13077659144599</v>
      </c>
      <c r="AL2192">
        <v>80.046132083231299</v>
      </c>
      <c r="AM2192">
        <v>86.027880249465795</v>
      </c>
      <c r="AN2192">
        <v>1.0000000181456501</v>
      </c>
    </row>
    <row r="2193" spans="1:40" x14ac:dyDescent="0.25">
      <c r="A2193" t="str">
        <f>"20190312164514260"</f>
        <v>20190312164514260</v>
      </c>
      <c r="B2193" t="str">
        <f>"1552380314254151"</f>
        <v>1552380314254151</v>
      </c>
      <c r="C2193" t="s">
        <v>40</v>
      </c>
      <c r="D2193">
        <v>5.4137579999999996</v>
      </c>
      <c r="E2193">
        <v>0.44592409999999999</v>
      </c>
      <c r="F2193" t="s">
        <v>54</v>
      </c>
      <c r="G2193">
        <v>-468.13959999999997</v>
      </c>
      <c r="H2193">
        <v>5.6439019999999998</v>
      </c>
      <c r="I2193">
        <v>119.395</v>
      </c>
      <c r="J2193">
        <v>-493.43450000000001</v>
      </c>
      <c r="K2193">
        <v>1.100843</v>
      </c>
      <c r="L2193">
        <v>233.75129999999999</v>
      </c>
      <c r="M2193">
        <v>0.13044510000000001</v>
      </c>
      <c r="N2193">
        <v>0</v>
      </c>
      <c r="O2193">
        <v>-0.99134650000000002</v>
      </c>
      <c r="P2193">
        <v>7.3006390000000004E-2</v>
      </c>
      <c r="Q2193">
        <v>0.16033520000000001</v>
      </c>
      <c r="R2193">
        <v>-0.98435899999999998</v>
      </c>
      <c r="S2193">
        <v>0.65911869999999995</v>
      </c>
      <c r="T2193">
        <v>0.1182817</v>
      </c>
      <c r="U2193">
        <v>-2.9820099999999998</v>
      </c>
      <c r="V2193">
        <v>5.936876E-2</v>
      </c>
      <c r="W2193">
        <v>0.17371</v>
      </c>
      <c r="X2193">
        <v>0.98300569999999998</v>
      </c>
      <c r="Y2193">
        <v>-8.6431510000000003E-2</v>
      </c>
      <c r="Z2193">
        <v>-3.8589459999999999E-2</v>
      </c>
      <c r="AA2193">
        <v>0.99551020000000001</v>
      </c>
      <c r="AB2193">
        <v>39</v>
      </c>
      <c r="AC2193">
        <v>25.294899999999998</v>
      </c>
      <c r="AD2193">
        <v>4.5430590000000004</v>
      </c>
      <c r="AE2193">
        <v>-114.3563</v>
      </c>
      <c r="AF2193">
        <v>-10.1446259319459</v>
      </c>
      <c r="AG2193">
        <v>4.5430590000000004</v>
      </c>
      <c r="AH2193">
        <v>116.503631222267</v>
      </c>
      <c r="AI2193">
        <v>87.775292184457101</v>
      </c>
      <c r="AJ2193">
        <v>94.976513280823497</v>
      </c>
      <c r="AK2193">
        <v>117.032683077637</v>
      </c>
      <c r="AL2193">
        <v>79.996403278864605</v>
      </c>
      <c r="AM2193">
        <v>86.543811927517197</v>
      </c>
      <c r="AN2193">
        <v>1.00000000999821</v>
      </c>
    </row>
    <row r="2194" spans="1:40" x14ac:dyDescent="0.25">
      <c r="A2194" t="str">
        <f>"20190312164514270"</f>
        <v>20190312164514270</v>
      </c>
      <c r="B2194" t="str">
        <f>"1552380314263911"</f>
        <v>1552380314263911</v>
      </c>
      <c r="C2194" t="s">
        <v>40</v>
      </c>
      <c r="D2194">
        <v>5.331461</v>
      </c>
      <c r="E2194">
        <v>0.44650200000000001</v>
      </c>
      <c r="F2194" t="s">
        <v>54</v>
      </c>
      <c r="G2194">
        <v>-467.63740000000001</v>
      </c>
      <c r="H2194">
        <v>5.6831259999999997</v>
      </c>
      <c r="I2194">
        <v>119.395</v>
      </c>
      <c r="J2194">
        <v>-493.40929999999997</v>
      </c>
      <c r="K2194">
        <v>1.101342</v>
      </c>
      <c r="L2194">
        <v>233.54839999999999</v>
      </c>
      <c r="M2194">
        <v>0.12777259999999999</v>
      </c>
      <c r="N2194">
        <v>0</v>
      </c>
      <c r="O2194">
        <v>-0.99169499999999999</v>
      </c>
      <c r="P2194">
        <v>7.9649750000000005E-2</v>
      </c>
      <c r="Q2194">
        <v>0.16074639999999901</v>
      </c>
      <c r="R2194">
        <v>-0.98377689999999995</v>
      </c>
      <c r="S2194">
        <v>0.671875</v>
      </c>
      <c r="T2194">
        <v>0.1193451</v>
      </c>
      <c r="U2194">
        <v>-2.9783780000000002</v>
      </c>
      <c r="V2194">
        <v>4.9854170000000003E-2</v>
      </c>
      <c r="W2194">
        <v>0.17433499999999999</v>
      </c>
      <c r="X2194">
        <v>0.98342350000000001</v>
      </c>
      <c r="Y2194">
        <v>-9.3428109999999995E-2</v>
      </c>
      <c r="Z2194">
        <v>-3.8972229999999997E-2</v>
      </c>
      <c r="AA2194">
        <v>0.99486300000000005</v>
      </c>
      <c r="AB2194">
        <v>39</v>
      </c>
      <c r="AC2194">
        <v>25.771899999999899</v>
      </c>
      <c r="AD2194">
        <v>4.5817839999999999</v>
      </c>
      <c r="AE2194">
        <v>-114.1534</v>
      </c>
      <c r="AF2194">
        <v>-10.956573552499099</v>
      </c>
      <c r="AG2194">
        <v>4.5817839999999999</v>
      </c>
      <c r="AH2194">
        <v>116.33251440380501</v>
      </c>
      <c r="AI2194">
        <v>87.754484875871498</v>
      </c>
      <c r="AJ2194">
        <v>95.380430814868603</v>
      </c>
      <c r="AK2194">
        <v>116.937133350127</v>
      </c>
      <c r="AL2194">
        <v>79.960037997986404</v>
      </c>
      <c r="AM2194">
        <v>87.097903039102704</v>
      </c>
      <c r="AN2194">
        <v>0.99999995542181797</v>
      </c>
    </row>
    <row r="2195" spans="1:40" x14ac:dyDescent="0.25">
      <c r="A2195" t="str">
        <f>"20190312164514281"</f>
        <v>20190312164514281</v>
      </c>
      <c r="B2195" t="str">
        <f>"1552380314273670"</f>
        <v>1552380314273670</v>
      </c>
      <c r="C2195" t="s">
        <v>40</v>
      </c>
      <c r="D2195">
        <v>5.4951309999999998</v>
      </c>
      <c r="E2195">
        <v>0.4471193</v>
      </c>
      <c r="F2195" t="s">
        <v>54</v>
      </c>
      <c r="G2195">
        <v>-467.05509999999998</v>
      </c>
      <c r="H2195">
        <v>5.656631</v>
      </c>
      <c r="I2195">
        <v>119.395</v>
      </c>
      <c r="J2195">
        <v>-493.38529999999997</v>
      </c>
      <c r="K2195">
        <v>1.1018790000000001</v>
      </c>
      <c r="L2195">
        <v>233.35140000000001</v>
      </c>
      <c r="M2195">
        <v>0.12565370000000001</v>
      </c>
      <c r="N2195">
        <v>0</v>
      </c>
      <c r="O2195">
        <v>-0.99196589999999996</v>
      </c>
      <c r="P2195">
        <v>8.737164E-2</v>
      </c>
      <c r="Q2195">
        <v>0.161241</v>
      </c>
      <c r="R2195">
        <v>-0.98304009999999997</v>
      </c>
      <c r="S2195">
        <v>0.6867065</v>
      </c>
      <c r="T2195">
        <v>0.1186976</v>
      </c>
      <c r="U2195">
        <v>-2.9744869999999999</v>
      </c>
      <c r="V2195">
        <v>3.9782669999999999E-2</v>
      </c>
      <c r="W2195">
        <v>0.175035</v>
      </c>
      <c r="X2195">
        <v>0.98375820000000003</v>
      </c>
      <c r="Y2195">
        <v>-0.1005484</v>
      </c>
      <c r="Z2195">
        <v>-3.8791539999999999E-2</v>
      </c>
      <c r="AA2195">
        <v>0.9941757</v>
      </c>
      <c r="AB2195">
        <v>39</v>
      </c>
      <c r="AC2195">
        <v>26.330199999999898</v>
      </c>
      <c r="AD2195">
        <v>4.5547519999999997</v>
      </c>
      <c r="AE2195">
        <v>-113.9564</v>
      </c>
      <c r="AF2195">
        <v>-11.7830148870235</v>
      </c>
      <c r="AG2195">
        <v>4.5547519999999997</v>
      </c>
      <c r="AH2195">
        <v>116.185643513855</v>
      </c>
      <c r="AI2195">
        <v>87.766464494488503</v>
      </c>
      <c r="AJ2195">
        <v>95.7908760170845</v>
      </c>
      <c r="AK2195">
        <v>116.870393874317</v>
      </c>
      <c r="AL2195">
        <v>79.919305653420295</v>
      </c>
      <c r="AM2195">
        <v>87.684250278348401</v>
      </c>
      <c r="AN2195">
        <v>1.00000005406228</v>
      </c>
    </row>
    <row r="2196" spans="1:40" x14ac:dyDescent="0.25">
      <c r="A2196" t="str">
        <f>"20190312164514294"</f>
        <v>20190312164514294</v>
      </c>
      <c r="B2196" t="str">
        <f>"1552380314283430"</f>
        <v>1552380314283430</v>
      </c>
      <c r="C2196" t="s">
        <v>40</v>
      </c>
      <c r="D2196">
        <v>5.3068019999999896</v>
      </c>
      <c r="E2196">
        <v>0.44779190000000002</v>
      </c>
      <c r="F2196" t="s">
        <v>54</v>
      </c>
      <c r="G2196">
        <v>-466.35219999999998</v>
      </c>
      <c r="H2196">
        <v>5.6046110000000002</v>
      </c>
      <c r="I2196">
        <v>119.395</v>
      </c>
      <c r="J2196">
        <v>-493.36110000000002</v>
      </c>
      <c r="K2196">
        <v>1.1024350000000001</v>
      </c>
      <c r="L2196">
        <v>233.1525</v>
      </c>
      <c r="M2196">
        <v>0.1237641</v>
      </c>
      <c r="N2196">
        <v>0</v>
      </c>
      <c r="O2196">
        <v>-0.99220390000000003</v>
      </c>
      <c r="P2196">
        <v>9.5620189999999994E-2</v>
      </c>
      <c r="Q2196">
        <v>0.16167179999999901</v>
      </c>
      <c r="R2196">
        <v>-0.98220130000000005</v>
      </c>
      <c r="S2196">
        <v>0.70452879999999996</v>
      </c>
      <c r="T2196">
        <v>0.1173501</v>
      </c>
      <c r="U2196">
        <v>-2.96991</v>
      </c>
      <c r="V2196">
        <v>2.939313E-2</v>
      </c>
      <c r="W2196">
        <v>0.17565329999999901</v>
      </c>
      <c r="X2196">
        <v>0.98401320000000003</v>
      </c>
      <c r="Y2196">
        <v>-0.1084355</v>
      </c>
      <c r="Z2196">
        <v>-3.8381140000000001E-2</v>
      </c>
      <c r="AA2196">
        <v>0.99336230000000003</v>
      </c>
      <c r="AB2196">
        <v>39</v>
      </c>
      <c r="AC2196">
        <v>27.008900000000001</v>
      </c>
      <c r="AD2196">
        <v>4.5021760000000004</v>
      </c>
      <c r="AE2196">
        <v>-113.75749999999999</v>
      </c>
      <c r="AF2196">
        <v>-12.7017680778415</v>
      </c>
      <c r="AG2196">
        <v>4.5021760000000004</v>
      </c>
      <c r="AH2196">
        <v>116.053717657284</v>
      </c>
      <c r="AI2196">
        <v>87.791562027402904</v>
      </c>
      <c r="AJ2196">
        <v>96.246008818062506</v>
      </c>
      <c r="AK2196">
        <v>116.833513527219</v>
      </c>
      <c r="AL2196">
        <v>79.883321717112906</v>
      </c>
      <c r="AM2196">
        <v>88.289045634955599</v>
      </c>
      <c r="AN2196">
        <v>1.0000000078331599</v>
      </c>
    </row>
    <row r="2197" spans="1:40" x14ac:dyDescent="0.25">
      <c r="A2197" t="str">
        <f>"20190312164514306"</f>
        <v>20190312164514306</v>
      </c>
      <c r="B2197" t="str">
        <f>"1552380314303927"</f>
        <v>1552380314303927</v>
      </c>
      <c r="C2197" t="s">
        <v>40</v>
      </c>
      <c r="D2197">
        <v>5.3164600000000002</v>
      </c>
      <c r="E2197">
        <v>0.44692910000000002</v>
      </c>
      <c r="F2197" t="s">
        <v>54</v>
      </c>
      <c r="G2197">
        <v>-465.65570000000002</v>
      </c>
      <c r="H2197">
        <v>5.5905209999999999</v>
      </c>
      <c r="I2197">
        <v>119.395</v>
      </c>
      <c r="J2197">
        <v>-493.3331</v>
      </c>
      <c r="K2197">
        <v>1.103105</v>
      </c>
      <c r="L2197">
        <v>232.91900000000001</v>
      </c>
      <c r="M2197">
        <v>0.1219291</v>
      </c>
      <c r="N2197">
        <v>0</v>
      </c>
      <c r="O2197">
        <v>-0.99243150000000002</v>
      </c>
      <c r="P2197">
        <v>0.1044181</v>
      </c>
      <c r="Q2197">
        <v>0.16258599999999901</v>
      </c>
      <c r="R2197">
        <v>-0.98115379999999996</v>
      </c>
      <c r="S2197">
        <v>0.72207639999999995</v>
      </c>
      <c r="T2197">
        <v>0.1169724</v>
      </c>
      <c r="U2197">
        <v>-2.9648279999999998</v>
      </c>
      <c r="V2197">
        <v>1.8443669999999999E-2</v>
      </c>
      <c r="W2197">
        <v>0.17673710000000001</v>
      </c>
      <c r="X2197">
        <v>0.98408530000000005</v>
      </c>
      <c r="Y2197">
        <v>-0.1162113</v>
      </c>
      <c r="Z2197">
        <v>-3.8291529999999997E-2</v>
      </c>
      <c r="AA2197">
        <v>0.99248610000000004</v>
      </c>
      <c r="AB2197">
        <v>39</v>
      </c>
      <c r="AC2197">
        <v>27.677399999999899</v>
      </c>
      <c r="AD2197">
        <v>4.4874159999999996</v>
      </c>
      <c r="AE2197">
        <v>-113.524</v>
      </c>
      <c r="AF2197">
        <v>-13.607427336140899</v>
      </c>
      <c r="AG2197">
        <v>4.4874159999999996</v>
      </c>
      <c r="AH2197">
        <v>115.88093063059</v>
      </c>
      <c r="AI2197">
        <v>87.797483155899698</v>
      </c>
      <c r="AJ2197">
        <v>96.697340332776804</v>
      </c>
      <c r="AK2197">
        <v>116.763389231715</v>
      </c>
      <c r="AL2197">
        <v>79.820237785361996</v>
      </c>
      <c r="AM2197">
        <v>88.926291506462903</v>
      </c>
      <c r="AN2197">
        <v>1.00000002457778</v>
      </c>
    </row>
    <row r="2198" spans="1:40" x14ac:dyDescent="0.25">
      <c r="A2198" t="str">
        <f>"20190312164514318"</f>
        <v>20190312164514318</v>
      </c>
      <c r="B2198" t="str">
        <f>"1552380314313687"</f>
        <v>1552380314313687</v>
      </c>
      <c r="C2198" t="s">
        <v>40</v>
      </c>
      <c r="D2198">
        <v>5.5447470000000001</v>
      </c>
      <c r="E2198">
        <v>0.44619130000000001</v>
      </c>
      <c r="F2198" t="s">
        <v>54</v>
      </c>
      <c r="G2198">
        <v>-464.36079999999998</v>
      </c>
      <c r="H2198">
        <v>5.7028489999999996</v>
      </c>
      <c r="I2198">
        <v>119.395</v>
      </c>
      <c r="J2198">
        <v>-493.30990000000003</v>
      </c>
      <c r="K2198">
        <v>1.10368</v>
      </c>
      <c r="L2198">
        <v>232.7253</v>
      </c>
      <c r="M2198">
        <v>0.12090910000000001</v>
      </c>
      <c r="N2198">
        <v>0</v>
      </c>
      <c r="O2198">
        <v>-0.99255649999999995</v>
      </c>
      <c r="P2198">
        <v>0.1140442</v>
      </c>
      <c r="Q2198">
        <v>0.16383249999999999</v>
      </c>
      <c r="R2198">
        <v>-0.97987369999999996</v>
      </c>
      <c r="S2198">
        <v>0.75476069999999995</v>
      </c>
      <c r="T2198">
        <v>0.1198298</v>
      </c>
      <c r="U2198">
        <v>-2.957443</v>
      </c>
      <c r="V2198">
        <v>7.4963059999999899E-3</v>
      </c>
      <c r="W2198">
        <v>0.17812229999999901</v>
      </c>
      <c r="X2198">
        <v>0.98397979999999996</v>
      </c>
      <c r="Y2198">
        <v>-0.12810869999999999</v>
      </c>
      <c r="Z2198">
        <v>-3.924706E-2</v>
      </c>
      <c r="AA2198">
        <v>0.99098319999999995</v>
      </c>
      <c r="AB2198">
        <v>39</v>
      </c>
      <c r="AC2198">
        <v>28.949100000000001</v>
      </c>
      <c r="AD2198">
        <v>4.5991689999999998</v>
      </c>
      <c r="AE2198">
        <v>-113.33029999999999</v>
      </c>
      <c r="AF2198">
        <v>-15.009345964474401</v>
      </c>
      <c r="AG2198">
        <v>4.5991689999999998</v>
      </c>
      <c r="AH2198">
        <v>115.820205558986</v>
      </c>
      <c r="AI2198">
        <v>87.744842778456203</v>
      </c>
      <c r="AJ2198">
        <v>97.383910047524594</v>
      </c>
      <c r="AK2198">
        <v>116.87922329267001</v>
      </c>
      <c r="AL2198">
        <v>79.739591819859598</v>
      </c>
      <c r="AM2198">
        <v>89.563508939305706</v>
      </c>
      <c r="AN2198">
        <v>0.99999999758448699</v>
      </c>
    </row>
    <row r="2199" spans="1:40" x14ac:dyDescent="0.25">
      <c r="A2199" t="str">
        <f>"20190312164514331"</f>
        <v>20190312164514331</v>
      </c>
      <c r="B2199" t="str">
        <f>"1552380314323447"</f>
        <v>1552380314323447</v>
      </c>
      <c r="C2199" t="s">
        <v>40</v>
      </c>
      <c r="D2199">
        <v>5.3710889999999996</v>
      </c>
      <c r="E2199">
        <v>0.4456522</v>
      </c>
      <c r="F2199" t="s">
        <v>54</v>
      </c>
      <c r="G2199">
        <v>-463.14510000000001</v>
      </c>
      <c r="H2199">
        <v>5.8022289999999996</v>
      </c>
      <c r="I2199">
        <v>119.8177</v>
      </c>
      <c r="J2199">
        <v>-493.28339999999997</v>
      </c>
      <c r="K2199">
        <v>1.1043430000000001</v>
      </c>
      <c r="L2199">
        <v>232.5043</v>
      </c>
      <c r="M2199">
        <v>0.1199699</v>
      </c>
      <c r="N2199">
        <v>0</v>
      </c>
      <c r="O2199">
        <v>-0.99267070000000002</v>
      </c>
      <c r="P2199">
        <v>0.12352730000000001</v>
      </c>
      <c r="Q2199">
        <v>0.16582339999999901</v>
      </c>
      <c r="R2199">
        <v>-0.97838840000000005</v>
      </c>
      <c r="S2199">
        <v>0.78796390000000005</v>
      </c>
      <c r="T2199">
        <v>0.12273679999999999</v>
      </c>
      <c r="U2199">
        <v>-2.9493870000000002</v>
      </c>
      <c r="V2199">
        <v>-3.2863139999999998E-3</v>
      </c>
      <c r="W2199">
        <v>0.1802165</v>
      </c>
      <c r="X2199">
        <v>0.98362150000000004</v>
      </c>
      <c r="Y2199">
        <v>-0.14011779999999999</v>
      </c>
      <c r="Z2199">
        <v>-4.0221350000000003E-2</v>
      </c>
      <c r="AA2199">
        <v>0.98931760000000002</v>
      </c>
      <c r="AB2199">
        <v>39</v>
      </c>
      <c r="AC2199">
        <v>30.138299999999902</v>
      </c>
      <c r="AD2199">
        <v>4.6978859999999996</v>
      </c>
      <c r="AE2199">
        <v>-112.6866</v>
      </c>
      <c r="AF2199">
        <v>-16.373588329072199</v>
      </c>
      <c r="AG2199">
        <v>4.6978859999999996</v>
      </c>
      <c r="AH2199">
        <v>115.301602107812</v>
      </c>
      <c r="AI2199">
        <v>87.689962867317405</v>
      </c>
      <c r="AJ2199">
        <v>98.082338733707502</v>
      </c>
      <c r="AK2199">
        <v>116.553095095185</v>
      </c>
      <c r="AL2199">
        <v>79.617629652266899</v>
      </c>
      <c r="AM2199">
        <v>90.191426500697204</v>
      </c>
      <c r="AN2199">
        <v>1.0000000209971001</v>
      </c>
    </row>
    <row r="2200" spans="1:40" x14ac:dyDescent="0.25">
      <c r="A2200" t="str">
        <f>"20190312164514342"</f>
        <v>20190312164514342</v>
      </c>
      <c r="B2200" t="str">
        <f>"1552380314334183"</f>
        <v>1552380314334183</v>
      </c>
      <c r="C2200" t="s">
        <v>40</v>
      </c>
      <c r="D2200">
        <v>5.3874789999999999</v>
      </c>
      <c r="E2200">
        <v>0.4456522</v>
      </c>
      <c r="F2200" t="s">
        <v>53</v>
      </c>
      <c r="G2200">
        <v>-473.64359999999999</v>
      </c>
      <c r="H2200">
        <v>4.1698940000000002</v>
      </c>
      <c r="I2200">
        <v>162.05670000000001</v>
      </c>
      <c r="J2200">
        <v>-493.2577</v>
      </c>
      <c r="K2200">
        <v>1.105013</v>
      </c>
      <c r="L2200">
        <v>232.29040000000001</v>
      </c>
      <c r="M2200">
        <v>0.1196353</v>
      </c>
      <c r="N2200">
        <v>0</v>
      </c>
      <c r="O2200">
        <v>-0.99271120000000002</v>
      </c>
      <c r="P2200">
        <v>0.1329109</v>
      </c>
      <c r="Q2200">
        <v>0.16841529999999999</v>
      </c>
      <c r="R2200">
        <v>-0.97671439999999998</v>
      </c>
      <c r="S2200">
        <v>0.81991579999999997</v>
      </c>
      <c r="T2200">
        <v>0.12798019999999999</v>
      </c>
      <c r="U2200">
        <v>-2.9410400000000001</v>
      </c>
      <c r="V2200">
        <v>-1.339386E-2</v>
      </c>
      <c r="W2200">
        <v>0.18287149999999999</v>
      </c>
      <c r="X2200">
        <v>0.98304559999999996</v>
      </c>
      <c r="Y2200">
        <v>-0.15112410000000001</v>
      </c>
      <c r="Z2200">
        <v>-4.1960499999999998E-2</v>
      </c>
      <c r="AA2200">
        <v>0.98762380000000005</v>
      </c>
      <c r="AB2200">
        <v>39</v>
      </c>
      <c r="AC2200">
        <v>19.614100000000001</v>
      </c>
      <c r="AD2200">
        <v>3.0648810000000002</v>
      </c>
      <c r="AE2200">
        <v>-70.233699999999999</v>
      </c>
      <c r="AF2200">
        <v>-11.0503589331763</v>
      </c>
      <c r="AG2200">
        <v>3.0648810000000002</v>
      </c>
      <c r="AH2200">
        <v>71.948855276002405</v>
      </c>
      <c r="AI2200">
        <v>87.589022434759201</v>
      </c>
      <c r="AJ2200">
        <v>98.7316177691158</v>
      </c>
      <c r="AK2200">
        <v>72.856994884659798</v>
      </c>
      <c r="AL2200">
        <v>79.462938734819005</v>
      </c>
      <c r="AM2200">
        <v>90.780598751524096</v>
      </c>
      <c r="AN2200">
        <v>1.00000001633865</v>
      </c>
    </row>
    <row r="2201" spans="1:40" x14ac:dyDescent="0.25">
      <c r="A2201" t="str">
        <f>"20190312164514361"</f>
        <v>20190312164514361</v>
      </c>
      <c r="B2201" t="str">
        <f>"1552380314353712"</f>
        <v>1552380314353712</v>
      </c>
      <c r="C2201" t="s">
        <v>40</v>
      </c>
      <c r="D2201">
        <v>5.2143290000000002</v>
      </c>
      <c r="E2201">
        <v>0.44552310000000001</v>
      </c>
      <c r="F2201" t="s">
        <v>53</v>
      </c>
      <c r="G2201">
        <v>-473.52499999999998</v>
      </c>
      <c r="H2201">
        <v>4.2509269999999999</v>
      </c>
      <c r="I2201">
        <v>164.0284</v>
      </c>
      <c r="J2201">
        <v>-493.2201</v>
      </c>
      <c r="K2201">
        <v>1.1059939999999999</v>
      </c>
      <c r="L2201">
        <v>231.98099999999999</v>
      </c>
      <c r="M2201">
        <v>0.11979679999999999</v>
      </c>
      <c r="N2201">
        <v>0</v>
      </c>
      <c r="O2201">
        <v>-0.99269209999999997</v>
      </c>
      <c r="P2201">
        <v>0.15023120000000001</v>
      </c>
      <c r="Q2201">
        <v>0.17530100000000001</v>
      </c>
      <c r="R2201">
        <v>-0.97298510000000005</v>
      </c>
      <c r="S2201">
        <v>0.84780880000000003</v>
      </c>
      <c r="T2201">
        <v>0.13516339999999999</v>
      </c>
      <c r="U2201">
        <v>-2.9328609999999999</v>
      </c>
      <c r="V2201">
        <v>-3.1245760000000001E-2</v>
      </c>
      <c r="W2201">
        <v>0.1898088</v>
      </c>
      <c r="X2201">
        <v>0.98132379999999997</v>
      </c>
      <c r="Y2201">
        <v>-0.16033059999999999</v>
      </c>
      <c r="Z2201">
        <v>-4.4339360000000001E-2</v>
      </c>
      <c r="AA2201">
        <v>0.98606700000000003</v>
      </c>
      <c r="AB2201">
        <v>39</v>
      </c>
      <c r="AC2201">
        <v>19.6951</v>
      </c>
      <c r="AD2201">
        <v>3.144933</v>
      </c>
      <c r="AE2201">
        <v>-67.952599999999904</v>
      </c>
      <c r="AF2201">
        <v>-11.3893658577311</v>
      </c>
      <c r="AG2201">
        <v>3.144933</v>
      </c>
      <c r="AH2201">
        <v>69.685094714540995</v>
      </c>
      <c r="AI2201">
        <v>87.449750252055495</v>
      </c>
      <c r="AJ2201">
        <v>99.282378063698403</v>
      </c>
      <c r="AK2201">
        <v>70.679704891788305</v>
      </c>
      <c r="AL2201">
        <v>79.058374235784896</v>
      </c>
      <c r="AM2201">
        <v>91.823705438429599</v>
      </c>
      <c r="AN2201">
        <v>1.0000000392609201</v>
      </c>
    </row>
    <row r="2202" spans="1:40" x14ac:dyDescent="0.25">
      <c r="A2202" t="str">
        <f>"20190312164514373"</f>
        <v>20190312164514373</v>
      </c>
      <c r="B2202" t="str">
        <f>"1552380314363463"</f>
        <v>1552380314363463</v>
      </c>
      <c r="C2202" t="s">
        <v>40</v>
      </c>
      <c r="D2202">
        <v>5.2068919999999999</v>
      </c>
      <c r="E2202">
        <v>0.43647019999999997</v>
      </c>
      <c r="F2202" t="s">
        <v>53</v>
      </c>
      <c r="G2202">
        <v>-473.52499999999998</v>
      </c>
      <c r="H2202">
        <v>4.5511730000000004</v>
      </c>
      <c r="I2202">
        <v>168.25450000000001</v>
      </c>
      <c r="J2202">
        <v>-493.19400000000002</v>
      </c>
      <c r="K2202">
        <v>1.1066659999999999</v>
      </c>
      <c r="L2202">
        <v>231.76750000000001</v>
      </c>
      <c r="M2202">
        <v>0.1203376</v>
      </c>
      <c r="N2202">
        <v>0</v>
      </c>
      <c r="O2202">
        <v>-0.99262680000000003</v>
      </c>
      <c r="P2202">
        <v>0.1589392</v>
      </c>
      <c r="Q2202">
        <v>0.17805170000000001</v>
      </c>
      <c r="R2202">
        <v>-0.97110039999999997</v>
      </c>
      <c r="S2202">
        <v>0.90112300000000001</v>
      </c>
      <c r="T2202">
        <v>0.15762970000000001</v>
      </c>
      <c r="U2202">
        <v>-2.9157259999999998</v>
      </c>
      <c r="V2202">
        <v>-3.9866480000000003E-2</v>
      </c>
      <c r="W2202">
        <v>0.19253509999999999</v>
      </c>
      <c r="X2202">
        <v>0.98047989999999996</v>
      </c>
      <c r="Y2202">
        <v>-0.17774809999999999</v>
      </c>
      <c r="Z2202">
        <v>-5.176476E-2</v>
      </c>
      <c r="AA2202">
        <v>0.98271359999999996</v>
      </c>
      <c r="AB2202">
        <v>39</v>
      </c>
      <c r="AC2202">
        <v>19.669</v>
      </c>
      <c r="AD2202">
        <v>3.4445070000000002</v>
      </c>
      <c r="AE2202">
        <v>-63.512999999999998</v>
      </c>
      <c r="AF2202">
        <v>-11.850422970417901</v>
      </c>
      <c r="AG2202">
        <v>3.4445070000000002</v>
      </c>
      <c r="AH2202">
        <v>65.243422166272495</v>
      </c>
      <c r="AI2202">
        <v>87.026454660584406</v>
      </c>
      <c r="AJ2202">
        <v>100.294630332053</v>
      </c>
      <c r="AK2202">
        <v>66.400310910547105</v>
      </c>
      <c r="AL2202">
        <v>78.899232796982503</v>
      </c>
      <c r="AM2202">
        <v>92.328373607154703</v>
      </c>
      <c r="AN2202">
        <v>0.99999996763180399</v>
      </c>
    </row>
    <row r="2203" spans="1:40" x14ac:dyDescent="0.25">
      <c r="A2203" t="str">
        <f>"20190312164514384"</f>
        <v>20190312164514384</v>
      </c>
      <c r="B2203" t="str">
        <f>"1552380314374199"</f>
        <v>1552380314374199</v>
      </c>
      <c r="C2203" t="s">
        <v>40</v>
      </c>
      <c r="D2203">
        <v>5.5735799999999998</v>
      </c>
      <c r="E2203">
        <v>0.43647019999999997</v>
      </c>
      <c r="F2203" t="s">
        <v>46</v>
      </c>
      <c r="G2203">
        <v>-488.93060000000003</v>
      </c>
      <c r="H2203" s="1">
        <v>3.3438449999999998E-6</v>
      </c>
      <c r="I2203">
        <v>219.41200000000001</v>
      </c>
      <c r="J2203">
        <v>-493.16860000000003</v>
      </c>
      <c r="K2203">
        <v>1.1073059999999999</v>
      </c>
      <c r="L2203">
        <v>231.5633</v>
      </c>
      <c r="M2203">
        <v>0.1212102</v>
      </c>
      <c r="N2203">
        <v>0</v>
      </c>
      <c r="O2203">
        <v>-0.99252070000000003</v>
      </c>
      <c r="P2203">
        <v>0.16801779999999999</v>
      </c>
      <c r="Q2203">
        <v>0.1794433</v>
      </c>
      <c r="R2203">
        <v>-0.96931440000000002</v>
      </c>
      <c r="S2203">
        <v>1.0249330000000001</v>
      </c>
      <c r="T2203">
        <v>-0.26604630000000001</v>
      </c>
      <c r="U2203">
        <v>-2.9703219999999999</v>
      </c>
      <c r="V2203">
        <v>-4.8517810000000001E-2</v>
      </c>
      <c r="W2203">
        <v>0.19388440000000001</v>
      </c>
      <c r="X2203">
        <v>0.97982389999999997</v>
      </c>
      <c r="Y2203">
        <v>-0.20800730000000001</v>
      </c>
      <c r="Z2203">
        <v>8.4824990000000003E-2</v>
      </c>
      <c r="AA2203">
        <v>0.97444219999999904</v>
      </c>
      <c r="AB2203">
        <v>39</v>
      </c>
      <c r="AC2203">
        <v>4.2380000000000004</v>
      </c>
      <c r="AD2203">
        <v>-1.1073026561549999</v>
      </c>
      <c r="AE2203">
        <v>-12.1512999999999</v>
      </c>
      <c r="AF2203">
        <v>-2.7136390312840599</v>
      </c>
      <c r="AG2203">
        <v>-1.1073026561549999</v>
      </c>
      <c r="AH2203">
        <v>12.4830135267225</v>
      </c>
      <c r="AI2203">
        <v>94.954031408296899</v>
      </c>
      <c r="AJ2203">
        <v>102.264512683107</v>
      </c>
      <c r="AK2203">
        <v>12.8224639860197</v>
      </c>
      <c r="AL2203">
        <v>78.8204393594403</v>
      </c>
      <c r="AM2203">
        <v>92.834792127338602</v>
      </c>
      <c r="AN2203">
        <v>1.0000000067308801</v>
      </c>
    </row>
    <row r="2204" spans="1:40" x14ac:dyDescent="0.25">
      <c r="A2204" t="str">
        <f>"20190312164514406"</f>
        <v>20190312164514406</v>
      </c>
      <c r="B2204" t="str">
        <f>"1552380314393719"</f>
        <v>1552380314393719</v>
      </c>
      <c r="C2204" t="s">
        <v>40</v>
      </c>
      <c r="D2204">
        <v>5.2409730000000003</v>
      </c>
      <c r="E2204">
        <v>0.44163239999999998</v>
      </c>
      <c r="F2204" t="s">
        <v>46</v>
      </c>
      <c r="G2204">
        <v>-488.73110000000003</v>
      </c>
      <c r="H2204" s="1">
        <v>3.293467E-6</v>
      </c>
      <c r="I2204">
        <v>219.06890000000001</v>
      </c>
      <c r="J2204">
        <v>-493.1241</v>
      </c>
      <c r="K2204">
        <v>1.108392</v>
      </c>
      <c r="L2204">
        <v>231.21199999999999</v>
      </c>
      <c r="M2204">
        <v>0.1234572</v>
      </c>
      <c r="N2204">
        <v>0</v>
      </c>
      <c r="O2204">
        <v>-0.99224380000000001</v>
      </c>
      <c r="P2204">
        <v>0.18752450000000001</v>
      </c>
      <c r="Q2204">
        <v>0.18025279999999999</v>
      </c>
      <c r="R2204">
        <v>-0.96557939999999998</v>
      </c>
      <c r="S2204">
        <v>1.0516970000000001</v>
      </c>
      <c r="T2204">
        <v>-0.26243309999999997</v>
      </c>
      <c r="U2204">
        <v>-2.9612120000000002</v>
      </c>
      <c r="V2204">
        <v>-6.6610429999999998E-2</v>
      </c>
      <c r="W2204">
        <v>0.19457060000000001</v>
      </c>
      <c r="X2204">
        <v>0.97862420000000006</v>
      </c>
      <c r="Y2204">
        <v>-0.21458720000000001</v>
      </c>
      <c r="Z2204">
        <v>8.3706169999999996E-2</v>
      </c>
      <c r="AA2204">
        <v>0.97311130000000001</v>
      </c>
      <c r="AB2204">
        <v>39</v>
      </c>
      <c r="AC2204">
        <v>4.3929999999999696</v>
      </c>
      <c r="AD2204">
        <v>-1.108388706533</v>
      </c>
      <c r="AE2204">
        <v>-12.1431</v>
      </c>
      <c r="AF2204">
        <v>-2.8391580216468801</v>
      </c>
      <c r="AG2204">
        <v>-1.108388706533</v>
      </c>
      <c r="AH2204">
        <v>12.5004938234243</v>
      </c>
      <c r="AI2204">
        <v>94.941815400302801</v>
      </c>
      <c r="AJ2204">
        <v>102.796144864532</v>
      </c>
      <c r="AK2204">
        <v>12.8666891478002</v>
      </c>
      <c r="AL2204">
        <v>78.780359620566003</v>
      </c>
      <c r="AM2204">
        <v>93.893853257480203</v>
      </c>
      <c r="AN2204">
        <v>0.999999996297392</v>
      </c>
    </row>
    <row r="2205" spans="1:40" x14ac:dyDescent="0.25">
      <c r="A2205" t="str">
        <f>"20190312164514420"</f>
        <v>20190312164514420</v>
      </c>
      <c r="B2205" t="str">
        <f>"1552380314414215"</f>
        <v>1552380314414215</v>
      </c>
      <c r="C2205" t="s">
        <v>40</v>
      </c>
      <c r="D2205">
        <v>5.5132260000000004</v>
      </c>
      <c r="E2205">
        <v>0.46016089999999998</v>
      </c>
      <c r="F2205" t="s">
        <v>46</v>
      </c>
      <c r="G2205">
        <v>-488.69929999999999</v>
      </c>
      <c r="H2205" s="1">
        <v>3.2838210000000002E-6</v>
      </c>
      <c r="I2205">
        <v>218.97739999999999</v>
      </c>
      <c r="J2205">
        <v>-493.09359999999998</v>
      </c>
      <c r="K2205">
        <v>1.109094</v>
      </c>
      <c r="L2205">
        <v>230.97800000000001</v>
      </c>
      <c r="M2205">
        <v>0.12546309999999999</v>
      </c>
      <c r="N2205">
        <v>0</v>
      </c>
      <c r="O2205">
        <v>-0.99199230000000005</v>
      </c>
      <c r="P2205">
        <v>0.1984484</v>
      </c>
      <c r="Q2205">
        <v>0.18092620000000001</v>
      </c>
      <c r="R2205">
        <v>-0.96326780000000001</v>
      </c>
      <c r="S2205">
        <v>1.0667719999999901</v>
      </c>
      <c r="T2205">
        <v>-0.26722249999999997</v>
      </c>
      <c r="U2205">
        <v>-2.949646</v>
      </c>
      <c r="V2205">
        <v>-7.6079549999999996E-2</v>
      </c>
      <c r="W2205">
        <v>0.1951174</v>
      </c>
      <c r="X2205">
        <v>0.97782469999999999</v>
      </c>
      <c r="Y2205">
        <v>-0.2181708</v>
      </c>
      <c r="Z2205">
        <v>8.5396699999999895E-2</v>
      </c>
      <c r="AA2205">
        <v>0.97216709999999995</v>
      </c>
      <c r="AB2205">
        <v>39</v>
      </c>
      <c r="AC2205">
        <v>4.3942999999999799</v>
      </c>
      <c r="AD2205">
        <v>-1.109090716179</v>
      </c>
      <c r="AE2205">
        <v>-12.000599999999899</v>
      </c>
      <c r="AF2205">
        <v>-2.8324466916799098</v>
      </c>
      <c r="AG2205">
        <v>-1.109090716179</v>
      </c>
      <c r="AH2205">
        <v>12.3640151599145</v>
      </c>
      <c r="AI2205">
        <v>94.997120782123801</v>
      </c>
      <c r="AJ2205">
        <v>102.903122647819</v>
      </c>
      <c r="AK2205">
        <v>12.732702280054999</v>
      </c>
      <c r="AL2205">
        <v>78.748418384000502</v>
      </c>
      <c r="AM2205">
        <v>94.448929316780806</v>
      </c>
      <c r="AN2205">
        <v>1.00000002082052</v>
      </c>
    </row>
    <row r="2206" spans="1:40" x14ac:dyDescent="0.25">
      <c r="A2206" t="str">
        <f>"20190312164514441"</f>
        <v>20190312164514441</v>
      </c>
      <c r="B2206" t="str">
        <f>"1552380314433735"</f>
        <v>1552380314433735</v>
      </c>
      <c r="C2206" t="s">
        <v>40</v>
      </c>
      <c r="D2206">
        <v>5.0626509999999998</v>
      </c>
      <c r="E2206">
        <v>0.45861429999999997</v>
      </c>
      <c r="F2206" t="s">
        <v>53</v>
      </c>
      <c r="G2206">
        <v>-473.87380000000002</v>
      </c>
      <c r="H2206">
        <v>3.6411410000000002</v>
      </c>
      <c r="I2206">
        <v>171.13759999999999</v>
      </c>
      <c r="J2206">
        <v>-493.04349999999999</v>
      </c>
      <c r="K2206">
        <v>1.1101719999999999</v>
      </c>
      <c r="L2206">
        <v>230.6053</v>
      </c>
      <c r="M2206">
        <v>0.12924829999999901</v>
      </c>
      <c r="N2206">
        <v>0</v>
      </c>
      <c r="O2206">
        <v>-0.99150590000000005</v>
      </c>
      <c r="P2206">
        <v>0.22020229999999999</v>
      </c>
      <c r="Q2206">
        <v>0.183696</v>
      </c>
      <c r="R2206">
        <v>-0.95800129999999994</v>
      </c>
      <c r="S2206">
        <v>0.93127439999999995</v>
      </c>
      <c r="T2206">
        <v>0.1226878</v>
      </c>
      <c r="U2206">
        <v>-2.8995060000000001</v>
      </c>
      <c r="V2206">
        <v>-9.5095429999999995E-2</v>
      </c>
      <c r="W2206">
        <v>0.19760800000000001</v>
      </c>
      <c r="X2206">
        <v>0.97565769999999996</v>
      </c>
      <c r="Y2206">
        <v>-0.17991190000000001</v>
      </c>
      <c r="Z2206">
        <v>-4.0388430000000003E-2</v>
      </c>
      <c r="AA2206">
        <v>0.98285319999999998</v>
      </c>
      <c r="AB2206">
        <v>39</v>
      </c>
      <c r="AC2206">
        <v>19.169699999999899</v>
      </c>
      <c r="AD2206">
        <v>2.5309689999999998</v>
      </c>
      <c r="AE2206">
        <v>-59.467700000000001</v>
      </c>
      <c r="AF2206">
        <v>-11.303418093639101</v>
      </c>
      <c r="AG2206">
        <v>2.5309689999999998</v>
      </c>
      <c r="AH2206">
        <v>61.346045815761897</v>
      </c>
      <c r="AI2206">
        <v>87.676541854294598</v>
      </c>
      <c r="AJ2206">
        <v>100.440032374613</v>
      </c>
      <c r="AK2206">
        <v>62.430044064601802</v>
      </c>
      <c r="AL2206">
        <v>78.602883934619101</v>
      </c>
      <c r="AM2206">
        <v>95.566922344226498</v>
      </c>
      <c r="AN2206">
        <v>1.0000000050200799</v>
      </c>
    </row>
    <row r="2207" spans="1:40" x14ac:dyDescent="0.25">
      <c r="A2207" t="str">
        <f>"20190312164514463"</f>
        <v>20190312164514463</v>
      </c>
      <c r="B2207" t="str">
        <f>"1552380314454230"</f>
        <v>1552380314454230</v>
      </c>
      <c r="C2207" t="s">
        <v>40</v>
      </c>
      <c r="D2207">
        <v>5.2176210000000003</v>
      </c>
      <c r="E2207">
        <v>0.46957470000000001</v>
      </c>
      <c r="F2207" t="s">
        <v>46</v>
      </c>
      <c r="G2207">
        <v>-488.13150000000002</v>
      </c>
      <c r="H2207" s="1">
        <v>3.075836E-6</v>
      </c>
      <c r="I2207">
        <v>216.52330000000001</v>
      </c>
      <c r="J2207">
        <v>-492.98930000000001</v>
      </c>
      <c r="K2207">
        <v>1.111208</v>
      </c>
      <c r="L2207">
        <v>230.21629999999999</v>
      </c>
      <c r="M2207">
        <v>0.13392019999999999</v>
      </c>
      <c r="N2207">
        <v>0</v>
      </c>
      <c r="O2207">
        <v>-0.99088589999999999</v>
      </c>
      <c r="P2207">
        <v>0.24368400000000001</v>
      </c>
      <c r="Q2207">
        <v>0.1865782</v>
      </c>
      <c r="R2207">
        <v>-0.95173890000000005</v>
      </c>
      <c r="S2207">
        <v>1.025604</v>
      </c>
      <c r="T2207">
        <v>-0.2317979</v>
      </c>
      <c r="U2207">
        <v>-2.9402469999999998</v>
      </c>
      <c r="V2207">
        <v>-0.1150916</v>
      </c>
      <c r="W2207">
        <v>0.20011380000000001</v>
      </c>
      <c r="X2207">
        <v>0.9729894</v>
      </c>
      <c r="Y2207">
        <v>-0.1990035</v>
      </c>
      <c r="Z2207">
        <v>7.4566069999999998E-2</v>
      </c>
      <c r="AA2207">
        <v>0.97715790000000002</v>
      </c>
      <c r="AB2207">
        <v>39</v>
      </c>
      <c r="AC2207">
        <v>4.8577999999999903</v>
      </c>
      <c r="AD2207">
        <v>-1.1112049241640001</v>
      </c>
      <c r="AE2207">
        <v>-13.6929999999999</v>
      </c>
      <c r="AF2207">
        <v>-2.9627398233502</v>
      </c>
      <c r="AG2207">
        <v>-1.1112049241640001</v>
      </c>
      <c r="AH2207">
        <v>14.137559547280199</v>
      </c>
      <c r="AI2207">
        <v>94.399007644136603</v>
      </c>
      <c r="AJ2207">
        <v>101.835914451967</v>
      </c>
      <c r="AK2207">
        <v>14.48734598183</v>
      </c>
      <c r="AL2207">
        <v>78.456386069903601</v>
      </c>
      <c r="AM2207">
        <v>96.7459764228784</v>
      </c>
      <c r="AN2207">
        <v>0.99999999092668002</v>
      </c>
    </row>
    <row r="2208" spans="1:40" x14ac:dyDescent="0.25">
      <c r="A2208" t="str">
        <f>"20190312164514478"</f>
        <v>20190312164514478</v>
      </c>
      <c r="B2208" t="str">
        <f>"1552380314473750"</f>
        <v>1552380314473750</v>
      </c>
      <c r="C2208" t="s">
        <v>40</v>
      </c>
      <c r="D2208">
        <v>5.4491620000000003</v>
      </c>
      <c r="E2208">
        <v>0.47021230000000003</v>
      </c>
      <c r="F2208" t="s">
        <v>53</v>
      </c>
      <c r="G2208">
        <v>-473.52499999999998</v>
      </c>
      <c r="H2208">
        <v>5.2893929999999996</v>
      </c>
      <c r="I2208">
        <v>173.63409999999999</v>
      </c>
      <c r="J2208">
        <v>-492.9547</v>
      </c>
      <c r="K2208">
        <v>1.1117699999999999</v>
      </c>
      <c r="L2208">
        <v>229.9777</v>
      </c>
      <c r="M2208">
        <v>0.1371039</v>
      </c>
      <c r="N2208">
        <v>0</v>
      </c>
      <c r="O2208">
        <v>-0.99045039999999995</v>
      </c>
      <c r="P2208">
        <v>0.2570482</v>
      </c>
      <c r="Q2208">
        <v>0.18769669999999999</v>
      </c>
      <c r="R2208">
        <v>-0.94799599999999995</v>
      </c>
      <c r="S2208">
        <v>0.98345950000000004</v>
      </c>
      <c r="T2208">
        <v>0.2111092</v>
      </c>
      <c r="U2208">
        <v>-2.8589020000000001</v>
      </c>
      <c r="V2208">
        <v>-0.12598329999999999</v>
      </c>
      <c r="W2208">
        <v>0.20098170000000001</v>
      </c>
      <c r="X2208">
        <v>0.97145999999999999</v>
      </c>
      <c r="Y2208">
        <v>-0.19175610000000001</v>
      </c>
      <c r="Z2208">
        <v>-6.9926329999999995E-2</v>
      </c>
      <c r="AA2208">
        <v>0.97894840000000005</v>
      </c>
      <c r="AB2208">
        <v>39</v>
      </c>
      <c r="AC2208">
        <v>19.4297</v>
      </c>
      <c r="AD2208">
        <v>4.1776229999999996</v>
      </c>
      <c r="AE2208">
        <v>-56.343600000000002</v>
      </c>
      <c r="AF2208">
        <v>-11.4641131747203</v>
      </c>
      <c r="AG2208">
        <v>4.1776229999999996</v>
      </c>
      <c r="AH2208">
        <v>58.189682220531402</v>
      </c>
      <c r="AI2208">
        <v>85.9707868001707</v>
      </c>
      <c r="AJ2208">
        <v>101.14526812486601</v>
      </c>
      <c r="AK2208">
        <v>59.455172539816502</v>
      </c>
      <c r="AL2208">
        <v>78.4056277669591</v>
      </c>
      <c r="AM2208">
        <v>97.389134761257694</v>
      </c>
      <c r="AN2208">
        <v>0.99999998360688902</v>
      </c>
    </row>
    <row r="2209" spans="1:40" x14ac:dyDescent="0.25">
      <c r="A2209" t="str">
        <f>"20190312164514496"</f>
        <v>20190312164514496</v>
      </c>
      <c r="B2209" t="str">
        <f>"1552380314483511"</f>
        <v>1552380314483511</v>
      </c>
      <c r="C2209" t="s">
        <v>40</v>
      </c>
      <c r="D2209">
        <v>5.072476</v>
      </c>
      <c r="E2209">
        <v>0.47037010000000001</v>
      </c>
      <c r="F2209" t="s">
        <v>53</v>
      </c>
      <c r="G2209">
        <v>-473.52499999999998</v>
      </c>
      <c r="H2209">
        <v>5.1125369999999997</v>
      </c>
      <c r="I2209">
        <v>175.61660000000001</v>
      </c>
      <c r="J2209">
        <v>-492.90910000000002</v>
      </c>
      <c r="K2209">
        <v>1.1124149999999999</v>
      </c>
      <c r="L2209">
        <v>229.6722</v>
      </c>
      <c r="M2209">
        <v>0.14142589999999999</v>
      </c>
      <c r="N2209">
        <v>0</v>
      </c>
      <c r="O2209">
        <v>-0.98984249999999996</v>
      </c>
      <c r="P2209">
        <v>0.28289419999999998</v>
      </c>
      <c r="Q2209">
        <v>0.18785250000000001</v>
      </c>
      <c r="R2209">
        <v>-0.94057550000000001</v>
      </c>
      <c r="S2209">
        <v>1.017639</v>
      </c>
      <c r="T2209">
        <v>0.2095428</v>
      </c>
      <c r="U2209">
        <v>-2.8471980000000001</v>
      </c>
      <c r="V2209">
        <v>-0.14867720000000001</v>
      </c>
      <c r="W2209">
        <v>0.2007052</v>
      </c>
      <c r="X2209">
        <v>0.9683039</v>
      </c>
      <c r="Y2209">
        <v>-0.1991763</v>
      </c>
      <c r="Z2209">
        <v>-6.942827E-2</v>
      </c>
      <c r="AA2209">
        <v>0.97750119999999896</v>
      </c>
      <c r="AB2209">
        <v>39</v>
      </c>
      <c r="AC2209">
        <v>19.3841</v>
      </c>
      <c r="AD2209">
        <v>4.0001220000000002</v>
      </c>
      <c r="AE2209">
        <v>-54.055599999999998</v>
      </c>
      <c r="AF2209">
        <v>-11.487819478545701</v>
      </c>
      <c r="AG2209">
        <v>4.0001220000000002</v>
      </c>
      <c r="AH2209">
        <v>55.982235507458199</v>
      </c>
      <c r="AI2209">
        <v>85.996117535614303</v>
      </c>
      <c r="AJ2209">
        <v>101.596382814452</v>
      </c>
      <c r="AK2209">
        <v>57.288582324919297</v>
      </c>
      <c r="AL2209">
        <v>78.421799358419605</v>
      </c>
      <c r="AM2209">
        <v>98.729246512683602</v>
      </c>
      <c r="AN2209">
        <v>0.99999996493104404</v>
      </c>
    </row>
    <row r="2210" spans="1:40" x14ac:dyDescent="0.25">
      <c r="A2210" t="str">
        <f>"20190312164514508"</f>
        <v>20190312164514508</v>
      </c>
      <c r="B2210" t="str">
        <f>"1552380314504007"</f>
        <v>1552380314504007</v>
      </c>
      <c r="C2210" t="s">
        <v>40</v>
      </c>
      <c r="D2210">
        <v>5.3272009999999996</v>
      </c>
      <c r="E2210">
        <v>0.43237959999999898</v>
      </c>
      <c r="F2210" t="s">
        <v>53</v>
      </c>
      <c r="G2210">
        <v>-473.87380000000002</v>
      </c>
      <c r="H2210">
        <v>4.7694330000000003</v>
      </c>
      <c r="I2210">
        <v>180.4571</v>
      </c>
      <c r="J2210">
        <v>-492.8759</v>
      </c>
      <c r="K2210">
        <v>1.112824</v>
      </c>
      <c r="L2210">
        <v>229.45500000000001</v>
      </c>
      <c r="M2210">
        <v>0.14462520000000001</v>
      </c>
      <c r="N2210">
        <v>0</v>
      </c>
      <c r="O2210">
        <v>-0.98938040000000005</v>
      </c>
      <c r="P2210">
        <v>0.29698659999999999</v>
      </c>
      <c r="Q2210">
        <v>0.18762570000000001</v>
      </c>
      <c r="R2210">
        <v>-0.93626730000000002</v>
      </c>
      <c r="S2210">
        <v>1.090576</v>
      </c>
      <c r="T2210">
        <v>0.2095197</v>
      </c>
      <c r="U2210">
        <v>-2.8196560000000002</v>
      </c>
      <c r="V2210">
        <v>-0.16030269999999999</v>
      </c>
      <c r="W2210">
        <v>0.20019129999999999</v>
      </c>
      <c r="X2210">
        <v>0.96655389999999997</v>
      </c>
      <c r="Y2210">
        <v>-0.2211611</v>
      </c>
      <c r="Z2210">
        <v>-6.953368E-2</v>
      </c>
      <c r="AA2210">
        <v>0.97275529999999999</v>
      </c>
      <c r="AB2210">
        <v>39</v>
      </c>
      <c r="AC2210">
        <v>19.002099999999899</v>
      </c>
      <c r="AD2210">
        <v>3.656609</v>
      </c>
      <c r="AE2210">
        <v>-48.997900000000001</v>
      </c>
      <c r="AF2210">
        <v>-11.6587618114904</v>
      </c>
      <c r="AG2210">
        <v>3.656609</v>
      </c>
      <c r="AH2210">
        <v>50.984298065166698</v>
      </c>
      <c r="AI2210">
        <v>86.000639844752598</v>
      </c>
      <c r="AJ2210">
        <v>102.880563521781</v>
      </c>
      <c r="AK2210">
        <v>52.4280093609676</v>
      </c>
      <c r="AL2210">
        <v>78.451853774061405</v>
      </c>
      <c r="AM2210">
        <v>99.416774022139194</v>
      </c>
      <c r="AN2210">
        <v>0.99999997691409404</v>
      </c>
    </row>
    <row r="2211" spans="1:40" x14ac:dyDescent="0.25">
      <c r="A2211" t="str">
        <f>"20190312164514530"</f>
        <v>20190312164514530</v>
      </c>
      <c r="B2211" t="str">
        <f>"1552380314523768"</f>
        <v>1552380314523768</v>
      </c>
      <c r="C2211" t="s">
        <v>40</v>
      </c>
      <c r="D2211">
        <v>4.4800839999999997</v>
      </c>
      <c r="E2211">
        <v>0.4237437</v>
      </c>
      <c r="F2211" t="s">
        <v>55</v>
      </c>
      <c r="G2211">
        <v>-470.27140000000003</v>
      </c>
      <c r="H2211">
        <v>5.9460540000000002</v>
      </c>
      <c r="I2211">
        <v>186.46729999999999</v>
      </c>
      <c r="J2211">
        <v>-492.81670000000003</v>
      </c>
      <c r="K2211">
        <v>1.113397</v>
      </c>
      <c r="L2211">
        <v>229.08279999999999</v>
      </c>
      <c r="M2211">
        <v>0.15038599999999999</v>
      </c>
      <c r="N2211">
        <v>0</v>
      </c>
      <c r="O2211">
        <v>-0.98852119999999999</v>
      </c>
      <c r="P2211">
        <v>0.32540940000000002</v>
      </c>
      <c r="Q2211">
        <v>0.18632099999999999</v>
      </c>
      <c r="R2211">
        <v>-0.92703469999999999</v>
      </c>
      <c r="S2211">
        <v>1.416687</v>
      </c>
      <c r="T2211">
        <v>0.3029133</v>
      </c>
      <c r="U2211">
        <v>-2.694153</v>
      </c>
      <c r="V2211">
        <v>-0.1844075</v>
      </c>
      <c r="W2211">
        <v>0.19833529999999999</v>
      </c>
      <c r="X2211">
        <v>0.96263030000000005</v>
      </c>
      <c r="Y2211">
        <v>-0.32464270000000001</v>
      </c>
      <c r="Z2211">
        <v>-0.1003962</v>
      </c>
      <c r="AA2211">
        <v>0.94049329999999998</v>
      </c>
      <c r="AB2211">
        <v>39</v>
      </c>
      <c r="AC2211">
        <v>22.545300000000001</v>
      </c>
      <c r="AD2211">
        <v>4.8326570000000002</v>
      </c>
      <c r="AE2211">
        <v>-42.615499999999997</v>
      </c>
      <c r="AF2211">
        <v>-15.7214347896468</v>
      </c>
      <c r="AG2211">
        <v>4.8326570000000002</v>
      </c>
      <c r="AH2211">
        <v>45.0687629948739</v>
      </c>
      <c r="AI2211">
        <v>84.218768687564307</v>
      </c>
      <c r="AJ2211">
        <v>109.230415415358</v>
      </c>
      <c r="AK2211">
        <v>47.976155362980997</v>
      </c>
      <c r="AL2211">
        <v>78.560371881997298</v>
      </c>
      <c r="AM2211">
        <v>100.84455628292601</v>
      </c>
      <c r="AN2211">
        <v>1.00000005588021</v>
      </c>
    </row>
    <row r="2212" spans="1:40" x14ac:dyDescent="0.25">
      <c r="A2212" t="str">
        <f>"20190312164514546"</f>
        <v>20190312164514546</v>
      </c>
      <c r="B2212" t="str">
        <f>"1552380314533528"</f>
        <v>1552380314533528</v>
      </c>
      <c r="C2212" t="s">
        <v>40</v>
      </c>
      <c r="D2212">
        <v>4.9769160000000001</v>
      </c>
      <c r="E2212">
        <v>0.41818100000000002</v>
      </c>
      <c r="F2212" t="s">
        <v>55</v>
      </c>
      <c r="G2212">
        <v>-473.70139999999998</v>
      </c>
      <c r="H2212">
        <v>4.569998</v>
      </c>
      <c r="I2212">
        <v>196.90129999999999</v>
      </c>
      <c r="J2212">
        <v>-492.77409999999998</v>
      </c>
      <c r="K2212">
        <v>1.1137330000000001</v>
      </c>
      <c r="L2212">
        <v>228.82390000000001</v>
      </c>
      <c r="M2212">
        <v>0.15451589999999901</v>
      </c>
      <c r="N2212">
        <v>0</v>
      </c>
      <c r="O2212">
        <v>-0.9878844</v>
      </c>
      <c r="P2212">
        <v>0.34062870000000001</v>
      </c>
      <c r="Q2212">
        <v>0.18607480000000001</v>
      </c>
      <c r="R2212">
        <v>-0.921601</v>
      </c>
      <c r="S2212">
        <v>1.5626530000000001</v>
      </c>
      <c r="T2212">
        <v>0.28257409999999999</v>
      </c>
      <c r="U2212">
        <v>-2.6307830000000001</v>
      </c>
      <c r="V2212">
        <v>-0.1964042</v>
      </c>
      <c r="W2212">
        <v>0.1977613</v>
      </c>
      <c r="X2212">
        <v>0.96037269999999997</v>
      </c>
      <c r="Y2212">
        <v>-0.36944830000000001</v>
      </c>
      <c r="Z2212">
        <v>-9.3585059999999998E-2</v>
      </c>
      <c r="AA2212">
        <v>0.92452679999999998</v>
      </c>
      <c r="AB2212">
        <v>39</v>
      </c>
      <c r="AC2212">
        <v>19.072700000000001</v>
      </c>
      <c r="AD2212">
        <v>3.4562650000000001</v>
      </c>
      <c r="AE2212">
        <v>-31.922599999999999</v>
      </c>
      <c r="AF2212">
        <v>-13.791389326675301</v>
      </c>
      <c r="AG2212">
        <v>3.4562650000000001</v>
      </c>
      <c r="AH2212">
        <v>34.191115525140198</v>
      </c>
      <c r="AI2212">
        <v>84.644315774158301</v>
      </c>
      <c r="AJ2212">
        <v>111.96726502164501</v>
      </c>
      <c r="AK2212">
        <v>37.029455412733803</v>
      </c>
      <c r="AL2212">
        <v>78.593922825361304</v>
      </c>
      <c r="AM2212">
        <v>101.558088143592</v>
      </c>
      <c r="AN2212">
        <v>0.99999993223030703</v>
      </c>
    </row>
    <row r="2213" spans="1:40" x14ac:dyDescent="0.25">
      <c r="A2213" t="str">
        <f>"20190312164514567"</f>
        <v>20190312164514567</v>
      </c>
      <c r="B2213" t="str">
        <f>"1552380314563783"</f>
        <v>1552380314563783</v>
      </c>
      <c r="C2213" t="s">
        <v>40</v>
      </c>
      <c r="D2213">
        <v>5.1755209999999998</v>
      </c>
      <c r="E2213">
        <v>0.41606389999999999</v>
      </c>
      <c r="F2213" t="s">
        <v>55</v>
      </c>
      <c r="G2213">
        <v>-472.47070000000002</v>
      </c>
      <c r="H2213">
        <v>4.505109</v>
      </c>
      <c r="I2213">
        <v>196.90129999999999</v>
      </c>
      <c r="J2213">
        <v>-492.71190000000001</v>
      </c>
      <c r="K2213">
        <v>1.1141259999999999</v>
      </c>
      <c r="L2213">
        <v>228.45740000000001</v>
      </c>
      <c r="M2213">
        <v>0.1604681</v>
      </c>
      <c r="N2213">
        <v>0</v>
      </c>
      <c r="O2213">
        <v>-0.98693520000000001</v>
      </c>
      <c r="P2213">
        <v>0.36849870000000001</v>
      </c>
      <c r="Q2213">
        <v>0.1876584</v>
      </c>
      <c r="R2213">
        <v>-0.91049089999999999</v>
      </c>
      <c r="S2213">
        <v>1.647705</v>
      </c>
      <c r="T2213">
        <v>0.27522550000000001</v>
      </c>
      <c r="U2213">
        <v>-2.5906370000000001</v>
      </c>
      <c r="V2213">
        <v>-0.2200925</v>
      </c>
      <c r="W2213">
        <v>0.19877130000000001</v>
      </c>
      <c r="X2213">
        <v>0.95501270000000005</v>
      </c>
      <c r="Y2213">
        <v>-0.39206489999999999</v>
      </c>
      <c r="Z2213">
        <v>-9.1065950000000007E-2</v>
      </c>
      <c r="AA2213">
        <v>0.91541910000000004</v>
      </c>
      <c r="AB2213">
        <v>39</v>
      </c>
      <c r="AC2213">
        <v>20.2411999999999</v>
      </c>
      <c r="AD2213">
        <v>3.3909829999999999</v>
      </c>
      <c r="AE2213">
        <v>-31.556100000000001</v>
      </c>
      <c r="AF2213">
        <v>-14.793532927990199</v>
      </c>
      <c r="AG2213">
        <v>3.3909829999999999</v>
      </c>
      <c r="AH2213">
        <v>34.116369295076503</v>
      </c>
      <c r="AI2213">
        <v>84.789577557193098</v>
      </c>
      <c r="AJ2213">
        <v>113.442509456864</v>
      </c>
      <c r="AK2213">
        <v>37.339979058321099</v>
      </c>
      <c r="AL2213">
        <v>78.534882775049994</v>
      </c>
      <c r="AM2213">
        <v>102.97780943079501</v>
      </c>
      <c r="AN2213">
        <v>0.99999999771061499</v>
      </c>
    </row>
    <row r="2214" spans="1:40" x14ac:dyDescent="0.25">
      <c r="A2214" t="str">
        <f>"20190312164514589"</f>
        <v>20190312164514589</v>
      </c>
      <c r="B2214" t="str">
        <f>"1552380314583304"</f>
        <v>1552380314583304</v>
      </c>
      <c r="C2214" t="s">
        <v>40</v>
      </c>
      <c r="D2214">
        <v>4.9517100000000003</v>
      </c>
      <c r="E2214">
        <v>0.41573209999999999</v>
      </c>
      <c r="F2214" t="s">
        <v>55</v>
      </c>
      <c r="G2214">
        <v>-471.05029999999999</v>
      </c>
      <c r="H2214">
        <v>4.2897829999999999</v>
      </c>
      <c r="I2214">
        <v>196.90129999999999</v>
      </c>
      <c r="J2214">
        <v>-492.64940000000001</v>
      </c>
      <c r="K2214">
        <v>1.1144339999999999</v>
      </c>
      <c r="L2214">
        <v>228.10249999999999</v>
      </c>
      <c r="M2214">
        <v>0.1663338</v>
      </c>
      <c r="N2214">
        <v>0</v>
      </c>
      <c r="O2214">
        <v>-0.98596379999999995</v>
      </c>
      <c r="P2214">
        <v>0.39478530000000001</v>
      </c>
      <c r="Q2214">
        <v>0.18902569999999999</v>
      </c>
      <c r="R2214">
        <v>-0.89911869999999905</v>
      </c>
      <c r="S2214">
        <v>1.74175999999999</v>
      </c>
      <c r="T2214">
        <v>0.25534820000000003</v>
      </c>
      <c r="U2214">
        <v>-2.5373380000000001</v>
      </c>
      <c r="V2214">
        <v>-0.2423708</v>
      </c>
      <c r="W2214">
        <v>0.19958670000000001</v>
      </c>
      <c r="X2214">
        <v>0.94943219999999995</v>
      </c>
      <c r="Y2214">
        <v>-0.41887859999999999</v>
      </c>
      <c r="Z2214">
        <v>-8.4563180000000002E-2</v>
      </c>
      <c r="AA2214">
        <v>0.90409609999999996</v>
      </c>
      <c r="AB2214">
        <v>39</v>
      </c>
      <c r="AC2214">
        <v>21.5991</v>
      </c>
      <c r="AD2214">
        <v>3.1753490000000002</v>
      </c>
      <c r="AE2214">
        <v>-31.2012</v>
      </c>
      <c r="AF2214">
        <v>-15.9957961568211</v>
      </c>
      <c r="AG2214">
        <v>3.1753490000000002</v>
      </c>
      <c r="AH2214">
        <v>34.120589956502499</v>
      </c>
      <c r="AI2214">
        <v>85.183484531716203</v>
      </c>
      <c r="AJ2214">
        <v>115.117271090316</v>
      </c>
      <c r="AK2214">
        <v>37.817495884076699</v>
      </c>
      <c r="AL2214">
        <v>78.487208333453907</v>
      </c>
      <c r="AM2214">
        <v>104.320599883963</v>
      </c>
      <c r="AN2214">
        <v>0.99999997895318404</v>
      </c>
    </row>
    <row r="2215" spans="1:40" x14ac:dyDescent="0.25">
      <c r="A2215" t="str">
        <f>"20190312164514615"</f>
        <v>20190312164514615</v>
      </c>
      <c r="B2215" t="str">
        <f>"1552380314603800"</f>
        <v>1552380314603800</v>
      </c>
      <c r="C2215" t="s">
        <v>40</v>
      </c>
      <c r="D2215">
        <v>4.8890890000000002</v>
      </c>
      <c r="E2215">
        <v>0.41705920000000002</v>
      </c>
      <c r="F2215" t="s">
        <v>55</v>
      </c>
      <c r="G2215">
        <v>-470.44499999999999</v>
      </c>
      <c r="H2215">
        <v>4.4585499999999998</v>
      </c>
      <c r="I2215">
        <v>197.7544</v>
      </c>
      <c r="J2215">
        <v>-492.56819999999999</v>
      </c>
      <c r="K2215">
        <v>1.114751</v>
      </c>
      <c r="L2215">
        <v>227.6609</v>
      </c>
      <c r="M2215">
        <v>0.17375399999999999</v>
      </c>
      <c r="N2215">
        <v>0</v>
      </c>
      <c r="O2215">
        <v>-0.98468330000000004</v>
      </c>
      <c r="P2215">
        <v>0.42136109999999999</v>
      </c>
      <c r="Q2215">
        <v>0.18793789999999999</v>
      </c>
      <c r="R2215">
        <v>-0.88720580000000004</v>
      </c>
      <c r="S2215">
        <v>1.8158570000000001</v>
      </c>
      <c r="T2215">
        <v>0.2734798</v>
      </c>
      <c r="U2215">
        <v>-2.481827</v>
      </c>
      <c r="V2215">
        <v>-0.26357329999999901</v>
      </c>
      <c r="W2215">
        <v>0.19792589999999999</v>
      </c>
      <c r="X2215">
        <v>0.9441157</v>
      </c>
      <c r="Y2215">
        <v>-0.43881609999999999</v>
      </c>
      <c r="Z2215">
        <v>-9.0806129999999999E-2</v>
      </c>
      <c r="AA2215">
        <v>0.89397689999999996</v>
      </c>
      <c r="AB2215">
        <v>39</v>
      </c>
      <c r="AC2215">
        <v>22.123200000000001</v>
      </c>
      <c r="AD2215">
        <v>3.3437990000000002</v>
      </c>
      <c r="AE2215">
        <v>-29.906499999999902</v>
      </c>
      <c r="AF2215">
        <v>-16.456734131242499</v>
      </c>
      <c r="AG2215">
        <v>3.3437990000000002</v>
      </c>
      <c r="AH2215">
        <v>33.029029140752101</v>
      </c>
      <c r="AI2215">
        <v>84.822368560258695</v>
      </c>
      <c r="AJ2215">
        <v>116.484809246157</v>
      </c>
      <c r="AK2215">
        <v>37.052960151645799</v>
      </c>
      <c r="AL2215">
        <v>78.584302557509204</v>
      </c>
      <c r="AM2215">
        <v>105.59839323739899</v>
      </c>
      <c r="AN2215">
        <v>1.00000000067509</v>
      </c>
    </row>
    <row r="2216" spans="1:40" x14ac:dyDescent="0.25">
      <c r="A2216" t="str">
        <f>"20190312164514633"</f>
        <v>20190312164514633</v>
      </c>
      <c r="B2216" t="str">
        <f>"1552380314623627"</f>
        <v>1552380314623627</v>
      </c>
      <c r="C2216" t="s">
        <v>40</v>
      </c>
      <c r="D2216">
        <v>5.0784589999999996</v>
      </c>
      <c r="E2216">
        <v>0.41831869999999999</v>
      </c>
      <c r="F2216" t="s">
        <v>55</v>
      </c>
      <c r="G2216">
        <v>-469.47340000000003</v>
      </c>
      <c r="H2216">
        <v>4.4090959999999999</v>
      </c>
      <c r="I2216">
        <v>197.7544</v>
      </c>
      <c r="J2216">
        <v>-492.50940000000003</v>
      </c>
      <c r="K2216">
        <v>1.114962</v>
      </c>
      <c r="L2216">
        <v>227.35130000000001</v>
      </c>
      <c r="M2216">
        <v>0.17902680000000001</v>
      </c>
      <c r="N2216">
        <v>0</v>
      </c>
      <c r="O2216">
        <v>-0.98373849999999996</v>
      </c>
      <c r="P2216">
        <v>0.44374669999999999</v>
      </c>
      <c r="Q2216">
        <v>0.18560570000000001</v>
      </c>
      <c r="R2216">
        <v>-0.87672129999999904</v>
      </c>
      <c r="S2216">
        <v>1.878479</v>
      </c>
      <c r="T2216">
        <v>0.26795530000000001</v>
      </c>
      <c r="U2216">
        <v>-2.4325100000000002</v>
      </c>
      <c r="V2216">
        <v>-0.28246009999999999</v>
      </c>
      <c r="W2216">
        <v>0.19511410000000001</v>
      </c>
      <c r="X2216">
        <v>0.93922669999999997</v>
      </c>
      <c r="Y2216">
        <v>-0.45717740000000001</v>
      </c>
      <c r="Z2216">
        <v>-8.923027E-2</v>
      </c>
      <c r="AA2216">
        <v>0.88488799999999901</v>
      </c>
      <c r="AB2216">
        <v>39</v>
      </c>
      <c r="AC2216">
        <v>23.035999999999898</v>
      </c>
      <c r="AD2216">
        <v>3.2941340000000001</v>
      </c>
      <c r="AE2216">
        <v>-29.596900000000002</v>
      </c>
      <c r="AF2216">
        <v>-17.231635998359401</v>
      </c>
      <c r="AG2216">
        <v>3.2941340000000001</v>
      </c>
      <c r="AH2216">
        <v>32.988641139284503</v>
      </c>
      <c r="AI2216">
        <v>84.941979401329405</v>
      </c>
      <c r="AJ2216">
        <v>117.580342357479</v>
      </c>
      <c r="AK2216">
        <v>37.363498795032697</v>
      </c>
      <c r="AL2216">
        <v>78.748611008343005</v>
      </c>
      <c r="AM2216">
        <v>106.737970011203</v>
      </c>
      <c r="AN2216">
        <v>1.00000000705185</v>
      </c>
    </row>
    <row r="2217" spans="1:40" x14ac:dyDescent="0.25">
      <c r="A2217" t="str">
        <f>"20190312164514656"</f>
        <v>20190312164514656</v>
      </c>
      <c r="B2217" t="str">
        <f>"1552380314644122"</f>
        <v>1552380314644122</v>
      </c>
      <c r="C2217" t="s">
        <v>40</v>
      </c>
      <c r="D2217">
        <v>5.2763419999999996</v>
      </c>
      <c r="E2217">
        <v>0.42174040000000002</v>
      </c>
      <c r="F2217" t="s">
        <v>55</v>
      </c>
      <c r="G2217">
        <v>-468.6327</v>
      </c>
      <c r="H2217">
        <v>4.2742599999999999</v>
      </c>
      <c r="I2217">
        <v>197.7544</v>
      </c>
      <c r="J2217">
        <v>-492.4332</v>
      </c>
      <c r="K2217">
        <v>1.115184</v>
      </c>
      <c r="L2217">
        <v>226.9648</v>
      </c>
      <c r="M2217">
        <v>0.18570010000000001</v>
      </c>
      <c r="N2217">
        <v>0</v>
      </c>
      <c r="O2217">
        <v>-0.98250059999999995</v>
      </c>
      <c r="P2217">
        <v>0.4661228</v>
      </c>
      <c r="Q2217">
        <v>0.18412049999999999</v>
      </c>
      <c r="R2217">
        <v>-0.865349699999999</v>
      </c>
      <c r="S2217">
        <v>1.9291990000000001</v>
      </c>
      <c r="T2217">
        <v>0.25526799999999999</v>
      </c>
      <c r="U2217">
        <v>-2.3913730000000002</v>
      </c>
      <c r="V2217">
        <v>-0.30024479999999998</v>
      </c>
      <c r="W2217">
        <v>0.1931252</v>
      </c>
      <c r="X2217">
        <v>0.93410689999999996</v>
      </c>
      <c r="Y2217">
        <v>-0.47012720000000002</v>
      </c>
      <c r="Z2217">
        <v>-8.520896E-2</v>
      </c>
      <c r="AA2217">
        <v>0.87847589999999998</v>
      </c>
      <c r="AB2217">
        <v>39</v>
      </c>
      <c r="AC2217">
        <v>23.8005</v>
      </c>
      <c r="AD2217">
        <v>3.1590760000000002</v>
      </c>
      <c r="AE2217">
        <v>-29.2104</v>
      </c>
      <c r="AF2217">
        <v>-17.836122042534999</v>
      </c>
      <c r="AG2217">
        <v>3.1590760000000002</v>
      </c>
      <c r="AH2217">
        <v>32.891229793363401</v>
      </c>
      <c r="AI2217">
        <v>85.173902876702698</v>
      </c>
      <c r="AJ2217">
        <v>118.469910932701</v>
      </c>
      <c r="AK2217">
        <v>37.549167873733403</v>
      </c>
      <c r="AL2217">
        <v>78.864776145030703</v>
      </c>
      <c r="AM2217">
        <v>107.81867507685899</v>
      </c>
      <c r="AN2217">
        <v>0.99999999171484499</v>
      </c>
    </row>
    <row r="2218" spans="1:40" x14ac:dyDescent="0.25">
      <c r="A2218" t="str">
        <f>"20190312164514676"</f>
        <v>20190312164514676</v>
      </c>
      <c r="B2218" t="str">
        <f>"1552380314663646"</f>
        <v>1552380314663646</v>
      </c>
      <c r="C2218" t="s">
        <v>40</v>
      </c>
      <c r="D2218">
        <v>5.0080499999999999</v>
      </c>
      <c r="E2218">
        <v>0.42498449999999999</v>
      </c>
      <c r="F2218" t="s">
        <v>55</v>
      </c>
      <c r="G2218">
        <v>-467.7398</v>
      </c>
      <c r="H2218">
        <v>4.2068139999999996</v>
      </c>
      <c r="I2218">
        <v>197.345</v>
      </c>
      <c r="J2218">
        <v>-492.3673</v>
      </c>
      <c r="K2218">
        <v>1.1153690000000001</v>
      </c>
      <c r="L2218">
        <v>226.64089999999999</v>
      </c>
      <c r="M2218">
        <v>0.19140360000000001</v>
      </c>
      <c r="N2218">
        <v>0</v>
      </c>
      <c r="O2218">
        <v>-0.98140519999999998</v>
      </c>
      <c r="P2218">
        <v>0.48643940000000002</v>
      </c>
      <c r="Q2218">
        <v>0.18242030000000001</v>
      </c>
      <c r="R2218">
        <v>-0.85445890000000002</v>
      </c>
      <c r="S2218">
        <v>1.964386</v>
      </c>
      <c r="T2218">
        <v>0.2459441</v>
      </c>
      <c r="U2218">
        <v>-2.356277</v>
      </c>
      <c r="V2218">
        <v>-0.31688640000000001</v>
      </c>
      <c r="W2218">
        <v>0.19095429999999999</v>
      </c>
      <c r="X2218">
        <v>0.92904219999999904</v>
      </c>
      <c r="Y2218">
        <v>-0.4792902</v>
      </c>
      <c r="Z2218">
        <v>-8.2356059999999995E-2</v>
      </c>
      <c r="AA2218">
        <v>0.87378389999999995</v>
      </c>
      <c r="AB2218">
        <v>39</v>
      </c>
      <c r="AC2218">
        <v>24.627500000000001</v>
      </c>
      <c r="AD2218">
        <v>3.0914450000000002</v>
      </c>
      <c r="AE2218">
        <v>-29.2958999999999</v>
      </c>
      <c r="AF2218">
        <v>-18.443812255078399</v>
      </c>
      <c r="AG2218">
        <v>3.0914450000000002</v>
      </c>
      <c r="AH2218">
        <v>33.251476540122802</v>
      </c>
      <c r="AI2218">
        <v>85.3519516982021</v>
      </c>
      <c r="AJ2218">
        <v>119.016101887589</v>
      </c>
      <c r="AK2218">
        <v>38.149599405327201</v>
      </c>
      <c r="AL2218">
        <v>78.991518404516299</v>
      </c>
      <c r="AM2218">
        <v>108.83396224290099</v>
      </c>
      <c r="AN2218">
        <v>0.99999997228714399</v>
      </c>
    </row>
    <row r="2219" spans="1:40" x14ac:dyDescent="0.25">
      <c r="A2219" t="str">
        <f>"20190312164514697"</f>
        <v>20190312164514697</v>
      </c>
      <c r="B2219" t="str">
        <f>"1552380314693900"</f>
        <v>1552380314693900</v>
      </c>
      <c r="C2219" t="s">
        <v>40</v>
      </c>
      <c r="D2219">
        <v>5.0786449999999999</v>
      </c>
      <c r="E2219">
        <v>0.44468360000000001</v>
      </c>
      <c r="F2219" t="s">
        <v>55</v>
      </c>
      <c r="G2219">
        <v>-467.20549999999997</v>
      </c>
      <c r="H2219">
        <v>4.1264129999999897</v>
      </c>
      <c r="I2219">
        <v>197.345</v>
      </c>
      <c r="J2219">
        <v>-492.29039999999998</v>
      </c>
      <c r="K2219">
        <v>1.115578</v>
      </c>
      <c r="L2219">
        <v>226.27619999999999</v>
      </c>
      <c r="M2219">
        <v>0.19800010000000001</v>
      </c>
      <c r="N2219">
        <v>0</v>
      </c>
      <c r="O2219">
        <v>-0.98009559999999996</v>
      </c>
      <c r="P2219">
        <v>0.50661679999999998</v>
      </c>
      <c r="Q2219">
        <v>0.1804733</v>
      </c>
      <c r="R2219">
        <v>-0.84307119999999902</v>
      </c>
      <c r="S2219">
        <v>1.9958800000000001</v>
      </c>
      <c r="T2219">
        <v>0.23884320000000001</v>
      </c>
      <c r="U2219">
        <v>-2.3237920000000001</v>
      </c>
      <c r="V2219">
        <v>-0.33271709999999999</v>
      </c>
      <c r="W2219">
        <v>0.18851129999999999</v>
      </c>
      <c r="X2219">
        <v>0.92399290000000001</v>
      </c>
      <c r="Y2219">
        <v>-0.48632880000000001</v>
      </c>
      <c r="Z2219">
        <v>-8.0203609999999995E-2</v>
      </c>
      <c r="AA2219">
        <v>0.87008719999999995</v>
      </c>
      <c r="AB2219">
        <v>39</v>
      </c>
      <c r="AC2219">
        <v>25.084900000000001</v>
      </c>
      <c r="AD2219">
        <v>3.0108349999999899</v>
      </c>
      <c r="AE2219">
        <v>-28.931199999999901</v>
      </c>
      <c r="AF2219">
        <v>-18.743306848393502</v>
      </c>
      <c r="AG2219">
        <v>3.0108349999999899</v>
      </c>
      <c r="AH2219">
        <v>33.120861914111401</v>
      </c>
      <c r="AI2219">
        <v>85.476483157314306</v>
      </c>
      <c r="AJ2219">
        <v>119.505798051697</v>
      </c>
      <c r="AK2219">
        <v>38.175491783916797</v>
      </c>
      <c r="AL2219">
        <v>79.134082213931194</v>
      </c>
      <c r="AM2219">
        <v>109.80324891551599</v>
      </c>
      <c r="AN2219">
        <v>1.00000002905525</v>
      </c>
    </row>
    <row r="2220" spans="1:40" x14ac:dyDescent="0.25">
      <c r="A2220" t="str">
        <f>"20190312164514721"</f>
        <v>20190312164514721</v>
      </c>
      <c r="B2220" t="str">
        <f>"1552380314713908"</f>
        <v>1552380314713908</v>
      </c>
      <c r="C2220" t="s">
        <v>40</v>
      </c>
      <c r="D2220">
        <v>4.983403</v>
      </c>
      <c r="E2220">
        <v>0.45908520000000003</v>
      </c>
      <c r="F2220" t="s">
        <v>41</v>
      </c>
      <c r="G2220">
        <v>-491.65410000000003</v>
      </c>
      <c r="H2220">
        <v>0.99938649999999996</v>
      </c>
      <c r="I2220">
        <v>225.46940000000001</v>
      </c>
      <c r="J2220">
        <v>-492.2038</v>
      </c>
      <c r="K2220">
        <v>1.1158269999999999</v>
      </c>
      <c r="L2220">
        <v>225.87970000000001</v>
      </c>
      <c r="M2220">
        <v>0.20543410000000001</v>
      </c>
      <c r="N2220">
        <v>0</v>
      </c>
      <c r="O2220">
        <v>-0.97856399999999999</v>
      </c>
      <c r="P2220">
        <v>0.5264974</v>
      </c>
      <c r="Q2220">
        <v>0.17606749999999999</v>
      </c>
      <c r="R2220">
        <v>-0.83174539999999997</v>
      </c>
      <c r="S2220">
        <v>1.94577</v>
      </c>
      <c r="T2220">
        <v>-0.35500369999999998</v>
      </c>
      <c r="U2220">
        <v>-2.465195</v>
      </c>
      <c r="V2220">
        <v>-0.34750409999999998</v>
      </c>
      <c r="W2220">
        <v>0.18358910000000001</v>
      </c>
      <c r="X2220">
        <v>0.91953030000000002</v>
      </c>
      <c r="Y2220">
        <v>-0.44091010000000003</v>
      </c>
      <c r="Z2220">
        <v>0.1153267</v>
      </c>
      <c r="AA2220">
        <v>0.89011130000000005</v>
      </c>
      <c r="AB2220">
        <v>38</v>
      </c>
      <c r="AC2220">
        <v>0.54969999999997299</v>
      </c>
      <c r="AD2220">
        <v>-0.1164405</v>
      </c>
      <c r="AE2220">
        <v>-0.41030000000000599</v>
      </c>
      <c r="AF2220">
        <v>-0.44096758748591602</v>
      </c>
      <c r="AG2220">
        <v>-0.1164405</v>
      </c>
      <c r="AH2220">
        <v>0.50007561071540996</v>
      </c>
      <c r="AI2220">
        <v>99.906471376713</v>
      </c>
      <c r="AJ2220">
        <v>131.40590667927299</v>
      </c>
      <c r="AK2220">
        <v>0.676820818005615</v>
      </c>
      <c r="AL2220">
        <v>79.421115196029803</v>
      </c>
      <c r="AM2220">
        <v>110.702320203144</v>
      </c>
      <c r="AN2220">
        <v>1.00000001488685</v>
      </c>
    </row>
    <row r="2221" spans="1:40" x14ac:dyDescent="0.25">
      <c r="A2221" t="str">
        <f>"20190312164514743"</f>
        <v>20190312164514743</v>
      </c>
      <c r="B2221" t="str">
        <f>"1552380314734404"</f>
        <v>1552380314734404</v>
      </c>
      <c r="C2221" t="s">
        <v>40</v>
      </c>
      <c r="D2221">
        <v>4.9581670000000004</v>
      </c>
      <c r="E2221">
        <v>0.462142</v>
      </c>
      <c r="F2221" t="s">
        <v>48</v>
      </c>
      <c r="G2221">
        <v>-476.4162</v>
      </c>
      <c r="H2221">
        <v>2.621696</v>
      </c>
      <c r="I2221">
        <v>205.8073</v>
      </c>
      <c r="J2221">
        <v>-492.12099999999998</v>
      </c>
      <c r="K2221">
        <v>1.1160620000000001</v>
      </c>
      <c r="L2221">
        <v>225.5154</v>
      </c>
      <c r="M2221">
        <v>0.2125483</v>
      </c>
      <c r="N2221">
        <v>0</v>
      </c>
      <c r="O2221">
        <v>-0.97704329999999995</v>
      </c>
      <c r="P2221">
        <v>0.54523290000000002</v>
      </c>
      <c r="Q2221">
        <v>0.170297</v>
      </c>
      <c r="R2221">
        <v>-0.82080469999999905</v>
      </c>
      <c r="S2221">
        <v>1.8740840000000001</v>
      </c>
      <c r="T2221">
        <v>0.1787562</v>
      </c>
      <c r="U2221">
        <v>-2.3827210000000001</v>
      </c>
      <c r="V2221">
        <v>-0.36143439999999999</v>
      </c>
      <c r="W2221">
        <v>0.17731150000000001</v>
      </c>
      <c r="X2221">
        <v>0.9153829</v>
      </c>
      <c r="Y2221">
        <v>-0.4358707</v>
      </c>
      <c r="Z2221">
        <v>-6.0396350000000001E-2</v>
      </c>
      <c r="AA2221">
        <v>0.89798049999999996</v>
      </c>
      <c r="AB2221">
        <v>38</v>
      </c>
      <c r="AC2221">
        <v>15.704799999999899</v>
      </c>
      <c r="AD2221">
        <v>1.5056339999999999</v>
      </c>
      <c r="AE2221">
        <v>-19.708100000000002</v>
      </c>
      <c r="AF2221">
        <v>-11.116832102550999</v>
      </c>
      <c r="AG2221">
        <v>1.5056339999999999</v>
      </c>
      <c r="AH2221">
        <v>22.515689794280799</v>
      </c>
      <c r="AI2221">
        <v>86.568642341793307</v>
      </c>
      <c r="AJ2221">
        <v>116.277263915513</v>
      </c>
      <c r="AK2221">
        <v>25.155658938905798</v>
      </c>
      <c r="AL2221">
        <v>79.786798963058303</v>
      </c>
      <c r="AM2221">
        <v>111.546339390897</v>
      </c>
      <c r="AN2221">
        <v>1.0000000235740001</v>
      </c>
    </row>
    <row r="2222" spans="1:40" x14ac:dyDescent="0.25">
      <c r="A2222" t="str">
        <f>"20190312164514764"</f>
        <v>20190312164514764</v>
      </c>
      <c r="B2222" t="str">
        <f>"1552380314753924"</f>
        <v>1552380314753924</v>
      </c>
      <c r="C2222" t="s">
        <v>40</v>
      </c>
      <c r="D2222">
        <v>4.9774039999999999</v>
      </c>
      <c r="E2222">
        <v>0.46363850000000001</v>
      </c>
      <c r="F2222" t="s">
        <v>41</v>
      </c>
      <c r="G2222">
        <v>-491.51280000000003</v>
      </c>
      <c r="H2222">
        <v>1.072702</v>
      </c>
      <c r="I2222">
        <v>224.7535</v>
      </c>
      <c r="J2222">
        <v>-492.036</v>
      </c>
      <c r="K2222">
        <v>1.116309</v>
      </c>
      <c r="L2222">
        <v>225.154</v>
      </c>
      <c r="M2222">
        <v>0.21989590000000001</v>
      </c>
      <c r="N2222">
        <v>0</v>
      </c>
      <c r="O2222">
        <v>-0.97541549999999999</v>
      </c>
      <c r="P2222">
        <v>0.56343639999999995</v>
      </c>
      <c r="Q2222">
        <v>0.16470279999999901</v>
      </c>
      <c r="R2222">
        <v>-0.8095755</v>
      </c>
      <c r="S2222">
        <v>1.9219360000000001</v>
      </c>
      <c r="T2222">
        <v>-0.136981399999999</v>
      </c>
      <c r="U2222">
        <v>-2.4066930000000002</v>
      </c>
      <c r="V2222">
        <v>-0.37475789999999998</v>
      </c>
      <c r="W2222">
        <v>0.17119709999999999</v>
      </c>
      <c r="X2222">
        <v>0.91117950000000003</v>
      </c>
      <c r="Y2222">
        <v>-0.43623960000000001</v>
      </c>
      <c r="Z2222">
        <v>4.5589980000000002E-2</v>
      </c>
      <c r="AA2222">
        <v>0.89867489999999906</v>
      </c>
      <c r="AB2222">
        <v>38</v>
      </c>
      <c r="AC2222">
        <v>0.52319999999997402</v>
      </c>
      <c r="AD2222">
        <v>-4.3606999999999903E-2</v>
      </c>
      <c r="AE2222">
        <v>-0.40050000000002201</v>
      </c>
      <c r="AF2222">
        <v>-0.42047180145058</v>
      </c>
      <c r="AG2222">
        <v>-4.3606999999999903E-2</v>
      </c>
      <c r="AH2222">
        <v>0.50355104544135398</v>
      </c>
      <c r="AI2222">
        <v>93.802982845231995</v>
      </c>
      <c r="AJ2222">
        <v>129.862329152623</v>
      </c>
      <c r="AK2222">
        <v>0.65746616766885901</v>
      </c>
      <c r="AL2222">
        <v>80.142571792217595</v>
      </c>
      <c r="AM2222">
        <v>112.35681546923</v>
      </c>
      <c r="AN2222">
        <v>1.0000000059405301</v>
      </c>
    </row>
    <row r="2223" spans="1:40" x14ac:dyDescent="0.25">
      <c r="A2223" t="str">
        <f>"20190312164514788"</f>
        <v>20190312164514788</v>
      </c>
      <c r="B2223" t="str">
        <f>"1552380314784180"</f>
        <v>1552380314784180</v>
      </c>
      <c r="C2223" t="s">
        <v>40</v>
      </c>
      <c r="D2223">
        <v>5.1918989999999896</v>
      </c>
      <c r="E2223">
        <v>0.4732401</v>
      </c>
      <c r="F2223" t="s">
        <v>41</v>
      </c>
      <c r="G2223">
        <v>-491.42469999999997</v>
      </c>
      <c r="H2223">
        <v>1.0693299999999999</v>
      </c>
      <c r="I2223">
        <v>224.41630000000001</v>
      </c>
      <c r="J2223">
        <v>-491.94650000000001</v>
      </c>
      <c r="K2223">
        <v>1.1165750000000001</v>
      </c>
      <c r="L2223">
        <v>224.78720000000001</v>
      </c>
      <c r="M2223">
        <v>0.22766790000000001</v>
      </c>
      <c r="N2223">
        <v>0</v>
      </c>
      <c r="O2223">
        <v>-0.97363040000000001</v>
      </c>
      <c r="P2223">
        <v>0.58108729999999997</v>
      </c>
      <c r="Q2223">
        <v>0.16110169999999999</v>
      </c>
      <c r="R2223">
        <v>-0.79773680000000002</v>
      </c>
      <c r="S2223">
        <v>1.9638059999999999</v>
      </c>
      <c r="T2223">
        <v>-0.15088399999999999</v>
      </c>
      <c r="U2223">
        <v>-2.3696139999999999</v>
      </c>
      <c r="V2223">
        <v>-0.38739010000000001</v>
      </c>
      <c r="W2223">
        <v>0.16706190000000001</v>
      </c>
      <c r="X2223">
        <v>0.90665280000000004</v>
      </c>
      <c r="Y2223">
        <v>-0.44520789999999999</v>
      </c>
      <c r="Z2223">
        <v>5.0304090000000003E-2</v>
      </c>
      <c r="AA2223">
        <v>0.89401309999999901</v>
      </c>
      <c r="AB2223">
        <v>38</v>
      </c>
      <c r="AC2223">
        <v>0.52180000000004101</v>
      </c>
      <c r="AD2223">
        <v>-4.7245000000000197E-2</v>
      </c>
      <c r="AE2223">
        <v>-0.370900000000006</v>
      </c>
      <c r="AF2223">
        <v>-0.421348296068221</v>
      </c>
      <c r="AG2223">
        <v>-4.7245000000000197E-2</v>
      </c>
      <c r="AH2223">
        <v>0.47736745770491201</v>
      </c>
      <c r="AI2223">
        <v>94.243595075425702</v>
      </c>
      <c r="AJ2223">
        <v>131.43322784374899</v>
      </c>
      <c r="AK2223">
        <v>0.63847174275784901</v>
      </c>
      <c r="AL2223">
        <v>80.382964896837095</v>
      </c>
      <c r="AM2223">
        <v>113.135808701691</v>
      </c>
      <c r="AN2223">
        <v>1.0000000338787201</v>
      </c>
    </row>
    <row r="2224" spans="1:40" x14ac:dyDescent="0.25">
      <c r="A2224" t="str">
        <f>"20190312164514811"</f>
        <v>20190312164514811</v>
      </c>
      <c r="B2224" t="str">
        <f>"1552380314803700"</f>
        <v>1552380314803700</v>
      </c>
      <c r="C2224" t="s">
        <v>40</v>
      </c>
      <c r="D2224">
        <v>4.9781000000000004</v>
      </c>
      <c r="E2224">
        <v>0.4756571</v>
      </c>
      <c r="F2224" t="s">
        <v>55</v>
      </c>
      <c r="G2224">
        <v>-469.42200000000003</v>
      </c>
      <c r="H2224">
        <v>2.7514219999999998</v>
      </c>
      <c r="I2224">
        <v>197.7544</v>
      </c>
      <c r="J2224">
        <v>-491.84699999999998</v>
      </c>
      <c r="K2224">
        <v>1.116873</v>
      </c>
      <c r="L2224">
        <v>224.39500000000001</v>
      </c>
      <c r="M2224">
        <v>0.2363603</v>
      </c>
      <c r="N2224">
        <v>0</v>
      </c>
      <c r="O2224">
        <v>-0.97155619999999998</v>
      </c>
      <c r="P2224">
        <v>0.59638359999999901</v>
      </c>
      <c r="Q2224">
        <v>0.16088740000000001</v>
      </c>
      <c r="R2224">
        <v>-0.78641090000000002</v>
      </c>
      <c r="S2224">
        <v>1.9352419999999999</v>
      </c>
      <c r="T2224">
        <v>0.1404638</v>
      </c>
      <c r="U2224">
        <v>-2.3225709999999999</v>
      </c>
      <c r="V2224">
        <v>-0.3969086</v>
      </c>
      <c r="W2224">
        <v>0.16634769999999999</v>
      </c>
      <c r="X2224">
        <v>0.90265830000000002</v>
      </c>
      <c r="Y2224">
        <v>-0.43965609999999999</v>
      </c>
      <c r="Z2224">
        <v>-4.7641620000000003E-2</v>
      </c>
      <c r="AA2224">
        <v>0.89690179999999997</v>
      </c>
      <c r="AB2224">
        <v>38</v>
      </c>
      <c r="AC2224">
        <v>22.425000000000001</v>
      </c>
      <c r="AD2224">
        <v>1.634549</v>
      </c>
      <c r="AE2224">
        <v>-26.640599999999999</v>
      </c>
      <c r="AF2224">
        <v>-15.457953781180899</v>
      </c>
      <c r="AG2224">
        <v>1.634549</v>
      </c>
      <c r="AH2224">
        <v>31.117968536124501</v>
      </c>
      <c r="AI2224">
        <v>87.306622824540895</v>
      </c>
      <c r="AJ2224">
        <v>116.41604055640001</v>
      </c>
      <c r="AK2224">
        <v>34.784307544491398</v>
      </c>
      <c r="AL2224">
        <v>80.424465952598197</v>
      </c>
      <c r="AM2224">
        <v>113.735610519839</v>
      </c>
      <c r="AN2224">
        <v>1.0000000003040601</v>
      </c>
    </row>
    <row r="2225" spans="1:40" x14ac:dyDescent="0.25">
      <c r="A2225" t="str">
        <f>"20190312164514833"</f>
        <v>20190312164514833</v>
      </c>
      <c r="B2225" t="str">
        <f>"1552380314824196"</f>
        <v>1552380314824196</v>
      </c>
      <c r="C2225" t="s">
        <v>40</v>
      </c>
      <c r="D2225">
        <v>5.1820579999999996</v>
      </c>
      <c r="E2225">
        <v>0.47723149999999998</v>
      </c>
      <c r="F2225" t="s">
        <v>55</v>
      </c>
      <c r="G2225">
        <v>-469.07040000000001</v>
      </c>
      <c r="H2225">
        <v>2.644288</v>
      </c>
      <c r="I2225">
        <v>197.7544</v>
      </c>
      <c r="J2225">
        <v>-491.74919999999997</v>
      </c>
      <c r="K2225">
        <v>1.1171759999999999</v>
      </c>
      <c r="L2225">
        <v>224.0249</v>
      </c>
      <c r="M2225">
        <v>0.2449384</v>
      </c>
      <c r="N2225">
        <v>0</v>
      </c>
      <c r="O2225">
        <v>-0.96942850000000003</v>
      </c>
      <c r="P2225">
        <v>0.60942779999999996</v>
      </c>
      <c r="Q2225">
        <v>0.16180739999999999</v>
      </c>
      <c r="R2225">
        <v>-0.77615459999999903</v>
      </c>
      <c r="S2225">
        <v>1.964661</v>
      </c>
      <c r="T2225">
        <v>0.13175419999999999</v>
      </c>
      <c r="U2225">
        <v>-2.2979579999999999</v>
      </c>
      <c r="V2225">
        <v>-0.40418870000000001</v>
      </c>
      <c r="W2225">
        <v>0.16682249999999901</v>
      </c>
      <c r="X2225">
        <v>0.89933410000000003</v>
      </c>
      <c r="Y2225">
        <v>-0.44318489999999999</v>
      </c>
      <c r="Z2225">
        <v>-4.4706660000000002E-2</v>
      </c>
      <c r="AA2225">
        <v>0.89531479999999997</v>
      </c>
      <c r="AB2225">
        <v>38</v>
      </c>
      <c r="AC2225">
        <v>22.678799999999899</v>
      </c>
      <c r="AD2225">
        <v>1.527112</v>
      </c>
      <c r="AE2225">
        <v>-26.270499999999998</v>
      </c>
      <c r="AF2225">
        <v>-15.522427350120299</v>
      </c>
      <c r="AG2225">
        <v>1.527112</v>
      </c>
      <c r="AH2225">
        <v>30.9656383400336</v>
      </c>
      <c r="AI2225">
        <v>87.475618641502095</v>
      </c>
      <c r="AJ2225">
        <v>116.623650847455</v>
      </c>
      <c r="AK2225">
        <v>34.672014358933097</v>
      </c>
      <c r="AL2225">
        <v>80.396876771003903</v>
      </c>
      <c r="AM2225">
        <v>114.20063231262</v>
      </c>
      <c r="AN2225">
        <v>1.00000003756837</v>
      </c>
    </row>
    <row r="2226" spans="1:40" x14ac:dyDescent="0.25">
      <c r="A2226" t="str">
        <f>"20190312164514856"</f>
        <v>20190312164514856</v>
      </c>
      <c r="B2226" t="str">
        <f>"1552380314843716"</f>
        <v>1552380314843716</v>
      </c>
      <c r="C2226" t="s">
        <v>40</v>
      </c>
      <c r="D2226">
        <v>5.0525760000000002</v>
      </c>
      <c r="E2226">
        <v>0.47906850000000001</v>
      </c>
      <c r="F2226" t="s">
        <v>55</v>
      </c>
      <c r="G2226">
        <v>-468.70519999999999</v>
      </c>
      <c r="H2226">
        <v>2.6633990000000001</v>
      </c>
      <c r="I2226">
        <v>197.7544</v>
      </c>
      <c r="J2226">
        <v>-491.65039999999999</v>
      </c>
      <c r="K2226">
        <v>1.117453</v>
      </c>
      <c r="L2226">
        <v>223.6644</v>
      </c>
      <c r="M2226">
        <v>0.2535985</v>
      </c>
      <c r="N2226">
        <v>0</v>
      </c>
      <c r="O2226">
        <v>-0.96719869999999997</v>
      </c>
      <c r="P2226">
        <v>0.62088559999999904</v>
      </c>
      <c r="Q2226">
        <v>0.16224069999999999</v>
      </c>
      <c r="R2226">
        <v>-0.76692859999999996</v>
      </c>
      <c r="S2226">
        <v>1.993225</v>
      </c>
      <c r="T2226">
        <v>0.133745</v>
      </c>
      <c r="U2226">
        <v>-2.2722929999999999</v>
      </c>
      <c r="V2226">
        <v>-0.40965180000000001</v>
      </c>
      <c r="W2226">
        <v>0.166866299999999</v>
      </c>
      <c r="X2226">
        <v>0.89685059999999905</v>
      </c>
      <c r="Y2226">
        <v>-0.44651679999999999</v>
      </c>
      <c r="Z2226">
        <v>-4.5404559999999997E-2</v>
      </c>
      <c r="AA2226">
        <v>0.89362249999999999</v>
      </c>
      <c r="AB2226">
        <v>38</v>
      </c>
      <c r="AC2226">
        <v>22.9452</v>
      </c>
      <c r="AD2226">
        <v>1.5459459999999901</v>
      </c>
      <c r="AE2226">
        <v>-25.91</v>
      </c>
      <c r="AF2226">
        <v>-15.592395034971201</v>
      </c>
      <c r="AG2226">
        <v>1.5459459999999901</v>
      </c>
      <c r="AH2226">
        <v>30.820802874442901</v>
      </c>
      <c r="AI2226">
        <v>87.437293603823406</v>
      </c>
      <c r="AJ2226">
        <v>116.835071834961</v>
      </c>
      <c r="AK2226">
        <v>34.575057798748297</v>
      </c>
      <c r="AL2226">
        <v>80.394330972333705</v>
      </c>
      <c r="AM2226">
        <v>114.549358443418</v>
      </c>
      <c r="AN2226">
        <v>0.99999997901964399</v>
      </c>
    </row>
    <row r="2227" spans="1:40" x14ac:dyDescent="0.25">
      <c r="A2227" t="str">
        <f>"20190312164514877"</f>
        <v>20190312164514877</v>
      </c>
      <c r="B2227" t="str">
        <f>"1552380314873972"</f>
        <v>1552380314873972</v>
      </c>
      <c r="C2227" t="s">
        <v>40</v>
      </c>
      <c r="D2227">
        <v>4.7504879999999998</v>
      </c>
      <c r="E2227">
        <v>0.4792401</v>
      </c>
      <c r="F2227" t="s">
        <v>55</v>
      </c>
      <c r="G2227">
        <v>-468.46319999999997</v>
      </c>
      <c r="H2227">
        <v>2.5225209999999998</v>
      </c>
      <c r="I2227">
        <v>197.7544</v>
      </c>
      <c r="J2227">
        <v>-491.55189999999999</v>
      </c>
      <c r="K2227">
        <v>1.1177159999999999</v>
      </c>
      <c r="L2227">
        <v>223.31780000000001</v>
      </c>
      <c r="M2227">
        <v>0.26222579999999901</v>
      </c>
      <c r="N2227">
        <v>0</v>
      </c>
      <c r="O2227">
        <v>-0.96489510000000001</v>
      </c>
      <c r="P2227">
        <v>0.63707049999999998</v>
      </c>
      <c r="Q2227">
        <v>0.159662</v>
      </c>
      <c r="R2227">
        <v>-0.75408850000000005</v>
      </c>
      <c r="S2227">
        <v>2.0165099999999998</v>
      </c>
      <c r="T2227">
        <v>0.12219629999999999</v>
      </c>
      <c r="U2227">
        <v>-2.2532960000000002</v>
      </c>
      <c r="V2227">
        <v>-0.42064079999999898</v>
      </c>
      <c r="W2227">
        <v>0.16374739999999999</v>
      </c>
      <c r="X2227">
        <v>0.89232739999999999</v>
      </c>
      <c r="Y2227">
        <v>-0.44751920000000001</v>
      </c>
      <c r="Z2227">
        <v>-4.1468909999999998E-2</v>
      </c>
      <c r="AA2227">
        <v>0.89331229999999995</v>
      </c>
      <c r="AB2227">
        <v>38</v>
      </c>
      <c r="AC2227">
        <v>23.088699999999999</v>
      </c>
      <c r="AD2227">
        <v>1.4048050000000001</v>
      </c>
      <c r="AE2227">
        <v>-25.563400000000001</v>
      </c>
      <c r="AF2227">
        <v>-15.5506023305428</v>
      </c>
      <c r="AG2227">
        <v>1.4048050000000001</v>
      </c>
      <c r="AH2227">
        <v>30.672742380268001</v>
      </c>
      <c r="AI2227">
        <v>87.660778749204795</v>
      </c>
      <c r="AJ2227">
        <v>116.884297932642</v>
      </c>
      <c r="AK2227">
        <v>34.418190467498398</v>
      </c>
      <c r="AL2227">
        <v>80.575524271059194</v>
      </c>
      <c r="AM2227">
        <v>115.239067151936</v>
      </c>
      <c r="AN2227">
        <v>1.0000000412110699</v>
      </c>
    </row>
    <row r="2228" spans="1:40" x14ac:dyDescent="0.25">
      <c r="A2228" t="str">
        <f>"20190312164514899"</f>
        <v>20190312164514899</v>
      </c>
      <c r="B2228" t="str">
        <f>"1552380314893492"</f>
        <v>1552380314893492</v>
      </c>
      <c r="C2228" t="s">
        <v>40</v>
      </c>
      <c r="D2228">
        <v>4.8247980000000004</v>
      </c>
      <c r="E2228">
        <v>0.47771259999999999</v>
      </c>
      <c r="F2228" t="s">
        <v>55</v>
      </c>
      <c r="G2228">
        <v>-467.70420000000001</v>
      </c>
      <c r="H2228">
        <v>2.4278979999999999</v>
      </c>
      <c r="I2228">
        <v>197.7544</v>
      </c>
      <c r="J2228">
        <v>-491.44580000000002</v>
      </c>
      <c r="K2228">
        <v>1.1179950000000001</v>
      </c>
      <c r="L2228">
        <v>222.95740000000001</v>
      </c>
      <c r="M2228">
        <v>0.27152379999999998</v>
      </c>
      <c r="N2228">
        <v>0</v>
      </c>
      <c r="O2228">
        <v>-0.96231909999999998</v>
      </c>
      <c r="P2228">
        <v>0.6462405</v>
      </c>
      <c r="Q2228">
        <v>0.15655920000000001</v>
      </c>
      <c r="R2228">
        <v>-0.74690199999999995</v>
      </c>
      <c r="S2228">
        <v>2.0630190000000002</v>
      </c>
      <c r="T2228">
        <v>0.11334370000000001</v>
      </c>
      <c r="U2228">
        <v>-2.2114259999999999</v>
      </c>
      <c r="V2228">
        <v>-0.42281259999999998</v>
      </c>
      <c r="W2228">
        <v>0.16032660000000001</v>
      </c>
      <c r="X2228">
        <v>0.89192199999999899</v>
      </c>
      <c r="Y2228">
        <v>-0.45743299999999998</v>
      </c>
      <c r="Z2228">
        <v>-3.8508590000000002E-2</v>
      </c>
      <c r="AA2228">
        <v>0.88840989999999997</v>
      </c>
      <c r="AB2228">
        <v>38</v>
      </c>
      <c r="AC2228">
        <v>23.741599999999998</v>
      </c>
      <c r="AD2228">
        <v>1.30990299999999</v>
      </c>
      <c r="AE2228">
        <v>-25.202999999999999</v>
      </c>
      <c r="AF2228">
        <v>-15.982640757333501</v>
      </c>
      <c r="AG2228">
        <v>1.30990299999999</v>
      </c>
      <c r="AH2228">
        <v>30.659185174393102</v>
      </c>
      <c r="AI2228">
        <v>87.830338630123094</v>
      </c>
      <c r="AJ2228">
        <v>117.533042239897</v>
      </c>
      <c r="AK2228">
        <v>34.599801834766602</v>
      </c>
      <c r="AL2228">
        <v>80.774146093925296</v>
      </c>
      <c r="AM2228">
        <v>115.363132338866</v>
      </c>
      <c r="AN2228">
        <v>0.99999998373515897</v>
      </c>
    </row>
    <row r="2229" spans="1:40" x14ac:dyDescent="0.25">
      <c r="A2229" t="str">
        <f>"20190312164514922"</f>
        <v>20190312164514922</v>
      </c>
      <c r="B2229" t="str">
        <f>"1552380314913989"</f>
        <v>1552380314913989</v>
      </c>
      <c r="C2229" t="s">
        <v>40</v>
      </c>
      <c r="D2229">
        <v>4.7395769999999997</v>
      </c>
      <c r="E2229">
        <v>0.45214320000000002</v>
      </c>
      <c r="F2229" t="s">
        <v>55</v>
      </c>
      <c r="G2229">
        <v>-467.14609999999999</v>
      </c>
      <c r="H2229">
        <v>2.3685160000000001</v>
      </c>
      <c r="I2229">
        <v>197.7544</v>
      </c>
      <c r="J2229">
        <v>-491.33159999999998</v>
      </c>
      <c r="K2229">
        <v>1.1182989999999999</v>
      </c>
      <c r="L2229">
        <v>222.58359999999999</v>
      </c>
      <c r="M2229">
        <v>0.28152949999999999</v>
      </c>
      <c r="N2229">
        <v>0</v>
      </c>
      <c r="O2229">
        <v>-0.95943900000000004</v>
      </c>
      <c r="P2229">
        <v>0.65462799999999999</v>
      </c>
      <c r="Q2229">
        <v>0.1550964</v>
      </c>
      <c r="R2229">
        <v>-0.73987009999999998</v>
      </c>
      <c r="S2229">
        <v>2.099396</v>
      </c>
      <c r="T2229">
        <v>0.1080426</v>
      </c>
      <c r="U2229">
        <v>-2.1774290000000001</v>
      </c>
      <c r="V2229">
        <v>-0.42359669999999999</v>
      </c>
      <c r="W2229">
        <v>0.1585599</v>
      </c>
      <c r="X2229">
        <v>0.89186580000000004</v>
      </c>
      <c r="Y2229">
        <v>-0.46283940000000001</v>
      </c>
      <c r="Z2229">
        <v>-3.6721499999999997E-2</v>
      </c>
      <c r="AA2229">
        <v>0.88568119999999995</v>
      </c>
      <c r="AB2229">
        <v>38</v>
      </c>
      <c r="AC2229">
        <v>24.185499999999902</v>
      </c>
      <c r="AD2229">
        <v>1.2502169999999999</v>
      </c>
      <c r="AE2229">
        <v>-24.829199999999901</v>
      </c>
      <c r="AF2229">
        <v>-16.1950573177491</v>
      </c>
      <c r="AG2229">
        <v>1.2502169999999999</v>
      </c>
      <c r="AH2229">
        <v>30.594569880995699</v>
      </c>
      <c r="AI2229">
        <v>87.931597010652794</v>
      </c>
      <c r="AJ2229">
        <v>117.894246076231</v>
      </c>
      <c r="AK2229">
        <v>34.639148809914403</v>
      </c>
      <c r="AL2229">
        <v>80.876682501567601</v>
      </c>
      <c r="AM2229">
        <v>115.405644750625</v>
      </c>
      <c r="AN2229">
        <v>1.0000000056742699</v>
      </c>
    </row>
    <row r="2230" spans="1:40" x14ac:dyDescent="0.25">
      <c r="A2230" t="str">
        <f>"20190312164514944"</f>
        <v>20190312164514944</v>
      </c>
      <c r="B2230" t="str">
        <f>"1552380314933512"</f>
        <v>1552380314933512</v>
      </c>
      <c r="C2230" t="s">
        <v>40</v>
      </c>
      <c r="D2230">
        <v>4.8157459999999999</v>
      </c>
      <c r="E2230">
        <v>0.45370840000000001</v>
      </c>
      <c r="F2230" t="s">
        <v>55</v>
      </c>
      <c r="G2230">
        <v>-462.78590000000003</v>
      </c>
      <c r="H2230">
        <v>3.1432530000000001</v>
      </c>
      <c r="I2230">
        <v>197.345</v>
      </c>
      <c r="J2230">
        <v>-491.2226</v>
      </c>
      <c r="K2230">
        <v>1.118592</v>
      </c>
      <c r="L2230">
        <v>222.24010000000001</v>
      </c>
      <c r="M2230">
        <v>0.29106359999999998</v>
      </c>
      <c r="N2230">
        <v>0</v>
      </c>
      <c r="O2230">
        <v>-0.95658909999999997</v>
      </c>
      <c r="P2230">
        <v>0.66131379999999995</v>
      </c>
      <c r="Q2230">
        <v>0.1563071</v>
      </c>
      <c r="R2230">
        <v>-0.73364319999999905</v>
      </c>
      <c r="S2230">
        <v>2.2731020000000002</v>
      </c>
      <c r="T2230">
        <v>0.1612499</v>
      </c>
      <c r="U2230">
        <v>-2.0097499999999999</v>
      </c>
      <c r="V2230">
        <v>-0.42303269999999998</v>
      </c>
      <c r="W2230">
        <v>0.15951470000000001</v>
      </c>
      <c r="X2230">
        <v>0.89196319999999996</v>
      </c>
      <c r="Y2230">
        <v>-0.52275119999999997</v>
      </c>
      <c r="Z2230">
        <v>-5.5139210000000001E-2</v>
      </c>
      <c r="AA2230">
        <v>0.85070020000000002</v>
      </c>
      <c r="AB2230">
        <v>38</v>
      </c>
      <c r="AC2230">
        <v>28.436699999999899</v>
      </c>
      <c r="AD2230">
        <v>2.024661</v>
      </c>
      <c r="AE2230">
        <v>-24.895099999999999</v>
      </c>
      <c r="AF2230">
        <v>-19.901255569525901</v>
      </c>
      <c r="AG2230">
        <v>2.024661</v>
      </c>
      <c r="AH2230">
        <v>32.0029465960897</v>
      </c>
      <c r="AI2230">
        <v>86.9247851835772</v>
      </c>
      <c r="AJ2230">
        <v>121.875703037139</v>
      </c>
      <c r="AK2230">
        <v>37.740532802819203</v>
      </c>
      <c r="AL2230">
        <v>80.8212709855962</v>
      </c>
      <c r="AM2230">
        <v>115.373651120293</v>
      </c>
      <c r="AN2230">
        <v>0.99999997746980895</v>
      </c>
    </row>
    <row r="2231" spans="1:40" x14ac:dyDescent="0.25">
      <c r="A2231" t="str">
        <f>"20190312164514966"</f>
        <v>20190312164514966</v>
      </c>
      <c r="B2231" t="str">
        <f>"1552380314954004"</f>
        <v>1552380314954004</v>
      </c>
      <c r="C2231" t="s">
        <v>40</v>
      </c>
      <c r="D2231">
        <v>4.7412289999999997</v>
      </c>
      <c r="E2231">
        <v>0.45395099999999999</v>
      </c>
      <c r="F2231" t="s">
        <v>55</v>
      </c>
      <c r="G2231">
        <v>-462.73270000000002</v>
      </c>
      <c r="H2231">
        <v>3.2206070000000002</v>
      </c>
      <c r="I2231">
        <v>197.345</v>
      </c>
      <c r="J2231">
        <v>-491.10750000000002</v>
      </c>
      <c r="K2231">
        <v>1.118895</v>
      </c>
      <c r="L2231">
        <v>221.8905</v>
      </c>
      <c r="M2231">
        <v>0.30110389999999998</v>
      </c>
      <c r="N2231">
        <v>0</v>
      </c>
      <c r="O2231">
        <v>-0.95347559999999998</v>
      </c>
      <c r="P2231">
        <v>0.66646649999999996</v>
      </c>
      <c r="Q2231">
        <v>0.15668379999999901</v>
      </c>
      <c r="R2231">
        <v>-0.7288848</v>
      </c>
      <c r="S2231">
        <v>2.2832340000000002</v>
      </c>
      <c r="T2231">
        <v>0.16846179999999999</v>
      </c>
      <c r="U2231">
        <v>-1.9951319999999999</v>
      </c>
      <c r="V2231">
        <v>-0.42009020000000002</v>
      </c>
      <c r="W2231">
        <v>0.1596996</v>
      </c>
      <c r="X2231">
        <v>0.8933198</v>
      </c>
      <c r="Y2231">
        <v>-0.51863700000000001</v>
      </c>
      <c r="Z2231">
        <v>-5.7578780000000003E-2</v>
      </c>
      <c r="AA2231">
        <v>0.85305359999999997</v>
      </c>
      <c r="AB2231">
        <v>38</v>
      </c>
      <c r="AC2231">
        <v>28.3748</v>
      </c>
      <c r="AD2231">
        <v>2.101712</v>
      </c>
      <c r="AE2231">
        <v>-24.545500000000001</v>
      </c>
      <c r="AF2231">
        <v>-19.6045834424703</v>
      </c>
      <c r="AG2231">
        <v>2.101712</v>
      </c>
      <c r="AH2231">
        <v>31.850874051737701</v>
      </c>
      <c r="AI2231">
        <v>86.783683818195897</v>
      </c>
      <c r="AJ2231">
        <v>121.61278045504601</v>
      </c>
      <c r="AK2231">
        <v>37.459779272486102</v>
      </c>
      <c r="AL2231">
        <v>80.810539648444404</v>
      </c>
      <c r="AM2231">
        <v>115.18560044338101</v>
      </c>
      <c r="AN2231">
        <v>1.00000000172412</v>
      </c>
    </row>
    <row r="2232" spans="1:40" x14ac:dyDescent="0.25">
      <c r="A2232" t="str">
        <f>"20190312164514992"</f>
        <v>20190312164514992</v>
      </c>
      <c r="B2232" t="str">
        <f>"1552380314984260"</f>
        <v>1552380314984260</v>
      </c>
      <c r="C2232" t="s">
        <v>40</v>
      </c>
      <c r="D2232">
        <v>4.6827059999999996</v>
      </c>
      <c r="E2232">
        <v>0.45494190000000001</v>
      </c>
      <c r="F2232" t="s">
        <v>55</v>
      </c>
      <c r="G2232">
        <v>-462.6123</v>
      </c>
      <c r="H2232">
        <v>3.2341549999999999</v>
      </c>
      <c r="I2232">
        <v>197.345</v>
      </c>
      <c r="J2232">
        <v>-490.96879999999999</v>
      </c>
      <c r="K2232">
        <v>1.119256</v>
      </c>
      <c r="L2232">
        <v>221.48570000000001</v>
      </c>
      <c r="M2232">
        <v>0.3131948</v>
      </c>
      <c r="N2232">
        <v>0</v>
      </c>
      <c r="O2232">
        <v>-0.94957159999999996</v>
      </c>
      <c r="P2232">
        <v>0.67368139999999999</v>
      </c>
      <c r="Q2232">
        <v>0.15261859999999999</v>
      </c>
      <c r="R2232">
        <v>-0.72309159999999995</v>
      </c>
      <c r="S2232">
        <v>2.2972109999999999</v>
      </c>
      <c r="T2232">
        <v>0.17052890000000001</v>
      </c>
      <c r="U2232">
        <v>-1.97879</v>
      </c>
      <c r="V2232">
        <v>-0.4173907</v>
      </c>
      <c r="W2232">
        <v>0.15539629999999999</v>
      </c>
      <c r="X2232">
        <v>0.89534190000000002</v>
      </c>
      <c r="Y2232">
        <v>-0.51379169999999996</v>
      </c>
      <c r="Z2232">
        <v>-5.8203770000000002E-2</v>
      </c>
      <c r="AA2232">
        <v>0.85593839999999999</v>
      </c>
      <c r="AB2232">
        <v>38</v>
      </c>
      <c r="AC2232">
        <v>28.356499999999901</v>
      </c>
      <c r="AD2232">
        <v>2.1148989999999999</v>
      </c>
      <c r="AE2232">
        <v>-24.140699999999999</v>
      </c>
      <c r="AF2232">
        <v>-19.305679972877801</v>
      </c>
      <c r="AG2232">
        <v>2.1148989999999999</v>
      </c>
      <c r="AH2232">
        <v>31.705720374777101</v>
      </c>
      <c r="AI2232">
        <v>86.739198168503194</v>
      </c>
      <c r="AJ2232">
        <v>121.337323203409</v>
      </c>
      <c r="AK2232">
        <v>37.181107857068099</v>
      </c>
      <c r="AL2232">
        <v>81.060219491286603</v>
      </c>
      <c r="AM2232">
        <v>114.994003007495</v>
      </c>
      <c r="AN2232">
        <v>1.0000000621978899</v>
      </c>
    </row>
    <row r="2233" spans="1:40" x14ac:dyDescent="0.25">
      <c r="A2233" t="str">
        <f>"20190312164515012"</f>
        <v>20190312164515012</v>
      </c>
      <c r="B2233" t="str">
        <f>"1552380315003781"</f>
        <v>1552380315003781</v>
      </c>
      <c r="C2233" t="s">
        <v>40</v>
      </c>
      <c r="D2233">
        <v>4.6261850000000004</v>
      </c>
      <c r="E2233">
        <v>0.45514589999999999</v>
      </c>
      <c r="F2233" t="s">
        <v>55</v>
      </c>
      <c r="G2233">
        <v>-462.54349999999999</v>
      </c>
      <c r="H2233">
        <v>3.061893</v>
      </c>
      <c r="I2233">
        <v>197.345</v>
      </c>
      <c r="J2233">
        <v>-490.85239999999999</v>
      </c>
      <c r="K2233">
        <v>1.1195569999999999</v>
      </c>
      <c r="L2233">
        <v>221.1593</v>
      </c>
      <c r="M2233">
        <v>0.3233163</v>
      </c>
      <c r="N2233">
        <v>0</v>
      </c>
      <c r="O2233">
        <v>-0.94617249999999997</v>
      </c>
      <c r="P2233">
        <v>0.67836219999999903</v>
      </c>
      <c r="Q2233">
        <v>0.14816869999999999</v>
      </c>
      <c r="R2233">
        <v>-0.71963290000000002</v>
      </c>
      <c r="S2233">
        <v>2.310883</v>
      </c>
      <c r="T2233">
        <v>0.1579323</v>
      </c>
      <c r="U2233">
        <v>-1.962555</v>
      </c>
      <c r="V2233">
        <v>-0.41333579999999998</v>
      </c>
      <c r="W2233">
        <v>0.15081889999999901</v>
      </c>
      <c r="X2233">
        <v>0.89800179999999996</v>
      </c>
      <c r="Y2233">
        <v>-0.51081520000000002</v>
      </c>
      <c r="Z2233">
        <v>-5.3855800000000002E-2</v>
      </c>
      <c r="AA2233">
        <v>0.85800200000000004</v>
      </c>
      <c r="AB2233">
        <v>38</v>
      </c>
      <c r="AC2233">
        <v>28.308899999999898</v>
      </c>
      <c r="AD2233">
        <v>1.9423360000000001</v>
      </c>
      <c r="AE2233">
        <v>-23.814299999999999</v>
      </c>
      <c r="AF2233">
        <v>-19.0352153341193</v>
      </c>
      <c r="AG2233">
        <v>1.9423360000000001</v>
      </c>
      <c r="AH2233">
        <v>31.601598525545999</v>
      </c>
      <c r="AI2233">
        <v>86.986181787790798</v>
      </c>
      <c r="AJ2233">
        <v>121.062647605221</v>
      </c>
      <c r="AK2233">
        <v>36.942835859243097</v>
      </c>
      <c r="AL2233">
        <v>81.325614266614807</v>
      </c>
      <c r="AM2233">
        <v>114.715855769825</v>
      </c>
      <c r="AN2233">
        <v>1.00000002848104</v>
      </c>
    </row>
    <row r="2234" spans="1:40" x14ac:dyDescent="0.25">
      <c r="A2234" t="str">
        <f>"20190312164515035"</f>
        <v>20190312164515035</v>
      </c>
      <c r="B2234" t="str">
        <f>"1552380315023300"</f>
        <v>1552380315023300</v>
      </c>
      <c r="C2234" t="s">
        <v>40</v>
      </c>
      <c r="D2234">
        <v>4.7518719999999997</v>
      </c>
      <c r="E2234">
        <v>0.4554417</v>
      </c>
      <c r="F2234" t="s">
        <v>55</v>
      </c>
      <c r="G2234">
        <v>-462.97359999999998</v>
      </c>
      <c r="H2234">
        <v>2.877119</v>
      </c>
      <c r="I2234">
        <v>197.7544</v>
      </c>
      <c r="J2234">
        <v>-490.72019999999998</v>
      </c>
      <c r="K2234">
        <v>1.1198900000000001</v>
      </c>
      <c r="L2234">
        <v>220.80240000000001</v>
      </c>
      <c r="M2234">
        <v>0.33474090000000001</v>
      </c>
      <c r="N2234">
        <v>0</v>
      </c>
      <c r="O2234">
        <v>-0.94219019999999998</v>
      </c>
      <c r="P2234">
        <v>0.684173699999999</v>
      </c>
      <c r="Q2234">
        <v>0.14625179999999999</v>
      </c>
      <c r="R2234">
        <v>-0.714505099999999</v>
      </c>
      <c r="S2234">
        <v>2.3222049999999999</v>
      </c>
      <c r="T2234">
        <v>0.1464009</v>
      </c>
      <c r="U2234">
        <v>-1.9495389999999999</v>
      </c>
      <c r="V2234">
        <v>-0.40968110000000002</v>
      </c>
      <c r="W2234">
        <v>0.1487483</v>
      </c>
      <c r="X2234">
        <v>0.90001969999999998</v>
      </c>
      <c r="Y2234">
        <v>-0.50545289999999998</v>
      </c>
      <c r="Z2234">
        <v>-4.9833349999999998E-2</v>
      </c>
      <c r="AA2234">
        <v>0.86141399999999901</v>
      </c>
      <c r="AB2234">
        <v>38</v>
      </c>
      <c r="AC2234">
        <v>27.746600000000001</v>
      </c>
      <c r="AD2234">
        <v>1.7572289999999999</v>
      </c>
      <c r="AE2234">
        <v>-23.047999999999998</v>
      </c>
      <c r="AF2234">
        <v>-18.385915279769399</v>
      </c>
      <c r="AG2234">
        <v>1.7572289999999999</v>
      </c>
      <c r="AH2234">
        <v>30.9336134835414</v>
      </c>
      <c r="AI2234">
        <v>87.2043490424374</v>
      </c>
      <c r="AJ2234">
        <v>120.725847452466</v>
      </c>
      <c r="AK2234">
        <v>36.028019340264002</v>
      </c>
      <c r="AL2234">
        <v>81.445604836696404</v>
      </c>
      <c r="AM2234">
        <v>114.474613232479</v>
      </c>
      <c r="AN2234">
        <v>1.00000006041909</v>
      </c>
    </row>
    <row r="2235" spans="1:40" x14ac:dyDescent="0.25">
      <c r="A2235" t="str">
        <f>"20190312164515057"</f>
        <v>20190312164515057</v>
      </c>
      <c r="B2235" t="str">
        <f>"1552380315053556"</f>
        <v>1552380315053556</v>
      </c>
      <c r="C2235" t="s">
        <v>40</v>
      </c>
      <c r="D2235">
        <v>4.7406189999999997</v>
      </c>
      <c r="E2235">
        <v>0.45539039999999997</v>
      </c>
      <c r="F2235" t="s">
        <v>55</v>
      </c>
      <c r="G2235">
        <v>-462.8297</v>
      </c>
      <c r="H2235">
        <v>2.8124229999999999</v>
      </c>
      <c r="I2235">
        <v>197.7544</v>
      </c>
      <c r="J2235">
        <v>-490.59019999999998</v>
      </c>
      <c r="K2235">
        <v>1.1202049999999999</v>
      </c>
      <c r="L2235">
        <v>220.46420000000001</v>
      </c>
      <c r="M2235">
        <v>0.34591719999999998</v>
      </c>
      <c r="N2235">
        <v>0</v>
      </c>
      <c r="O2235">
        <v>-0.93814339999999996</v>
      </c>
      <c r="P2235">
        <v>0.69023140000000005</v>
      </c>
      <c r="Q2235">
        <v>0.14714579999999999</v>
      </c>
      <c r="R2235">
        <v>-0.70846919999999902</v>
      </c>
      <c r="S2235">
        <v>2.3373719999999998</v>
      </c>
      <c r="T2235">
        <v>0.14184530000000001</v>
      </c>
      <c r="U2235">
        <v>-1.9315340000000001</v>
      </c>
      <c r="V2235">
        <v>-0.40684310000000001</v>
      </c>
      <c r="W2235">
        <v>0.14947439999999901</v>
      </c>
      <c r="X2235">
        <v>0.90118589999999998</v>
      </c>
      <c r="Y2235">
        <v>-0.50194689999999997</v>
      </c>
      <c r="Z2235">
        <v>-4.8201340000000002E-2</v>
      </c>
      <c r="AA2235">
        <v>0.8635543</v>
      </c>
      <c r="AB2235">
        <v>38</v>
      </c>
      <c r="AC2235">
        <v>27.760499999999901</v>
      </c>
      <c r="AD2235">
        <v>1.692218</v>
      </c>
      <c r="AE2235">
        <v>-22.709800000000001</v>
      </c>
      <c r="AF2235">
        <v>-18.149293454032001</v>
      </c>
      <c r="AG2235">
        <v>1.692218</v>
      </c>
      <c r="AH2235">
        <v>30.8427525881409</v>
      </c>
      <c r="AI2235">
        <v>87.292698887418496</v>
      </c>
      <c r="AJ2235">
        <v>120.47451187526001</v>
      </c>
      <c r="AK2235">
        <v>35.826468453552103</v>
      </c>
      <c r="AL2235">
        <v>81.403531192179798</v>
      </c>
      <c r="AM2235">
        <v>114.296940224289</v>
      </c>
      <c r="AN2235">
        <v>0.99999996531588897</v>
      </c>
    </row>
    <row r="2236" spans="1:40" x14ac:dyDescent="0.25">
      <c r="A2236" t="str">
        <f>"20190312164515078"</f>
        <v>20190312164515078</v>
      </c>
      <c r="B2236" t="str">
        <f>"1552380315074052"</f>
        <v>1552380315074052</v>
      </c>
      <c r="C2236" t="s">
        <v>40</v>
      </c>
      <c r="D2236">
        <v>4.6793069999999997</v>
      </c>
      <c r="E2236">
        <v>0.4551713</v>
      </c>
      <c r="F2236" t="s">
        <v>55</v>
      </c>
      <c r="G2236">
        <v>-462.59399999999999</v>
      </c>
      <c r="H2236">
        <v>2.8569179999999998</v>
      </c>
      <c r="I2236">
        <v>197.7544</v>
      </c>
      <c r="J2236">
        <v>-490.4597</v>
      </c>
      <c r="K2236">
        <v>1.120519</v>
      </c>
      <c r="L2236">
        <v>220.13640000000001</v>
      </c>
      <c r="M2236">
        <v>0.35709809999999997</v>
      </c>
      <c r="N2236">
        <v>0</v>
      </c>
      <c r="O2236">
        <v>-0.93394390000000005</v>
      </c>
      <c r="P2236">
        <v>0.69611639999999997</v>
      </c>
      <c r="Q2236">
        <v>0.14683679999999999</v>
      </c>
      <c r="R2236">
        <v>-0.7027525</v>
      </c>
      <c r="S2236">
        <v>2.3547060000000002</v>
      </c>
      <c r="T2236">
        <v>0.1460736</v>
      </c>
      <c r="U2236">
        <v>-1.9100649999999999</v>
      </c>
      <c r="V2236">
        <v>-0.40367189999999997</v>
      </c>
      <c r="W2236">
        <v>0.1490194</v>
      </c>
      <c r="X2236">
        <v>0.90268610000000005</v>
      </c>
      <c r="Y2236">
        <v>-0.49942160000000002</v>
      </c>
      <c r="Z2236">
        <v>-4.9554590000000003E-2</v>
      </c>
      <c r="AA2236">
        <v>0.86494069999999901</v>
      </c>
      <c r="AB2236">
        <v>38</v>
      </c>
      <c r="AC2236">
        <v>27.8657</v>
      </c>
      <c r="AD2236">
        <v>1.73639899999999</v>
      </c>
      <c r="AE2236">
        <v>-22.382000000000001</v>
      </c>
      <c r="AF2236">
        <v>-17.992037202677501</v>
      </c>
      <c r="AG2236">
        <v>1.73639899999999</v>
      </c>
      <c r="AH2236">
        <v>30.785205484199899</v>
      </c>
      <c r="AI2236">
        <v>87.212076235641902</v>
      </c>
      <c r="AJ2236">
        <v>120.303628733596</v>
      </c>
      <c r="AK2236">
        <v>35.699542866739201</v>
      </c>
      <c r="AL2236">
        <v>81.429896271817697</v>
      </c>
      <c r="AM2236">
        <v>114.093700227215</v>
      </c>
      <c r="AN2236">
        <v>0.99999998977959004</v>
      </c>
    </row>
    <row r="2237" spans="1:40" x14ac:dyDescent="0.25">
      <c r="A2237" t="str">
        <f>"20190312164515101"</f>
        <v>20190312164515101</v>
      </c>
      <c r="B2237" t="str">
        <f>"1552380315093572"</f>
        <v>1552380315093572</v>
      </c>
      <c r="C2237" t="s">
        <v>40</v>
      </c>
      <c r="D2237">
        <v>4.7031910000000003</v>
      </c>
      <c r="E2237">
        <v>0.45498339999999998</v>
      </c>
      <c r="F2237" t="s">
        <v>55</v>
      </c>
      <c r="G2237">
        <v>-462.33909999999997</v>
      </c>
      <c r="H2237">
        <v>2.8575529999999998</v>
      </c>
      <c r="I2237">
        <v>197.7544</v>
      </c>
      <c r="J2237">
        <v>-490.31209999999999</v>
      </c>
      <c r="K2237">
        <v>1.120879</v>
      </c>
      <c r="L2237">
        <v>219.77959999999999</v>
      </c>
      <c r="M2237">
        <v>0.36968010000000001</v>
      </c>
      <c r="N2237">
        <v>0</v>
      </c>
      <c r="O2237">
        <v>-0.92903429999999998</v>
      </c>
      <c r="P2237">
        <v>0.7028314</v>
      </c>
      <c r="Q2237">
        <v>0.14428959999999999</v>
      </c>
      <c r="R2237">
        <v>-0.69656949999999995</v>
      </c>
      <c r="S2237">
        <v>2.3724370000000001</v>
      </c>
      <c r="T2237">
        <v>0.14655019999999999</v>
      </c>
      <c r="U2237">
        <v>-1.88829</v>
      </c>
      <c r="V2237">
        <v>-0.3999972</v>
      </c>
      <c r="W2237">
        <v>0.14632409999999901</v>
      </c>
      <c r="X2237">
        <v>0.90476049999999997</v>
      </c>
      <c r="Y2237">
        <v>-0.49572630000000001</v>
      </c>
      <c r="Z2237">
        <v>-4.9598150000000001E-2</v>
      </c>
      <c r="AA2237">
        <v>0.86706139999999998</v>
      </c>
      <c r="AB2237">
        <v>38</v>
      </c>
      <c r="AC2237">
        <v>27.972999999999999</v>
      </c>
      <c r="AD2237">
        <v>1.7366739999999901</v>
      </c>
      <c r="AE2237">
        <v>-22.025199999999899</v>
      </c>
      <c r="AF2237">
        <v>-17.8053031074177</v>
      </c>
      <c r="AG2237">
        <v>1.7366739999999901</v>
      </c>
      <c r="AH2237">
        <v>30.7336742432168</v>
      </c>
      <c r="AI2237">
        <v>87.200783362245403</v>
      </c>
      <c r="AJ2237">
        <v>120.085507259415</v>
      </c>
      <c r="AK2237">
        <v>35.561265273011003</v>
      </c>
      <c r="AL2237">
        <v>81.586037865112701</v>
      </c>
      <c r="AM2237">
        <v>113.850358482475</v>
      </c>
      <c r="AN2237">
        <v>1.00000003230444</v>
      </c>
    </row>
    <row r="2238" spans="1:40" x14ac:dyDescent="0.25">
      <c r="A2238" t="str">
        <f>"20190312164515122"</f>
        <v>20190312164515122</v>
      </c>
      <c r="B2238" t="str">
        <f>"1552380315114068"</f>
        <v>1552380315114068</v>
      </c>
      <c r="C2238" t="s">
        <v>40</v>
      </c>
      <c r="D2238">
        <v>4.7350320000000004</v>
      </c>
      <c r="E2238">
        <v>0.45475500000000002</v>
      </c>
      <c r="F2238" t="s">
        <v>55</v>
      </c>
      <c r="G2238">
        <v>-462.04239999999999</v>
      </c>
      <c r="H2238">
        <v>2.8017850000000002</v>
      </c>
      <c r="I2238">
        <v>197.7544</v>
      </c>
      <c r="J2238">
        <v>-490.17140000000001</v>
      </c>
      <c r="K2238">
        <v>1.121205</v>
      </c>
      <c r="L2238">
        <v>219.4521</v>
      </c>
      <c r="M2238">
        <v>0.38162740000000001</v>
      </c>
      <c r="N2238">
        <v>0</v>
      </c>
      <c r="O2238">
        <v>-0.9241895</v>
      </c>
      <c r="P2238">
        <v>0.70938999999999997</v>
      </c>
      <c r="Q2238">
        <v>0.13995270000000001</v>
      </c>
      <c r="R2238">
        <v>-0.6907818</v>
      </c>
      <c r="S2238">
        <v>2.3921809999999999</v>
      </c>
      <c r="T2238">
        <v>0.1422408</v>
      </c>
      <c r="U2238">
        <v>-1.8637699999999999</v>
      </c>
      <c r="V2238">
        <v>-0.39653579999999999</v>
      </c>
      <c r="W2238">
        <v>0.1418584</v>
      </c>
      <c r="X2238">
        <v>0.90699260000000004</v>
      </c>
      <c r="Y2238">
        <v>-0.4935947</v>
      </c>
      <c r="Z2238">
        <v>-4.8035479999999998E-2</v>
      </c>
      <c r="AA2238">
        <v>0.86836449999999998</v>
      </c>
      <c r="AB2238">
        <v>38</v>
      </c>
      <c r="AC2238">
        <v>28.129000000000001</v>
      </c>
      <c r="AD2238">
        <v>1.68057999999999</v>
      </c>
      <c r="AE2238">
        <v>-21.697700000000001</v>
      </c>
      <c r="AF2238">
        <v>-17.678601726615899</v>
      </c>
      <c r="AG2238">
        <v>1.68057999999999</v>
      </c>
      <c r="AH2238">
        <v>30.722436015980001</v>
      </c>
      <c r="AI2238">
        <v>87.285482970034593</v>
      </c>
      <c r="AJ2238">
        <v>119.91740040457201</v>
      </c>
      <c r="AK2238">
        <v>35.485565838812498</v>
      </c>
      <c r="AL2238">
        <v>81.844601950334507</v>
      </c>
      <c r="AM2238">
        <v>113.614876499636</v>
      </c>
      <c r="AN2238">
        <v>1.0000000113934799</v>
      </c>
    </row>
    <row r="2239" spans="1:40" x14ac:dyDescent="0.25">
      <c r="A2239" t="str">
        <f>"20190312164515145"</f>
        <v>20190312164515145</v>
      </c>
      <c r="B2239" t="str">
        <f>"1552380315133591"</f>
        <v>1552380315133591</v>
      </c>
      <c r="C2239" t="s">
        <v>40</v>
      </c>
      <c r="D2239">
        <v>4.852989</v>
      </c>
      <c r="E2239">
        <v>0.45444590000000001</v>
      </c>
      <c r="F2239" t="s">
        <v>55</v>
      </c>
      <c r="G2239">
        <v>-461.75349999999997</v>
      </c>
      <c r="H2239">
        <v>2.6831969999999998</v>
      </c>
      <c r="I2239">
        <v>197.7544</v>
      </c>
      <c r="J2239">
        <v>-490.01839999999999</v>
      </c>
      <c r="K2239">
        <v>1.1215520000000001</v>
      </c>
      <c r="L2239">
        <v>219.1087</v>
      </c>
      <c r="M2239">
        <v>0.39457130000000001</v>
      </c>
      <c r="N2239">
        <v>0</v>
      </c>
      <c r="O2239">
        <v>-0.91873649999999996</v>
      </c>
      <c r="P2239">
        <v>0.71657099999999996</v>
      </c>
      <c r="Q2239">
        <v>0.13514979999999999</v>
      </c>
      <c r="R2239">
        <v>-0.68429569999999995</v>
      </c>
      <c r="S2239">
        <v>2.4105530000000002</v>
      </c>
      <c r="T2239">
        <v>0.13249839999999999</v>
      </c>
      <c r="U2239">
        <v>-1.8405</v>
      </c>
      <c r="V2239">
        <v>-0.3928664</v>
      </c>
      <c r="W2239">
        <v>0.13692319999999999</v>
      </c>
      <c r="X2239">
        <v>0.90934490000000001</v>
      </c>
      <c r="Y2239">
        <v>-0.48999779999999998</v>
      </c>
      <c r="Z2239">
        <v>-4.4619449999999998E-2</v>
      </c>
      <c r="AA2239">
        <v>0.87058099999999905</v>
      </c>
      <c r="AB2239">
        <v>38</v>
      </c>
      <c r="AC2239">
        <v>28.264900000000001</v>
      </c>
      <c r="AD2239">
        <v>1.5616449999999999</v>
      </c>
      <c r="AE2239">
        <v>-21.354299999999899</v>
      </c>
      <c r="AF2239">
        <v>-17.5102495582634</v>
      </c>
      <c r="AG2239">
        <v>1.5616449999999999</v>
      </c>
      <c r="AH2239">
        <v>30.715445168792101</v>
      </c>
      <c r="AI2239">
        <v>87.470937747309804</v>
      </c>
      <c r="AJ2239">
        <v>119.686583606442</v>
      </c>
      <c r="AK2239">
        <v>35.390481017015901</v>
      </c>
      <c r="AL2239">
        <v>82.130156502860302</v>
      </c>
      <c r="AM2239">
        <v>113.365905718522</v>
      </c>
      <c r="AN2239">
        <v>1.0000000590516001</v>
      </c>
    </row>
    <row r="2240" spans="1:40" x14ac:dyDescent="0.25">
      <c r="A2240" t="str">
        <f>"20190312164515165"</f>
        <v>20190312164515165</v>
      </c>
      <c r="B2240" t="str">
        <f>"1552380315163844"</f>
        <v>1552380315163844</v>
      </c>
      <c r="C2240" t="s">
        <v>40</v>
      </c>
      <c r="D2240">
        <v>4.9703280000000003</v>
      </c>
      <c r="E2240">
        <v>0.47364460000000003</v>
      </c>
      <c r="F2240" t="s">
        <v>55</v>
      </c>
      <c r="G2240">
        <v>-461.4135</v>
      </c>
      <c r="H2240">
        <v>2.5365570000000002</v>
      </c>
      <c r="I2240">
        <v>197.7544</v>
      </c>
      <c r="J2240">
        <v>-489.8741</v>
      </c>
      <c r="K2240">
        <v>1.121891</v>
      </c>
      <c r="L2240">
        <v>218.79679999999999</v>
      </c>
      <c r="M2240">
        <v>0.40672639999999999</v>
      </c>
      <c r="N2240">
        <v>0</v>
      </c>
      <c r="O2240">
        <v>-0.91341890000000003</v>
      </c>
      <c r="P2240">
        <v>0.72312589999999999</v>
      </c>
      <c r="Q2240">
        <v>0.13293540000000001</v>
      </c>
      <c r="R2240">
        <v>-0.6778033</v>
      </c>
      <c r="S2240">
        <v>2.4309080000000001</v>
      </c>
      <c r="T2240">
        <v>0.1202527</v>
      </c>
      <c r="U2240">
        <v>-1.8147279999999999</v>
      </c>
      <c r="V2240">
        <v>-0.3894164</v>
      </c>
      <c r="W2240">
        <v>0.134592299999999</v>
      </c>
      <c r="X2240">
        <v>0.91117499999999996</v>
      </c>
      <c r="Y2240">
        <v>-0.48800880000000002</v>
      </c>
      <c r="Z2240">
        <v>-4.0387909999999999E-2</v>
      </c>
      <c r="AA2240">
        <v>0.87190380000000001</v>
      </c>
      <c r="AB2240">
        <v>38</v>
      </c>
      <c r="AC2240">
        <v>28.460599999999999</v>
      </c>
      <c r="AD2240">
        <v>1.414666</v>
      </c>
      <c r="AE2240">
        <v>-21.042399999999901</v>
      </c>
      <c r="AF2240">
        <v>-17.4122240002872</v>
      </c>
      <c r="AG2240">
        <v>1.414666</v>
      </c>
      <c r="AH2240">
        <v>30.7507693596434</v>
      </c>
      <c r="AI2240">
        <v>87.707554206141594</v>
      </c>
      <c r="AJ2240">
        <v>119.520145306392</v>
      </c>
      <c r="AK2240">
        <v>35.366603466232299</v>
      </c>
      <c r="AL2240">
        <v>82.264955149225401</v>
      </c>
      <c r="AM2240">
        <v>113.140810922558</v>
      </c>
      <c r="AN2240">
        <v>1.00000005021662</v>
      </c>
    </row>
    <row r="2241" spans="1:40" x14ac:dyDescent="0.25">
      <c r="A2241" t="str">
        <f>"20190312164515191"</f>
        <v>20190312164515191</v>
      </c>
      <c r="B2241" t="str">
        <f>"1552380315183364"</f>
        <v>1552380315183364</v>
      </c>
      <c r="C2241" t="s">
        <v>40</v>
      </c>
      <c r="D2241">
        <v>5.0525890000000002</v>
      </c>
      <c r="E2241">
        <v>0.47384720000000002</v>
      </c>
      <c r="F2241" t="s">
        <v>55</v>
      </c>
      <c r="G2241">
        <v>-463.94959999999998</v>
      </c>
      <c r="H2241">
        <v>2.810152</v>
      </c>
      <c r="I2241">
        <v>197.7544</v>
      </c>
      <c r="J2241">
        <v>-489.70170000000002</v>
      </c>
      <c r="K2241">
        <v>1.1222810000000001</v>
      </c>
      <c r="L2241">
        <v>218.4384</v>
      </c>
      <c r="M2241">
        <v>0.42116379999999998</v>
      </c>
      <c r="N2241">
        <v>0</v>
      </c>
      <c r="O2241">
        <v>-0.90685070000000001</v>
      </c>
      <c r="P2241">
        <v>0.73058040000000002</v>
      </c>
      <c r="Q2241">
        <v>0.132550799999999</v>
      </c>
      <c r="R2241">
        <v>-0.66983780000000004</v>
      </c>
      <c r="S2241">
        <v>2.340179</v>
      </c>
      <c r="T2241">
        <v>0.15240049999999999</v>
      </c>
      <c r="U2241">
        <v>-1.899475</v>
      </c>
      <c r="V2241">
        <v>-0.38512299999999999</v>
      </c>
      <c r="W2241">
        <v>0.1340933</v>
      </c>
      <c r="X2241">
        <v>0.91307130000000003</v>
      </c>
      <c r="Y2241">
        <v>-0.43766119999999997</v>
      </c>
      <c r="Z2241">
        <v>-5.0712609999999998E-2</v>
      </c>
      <c r="AA2241">
        <v>0.89770869999999903</v>
      </c>
      <c r="AB2241">
        <v>38</v>
      </c>
      <c r="AC2241">
        <v>25.752099999999999</v>
      </c>
      <c r="AD2241">
        <v>1.6878709999999999</v>
      </c>
      <c r="AE2241">
        <v>-20.684000000000001</v>
      </c>
      <c r="AF2241">
        <v>-14.605596797869699</v>
      </c>
      <c r="AG2241">
        <v>1.6878709999999999</v>
      </c>
      <c r="AH2241">
        <v>29.529637248886001</v>
      </c>
      <c r="AI2241">
        <v>87.067062379601893</v>
      </c>
      <c r="AJ2241">
        <v>116.31737052053001</v>
      </c>
      <c r="AK2241">
        <v>32.987449770865602</v>
      </c>
      <c r="AL2241">
        <v>82.293806655973896</v>
      </c>
      <c r="AM2241">
        <v>112.86945916476699</v>
      </c>
      <c r="AN2241">
        <v>0.99999996855878903</v>
      </c>
    </row>
    <row r="2242" spans="1:40" x14ac:dyDescent="0.25">
      <c r="A2242" t="str">
        <f>"20190312164515214"</f>
        <v>20190312164515214</v>
      </c>
      <c r="B2242" t="str">
        <f>"1552380315203860"</f>
        <v>1552380315203860</v>
      </c>
      <c r="C2242" t="s">
        <v>40</v>
      </c>
      <c r="D2242">
        <v>4.9250449999999999</v>
      </c>
      <c r="E2242">
        <v>0.4745549</v>
      </c>
      <c r="F2242" t="s">
        <v>55</v>
      </c>
      <c r="G2242">
        <v>-463.11160000000001</v>
      </c>
      <c r="H2242">
        <v>1.6828719999999999</v>
      </c>
      <c r="I2242">
        <v>197.345</v>
      </c>
      <c r="J2242">
        <v>-489.52659999999997</v>
      </c>
      <c r="K2242">
        <v>1.1226719999999999</v>
      </c>
      <c r="L2242">
        <v>218.09</v>
      </c>
      <c r="M2242">
        <v>0.43571140000000003</v>
      </c>
      <c r="N2242">
        <v>0</v>
      </c>
      <c r="O2242">
        <v>-0.89994959999999902</v>
      </c>
      <c r="P2242">
        <v>0.73890009999999995</v>
      </c>
      <c r="Q2242">
        <v>0.13295409999999999</v>
      </c>
      <c r="R2242">
        <v>-0.66056809999999999</v>
      </c>
      <c r="S2242">
        <v>2.3720089999999998</v>
      </c>
      <c r="T2242">
        <v>5.0011399999999998E-2</v>
      </c>
      <c r="U2242">
        <v>-1.8816679999999999</v>
      </c>
      <c r="V2242">
        <v>-0.3820112</v>
      </c>
      <c r="W2242">
        <v>0.1343598</v>
      </c>
      <c r="X2242">
        <v>0.91433850000000005</v>
      </c>
      <c r="Y2242">
        <v>-0.43419980000000002</v>
      </c>
      <c r="Z2242">
        <v>-1.6509360000000001E-2</v>
      </c>
      <c r="AA2242">
        <v>0.9006653</v>
      </c>
      <c r="AB2242">
        <v>37</v>
      </c>
      <c r="AC2242">
        <v>26.4149999999999</v>
      </c>
      <c r="AD2242">
        <v>0.56020000000000003</v>
      </c>
      <c r="AE2242">
        <v>-20.745000000000001</v>
      </c>
      <c r="AF2242">
        <v>-14.7310524099421</v>
      </c>
      <c r="AG2242">
        <v>0.56020000000000003</v>
      </c>
      <c r="AH2242">
        <v>30.174094164085801</v>
      </c>
      <c r="AI2242">
        <v>89.044191143008703</v>
      </c>
      <c r="AJ2242">
        <v>116.02172173912901</v>
      </c>
      <c r="AK2242">
        <v>33.582639678375202</v>
      </c>
      <c r="AL2242">
        <v>82.278398156313301</v>
      </c>
      <c r="AM2242">
        <v>112.675202753319</v>
      </c>
      <c r="AN2242">
        <v>1.0000000026818601</v>
      </c>
    </row>
    <row r="2243" spans="1:40" x14ac:dyDescent="0.25">
      <c r="A2243" t="str">
        <f>"20190312164515237"</f>
        <v>20190312164515237</v>
      </c>
      <c r="B2243" t="str">
        <f>"1552380315234118"</f>
        <v>1552380315234118</v>
      </c>
      <c r="C2243" t="s">
        <v>40</v>
      </c>
      <c r="D2243">
        <v>4.980213</v>
      </c>
      <c r="E2243">
        <v>0.47405140000000001</v>
      </c>
      <c r="F2243" t="s">
        <v>55</v>
      </c>
      <c r="G2243">
        <v>-462.7715</v>
      </c>
      <c r="H2243">
        <v>1.6781029999999999</v>
      </c>
      <c r="I2243">
        <v>197.345</v>
      </c>
      <c r="J2243">
        <v>-489.35250000000002</v>
      </c>
      <c r="K2243">
        <v>1.1230469999999999</v>
      </c>
      <c r="L2243">
        <v>217.7568</v>
      </c>
      <c r="M2243">
        <v>0.45002340000000002</v>
      </c>
      <c r="N2243">
        <v>0</v>
      </c>
      <c r="O2243">
        <v>-0.89287689999999997</v>
      </c>
      <c r="P2243">
        <v>0.74731119999999995</v>
      </c>
      <c r="Q2243">
        <v>0.13598479999999999</v>
      </c>
      <c r="R2243">
        <v>-0.65041059999999995</v>
      </c>
      <c r="S2243">
        <v>2.3926090000000002</v>
      </c>
      <c r="T2243">
        <v>4.967332E-2</v>
      </c>
      <c r="U2243">
        <v>-1.855148</v>
      </c>
      <c r="V2243">
        <v>-0.37964150000000002</v>
      </c>
      <c r="W2243">
        <v>0.1372534</v>
      </c>
      <c r="X2243">
        <v>0.91489549999999997</v>
      </c>
      <c r="Y2243">
        <v>-0.42980420000000003</v>
      </c>
      <c r="Z2243">
        <v>-1.6317350000000001E-2</v>
      </c>
      <c r="AA2243">
        <v>0.90277459999999998</v>
      </c>
      <c r="AB2243">
        <v>37</v>
      </c>
      <c r="AC2243">
        <v>26.581</v>
      </c>
      <c r="AD2243">
        <v>0.55505599999999999</v>
      </c>
      <c r="AE2243">
        <v>-20.411799999999999</v>
      </c>
      <c r="AF2243">
        <v>-14.5456006568539</v>
      </c>
      <c r="AG2243">
        <v>0.55505599999999999</v>
      </c>
      <c r="AH2243">
        <v>30.182788487379099</v>
      </c>
      <c r="AI2243">
        <v>89.0508999790096</v>
      </c>
      <c r="AJ2243">
        <v>115.73021031848501</v>
      </c>
      <c r="AK2243">
        <v>33.509451002749501</v>
      </c>
      <c r="AL2243">
        <v>82.111056410996497</v>
      </c>
      <c r="AM2243">
        <v>112.53630595029</v>
      </c>
      <c r="AN2243">
        <v>0.99999997012702901</v>
      </c>
    </row>
    <row r="2244" spans="1:40" x14ac:dyDescent="0.25">
      <c r="A2244" t="str">
        <f>"20190312164515258"</f>
        <v>20190312164515258</v>
      </c>
      <c r="B2244" t="str">
        <f>"1552380315253636"</f>
        <v>1552380315253636</v>
      </c>
      <c r="C2244" t="s">
        <v>40</v>
      </c>
      <c r="D2244">
        <v>4.7055939999999996</v>
      </c>
      <c r="E2244">
        <v>0.47437879999999899</v>
      </c>
      <c r="F2244" t="s">
        <v>55</v>
      </c>
      <c r="G2244">
        <v>-462.1884</v>
      </c>
      <c r="H2244">
        <v>1.7904580000000001</v>
      </c>
      <c r="I2244">
        <v>197.345</v>
      </c>
      <c r="J2244">
        <v>-489.19200000000001</v>
      </c>
      <c r="K2244">
        <v>1.1233759999999999</v>
      </c>
      <c r="L2244">
        <v>217.4607</v>
      </c>
      <c r="M2244">
        <v>0.46307419999999999</v>
      </c>
      <c r="N2244">
        <v>0</v>
      </c>
      <c r="O2244">
        <v>-0.88617699999999999</v>
      </c>
      <c r="P2244">
        <v>0.75449820000000001</v>
      </c>
      <c r="Q2244">
        <v>0.14090800000000001</v>
      </c>
      <c r="R2244">
        <v>-0.6409975</v>
      </c>
      <c r="S2244">
        <v>2.4205320000000001</v>
      </c>
      <c r="T2244">
        <v>5.9474470000000002E-2</v>
      </c>
      <c r="U2244">
        <v>-1.818848</v>
      </c>
      <c r="V2244">
        <v>-0.37715969999999999</v>
      </c>
      <c r="W2244">
        <v>0.14207929999999999</v>
      </c>
      <c r="X2244">
        <v>0.91518529999999998</v>
      </c>
      <c r="Y2244">
        <v>-0.43016310000000002</v>
      </c>
      <c r="Z2244">
        <v>-1.9463169999999998E-2</v>
      </c>
      <c r="AA2244">
        <v>0.90254129999999999</v>
      </c>
      <c r="AB2244">
        <v>37</v>
      </c>
      <c r="AC2244">
        <v>27.003599999999899</v>
      </c>
      <c r="AD2244">
        <v>0.66708199999999995</v>
      </c>
      <c r="AE2244">
        <v>-20.1157</v>
      </c>
      <c r="AF2244">
        <v>-14.6110194269611</v>
      </c>
      <c r="AG2244">
        <v>0.66708199999999995</v>
      </c>
      <c r="AH2244">
        <v>30.322672006919401</v>
      </c>
      <c r="AI2244">
        <v>88.864622363235696</v>
      </c>
      <c r="AJ2244">
        <v>115.72715341025599</v>
      </c>
      <c r="AK2244">
        <v>33.6658777507579</v>
      </c>
      <c r="AL2244">
        <v>81.831816121514095</v>
      </c>
      <c r="AM2244">
        <v>112.39719255793</v>
      </c>
      <c r="AN2244">
        <v>1.00000005006433</v>
      </c>
    </row>
    <row r="2245" spans="1:40" x14ac:dyDescent="0.25">
      <c r="A2245" t="str">
        <f>"20190312164515279"</f>
        <v>20190312164515279</v>
      </c>
      <c r="B2245" t="str">
        <f>"1552380315274133"</f>
        <v>1552380315274133</v>
      </c>
      <c r="C2245" t="s">
        <v>40</v>
      </c>
      <c r="D2245">
        <v>4.9603129999999904</v>
      </c>
      <c r="E2245">
        <v>0.47394560000000002</v>
      </c>
      <c r="F2245" t="s">
        <v>55</v>
      </c>
      <c r="G2245">
        <v>-461.7629</v>
      </c>
      <c r="H2245">
        <v>2.0303049999999998</v>
      </c>
      <c r="I2245">
        <v>197.345</v>
      </c>
      <c r="J2245">
        <v>-489.01530000000002</v>
      </c>
      <c r="K2245">
        <v>1.1237109999999999</v>
      </c>
      <c r="L2245">
        <v>217.1465</v>
      </c>
      <c r="M2245">
        <v>0.4772747</v>
      </c>
      <c r="N2245">
        <v>0</v>
      </c>
      <c r="O2245">
        <v>-0.87860849999999902</v>
      </c>
      <c r="P2245">
        <v>0.76273179999999996</v>
      </c>
      <c r="Q2245">
        <v>0.1465243</v>
      </c>
      <c r="R2245">
        <v>-0.6298977</v>
      </c>
      <c r="S2245">
        <v>2.4404910000000002</v>
      </c>
      <c r="T2245">
        <v>8.0696340000000005E-2</v>
      </c>
      <c r="U2245">
        <v>-1.7897799999999999</v>
      </c>
      <c r="V2245">
        <v>-0.37520100000000001</v>
      </c>
      <c r="W2245">
        <v>0.1475726</v>
      </c>
      <c r="X2245">
        <v>0.91512110000000002</v>
      </c>
      <c r="Y2245">
        <v>-0.42599710000000002</v>
      </c>
      <c r="Z2245">
        <v>-2.626904E-2</v>
      </c>
      <c r="AA2245">
        <v>0.90434309999999996</v>
      </c>
      <c r="AB2245">
        <v>37</v>
      </c>
      <c r="AC2245">
        <v>27.252400000000002</v>
      </c>
      <c r="AD2245">
        <v>0.90659399999999901</v>
      </c>
      <c r="AE2245">
        <v>-19.801500000000001</v>
      </c>
      <c r="AF2245">
        <v>-14.4847994571395</v>
      </c>
      <c r="AG2245">
        <v>0.90659399999999901</v>
      </c>
      <c r="AH2245">
        <v>30.3865307580074</v>
      </c>
      <c r="AI2245">
        <v>88.457281549142806</v>
      </c>
      <c r="AJ2245">
        <v>115.48643131315001</v>
      </c>
      <c r="AK2245">
        <v>33.674509343147299</v>
      </c>
      <c r="AL2245">
        <v>81.513719110117094</v>
      </c>
      <c r="AM2245">
        <v>112.29370146593099</v>
      </c>
      <c r="AN2245">
        <v>1.0000000451684801</v>
      </c>
    </row>
    <row r="2246" spans="1:40" x14ac:dyDescent="0.25">
      <c r="A2246" t="str">
        <f>"20190312164515303"</f>
        <v>20190312164515303</v>
      </c>
      <c r="B2246" t="str">
        <f>"1552380315293652"</f>
        <v>1552380315293652</v>
      </c>
      <c r="C2246" t="s">
        <v>40</v>
      </c>
      <c r="D2246">
        <v>4.8591730000000002</v>
      </c>
      <c r="E2246">
        <v>0.47361999999999999</v>
      </c>
      <c r="F2246" t="s">
        <v>55</v>
      </c>
      <c r="G2246">
        <v>-461.71789999999999</v>
      </c>
      <c r="H2246">
        <v>2.2908279999999999</v>
      </c>
      <c r="I2246">
        <v>197.7544</v>
      </c>
      <c r="J2246">
        <v>-488.82679999999999</v>
      </c>
      <c r="K2246">
        <v>1.124053</v>
      </c>
      <c r="L2246">
        <v>216.8235</v>
      </c>
      <c r="M2246">
        <v>0.49224000000000001</v>
      </c>
      <c r="N2246">
        <v>0</v>
      </c>
      <c r="O2246">
        <v>-0.87031039999999904</v>
      </c>
      <c r="P2246">
        <v>0.77088579999999995</v>
      </c>
      <c r="Q2246">
        <v>0.15220719999999999</v>
      </c>
      <c r="R2246">
        <v>-0.61852099999999999</v>
      </c>
      <c r="S2246">
        <v>2.4661559999999998</v>
      </c>
      <c r="T2246">
        <v>0.1054446</v>
      </c>
      <c r="U2246">
        <v>-1.7519530000000001</v>
      </c>
      <c r="V2246">
        <v>-0.37247789999999997</v>
      </c>
      <c r="W2246">
        <v>0.1531711</v>
      </c>
      <c r="X2246">
        <v>0.9153135</v>
      </c>
      <c r="Y2246">
        <v>-0.42395260000000001</v>
      </c>
      <c r="Z2246">
        <v>-3.4140759999999999E-2</v>
      </c>
      <c r="AA2246">
        <v>0.90504059999999997</v>
      </c>
      <c r="AB2246">
        <v>37</v>
      </c>
      <c r="AC2246">
        <v>27.108899999999998</v>
      </c>
      <c r="AD2246">
        <v>1.1667749999999999</v>
      </c>
      <c r="AE2246">
        <v>-19.069099999999899</v>
      </c>
      <c r="AF2246">
        <v>-14.190841872339901</v>
      </c>
      <c r="AG2246">
        <v>1.1667749999999999</v>
      </c>
      <c r="AH2246">
        <v>29.906945114889599</v>
      </c>
      <c r="AI2246">
        <v>87.981339491304993</v>
      </c>
      <c r="AJ2246">
        <v>115.384333867617</v>
      </c>
      <c r="AK2246">
        <v>33.123507106757302</v>
      </c>
      <c r="AL2246">
        <v>81.189258462534596</v>
      </c>
      <c r="AM2246">
        <v>112.143385924999</v>
      </c>
      <c r="AN2246">
        <v>0.99999998757293396</v>
      </c>
    </row>
    <row r="2247" spans="1:40" x14ac:dyDescent="0.25">
      <c r="A2247" t="str">
        <f>"20190312164515324"</f>
        <v>20190312164515324</v>
      </c>
      <c r="B2247" t="str">
        <f>"1552380315314152"</f>
        <v>1552380315314152</v>
      </c>
      <c r="C2247" t="s">
        <v>40</v>
      </c>
      <c r="D2247">
        <v>4.7825769999999999</v>
      </c>
      <c r="E2247">
        <v>0.47344770000000003</v>
      </c>
      <c r="F2247" t="s">
        <v>55</v>
      </c>
      <c r="G2247">
        <v>-461.07549999999998</v>
      </c>
      <c r="H2247">
        <v>2.5440580000000002</v>
      </c>
      <c r="I2247">
        <v>197.7544</v>
      </c>
      <c r="J2247">
        <v>-488.64269999999999</v>
      </c>
      <c r="K2247">
        <v>1.124344</v>
      </c>
      <c r="L2247">
        <v>216.52019999999999</v>
      </c>
      <c r="M2247">
        <v>0.50663479999999905</v>
      </c>
      <c r="N2247">
        <v>0</v>
      </c>
      <c r="O2247">
        <v>-0.8620082</v>
      </c>
      <c r="P2247">
        <v>0.77863149999999903</v>
      </c>
      <c r="Q2247">
        <v>0.15183289999999999</v>
      </c>
      <c r="R2247">
        <v>-0.60883469999999995</v>
      </c>
      <c r="S2247">
        <v>2.4923709999999999</v>
      </c>
      <c r="T2247">
        <v>0.12753490000000001</v>
      </c>
      <c r="U2247">
        <v>-1.7126159999999999</v>
      </c>
      <c r="V2247">
        <v>-0.36886380000000002</v>
      </c>
      <c r="W2247">
        <v>0.15279129999999999</v>
      </c>
      <c r="X2247">
        <v>0.91683930000000002</v>
      </c>
      <c r="Y2247">
        <v>-0.42279949999999999</v>
      </c>
      <c r="Z2247">
        <v>-4.1069210000000002E-2</v>
      </c>
      <c r="AA2247">
        <v>0.90529219999999999</v>
      </c>
      <c r="AB2247">
        <v>37</v>
      </c>
      <c r="AC2247">
        <v>27.5672</v>
      </c>
      <c r="AD2247">
        <v>1.4197139999999999</v>
      </c>
      <c r="AE2247">
        <v>-18.765799999999899</v>
      </c>
      <c r="AF2247">
        <v>-14.2318265684663</v>
      </c>
      <c r="AG2247">
        <v>1.4197139999999999</v>
      </c>
      <c r="AH2247">
        <v>30.092202230681</v>
      </c>
      <c r="AI2247">
        <v>87.557842102893503</v>
      </c>
      <c r="AJ2247">
        <v>115.311371746852</v>
      </c>
      <c r="AK2247">
        <v>33.3181798783923</v>
      </c>
      <c r="AL2247">
        <v>81.211278646370204</v>
      </c>
      <c r="AM2247">
        <v>111.91596376945201</v>
      </c>
      <c r="AN2247">
        <v>0.99999999316530996</v>
      </c>
    </row>
    <row r="2248" spans="1:40" x14ac:dyDescent="0.25">
      <c r="A2248" t="str">
        <f>"20190312164515348"</f>
        <v>20190312164515348</v>
      </c>
      <c r="B2248" t="str">
        <f>"1552380315343429"</f>
        <v>1552380315343429</v>
      </c>
      <c r="C2248" t="s">
        <v>40</v>
      </c>
      <c r="D2248">
        <v>5.0478560000000003</v>
      </c>
      <c r="E2248">
        <v>0.47344530000000001</v>
      </c>
      <c r="F2248" t="s">
        <v>55</v>
      </c>
      <c r="G2248">
        <v>-460.48</v>
      </c>
      <c r="H2248">
        <v>2.3903129999999999</v>
      </c>
      <c r="I2248">
        <v>197.7544</v>
      </c>
      <c r="J2248">
        <v>-488.44529999999997</v>
      </c>
      <c r="K2248">
        <v>1.124593</v>
      </c>
      <c r="L2248">
        <v>216.20679999999999</v>
      </c>
      <c r="M2248">
        <v>0.52183400000000002</v>
      </c>
      <c r="N2248">
        <v>0</v>
      </c>
      <c r="O2248">
        <v>-0.85289090000000001</v>
      </c>
      <c r="P2248">
        <v>0.78715100000000005</v>
      </c>
      <c r="Q2248">
        <v>0.146872799999999</v>
      </c>
      <c r="R2248">
        <v>-0.59901789999999999</v>
      </c>
      <c r="S2248">
        <v>2.5186160000000002</v>
      </c>
      <c r="T2248">
        <v>0.1132195</v>
      </c>
      <c r="U2248">
        <v>-1.6782379999999999</v>
      </c>
      <c r="V2248">
        <v>-0.3648285</v>
      </c>
      <c r="W2248">
        <v>0.14786550000000001</v>
      </c>
      <c r="X2248">
        <v>0.91925840000000003</v>
      </c>
      <c r="Y2248">
        <v>-0.41983189999999998</v>
      </c>
      <c r="Z2248">
        <v>-3.6187009999999999E-2</v>
      </c>
      <c r="AA2248">
        <v>0.90688020000000003</v>
      </c>
      <c r="AB2248">
        <v>37</v>
      </c>
      <c r="AC2248">
        <v>27.9652999999999</v>
      </c>
      <c r="AD2248">
        <v>1.26572</v>
      </c>
      <c r="AE2248">
        <v>-18.452399999999901</v>
      </c>
      <c r="AF2248">
        <v>-14.2038838024417</v>
      </c>
      <c r="AG2248">
        <v>1.26572</v>
      </c>
      <c r="AH2248">
        <v>30.291937980278799</v>
      </c>
      <c r="AI2248">
        <v>87.833444060686304</v>
      </c>
      <c r="AJ2248">
        <v>115.12187144846099</v>
      </c>
      <c r="AK2248">
        <v>33.480649169225003</v>
      </c>
      <c r="AL2248">
        <v>81.496750838457103</v>
      </c>
      <c r="AM2248">
        <v>111.64677324711</v>
      </c>
      <c r="AN2248">
        <v>1.00000002323652</v>
      </c>
    </row>
    <row r="2249" spans="1:40" x14ac:dyDescent="0.25">
      <c r="A2249" t="str">
        <f>"20190312164515368"</f>
        <v>20190312164515368</v>
      </c>
      <c r="B2249" t="str">
        <f>"1552380315363925"</f>
        <v>1552380315363925</v>
      </c>
      <c r="C2249" t="s">
        <v>40</v>
      </c>
      <c r="D2249">
        <v>4.9744080000000004</v>
      </c>
      <c r="E2249">
        <v>0.47318900000000003</v>
      </c>
      <c r="F2249" t="s">
        <v>55</v>
      </c>
      <c r="G2249">
        <v>-459.8623</v>
      </c>
      <c r="H2249">
        <v>2.2823540000000002</v>
      </c>
      <c r="I2249">
        <v>197.7544</v>
      </c>
      <c r="J2249">
        <v>-488.25439999999998</v>
      </c>
      <c r="K2249">
        <v>1.1248209999999901</v>
      </c>
      <c r="L2249">
        <v>215.9151</v>
      </c>
      <c r="M2249">
        <v>0.53628549999999997</v>
      </c>
      <c r="N2249">
        <v>0</v>
      </c>
      <c r="O2249">
        <v>-0.84387649999999903</v>
      </c>
      <c r="P2249">
        <v>0.79619649999999997</v>
      </c>
      <c r="Q2249">
        <v>0.14043369999999999</v>
      </c>
      <c r="R2249">
        <v>-0.58851489999999995</v>
      </c>
      <c r="S2249">
        <v>2.5428470000000001</v>
      </c>
      <c r="T2249">
        <v>0.1030012</v>
      </c>
      <c r="U2249">
        <v>-1.641586</v>
      </c>
      <c r="V2249">
        <v>-0.36219249999999997</v>
      </c>
      <c r="W2249">
        <v>0.14142750000000001</v>
      </c>
      <c r="X2249">
        <v>0.92131149999999995</v>
      </c>
      <c r="Y2249">
        <v>-0.41764970000000001</v>
      </c>
      <c r="Z2249">
        <v>-3.2701239999999999E-2</v>
      </c>
      <c r="AA2249">
        <v>0.90801949999999998</v>
      </c>
      <c r="AB2249">
        <v>37</v>
      </c>
      <c r="AC2249">
        <v>28.3920999999999</v>
      </c>
      <c r="AD2249">
        <v>1.1575329999999999</v>
      </c>
      <c r="AE2249">
        <v>-18.160699999999899</v>
      </c>
      <c r="AF2249">
        <v>-14.2052723444381</v>
      </c>
      <c r="AG2249">
        <v>1.1575329999999999</v>
      </c>
      <c r="AH2249">
        <v>30.519789861286</v>
      </c>
      <c r="AI2249">
        <v>88.030651454024607</v>
      </c>
      <c r="AJ2249">
        <v>114.959370470613</v>
      </c>
      <c r="AK2249">
        <v>33.683634278426702</v>
      </c>
      <c r="AL2249">
        <v>81.869542161882705</v>
      </c>
      <c r="AM2249">
        <v>111.46113350327801</v>
      </c>
      <c r="AN2249">
        <v>1.00000001242237</v>
      </c>
    </row>
    <row r="2250" spans="1:40" x14ac:dyDescent="0.25">
      <c r="A2250" t="str">
        <f>"20190312164515391"</f>
        <v>20190312164515391</v>
      </c>
      <c r="B2250" t="str">
        <f>"1552380315383445"</f>
        <v>1552380315383445</v>
      </c>
      <c r="C2250" t="s">
        <v>40</v>
      </c>
      <c r="D2250">
        <v>4.6511389999999997</v>
      </c>
      <c r="E2250">
        <v>0.47256120000000001</v>
      </c>
      <c r="F2250" t="s">
        <v>55</v>
      </c>
      <c r="G2250">
        <v>-458.7527</v>
      </c>
      <c r="H2250">
        <v>1.957389</v>
      </c>
      <c r="I2250">
        <v>197.51820000000001</v>
      </c>
      <c r="J2250">
        <v>-488.0496</v>
      </c>
      <c r="K2250">
        <v>1.125057</v>
      </c>
      <c r="L2250">
        <v>215.61449999999999</v>
      </c>
      <c r="M2250">
        <v>0.55149890000000001</v>
      </c>
      <c r="N2250">
        <v>0</v>
      </c>
      <c r="O2250">
        <v>-0.8340109</v>
      </c>
      <c r="P2250">
        <v>0.8062511</v>
      </c>
      <c r="Q2250">
        <v>0.13818039999999901</v>
      </c>
      <c r="R2250">
        <v>-0.57520919999999998</v>
      </c>
      <c r="S2250">
        <v>2.5704039999999999</v>
      </c>
      <c r="T2250">
        <v>7.2542190000000006E-2</v>
      </c>
      <c r="U2250">
        <v>-1.602859</v>
      </c>
      <c r="V2250">
        <v>-0.36111470000000001</v>
      </c>
      <c r="W2250">
        <v>0.13911129999999999</v>
      </c>
      <c r="X2250">
        <v>0.92208690000000004</v>
      </c>
      <c r="Y2250">
        <v>-0.41567340000000003</v>
      </c>
      <c r="Z2250">
        <v>-2.2845600000000001E-2</v>
      </c>
      <c r="AA2250">
        <v>0.90922700000000001</v>
      </c>
      <c r="AB2250">
        <v>37</v>
      </c>
      <c r="AC2250">
        <v>29.296899999999901</v>
      </c>
      <c r="AD2250">
        <v>0.83233199999999996</v>
      </c>
      <c r="AE2250">
        <v>-18.0962999999999</v>
      </c>
      <c r="AF2250">
        <v>-14.4473899610917</v>
      </c>
      <c r="AG2250">
        <v>0.83233199999999996</v>
      </c>
      <c r="AH2250">
        <v>31.2357648663051</v>
      </c>
      <c r="AI2250">
        <v>88.614567549912096</v>
      </c>
      <c r="AJ2250">
        <v>114.82182378530899</v>
      </c>
      <c r="AK2250">
        <v>34.4251777051213</v>
      </c>
      <c r="AL2250">
        <v>82.003575844039503</v>
      </c>
      <c r="AM2250">
        <v>111.386683245553</v>
      </c>
      <c r="AN2250">
        <v>1.00000001574769</v>
      </c>
    </row>
    <row r="2251" spans="1:40" x14ac:dyDescent="0.25">
      <c r="A2251" t="str">
        <f>"20190312164515414"</f>
        <v>20190312164515414</v>
      </c>
      <c r="B2251" t="str">
        <f>"1552380315403940"</f>
        <v>1552380315403940</v>
      </c>
      <c r="C2251" t="s">
        <v>40</v>
      </c>
      <c r="D2251">
        <v>4.8028629999999897</v>
      </c>
      <c r="E2251">
        <v>0.47204380000000001</v>
      </c>
      <c r="F2251" t="s">
        <v>56</v>
      </c>
      <c r="G2251">
        <v>-456.5059</v>
      </c>
      <c r="H2251">
        <v>1.5391539999999999</v>
      </c>
      <c r="I2251">
        <v>196.77889999999999</v>
      </c>
      <c r="J2251">
        <v>-487.83600000000001</v>
      </c>
      <c r="K2251">
        <v>1.125284</v>
      </c>
      <c r="L2251">
        <v>215.31280000000001</v>
      </c>
      <c r="M2251">
        <v>0.56704030000000005</v>
      </c>
      <c r="N2251">
        <v>0</v>
      </c>
      <c r="O2251">
        <v>-0.82352069999999999</v>
      </c>
      <c r="P2251">
        <v>0.81335550000000001</v>
      </c>
      <c r="Q2251">
        <v>0.1379068</v>
      </c>
      <c r="R2251">
        <v>-0.56518570000000001</v>
      </c>
      <c r="S2251">
        <v>2.6052249999999999</v>
      </c>
      <c r="T2251">
        <v>3.4202099999999999E-2</v>
      </c>
      <c r="U2251">
        <v>-1.5556490000000001</v>
      </c>
      <c r="V2251">
        <v>-0.3553366</v>
      </c>
      <c r="W2251">
        <v>0.13900879999999999</v>
      </c>
      <c r="X2251">
        <v>0.92434439999999995</v>
      </c>
      <c r="Y2251">
        <v>-0.416348</v>
      </c>
      <c r="Z2251">
        <v>-1.0677239999999999E-2</v>
      </c>
      <c r="AA2251">
        <v>0.90914269999999997</v>
      </c>
      <c r="AB2251">
        <v>37</v>
      </c>
      <c r="AC2251">
        <v>31.330100000000002</v>
      </c>
      <c r="AD2251">
        <v>0.41387000000000002</v>
      </c>
      <c r="AE2251">
        <v>-18.533899999999999</v>
      </c>
      <c r="AF2251">
        <v>-15.291674235311101</v>
      </c>
      <c r="AG2251">
        <v>0.41387000000000002</v>
      </c>
      <c r="AH2251">
        <v>33.028817780256098</v>
      </c>
      <c r="AI2251">
        <v>89.348517359172902</v>
      </c>
      <c r="AJ2251">
        <v>114.84318178444499</v>
      </c>
      <c r="AK2251">
        <v>36.399304845795299</v>
      </c>
      <c r="AL2251">
        <v>82.0095066199424</v>
      </c>
      <c r="AM2251">
        <v>111.027765082168</v>
      </c>
      <c r="AN2251">
        <v>1.0000000577941699</v>
      </c>
    </row>
    <row r="2252" spans="1:40" x14ac:dyDescent="0.25">
      <c r="A2252" t="str">
        <f>"20190312164515441"</f>
        <v>20190312164515441</v>
      </c>
      <c r="B2252" t="str">
        <f>"1552380315434198"</f>
        <v>1552380315434198</v>
      </c>
      <c r="C2252" t="s">
        <v>40</v>
      </c>
      <c r="D2252">
        <v>4.7277509999999996</v>
      </c>
      <c r="E2252">
        <v>0.47203089999999998</v>
      </c>
      <c r="F2252" t="s">
        <v>56</v>
      </c>
      <c r="G2252">
        <v>-456.5059</v>
      </c>
      <c r="H2252">
        <v>1.2195240000000001</v>
      </c>
      <c r="I2252">
        <v>197.26509999999999</v>
      </c>
      <c r="J2252">
        <v>-487.58769999999998</v>
      </c>
      <c r="K2252">
        <v>1.125516</v>
      </c>
      <c r="L2252">
        <v>214.97620000000001</v>
      </c>
      <c r="M2252">
        <v>0.58466289999999999</v>
      </c>
      <c r="N2252">
        <v>0</v>
      </c>
      <c r="O2252">
        <v>-0.81110150000000003</v>
      </c>
      <c r="P2252">
        <v>0.81935990000000003</v>
      </c>
      <c r="Q2252">
        <v>0.1400402</v>
      </c>
      <c r="R2252">
        <v>-0.55591239999999997</v>
      </c>
      <c r="S2252">
        <v>2.6331180000000001</v>
      </c>
      <c r="T2252">
        <v>7.9218150000000005E-3</v>
      </c>
      <c r="U2252">
        <v>-1.5167999999999999</v>
      </c>
      <c r="V2252">
        <v>-0.34575879999999998</v>
      </c>
      <c r="W2252">
        <v>0.1415082</v>
      </c>
      <c r="X2252">
        <v>0.92759170000000002</v>
      </c>
      <c r="Y2252">
        <v>-0.41104970000000002</v>
      </c>
      <c r="Z2252">
        <v>-2.4425689999999999E-3</v>
      </c>
      <c r="AA2252">
        <v>0.91160960000000002</v>
      </c>
      <c r="AB2252">
        <v>37</v>
      </c>
      <c r="AC2252">
        <v>31.081799999999902</v>
      </c>
      <c r="AD2252">
        <v>9.4007999999999994E-2</v>
      </c>
      <c r="AE2252">
        <v>-17.711099999999998</v>
      </c>
      <c r="AF2252">
        <v>-14.8574762409282</v>
      </c>
      <c r="AG2252">
        <v>9.4007999999999994E-2</v>
      </c>
      <c r="AH2252">
        <v>32.542266045486201</v>
      </c>
      <c r="AI2252">
        <v>89.849434680762101</v>
      </c>
      <c r="AJ2252">
        <v>114.539512330965</v>
      </c>
      <c r="AK2252">
        <v>35.773628794532698</v>
      </c>
      <c r="AL2252">
        <v>81.864871645481102</v>
      </c>
      <c r="AM2252">
        <v>110.442885319846</v>
      </c>
      <c r="AN2252">
        <v>1.0000000401767799</v>
      </c>
    </row>
    <row r="2253" spans="1:40" x14ac:dyDescent="0.25">
      <c r="A2253" t="str">
        <f>"20190312164515461"</f>
        <v>20190312164515461</v>
      </c>
      <c r="B2253" t="str">
        <f>"1552380315453717"</f>
        <v>1552380315453717</v>
      </c>
      <c r="C2253" t="s">
        <v>40</v>
      </c>
      <c r="D2253">
        <v>4.7379949999999997</v>
      </c>
      <c r="E2253">
        <v>0.47207250000000001</v>
      </c>
      <c r="F2253" t="s">
        <v>56</v>
      </c>
      <c r="G2253">
        <v>-456.5059</v>
      </c>
      <c r="H2253">
        <v>1.4778039999999999</v>
      </c>
      <c r="I2253">
        <v>197.6105</v>
      </c>
      <c r="J2253">
        <v>-487.38499999999999</v>
      </c>
      <c r="K2253">
        <v>1.125672</v>
      </c>
      <c r="L2253">
        <v>214.71190000000001</v>
      </c>
      <c r="M2253">
        <v>0.59870590000000001</v>
      </c>
      <c r="N2253">
        <v>0</v>
      </c>
      <c r="O2253">
        <v>-0.80078970000000005</v>
      </c>
      <c r="P2253">
        <v>0.82261569999999995</v>
      </c>
      <c r="Q2253">
        <v>0.1386722</v>
      </c>
      <c r="R2253">
        <v>-0.55142899999999995</v>
      </c>
      <c r="S2253">
        <v>2.6512449999999999</v>
      </c>
      <c r="T2253">
        <v>3.0051230000000002E-2</v>
      </c>
      <c r="U2253">
        <v>-1.481277</v>
      </c>
      <c r="V2253">
        <v>-0.3348179</v>
      </c>
      <c r="W2253">
        <v>0.14061499999999999</v>
      </c>
      <c r="X2253">
        <v>0.93173189999999995</v>
      </c>
      <c r="Y2253">
        <v>-0.40707539999999998</v>
      </c>
      <c r="Z2253">
        <v>-9.1852540000000003E-3</v>
      </c>
      <c r="AA2253">
        <v>0.91334839999999995</v>
      </c>
      <c r="AB2253">
        <v>37</v>
      </c>
      <c r="AC2253">
        <v>30.879099999999902</v>
      </c>
      <c r="AD2253">
        <v>0.352132</v>
      </c>
      <c r="AE2253">
        <v>-17.101400000000002</v>
      </c>
      <c r="AF2253">
        <v>-14.4895945232294</v>
      </c>
      <c r="AG2253">
        <v>0.352132</v>
      </c>
      <c r="AH2253">
        <v>32.183542260701699</v>
      </c>
      <c r="AI2253">
        <v>89.428387161583899</v>
      </c>
      <c r="AJ2253">
        <v>114.238108610944</v>
      </c>
      <c r="AK2253">
        <v>35.296639200345901</v>
      </c>
      <c r="AL2253">
        <v>81.916564548126203</v>
      </c>
      <c r="AM2253">
        <v>109.765902380105</v>
      </c>
      <c r="AN2253">
        <v>0.999999968931509</v>
      </c>
    </row>
    <row r="2254" spans="1:40" x14ac:dyDescent="0.25">
      <c r="A2254" t="str">
        <f>"20190312164515494"</f>
        <v>20190312164515494</v>
      </c>
      <c r="B2254" t="str">
        <f>"1552380315483973"</f>
        <v>1552380315483973</v>
      </c>
      <c r="C2254" t="s">
        <v>40</v>
      </c>
      <c r="D2254">
        <v>4.9329470000000004</v>
      </c>
      <c r="E2254">
        <v>0.4719757</v>
      </c>
      <c r="F2254" t="s">
        <v>56</v>
      </c>
      <c r="G2254">
        <v>-456.5059</v>
      </c>
      <c r="H2254">
        <v>1.544411</v>
      </c>
      <c r="I2254">
        <v>197.72329999999999</v>
      </c>
      <c r="J2254">
        <v>-487.05369999999999</v>
      </c>
      <c r="K2254">
        <v>1.125882</v>
      </c>
      <c r="L2254">
        <v>214.29929999999999</v>
      </c>
      <c r="M2254">
        <v>0.62095250000000002</v>
      </c>
      <c r="N2254">
        <v>0</v>
      </c>
      <c r="O2254">
        <v>-0.78366119999999995</v>
      </c>
      <c r="P2254">
        <v>0.83088869999999904</v>
      </c>
      <c r="Q2254">
        <v>0.13322870000000001</v>
      </c>
      <c r="R2254">
        <v>-0.54025380000000001</v>
      </c>
      <c r="S2254">
        <v>2.6598820000000001</v>
      </c>
      <c r="T2254">
        <v>3.6071060000000002E-2</v>
      </c>
      <c r="U2254">
        <v>-1.4633640000000001</v>
      </c>
      <c r="V2254">
        <v>-0.32176450000000001</v>
      </c>
      <c r="W2254">
        <v>0.13575880000000001</v>
      </c>
      <c r="X2254">
        <v>0.93703639999999999</v>
      </c>
      <c r="Y2254">
        <v>-0.3872874</v>
      </c>
      <c r="Z2254">
        <v>-1.079896E-2</v>
      </c>
      <c r="AA2254">
        <v>0.92189580000000004</v>
      </c>
      <c r="AB2254">
        <v>37</v>
      </c>
      <c r="AC2254">
        <v>30.547799999999899</v>
      </c>
      <c r="AD2254">
        <v>0.41852899999999899</v>
      </c>
      <c r="AE2254">
        <v>-16.575999999999901</v>
      </c>
      <c r="AF2254">
        <v>-13.646238479946</v>
      </c>
      <c r="AG2254">
        <v>0.41852899999999899</v>
      </c>
      <c r="AH2254">
        <v>31.9587512166949</v>
      </c>
      <c r="AI2254">
        <v>89.309968453066702</v>
      </c>
      <c r="AJ2254">
        <v>113.12225731205299</v>
      </c>
      <c r="AK2254">
        <v>34.752795146664099</v>
      </c>
      <c r="AL2254">
        <v>82.197500342278801</v>
      </c>
      <c r="AM2254">
        <v>108.951716757103</v>
      </c>
      <c r="AN2254">
        <v>1.0000000300813201</v>
      </c>
    </row>
    <row r="2255" spans="1:40" x14ac:dyDescent="0.25">
      <c r="A2255" t="str">
        <f>"20190312164515517"</f>
        <v>20190312164515517</v>
      </c>
      <c r="B2255" t="str">
        <f>"1552380315514229"</f>
        <v>1552380315514229</v>
      </c>
      <c r="C2255" t="s">
        <v>40</v>
      </c>
      <c r="D2255">
        <v>4.7798959999999999</v>
      </c>
      <c r="E2255">
        <v>0.47201090000000001</v>
      </c>
      <c r="F2255" t="s">
        <v>56</v>
      </c>
      <c r="G2255">
        <v>-456.5059</v>
      </c>
      <c r="H2255">
        <v>1.269833</v>
      </c>
      <c r="I2255">
        <v>198.0583</v>
      </c>
      <c r="J2255">
        <v>-486.827</v>
      </c>
      <c r="K2255">
        <v>1.1260289999999999</v>
      </c>
      <c r="L2255">
        <v>214.0301</v>
      </c>
      <c r="M2255">
        <v>0.63566880000000003</v>
      </c>
      <c r="N2255">
        <v>0</v>
      </c>
      <c r="O2255">
        <v>-0.77176940000000005</v>
      </c>
      <c r="P2255">
        <v>0.83676249999999996</v>
      </c>
      <c r="Q2255">
        <v>0.133521</v>
      </c>
      <c r="R2255">
        <v>-0.53103730000000005</v>
      </c>
      <c r="S2255">
        <v>2.6815799999999999</v>
      </c>
      <c r="T2255">
        <v>1.263797E-2</v>
      </c>
      <c r="U2255">
        <v>-1.4256740000000001</v>
      </c>
      <c r="V2255">
        <v>-0.31440190000000001</v>
      </c>
      <c r="W2255">
        <v>0.1363965</v>
      </c>
      <c r="X2255">
        <v>0.93944000000000005</v>
      </c>
      <c r="Y2255">
        <v>-0.38309209999999999</v>
      </c>
      <c r="Z2255">
        <v>-3.7388899999999999E-3</v>
      </c>
      <c r="AA2255">
        <v>0.92370260000000004</v>
      </c>
      <c r="AB2255">
        <v>36</v>
      </c>
      <c r="AC2255">
        <v>30.321100000000001</v>
      </c>
      <c r="AD2255">
        <v>0.14380399999999899</v>
      </c>
      <c r="AE2255">
        <v>-15.9718</v>
      </c>
      <c r="AF2255">
        <v>-13.249857826505499</v>
      </c>
      <c r="AG2255">
        <v>0.14380399999999899</v>
      </c>
      <c r="AH2255">
        <v>31.604863707013301</v>
      </c>
      <c r="AI2255">
        <v>89.759575791602103</v>
      </c>
      <c r="AJ2255">
        <v>112.745125624116</v>
      </c>
      <c r="AK2255">
        <v>34.270203120960801</v>
      </c>
      <c r="AL2255">
        <v>82.160619820217804</v>
      </c>
      <c r="AM2255">
        <v>108.503821394404</v>
      </c>
      <c r="AN2255">
        <v>1.00000003676792</v>
      </c>
    </row>
    <row r="2256" spans="1:40" x14ac:dyDescent="0.25">
      <c r="A2256" t="str">
        <f>"20190312164515537"</f>
        <v>20190312164515537</v>
      </c>
      <c r="B2256" t="str">
        <f>"1552380315533749"</f>
        <v>1552380315533749</v>
      </c>
      <c r="C2256" t="s">
        <v>40</v>
      </c>
      <c r="D2256">
        <v>4.9289959999999997</v>
      </c>
      <c r="E2256">
        <v>0.4719623</v>
      </c>
      <c r="F2256" t="s">
        <v>56</v>
      </c>
      <c r="G2256">
        <v>-456.5059</v>
      </c>
      <c r="H2256">
        <v>1.331051</v>
      </c>
      <c r="I2256">
        <v>198.31030000000001</v>
      </c>
      <c r="J2256">
        <v>-486.6046</v>
      </c>
      <c r="K2256">
        <v>1.126188</v>
      </c>
      <c r="L2256">
        <v>213.77539999999999</v>
      </c>
      <c r="M2256">
        <v>0.64970299999999903</v>
      </c>
      <c r="N2256">
        <v>0</v>
      </c>
      <c r="O2256">
        <v>-0.75999019999999995</v>
      </c>
      <c r="P2256">
        <v>0.84194469999999999</v>
      </c>
      <c r="Q2256">
        <v>0.1366329</v>
      </c>
      <c r="R2256">
        <v>-0.52197789999999999</v>
      </c>
      <c r="S2256">
        <v>2.6954349999999998</v>
      </c>
      <c r="T2256">
        <v>1.8227219999999999E-2</v>
      </c>
      <c r="U2256">
        <v>-1.3974299999999999</v>
      </c>
      <c r="V2256">
        <v>-0.30710739999999997</v>
      </c>
      <c r="W2256">
        <v>0.13986390000000001</v>
      </c>
      <c r="X2256">
        <v>0.94134119999999999</v>
      </c>
      <c r="Y2256">
        <v>-0.3757105</v>
      </c>
      <c r="Z2256">
        <v>-5.3238419999999996E-3</v>
      </c>
      <c r="AA2256">
        <v>0.92672180000000004</v>
      </c>
      <c r="AB2256">
        <v>36</v>
      </c>
      <c r="AC2256">
        <v>30.098700000000001</v>
      </c>
      <c r="AD2256">
        <v>0.20486299999999999</v>
      </c>
      <c r="AE2256">
        <v>-15.4650999999999</v>
      </c>
      <c r="AF2256">
        <v>-12.828455300945899</v>
      </c>
      <c r="AG2256">
        <v>0.20486299999999999</v>
      </c>
      <c r="AH2256">
        <v>31.3121040686895</v>
      </c>
      <c r="AI2256">
        <v>89.653123512197993</v>
      </c>
      <c r="AJ2256">
        <v>112.278734283332</v>
      </c>
      <c r="AK2256">
        <v>33.838721835577303</v>
      </c>
      <c r="AL2256">
        <v>81.960029681296902</v>
      </c>
      <c r="AM2256">
        <v>108.06863116274</v>
      </c>
      <c r="AN2256">
        <v>1.0000000602376999</v>
      </c>
    </row>
    <row r="2257" spans="1:40" x14ac:dyDescent="0.25">
      <c r="A2257" t="str">
        <f>"20190312164515560"</f>
        <v>20190312164515560</v>
      </c>
      <c r="B2257" t="str">
        <f>"1552380315554245"</f>
        <v>1552380315554245</v>
      </c>
      <c r="C2257" t="s">
        <v>40</v>
      </c>
      <c r="D2257">
        <v>4.8739749999999997</v>
      </c>
      <c r="E2257">
        <v>0.47178969999999998</v>
      </c>
      <c r="F2257" t="s">
        <v>56</v>
      </c>
      <c r="G2257">
        <v>-456.5059</v>
      </c>
      <c r="H2257">
        <v>1.464974</v>
      </c>
      <c r="I2257">
        <v>198.56379999999999</v>
      </c>
      <c r="J2257">
        <v>-486.37049999999999</v>
      </c>
      <c r="K2257">
        <v>1.126322</v>
      </c>
      <c r="L2257">
        <v>213.5171</v>
      </c>
      <c r="M2257">
        <v>0.66403679999999998</v>
      </c>
      <c r="N2257">
        <v>0</v>
      </c>
      <c r="O2257">
        <v>-0.74749589999999999</v>
      </c>
      <c r="P2257">
        <v>0.84749619999999903</v>
      </c>
      <c r="Q2257">
        <v>0.13958499999999999</v>
      </c>
      <c r="R2257">
        <v>-0.5121192</v>
      </c>
      <c r="S2257">
        <v>2.7092900000000002</v>
      </c>
      <c r="T2257">
        <v>3.0496949999999998E-2</v>
      </c>
      <c r="U2257">
        <v>-1.3692470000000001</v>
      </c>
      <c r="V2257">
        <v>-0.29998409999999998</v>
      </c>
      <c r="W2257">
        <v>0.1431762</v>
      </c>
      <c r="X2257">
        <v>0.94313840000000004</v>
      </c>
      <c r="Y2257">
        <v>-0.36762879999999998</v>
      </c>
      <c r="Z2257">
        <v>-8.7813490000000008E-3</v>
      </c>
      <c r="AA2257">
        <v>0.92993119999999996</v>
      </c>
      <c r="AB2257">
        <v>36</v>
      </c>
      <c r="AC2257">
        <v>29.864599999999999</v>
      </c>
      <c r="AD2257">
        <v>0.33865199999999901</v>
      </c>
      <c r="AE2257">
        <v>-14.9533</v>
      </c>
      <c r="AF2257">
        <v>-12.3947408427443</v>
      </c>
      <c r="AG2257">
        <v>0.33865199999999901</v>
      </c>
      <c r="AH2257">
        <v>31.010265695489199</v>
      </c>
      <c r="AI2257">
        <v>89.419005360699202</v>
      </c>
      <c r="AJ2257">
        <v>111.78649073926501</v>
      </c>
      <c r="AK2257">
        <v>33.397318219293098</v>
      </c>
      <c r="AL2257">
        <v>81.768318492435597</v>
      </c>
      <c r="AM2257">
        <v>107.644310119507</v>
      </c>
      <c r="AN2257">
        <v>0.99999996302690397</v>
      </c>
    </row>
    <row r="2258" spans="1:40" x14ac:dyDescent="0.25">
      <c r="A2258" t="str">
        <f>"20190312164515582"</f>
        <v>20190312164515582</v>
      </c>
      <c r="B2258" t="str">
        <f>"1552380315573765"</f>
        <v>1552380315573765</v>
      </c>
      <c r="C2258" t="s">
        <v>40</v>
      </c>
      <c r="D2258">
        <v>4.8463969999999996</v>
      </c>
      <c r="E2258">
        <v>0.4715377</v>
      </c>
      <c r="F2258" t="s">
        <v>56</v>
      </c>
      <c r="G2258">
        <v>-456.5059</v>
      </c>
      <c r="H2258">
        <v>1.5924480000000001</v>
      </c>
      <c r="I2258">
        <v>198.87</v>
      </c>
      <c r="J2258">
        <v>-486.12790000000001</v>
      </c>
      <c r="K2258">
        <v>1.126439</v>
      </c>
      <c r="L2258">
        <v>213.25919999999999</v>
      </c>
      <c r="M2258">
        <v>0.67843369999999903</v>
      </c>
      <c r="N2258">
        <v>0</v>
      </c>
      <c r="O2258">
        <v>-0.73445150000000003</v>
      </c>
      <c r="P2258">
        <v>0.85339169999999998</v>
      </c>
      <c r="Q2258">
        <v>0.14275959999999999</v>
      </c>
      <c r="R2258">
        <v>-0.50134060000000003</v>
      </c>
      <c r="S2258">
        <v>2.7251590000000001</v>
      </c>
      <c r="T2258">
        <v>4.2535660000000003E-2</v>
      </c>
      <c r="U2258">
        <v>-1.3365479999999901</v>
      </c>
      <c r="V2258">
        <v>-0.29338750000000002</v>
      </c>
      <c r="W2258">
        <v>0.14669199999999999</v>
      </c>
      <c r="X2258">
        <v>0.94467199999999996</v>
      </c>
      <c r="Y2258">
        <v>-0.36064239999999997</v>
      </c>
      <c r="Z2258">
        <v>-1.206759E-2</v>
      </c>
      <c r="AA2258">
        <v>0.93262610000000001</v>
      </c>
      <c r="AB2258">
        <v>36</v>
      </c>
      <c r="AC2258">
        <v>29.622</v>
      </c>
      <c r="AD2258">
        <v>0.46600899999999901</v>
      </c>
      <c r="AE2258">
        <v>-14.389199999999899</v>
      </c>
      <c r="AF2258">
        <v>-11.993254314269199</v>
      </c>
      <c r="AG2258">
        <v>0.46600899999999901</v>
      </c>
      <c r="AH2258">
        <v>30.663326845570701</v>
      </c>
      <c r="AI2258">
        <v>89.189117884788601</v>
      </c>
      <c r="AJ2258">
        <v>111.36180856737499</v>
      </c>
      <c r="AK2258">
        <v>32.928633841584102</v>
      </c>
      <c r="AL2258">
        <v>81.564728349502801</v>
      </c>
      <c r="AM2258">
        <v>107.253266314359</v>
      </c>
      <c r="AN2258">
        <v>0.99999997780212402</v>
      </c>
    </row>
    <row r="2259" spans="1:40" x14ac:dyDescent="0.25">
      <c r="A2259" t="str">
        <f>"20190312164515604"</f>
        <v>20190312164515604</v>
      </c>
      <c r="B2259" t="str">
        <f>"1552380315594261"</f>
        <v>1552380315594261</v>
      </c>
      <c r="C2259" t="s">
        <v>40</v>
      </c>
      <c r="D2259">
        <v>4.8948340000000004</v>
      </c>
      <c r="E2259">
        <v>0.47125359999999999</v>
      </c>
      <c r="F2259" t="s">
        <v>56</v>
      </c>
      <c r="G2259">
        <v>-456.5059</v>
      </c>
      <c r="H2259">
        <v>1.702054</v>
      </c>
      <c r="I2259">
        <v>199.17570000000001</v>
      </c>
      <c r="J2259">
        <v>-485.88310000000001</v>
      </c>
      <c r="K2259">
        <v>1.1265529999999999</v>
      </c>
      <c r="L2259">
        <v>213.0086</v>
      </c>
      <c r="M2259">
        <v>0.69249300000000003</v>
      </c>
      <c r="N2259">
        <v>0</v>
      </c>
      <c r="O2259">
        <v>-0.72120859999999998</v>
      </c>
      <c r="P2259">
        <v>0.85962289999999997</v>
      </c>
      <c r="Q2259">
        <v>0.14601710000000001</v>
      </c>
      <c r="R2259">
        <v>-0.4896201</v>
      </c>
      <c r="S2259">
        <v>2.740936</v>
      </c>
      <c r="T2259">
        <v>5.326343E-2</v>
      </c>
      <c r="U2259">
        <v>-1.3031459999999999</v>
      </c>
      <c r="V2259">
        <v>-0.28783609999999998</v>
      </c>
      <c r="W2259">
        <v>0.1502424</v>
      </c>
      <c r="X2259">
        <v>0.94582109999999997</v>
      </c>
      <c r="Y2259">
        <v>-0.3539195</v>
      </c>
      <c r="Z2259">
        <v>-1.4880539999999999E-2</v>
      </c>
      <c r="AA2259">
        <v>0.93515749999999997</v>
      </c>
      <c r="AB2259">
        <v>36</v>
      </c>
      <c r="AC2259">
        <v>29.377199999999998</v>
      </c>
      <c r="AD2259">
        <v>0.57550100000000004</v>
      </c>
      <c r="AE2259">
        <v>-13.832899999999899</v>
      </c>
      <c r="AF2259">
        <v>-11.606066069014901</v>
      </c>
      <c r="AG2259">
        <v>0.57550100000000004</v>
      </c>
      <c r="AH2259">
        <v>30.315114082463499</v>
      </c>
      <c r="AI2259">
        <v>88.984305023802705</v>
      </c>
      <c r="AJ2259">
        <v>110.94922031455501</v>
      </c>
      <c r="AK2259">
        <v>32.4659531329686</v>
      </c>
      <c r="AL2259">
        <v>81.359025543175903</v>
      </c>
      <c r="AM2259">
        <v>106.926265844529</v>
      </c>
      <c r="AN2259">
        <v>0.999999976213089</v>
      </c>
    </row>
    <row r="2260" spans="1:40" x14ac:dyDescent="0.25">
      <c r="A2260" t="str">
        <f>"20190312164515630"</f>
        <v>20190312164515630</v>
      </c>
      <c r="B2260" t="str">
        <f>"1552380315623541"</f>
        <v>1552380315623541</v>
      </c>
      <c r="C2260" t="s">
        <v>40</v>
      </c>
      <c r="D2260">
        <v>4.9462120000000001</v>
      </c>
      <c r="E2260">
        <v>0.47094570000000002</v>
      </c>
      <c r="F2260" t="s">
        <v>56</v>
      </c>
      <c r="G2260">
        <v>-456.79259999999999</v>
      </c>
      <c r="H2260">
        <v>1.802662</v>
      </c>
      <c r="I2260">
        <v>199.6506</v>
      </c>
      <c r="J2260">
        <v>-485.60160000000002</v>
      </c>
      <c r="K2260">
        <v>1.12666</v>
      </c>
      <c r="L2260">
        <v>212.73140000000001</v>
      </c>
      <c r="M2260">
        <v>0.70810439999999997</v>
      </c>
      <c r="N2260">
        <v>0</v>
      </c>
      <c r="O2260">
        <v>-0.70588439999999997</v>
      </c>
      <c r="P2260">
        <v>0.86721159999999997</v>
      </c>
      <c r="Q2260">
        <v>0.1496828</v>
      </c>
      <c r="R2260">
        <v>-0.47490969999999999</v>
      </c>
      <c r="S2260">
        <v>2.7577820000000002</v>
      </c>
      <c r="T2260">
        <v>6.4096210000000001E-2</v>
      </c>
      <c r="U2260">
        <v>-1.266327</v>
      </c>
      <c r="V2260">
        <v>-0.28300019999999998</v>
      </c>
      <c r="W2260">
        <v>0.15416759999999999</v>
      </c>
      <c r="X2260">
        <v>0.94664839999999995</v>
      </c>
      <c r="Y2260">
        <v>-0.34586349999999999</v>
      </c>
      <c r="Z2260">
        <v>-1.757833E-2</v>
      </c>
      <c r="AA2260">
        <v>0.93812019999999996</v>
      </c>
      <c r="AB2260">
        <v>36</v>
      </c>
      <c r="AC2260">
        <v>28.809000000000001</v>
      </c>
      <c r="AD2260">
        <v>0.67600199999999999</v>
      </c>
      <c r="AE2260">
        <v>-13.0808</v>
      </c>
      <c r="AF2260">
        <v>-11.069944813793301</v>
      </c>
      <c r="AG2260">
        <v>0.67600199999999999</v>
      </c>
      <c r="AH2260">
        <v>29.6244628557628</v>
      </c>
      <c r="AI2260">
        <v>88.775464516064304</v>
      </c>
      <c r="AJ2260">
        <v>110.489499101238</v>
      </c>
      <c r="AK2260">
        <v>31.632411485324699</v>
      </c>
      <c r="AL2260">
        <v>81.131476815753501</v>
      </c>
      <c r="AM2260">
        <v>106.644016269384</v>
      </c>
      <c r="AN2260">
        <v>0.99999997765617898</v>
      </c>
    </row>
    <row r="2261" spans="1:40" x14ac:dyDescent="0.25">
      <c r="A2261" t="str">
        <f>"20190312164515650"</f>
        <v>20190312164515650</v>
      </c>
      <c r="B2261" t="str">
        <f>"1552380315644037"</f>
        <v>1552380315644037</v>
      </c>
      <c r="C2261" t="s">
        <v>40</v>
      </c>
      <c r="D2261">
        <v>5.0728169999999997</v>
      </c>
      <c r="E2261">
        <v>0.470829</v>
      </c>
      <c r="F2261" t="s">
        <v>56</v>
      </c>
      <c r="G2261">
        <v>-456.79259999999999</v>
      </c>
      <c r="H2261">
        <v>1.9403349999999999</v>
      </c>
      <c r="I2261">
        <v>200.1002</v>
      </c>
      <c r="J2261">
        <v>-485.35899999999998</v>
      </c>
      <c r="K2261">
        <v>1.1267430000000001</v>
      </c>
      <c r="L2261">
        <v>212.5027</v>
      </c>
      <c r="M2261">
        <v>0.72106099999999995</v>
      </c>
      <c r="N2261">
        <v>0</v>
      </c>
      <c r="O2261">
        <v>-0.69264199999999998</v>
      </c>
      <c r="P2261">
        <v>0.87349460000000001</v>
      </c>
      <c r="Q2261">
        <v>0.15192359999999999</v>
      </c>
      <c r="R2261">
        <v>-0.4625224</v>
      </c>
      <c r="S2261">
        <v>2.7786559999999998</v>
      </c>
      <c r="T2261">
        <v>7.8482029999999994E-2</v>
      </c>
      <c r="U2261">
        <v>-1.2182919999999999</v>
      </c>
      <c r="V2261">
        <v>-0.27878259999999899</v>
      </c>
      <c r="W2261">
        <v>0.1566341</v>
      </c>
      <c r="X2261">
        <v>0.94749459999999996</v>
      </c>
      <c r="Y2261">
        <v>-0.3445761</v>
      </c>
      <c r="Z2261">
        <v>-2.1230599999999999E-2</v>
      </c>
      <c r="AA2261">
        <v>0.93851830000000003</v>
      </c>
      <c r="AB2261">
        <v>36</v>
      </c>
      <c r="AC2261">
        <v>28.566400000000002</v>
      </c>
      <c r="AD2261">
        <v>0.81359199999999898</v>
      </c>
      <c r="AE2261">
        <v>-12.4025</v>
      </c>
      <c r="AF2261">
        <v>-10.837657667536501</v>
      </c>
      <c r="AG2261">
        <v>0.81359199999999898</v>
      </c>
      <c r="AH2261">
        <v>29.1733419697355</v>
      </c>
      <c r="AI2261">
        <v>88.502482509164494</v>
      </c>
      <c r="AJ2261">
        <v>110.37961928001801</v>
      </c>
      <c r="AK2261">
        <v>31.131987365799699</v>
      </c>
      <c r="AL2261">
        <v>80.988418978328397</v>
      </c>
      <c r="AM2261">
        <v>106.395535311777</v>
      </c>
      <c r="AN2261">
        <v>0.99999999818736396</v>
      </c>
    </row>
    <row r="2262" spans="1:40" x14ac:dyDescent="0.25">
      <c r="A2262" t="str">
        <f>"20190312164515673"</f>
        <v>20190312164515673</v>
      </c>
      <c r="B2262" t="str">
        <f>"1552380315663557"</f>
        <v>1552380315663557</v>
      </c>
      <c r="C2262" t="s">
        <v>40</v>
      </c>
      <c r="D2262">
        <v>5.0784510000000003</v>
      </c>
      <c r="E2262">
        <v>0.47054059999999998</v>
      </c>
      <c r="F2262" t="s">
        <v>56</v>
      </c>
      <c r="G2262">
        <v>-456.44900000000001</v>
      </c>
      <c r="H2262">
        <v>2.0240649999999998</v>
      </c>
      <c r="I2262">
        <v>200.32149999999999</v>
      </c>
      <c r="J2262">
        <v>-485.09989999999999</v>
      </c>
      <c r="K2262">
        <v>1.126808</v>
      </c>
      <c r="L2262">
        <v>212.26750000000001</v>
      </c>
      <c r="M2262">
        <v>0.73442919999999901</v>
      </c>
      <c r="N2262">
        <v>0</v>
      </c>
      <c r="O2262">
        <v>-0.67844899999999997</v>
      </c>
      <c r="P2262">
        <v>0.8808184</v>
      </c>
      <c r="Q2262">
        <v>0.15209790000000001</v>
      </c>
      <c r="R2262">
        <v>-0.4483587</v>
      </c>
      <c r="S2262">
        <v>2.7956850000000002</v>
      </c>
      <c r="T2262">
        <v>8.6776019999999995E-2</v>
      </c>
      <c r="U2262">
        <v>-1.177948</v>
      </c>
      <c r="V2262">
        <v>-0.27561419999999998</v>
      </c>
      <c r="W2262">
        <v>0.15698489999999901</v>
      </c>
      <c r="X2262">
        <v>0.94836310000000001</v>
      </c>
      <c r="Y2262">
        <v>-0.33975420000000001</v>
      </c>
      <c r="Z2262">
        <v>-2.3081890000000001E-2</v>
      </c>
      <c r="AA2262">
        <v>0.94023100000000004</v>
      </c>
      <c r="AB2262">
        <v>36</v>
      </c>
      <c r="AC2262">
        <v>28.650899999999901</v>
      </c>
      <c r="AD2262">
        <v>0.89725699999999997</v>
      </c>
      <c r="AE2262">
        <v>-11.946</v>
      </c>
      <c r="AF2262">
        <v>-10.65748943613</v>
      </c>
      <c r="AG2262">
        <v>0.89725699999999997</v>
      </c>
      <c r="AH2262">
        <v>29.127148523994901</v>
      </c>
      <c r="AI2262">
        <v>88.342944829037094</v>
      </c>
      <c r="AJ2262">
        <v>110.097340059339</v>
      </c>
      <c r="AK2262">
        <v>31.028663076970201</v>
      </c>
      <c r="AL2262">
        <v>80.968067939398196</v>
      </c>
      <c r="AM2262">
        <v>106.204972228198</v>
      </c>
      <c r="AN2262">
        <v>1.0000000077556299</v>
      </c>
    </row>
    <row r="2263" spans="1:40" x14ac:dyDescent="0.25">
      <c r="A2263" t="str">
        <f>"20190312164515694"</f>
        <v>20190312164515694</v>
      </c>
      <c r="B2263" t="str">
        <f>"1552380315684053"</f>
        <v>1552380315684053</v>
      </c>
      <c r="C2263" t="s">
        <v>40</v>
      </c>
      <c r="D2263">
        <v>4.9106519999999998</v>
      </c>
      <c r="E2263">
        <v>0.47004230000000002</v>
      </c>
      <c r="F2263" t="s">
        <v>56</v>
      </c>
      <c r="G2263">
        <v>-454.75709999999998</v>
      </c>
      <c r="H2263">
        <v>2.0937410000000001</v>
      </c>
      <c r="I2263">
        <v>200.0762</v>
      </c>
      <c r="J2263">
        <v>-484.84429999999998</v>
      </c>
      <c r="K2263">
        <v>1.126846</v>
      </c>
      <c r="L2263">
        <v>212.04429999999999</v>
      </c>
      <c r="M2263">
        <v>0.74715909999999996</v>
      </c>
      <c r="N2263">
        <v>0</v>
      </c>
      <c r="O2263">
        <v>-0.66440259999999995</v>
      </c>
      <c r="P2263">
        <v>0.88804099999999997</v>
      </c>
      <c r="Q2263">
        <v>0.1500977</v>
      </c>
      <c r="R2263">
        <v>-0.43457390000000001</v>
      </c>
      <c r="S2263">
        <v>2.8147579999999999</v>
      </c>
      <c r="T2263">
        <v>8.9699509999999996E-2</v>
      </c>
      <c r="U2263">
        <v>-1.1309359999999999</v>
      </c>
      <c r="V2263">
        <v>-0.27257209999999898</v>
      </c>
      <c r="W2263">
        <v>0.1551556</v>
      </c>
      <c r="X2263">
        <v>0.94954260000000001</v>
      </c>
      <c r="Y2263">
        <v>-0.3376287</v>
      </c>
      <c r="Z2263">
        <v>-2.3486070000000001E-2</v>
      </c>
      <c r="AA2263">
        <v>0.94098630000000005</v>
      </c>
      <c r="AB2263">
        <v>36</v>
      </c>
      <c r="AC2263">
        <v>30.087199999999999</v>
      </c>
      <c r="AD2263">
        <v>0.96689499999999995</v>
      </c>
      <c r="AE2263">
        <v>-11.9680999999999</v>
      </c>
      <c r="AF2263">
        <v>-11.0398769513044</v>
      </c>
      <c r="AG2263">
        <v>0.96689499999999995</v>
      </c>
      <c r="AH2263">
        <v>30.409354881459901</v>
      </c>
      <c r="AI2263">
        <v>88.288090852538303</v>
      </c>
      <c r="AJ2263">
        <v>109.953029978487</v>
      </c>
      <c r="AK2263">
        <v>32.365763290049799</v>
      </c>
      <c r="AL2263">
        <v>81.074179164973899</v>
      </c>
      <c r="AM2263">
        <v>106.016454512759</v>
      </c>
      <c r="AN2263">
        <v>0.99999997956226405</v>
      </c>
    </row>
    <row r="2264" spans="1:40" x14ac:dyDescent="0.25">
      <c r="A2264" t="str">
        <f>"20190312164515718"</f>
        <v>20190312164515718</v>
      </c>
      <c r="B2264" t="str">
        <f>"1552380315714309"</f>
        <v>1552380315714309</v>
      </c>
      <c r="C2264" t="s">
        <v>40</v>
      </c>
      <c r="D2264">
        <v>5.0190939999999999</v>
      </c>
      <c r="E2264">
        <v>0.46886169999999999</v>
      </c>
      <c r="F2264" t="s">
        <v>56</v>
      </c>
      <c r="G2264">
        <v>-453.54930000000002</v>
      </c>
      <c r="H2264">
        <v>2.0954109999999999</v>
      </c>
      <c r="I2264">
        <v>200.0762</v>
      </c>
      <c r="J2264">
        <v>-484.57350000000002</v>
      </c>
      <c r="K2264">
        <v>1.12687</v>
      </c>
      <c r="L2264">
        <v>211.8168</v>
      </c>
      <c r="M2264">
        <v>0.76016729999999999</v>
      </c>
      <c r="N2264">
        <v>0</v>
      </c>
      <c r="O2264">
        <v>-0.64947769999999905</v>
      </c>
      <c r="P2264">
        <v>0.89569799999999999</v>
      </c>
      <c r="Q2264">
        <v>0.14659559999999999</v>
      </c>
      <c r="R2264">
        <v>-0.4198037</v>
      </c>
      <c r="S2264">
        <v>2.8331909999999998</v>
      </c>
      <c r="T2264">
        <v>8.7687609999999999E-2</v>
      </c>
      <c r="U2264">
        <v>-1.083496</v>
      </c>
      <c r="V2264">
        <v>-0.2697349</v>
      </c>
      <c r="W2264">
        <v>0.1518148</v>
      </c>
      <c r="X2264">
        <v>0.95089190000000001</v>
      </c>
      <c r="Y2264">
        <v>-0.33480079999999901</v>
      </c>
      <c r="Z2264">
        <v>-2.256089E-2</v>
      </c>
      <c r="AA2264">
        <v>0.94201880000000005</v>
      </c>
      <c r="AB2264">
        <v>36</v>
      </c>
      <c r="AC2264">
        <v>31.0242</v>
      </c>
      <c r="AD2264">
        <v>0.96854099999999999</v>
      </c>
      <c r="AE2264">
        <v>-11.740600000000001</v>
      </c>
      <c r="AF2264">
        <v>-11.2169641471673</v>
      </c>
      <c r="AG2264">
        <v>0.96854099999999999</v>
      </c>
      <c r="AH2264">
        <v>31.187315409527901</v>
      </c>
      <c r="AI2264">
        <v>88.326124420477697</v>
      </c>
      <c r="AJ2264">
        <v>109.78184739109901</v>
      </c>
      <c r="AK2264">
        <v>33.157306868937503</v>
      </c>
      <c r="AL2264">
        <v>81.267888699558895</v>
      </c>
      <c r="AM2264">
        <v>105.836791675341</v>
      </c>
      <c r="AN2264">
        <v>1.0000000276313199</v>
      </c>
    </row>
    <row r="2265" spans="1:40" x14ac:dyDescent="0.25">
      <c r="A2265" t="str">
        <f>"20190312164515738"</f>
        <v>20190312164515738</v>
      </c>
      <c r="B2265" t="str">
        <f>"1552380315733828"</f>
        <v>1552380315733828</v>
      </c>
      <c r="C2265" t="s">
        <v>40</v>
      </c>
      <c r="D2265">
        <v>5.0744980000000002</v>
      </c>
      <c r="E2265">
        <v>0.46813690000000002</v>
      </c>
      <c r="F2265" t="s">
        <v>56</v>
      </c>
      <c r="G2265">
        <v>-451.96710000000002</v>
      </c>
      <c r="H2265">
        <v>2.0882499999999999</v>
      </c>
      <c r="I2265">
        <v>200.0762</v>
      </c>
      <c r="J2265">
        <v>-484.32150000000001</v>
      </c>
      <c r="K2265">
        <v>1.126884</v>
      </c>
      <c r="L2265">
        <v>211.6131</v>
      </c>
      <c r="M2265">
        <v>0.77184919999999901</v>
      </c>
      <c r="N2265">
        <v>0</v>
      </c>
      <c r="O2265">
        <v>-0.63554909999999998</v>
      </c>
      <c r="P2265">
        <v>0.90256199999999998</v>
      </c>
      <c r="Q2265">
        <v>0.1443816</v>
      </c>
      <c r="R2265">
        <v>-0.4056303</v>
      </c>
      <c r="S2265">
        <v>2.8539729999999999</v>
      </c>
      <c r="T2265">
        <v>8.4149119999999994E-2</v>
      </c>
      <c r="U2265">
        <v>-1.0276339999999999</v>
      </c>
      <c r="V2265">
        <v>-0.26757789999999998</v>
      </c>
      <c r="W2265">
        <v>0.14972279999999999</v>
      </c>
      <c r="X2265">
        <v>0.95183249999999997</v>
      </c>
      <c r="Y2265">
        <v>-0.3362116</v>
      </c>
      <c r="Z2265">
        <v>-2.133672E-2</v>
      </c>
      <c r="AA2265">
        <v>0.94154479999999996</v>
      </c>
      <c r="AB2265">
        <v>36</v>
      </c>
      <c r="AC2265">
        <v>32.354399999999998</v>
      </c>
      <c r="AD2265">
        <v>0.96136600000000005</v>
      </c>
      <c r="AE2265">
        <v>-11.536899999999999</v>
      </c>
      <c r="AF2265">
        <v>-11.6508382588547</v>
      </c>
      <c r="AG2265">
        <v>0.96136600000000005</v>
      </c>
      <c r="AH2265">
        <v>32.284964755145197</v>
      </c>
      <c r="AI2265">
        <v>88.395595131020698</v>
      </c>
      <c r="AJ2265">
        <v>109.84324840092</v>
      </c>
      <c r="AK2265">
        <v>34.336353999236998</v>
      </c>
      <c r="AL2265">
        <v>81.389137055172895</v>
      </c>
      <c r="AM2265">
        <v>105.701665271857</v>
      </c>
      <c r="AN2265">
        <v>0.999999978732249</v>
      </c>
    </row>
    <row r="2266" spans="1:40" x14ac:dyDescent="0.25">
      <c r="A2266" t="str">
        <f>"20190312164515761"</f>
        <v>20190312164515761</v>
      </c>
      <c r="B2266" t="str">
        <f>"1552380315754326"</f>
        <v>1552380315754326</v>
      </c>
      <c r="C2266" t="s">
        <v>40</v>
      </c>
      <c r="D2266">
        <v>4.9657499999999999</v>
      </c>
      <c r="E2266">
        <v>0.46750910000000001</v>
      </c>
      <c r="F2266" t="s">
        <v>56</v>
      </c>
      <c r="G2266">
        <v>-450.38260000000002</v>
      </c>
      <c r="H2266">
        <v>2.099742</v>
      </c>
      <c r="I2266">
        <v>200.0762</v>
      </c>
      <c r="J2266">
        <v>-484.03750000000002</v>
      </c>
      <c r="K2266">
        <v>1.126914</v>
      </c>
      <c r="L2266">
        <v>211.39240000000001</v>
      </c>
      <c r="M2266">
        <v>0.78453609999999996</v>
      </c>
      <c r="N2266">
        <v>0</v>
      </c>
      <c r="O2266">
        <v>-0.61981889999999995</v>
      </c>
      <c r="P2266">
        <v>0.90947339999999999</v>
      </c>
      <c r="Q2266">
        <v>0.14561840000000001</v>
      </c>
      <c r="R2266">
        <v>-0.38942670000000001</v>
      </c>
      <c r="S2266">
        <v>2.8720089999999998</v>
      </c>
      <c r="T2266">
        <v>8.2327839999999999E-2</v>
      </c>
      <c r="U2266">
        <v>-0.97628780000000004</v>
      </c>
      <c r="V2266">
        <v>-0.2653046</v>
      </c>
      <c r="W2266">
        <v>0.15108239999999901</v>
      </c>
      <c r="X2266">
        <v>0.95225389999999999</v>
      </c>
      <c r="Y2266">
        <v>-0.3340881</v>
      </c>
      <c r="Z2266">
        <v>-2.0482810000000001E-2</v>
      </c>
      <c r="AA2266">
        <v>0.94231929999999997</v>
      </c>
      <c r="AB2266">
        <v>36</v>
      </c>
      <c r="AC2266">
        <v>33.654899999999998</v>
      </c>
      <c r="AD2266">
        <v>0.97282800000000003</v>
      </c>
      <c r="AE2266">
        <v>-11.3162</v>
      </c>
      <c r="AF2266">
        <v>-11.974949638815501</v>
      </c>
      <c r="AG2266">
        <v>0.97282800000000003</v>
      </c>
      <c r="AH2266">
        <v>33.397883138931</v>
      </c>
      <c r="AI2266">
        <v>88.429389780896102</v>
      </c>
      <c r="AJ2266">
        <v>109.72550597404</v>
      </c>
      <c r="AK2266">
        <v>35.4931600640383</v>
      </c>
      <c r="AL2266">
        <v>81.310341193995001</v>
      </c>
      <c r="AM2266">
        <v>105.56820900034</v>
      </c>
      <c r="AN2266">
        <v>0.99999995621806403</v>
      </c>
    </row>
    <row r="2267" spans="1:40" x14ac:dyDescent="0.25">
      <c r="A2267" t="str">
        <f>"20190312164515784"</f>
        <v>20190312164515784</v>
      </c>
      <c r="B2267" t="str">
        <f>"1552380315773845"</f>
        <v>1552380315773845</v>
      </c>
      <c r="C2267" t="s">
        <v>40</v>
      </c>
      <c r="D2267">
        <v>4.9636990000000001</v>
      </c>
      <c r="E2267">
        <v>0.4670127</v>
      </c>
      <c r="F2267" t="s">
        <v>56</v>
      </c>
      <c r="G2267">
        <v>-448.99349999999998</v>
      </c>
      <c r="H2267">
        <v>2.2166589999999999</v>
      </c>
      <c r="I2267">
        <v>200.22810000000001</v>
      </c>
      <c r="J2267">
        <v>-483.75130000000001</v>
      </c>
      <c r="K2267">
        <v>1.126946</v>
      </c>
      <c r="L2267">
        <v>211.17910000000001</v>
      </c>
      <c r="M2267">
        <v>0.79683800000000005</v>
      </c>
      <c r="N2267">
        <v>0</v>
      </c>
      <c r="O2267">
        <v>-0.60392089999999998</v>
      </c>
      <c r="P2267">
        <v>0.91568550000000004</v>
      </c>
      <c r="Q2267">
        <v>0.14803920000000001</v>
      </c>
      <c r="R2267">
        <v>-0.37363649999999998</v>
      </c>
      <c r="S2267">
        <v>2.890015</v>
      </c>
      <c r="T2267">
        <v>8.9870329999999998E-2</v>
      </c>
      <c r="U2267">
        <v>-0.92070010000000002</v>
      </c>
      <c r="V2267">
        <v>-0.26251390000000002</v>
      </c>
      <c r="W2267">
        <v>0.15364990000000001</v>
      </c>
      <c r="X2267">
        <v>0.95261649999999998</v>
      </c>
      <c r="Y2267">
        <v>-0.33323809999999998</v>
      </c>
      <c r="Z2267">
        <v>-2.1941280000000001E-2</v>
      </c>
      <c r="AA2267">
        <v>0.94258739999999996</v>
      </c>
      <c r="AB2267">
        <v>35</v>
      </c>
      <c r="AC2267">
        <v>34.757800000000003</v>
      </c>
      <c r="AD2267">
        <v>1.0897129999999999</v>
      </c>
      <c r="AE2267">
        <v>-10.950999999999899</v>
      </c>
      <c r="AF2267">
        <v>-12.2558467070719</v>
      </c>
      <c r="AG2267">
        <v>1.0897129999999999</v>
      </c>
      <c r="AH2267">
        <v>34.284858408364201</v>
      </c>
      <c r="AI2267">
        <v>88.285689414714</v>
      </c>
      <c r="AJ2267">
        <v>109.67050274894601</v>
      </c>
      <c r="AK2267">
        <v>36.4258804836781</v>
      </c>
      <c r="AL2267">
        <v>81.161496882081394</v>
      </c>
      <c r="AM2267">
        <v>105.406685902189</v>
      </c>
      <c r="AN2267">
        <v>1.00000001776773</v>
      </c>
    </row>
    <row r="2268" spans="1:40" x14ac:dyDescent="0.25">
      <c r="A2268" t="str">
        <f>"20190312164515807"</f>
        <v>20190312164515807</v>
      </c>
      <c r="B2268" t="str">
        <f>"1552380315804102"</f>
        <v>1552380315804102</v>
      </c>
      <c r="C2268" t="s">
        <v>40</v>
      </c>
      <c r="D2268">
        <v>5.0203699999999998</v>
      </c>
      <c r="E2268">
        <v>0.46635130000000002</v>
      </c>
      <c r="F2268" t="s">
        <v>56</v>
      </c>
      <c r="G2268">
        <v>-446.56880000000001</v>
      </c>
      <c r="H2268">
        <v>2.4167169999999998</v>
      </c>
      <c r="I2268">
        <v>200.07599999999999</v>
      </c>
      <c r="J2268">
        <v>-483.47320000000002</v>
      </c>
      <c r="K2268">
        <v>1.1269690000000001</v>
      </c>
      <c r="L2268">
        <v>210.9803</v>
      </c>
      <c r="M2268">
        <v>0.80834289999999998</v>
      </c>
      <c r="N2268">
        <v>0</v>
      </c>
      <c r="O2268">
        <v>-0.58843199999999996</v>
      </c>
      <c r="P2268">
        <v>0.92130160000000005</v>
      </c>
      <c r="Q2268">
        <v>0.14887639999999999</v>
      </c>
      <c r="R2268">
        <v>-0.3592205</v>
      </c>
      <c r="S2268">
        <v>2.9058839999999999</v>
      </c>
      <c r="T2268">
        <v>0.10079929999999999</v>
      </c>
      <c r="U2268">
        <v>-0.86772159999999998</v>
      </c>
      <c r="V2268">
        <v>-0.25904139999999998</v>
      </c>
      <c r="W2268">
        <v>0.15467040000000001</v>
      </c>
      <c r="X2268">
        <v>0.95340159999999996</v>
      </c>
      <c r="Y2268">
        <v>-0.33214539999999998</v>
      </c>
      <c r="Z2268">
        <v>-2.414649E-2</v>
      </c>
      <c r="AA2268">
        <v>0.94291910000000001</v>
      </c>
      <c r="AB2268">
        <v>35</v>
      </c>
      <c r="AC2268">
        <v>36.904400000000003</v>
      </c>
      <c r="AD2268">
        <v>1.2897479999999899</v>
      </c>
      <c r="AE2268">
        <v>-10.904299999999999</v>
      </c>
      <c r="AF2268">
        <v>-12.8889642923158</v>
      </c>
      <c r="AG2268">
        <v>1.2897479999999899</v>
      </c>
      <c r="AH2268">
        <v>36.213143951760301</v>
      </c>
      <c r="AI2268">
        <v>88.078243667677697</v>
      </c>
      <c r="AJ2268">
        <v>109.591636165156</v>
      </c>
      <c r="AK2268">
        <v>38.460117593463103</v>
      </c>
      <c r="AL2268">
        <v>81.1023189166131</v>
      </c>
      <c r="AM2268">
        <v>105.200443148891</v>
      </c>
      <c r="AN2268">
        <v>0.99999999521633898</v>
      </c>
    </row>
    <row r="2269" spans="1:40" x14ac:dyDescent="0.25">
      <c r="A2269" t="str">
        <f>"20190312164515831"</f>
        <v>20190312164515831</v>
      </c>
      <c r="B2269" t="str">
        <f>"1552380315823621"</f>
        <v>1552380315823621</v>
      </c>
      <c r="C2269" t="s">
        <v>40</v>
      </c>
      <c r="D2269">
        <v>4.9318010000000001</v>
      </c>
      <c r="E2269">
        <v>0.46602539999999998</v>
      </c>
      <c r="F2269" t="s">
        <v>56</v>
      </c>
      <c r="G2269">
        <v>-444.4853</v>
      </c>
      <c r="H2269">
        <v>2.5720420000000002</v>
      </c>
      <c r="I2269">
        <v>200.07599999999999</v>
      </c>
      <c r="J2269">
        <v>-483.17399999999998</v>
      </c>
      <c r="K2269">
        <v>1.126989</v>
      </c>
      <c r="L2269">
        <v>210.7756</v>
      </c>
      <c r="M2269">
        <v>0.82023849999999998</v>
      </c>
      <c r="N2269">
        <v>0</v>
      </c>
      <c r="O2269">
        <v>-0.57173280000000004</v>
      </c>
      <c r="P2269">
        <v>0.92714859999999999</v>
      </c>
      <c r="Q2269">
        <v>0.15049989999999999</v>
      </c>
      <c r="R2269">
        <v>-0.34314029999999901</v>
      </c>
      <c r="S2269">
        <v>2.9203489999999999</v>
      </c>
      <c r="T2269">
        <v>0.10824300000000001</v>
      </c>
      <c r="U2269">
        <v>-0.81677250000000001</v>
      </c>
      <c r="V2269">
        <v>-0.25599949999999999</v>
      </c>
      <c r="W2269">
        <v>0.15645510000000001</v>
      </c>
      <c r="X2269">
        <v>0.95393190000000005</v>
      </c>
      <c r="Y2269">
        <v>-0.32921220000000001</v>
      </c>
      <c r="Z2269">
        <v>-2.5360440000000001E-2</v>
      </c>
      <c r="AA2269">
        <v>0.94391539999999996</v>
      </c>
      <c r="AB2269">
        <v>35</v>
      </c>
      <c r="AC2269">
        <v>38.688699999999997</v>
      </c>
      <c r="AD2269">
        <v>1.4450529999999899</v>
      </c>
      <c r="AE2269">
        <v>-10.6996</v>
      </c>
      <c r="AF2269">
        <v>-13.328306886245199</v>
      </c>
      <c r="AG2269">
        <v>1.4450529999999899</v>
      </c>
      <c r="AH2269">
        <v>37.808529879350097</v>
      </c>
      <c r="AI2269">
        <v>87.935603613816994</v>
      </c>
      <c r="AJ2269">
        <v>109.41863261877999</v>
      </c>
      <c r="AK2269">
        <v>40.115045485010299</v>
      </c>
      <c r="AL2269">
        <v>80.998803019598697</v>
      </c>
      <c r="AM2269">
        <v>105.022089409957</v>
      </c>
      <c r="AN2269">
        <v>1.0000000060769301</v>
      </c>
    </row>
    <row r="2270" spans="1:40" x14ac:dyDescent="0.25">
      <c r="A2270" t="str">
        <f>"20190312164515852"</f>
        <v>20190312164515852</v>
      </c>
      <c r="B2270" t="str">
        <f>"1552380315844118"</f>
        <v>1552380315844118</v>
      </c>
      <c r="C2270" t="s">
        <v>40</v>
      </c>
      <c r="D2270">
        <v>4.8004850000000001</v>
      </c>
      <c r="E2270">
        <v>0.46569749999999999</v>
      </c>
      <c r="F2270" t="s">
        <v>56</v>
      </c>
      <c r="G2270">
        <v>-442.02190000000002</v>
      </c>
      <c r="H2270">
        <v>2.7633540000000001</v>
      </c>
      <c r="I2270">
        <v>200.07589999999999</v>
      </c>
      <c r="J2270">
        <v>-482.8877</v>
      </c>
      <c r="K2270">
        <v>1.1270070000000001</v>
      </c>
      <c r="L2270">
        <v>210.58850000000001</v>
      </c>
      <c r="M2270">
        <v>0.83117649999999998</v>
      </c>
      <c r="N2270">
        <v>0</v>
      </c>
      <c r="O2270">
        <v>-0.55571099999999996</v>
      </c>
      <c r="P2270">
        <v>0.93254720000000002</v>
      </c>
      <c r="Q2270">
        <v>0.1523958</v>
      </c>
      <c r="R2270">
        <v>-0.32730969999999998</v>
      </c>
      <c r="S2270">
        <v>2.934418</v>
      </c>
      <c r="T2270">
        <v>0.11668480000000001</v>
      </c>
      <c r="U2270">
        <v>-0.76295469999999999</v>
      </c>
      <c r="V2270">
        <v>-0.25364340000000002</v>
      </c>
      <c r="W2270">
        <v>0.15847849999999999</v>
      </c>
      <c r="X2270">
        <v>0.95422720000000005</v>
      </c>
      <c r="Y2270">
        <v>-0.32813530000000002</v>
      </c>
      <c r="Z2270">
        <v>-2.677682E-2</v>
      </c>
      <c r="AA2270">
        <v>0.94425110000000001</v>
      </c>
      <c r="AB2270">
        <v>35</v>
      </c>
      <c r="AC2270">
        <v>40.865799999999901</v>
      </c>
      <c r="AD2270">
        <v>1.636347</v>
      </c>
      <c r="AE2270">
        <v>-10.512600000000001</v>
      </c>
      <c r="AF2270">
        <v>-13.9530775720369</v>
      </c>
      <c r="AG2270">
        <v>1.636347</v>
      </c>
      <c r="AH2270">
        <v>39.755462362786702</v>
      </c>
      <c r="AI2270">
        <v>87.775881146624002</v>
      </c>
      <c r="AJ2270">
        <v>109.339675052467</v>
      </c>
      <c r="AK2270">
        <v>42.164710279031198</v>
      </c>
      <c r="AL2270">
        <v>80.881405860918704</v>
      </c>
      <c r="AM2270">
        <v>104.885597704006</v>
      </c>
      <c r="AN2270">
        <v>0.99999997927282402</v>
      </c>
    </row>
    <row r="2271" spans="1:40" x14ac:dyDescent="0.25">
      <c r="A2271" t="str">
        <f>"20190312164515875"</f>
        <v>20190312164515875</v>
      </c>
      <c r="B2271" t="str">
        <f>"1552380315863638"</f>
        <v>1552380315863638</v>
      </c>
      <c r="C2271" t="s">
        <v>40</v>
      </c>
      <c r="D2271">
        <v>4.962936</v>
      </c>
      <c r="E2271">
        <v>0.46556170000000002</v>
      </c>
      <c r="F2271" t="s">
        <v>57</v>
      </c>
      <c r="G2271">
        <v>-355.02089999999998</v>
      </c>
      <c r="H2271">
        <v>6.5346039999999999</v>
      </c>
      <c r="I2271">
        <v>179.73740000000001</v>
      </c>
      <c r="J2271">
        <v>-482.59179999999998</v>
      </c>
      <c r="K2271">
        <v>1.1270230000000001</v>
      </c>
      <c r="L2271">
        <v>210.40350000000001</v>
      </c>
      <c r="M2271">
        <v>0.842041699999999</v>
      </c>
      <c r="N2271">
        <v>0</v>
      </c>
      <c r="O2271">
        <v>-0.539105099999999</v>
      </c>
      <c r="P2271">
        <v>0.93748690000000001</v>
      </c>
      <c r="Q2271">
        <v>0.1552866</v>
      </c>
      <c r="R2271">
        <v>-0.311455599999999</v>
      </c>
      <c r="S2271">
        <v>2.9470830000000001</v>
      </c>
      <c r="T2271">
        <v>0.1246357</v>
      </c>
      <c r="U2271">
        <v>-0.71105959999999901</v>
      </c>
      <c r="V2271">
        <v>-0.25075049999999999</v>
      </c>
      <c r="W2271">
        <v>0.16152339999999901</v>
      </c>
      <c r="X2271">
        <v>0.95448120000000003</v>
      </c>
      <c r="Y2271">
        <v>-0.32595429999999997</v>
      </c>
      <c r="Z2271">
        <v>-2.7954799999999998E-2</v>
      </c>
      <c r="AA2271">
        <v>0.94497220000000004</v>
      </c>
      <c r="AB2271">
        <v>35</v>
      </c>
      <c r="AC2271">
        <v>127.57089999999999</v>
      </c>
      <c r="AD2271">
        <v>5.4075809999999898</v>
      </c>
      <c r="AE2271">
        <v>-30.6661</v>
      </c>
      <c r="AF2271">
        <v>-42.886259159686503</v>
      </c>
      <c r="AG2271">
        <v>5.4075809999999898</v>
      </c>
      <c r="AH2271">
        <v>123.762586454662</v>
      </c>
      <c r="AI2271">
        <v>87.635899634204193</v>
      </c>
      <c r="AJ2271">
        <v>109.11224387738901</v>
      </c>
      <c r="AK2271">
        <v>131.09405388091</v>
      </c>
      <c r="AL2271">
        <v>80.704669052452999</v>
      </c>
      <c r="AM2271">
        <v>104.71948926068799</v>
      </c>
      <c r="AN2271">
        <v>0.99999999157562403</v>
      </c>
    </row>
    <row r="2272" spans="1:40" x14ac:dyDescent="0.25">
      <c r="A2272" t="str">
        <f>"20190312164515895"</f>
        <v>20190312164515895</v>
      </c>
      <c r="B2272" t="str">
        <f>"1552380315884133"</f>
        <v>1552380315884133</v>
      </c>
      <c r="C2272" t="s">
        <v>40</v>
      </c>
      <c r="D2272">
        <v>5.0177199999999997</v>
      </c>
      <c r="E2272">
        <v>0.4653352</v>
      </c>
      <c r="F2272" t="s">
        <v>57</v>
      </c>
      <c r="G2272">
        <v>-342.94709999999998</v>
      </c>
      <c r="H2272">
        <v>7.4172750000000001</v>
      </c>
      <c r="I2272">
        <v>179.1645</v>
      </c>
      <c r="J2272">
        <v>-482.32909999999998</v>
      </c>
      <c r="K2272">
        <v>1.12704</v>
      </c>
      <c r="L2272">
        <v>210.24590000000001</v>
      </c>
      <c r="M2272">
        <v>0.85132790000000003</v>
      </c>
      <c r="N2272">
        <v>0</v>
      </c>
      <c r="O2272">
        <v>-0.52431709999999998</v>
      </c>
      <c r="P2272">
        <v>0.94119949999999997</v>
      </c>
      <c r="Q2272">
        <v>0.1590145</v>
      </c>
      <c r="R2272">
        <v>-0.29809020000000003</v>
      </c>
      <c r="S2272">
        <v>2.9581300000000001</v>
      </c>
      <c r="T2272">
        <v>0.1332489</v>
      </c>
      <c r="U2272">
        <v>-0.66174319999999998</v>
      </c>
      <c r="V2272">
        <v>-0.24749260000000001</v>
      </c>
      <c r="W2272">
        <v>0.16542129999999999</v>
      </c>
      <c r="X2272">
        <v>0.95466390000000001</v>
      </c>
      <c r="Y2272">
        <v>-0.32511630000000002</v>
      </c>
      <c r="Z2272">
        <v>-2.929037E-2</v>
      </c>
      <c r="AA2272">
        <v>0.94522039999999996</v>
      </c>
      <c r="AB2272">
        <v>35</v>
      </c>
      <c r="AC2272">
        <v>139.38200000000001</v>
      </c>
      <c r="AD2272">
        <v>6.290235</v>
      </c>
      <c r="AE2272">
        <v>-31.081399999999999</v>
      </c>
      <c r="AF2272">
        <v>-46.537361547797303</v>
      </c>
      <c r="AG2272">
        <v>6.290235</v>
      </c>
      <c r="AH2272">
        <v>134.71735198509401</v>
      </c>
      <c r="AI2272">
        <v>87.473002532247705</v>
      </c>
      <c r="AJ2272">
        <v>109.057187745467</v>
      </c>
      <c r="AK2272">
        <v>142.66764875773799</v>
      </c>
      <c r="AL2272">
        <v>80.4782902770188</v>
      </c>
      <c r="AM2272">
        <v>104.53373212376199</v>
      </c>
      <c r="AN2272">
        <v>0.99999997775582905</v>
      </c>
    </row>
    <row r="2273" spans="1:40" x14ac:dyDescent="0.25">
      <c r="A2273" t="str">
        <f>"20190312164515917"</f>
        <v>20190312164515917</v>
      </c>
      <c r="B2273" t="str">
        <f>"1552380315913413"</f>
        <v>1552380315913413</v>
      </c>
      <c r="C2273" t="s">
        <v>40</v>
      </c>
      <c r="D2273">
        <v>4.8782620000000003</v>
      </c>
      <c r="E2273">
        <v>0.46508909999999998</v>
      </c>
      <c r="F2273" t="s">
        <v>58</v>
      </c>
      <c r="G2273">
        <v>0</v>
      </c>
      <c r="H2273">
        <v>0</v>
      </c>
      <c r="I2273">
        <v>0</v>
      </c>
      <c r="J2273">
        <v>-482.0421</v>
      </c>
      <c r="K2273">
        <v>1.1270389999999999</v>
      </c>
      <c r="L2273">
        <v>210.08099999999999</v>
      </c>
      <c r="M2273">
        <v>0.861096999999999</v>
      </c>
      <c r="N2273">
        <v>0</v>
      </c>
      <c r="O2273">
        <v>-0.50811289999999998</v>
      </c>
      <c r="P2273">
        <v>0.94524609999999998</v>
      </c>
      <c r="Q2273">
        <v>0.15993729999999901</v>
      </c>
      <c r="R2273">
        <v>-0.28448179999999901</v>
      </c>
      <c r="S2273">
        <v>2.966675</v>
      </c>
      <c r="T2273">
        <v>0.14602319999999999</v>
      </c>
      <c r="U2273">
        <v>-0.61897279999999999</v>
      </c>
      <c r="V2273">
        <v>-0.24314939999999999</v>
      </c>
      <c r="W2273">
        <v>0.16657520000000001</v>
      </c>
      <c r="X2273">
        <v>0.95557890000000001</v>
      </c>
      <c r="Y2273">
        <v>-0.32068819999999998</v>
      </c>
      <c r="Z2273">
        <v>-3.1300880000000003E-2</v>
      </c>
      <c r="AA2273">
        <v>0.9466675</v>
      </c>
      <c r="AB2273">
        <v>35</v>
      </c>
      <c r="AC2273">
        <v>2.966675</v>
      </c>
      <c r="AD2273">
        <v>0.14602319999999999</v>
      </c>
      <c r="AE2273">
        <v>-0.61897279999999999</v>
      </c>
      <c r="AF2273">
        <v>-0.97231522864323205</v>
      </c>
      <c r="AG2273">
        <v>0.14602319999999999</v>
      </c>
      <c r="AH2273">
        <v>2.8629344182516001</v>
      </c>
      <c r="AI2273">
        <v>87.235022839108694</v>
      </c>
      <c r="AJ2273">
        <v>108.758612290939</v>
      </c>
      <c r="AK2273">
        <v>3.0270634552317199</v>
      </c>
      <c r="AL2273">
        <v>80.411246541255096</v>
      </c>
      <c r="AM2273">
        <v>104.27609155098401</v>
      </c>
      <c r="AN2273">
        <v>0.99999998105030397</v>
      </c>
    </row>
    <row r="2274" spans="1:40" x14ac:dyDescent="0.25">
      <c r="A2274" t="str">
        <f>"20190312164515952"</f>
        <v>20190312164515952</v>
      </c>
      <c r="B2274" t="str">
        <f>"1552380315943670"</f>
        <v>1552380315943670</v>
      </c>
      <c r="C2274" t="s">
        <v>40</v>
      </c>
      <c r="D2274">
        <v>4.7871639999999998</v>
      </c>
      <c r="E2274">
        <v>0.46498299999999998</v>
      </c>
      <c r="F2274" t="s">
        <v>58</v>
      </c>
      <c r="G2274">
        <v>0</v>
      </c>
      <c r="H2274">
        <v>0</v>
      </c>
      <c r="I2274">
        <v>0</v>
      </c>
      <c r="J2274">
        <v>-481.58139999999997</v>
      </c>
      <c r="K2274">
        <v>1.1270389999999999</v>
      </c>
      <c r="L2274">
        <v>209.83109999999999</v>
      </c>
      <c r="M2274">
        <v>0.87599110000000002</v>
      </c>
      <c r="N2274">
        <v>0</v>
      </c>
      <c r="O2274">
        <v>-0.4819811</v>
      </c>
      <c r="P2274">
        <v>0.95156540000000001</v>
      </c>
      <c r="Q2274">
        <v>0.16385</v>
      </c>
      <c r="R2274">
        <v>-0.26014749999999998</v>
      </c>
      <c r="S2274">
        <v>2.975403</v>
      </c>
      <c r="T2274">
        <v>0.15128910000000001</v>
      </c>
      <c r="U2274">
        <v>-0.57392880000000002</v>
      </c>
      <c r="V2274">
        <v>-0.23875099999999999</v>
      </c>
      <c r="W2274">
        <v>0.17072780000000001</v>
      </c>
      <c r="X2274">
        <v>0.955955</v>
      </c>
      <c r="Y2274">
        <v>-0.30647529999999901</v>
      </c>
      <c r="Z2274">
        <v>-3.0914549999999999E-2</v>
      </c>
      <c r="AA2274">
        <v>0.95137649999999996</v>
      </c>
      <c r="AB2274">
        <v>35</v>
      </c>
      <c r="AC2274">
        <v>2.975403</v>
      </c>
      <c r="AD2274">
        <v>0.15128910000000001</v>
      </c>
      <c r="AE2274">
        <v>-0.57392880000000002</v>
      </c>
      <c r="AF2274">
        <v>-0.92917089220631099</v>
      </c>
      <c r="AG2274">
        <v>0.15128910000000001</v>
      </c>
      <c r="AH2274">
        <v>2.8763609890572202</v>
      </c>
      <c r="AI2274">
        <v>87.134696070469403</v>
      </c>
      <c r="AJ2274">
        <v>107.902373858651</v>
      </c>
      <c r="AK2274">
        <v>3.0264995420572101</v>
      </c>
      <c r="AL2274">
        <v>80.169862347897904</v>
      </c>
      <c r="AM2274">
        <v>104.022831201329</v>
      </c>
      <c r="AN2274">
        <v>0.99999999185942001</v>
      </c>
    </row>
    <row r="2275" spans="1:40" x14ac:dyDescent="0.25">
      <c r="A2275" t="str">
        <f>"20190312164515972"</f>
        <v>20190312164515972</v>
      </c>
      <c r="B2275" t="str">
        <f>"1552380315964165"</f>
        <v>1552380315964165</v>
      </c>
      <c r="C2275" t="s">
        <v>40</v>
      </c>
      <c r="D2275">
        <v>5.1265830000000001</v>
      </c>
      <c r="E2275">
        <v>0.46494980000000002</v>
      </c>
      <c r="F2275" t="s">
        <v>59</v>
      </c>
      <c r="G2275">
        <v>-363.4495</v>
      </c>
      <c r="H2275">
        <v>7.6905130000000002</v>
      </c>
      <c r="I2275">
        <v>190.19479999999999</v>
      </c>
      <c r="J2275">
        <v>-481.29579999999999</v>
      </c>
      <c r="K2275">
        <v>1.127054</v>
      </c>
      <c r="L2275">
        <v>209.68559999999999</v>
      </c>
      <c r="M2275">
        <v>0.8847488</v>
      </c>
      <c r="N2275">
        <v>0</v>
      </c>
      <c r="O2275">
        <v>-0.4657095</v>
      </c>
      <c r="P2275">
        <v>0.95416489999999998</v>
      </c>
      <c r="Q2275">
        <v>0.16968429999999901</v>
      </c>
      <c r="R2275">
        <v>-0.2465301</v>
      </c>
      <c r="S2275">
        <v>2.9882810000000002</v>
      </c>
      <c r="T2275">
        <v>0.16603270000000001</v>
      </c>
      <c r="U2275">
        <v>-0.49671939999999998</v>
      </c>
      <c r="V2275">
        <v>-0.23451240000000001</v>
      </c>
      <c r="W2275">
        <v>0.17677880000000001</v>
      </c>
      <c r="X2275">
        <v>0.95590439999999999</v>
      </c>
      <c r="Y2275">
        <v>-0.31327909999999998</v>
      </c>
      <c r="Z2275">
        <v>-3.3295659999999998E-2</v>
      </c>
      <c r="AA2275">
        <v>0.94907719999999995</v>
      </c>
      <c r="AB2275">
        <v>35</v>
      </c>
      <c r="AC2275">
        <v>117.8463</v>
      </c>
      <c r="AD2275">
        <v>6.5634589999999999</v>
      </c>
      <c r="AE2275">
        <v>-19.4908</v>
      </c>
      <c r="AF2275">
        <v>-37.530652645795001</v>
      </c>
      <c r="AG2275">
        <v>6.5634589999999999</v>
      </c>
      <c r="AH2275">
        <v>113.019124394092</v>
      </c>
      <c r="AI2275">
        <v>86.845362500428905</v>
      </c>
      <c r="AJ2275">
        <v>108.36995784354001</v>
      </c>
      <c r="AK2275">
        <v>119.268400512756</v>
      </c>
      <c r="AL2275">
        <v>79.817810240364295</v>
      </c>
      <c r="AM2275">
        <v>103.78415738811699</v>
      </c>
      <c r="AN2275">
        <v>1.0000000159112701</v>
      </c>
    </row>
    <row r="2276" spans="1:40" x14ac:dyDescent="0.25">
      <c r="A2276" t="str">
        <f>"20190312164515998"</f>
        <v>20190312164515998</v>
      </c>
      <c r="B2276" t="str">
        <f>"1552380315993445"</f>
        <v>1552380315993445</v>
      </c>
      <c r="C2276" t="s">
        <v>40</v>
      </c>
      <c r="D2276">
        <v>5.1854050000000003</v>
      </c>
      <c r="E2276">
        <v>0.4649182</v>
      </c>
      <c r="F2276" t="s">
        <v>60</v>
      </c>
      <c r="G2276">
        <v>-156.8339</v>
      </c>
      <c r="H2276">
        <v>21.227530000000002</v>
      </c>
      <c r="I2276">
        <v>160.47989999999999</v>
      </c>
      <c r="J2276">
        <v>-480.95330000000001</v>
      </c>
      <c r="K2276">
        <v>1.127065</v>
      </c>
      <c r="L2276">
        <v>209.52010000000001</v>
      </c>
      <c r="M2276">
        <v>0.89479010000000003</v>
      </c>
      <c r="N2276">
        <v>0</v>
      </c>
      <c r="O2276">
        <v>-0.44611210000000001</v>
      </c>
      <c r="P2276">
        <v>0.95744099999999999</v>
      </c>
      <c r="Q2276">
        <v>0.17406669999999999</v>
      </c>
      <c r="R2276">
        <v>-0.23023389999999999</v>
      </c>
      <c r="S2276">
        <v>2.9938349999999998</v>
      </c>
      <c r="T2276">
        <v>0.18546889999999999</v>
      </c>
      <c r="U2276">
        <v>-0.45402530000000002</v>
      </c>
      <c r="V2276">
        <v>-0.2295778</v>
      </c>
      <c r="W2276">
        <v>0.18141940000000001</v>
      </c>
      <c r="X2276">
        <v>0.95623270000000005</v>
      </c>
      <c r="Y2276">
        <v>-0.30561690000000002</v>
      </c>
      <c r="Z2276">
        <v>-3.5874419999999997E-2</v>
      </c>
      <c r="AA2276">
        <v>0.9514785</v>
      </c>
      <c r="AB2276">
        <v>35</v>
      </c>
      <c r="AC2276">
        <v>324.11939999999998</v>
      </c>
      <c r="AD2276">
        <v>20.100465</v>
      </c>
      <c r="AE2276">
        <v>-49.040199999999999</v>
      </c>
      <c r="AF2276">
        <v>-100.352446257159</v>
      </c>
      <c r="AG2276">
        <v>20.100465</v>
      </c>
      <c r="AH2276">
        <v>310.77997096907399</v>
      </c>
      <c r="AI2276">
        <v>86.477986408105807</v>
      </c>
      <c r="AJ2276">
        <v>107.895534226382</v>
      </c>
      <c r="AK2276">
        <v>327.19846044648699</v>
      </c>
      <c r="AL2276">
        <v>79.547552929648205</v>
      </c>
      <c r="AM2276">
        <v>103.500376174156</v>
      </c>
      <c r="AN2276">
        <v>0.99999997074924396</v>
      </c>
    </row>
    <row r="2277" spans="1:40" x14ac:dyDescent="0.25">
      <c r="A2277" t="str">
        <f>"20190312164516018"</f>
        <v>20190312164516018</v>
      </c>
      <c r="B2277" t="str">
        <f>"1552380316013941"</f>
        <v>1552380316013941</v>
      </c>
      <c r="C2277" t="s">
        <v>40</v>
      </c>
      <c r="D2277">
        <v>5.0084910000000002</v>
      </c>
      <c r="E2277">
        <v>0.4649876</v>
      </c>
      <c r="F2277" t="s">
        <v>57</v>
      </c>
      <c r="G2277">
        <v>-257.10399999999998</v>
      </c>
      <c r="H2277">
        <v>16.128150000000002</v>
      </c>
      <c r="I2277">
        <v>179.4853</v>
      </c>
      <c r="J2277">
        <v>-480.6866</v>
      </c>
      <c r="K2277">
        <v>1.127057</v>
      </c>
      <c r="L2277">
        <v>209.39760000000001</v>
      </c>
      <c r="M2277">
        <v>0.90226819999999996</v>
      </c>
      <c r="N2277">
        <v>0</v>
      </c>
      <c r="O2277">
        <v>-0.43078630000000001</v>
      </c>
      <c r="P2277">
        <v>0.95973090000000005</v>
      </c>
      <c r="Q2277">
        <v>0.1771681</v>
      </c>
      <c r="R2277">
        <v>-0.2180105</v>
      </c>
      <c r="S2277">
        <v>3.0000309999999999</v>
      </c>
      <c r="T2277">
        <v>0.20104530000000001</v>
      </c>
      <c r="U2277">
        <v>-0.40252690000000002</v>
      </c>
      <c r="V2277">
        <v>-0.2253366</v>
      </c>
      <c r="W2277">
        <v>0.18474209999999999</v>
      </c>
      <c r="X2277">
        <v>0.95660540000000005</v>
      </c>
      <c r="Y2277">
        <v>-0.30547479999999999</v>
      </c>
      <c r="Z2277">
        <v>-3.7951980000000003E-2</v>
      </c>
      <c r="AA2277">
        <v>0.95144359999999994</v>
      </c>
      <c r="AB2277">
        <v>35</v>
      </c>
      <c r="AC2277">
        <v>223.58260000000001</v>
      </c>
      <c r="AD2277">
        <v>15.001092999999999</v>
      </c>
      <c r="AE2277">
        <v>-29.912299999999998</v>
      </c>
      <c r="AF2277">
        <v>-69.033728349954799</v>
      </c>
      <c r="AG2277">
        <v>15.001092999999999</v>
      </c>
      <c r="AH2277">
        <v>213.708145792344</v>
      </c>
      <c r="AI2277">
        <v>86.178560327587306</v>
      </c>
      <c r="AJ2277">
        <v>107.90191257419001</v>
      </c>
      <c r="AK2277">
        <v>225.08189624910301</v>
      </c>
      <c r="AL2277">
        <v>79.353903994519698</v>
      </c>
      <c r="AM2277">
        <v>103.254876208494</v>
      </c>
      <c r="AN2277">
        <v>1.00000005906056</v>
      </c>
    </row>
    <row r="2278" spans="1:40" x14ac:dyDescent="0.25">
      <c r="A2278" t="str">
        <f>"20190312164516043"</f>
        <v>20190312164516043</v>
      </c>
      <c r="B2278" t="str">
        <f>"1552380316034097"</f>
        <v>1552380316034097</v>
      </c>
      <c r="C2278" t="s">
        <v>40</v>
      </c>
      <c r="D2278">
        <v>4.8530030000000002</v>
      </c>
      <c r="E2278">
        <v>0.4650745</v>
      </c>
      <c r="F2278" t="s">
        <v>57</v>
      </c>
      <c r="G2278">
        <v>-248.5668</v>
      </c>
      <c r="H2278">
        <v>17.540129999999898</v>
      </c>
      <c r="I2278">
        <v>181.21950000000001</v>
      </c>
      <c r="J2278">
        <v>-480.33429999999998</v>
      </c>
      <c r="K2278">
        <v>1.127054</v>
      </c>
      <c r="L2278">
        <v>209.2441</v>
      </c>
      <c r="M2278">
        <v>0.9117014</v>
      </c>
      <c r="N2278">
        <v>0</v>
      </c>
      <c r="O2278">
        <v>-0.41044360000000002</v>
      </c>
      <c r="P2278">
        <v>0.96338400000000002</v>
      </c>
      <c r="Q2278">
        <v>0.17860889999999999</v>
      </c>
      <c r="R2278">
        <v>-0.19997490000000001</v>
      </c>
      <c r="S2278">
        <v>3.003876</v>
      </c>
      <c r="T2278">
        <v>0.21240310000000001</v>
      </c>
      <c r="U2278">
        <v>-0.36465449999999999</v>
      </c>
      <c r="V2278">
        <v>-0.2217606</v>
      </c>
      <c r="W2278">
        <v>0.18638060000000001</v>
      </c>
      <c r="X2278">
        <v>0.95712299999999995</v>
      </c>
      <c r="Y2278">
        <v>-0.29596270000000002</v>
      </c>
      <c r="Z2278">
        <v>-3.8454950000000002E-2</v>
      </c>
      <c r="AA2278">
        <v>0.95442510000000003</v>
      </c>
      <c r="AB2278">
        <v>34</v>
      </c>
      <c r="AC2278">
        <v>231.76750000000001</v>
      </c>
      <c r="AD2278">
        <v>16.413075999999901</v>
      </c>
      <c r="AE2278">
        <v>-28.0245999999999</v>
      </c>
      <c r="AF2278">
        <v>-69.246861289471397</v>
      </c>
      <c r="AG2278">
        <v>16.413075999999901</v>
      </c>
      <c r="AH2278">
        <v>221.74673562903601</v>
      </c>
      <c r="AI2278">
        <v>85.958631635863995</v>
      </c>
      <c r="AJ2278">
        <v>107.342491015692</v>
      </c>
      <c r="AK2278">
        <v>232.88652091599999</v>
      </c>
      <c r="AL2278">
        <v>79.258364579472499</v>
      </c>
      <c r="AM2278">
        <v>103.04496653687001</v>
      </c>
      <c r="AN2278">
        <v>0.99999996444885897</v>
      </c>
    </row>
    <row r="2279" spans="1:40" x14ac:dyDescent="0.25">
      <c r="A2279" t="str">
        <f>"20190312164516065"</f>
        <v>20190312164516065</v>
      </c>
      <c r="B2279" t="str">
        <f>"1552380316053617"</f>
        <v>1552380316053617</v>
      </c>
      <c r="C2279" t="s">
        <v>40</v>
      </c>
      <c r="D2279">
        <v>5.1604390000000002</v>
      </c>
      <c r="E2279">
        <v>0.46503559999999999</v>
      </c>
      <c r="F2279" t="s">
        <v>57</v>
      </c>
      <c r="G2279">
        <v>-232.90199999999999</v>
      </c>
      <c r="H2279">
        <v>19.024699999999999</v>
      </c>
      <c r="I2279">
        <v>183.8014</v>
      </c>
      <c r="J2279">
        <v>-480.04079999999999</v>
      </c>
      <c r="K2279">
        <v>1.1268020000000001</v>
      </c>
      <c r="L2279">
        <v>209.1233</v>
      </c>
      <c r="M2279">
        <v>0.91855359999999997</v>
      </c>
      <c r="N2279">
        <v>0</v>
      </c>
      <c r="O2279">
        <v>-0.39485720000000002</v>
      </c>
      <c r="P2279">
        <v>0.96551920000000002</v>
      </c>
      <c r="Q2279">
        <v>0.18164910000000001</v>
      </c>
      <c r="R2279">
        <v>-0.18648419999999999</v>
      </c>
      <c r="S2279">
        <v>3.0093990000000002</v>
      </c>
      <c r="T2279">
        <v>0.21768090000000001</v>
      </c>
      <c r="U2279">
        <v>-0.30944820000000001</v>
      </c>
      <c r="V2279">
        <v>-0.2185947</v>
      </c>
      <c r="W2279">
        <v>0.1900443</v>
      </c>
      <c r="X2279">
        <v>0.95713090000000001</v>
      </c>
      <c r="Y2279">
        <v>-0.2971529</v>
      </c>
      <c r="Z2279">
        <v>-3.8413799999999998E-2</v>
      </c>
      <c r="AA2279">
        <v>0.95405689999999999</v>
      </c>
      <c r="AB2279">
        <v>34</v>
      </c>
      <c r="AC2279">
        <v>247.1388</v>
      </c>
      <c r="AD2279">
        <v>17.897897999999898</v>
      </c>
      <c r="AE2279">
        <v>-25.321899999999999</v>
      </c>
      <c r="AF2279">
        <v>-73.954074996620704</v>
      </c>
      <c r="AG2279">
        <v>17.897897999999898</v>
      </c>
      <c r="AH2279">
        <v>235.82591865638</v>
      </c>
      <c r="AI2279">
        <v>85.858031676851397</v>
      </c>
      <c r="AJ2279">
        <v>107.41121835640899</v>
      </c>
      <c r="AK2279">
        <v>247.79710222589301</v>
      </c>
      <c r="AL2279">
        <v>79.044630707120803</v>
      </c>
      <c r="AM2279">
        <v>102.864870375835</v>
      </c>
      <c r="AN2279">
        <v>1.0000000192826899</v>
      </c>
    </row>
    <row r="2280" spans="1:40" x14ac:dyDescent="0.25">
      <c r="A2280" t="str">
        <f>"20190312164516084"</f>
        <v>20190312164516084</v>
      </c>
      <c r="B2280" t="str">
        <f>"1552380316074113"</f>
        <v>1552380316074113</v>
      </c>
      <c r="C2280" t="s">
        <v>40</v>
      </c>
      <c r="D2280">
        <v>5.1101409999999996</v>
      </c>
      <c r="E2280">
        <v>0.46488790000000002</v>
      </c>
      <c r="F2280" t="s">
        <v>48</v>
      </c>
      <c r="G2280">
        <v>-455.5061</v>
      </c>
      <c r="H2280">
        <v>2.988448</v>
      </c>
      <c r="I2280">
        <v>206.94560000000001</v>
      </c>
      <c r="J2280">
        <v>-479.76280000000003</v>
      </c>
      <c r="K2280">
        <v>1.12622</v>
      </c>
      <c r="L2280">
        <v>209.01419999999999</v>
      </c>
      <c r="M2280">
        <v>0.92423100000000002</v>
      </c>
      <c r="N2280">
        <v>0</v>
      </c>
      <c r="O2280">
        <v>-0.3813493</v>
      </c>
      <c r="P2280">
        <v>0.96705669999999999</v>
      </c>
      <c r="Q2280">
        <v>0.1832918</v>
      </c>
      <c r="R2280">
        <v>-0.176652</v>
      </c>
      <c r="S2280">
        <v>3.0124819999999999</v>
      </c>
      <c r="T2280">
        <v>0.22858809999999999</v>
      </c>
      <c r="U2280">
        <v>-0.26739499999999999</v>
      </c>
      <c r="V2280">
        <v>-0.2138207</v>
      </c>
      <c r="W2280">
        <v>0.19295999999999999</v>
      </c>
      <c r="X2280">
        <v>0.95762579999999997</v>
      </c>
      <c r="Y2280">
        <v>-0.2963211</v>
      </c>
      <c r="Z2280">
        <v>-3.9360939999999997E-2</v>
      </c>
      <c r="AA2280">
        <v>0.95427700000000004</v>
      </c>
      <c r="AB2280">
        <v>34</v>
      </c>
      <c r="AC2280">
        <v>24.256699999999999</v>
      </c>
      <c r="AD2280">
        <v>1.862228</v>
      </c>
      <c r="AE2280">
        <v>-2.0685999999999698</v>
      </c>
      <c r="AF2280">
        <v>-7.2970708231626196</v>
      </c>
      <c r="AG2280">
        <v>1.862228</v>
      </c>
      <c r="AH2280">
        <v>23.076914351136999</v>
      </c>
      <c r="AI2280">
        <v>85.600237470232003</v>
      </c>
      <c r="AJ2280">
        <v>107.547294063197</v>
      </c>
      <c r="AK2280">
        <v>24.274659867688101</v>
      </c>
      <c r="AL2280">
        <v>78.874423099771505</v>
      </c>
      <c r="AM2280">
        <v>102.58666352938999</v>
      </c>
      <c r="AN2280">
        <v>1.0000000130870601</v>
      </c>
    </row>
    <row r="2281" spans="1:40" x14ac:dyDescent="0.25">
      <c r="A2281" t="str">
        <f>"20190312164516108"</f>
        <v>20190312164516108</v>
      </c>
      <c r="B2281" t="str">
        <f>"1552380316103394"</f>
        <v>1552380316103394</v>
      </c>
      <c r="C2281" t="s">
        <v>40</v>
      </c>
      <c r="D2281">
        <v>5.0839349999999897</v>
      </c>
      <c r="E2281">
        <v>0.46469769999999999</v>
      </c>
      <c r="F2281" t="s">
        <v>60</v>
      </c>
      <c r="G2281">
        <v>-169.40889999999999</v>
      </c>
      <c r="H2281">
        <v>25.78877</v>
      </c>
      <c r="I2281">
        <v>184.84700000000001</v>
      </c>
      <c r="J2281">
        <v>-479.44850000000002</v>
      </c>
      <c r="K2281">
        <v>1.125974</v>
      </c>
      <c r="L2281">
        <v>208.89680000000001</v>
      </c>
      <c r="M2281">
        <v>0.93059119999999995</v>
      </c>
      <c r="N2281">
        <v>0</v>
      </c>
      <c r="O2281">
        <v>-0.36553809999999998</v>
      </c>
      <c r="P2281">
        <v>0.96916259999999999</v>
      </c>
      <c r="Q2281">
        <v>0.18411710000000001</v>
      </c>
      <c r="R2281">
        <v>-0.1637836</v>
      </c>
      <c r="S2281">
        <v>3.0139469999999999</v>
      </c>
      <c r="T2281">
        <v>0.2395062</v>
      </c>
      <c r="U2281">
        <v>-0.2346954</v>
      </c>
      <c r="V2281">
        <v>-0.2096576</v>
      </c>
      <c r="W2281">
        <v>0.19484750000000001</v>
      </c>
      <c r="X2281">
        <v>0.95816389999999996</v>
      </c>
      <c r="Y2281">
        <v>-0.29024489999999997</v>
      </c>
      <c r="Z2281">
        <v>-3.9838949999999998E-2</v>
      </c>
      <c r="AA2281">
        <v>0.95612280000000005</v>
      </c>
      <c r="AB2281">
        <v>34</v>
      </c>
      <c r="AC2281">
        <v>310.03960000000001</v>
      </c>
      <c r="AD2281">
        <v>24.662796</v>
      </c>
      <c r="AE2281">
        <v>-24.049800000000001</v>
      </c>
      <c r="AF2281">
        <v>-90.399521328572604</v>
      </c>
      <c r="AG2281">
        <v>24.662796</v>
      </c>
      <c r="AH2281">
        <v>295.50930283930398</v>
      </c>
      <c r="AI2281">
        <v>85.437018623133895</v>
      </c>
      <c r="AJ2281">
        <v>107.00944343195501</v>
      </c>
      <c r="AK2281">
        <v>310.00979827667402</v>
      </c>
      <c r="AL2281">
        <v>78.764184419283595</v>
      </c>
      <c r="AM2281">
        <v>102.34246826068301</v>
      </c>
      <c r="AN2281">
        <v>0.999999958378609</v>
      </c>
    </row>
    <row r="2282" spans="1:40" x14ac:dyDescent="0.25">
      <c r="A2282" t="str">
        <f>"20190312164516130"</f>
        <v>20190312164516130</v>
      </c>
      <c r="B2282" t="str">
        <f>"1552380316123893"</f>
        <v>1552380316123893</v>
      </c>
      <c r="C2282" t="s">
        <v>40</v>
      </c>
      <c r="D2282">
        <v>5.0443709999999999</v>
      </c>
      <c r="E2282">
        <v>0.46461190000000002</v>
      </c>
      <c r="F2282" t="s">
        <v>60</v>
      </c>
      <c r="G2282">
        <v>-168.42509999999999</v>
      </c>
      <c r="H2282">
        <v>26.68834</v>
      </c>
      <c r="I2282">
        <v>188.93260000000001</v>
      </c>
      <c r="J2282">
        <v>-479.1422</v>
      </c>
      <c r="K2282">
        <v>1.126798</v>
      </c>
      <c r="L2282">
        <v>208.7895</v>
      </c>
      <c r="M2282">
        <v>0.93740679999999998</v>
      </c>
      <c r="N2282">
        <v>0</v>
      </c>
      <c r="O2282">
        <v>-0.34773860000000001</v>
      </c>
      <c r="P2282">
        <v>0.97050449999999999</v>
      </c>
      <c r="Q2282">
        <v>0.1884641</v>
      </c>
      <c r="R2282">
        <v>-0.15034220000000001</v>
      </c>
      <c r="S2282">
        <v>3.0156860000000001</v>
      </c>
      <c r="T2282">
        <v>0.2478533</v>
      </c>
      <c r="U2282">
        <v>-0.193573</v>
      </c>
      <c r="V2282">
        <v>-0.20425109999999999</v>
      </c>
      <c r="W2282">
        <v>0.19875399999999999</v>
      </c>
      <c r="X2282">
        <v>0.95852919999999997</v>
      </c>
      <c r="Y2282">
        <v>-0.28495140000000002</v>
      </c>
      <c r="Z2282">
        <v>-3.9646920000000002E-2</v>
      </c>
      <c r="AA2282">
        <v>0.95772170000000001</v>
      </c>
      <c r="AB2282">
        <v>34</v>
      </c>
      <c r="AC2282">
        <v>310.71710000000002</v>
      </c>
      <c r="AD2282">
        <v>25.561541999999999</v>
      </c>
      <c r="AE2282">
        <v>-19.8569</v>
      </c>
      <c r="AF2282">
        <v>-88.850953926264694</v>
      </c>
      <c r="AG2282">
        <v>25.561541999999999</v>
      </c>
      <c r="AH2282">
        <v>296.22834116512098</v>
      </c>
      <c r="AI2282">
        <v>85.275118968207096</v>
      </c>
      <c r="AJ2282">
        <v>106.696130261947</v>
      </c>
      <c r="AK2282">
        <v>310.32098632297499</v>
      </c>
      <c r="AL2282">
        <v>78.535893568708403</v>
      </c>
      <c r="AM2282">
        <v>102.029131493568</v>
      </c>
      <c r="AN2282">
        <v>0.99999994580992302</v>
      </c>
    </row>
    <row r="2283" spans="1:40" x14ac:dyDescent="0.25">
      <c r="A2283" t="str">
        <f>"20190312164516153"</f>
        <v>20190312164516153</v>
      </c>
      <c r="B2283" t="str">
        <f>"1552380316143413"</f>
        <v>1552380316143413</v>
      </c>
      <c r="C2283" t="s">
        <v>40</v>
      </c>
      <c r="D2283">
        <v>4.8286259999999999</v>
      </c>
      <c r="E2283">
        <v>0.46459240000000002</v>
      </c>
      <c r="F2283" t="s">
        <v>60</v>
      </c>
      <c r="G2283">
        <v>-168.42429999999999</v>
      </c>
      <c r="H2283">
        <v>28.17212</v>
      </c>
      <c r="I2283">
        <v>193.02</v>
      </c>
      <c r="J2283">
        <v>-478.8229</v>
      </c>
      <c r="K2283">
        <v>1.1287450000000001</v>
      </c>
      <c r="L2283">
        <v>208.68559999999999</v>
      </c>
      <c r="M2283">
        <v>0.94463909999999995</v>
      </c>
      <c r="N2283">
        <v>0</v>
      </c>
      <c r="O2283">
        <v>-0.32770199999999999</v>
      </c>
      <c r="P2283">
        <v>0.97193750000000001</v>
      </c>
      <c r="Q2283">
        <v>0.1919073</v>
      </c>
      <c r="R2283">
        <v>-0.13604929999999901</v>
      </c>
      <c r="S2283">
        <v>3.0164789999999999</v>
      </c>
      <c r="T2283">
        <v>0.26255889999999998</v>
      </c>
      <c r="U2283">
        <v>-0.15309139999999999</v>
      </c>
      <c r="V2283">
        <v>-0.1978268</v>
      </c>
      <c r="W2283">
        <v>0.20023009999999999</v>
      </c>
      <c r="X2283">
        <v>0.95956889999999995</v>
      </c>
      <c r="Y2283">
        <v>-0.27720099999999998</v>
      </c>
      <c r="Z2283">
        <v>-4.002547E-2</v>
      </c>
      <c r="AA2283">
        <v>0.95997790000000005</v>
      </c>
      <c r="AB2283">
        <v>33</v>
      </c>
      <c r="AC2283">
        <v>310.39859999999999</v>
      </c>
      <c r="AD2283">
        <v>27.043375000000001</v>
      </c>
      <c r="AE2283">
        <v>-15.6655999999999</v>
      </c>
      <c r="AF2283">
        <v>-86.278319835719799</v>
      </c>
      <c r="AG2283">
        <v>27.043375000000001</v>
      </c>
      <c r="AH2283">
        <v>296.14609736749799</v>
      </c>
      <c r="AI2283">
        <v>84.989533537920096</v>
      </c>
      <c r="AJ2283">
        <v>106.242796277522</v>
      </c>
      <c r="AK2283">
        <v>309.64141129872303</v>
      </c>
      <c r="AL2283">
        <v>78.449585083139098</v>
      </c>
      <c r="AM2283">
        <v>101.64901316467601</v>
      </c>
      <c r="AN2283">
        <v>1.00000000479572</v>
      </c>
    </row>
    <row r="2284" spans="1:40" x14ac:dyDescent="0.25">
      <c r="A2284" t="str">
        <f>"20190312164516174"</f>
        <v>20190312164516174</v>
      </c>
      <c r="B2284" t="str">
        <f>"1552380316163909"</f>
        <v>1552380316163909</v>
      </c>
      <c r="C2284" t="s">
        <v>40</v>
      </c>
      <c r="D2284">
        <v>5.0508189999999997</v>
      </c>
      <c r="E2284">
        <v>0.46459420000000001</v>
      </c>
      <c r="F2284" t="s">
        <v>60</v>
      </c>
      <c r="G2284">
        <v>-168.42320000000001</v>
      </c>
      <c r="H2284">
        <v>29.522010000000002</v>
      </c>
      <c r="I2284">
        <v>197.54089999999999</v>
      </c>
      <c r="J2284">
        <v>-478.52359999999999</v>
      </c>
      <c r="K2284">
        <v>1.13104</v>
      </c>
      <c r="L2284">
        <v>208.59549999999999</v>
      </c>
      <c r="M2284">
        <v>0.95105620000000002</v>
      </c>
      <c r="N2284">
        <v>0</v>
      </c>
      <c r="O2284">
        <v>-0.3087105</v>
      </c>
      <c r="P2284">
        <v>0.9737304</v>
      </c>
      <c r="Q2284">
        <v>0.1912788</v>
      </c>
      <c r="R2284">
        <v>-0.1235388</v>
      </c>
      <c r="S2284">
        <v>3.0169679999999999</v>
      </c>
      <c r="T2284">
        <v>0.275972099999999</v>
      </c>
      <c r="U2284">
        <v>-0.1083221</v>
      </c>
      <c r="V2284">
        <v>-0.19098809999999999</v>
      </c>
      <c r="W2284">
        <v>0.19722990000000001</v>
      </c>
      <c r="X2284">
        <v>0.96157369999999998</v>
      </c>
      <c r="Y2284">
        <v>-0.2720301</v>
      </c>
      <c r="Z2284">
        <v>-4.0193239999999998E-2</v>
      </c>
      <c r="AA2284">
        <v>0.961449</v>
      </c>
      <c r="AB2284">
        <v>33</v>
      </c>
      <c r="AC2284">
        <v>310.10039999999998</v>
      </c>
      <c r="AD2284">
        <v>28.390969999999999</v>
      </c>
      <c r="AE2284">
        <v>-11.054599999999899</v>
      </c>
      <c r="AF2284">
        <v>-84.518251463729896</v>
      </c>
      <c r="AG2284">
        <v>28.390969999999999</v>
      </c>
      <c r="AH2284">
        <v>295.88689219902301</v>
      </c>
      <c r="AI2284">
        <v>84.728701938737103</v>
      </c>
      <c r="AJ2284">
        <v>105.94166123415999</v>
      </c>
      <c r="AK2284">
        <v>309.02821065919397</v>
      </c>
      <c r="AL2284">
        <v>78.624982719708598</v>
      </c>
      <c r="AM2284">
        <v>101.233904259567</v>
      </c>
      <c r="AN2284">
        <v>1.0000000341636499</v>
      </c>
    </row>
    <row r="2285" spans="1:40" x14ac:dyDescent="0.25">
      <c r="A2285" t="str">
        <f>"20190312164516198"</f>
        <v>20190312164516198</v>
      </c>
      <c r="B2285" t="str">
        <f>"1552380316194165"</f>
        <v>1552380316194165</v>
      </c>
      <c r="C2285" t="s">
        <v>40</v>
      </c>
      <c r="D2285">
        <v>5.3275319999999997</v>
      </c>
      <c r="E2285">
        <v>0.46456629999999899</v>
      </c>
      <c r="F2285" t="s">
        <v>60</v>
      </c>
      <c r="G2285">
        <v>-168.422</v>
      </c>
      <c r="H2285">
        <v>29.651689999999999</v>
      </c>
      <c r="I2285">
        <v>201.53469999999999</v>
      </c>
      <c r="J2285">
        <v>-478.2045</v>
      </c>
      <c r="K2285">
        <v>1.1337250000000001</v>
      </c>
      <c r="L2285">
        <v>208.50720000000001</v>
      </c>
      <c r="M2285">
        <v>0.95737070000000002</v>
      </c>
      <c r="N2285">
        <v>0</v>
      </c>
      <c r="O2285">
        <v>-0.28865950000000001</v>
      </c>
      <c r="P2285">
        <v>0.97559700000000005</v>
      </c>
      <c r="Q2285">
        <v>0.19094230000000001</v>
      </c>
      <c r="R2285">
        <v>-0.1084064</v>
      </c>
      <c r="S2285">
        <v>3.0176699999999999</v>
      </c>
      <c r="T2285">
        <v>0.27754129999999999</v>
      </c>
      <c r="U2285">
        <v>-6.871033E-2</v>
      </c>
      <c r="V2285">
        <v>-0.1857335</v>
      </c>
      <c r="W2285">
        <v>0.19412950000000001</v>
      </c>
      <c r="X2285">
        <v>0.96323250000000005</v>
      </c>
      <c r="Y2285">
        <v>-0.26450410000000002</v>
      </c>
      <c r="Z2285">
        <v>-3.831681E-2</v>
      </c>
      <c r="AA2285">
        <v>0.96362300000000001</v>
      </c>
      <c r="AB2285">
        <v>33</v>
      </c>
      <c r="AC2285">
        <v>309.78250000000003</v>
      </c>
      <c r="AD2285">
        <v>28.517965</v>
      </c>
      <c r="AE2285">
        <v>-6.9725000000000197</v>
      </c>
      <c r="AF2285">
        <v>-82.056189099095505</v>
      </c>
      <c r="AG2285">
        <v>28.517965</v>
      </c>
      <c r="AH2285">
        <v>296.09876989219202</v>
      </c>
      <c r="AI2285">
        <v>84.697324982017804</v>
      </c>
      <c r="AJ2285">
        <v>105.4893501307</v>
      </c>
      <c r="AK2285">
        <v>308.57895914802202</v>
      </c>
      <c r="AL2285">
        <v>78.806124355640094</v>
      </c>
      <c r="AM2285">
        <v>100.91400319125501</v>
      </c>
      <c r="AN2285">
        <v>1.0000000224243699</v>
      </c>
    </row>
    <row r="2286" spans="1:40" x14ac:dyDescent="0.25">
      <c r="A2286" t="str">
        <f>"20190312164516218"</f>
        <v>20190312164516218</v>
      </c>
      <c r="B2286" t="str">
        <f>"1552380316213685"</f>
        <v>1552380316213685</v>
      </c>
      <c r="C2286" t="s">
        <v>40</v>
      </c>
      <c r="D2286">
        <v>5.314451</v>
      </c>
      <c r="E2286">
        <v>0.46463189999999999</v>
      </c>
      <c r="F2286" t="s">
        <v>60</v>
      </c>
      <c r="G2286">
        <v>-168.4204</v>
      </c>
      <c r="H2286">
        <v>29.829820000000002</v>
      </c>
      <c r="I2286">
        <v>206.28</v>
      </c>
      <c r="J2286">
        <v>-477.90839999999997</v>
      </c>
      <c r="K2286">
        <v>1.1361190000000001</v>
      </c>
      <c r="L2286">
        <v>208.43170000000001</v>
      </c>
      <c r="M2286">
        <v>0.96279360000000003</v>
      </c>
      <c r="N2286">
        <v>0</v>
      </c>
      <c r="O2286">
        <v>-0.2701093</v>
      </c>
      <c r="P2286">
        <v>0.97708859999999997</v>
      </c>
      <c r="Q2286">
        <v>0.19148409999999999</v>
      </c>
      <c r="R2286">
        <v>-9.2907820000000002E-2</v>
      </c>
      <c r="S2286">
        <v>3.0179140000000002</v>
      </c>
      <c r="T2286">
        <v>0.27955730000000001</v>
      </c>
      <c r="U2286">
        <v>-2.1697999999999999E-2</v>
      </c>
      <c r="V2286">
        <v>-0.1822713</v>
      </c>
      <c r="W2286">
        <v>0.1924139</v>
      </c>
      <c r="X2286">
        <v>0.96423760000000003</v>
      </c>
      <c r="Y2286">
        <v>-0.26093899999999998</v>
      </c>
      <c r="Z2286">
        <v>-3.6784839999999999E-2</v>
      </c>
      <c r="AA2286">
        <v>0.96465420000000002</v>
      </c>
      <c r="AB2286">
        <v>33</v>
      </c>
      <c r="AC2286">
        <v>309.48799999999898</v>
      </c>
      <c r="AD2286">
        <v>28.693701000000001</v>
      </c>
      <c r="AE2286">
        <v>-2.1516999999999999</v>
      </c>
      <c r="AF2286">
        <v>-80.831994306858505</v>
      </c>
      <c r="AG2286">
        <v>28.693701000000001</v>
      </c>
      <c r="AH2286">
        <v>296.02022466566098</v>
      </c>
      <c r="AI2286">
        <v>84.657914420325397</v>
      </c>
      <c r="AJ2286">
        <v>105.272989470515</v>
      </c>
      <c r="AK2286">
        <v>308.19654961048798</v>
      </c>
      <c r="AL2286">
        <v>78.906310204449994</v>
      </c>
      <c r="AM2286">
        <v>100.70440120891899</v>
      </c>
      <c r="AN2286">
        <v>1.0000000424853199</v>
      </c>
    </row>
    <row r="2287" spans="1:40" x14ac:dyDescent="0.25">
      <c r="A2287" t="str">
        <f>"20190312164516243"</f>
        <v>20190312164516243</v>
      </c>
      <c r="B2287" t="str">
        <f>"1552380316233603"</f>
        <v>1552380316233603</v>
      </c>
      <c r="C2287" t="s">
        <v>40</v>
      </c>
      <c r="D2287">
        <v>5.2263539999999997</v>
      </c>
      <c r="E2287">
        <v>0.46475880000000003</v>
      </c>
      <c r="F2287" t="s">
        <v>61</v>
      </c>
      <c r="G2287">
        <v>-107.39749999999999</v>
      </c>
      <c r="H2287">
        <v>35.792929999999998</v>
      </c>
      <c r="I2287">
        <v>211.38849999999999</v>
      </c>
      <c r="J2287">
        <v>-477.55930000000001</v>
      </c>
      <c r="K2287">
        <v>1.138757</v>
      </c>
      <c r="L2287">
        <v>208.3502</v>
      </c>
      <c r="M2287">
        <v>0.96866989999999997</v>
      </c>
      <c r="N2287">
        <v>0</v>
      </c>
      <c r="O2287">
        <v>-0.24827389999999999</v>
      </c>
      <c r="P2287">
        <v>0.97853829999999997</v>
      </c>
      <c r="Q2287">
        <v>0.19205990000000001</v>
      </c>
      <c r="R2287">
        <v>-7.467464E-2</v>
      </c>
      <c r="S2287">
        <v>3.0173030000000001</v>
      </c>
      <c r="T2287">
        <v>0.2822325</v>
      </c>
      <c r="U2287">
        <v>2.4078370000000002E-2</v>
      </c>
      <c r="V2287">
        <v>-0.178014899999999</v>
      </c>
      <c r="W2287">
        <v>0.19145970000000001</v>
      </c>
      <c r="X2287">
        <v>0.96522220000000003</v>
      </c>
      <c r="Y2287">
        <v>-0.25382539999999998</v>
      </c>
      <c r="Z2287">
        <v>-3.4838719999999997E-2</v>
      </c>
      <c r="AA2287">
        <v>0.96662239999999999</v>
      </c>
      <c r="AB2287">
        <v>33</v>
      </c>
      <c r="AC2287">
        <v>370.16180000000003</v>
      </c>
      <c r="AD2287">
        <v>34.654173</v>
      </c>
      <c r="AE2287">
        <v>3.0382999999999898</v>
      </c>
      <c r="AF2287">
        <v>-94.022452882896999</v>
      </c>
      <c r="AG2287">
        <v>34.654173</v>
      </c>
      <c r="AH2287">
        <v>354.70854730993</v>
      </c>
      <c r="AI2287">
        <v>84.605199294138302</v>
      </c>
      <c r="AJ2287">
        <v>104.845953132955</v>
      </c>
      <c r="AK2287">
        <v>368.590947918084</v>
      </c>
      <c r="AL2287">
        <v>78.962017207193099</v>
      </c>
      <c r="AM2287">
        <v>100.44957793504101</v>
      </c>
      <c r="AN2287">
        <v>1.00000000835947</v>
      </c>
    </row>
    <row r="2288" spans="1:40" x14ac:dyDescent="0.25">
      <c r="A2288" t="str">
        <f>"20190312164516265"</f>
        <v>20190312164516265</v>
      </c>
      <c r="B2288" t="str">
        <f>"1552380316254099"</f>
        <v>1552380316254099</v>
      </c>
      <c r="C2288" t="s">
        <v>40</v>
      </c>
      <c r="D2288">
        <v>5.1936260000000001</v>
      </c>
      <c r="E2288">
        <v>0.464866</v>
      </c>
      <c r="F2288" t="s">
        <v>61</v>
      </c>
      <c r="G2288">
        <v>-107.39749999999999</v>
      </c>
      <c r="H2288">
        <v>35.982250000000001</v>
      </c>
      <c r="I2288">
        <v>217.83949999999999</v>
      </c>
      <c r="J2288">
        <v>-477.25099999999998</v>
      </c>
      <c r="K2288">
        <v>1.141127</v>
      </c>
      <c r="L2288">
        <v>208.28540000000001</v>
      </c>
      <c r="M2288">
        <v>0.9733446</v>
      </c>
      <c r="N2288">
        <v>0</v>
      </c>
      <c r="O2288">
        <v>-0.22929050000000001</v>
      </c>
      <c r="P2288">
        <v>0.97901550000000004</v>
      </c>
      <c r="Q2288">
        <v>0.194581</v>
      </c>
      <c r="R2288">
        <v>-6.0555459999999998E-2</v>
      </c>
      <c r="S2288">
        <v>3.0159609999999999</v>
      </c>
      <c r="T2288">
        <v>0.28389409999999998</v>
      </c>
      <c r="U2288">
        <v>7.7316280000000001E-2</v>
      </c>
      <c r="V2288">
        <v>-0.17249239999999999</v>
      </c>
      <c r="W2288">
        <v>0.1935528</v>
      </c>
      <c r="X2288">
        <v>0.96580730000000004</v>
      </c>
      <c r="Y2288">
        <v>-0.25204690000000002</v>
      </c>
      <c r="Z2288">
        <v>-3.323711E-2</v>
      </c>
      <c r="AA2288">
        <v>0.96714409999999895</v>
      </c>
      <c r="AB2288">
        <v>33</v>
      </c>
      <c r="AC2288">
        <v>369.8535</v>
      </c>
      <c r="AD2288">
        <v>34.841122999999897</v>
      </c>
      <c r="AE2288">
        <v>9.5540999999999698</v>
      </c>
      <c r="AF2288">
        <v>-93.277354757482399</v>
      </c>
      <c r="AG2288">
        <v>34.841122999999897</v>
      </c>
      <c r="AH2288">
        <v>354.66369618779203</v>
      </c>
      <c r="AI2288">
        <v>84.572834944592998</v>
      </c>
      <c r="AJ2288">
        <v>104.735223012498</v>
      </c>
      <c r="AK2288">
        <v>368.376039063402</v>
      </c>
      <c r="AL2288">
        <v>78.839805725645704</v>
      </c>
      <c r="AM2288">
        <v>100.126213022153</v>
      </c>
      <c r="AN2288">
        <v>1.0000000275894401</v>
      </c>
    </row>
    <row r="2289" spans="1:40" x14ac:dyDescent="0.25">
      <c r="A2289" t="str">
        <f>"20190312164516287"</f>
        <v>20190312164516287</v>
      </c>
      <c r="B2289" t="str">
        <f>"1552380316284355"</f>
        <v>1552380316284355</v>
      </c>
      <c r="C2289" t="s">
        <v>40</v>
      </c>
      <c r="D2289">
        <v>5.0091619999999999</v>
      </c>
      <c r="E2289">
        <v>0.46511669999999999</v>
      </c>
      <c r="F2289" t="s">
        <v>62</v>
      </c>
      <c r="G2289">
        <v>-157.8382</v>
      </c>
      <c r="H2289">
        <v>32.287570000000002</v>
      </c>
      <c r="I2289">
        <v>220.9357</v>
      </c>
      <c r="J2289">
        <v>-476.95310000000001</v>
      </c>
      <c r="K2289">
        <v>1.143154</v>
      </c>
      <c r="L2289">
        <v>208.22919999999999</v>
      </c>
      <c r="M2289">
        <v>0.97774810000000001</v>
      </c>
      <c r="N2289">
        <v>0</v>
      </c>
      <c r="O2289">
        <v>-0.20974110000000001</v>
      </c>
      <c r="P2289">
        <v>0.97904159999999996</v>
      </c>
      <c r="Q2289">
        <v>0.1984515</v>
      </c>
      <c r="R2289">
        <v>-4.5767090000000003E-2</v>
      </c>
      <c r="S2289">
        <v>3.013245</v>
      </c>
      <c r="T2289">
        <v>0.29382659999999899</v>
      </c>
      <c r="U2289">
        <v>0.119339</v>
      </c>
      <c r="V2289">
        <v>-0.1669329</v>
      </c>
      <c r="W2289">
        <v>0.1972981</v>
      </c>
      <c r="X2289">
        <v>0.9660263</v>
      </c>
      <c r="Y2289">
        <v>-0.24612010000000001</v>
      </c>
      <c r="Z2289">
        <v>-3.2268999999999999E-2</v>
      </c>
      <c r="AA2289">
        <v>0.96870199999999995</v>
      </c>
      <c r="AB2289">
        <v>33</v>
      </c>
      <c r="AC2289">
        <v>319.11489999999998</v>
      </c>
      <c r="AD2289">
        <v>31.144416</v>
      </c>
      <c r="AE2289">
        <v>12.7065</v>
      </c>
      <c r="AF2289">
        <v>-78.608391941578006</v>
      </c>
      <c r="AG2289">
        <v>31.144416</v>
      </c>
      <c r="AH2289">
        <v>306.43738744383802</v>
      </c>
      <c r="AI2289">
        <v>84.377555469382699</v>
      </c>
      <c r="AJ2289">
        <v>104.387482672231</v>
      </c>
      <c r="AK2289">
        <v>317.88854391913299</v>
      </c>
      <c r="AL2289">
        <v>78.620996119239805</v>
      </c>
      <c r="AM2289">
        <v>99.804099623728405</v>
      </c>
      <c r="AN2289">
        <v>0.999999972828854</v>
      </c>
    </row>
    <row r="2290" spans="1:40" x14ac:dyDescent="0.25">
      <c r="A2290" t="str">
        <f>"20190312164516308"</f>
        <v>20190312164516308</v>
      </c>
      <c r="B2290" t="str">
        <f>"1552380316303875"</f>
        <v>1552380316303875</v>
      </c>
      <c r="C2290" t="s">
        <v>40</v>
      </c>
      <c r="D2290">
        <v>5.3886640000000003</v>
      </c>
      <c r="E2290">
        <v>0.46515879999999998</v>
      </c>
      <c r="F2290" t="s">
        <v>62</v>
      </c>
      <c r="G2290">
        <v>-157.25</v>
      </c>
      <c r="H2290">
        <v>33.990969999999997</v>
      </c>
      <c r="I2290">
        <v>225.59819999999999</v>
      </c>
      <c r="J2290">
        <v>-476.64609999999999</v>
      </c>
      <c r="K2290">
        <v>1.1457520000000001</v>
      </c>
      <c r="L2290">
        <v>208.17679999999999</v>
      </c>
      <c r="M2290">
        <v>0.98224350000000005</v>
      </c>
      <c r="N2290">
        <v>0</v>
      </c>
      <c r="O2290">
        <v>-0.1875762</v>
      </c>
      <c r="P2290">
        <v>0.97908799999999996</v>
      </c>
      <c r="Q2290">
        <v>0.20133139999999999</v>
      </c>
      <c r="R2290">
        <v>-2.919441E-2</v>
      </c>
      <c r="S2290">
        <v>3.0091549999999998</v>
      </c>
      <c r="T2290">
        <v>0.30917549999999999</v>
      </c>
      <c r="U2290">
        <v>0.16348270000000001</v>
      </c>
      <c r="V2290">
        <v>-0.1606524</v>
      </c>
      <c r="W2290">
        <v>0.20039870000000001</v>
      </c>
      <c r="X2290">
        <v>0.96645289999999995</v>
      </c>
      <c r="Y2290">
        <v>-0.23835410000000001</v>
      </c>
      <c r="Z2290">
        <v>-3.1349960000000003E-2</v>
      </c>
      <c r="AA2290">
        <v>0.97067219999999999</v>
      </c>
      <c r="AB2290">
        <v>33</v>
      </c>
      <c r="AC2290">
        <v>319.39609999999999</v>
      </c>
      <c r="AD2290">
        <v>32.845218000000003</v>
      </c>
      <c r="AE2290">
        <v>17.421399999999998</v>
      </c>
      <c r="AF2290">
        <v>-76.220015082434998</v>
      </c>
      <c r="AG2290">
        <v>32.845218000000003</v>
      </c>
      <c r="AH2290">
        <v>307.21965601423398</v>
      </c>
      <c r="AI2290">
        <v>84.075881844433596</v>
      </c>
      <c r="AJ2290">
        <v>103.933531833055</v>
      </c>
      <c r="AK2290">
        <v>318.23295883069397</v>
      </c>
      <c r="AL2290">
        <v>78.439725351924395</v>
      </c>
      <c r="AM2290">
        <v>99.437916048921807</v>
      </c>
      <c r="AN2290">
        <v>1.00000002025292</v>
      </c>
    </row>
    <row r="2291" spans="1:40" x14ac:dyDescent="0.25">
      <c r="A2291" t="str">
        <f>"20190312164516330"</f>
        <v>20190312164516330</v>
      </c>
      <c r="B2291" t="str">
        <f>"1552380316324139"</f>
        <v>1552380316324139</v>
      </c>
      <c r="C2291" t="s">
        <v>40</v>
      </c>
      <c r="D2291">
        <v>5.1282399999999999</v>
      </c>
      <c r="E2291">
        <v>0.46539019999999998</v>
      </c>
      <c r="F2291" t="s">
        <v>62</v>
      </c>
      <c r="G2291">
        <v>-157.25</v>
      </c>
      <c r="H2291">
        <v>35.290149999999997</v>
      </c>
      <c r="I2291">
        <v>230.94839999999999</v>
      </c>
      <c r="J2291">
        <v>-476.33819999999997</v>
      </c>
      <c r="K2291">
        <v>1.149708</v>
      </c>
      <c r="L2291">
        <v>208.12960000000001</v>
      </c>
      <c r="M2291">
        <v>0.98647419999999997</v>
      </c>
      <c r="N2291">
        <v>0</v>
      </c>
      <c r="O2291">
        <v>-0.16387579999999999</v>
      </c>
      <c r="P2291">
        <v>0.9793423</v>
      </c>
      <c r="Q2291">
        <v>0.20187079999999999</v>
      </c>
      <c r="R2291">
        <v>-1.1699599999999999E-2</v>
      </c>
      <c r="S2291">
        <v>3.0044249999999999</v>
      </c>
      <c r="T2291">
        <v>0.32118249999999998</v>
      </c>
      <c r="U2291">
        <v>0.2142029</v>
      </c>
      <c r="V2291">
        <v>-0.15433160000000001</v>
      </c>
      <c r="W2291">
        <v>0.2014194</v>
      </c>
      <c r="X2291">
        <v>0.96727039999999997</v>
      </c>
      <c r="Y2291">
        <v>-0.23137489999999999</v>
      </c>
      <c r="Z2291">
        <v>-2.972986E-2</v>
      </c>
      <c r="AA2291">
        <v>0.97241029999999995</v>
      </c>
      <c r="AB2291">
        <v>33</v>
      </c>
      <c r="AC2291">
        <v>319.08819999999997</v>
      </c>
      <c r="AD2291">
        <v>34.140442</v>
      </c>
      <c r="AE2291">
        <v>22.8187999999999</v>
      </c>
      <c r="AF2291">
        <v>-73.959140346624494</v>
      </c>
      <c r="AG2291">
        <v>34.140442</v>
      </c>
      <c r="AH2291">
        <v>307.53229456050701</v>
      </c>
      <c r="AI2291">
        <v>83.8395326734897</v>
      </c>
      <c r="AJ2291">
        <v>103.522399295151</v>
      </c>
      <c r="AK2291">
        <v>318.13776326996702</v>
      </c>
      <c r="AL2291">
        <v>78.3800262994544</v>
      </c>
      <c r="AM2291">
        <v>99.065344022682794</v>
      </c>
      <c r="AN2291">
        <v>1.0000000220855301</v>
      </c>
    </row>
    <row r="2292" spans="1:40" x14ac:dyDescent="0.25">
      <c r="A2292" t="str">
        <f>"20190312164516352"</f>
        <v>20190312164516352</v>
      </c>
      <c r="B2292" t="str">
        <f>"1552380316343659"</f>
        <v>1552380316343659</v>
      </c>
      <c r="C2292" t="s">
        <v>40</v>
      </c>
      <c r="D2292">
        <v>5.0836940000000004</v>
      </c>
      <c r="E2292">
        <v>0.46560190000000001</v>
      </c>
      <c r="F2292" t="s">
        <v>62</v>
      </c>
      <c r="G2292">
        <v>-157.8382</v>
      </c>
      <c r="H2292">
        <v>35.631230000000002</v>
      </c>
      <c r="I2292">
        <v>236.35579999999999</v>
      </c>
      <c r="J2292">
        <v>-476.0265</v>
      </c>
      <c r="K2292">
        <v>1.1547810000000001</v>
      </c>
      <c r="L2292">
        <v>208.08760000000001</v>
      </c>
      <c r="M2292">
        <v>0.9901238</v>
      </c>
      <c r="N2292">
        <v>0</v>
      </c>
      <c r="O2292">
        <v>-0.14013599999999901</v>
      </c>
      <c r="P2292">
        <v>0.98026120000000005</v>
      </c>
      <c r="Q2292">
        <v>0.19764010000000001</v>
      </c>
      <c r="R2292">
        <v>5.1489960000000003E-3</v>
      </c>
      <c r="S2292">
        <v>2.9995120000000002</v>
      </c>
      <c r="T2292">
        <v>0.32473419999999997</v>
      </c>
      <c r="U2292">
        <v>0.26582339999999999</v>
      </c>
      <c r="V2292">
        <v>-0.147901799999999</v>
      </c>
      <c r="W2292">
        <v>0.19765240000000001</v>
      </c>
      <c r="X2292">
        <v>0.96905030000000003</v>
      </c>
      <c r="Y2292">
        <v>-0.2248763</v>
      </c>
      <c r="Z2292">
        <v>-2.719773E-2</v>
      </c>
      <c r="AA2292">
        <v>0.97400770000000003</v>
      </c>
      <c r="AB2292">
        <v>33</v>
      </c>
      <c r="AC2292">
        <v>318.18830000000003</v>
      </c>
      <c r="AD2292">
        <v>34.476449000000002</v>
      </c>
      <c r="AE2292">
        <v>28.268199999999901</v>
      </c>
      <c r="AF2292">
        <v>-71.743571292471799</v>
      </c>
      <c r="AG2292">
        <v>34.476449000000002</v>
      </c>
      <c r="AH2292">
        <v>307.50511350837598</v>
      </c>
      <c r="AI2292">
        <v>83.768875580194802</v>
      </c>
      <c r="AJ2292">
        <v>103.13267548531</v>
      </c>
      <c r="AK2292">
        <v>317.63998550441801</v>
      </c>
      <c r="AL2292">
        <v>78.600288168121196</v>
      </c>
      <c r="AM2292">
        <v>98.6778292926749</v>
      </c>
      <c r="AN2292">
        <v>0.99999994879954301</v>
      </c>
    </row>
    <row r="2293" spans="1:40" x14ac:dyDescent="0.25">
      <c r="A2293" t="str">
        <f>"20190312164516375"</f>
        <v>20190312164516375</v>
      </c>
      <c r="B2293" t="str">
        <f>"1552380316364158"</f>
        <v>1552380316364158</v>
      </c>
      <c r="C2293" t="s">
        <v>40</v>
      </c>
      <c r="D2293">
        <v>5.1766899999999998</v>
      </c>
      <c r="E2293">
        <v>0.46583930000000001</v>
      </c>
      <c r="F2293" t="s">
        <v>63</v>
      </c>
      <c r="G2293">
        <v>-251.5461</v>
      </c>
      <c r="H2293">
        <v>24.636410000000001</v>
      </c>
      <c r="I2293">
        <v>231.7022</v>
      </c>
      <c r="J2293">
        <v>-475.70249999999999</v>
      </c>
      <c r="K2293">
        <v>1.1604190000000001</v>
      </c>
      <c r="L2293">
        <v>208.0504</v>
      </c>
      <c r="M2293">
        <v>0.99321369999999998</v>
      </c>
      <c r="N2293">
        <v>0</v>
      </c>
      <c r="O2293">
        <v>-0.1162102</v>
      </c>
      <c r="P2293">
        <v>0.98150079999999995</v>
      </c>
      <c r="Q2293">
        <v>0.1901883</v>
      </c>
      <c r="R2293">
        <v>2.201293E-2</v>
      </c>
      <c r="S2293">
        <v>2.9955750000000001</v>
      </c>
      <c r="T2293">
        <v>0.31335000000000002</v>
      </c>
      <c r="U2293">
        <v>0.31512449999999997</v>
      </c>
      <c r="V2293">
        <v>-0.1415216</v>
      </c>
      <c r="W2293">
        <v>0.190695</v>
      </c>
      <c r="X2293">
        <v>0.97139439999999999</v>
      </c>
      <c r="Y2293">
        <v>-0.21767900000000001</v>
      </c>
      <c r="Z2293">
        <v>-2.341099E-2</v>
      </c>
      <c r="AA2293">
        <v>0.97573960000000004</v>
      </c>
      <c r="AB2293">
        <v>33</v>
      </c>
      <c r="AC2293">
        <v>224.15639999999999</v>
      </c>
      <c r="AD2293">
        <v>23.475991</v>
      </c>
      <c r="AE2293">
        <v>23.651800000000001</v>
      </c>
      <c r="AF2293">
        <v>-49.009451084703201</v>
      </c>
      <c r="AG2293">
        <v>23.475991</v>
      </c>
      <c r="AH2293">
        <v>217.52932668610899</v>
      </c>
      <c r="AI2293">
        <v>83.989923999687505</v>
      </c>
      <c r="AJ2293">
        <v>102.696766433009</v>
      </c>
      <c r="AK2293">
        <v>224.214309127603</v>
      </c>
      <c r="AL2293">
        <v>79.006653774381803</v>
      </c>
      <c r="AM2293">
        <v>98.289054327694402</v>
      </c>
      <c r="AN2293">
        <v>1.0000000133214599</v>
      </c>
    </row>
    <row r="2294" spans="1:40" x14ac:dyDescent="0.25">
      <c r="A2294" t="str">
        <f>"20190312164516397"</f>
        <v>20190312164516397</v>
      </c>
      <c r="B2294" t="str">
        <f>"1552380316393435"</f>
        <v>1552380316393435</v>
      </c>
      <c r="C2294" t="s">
        <v>40</v>
      </c>
      <c r="D2294">
        <v>5.1087230000000003</v>
      </c>
      <c r="E2294">
        <v>0.46625450000000002</v>
      </c>
      <c r="F2294" t="s">
        <v>63</v>
      </c>
      <c r="G2294">
        <v>-251.5455</v>
      </c>
      <c r="H2294">
        <v>23.1081</v>
      </c>
      <c r="I2294">
        <v>235.40520000000001</v>
      </c>
      <c r="J2294">
        <v>-475.40309999999999</v>
      </c>
      <c r="K2294">
        <v>1.1655549999999999</v>
      </c>
      <c r="L2294">
        <v>208.02209999999999</v>
      </c>
      <c r="M2294">
        <v>0.99548479999999995</v>
      </c>
      <c r="N2294">
        <v>0</v>
      </c>
      <c r="O2294">
        <v>-9.4774949999999997E-2</v>
      </c>
      <c r="P2294">
        <v>0.98266010000000004</v>
      </c>
      <c r="Q2294">
        <v>0.18230370000000001</v>
      </c>
      <c r="R2294">
        <v>3.3837800000000001E-2</v>
      </c>
      <c r="S2294">
        <v>2.991638</v>
      </c>
      <c r="T2294">
        <v>0.2929175</v>
      </c>
      <c r="U2294">
        <v>0.36508180000000001</v>
      </c>
      <c r="V2294">
        <v>-0.13256029999999999</v>
      </c>
      <c r="W2294">
        <v>0.18345040000000001</v>
      </c>
      <c r="X2294">
        <v>0.97405019999999998</v>
      </c>
      <c r="Y2294">
        <v>-0.21321399999999999</v>
      </c>
      <c r="Z2294">
        <v>-1.9601509999999999E-2</v>
      </c>
      <c r="AA2294">
        <v>0.97680880000000003</v>
      </c>
      <c r="AB2294">
        <v>33</v>
      </c>
      <c r="AC2294">
        <v>223.85759999999999</v>
      </c>
      <c r="AD2294">
        <v>21.942544999999999</v>
      </c>
      <c r="AE2294">
        <v>27.383099999999999</v>
      </c>
      <c r="AF2294">
        <v>-48.021637592808801</v>
      </c>
      <c r="AG2294">
        <v>21.942544999999999</v>
      </c>
      <c r="AH2294">
        <v>218.18921559894801</v>
      </c>
      <c r="AI2294">
        <v>84.3906332982707</v>
      </c>
      <c r="AJ2294">
        <v>102.41243045240699</v>
      </c>
      <c r="AK2294">
        <v>224.48627299203901</v>
      </c>
      <c r="AL2294">
        <v>79.429199662058707</v>
      </c>
      <c r="AM2294">
        <v>97.749877893885696</v>
      </c>
      <c r="AN2294">
        <v>1.0000000372581399</v>
      </c>
    </row>
    <row r="2295" spans="1:40" x14ac:dyDescent="0.25">
      <c r="A2295" t="str">
        <f>"20190312164516418"</f>
        <v>20190312164516418</v>
      </c>
      <c r="B2295" t="str">
        <f>"1552380316413931"</f>
        <v>1552380316413931</v>
      </c>
      <c r="C2295" t="s">
        <v>40</v>
      </c>
      <c r="D2295">
        <v>5.3075510000000001</v>
      </c>
      <c r="E2295">
        <v>0.46652080000000001</v>
      </c>
      <c r="F2295" t="s">
        <v>63</v>
      </c>
      <c r="G2295">
        <v>-251.15710000000001</v>
      </c>
      <c r="H2295">
        <v>21.580729999999999</v>
      </c>
      <c r="I2295">
        <v>237.91929999999999</v>
      </c>
      <c r="J2295">
        <v>-475.09309999999999</v>
      </c>
      <c r="K2295">
        <v>1.1706019999999999</v>
      </c>
      <c r="L2295">
        <v>207.9991</v>
      </c>
      <c r="M2295">
        <v>0.99730070000000004</v>
      </c>
      <c r="N2295">
        <v>0</v>
      </c>
      <c r="O2295">
        <v>-7.3179149999999998E-2</v>
      </c>
      <c r="P2295">
        <v>0.98314880000000004</v>
      </c>
      <c r="Q2295">
        <v>0.17657239999999999</v>
      </c>
      <c r="R2295">
        <v>4.7337320000000002E-2</v>
      </c>
      <c r="S2295">
        <v>2.9887389999999998</v>
      </c>
      <c r="T2295">
        <v>0.27209229999999901</v>
      </c>
      <c r="U2295">
        <v>0.39846799999999999</v>
      </c>
      <c r="V2295">
        <v>-0.12508369999999999</v>
      </c>
      <c r="W2295">
        <v>0.17844090000000001</v>
      </c>
      <c r="X2295">
        <v>0.97596760000000005</v>
      </c>
      <c r="Y2295">
        <v>-0.20321259999999999</v>
      </c>
      <c r="Z2295">
        <v>-1.5813669999999998E-2</v>
      </c>
      <c r="AA2295">
        <v>0.97900690000000001</v>
      </c>
      <c r="AB2295">
        <v>33</v>
      </c>
      <c r="AC2295">
        <v>223.93600000000001</v>
      </c>
      <c r="AD2295">
        <v>20.410128</v>
      </c>
      <c r="AE2295">
        <v>29.920199999999902</v>
      </c>
      <c r="AF2295">
        <v>-45.853493652136898</v>
      </c>
      <c r="AG2295">
        <v>20.410128</v>
      </c>
      <c r="AH2295">
        <v>219.355762182294</v>
      </c>
      <c r="AI2295">
        <v>84.796019501913605</v>
      </c>
      <c r="AJ2295">
        <v>101.80692934728</v>
      </c>
      <c r="AK2295">
        <v>225.024591117634</v>
      </c>
      <c r="AL2295">
        <v>79.721039387613999</v>
      </c>
      <c r="AM2295">
        <v>97.303428939659995</v>
      </c>
      <c r="AN2295">
        <v>0.99999992152412598</v>
      </c>
    </row>
    <row r="2296" spans="1:40" x14ac:dyDescent="0.25">
      <c r="A2296" t="str">
        <f>"20190312164516444"</f>
        <v>20190312164516444</v>
      </c>
      <c r="B2296" t="str">
        <f>"1552380316434427"</f>
        <v>1552380316434427</v>
      </c>
      <c r="C2296" t="s">
        <v>40</v>
      </c>
      <c r="D2296">
        <v>5.4294399999999996</v>
      </c>
      <c r="E2296">
        <v>0.46678560000000002</v>
      </c>
      <c r="F2296" t="s">
        <v>63</v>
      </c>
      <c r="G2296">
        <v>-251.5446</v>
      </c>
      <c r="H2296">
        <v>20.4072</v>
      </c>
      <c r="I2296">
        <v>240.78030000000001</v>
      </c>
      <c r="J2296">
        <v>-474.73880000000003</v>
      </c>
      <c r="K2296">
        <v>1.1758649999999999</v>
      </c>
      <c r="L2296">
        <v>207.98050000000001</v>
      </c>
      <c r="M2296">
        <v>0.99877380000000004</v>
      </c>
      <c r="N2296">
        <v>0</v>
      </c>
      <c r="O2296">
        <v>-4.9029120000000002E-2</v>
      </c>
      <c r="P2296">
        <v>0.98213620000000001</v>
      </c>
      <c r="Q2296">
        <v>0.1759269</v>
      </c>
      <c r="R2296">
        <v>6.6771540000000004E-2</v>
      </c>
      <c r="S2296">
        <v>2.9842219999999999</v>
      </c>
      <c r="T2296">
        <v>0.25679560000000001</v>
      </c>
      <c r="U2296">
        <v>0.43760680000000002</v>
      </c>
      <c r="V2296">
        <v>-0.1210929</v>
      </c>
      <c r="W2296">
        <v>0.17856949999999999</v>
      </c>
      <c r="X2296">
        <v>0.97644730000000002</v>
      </c>
      <c r="Y2296">
        <v>-0.19255</v>
      </c>
      <c r="Z2296">
        <v>-1.241708E-2</v>
      </c>
      <c r="AA2296">
        <v>0.98120859999999999</v>
      </c>
      <c r="AB2296">
        <v>33</v>
      </c>
      <c r="AC2296">
        <v>223.1942</v>
      </c>
      <c r="AD2296">
        <v>19.231335000000001</v>
      </c>
      <c r="AE2296">
        <v>32.799799999999998</v>
      </c>
      <c r="AF2296">
        <v>-43.388307693583599</v>
      </c>
      <c r="AG2296">
        <v>19.231335000000001</v>
      </c>
      <c r="AH2296">
        <v>219.72079999402999</v>
      </c>
      <c r="AI2296">
        <v>85.092161399560197</v>
      </c>
      <c r="AJ2296">
        <v>101.170492269251</v>
      </c>
      <c r="AK2296">
        <v>224.78794327190201</v>
      </c>
      <c r="AL2296">
        <v>79.713551102144905</v>
      </c>
      <c r="AM2296">
        <v>97.0693715024846</v>
      </c>
      <c r="AN2296">
        <v>0.99999994321897301</v>
      </c>
    </row>
    <row r="2297" spans="1:40" x14ac:dyDescent="0.25">
      <c r="A2297" t="str">
        <f>"20190312164516467"</f>
        <v>20190312164516467</v>
      </c>
      <c r="B2297" t="str">
        <f>"1552380316463707"</f>
        <v>1552380316463707</v>
      </c>
      <c r="C2297" t="s">
        <v>40</v>
      </c>
      <c r="D2297">
        <v>5.2025069999999998</v>
      </c>
      <c r="E2297">
        <v>0.46725319999999998</v>
      </c>
      <c r="F2297" t="s">
        <v>64</v>
      </c>
      <c r="G2297">
        <v>-346.68900000000002</v>
      </c>
      <c r="H2297">
        <v>12.198130000000001</v>
      </c>
      <c r="I2297">
        <v>229.22989999999999</v>
      </c>
      <c r="J2297">
        <v>-474.4006</v>
      </c>
      <c r="K2297">
        <v>1.1803159999999999</v>
      </c>
      <c r="L2297">
        <v>207.97030000000001</v>
      </c>
      <c r="M2297">
        <v>0.99962200000000001</v>
      </c>
      <c r="N2297">
        <v>0</v>
      </c>
      <c r="O2297">
        <v>-2.6388470000000001E-2</v>
      </c>
      <c r="P2297">
        <v>0.98150519999999997</v>
      </c>
      <c r="Q2297">
        <v>0.173155</v>
      </c>
      <c r="R2297">
        <v>8.1641179999999994E-2</v>
      </c>
      <c r="S2297">
        <v>2.9751280000000002</v>
      </c>
      <c r="T2297">
        <v>0.25609389999999999</v>
      </c>
      <c r="U2297">
        <v>0.49371340000000002</v>
      </c>
      <c r="V2297">
        <v>-0.11392770000000001</v>
      </c>
      <c r="W2297">
        <v>0.17672060000000001</v>
      </c>
      <c r="X2297">
        <v>0.97764530000000005</v>
      </c>
      <c r="Y2297">
        <v>-0.18890870000000001</v>
      </c>
      <c r="Z2297">
        <v>-1.031371E-2</v>
      </c>
      <c r="AA2297">
        <v>0.98194049999999999</v>
      </c>
      <c r="AB2297">
        <v>33</v>
      </c>
      <c r="AC2297">
        <v>127.711599999999</v>
      </c>
      <c r="AD2297">
        <v>11.017814</v>
      </c>
      <c r="AE2297">
        <v>21.259599999999899</v>
      </c>
      <c r="AF2297">
        <v>-24.445376481481699</v>
      </c>
      <c r="AG2297">
        <v>11.017814</v>
      </c>
      <c r="AH2297">
        <v>126.192212987483</v>
      </c>
      <c r="AI2297">
        <v>85.100792524137802</v>
      </c>
      <c r="AJ2297">
        <v>100.963286606423</v>
      </c>
      <c r="AK2297">
        <v>129.00946971187099</v>
      </c>
      <c r="AL2297">
        <v>79.821198154475198</v>
      </c>
      <c r="AM2297">
        <v>96.646855373121994</v>
      </c>
      <c r="AN2297">
        <v>1.0000000119518699</v>
      </c>
    </row>
    <row r="2298" spans="1:40" x14ac:dyDescent="0.25">
      <c r="A2298" t="str">
        <f>"20190312164516499"</f>
        <v>20190312164516499</v>
      </c>
      <c r="B2298" t="str">
        <f>"1552380316493963"</f>
        <v>1552380316493963</v>
      </c>
      <c r="C2298" t="s">
        <v>40</v>
      </c>
      <c r="D2298">
        <v>5.4391860000000003</v>
      </c>
      <c r="E2298">
        <v>0.4877591</v>
      </c>
      <c r="F2298" t="s">
        <v>64</v>
      </c>
      <c r="G2298">
        <v>-346.68900000000002</v>
      </c>
      <c r="H2298">
        <v>11.90667</v>
      </c>
      <c r="I2298">
        <v>230.96850000000001</v>
      </c>
      <c r="J2298">
        <v>-473.9556</v>
      </c>
      <c r="K2298">
        <v>1.1853149999999999</v>
      </c>
      <c r="L2298">
        <v>207.96950000000001</v>
      </c>
      <c r="M2298">
        <v>0.99995750000000005</v>
      </c>
      <c r="N2298">
        <v>0</v>
      </c>
      <c r="O2298">
        <v>2.8069119999999999E-3</v>
      </c>
      <c r="P2298">
        <v>0.98060320000000001</v>
      </c>
      <c r="Q2298">
        <v>0.1703074</v>
      </c>
      <c r="R2298">
        <v>9.7020519999999999E-2</v>
      </c>
      <c r="S2298">
        <v>2.96814</v>
      </c>
      <c r="T2298">
        <v>0.2492917</v>
      </c>
      <c r="U2298">
        <v>0.53450010000000003</v>
      </c>
      <c r="V2298">
        <v>-0.1008599</v>
      </c>
      <c r="W2298">
        <v>0.1752889</v>
      </c>
      <c r="X2298">
        <v>0.97933700000000001</v>
      </c>
      <c r="Y2298">
        <v>-0.1738818</v>
      </c>
      <c r="Z2298">
        <v>-6.9979480000000004E-3</v>
      </c>
      <c r="AA2298">
        <v>0.98474170000000005</v>
      </c>
      <c r="AB2298">
        <v>33</v>
      </c>
      <c r="AC2298">
        <v>127.266599999999</v>
      </c>
      <c r="AD2298">
        <v>10.721355000000001</v>
      </c>
      <c r="AE2298">
        <v>22.998999999999899</v>
      </c>
      <c r="AF2298">
        <v>-22.487126964915099</v>
      </c>
      <c r="AG2298">
        <v>10.721355000000001</v>
      </c>
      <c r="AH2298">
        <v>126.461551804848</v>
      </c>
      <c r="AI2298">
        <v>85.228570525558993</v>
      </c>
      <c r="AJ2298">
        <v>100.082826110597</v>
      </c>
      <c r="AK2298">
        <v>128.891979645991</v>
      </c>
      <c r="AL2298">
        <v>79.904528639382505</v>
      </c>
      <c r="AM2298">
        <v>95.880043840472695</v>
      </c>
      <c r="AN2298">
        <v>0.99999993873010795</v>
      </c>
    </row>
    <row r="2299" spans="1:40" x14ac:dyDescent="0.25">
      <c r="A2299" t="str">
        <f>"20190312164516519"</f>
        <v>20190312164516519</v>
      </c>
      <c r="B2299" t="str">
        <f>"1552380316514460"</f>
        <v>1552380316514460</v>
      </c>
      <c r="C2299" t="s">
        <v>40</v>
      </c>
      <c r="D2299">
        <v>5.3022929999999997</v>
      </c>
      <c r="E2299">
        <v>0.48934149999999998</v>
      </c>
      <c r="F2299" t="s">
        <v>63</v>
      </c>
      <c r="G2299">
        <v>-251.15950000000001</v>
      </c>
      <c r="H2299">
        <v>28.84055</v>
      </c>
      <c r="I2299">
        <v>238.42939999999999</v>
      </c>
      <c r="J2299">
        <v>-473.65750000000003</v>
      </c>
      <c r="K2299">
        <v>1.188232</v>
      </c>
      <c r="L2299">
        <v>207.976</v>
      </c>
      <c r="M2299">
        <v>0.99971100000000002</v>
      </c>
      <c r="N2299">
        <v>0</v>
      </c>
      <c r="O2299">
        <v>2.2080720000000002E-2</v>
      </c>
      <c r="P2299">
        <v>0.98003359999999995</v>
      </c>
      <c r="Q2299">
        <v>0.1678019</v>
      </c>
      <c r="R2299">
        <v>0.10666</v>
      </c>
      <c r="S2299">
        <v>2.9556269999999998</v>
      </c>
      <c r="T2299">
        <v>0.36687609999999998</v>
      </c>
      <c r="U2299">
        <v>0.40408329999999998</v>
      </c>
      <c r="V2299">
        <v>-9.1659199999999996E-2</v>
      </c>
      <c r="W2299">
        <v>0.17376539999999999</v>
      </c>
      <c r="X2299">
        <v>0.98051219999999994</v>
      </c>
      <c r="Y2299">
        <v>-0.1128618</v>
      </c>
      <c r="Z2299">
        <v>-4.2291400000000002E-3</v>
      </c>
      <c r="AA2299">
        <v>0.99360170000000003</v>
      </c>
      <c r="AB2299">
        <v>32</v>
      </c>
      <c r="AC2299">
        <v>222.49799999999999</v>
      </c>
      <c r="AD2299">
        <v>27.652318000000001</v>
      </c>
      <c r="AE2299">
        <v>30.453399999999899</v>
      </c>
      <c r="AF2299">
        <v>-25.151495005918601</v>
      </c>
      <c r="AG2299">
        <v>27.652318000000001</v>
      </c>
      <c r="AH2299">
        <v>219.78389584419199</v>
      </c>
      <c r="AI2299">
        <v>82.874977481127104</v>
      </c>
      <c r="AJ2299">
        <v>96.528379836991604</v>
      </c>
      <c r="AK2299">
        <v>222.93992299329599</v>
      </c>
      <c r="AL2299">
        <v>79.993179960533894</v>
      </c>
      <c r="AM2299">
        <v>95.340542846574294</v>
      </c>
      <c r="AN2299">
        <v>0.99999999876531898</v>
      </c>
    </row>
    <row r="2300" spans="1:40" x14ac:dyDescent="0.25">
      <c r="A2300" t="str">
        <f>"20190312164516542"</f>
        <v>20190312164516542</v>
      </c>
      <c r="B2300" t="str">
        <f>"1552380316533511"</f>
        <v>1552380316533511</v>
      </c>
      <c r="C2300" t="s">
        <v>40</v>
      </c>
      <c r="D2300">
        <v>5.3247369999999998</v>
      </c>
      <c r="E2300">
        <v>0.48969990000000002</v>
      </c>
      <c r="F2300" t="s">
        <v>63</v>
      </c>
      <c r="G2300">
        <v>-251.5472</v>
      </c>
      <c r="H2300">
        <v>27.987850000000002</v>
      </c>
      <c r="I2300">
        <v>239.6797</v>
      </c>
      <c r="J2300">
        <v>-473.34190000000001</v>
      </c>
      <c r="K2300">
        <v>1.190985</v>
      </c>
      <c r="L2300">
        <v>207.98929999999999</v>
      </c>
      <c r="M2300">
        <v>0.99905440000000001</v>
      </c>
      <c r="N2300">
        <v>0</v>
      </c>
      <c r="O2300">
        <v>4.2259100000000001E-2</v>
      </c>
      <c r="P2300">
        <v>0.97891189999999995</v>
      </c>
      <c r="Q2300">
        <v>0.16845660000000001</v>
      </c>
      <c r="R2300">
        <v>0.11556</v>
      </c>
      <c r="S2300">
        <v>2.9541930000000001</v>
      </c>
      <c r="T2300">
        <v>0.35644999999999999</v>
      </c>
      <c r="U2300">
        <v>0.42167660000000001</v>
      </c>
      <c r="V2300">
        <v>-8.0950999999999995E-2</v>
      </c>
      <c r="W2300">
        <v>0.17549219999999999</v>
      </c>
      <c r="X2300">
        <v>0.98114699999999999</v>
      </c>
      <c r="Y2300">
        <v>-9.8940169999999994E-2</v>
      </c>
      <c r="Z2300">
        <v>-8.6724429999999997E-4</v>
      </c>
      <c r="AA2300">
        <v>0.99509300000000001</v>
      </c>
      <c r="AB2300">
        <v>32</v>
      </c>
      <c r="AC2300">
        <v>221.79470000000001</v>
      </c>
      <c r="AD2300">
        <v>26.796865</v>
      </c>
      <c r="AE2300">
        <v>31.6904</v>
      </c>
      <c r="AF2300">
        <v>-21.974408927437601</v>
      </c>
      <c r="AG2300">
        <v>26.796865</v>
      </c>
      <c r="AH2300">
        <v>219.79169795778699</v>
      </c>
      <c r="AI2300">
        <v>83.082988291823099</v>
      </c>
      <c r="AJ2300">
        <v>95.709364349171807</v>
      </c>
      <c r="AK2300">
        <v>222.50693722377599</v>
      </c>
      <c r="AL2300">
        <v>79.892697692148602</v>
      </c>
      <c r="AM2300">
        <v>94.716590851614399</v>
      </c>
      <c r="AN2300">
        <v>1.0000000061354199</v>
      </c>
    </row>
    <row r="2301" spans="1:40" x14ac:dyDescent="0.25">
      <c r="A2301" t="str">
        <f>"20190312164516564"</f>
        <v>20190312164516564</v>
      </c>
      <c r="B2301" t="str">
        <f>"1552380316554007"</f>
        <v>1552380316554007</v>
      </c>
      <c r="C2301" t="s">
        <v>40</v>
      </c>
      <c r="D2301">
        <v>5.4459369999999998</v>
      </c>
      <c r="E2301">
        <v>0.4889927</v>
      </c>
      <c r="F2301" t="s">
        <v>63</v>
      </c>
      <c r="G2301">
        <v>-251.1593</v>
      </c>
      <c r="H2301">
        <v>28.298490000000001</v>
      </c>
      <c r="I2301">
        <v>241.61490000000001</v>
      </c>
      <c r="J2301">
        <v>-473.02859999999998</v>
      </c>
      <c r="K2301">
        <v>1.193406</v>
      </c>
      <c r="L2301">
        <v>208.00909999999999</v>
      </c>
      <c r="M2301">
        <v>0.99801119999999999</v>
      </c>
      <c r="N2301">
        <v>0</v>
      </c>
      <c r="O2301">
        <v>6.2085439999999999E-2</v>
      </c>
      <c r="P2301">
        <v>0.97777420000000004</v>
      </c>
      <c r="Q2301">
        <v>0.1703771</v>
      </c>
      <c r="R2301">
        <v>0.1221873</v>
      </c>
      <c r="S2301">
        <v>2.9499819999999999</v>
      </c>
      <c r="T2301">
        <v>0.35991410000000001</v>
      </c>
      <c r="U2301">
        <v>0.44645689999999999</v>
      </c>
      <c r="V2301">
        <v>-6.8350010000000003E-2</v>
      </c>
      <c r="W2301">
        <v>0.1785446</v>
      </c>
      <c r="X2301">
        <v>0.98155490000000001</v>
      </c>
      <c r="Y2301">
        <v>-8.7773320000000002E-2</v>
      </c>
      <c r="Z2301">
        <v>2.1878610000000001E-3</v>
      </c>
      <c r="AA2301">
        <v>0.99613810000000003</v>
      </c>
      <c r="AB2301">
        <v>32</v>
      </c>
      <c r="AC2301">
        <v>221.86930000000001</v>
      </c>
      <c r="AD2301">
        <v>27.105084000000002</v>
      </c>
      <c r="AE2301">
        <v>33.605800000000002</v>
      </c>
      <c r="AF2301">
        <v>-19.481059039332699</v>
      </c>
      <c r="AG2301">
        <v>27.105084000000002</v>
      </c>
      <c r="AH2301">
        <v>220.313404369229</v>
      </c>
      <c r="AI2301">
        <v>83.013156011621007</v>
      </c>
      <c r="AJ2301">
        <v>95.053196594413606</v>
      </c>
      <c r="AK2301">
        <v>222.82772131110701</v>
      </c>
      <c r="AL2301">
        <v>79.715001242015106</v>
      </c>
      <c r="AM2301">
        <v>93.983328578689097</v>
      </c>
      <c r="AN2301">
        <v>0.99999995988508406</v>
      </c>
    </row>
    <row r="2302" spans="1:40" x14ac:dyDescent="0.25">
      <c r="A2302" t="str">
        <f>"20190312164516587"</f>
        <v>20190312164516587</v>
      </c>
      <c r="B2302" t="str">
        <f>"1552380316584264"</f>
        <v>1552380316584264</v>
      </c>
      <c r="C2302" t="s">
        <v>40</v>
      </c>
      <c r="D2302">
        <v>5.285444</v>
      </c>
      <c r="E2302">
        <v>0.49059120000000001</v>
      </c>
      <c r="F2302" t="s">
        <v>63</v>
      </c>
      <c r="G2302">
        <v>-251.54750000000001</v>
      </c>
      <c r="H2302">
        <v>29.158049999999999</v>
      </c>
      <c r="I2302">
        <v>243.52879999999999</v>
      </c>
      <c r="J2302">
        <v>-472.72500000000002</v>
      </c>
      <c r="K2302">
        <v>1.195484</v>
      </c>
      <c r="L2302">
        <v>208.03469999999999</v>
      </c>
      <c r="M2302">
        <v>0.99663650000000004</v>
      </c>
      <c r="N2302">
        <v>0</v>
      </c>
      <c r="O2302">
        <v>8.1131679999999998E-2</v>
      </c>
      <c r="P2302">
        <v>0.97716820000000004</v>
      </c>
      <c r="Q2302">
        <v>0.1705419</v>
      </c>
      <c r="R2302">
        <v>0.12671969999999999</v>
      </c>
      <c r="S2302">
        <v>2.944366</v>
      </c>
      <c r="T2302">
        <v>0.37176160000000003</v>
      </c>
      <c r="U2302">
        <v>0.47219850000000002</v>
      </c>
      <c r="V2302">
        <v>-5.4290339999999999E-2</v>
      </c>
      <c r="W2302">
        <v>0.17986939999999901</v>
      </c>
      <c r="X2302">
        <v>0.98219120000000004</v>
      </c>
      <c r="Y2302">
        <v>-7.7739799999999998E-2</v>
      </c>
      <c r="Z2302">
        <v>5.2576080000000004E-3</v>
      </c>
      <c r="AA2302">
        <v>0.99695979999999995</v>
      </c>
      <c r="AB2302">
        <v>32</v>
      </c>
      <c r="AC2302">
        <v>221.17750000000001</v>
      </c>
      <c r="AD2302">
        <v>27.962565999999999</v>
      </c>
      <c r="AE2302">
        <v>35.494100000000003</v>
      </c>
      <c r="AF2302">
        <v>-17.163923597324299</v>
      </c>
      <c r="AG2302">
        <v>27.962565999999999</v>
      </c>
      <c r="AH2302">
        <v>219.90160012600799</v>
      </c>
      <c r="AI2302">
        <v>82.774934168830399</v>
      </c>
      <c r="AJ2302">
        <v>94.4630442665527</v>
      </c>
      <c r="AK2302">
        <v>222.33582506770699</v>
      </c>
      <c r="AL2302">
        <v>79.637847156383899</v>
      </c>
      <c r="AM2302">
        <v>93.163788481111894</v>
      </c>
      <c r="AN2302">
        <v>0.99999999771555703</v>
      </c>
    </row>
    <row r="2303" spans="1:40" x14ac:dyDescent="0.25">
      <c r="A2303" t="str">
        <f>"20190312164516608"</f>
        <v>20190312164516608</v>
      </c>
      <c r="B2303" t="str">
        <f>"1552380316603783"</f>
        <v>1552380316603783</v>
      </c>
      <c r="C2303" t="s">
        <v>40</v>
      </c>
      <c r="D2303">
        <v>5.2953020000000004</v>
      </c>
      <c r="E2303">
        <v>0.49129830000000002</v>
      </c>
      <c r="F2303" t="s">
        <v>63</v>
      </c>
      <c r="G2303">
        <v>-251.54750000000001</v>
      </c>
      <c r="H2303">
        <v>29.150729999999999</v>
      </c>
      <c r="I2303">
        <v>243.6292</v>
      </c>
      <c r="J2303">
        <v>-472.41550000000001</v>
      </c>
      <c r="K2303">
        <v>1.1973400000000001</v>
      </c>
      <c r="L2303">
        <v>208.06729999999999</v>
      </c>
      <c r="M2303">
        <v>0.99487170000000003</v>
      </c>
      <c r="N2303">
        <v>0</v>
      </c>
      <c r="O2303">
        <v>0.1004096</v>
      </c>
      <c r="P2303">
        <v>0.97639200000000004</v>
      </c>
      <c r="Q2303">
        <v>0.17197179999999901</v>
      </c>
      <c r="R2303">
        <v>0.130707399999999</v>
      </c>
      <c r="S2303">
        <v>2.9437259999999998</v>
      </c>
      <c r="T2303">
        <v>0.3720658</v>
      </c>
      <c r="U2303">
        <v>0.47373959999999998</v>
      </c>
      <c r="V2303">
        <v>-3.9484909999999998E-2</v>
      </c>
      <c r="W2303">
        <v>0.18248239999999999</v>
      </c>
      <c r="X2303">
        <v>0.98241599999999996</v>
      </c>
      <c r="Y2303">
        <v>-5.9258999999999999E-2</v>
      </c>
      <c r="Z2303">
        <v>8.8143019999999996E-3</v>
      </c>
      <c r="AA2303">
        <v>0.99820379999999997</v>
      </c>
      <c r="AB2303">
        <v>32</v>
      </c>
      <c r="AC2303">
        <v>220.86799999999999</v>
      </c>
      <c r="AD2303">
        <v>27.953389999999999</v>
      </c>
      <c r="AE2303">
        <v>35.561900000000001</v>
      </c>
      <c r="AF2303">
        <v>-13.000264896270499</v>
      </c>
      <c r="AG2303">
        <v>27.953389999999999</v>
      </c>
      <c r="AH2303">
        <v>219.889480639092</v>
      </c>
      <c r="AI2303">
        <v>82.767645065765606</v>
      </c>
      <c r="AJ2303">
        <v>93.383491860129496</v>
      </c>
      <c r="AK2303">
        <v>222.040047278852</v>
      </c>
      <c r="AL2303">
        <v>79.485614340142803</v>
      </c>
      <c r="AM2303">
        <v>92.301572569817793</v>
      </c>
      <c r="AN2303">
        <v>1.00000004074173</v>
      </c>
    </row>
    <row r="2304" spans="1:40" x14ac:dyDescent="0.25">
      <c r="A2304" t="str">
        <f>"20190312164516632"</f>
        <v>20190312164516632</v>
      </c>
      <c r="B2304" t="str">
        <f>"1552380316624279"</f>
        <v>1552380316624279</v>
      </c>
      <c r="C2304" t="s">
        <v>40</v>
      </c>
      <c r="D2304">
        <v>5.2670830000000004</v>
      </c>
      <c r="E2304">
        <v>0.49183329999999997</v>
      </c>
      <c r="F2304" t="s">
        <v>63</v>
      </c>
      <c r="G2304">
        <v>-251.54769999999999</v>
      </c>
      <c r="H2304">
        <v>29.572780000000002</v>
      </c>
      <c r="I2304">
        <v>244.16900000000001</v>
      </c>
      <c r="J2304">
        <v>-472.09390000000002</v>
      </c>
      <c r="K2304">
        <v>1.198985</v>
      </c>
      <c r="L2304">
        <v>208.10890000000001</v>
      </c>
      <c r="M2304">
        <v>0.99265110000000001</v>
      </c>
      <c r="N2304">
        <v>0</v>
      </c>
      <c r="O2304">
        <v>0.12033720000000001</v>
      </c>
      <c r="P2304">
        <v>0.97535070000000001</v>
      </c>
      <c r="Q2304">
        <v>0.17412830000000001</v>
      </c>
      <c r="R2304">
        <v>0.13553789999999999</v>
      </c>
      <c r="S2304">
        <v>2.9416199999999999</v>
      </c>
      <c r="T2304">
        <v>0.37791720000000001</v>
      </c>
      <c r="U2304">
        <v>0.48081970000000002</v>
      </c>
      <c r="V2304">
        <v>-2.4893160000000001E-2</v>
      </c>
      <c r="W2304">
        <v>0.18580949999999999</v>
      </c>
      <c r="X2304">
        <v>0.98227039999999999</v>
      </c>
      <c r="Y2304">
        <v>-4.199083E-2</v>
      </c>
      <c r="Z2304">
        <v>1.256387E-2</v>
      </c>
      <c r="AA2304">
        <v>0.99903900000000001</v>
      </c>
      <c r="AB2304">
        <v>32</v>
      </c>
      <c r="AC2304">
        <v>220.5462</v>
      </c>
      <c r="AD2304">
        <v>28.373795000000001</v>
      </c>
      <c r="AE2304">
        <v>36.060099999999998</v>
      </c>
      <c r="AF2304">
        <v>-9.1090959869411208</v>
      </c>
      <c r="AG2304">
        <v>28.373795000000001</v>
      </c>
      <c r="AH2304">
        <v>219.74064524597799</v>
      </c>
      <c r="AI2304">
        <v>82.648693812227606</v>
      </c>
      <c r="AJ2304">
        <v>92.373771621061806</v>
      </c>
      <c r="AK2304">
        <v>221.75211170476001</v>
      </c>
      <c r="AL2304">
        <v>79.291668220929196</v>
      </c>
      <c r="AM2304">
        <v>91.451705953274598</v>
      </c>
      <c r="AN2304">
        <v>0.99999998921059696</v>
      </c>
    </row>
    <row r="2305" spans="1:40" x14ac:dyDescent="0.25">
      <c r="A2305" t="str">
        <f>"20190312164516655"</f>
        <v>20190312164516655</v>
      </c>
      <c r="B2305" t="str">
        <f>"1552380316643799"</f>
        <v>1552380316643799</v>
      </c>
      <c r="C2305" t="s">
        <v>40</v>
      </c>
      <c r="D2305">
        <v>5.6478330000000003</v>
      </c>
      <c r="E2305">
        <v>0.49224659999999898</v>
      </c>
      <c r="F2305" t="s">
        <v>63</v>
      </c>
      <c r="G2305">
        <v>-251.5479</v>
      </c>
      <c r="H2305">
        <v>30.098109999999998</v>
      </c>
      <c r="I2305">
        <v>245.03190000000001</v>
      </c>
      <c r="J2305">
        <v>-471.77420000000001</v>
      </c>
      <c r="K2305">
        <v>1.20038</v>
      </c>
      <c r="L2305">
        <v>208.1576</v>
      </c>
      <c r="M2305">
        <v>0.99005149999999997</v>
      </c>
      <c r="N2305">
        <v>0</v>
      </c>
      <c r="O2305">
        <v>0.140074</v>
      </c>
      <c r="P2305">
        <v>0.97413629999999996</v>
      </c>
      <c r="Q2305">
        <v>0.177671</v>
      </c>
      <c r="R2305">
        <v>0.13961200000000001</v>
      </c>
      <c r="S2305">
        <v>2.9387210000000001</v>
      </c>
      <c r="T2305">
        <v>0.38507350000000001</v>
      </c>
      <c r="U2305">
        <v>0.49198910000000001</v>
      </c>
      <c r="V2305">
        <v>-9.7713299999999999E-3</v>
      </c>
      <c r="W2305">
        <v>0.19051470000000001</v>
      </c>
      <c r="X2305">
        <v>0.9816357</v>
      </c>
      <c r="Y2305">
        <v>-2.6261610000000001E-2</v>
      </c>
      <c r="Z2305">
        <v>1.6354239999999999E-2</v>
      </c>
      <c r="AA2305">
        <v>0.99952129999999995</v>
      </c>
      <c r="AB2305">
        <v>32</v>
      </c>
      <c r="AC2305">
        <v>220.22630000000001</v>
      </c>
      <c r="AD2305">
        <v>28.897729999999999</v>
      </c>
      <c r="AE2305">
        <v>36.874299999999998</v>
      </c>
      <c r="AF2305">
        <v>-5.5667433815459004</v>
      </c>
      <c r="AG2305">
        <v>28.897729999999999</v>
      </c>
      <c r="AH2305">
        <v>219.54323635727201</v>
      </c>
      <c r="AI2305">
        <v>82.503840428963898</v>
      </c>
      <c r="AJ2305">
        <v>91.452481884190604</v>
      </c>
      <c r="AK2305">
        <v>221.50688490711499</v>
      </c>
      <c r="AL2305">
        <v>79.017176855406106</v>
      </c>
      <c r="AM2305">
        <v>90.570310838605394</v>
      </c>
      <c r="AN2305">
        <v>0.99999998866027395</v>
      </c>
    </row>
    <row r="2306" spans="1:40" x14ac:dyDescent="0.25">
      <c r="A2306" t="str">
        <f>"20190312164516679"</f>
        <v>20190312164516679</v>
      </c>
      <c r="B2306" t="str">
        <f>"1552380316674055"</f>
        <v>1552380316674055</v>
      </c>
      <c r="C2306" t="s">
        <v>40</v>
      </c>
      <c r="D2306">
        <v>5.5208050000000002</v>
      </c>
      <c r="E2306">
        <v>0.49287140000000002</v>
      </c>
      <c r="F2306" t="s">
        <v>63</v>
      </c>
      <c r="G2306">
        <v>-251.1602</v>
      </c>
      <c r="H2306">
        <v>30.92792</v>
      </c>
      <c r="I2306">
        <v>245.83250000000001</v>
      </c>
      <c r="J2306">
        <v>-471.45</v>
      </c>
      <c r="K2306">
        <v>1.2015800000000001</v>
      </c>
      <c r="L2306">
        <v>208.21440000000001</v>
      </c>
      <c r="M2306">
        <v>0.98700869999999996</v>
      </c>
      <c r="N2306">
        <v>0</v>
      </c>
      <c r="O2306">
        <v>0.1600704</v>
      </c>
      <c r="P2306">
        <v>0.97303010000000001</v>
      </c>
      <c r="Q2306">
        <v>0.1805554</v>
      </c>
      <c r="R2306">
        <v>0.14356920000000001</v>
      </c>
      <c r="S2306">
        <v>2.935638</v>
      </c>
      <c r="T2306">
        <v>0.3955747</v>
      </c>
      <c r="U2306">
        <v>0.50132749999999904</v>
      </c>
      <c r="V2306">
        <v>5.808484E-3</v>
      </c>
      <c r="W2306">
        <v>0.19456219999999999</v>
      </c>
      <c r="X2306">
        <v>0.98087299999999999</v>
      </c>
      <c r="Y2306">
        <v>-9.6666579999999998E-3</v>
      </c>
      <c r="Z2306">
        <v>2.0537300000000001E-2</v>
      </c>
      <c r="AA2306">
        <v>0.99974229999999997</v>
      </c>
      <c r="AB2306">
        <v>32</v>
      </c>
      <c r="AC2306">
        <v>220.28980000000001</v>
      </c>
      <c r="AD2306">
        <v>29.72634</v>
      </c>
      <c r="AE2306">
        <v>37.618099999999998</v>
      </c>
      <c r="AF2306">
        <v>-1.8352229328376799</v>
      </c>
      <c r="AG2306">
        <v>29.72634</v>
      </c>
      <c r="AH2306">
        <v>219.58565703690201</v>
      </c>
      <c r="AI2306">
        <v>82.290735446245506</v>
      </c>
      <c r="AJ2306">
        <v>90.478847670495597</v>
      </c>
      <c r="AK2306">
        <v>221.596218625988</v>
      </c>
      <c r="AL2306">
        <v>78.780850496140303</v>
      </c>
      <c r="AM2306">
        <v>89.660712723746798</v>
      </c>
      <c r="AN2306">
        <v>1.0000000151421</v>
      </c>
    </row>
    <row r="2307" spans="1:40" x14ac:dyDescent="0.25">
      <c r="A2307" t="str">
        <f>"20190312164516698"</f>
        <v>20190312164516698</v>
      </c>
      <c r="B2307" t="str">
        <f>"1552380316693575"</f>
        <v>1552380316693575</v>
      </c>
      <c r="C2307" t="s">
        <v>40</v>
      </c>
      <c r="D2307">
        <v>5.3908239999999896</v>
      </c>
      <c r="E2307">
        <v>0.49342770000000002</v>
      </c>
      <c r="F2307" t="s">
        <v>63</v>
      </c>
      <c r="G2307">
        <v>-251.16040000000001</v>
      </c>
      <c r="H2307">
        <v>31.662960000000002</v>
      </c>
      <c r="I2307">
        <v>246.38820000000001</v>
      </c>
      <c r="J2307">
        <v>-471.18819999999999</v>
      </c>
      <c r="K2307">
        <v>1.2023969999999999</v>
      </c>
      <c r="L2307">
        <v>208.26570000000001</v>
      </c>
      <c r="M2307">
        <v>0.98424730000000005</v>
      </c>
      <c r="N2307">
        <v>0</v>
      </c>
      <c r="O2307">
        <v>0.1762242</v>
      </c>
      <c r="P2307">
        <v>0.97318009999999999</v>
      </c>
      <c r="Q2307">
        <v>0.180807</v>
      </c>
      <c r="R2307">
        <v>0.14222899999999999</v>
      </c>
      <c r="S2307">
        <v>2.9328919999999998</v>
      </c>
      <c r="T2307">
        <v>0.4055568</v>
      </c>
      <c r="U2307">
        <v>0.50823969999999996</v>
      </c>
      <c r="V2307">
        <v>2.316878E-2</v>
      </c>
      <c r="W2307">
        <v>0.19593849999999999</v>
      </c>
      <c r="X2307">
        <v>0.98034239999999995</v>
      </c>
      <c r="Y2307">
        <v>3.9424710000000003E-3</v>
      </c>
      <c r="Z2307">
        <v>2.4162010000000001E-2</v>
      </c>
      <c r="AA2307">
        <v>0.99970029999999999</v>
      </c>
      <c r="AB2307">
        <v>32</v>
      </c>
      <c r="AC2307">
        <v>220.02780000000001</v>
      </c>
      <c r="AD2307">
        <v>30.460563</v>
      </c>
      <c r="AE2307">
        <v>38.122500000000002</v>
      </c>
      <c r="AF2307">
        <v>1.22950468209051</v>
      </c>
      <c r="AG2307">
        <v>30.460563</v>
      </c>
      <c r="AH2307">
        <v>219.22338316973699</v>
      </c>
      <c r="AI2307">
        <v>82.089659908193596</v>
      </c>
      <c r="AJ2307">
        <v>89.678662515121999</v>
      </c>
      <c r="AK2307">
        <v>221.332892513574</v>
      </c>
      <c r="AL2307">
        <v>78.700446122089701</v>
      </c>
      <c r="AM2307">
        <v>88.646160518731307</v>
      </c>
      <c r="AN2307">
        <v>0.99999995469334801</v>
      </c>
    </row>
    <row r="2308" spans="1:40" x14ac:dyDescent="0.25">
      <c r="A2308" t="str">
        <f>"20190312164516721"</f>
        <v>20190312164516721</v>
      </c>
      <c r="B2308" t="str">
        <f>"1552380316714072"</f>
        <v>1552380316714072</v>
      </c>
      <c r="C2308" t="s">
        <v>40</v>
      </c>
      <c r="D2308">
        <v>5.293558</v>
      </c>
      <c r="E2308">
        <v>0.49377379999999998</v>
      </c>
      <c r="F2308" t="s">
        <v>63</v>
      </c>
      <c r="G2308">
        <v>-251.16050000000001</v>
      </c>
      <c r="H2308">
        <v>31.72222</v>
      </c>
      <c r="I2308">
        <v>245.7629</v>
      </c>
      <c r="J2308">
        <v>-470.87130000000002</v>
      </c>
      <c r="K2308">
        <v>1.203214</v>
      </c>
      <c r="L2308">
        <v>208.3348</v>
      </c>
      <c r="M2308">
        <v>0.98052890000000004</v>
      </c>
      <c r="N2308">
        <v>0</v>
      </c>
      <c r="O2308">
        <v>0.1958261</v>
      </c>
      <c r="P2308">
        <v>0.9732307</v>
      </c>
      <c r="Q2308">
        <v>0.17883869999999999</v>
      </c>
      <c r="R2308">
        <v>0.1443565</v>
      </c>
      <c r="S2308">
        <v>2.933929</v>
      </c>
      <c r="T2308">
        <v>0.4069623</v>
      </c>
      <c r="U2308">
        <v>0.5</v>
      </c>
      <c r="V2308">
        <v>4.0692720000000002E-2</v>
      </c>
      <c r="W2308">
        <v>0.19516459999999999</v>
      </c>
      <c r="X2308">
        <v>0.97992590000000002</v>
      </c>
      <c r="Y2308">
        <v>2.62872E-2</v>
      </c>
      <c r="Z2308">
        <v>2.8405590000000001E-2</v>
      </c>
      <c r="AA2308">
        <v>0.99925079999999999</v>
      </c>
      <c r="AB2308">
        <v>32</v>
      </c>
      <c r="AC2308">
        <v>219.71080000000001</v>
      </c>
      <c r="AD2308">
        <v>30.519006000000001</v>
      </c>
      <c r="AE2308">
        <v>37.428100000000001</v>
      </c>
      <c r="AF2308">
        <v>6.2100149144035601</v>
      </c>
      <c r="AG2308">
        <v>30.519006000000001</v>
      </c>
      <c r="AH2308">
        <v>218.68568330815299</v>
      </c>
      <c r="AI2308">
        <v>82.058474448747802</v>
      </c>
      <c r="AJ2308">
        <v>88.373409514573495</v>
      </c>
      <c r="AK2308">
        <v>220.89228618586699</v>
      </c>
      <c r="AL2308">
        <v>78.745660137761305</v>
      </c>
      <c r="AM2308">
        <v>87.622083147433102</v>
      </c>
      <c r="AN2308">
        <v>0.99999994402248205</v>
      </c>
    </row>
    <row r="2309" spans="1:40" x14ac:dyDescent="0.25">
      <c r="A2309" t="str">
        <f>"20190312164516744"</f>
        <v>20190312164516744</v>
      </c>
      <c r="B2309" t="str">
        <f>"1552380316733592"</f>
        <v>1552380316733592</v>
      </c>
      <c r="C2309" t="s">
        <v>40</v>
      </c>
      <c r="D2309">
        <v>5.2284240000000004</v>
      </c>
      <c r="E2309">
        <v>0.49407099999999998</v>
      </c>
      <c r="F2309" t="s">
        <v>63</v>
      </c>
      <c r="G2309">
        <v>-251.16030000000001</v>
      </c>
      <c r="H2309">
        <v>31.097750000000001</v>
      </c>
      <c r="I2309">
        <v>246.0669</v>
      </c>
      <c r="J2309">
        <v>-470.56869999999998</v>
      </c>
      <c r="K2309">
        <v>1.2038329999999999</v>
      </c>
      <c r="L2309">
        <v>208.40770000000001</v>
      </c>
      <c r="M2309">
        <v>0.97658140000000004</v>
      </c>
      <c r="N2309">
        <v>0</v>
      </c>
      <c r="O2309">
        <v>0.21462049999999999</v>
      </c>
      <c r="P2309">
        <v>0.97362380000000004</v>
      </c>
      <c r="Q2309">
        <v>0.17555770000000001</v>
      </c>
      <c r="R2309">
        <v>0.14572760000000001</v>
      </c>
      <c r="S2309">
        <v>2.9343870000000001</v>
      </c>
      <c r="T2309">
        <v>0.39926139999999999</v>
      </c>
      <c r="U2309">
        <v>0.50393679999999996</v>
      </c>
      <c r="V2309">
        <v>5.8371609999999997E-2</v>
      </c>
      <c r="W2309">
        <v>0.19303529999999999</v>
      </c>
      <c r="X2309">
        <v>0.97945400000000005</v>
      </c>
      <c r="Y2309">
        <v>4.396473E-2</v>
      </c>
      <c r="Z2309">
        <v>3.1517679999999999E-2</v>
      </c>
      <c r="AA2309">
        <v>0.99853579999999997</v>
      </c>
      <c r="AB2309">
        <v>32</v>
      </c>
      <c r="AC2309">
        <v>219.4084</v>
      </c>
      <c r="AD2309">
        <v>29.893916999999998</v>
      </c>
      <c r="AE2309">
        <v>37.659199999999998</v>
      </c>
      <c r="AF2309">
        <v>10.130755735426799</v>
      </c>
      <c r="AG2309">
        <v>29.893916999999998</v>
      </c>
      <c r="AH2309">
        <v>218.43887754794801</v>
      </c>
      <c r="AI2309">
        <v>82.215599144861599</v>
      </c>
      <c r="AJ2309">
        <v>87.344639730499495</v>
      </c>
      <c r="AK2309">
        <v>220.70754792208899</v>
      </c>
      <c r="AL2309">
        <v>78.870025968778606</v>
      </c>
      <c r="AM2309">
        <v>86.589430609947797</v>
      </c>
      <c r="AN2309">
        <v>1.00000000500804</v>
      </c>
    </row>
    <row r="2310" spans="1:40" x14ac:dyDescent="0.25">
      <c r="A2310" t="str">
        <f>"20190312164516765"</f>
        <v>20190312164516765</v>
      </c>
      <c r="B2310" t="str">
        <f>"1552380316754087"</f>
        <v>1552380316754087</v>
      </c>
      <c r="C2310" t="s">
        <v>40</v>
      </c>
      <c r="D2310">
        <v>5.4081340000000004</v>
      </c>
      <c r="E2310">
        <v>0.4930929</v>
      </c>
      <c r="F2310" t="s">
        <v>63</v>
      </c>
      <c r="G2310">
        <v>-251.1601</v>
      </c>
      <c r="H2310">
        <v>30.497730000000001</v>
      </c>
      <c r="I2310">
        <v>246.19300000000001</v>
      </c>
      <c r="J2310">
        <v>-470.28469999999999</v>
      </c>
      <c r="K2310">
        <v>1.2043109999999999</v>
      </c>
      <c r="L2310">
        <v>208.48259999999999</v>
      </c>
      <c r="M2310">
        <v>0.97250990000000004</v>
      </c>
      <c r="N2310">
        <v>0</v>
      </c>
      <c r="O2310">
        <v>0.23235130000000001</v>
      </c>
      <c r="P2310">
        <v>0.97404930000000001</v>
      </c>
      <c r="Q2310">
        <v>0.17239779999999999</v>
      </c>
      <c r="R2310">
        <v>0.14665220000000001</v>
      </c>
      <c r="S2310">
        <v>2.9349980000000002</v>
      </c>
      <c r="T2310">
        <v>0.39186009999999999</v>
      </c>
      <c r="U2310">
        <v>0.50544739999999999</v>
      </c>
      <c r="V2310">
        <v>7.5514849999999994E-2</v>
      </c>
      <c r="W2310">
        <v>0.1909449</v>
      </c>
      <c r="X2310">
        <v>0.9786918</v>
      </c>
      <c r="Y2310">
        <v>6.1458390000000002E-2</v>
      </c>
      <c r="Z2310">
        <v>3.4357199999999997E-2</v>
      </c>
      <c r="AA2310">
        <v>0.99751809999999996</v>
      </c>
      <c r="AB2310">
        <v>32</v>
      </c>
      <c r="AC2310">
        <v>219.12459999999999</v>
      </c>
      <c r="AD2310">
        <v>29.293419</v>
      </c>
      <c r="AE2310">
        <v>37.7103999999999</v>
      </c>
      <c r="AF2310">
        <v>13.9988563607541</v>
      </c>
      <c r="AG2310">
        <v>29.293419</v>
      </c>
      <c r="AH2310">
        <v>218.10355068598699</v>
      </c>
      <c r="AI2310">
        <v>82.365922884800796</v>
      </c>
      <c r="AJ2310">
        <v>86.327539474331601</v>
      </c>
      <c r="AK2310">
        <v>220.50675998244</v>
      </c>
      <c r="AL2310">
        <v>78.992067873132299</v>
      </c>
      <c r="AM2310">
        <v>85.587858785781407</v>
      </c>
      <c r="AN2310">
        <v>1.0000000433968801</v>
      </c>
    </row>
    <row r="2311" spans="1:40" x14ac:dyDescent="0.25">
      <c r="A2311" t="str">
        <f>"20190312164516788"</f>
        <v>20190312164516788</v>
      </c>
      <c r="B2311" t="str">
        <f>"1552380316784343"</f>
        <v>1552380316784343</v>
      </c>
      <c r="C2311" t="s">
        <v>40</v>
      </c>
      <c r="D2311">
        <v>5.489662</v>
      </c>
      <c r="E2311">
        <v>0.49166680000000001</v>
      </c>
      <c r="F2311" t="s">
        <v>63</v>
      </c>
      <c r="G2311">
        <v>-251.16</v>
      </c>
      <c r="H2311">
        <v>30.304189999999998</v>
      </c>
      <c r="I2311">
        <v>246.9632</v>
      </c>
      <c r="J2311">
        <v>-469.98700000000002</v>
      </c>
      <c r="K2311">
        <v>1.2047099999999999</v>
      </c>
      <c r="L2311">
        <v>208.5677</v>
      </c>
      <c r="M2311">
        <v>0.96785010000000005</v>
      </c>
      <c r="N2311">
        <v>0</v>
      </c>
      <c r="O2311">
        <v>0.25103579999999998</v>
      </c>
      <c r="P2311">
        <v>0.97392089999999998</v>
      </c>
      <c r="Q2311">
        <v>0.17002329999999999</v>
      </c>
      <c r="R2311">
        <v>0.1502349</v>
      </c>
      <c r="S2311">
        <v>2.933411</v>
      </c>
      <c r="T2311">
        <v>0.38955840000000003</v>
      </c>
      <c r="U2311">
        <v>0.5151367</v>
      </c>
      <c r="V2311">
        <v>9.0967549999999994E-2</v>
      </c>
      <c r="W2311">
        <v>0.1895415</v>
      </c>
      <c r="X2311">
        <v>0.97764969999999995</v>
      </c>
      <c r="Y2311">
        <v>7.7129139999999999E-2</v>
      </c>
      <c r="Z2311">
        <v>3.7561410000000003E-2</v>
      </c>
      <c r="AA2311">
        <v>0.99631329999999996</v>
      </c>
      <c r="AB2311">
        <v>32</v>
      </c>
      <c r="AC2311">
        <v>218.827</v>
      </c>
      <c r="AD2311">
        <v>29.09948</v>
      </c>
      <c r="AE2311">
        <v>38.395499999999998</v>
      </c>
      <c r="AF2311">
        <v>17.474734210801099</v>
      </c>
      <c r="AG2311">
        <v>29.09948</v>
      </c>
      <c r="AH2311">
        <v>217.72264255606399</v>
      </c>
      <c r="AI2311">
        <v>82.411428604392299</v>
      </c>
      <c r="AJ2311">
        <v>85.411194534006</v>
      </c>
      <c r="AK2311">
        <v>220.35266087253001</v>
      </c>
      <c r="AL2311">
        <v>79.073972183072897</v>
      </c>
      <c r="AM2311">
        <v>84.684095199292798</v>
      </c>
      <c r="AN2311">
        <v>1.0000000056426701</v>
      </c>
    </row>
    <row r="2312" spans="1:40" x14ac:dyDescent="0.25">
      <c r="A2312" t="str">
        <f>"20190312164516810"</f>
        <v>20190312164516810</v>
      </c>
      <c r="B2312" t="str">
        <f>"1552380316803864"</f>
        <v>1552380316803864</v>
      </c>
      <c r="C2312" t="s">
        <v>40</v>
      </c>
      <c r="D2312">
        <v>5.483174</v>
      </c>
      <c r="E2312">
        <v>0.49084840000000002</v>
      </c>
      <c r="F2312" t="s">
        <v>63</v>
      </c>
      <c r="G2312">
        <v>-251.5479</v>
      </c>
      <c r="H2312">
        <v>30.27929</v>
      </c>
      <c r="I2312">
        <v>248.5324</v>
      </c>
      <c r="J2312">
        <v>-469.69729999999998</v>
      </c>
      <c r="K2312">
        <v>1.204998</v>
      </c>
      <c r="L2312">
        <v>208.65770000000001</v>
      </c>
      <c r="M2312">
        <v>0.96291930000000003</v>
      </c>
      <c r="N2312">
        <v>0</v>
      </c>
      <c r="O2312">
        <v>0.26931529999999998</v>
      </c>
      <c r="P2312">
        <v>0.97327830000000004</v>
      </c>
      <c r="Q2312">
        <v>0.1692563</v>
      </c>
      <c r="R2312">
        <v>0.1551825</v>
      </c>
      <c r="S2312">
        <v>2.9295650000000002</v>
      </c>
      <c r="T2312">
        <v>0.38992979999999999</v>
      </c>
      <c r="U2312">
        <v>0.53598020000000002</v>
      </c>
      <c r="V2312">
        <v>0.10459739999999999</v>
      </c>
      <c r="W2312">
        <v>0.18959899999999999</v>
      </c>
      <c r="X2312">
        <v>0.97627430000000004</v>
      </c>
      <c r="Y2312">
        <v>8.8659580000000002E-2</v>
      </c>
      <c r="Z2312">
        <v>4.0682919999999997E-2</v>
      </c>
      <c r="AA2312">
        <v>0.99523079999999997</v>
      </c>
      <c r="AB2312">
        <v>31</v>
      </c>
      <c r="AC2312">
        <v>218.14940000000001</v>
      </c>
      <c r="AD2312">
        <v>29.074292</v>
      </c>
      <c r="AE2312">
        <v>39.874699999999898</v>
      </c>
      <c r="AF2312">
        <v>20.013454969762702</v>
      </c>
      <c r="AG2312">
        <v>29.074292</v>
      </c>
      <c r="AH2312">
        <v>217.095822573172</v>
      </c>
      <c r="AI2312">
        <v>82.403951021512199</v>
      </c>
      <c r="AJ2312">
        <v>84.732949764823502</v>
      </c>
      <c r="AK2312">
        <v>219.94646851870601</v>
      </c>
      <c r="AL2312">
        <v>79.070616249821398</v>
      </c>
      <c r="AM2312">
        <v>83.884694745131895</v>
      </c>
      <c r="AN2312">
        <v>0.99999995286412402</v>
      </c>
    </row>
    <row r="2313" spans="1:40" x14ac:dyDescent="0.25">
      <c r="A2313" t="str">
        <f>"20190312164516834"</f>
        <v>20190312164516834</v>
      </c>
      <c r="B2313" t="str">
        <f>"1552380316824360"</f>
        <v>1552380316824360</v>
      </c>
      <c r="C2313" t="s">
        <v>40</v>
      </c>
      <c r="D2313">
        <v>5.4211780000000003</v>
      </c>
      <c r="E2313">
        <v>0.4900989</v>
      </c>
      <c r="F2313" t="s">
        <v>65</v>
      </c>
      <c r="G2313">
        <v>-250.26920000000001</v>
      </c>
      <c r="H2313">
        <v>30.55817</v>
      </c>
      <c r="I2313">
        <v>250.3931</v>
      </c>
      <c r="J2313">
        <v>-469.4006</v>
      </c>
      <c r="K2313">
        <v>1.2048669999999999</v>
      </c>
      <c r="L2313">
        <v>208.75700000000001</v>
      </c>
      <c r="M2313">
        <v>0.95750999999999997</v>
      </c>
      <c r="N2313">
        <v>0</v>
      </c>
      <c r="O2313">
        <v>0.28793790000000002</v>
      </c>
      <c r="P2313">
        <v>0.97179570000000004</v>
      </c>
      <c r="Q2313">
        <v>0.173033299999999</v>
      </c>
      <c r="R2313">
        <v>0.16022739999999999</v>
      </c>
      <c r="S2313">
        <v>2.9256289999999998</v>
      </c>
      <c r="T2313">
        <v>0.39136490000000002</v>
      </c>
      <c r="U2313">
        <v>0.55645749999999905</v>
      </c>
      <c r="V2313">
        <v>0.1182486</v>
      </c>
      <c r="W2313">
        <v>0.19417300000000001</v>
      </c>
      <c r="X2313">
        <v>0.97381419999999996</v>
      </c>
      <c r="Y2313">
        <v>0.1007252</v>
      </c>
      <c r="Z2313">
        <v>4.3997939999999999E-2</v>
      </c>
      <c r="AA2313">
        <v>0.99394090000000002</v>
      </c>
      <c r="AB2313">
        <v>31</v>
      </c>
      <c r="AC2313">
        <v>219.13140000000001</v>
      </c>
      <c r="AD2313">
        <v>29.353303</v>
      </c>
      <c r="AE2313">
        <v>41.636099999999999</v>
      </c>
      <c r="AF2313">
        <v>22.8368546425069</v>
      </c>
      <c r="AG2313">
        <v>29.353303</v>
      </c>
      <c r="AH2313">
        <v>218.06222438965901</v>
      </c>
      <c r="AI2313">
        <v>82.374719297799302</v>
      </c>
      <c r="AJ2313">
        <v>84.021417114427706</v>
      </c>
      <c r="AK2313">
        <v>221.21092204667201</v>
      </c>
      <c r="AL2313">
        <v>78.803583284127697</v>
      </c>
      <c r="AM2313">
        <v>83.076566574540905</v>
      </c>
      <c r="AN2313">
        <v>0.99999999072629997</v>
      </c>
    </row>
    <row r="2314" spans="1:40" x14ac:dyDescent="0.25">
      <c r="A2314" t="str">
        <f>"20190312164516857"</f>
        <v>20190312164516857</v>
      </c>
      <c r="B2314" t="str">
        <f>"1552380316853639"</f>
        <v>1552380316853639</v>
      </c>
      <c r="C2314" t="s">
        <v>40</v>
      </c>
      <c r="D2314">
        <v>5.1223979999999996</v>
      </c>
      <c r="E2314">
        <v>0.46982669999999999</v>
      </c>
      <c r="F2314" t="s">
        <v>65</v>
      </c>
      <c r="G2314">
        <v>-251.69839999999999</v>
      </c>
      <c r="H2314">
        <v>31.537780000000001</v>
      </c>
      <c r="I2314">
        <v>251.803</v>
      </c>
      <c r="J2314">
        <v>-469.0992</v>
      </c>
      <c r="K2314">
        <v>1.203522</v>
      </c>
      <c r="L2314">
        <v>208.8657</v>
      </c>
      <c r="M2314">
        <v>0.95180670000000001</v>
      </c>
      <c r="N2314">
        <v>0</v>
      </c>
      <c r="O2314">
        <v>0.30622759999999999</v>
      </c>
      <c r="P2314">
        <v>0.96944710000000001</v>
      </c>
      <c r="Q2314">
        <v>0.17864070000000001</v>
      </c>
      <c r="R2314">
        <v>0.16810659999999999</v>
      </c>
      <c r="S2314">
        <v>2.9194339999999999</v>
      </c>
      <c r="T2314">
        <v>0.40677079999999999</v>
      </c>
      <c r="U2314">
        <v>0.57725519999999997</v>
      </c>
      <c r="V2314">
        <v>0.128915</v>
      </c>
      <c r="W2314">
        <v>0.2005286</v>
      </c>
      <c r="X2314">
        <v>0.97116899999999995</v>
      </c>
      <c r="Y2314">
        <v>0.1120415</v>
      </c>
      <c r="Z2314">
        <v>4.8932349999999999E-2</v>
      </c>
      <c r="AA2314">
        <v>0.99249799999999999</v>
      </c>
      <c r="AB2314">
        <v>31</v>
      </c>
      <c r="AC2314">
        <v>217.4008</v>
      </c>
      <c r="AD2314">
        <v>30.334257999999998</v>
      </c>
      <c r="AE2314">
        <v>42.937299999999901</v>
      </c>
      <c r="AF2314">
        <v>25.236933912947201</v>
      </c>
      <c r="AG2314">
        <v>30.334257999999998</v>
      </c>
      <c r="AH2314">
        <v>216.055423837246</v>
      </c>
      <c r="AI2314">
        <v>82.061173420558603</v>
      </c>
      <c r="AJ2314">
        <v>83.337603819794197</v>
      </c>
      <c r="AK2314">
        <v>219.62926993283199</v>
      </c>
      <c r="AL2314">
        <v>78.432128319834902</v>
      </c>
      <c r="AM2314">
        <v>82.438643399958593</v>
      </c>
      <c r="AN2314">
        <v>1.0000000116019701</v>
      </c>
    </row>
    <row r="2315" spans="1:40" x14ac:dyDescent="0.25">
      <c r="A2315" t="str">
        <f>"20190312164516880"</f>
        <v>20190312164516880</v>
      </c>
      <c r="B2315" t="str">
        <f>"1552380316874135"</f>
        <v>1552380316874135</v>
      </c>
      <c r="C2315" t="s">
        <v>40</v>
      </c>
      <c r="D2315">
        <v>5.8105219999999997</v>
      </c>
      <c r="E2315">
        <v>0.46866429999999998</v>
      </c>
      <c r="F2315" t="s">
        <v>41</v>
      </c>
      <c r="G2315">
        <v>-468.23489999999998</v>
      </c>
      <c r="H2315">
        <v>1.137775</v>
      </c>
      <c r="I2315">
        <v>209.11619999999999</v>
      </c>
      <c r="J2315">
        <v>-468.79660000000001</v>
      </c>
      <c r="K2315">
        <v>1.2027209999999999</v>
      </c>
      <c r="L2315">
        <v>208.98140000000001</v>
      </c>
      <c r="M2315">
        <v>0.94588899999999998</v>
      </c>
      <c r="N2315">
        <v>0</v>
      </c>
      <c r="O2315">
        <v>0.32402399999999998</v>
      </c>
      <c r="P2315">
        <v>0.96807460000000001</v>
      </c>
      <c r="Q2315">
        <v>0.1779442</v>
      </c>
      <c r="R2315">
        <v>0.1765437</v>
      </c>
      <c r="S2315">
        <v>2.9864809999999999</v>
      </c>
      <c r="T2315">
        <v>-0.22800870000000001</v>
      </c>
      <c r="U2315">
        <v>0.86573789999999995</v>
      </c>
      <c r="V2315">
        <v>0.13895270000000001</v>
      </c>
      <c r="W2315">
        <v>0.20044870000000001</v>
      </c>
      <c r="X2315">
        <v>0.9698002</v>
      </c>
      <c r="Y2315">
        <v>4.6911870000000001E-2</v>
      </c>
      <c r="Z2315">
        <v>-2.5354399999999999E-2</v>
      </c>
      <c r="AA2315">
        <v>0.99857720000000005</v>
      </c>
      <c r="AB2315">
        <v>31</v>
      </c>
      <c r="AC2315">
        <v>0.56170000000002995</v>
      </c>
      <c r="AD2315">
        <v>-6.4945999999999907E-2</v>
      </c>
      <c r="AE2315">
        <v>0.13479999999998399</v>
      </c>
      <c r="AF2315">
        <v>5.3826275390683499E-2</v>
      </c>
      <c r="AG2315">
        <v>-6.4945999999999907E-2</v>
      </c>
      <c r="AH2315">
        <v>0.56789259483461496</v>
      </c>
      <c r="AI2315">
        <v>96.4953222291538</v>
      </c>
      <c r="AJ2315">
        <v>84.585538571997503</v>
      </c>
      <c r="AK2315">
        <v>0.57412302697803896</v>
      </c>
      <c r="AL2315">
        <v>78.436800770949702</v>
      </c>
      <c r="AM2315">
        <v>81.846171466167604</v>
      </c>
      <c r="AN2315">
        <v>0.99999998104450905</v>
      </c>
    </row>
    <row r="2316" spans="1:40" x14ac:dyDescent="0.25">
      <c r="A2316" t="str">
        <f>"20190312164516899"</f>
        <v>20190312164516899</v>
      </c>
      <c r="B2316" t="str">
        <f>"1552380316893655"</f>
        <v>1552380316893655</v>
      </c>
      <c r="C2316" t="s">
        <v>40</v>
      </c>
      <c r="D2316">
        <v>5.413259</v>
      </c>
      <c r="E2316">
        <v>0.47457280000000002</v>
      </c>
      <c r="F2316" t="s">
        <v>47</v>
      </c>
      <c r="G2316">
        <v>-450.52050000000003</v>
      </c>
      <c r="H2316" s="1">
        <v>-1.2525939999999999E-6</v>
      </c>
      <c r="I2316">
        <v>214.45179999999999</v>
      </c>
      <c r="J2316">
        <v>-468.55860000000001</v>
      </c>
      <c r="K2316">
        <v>1.2021090000000001</v>
      </c>
      <c r="L2316">
        <v>209.07730000000001</v>
      </c>
      <c r="M2316">
        <v>0.94108849999999999</v>
      </c>
      <c r="N2316">
        <v>0</v>
      </c>
      <c r="O2316">
        <v>0.33769199999999999</v>
      </c>
      <c r="P2316">
        <v>0.96877170000000001</v>
      </c>
      <c r="Q2316">
        <v>0.1698414</v>
      </c>
      <c r="R2316">
        <v>0.18065220000000001</v>
      </c>
      <c r="S2316">
        <v>2.9726560000000002</v>
      </c>
      <c r="T2316">
        <v>-0.19562640000000001</v>
      </c>
      <c r="U2316">
        <v>0.88978579999999996</v>
      </c>
      <c r="V2316">
        <v>0.14987220000000001</v>
      </c>
      <c r="W2316">
        <v>0.1930115</v>
      </c>
      <c r="X2316">
        <v>0.96968290000000001</v>
      </c>
      <c r="Y2316">
        <v>5.2922070000000002E-2</v>
      </c>
      <c r="Z2316">
        <v>-2.2839430000000001E-2</v>
      </c>
      <c r="AA2316">
        <v>0.99833740000000004</v>
      </c>
      <c r="AB2316">
        <v>31</v>
      </c>
      <c r="AC2316">
        <v>18.038099999999901</v>
      </c>
      <c r="AD2316">
        <v>-1.202110252594</v>
      </c>
      <c r="AE2316">
        <v>5.3744999999999798</v>
      </c>
      <c r="AF2316">
        <v>1.0294064354057499</v>
      </c>
      <c r="AG2316">
        <v>-1.202110252594</v>
      </c>
      <c r="AH2316">
        <v>18.7169996087767</v>
      </c>
      <c r="AI2316">
        <v>93.669277642584504</v>
      </c>
      <c r="AJ2316">
        <v>86.851991011932398</v>
      </c>
      <c r="AK2316">
        <v>18.783791444316901</v>
      </c>
      <c r="AL2316">
        <v>78.871415924566307</v>
      </c>
      <c r="AM2316">
        <v>81.214002115140502</v>
      </c>
      <c r="AN2316">
        <v>1.0000000210087401</v>
      </c>
    </row>
    <row r="2317" spans="1:40" x14ac:dyDescent="0.25">
      <c r="A2317" t="str">
        <f>"20190312164516921"</f>
        <v>20190312164516921</v>
      </c>
      <c r="B2317" t="str">
        <f>"1552380316914152"</f>
        <v>1552380316914152</v>
      </c>
      <c r="C2317" t="s">
        <v>40</v>
      </c>
      <c r="D2317">
        <v>5.5907929999999997</v>
      </c>
      <c r="E2317">
        <v>0.47547040000000002</v>
      </c>
      <c r="F2317" t="s">
        <v>66</v>
      </c>
      <c r="G2317">
        <v>-378.01830000000001</v>
      </c>
      <c r="H2317">
        <v>15.14667</v>
      </c>
      <c r="I2317">
        <v>232.75</v>
      </c>
      <c r="J2317">
        <v>-468.27229999999997</v>
      </c>
      <c r="K2317">
        <v>1.201087</v>
      </c>
      <c r="L2317">
        <v>209.19839999999999</v>
      </c>
      <c r="M2317">
        <v>0.93509909999999996</v>
      </c>
      <c r="N2317">
        <v>0</v>
      </c>
      <c r="O2317">
        <v>0.35391660000000003</v>
      </c>
      <c r="P2317">
        <v>0.96885750000000004</v>
      </c>
      <c r="Q2317">
        <v>0.16247790000000001</v>
      </c>
      <c r="R2317">
        <v>0.1868592</v>
      </c>
      <c r="S2317">
        <v>2.8786619999999998</v>
      </c>
      <c r="T2317">
        <v>0.44335869999999999</v>
      </c>
      <c r="U2317">
        <v>0.75265499999999996</v>
      </c>
      <c r="V2317">
        <v>0.16149479999999999</v>
      </c>
      <c r="W2317">
        <v>0.1862162</v>
      </c>
      <c r="X2317">
        <v>0.96914549999999999</v>
      </c>
      <c r="Y2317">
        <v>0.101103</v>
      </c>
      <c r="Z2317">
        <v>5.944642E-2</v>
      </c>
      <c r="AA2317">
        <v>0.99309829999999999</v>
      </c>
      <c r="AB2317">
        <v>31</v>
      </c>
      <c r="AC2317">
        <v>90.253999999999905</v>
      </c>
      <c r="AD2317">
        <v>13.945582999999999</v>
      </c>
      <c r="AE2317">
        <v>23.551600000000001</v>
      </c>
      <c r="AF2317">
        <v>9.7040472387750007</v>
      </c>
      <c r="AG2317">
        <v>13.945582999999999</v>
      </c>
      <c r="AH2317">
        <v>90.719339784512499</v>
      </c>
      <c r="AI2317">
        <v>81.309585348069703</v>
      </c>
      <c r="AJ2317">
        <v>83.8944134156053</v>
      </c>
      <c r="AK2317">
        <v>92.296513633831793</v>
      </c>
      <c r="AL2317">
        <v>79.267952471847494</v>
      </c>
      <c r="AM2317">
        <v>80.539371824968299</v>
      </c>
      <c r="AN2317">
        <v>1.0000000218698599</v>
      </c>
    </row>
    <row r="2318" spans="1:40" x14ac:dyDescent="0.25">
      <c r="A2318" t="str">
        <f>"20190312164516944"</f>
        <v>20190312164516944</v>
      </c>
      <c r="B2318" t="str">
        <f>"1552380316933675"</f>
        <v>1552380316933675</v>
      </c>
      <c r="C2318" t="s">
        <v>40</v>
      </c>
      <c r="D2318">
        <v>5.5310439999999996</v>
      </c>
      <c r="E2318">
        <v>0.47602719999999998</v>
      </c>
      <c r="F2318" t="s">
        <v>66</v>
      </c>
      <c r="G2318">
        <v>-383.2706</v>
      </c>
      <c r="H2318">
        <v>13.777369999999999</v>
      </c>
      <c r="I2318">
        <v>231.73939999999999</v>
      </c>
      <c r="J2318">
        <v>-467.988</v>
      </c>
      <c r="K2318">
        <v>1.1996690000000001</v>
      </c>
      <c r="L2318">
        <v>209.32390000000001</v>
      </c>
      <c r="M2318">
        <v>0.92907119999999999</v>
      </c>
      <c r="N2318">
        <v>0</v>
      </c>
      <c r="O2318">
        <v>0.36943419999999999</v>
      </c>
      <c r="P2318">
        <v>0.96719290000000002</v>
      </c>
      <c r="Q2318">
        <v>0.16293940000000001</v>
      </c>
      <c r="R2318">
        <v>0.1949072</v>
      </c>
      <c r="S2318">
        <v>2.8778380000000001</v>
      </c>
      <c r="T2318">
        <v>0.42578769999999999</v>
      </c>
      <c r="U2318">
        <v>0.76315310000000003</v>
      </c>
      <c r="V2318">
        <v>0.17004639999999999</v>
      </c>
      <c r="W2318">
        <v>0.18679480000000001</v>
      </c>
      <c r="X2318">
        <v>0.96757009999999999</v>
      </c>
      <c r="Y2318">
        <v>0.1143011</v>
      </c>
      <c r="Z2318">
        <v>6.01234E-2</v>
      </c>
      <c r="AA2318">
        <v>0.99162510000000004</v>
      </c>
      <c r="AB2318">
        <v>31</v>
      </c>
      <c r="AC2318">
        <v>84.717399999999998</v>
      </c>
      <c r="AD2318">
        <v>12.577700999999999</v>
      </c>
      <c r="AE2318">
        <v>22.415499999999899</v>
      </c>
      <c r="AF2318">
        <v>10.262311707756499</v>
      </c>
      <c r="AG2318">
        <v>12.577700999999999</v>
      </c>
      <c r="AH2318">
        <v>85.248432727173395</v>
      </c>
      <c r="AI2318">
        <v>81.666346075261302</v>
      </c>
      <c r="AJ2318">
        <v>83.135694416868404</v>
      </c>
      <c r="AK2318">
        <v>86.780233270439993</v>
      </c>
      <c r="AL2318">
        <v>79.234208688924198</v>
      </c>
      <c r="AM2318">
        <v>80.032297239292205</v>
      </c>
      <c r="AN2318">
        <v>0.99999998693700398</v>
      </c>
    </row>
    <row r="2319" spans="1:40" x14ac:dyDescent="0.25">
      <c r="A2319" t="str">
        <f>"20190312164516966"</f>
        <v>20190312164516966</v>
      </c>
      <c r="B2319" t="str">
        <f>"1552380316963928"</f>
        <v>1552380316963928</v>
      </c>
      <c r="C2319" t="s">
        <v>40</v>
      </c>
      <c r="D2319">
        <v>5.5434460000000003</v>
      </c>
      <c r="E2319">
        <v>0.47698649999999998</v>
      </c>
      <c r="F2319" t="s">
        <v>66</v>
      </c>
      <c r="G2319">
        <v>-385.61309999999997</v>
      </c>
      <c r="H2319">
        <v>13.507440000000001</v>
      </c>
      <c r="I2319">
        <v>231.73939999999999</v>
      </c>
      <c r="J2319">
        <v>-467.71449999999999</v>
      </c>
      <c r="K2319">
        <v>1.197878</v>
      </c>
      <c r="L2319">
        <v>209.44919999999999</v>
      </c>
      <c r="M2319">
        <v>0.92343090000000005</v>
      </c>
      <c r="N2319">
        <v>0</v>
      </c>
      <c r="O2319">
        <v>0.38330189999999997</v>
      </c>
      <c r="P2319">
        <v>0.96675710000000004</v>
      </c>
      <c r="Q2319">
        <v>0.16703979999999999</v>
      </c>
      <c r="R2319">
        <v>0.1935934</v>
      </c>
      <c r="S2319">
        <v>2.8719790000000001</v>
      </c>
      <c r="T2319">
        <v>0.42910900000000002</v>
      </c>
      <c r="U2319">
        <v>0.78150940000000002</v>
      </c>
      <c r="V2319">
        <v>0.18614839999999999</v>
      </c>
      <c r="W2319">
        <v>0.1909351</v>
      </c>
      <c r="X2319">
        <v>0.9637907</v>
      </c>
      <c r="Y2319">
        <v>0.1224707</v>
      </c>
      <c r="Z2319">
        <v>6.3091640000000004E-2</v>
      </c>
      <c r="AA2319">
        <v>0.99046469999999998</v>
      </c>
      <c r="AB2319">
        <v>31</v>
      </c>
      <c r="AC2319">
        <v>82.101399999999998</v>
      </c>
      <c r="AD2319">
        <v>12.309562</v>
      </c>
      <c r="AE2319">
        <v>22.290199999999999</v>
      </c>
      <c r="AF2319">
        <v>10.664815816646</v>
      </c>
      <c r="AG2319">
        <v>12.309562</v>
      </c>
      <c r="AH2319">
        <v>82.643585096878496</v>
      </c>
      <c r="AI2319">
        <v>81.596887705357304</v>
      </c>
      <c r="AJ2319">
        <v>82.646851817485597</v>
      </c>
      <c r="AK2319">
        <v>84.233163128899704</v>
      </c>
      <c r="AL2319">
        <v>78.9926391484356</v>
      </c>
      <c r="AM2319">
        <v>79.068386199118507</v>
      </c>
      <c r="AN2319">
        <v>0.99999997632052895</v>
      </c>
    </row>
    <row r="2320" spans="1:40" x14ac:dyDescent="0.25">
      <c r="A2320" t="str">
        <f>"20190312164517000"</f>
        <v>20190312164517000</v>
      </c>
      <c r="B2320" t="str">
        <f>"1552380316994184"</f>
        <v>1552380316994184</v>
      </c>
      <c r="C2320" t="s">
        <v>40</v>
      </c>
      <c r="D2320">
        <v>5.6149079999999998</v>
      </c>
      <c r="E2320">
        <v>0.47772209999999898</v>
      </c>
      <c r="F2320" t="s">
        <v>66</v>
      </c>
      <c r="G2320">
        <v>-384.58890000000002</v>
      </c>
      <c r="H2320">
        <v>13.91226</v>
      </c>
      <c r="I2320">
        <v>231.73939999999999</v>
      </c>
      <c r="J2320">
        <v>-467.30549999999999</v>
      </c>
      <c r="K2320">
        <v>1.19445</v>
      </c>
      <c r="L2320">
        <v>209.6431</v>
      </c>
      <c r="M2320">
        <v>0.91573419999999905</v>
      </c>
      <c r="N2320">
        <v>0</v>
      </c>
      <c r="O2320">
        <v>0.40132210000000001</v>
      </c>
      <c r="P2320">
        <v>0.96760829999999998</v>
      </c>
      <c r="Q2320">
        <v>0.16231970000000001</v>
      </c>
      <c r="R2320">
        <v>0.1933568</v>
      </c>
      <c r="S2320">
        <v>2.8729550000000001</v>
      </c>
      <c r="T2320">
        <v>0.43943149999999997</v>
      </c>
      <c r="U2320">
        <v>0.77038569999999995</v>
      </c>
      <c r="V2320">
        <v>0.20703859999999999</v>
      </c>
      <c r="W2320">
        <v>0.18573129999999999</v>
      </c>
      <c r="X2320">
        <v>0.96054099999999998</v>
      </c>
      <c r="Y2320">
        <v>0.144894</v>
      </c>
      <c r="Z2320">
        <v>6.8737899999999894E-2</v>
      </c>
      <c r="AA2320">
        <v>0.98705659999999895</v>
      </c>
      <c r="AB2320">
        <v>31</v>
      </c>
      <c r="AC2320">
        <v>82.7165999999999</v>
      </c>
      <c r="AD2320">
        <v>12.71781</v>
      </c>
      <c r="AE2320">
        <v>22.0962999999999</v>
      </c>
      <c r="AF2320">
        <v>12.6841932281271</v>
      </c>
      <c r="AG2320">
        <v>12.71781</v>
      </c>
      <c r="AH2320">
        <v>82.802827751533101</v>
      </c>
      <c r="AI2320">
        <v>81.367248478648605</v>
      </c>
      <c r="AJ2320">
        <v>81.290818430234594</v>
      </c>
      <c r="AK2320">
        <v>84.7286240458007</v>
      </c>
      <c r="AL2320">
        <v>79.296228838864096</v>
      </c>
      <c r="AM2320">
        <v>77.8363455937466</v>
      </c>
      <c r="AN2320">
        <v>1.0000000551853201</v>
      </c>
    </row>
    <row r="2321" spans="1:40" x14ac:dyDescent="0.25">
      <c r="A2321" t="str">
        <f>"20190312164517022"</f>
        <v>20190312164517022</v>
      </c>
      <c r="B2321" t="str">
        <f>"1552380317013703"</f>
        <v>1552380317013703</v>
      </c>
      <c r="C2321" t="s">
        <v>40</v>
      </c>
      <c r="D2321">
        <v>5.4567059999999996</v>
      </c>
      <c r="E2321">
        <v>0.50511340000000005</v>
      </c>
      <c r="F2321" t="s">
        <v>66</v>
      </c>
      <c r="G2321">
        <v>-384.08370000000002</v>
      </c>
      <c r="H2321">
        <v>13.75407</v>
      </c>
      <c r="I2321">
        <v>231.73939999999999</v>
      </c>
      <c r="J2321">
        <v>-467.02050000000003</v>
      </c>
      <c r="K2321">
        <v>1.1918089999999999</v>
      </c>
      <c r="L2321">
        <v>209.78149999999999</v>
      </c>
      <c r="M2321">
        <v>0.91109410000000002</v>
      </c>
      <c r="N2321">
        <v>0</v>
      </c>
      <c r="O2321">
        <v>0.41173539999999997</v>
      </c>
      <c r="P2321">
        <v>0.96946969999999999</v>
      </c>
      <c r="Q2321">
        <v>0.15194750000000001</v>
      </c>
      <c r="R2321">
        <v>0.19245960000000001</v>
      </c>
      <c r="S2321">
        <v>2.875092</v>
      </c>
      <c r="T2321">
        <v>0.43390329999999999</v>
      </c>
      <c r="U2321">
        <v>0.76336669999999995</v>
      </c>
      <c r="V2321">
        <v>0.22072130000000001</v>
      </c>
      <c r="W2321">
        <v>0.174758</v>
      </c>
      <c r="X2321">
        <v>0.95955290000000004</v>
      </c>
      <c r="Y2321">
        <v>0.15849920000000001</v>
      </c>
      <c r="Z2321">
        <v>7.0252990000000001E-2</v>
      </c>
      <c r="AA2321">
        <v>0.98485659999999997</v>
      </c>
      <c r="AB2321">
        <v>31</v>
      </c>
      <c r="AC2321">
        <v>82.936800000000005</v>
      </c>
      <c r="AD2321">
        <v>12.562260999999999</v>
      </c>
      <c r="AE2321">
        <v>21.957899999999899</v>
      </c>
      <c r="AF2321">
        <v>13.848102620442599</v>
      </c>
      <c r="AG2321">
        <v>12.562260999999999</v>
      </c>
      <c r="AH2321">
        <v>82.844064756069102</v>
      </c>
      <c r="AI2321">
        <v>81.493763085417896</v>
      </c>
      <c r="AJ2321">
        <v>80.510252866113802</v>
      </c>
      <c r="AK2321">
        <v>84.927730529705102</v>
      </c>
      <c r="AL2321">
        <v>79.935424579857894</v>
      </c>
      <c r="AM2321">
        <v>77.045866889852704</v>
      </c>
      <c r="AN2321">
        <v>1.0000000093680499</v>
      </c>
    </row>
    <row r="2322" spans="1:40" x14ac:dyDescent="0.25">
      <c r="A2322" t="str">
        <f>"20190312164517045"</f>
        <v>20190312164517045</v>
      </c>
      <c r="B2322" t="str">
        <f>"1552380317034203"</f>
        <v>1552380317034203</v>
      </c>
      <c r="C2322" t="s">
        <v>40</v>
      </c>
      <c r="D2322">
        <v>5.6486010000000002</v>
      </c>
      <c r="E2322">
        <v>0.51270850000000001</v>
      </c>
      <c r="F2322" t="s">
        <v>65</v>
      </c>
      <c r="G2322">
        <v>-247.46250000000001</v>
      </c>
      <c r="H2322">
        <v>33.345179999999999</v>
      </c>
      <c r="I2322">
        <v>250.46690000000001</v>
      </c>
      <c r="J2322">
        <v>-466.74259999999998</v>
      </c>
      <c r="K2322">
        <v>1.1891400000000001</v>
      </c>
      <c r="L2322">
        <v>209.9187</v>
      </c>
      <c r="M2322">
        <v>0.90729579999999999</v>
      </c>
      <c r="N2322">
        <v>0</v>
      </c>
      <c r="O2322">
        <v>0.42003030000000002</v>
      </c>
      <c r="P2322">
        <v>0.97152099999999997</v>
      </c>
      <c r="Q2322">
        <v>0.1453141</v>
      </c>
      <c r="R2322">
        <v>0.18716530000000001</v>
      </c>
      <c r="S2322">
        <v>2.9200740000000001</v>
      </c>
      <c r="T2322">
        <v>0.42763279999999998</v>
      </c>
      <c r="U2322">
        <v>0.54110719999999901</v>
      </c>
      <c r="V2322">
        <v>0.23608199999999999</v>
      </c>
      <c r="W2322">
        <v>0.16739609999999999</v>
      </c>
      <c r="X2322">
        <v>0.95720620000000001</v>
      </c>
      <c r="Y2322">
        <v>0.2412523</v>
      </c>
      <c r="Z2322">
        <v>7.6065720000000003E-2</v>
      </c>
      <c r="AA2322">
        <v>0.96747680000000003</v>
      </c>
      <c r="AB2322">
        <v>31</v>
      </c>
      <c r="AC2322">
        <v>219.2801</v>
      </c>
      <c r="AD2322">
        <v>32.156039999999997</v>
      </c>
      <c r="AE2322">
        <v>40.548200000000001</v>
      </c>
      <c r="AF2322">
        <v>54.198856426135301</v>
      </c>
      <c r="AG2322">
        <v>32.156039999999997</v>
      </c>
      <c r="AH2322">
        <v>211.62499782181499</v>
      </c>
      <c r="AI2322">
        <v>81.626339991434307</v>
      </c>
      <c r="AJ2322">
        <v>75.6348558759409</v>
      </c>
      <c r="AK2322">
        <v>220.80911813026501</v>
      </c>
      <c r="AL2322">
        <v>80.363542211622899</v>
      </c>
      <c r="AM2322">
        <v>76.145277062643899</v>
      </c>
      <c r="AN2322">
        <v>0.99999993716882296</v>
      </c>
    </row>
    <row r="2323" spans="1:40" x14ac:dyDescent="0.25">
      <c r="A2323" t="str">
        <f>"20190312164517068"</f>
        <v>20190312164517068</v>
      </c>
      <c r="B2323" t="str">
        <f>"1552380317063480"</f>
        <v>1552380317063480</v>
      </c>
      <c r="C2323" t="s">
        <v>40</v>
      </c>
      <c r="D2323">
        <v>5.5522410000000004</v>
      </c>
      <c r="E2323">
        <v>0.51546729999999996</v>
      </c>
      <c r="F2323" t="s">
        <v>63</v>
      </c>
      <c r="G2323">
        <v>-251.54839999999999</v>
      </c>
      <c r="H2323">
        <v>31.66067</v>
      </c>
      <c r="I2323">
        <v>243.92140000000001</v>
      </c>
      <c r="J2323">
        <v>-466.45870000000002</v>
      </c>
      <c r="K2323">
        <v>1.186191</v>
      </c>
      <c r="L2323">
        <v>210.0609</v>
      </c>
      <c r="M2323">
        <v>0.90407369999999998</v>
      </c>
      <c r="N2323">
        <v>0</v>
      </c>
      <c r="O2323">
        <v>0.42691040000000002</v>
      </c>
      <c r="P2323">
        <v>0.9737228</v>
      </c>
      <c r="Q2323">
        <v>0.14264260000000001</v>
      </c>
      <c r="R2323">
        <v>0.17752989999999999</v>
      </c>
      <c r="S2323">
        <v>2.9363709999999998</v>
      </c>
      <c r="T2323">
        <v>0.4157903</v>
      </c>
      <c r="U2323">
        <v>0.463974</v>
      </c>
      <c r="V2323">
        <v>0.2538977</v>
      </c>
      <c r="W2323">
        <v>0.16379869999999999</v>
      </c>
      <c r="X2323">
        <v>0.95326069999999996</v>
      </c>
      <c r="Y2323">
        <v>0.27412989999999998</v>
      </c>
      <c r="Z2323">
        <v>7.6992909999999998E-2</v>
      </c>
      <c r="AA2323">
        <v>0.95860570000000001</v>
      </c>
      <c r="AB2323">
        <v>31</v>
      </c>
      <c r="AC2323">
        <v>214.91030000000001</v>
      </c>
      <c r="AD2323">
        <v>30.474478999999999</v>
      </c>
      <c r="AE2323">
        <v>33.860500000000002</v>
      </c>
      <c r="AF2323">
        <v>59.970582514780801</v>
      </c>
      <c r="AG2323">
        <v>30.474478999999999</v>
      </c>
      <c r="AH2323">
        <v>204.773973868577</v>
      </c>
      <c r="AI2323">
        <v>81.871910930992101</v>
      </c>
      <c r="AJ2323">
        <v>73.676680199582606</v>
      </c>
      <c r="AK2323">
        <v>215.540123901356</v>
      </c>
      <c r="AL2323">
        <v>80.572544463811695</v>
      </c>
      <c r="AM2323">
        <v>75.085707764987802</v>
      </c>
      <c r="AN2323">
        <v>1.00000000917573</v>
      </c>
    </row>
    <row r="2324" spans="1:40" x14ac:dyDescent="0.25">
      <c r="A2324" t="str">
        <f>"20190312164517090"</f>
        <v>20190312164517090</v>
      </c>
      <c r="B2324" t="str">
        <f>"1552380317083976"</f>
        <v>1552380317083976</v>
      </c>
      <c r="C2324" t="s">
        <v>40</v>
      </c>
      <c r="D2324">
        <v>5.5462959999999999</v>
      </c>
      <c r="E2324">
        <v>0.51656519999999995</v>
      </c>
      <c r="F2324" t="s">
        <v>63</v>
      </c>
      <c r="G2324">
        <v>-251.5488</v>
      </c>
      <c r="H2324">
        <v>32.946100000000001</v>
      </c>
      <c r="I2324">
        <v>239.96619999999999</v>
      </c>
      <c r="J2324">
        <v>-466.18959999999998</v>
      </c>
      <c r="K2324">
        <v>1.182987</v>
      </c>
      <c r="L2324">
        <v>210.197</v>
      </c>
      <c r="M2324">
        <v>0.90161069999999999</v>
      </c>
      <c r="N2324">
        <v>0</v>
      </c>
      <c r="O2324">
        <v>0.43207810000000002</v>
      </c>
      <c r="P2324">
        <v>0.97583500000000001</v>
      </c>
      <c r="Q2324">
        <v>0.14128109999999999</v>
      </c>
      <c r="R2324">
        <v>0.16669149999999999</v>
      </c>
      <c r="S2324">
        <v>2.942596</v>
      </c>
      <c r="T2324">
        <v>0.43486399999999997</v>
      </c>
      <c r="U2324">
        <v>0.40946959999999999</v>
      </c>
      <c r="V2324">
        <v>0.27093539999999999</v>
      </c>
      <c r="W2324">
        <v>0.1612382</v>
      </c>
      <c r="X2324">
        <v>0.94899750000000005</v>
      </c>
      <c r="Y2324">
        <v>0.29634199999999999</v>
      </c>
      <c r="Z2324">
        <v>8.27957E-2</v>
      </c>
      <c r="AA2324">
        <v>0.95148630000000001</v>
      </c>
      <c r="AB2324">
        <v>31</v>
      </c>
      <c r="AC2324">
        <v>214.64080000000001</v>
      </c>
      <c r="AD2324">
        <v>31.763113000000001</v>
      </c>
      <c r="AE2324">
        <v>29.769199999999898</v>
      </c>
      <c r="AF2324">
        <v>64.528335504751993</v>
      </c>
      <c r="AG2324">
        <v>31.763113000000001</v>
      </c>
      <c r="AH2324">
        <v>202.08512420179801</v>
      </c>
      <c r="AI2324">
        <v>81.484425047143503</v>
      </c>
      <c r="AJ2324">
        <v>72.291059870007899</v>
      </c>
      <c r="AK2324">
        <v>214.50221176976399</v>
      </c>
      <c r="AL2324">
        <v>80.721226938468405</v>
      </c>
      <c r="AM2324">
        <v>74.066144828933105</v>
      </c>
      <c r="AN2324">
        <v>1.00000000155932</v>
      </c>
    </row>
    <row r="2325" spans="1:40" x14ac:dyDescent="0.25">
      <c r="A2325" t="str">
        <f>"20190312164517113"</f>
        <v>20190312164517113</v>
      </c>
      <c r="B2325" t="str">
        <f>"1552380317103496"</f>
        <v>1552380317103496</v>
      </c>
      <c r="C2325" t="s">
        <v>40</v>
      </c>
      <c r="D2325">
        <v>5.4521990000000002</v>
      </c>
      <c r="E2325">
        <v>0.51716739999999894</v>
      </c>
      <c r="F2325" t="s">
        <v>41</v>
      </c>
      <c r="G2325">
        <v>-465.35120000000001</v>
      </c>
      <c r="H2325">
        <v>1.307733</v>
      </c>
      <c r="I2325">
        <v>210.3013</v>
      </c>
      <c r="J2325">
        <v>-465.9</v>
      </c>
      <c r="K2325">
        <v>1.179</v>
      </c>
      <c r="L2325">
        <v>210.34389999999999</v>
      </c>
      <c r="M2325">
        <v>0.89893310000000004</v>
      </c>
      <c r="N2325">
        <v>0</v>
      </c>
      <c r="O2325">
        <v>0.43762800000000002</v>
      </c>
      <c r="P2325">
        <v>0.97758009999999995</v>
      </c>
      <c r="Q2325">
        <v>0.13976569999999999</v>
      </c>
      <c r="R2325">
        <v>0.15748960000000001</v>
      </c>
      <c r="S2325">
        <v>2.948029</v>
      </c>
      <c r="T2325">
        <v>0.43867279999999997</v>
      </c>
      <c r="U2325">
        <v>0.36705019999999999</v>
      </c>
      <c r="V2325">
        <v>0.28683370000000002</v>
      </c>
      <c r="W2325">
        <v>0.15775999999999901</v>
      </c>
      <c r="X2325">
        <v>0.9449012</v>
      </c>
      <c r="Y2325">
        <v>0.31546859999999999</v>
      </c>
      <c r="Z2325">
        <v>8.5634950000000001E-2</v>
      </c>
      <c r="AA2325">
        <v>0.94506409999999996</v>
      </c>
      <c r="AB2325">
        <v>31</v>
      </c>
      <c r="AC2325">
        <v>0.54879999999997098</v>
      </c>
      <c r="AD2325">
        <v>0.12873299999999999</v>
      </c>
      <c r="AE2325">
        <v>-4.2599999999992998E-2</v>
      </c>
      <c r="AF2325">
        <v>0.264077116901825</v>
      </c>
      <c r="AG2325">
        <v>0.12873299999999999</v>
      </c>
      <c r="AH2325">
        <v>0.45016523779168899</v>
      </c>
      <c r="AI2325">
        <v>76.144033149220206</v>
      </c>
      <c r="AJ2325">
        <v>59.603149280279297</v>
      </c>
      <c r="AK2325">
        <v>0.53754781208393798</v>
      </c>
      <c r="AL2325">
        <v>80.923097853948804</v>
      </c>
      <c r="AM2325">
        <v>73.113836653971603</v>
      </c>
      <c r="AN2325">
        <v>1.0000000334085599</v>
      </c>
    </row>
    <row r="2326" spans="1:40" x14ac:dyDescent="0.25">
      <c r="A2326" t="str">
        <f>"20190312164517133"</f>
        <v>20190312164517133</v>
      </c>
      <c r="B2326" t="str">
        <f>"1552380317123992"</f>
        <v>1552380317123992</v>
      </c>
      <c r="C2326" t="s">
        <v>40</v>
      </c>
      <c r="D2326">
        <v>5.4010160000000003</v>
      </c>
      <c r="E2326">
        <v>0.50529619999999997</v>
      </c>
      <c r="F2326" t="s">
        <v>41</v>
      </c>
      <c r="G2326">
        <v>-465.09559999999999</v>
      </c>
      <c r="H2326">
        <v>1.297963</v>
      </c>
      <c r="I2326">
        <v>210.4348</v>
      </c>
      <c r="J2326">
        <v>-465.64089999999999</v>
      </c>
      <c r="K2326">
        <v>1.175468</v>
      </c>
      <c r="L2326">
        <v>210.47559999999999</v>
      </c>
      <c r="M2326">
        <v>0.89680300000000002</v>
      </c>
      <c r="N2326">
        <v>0</v>
      </c>
      <c r="O2326">
        <v>0.44196289999999999</v>
      </c>
      <c r="P2326">
        <v>0.97919230000000002</v>
      </c>
      <c r="Q2326">
        <v>0.14005960000000001</v>
      </c>
      <c r="R2326">
        <v>0.14685290000000001</v>
      </c>
      <c r="S2326">
        <v>2.952515</v>
      </c>
      <c r="T2326">
        <v>0.43666680000000002</v>
      </c>
      <c r="U2326">
        <v>0.33425899999999997</v>
      </c>
      <c r="V2326">
        <v>0.3024734</v>
      </c>
      <c r="W2326">
        <v>0.15664020000000001</v>
      </c>
      <c r="X2326">
        <v>0.9401988</v>
      </c>
      <c r="Y2326">
        <v>0.33040700000000001</v>
      </c>
      <c r="Z2326">
        <v>8.6881410000000006E-2</v>
      </c>
      <c r="AA2326">
        <v>0.93983130000000004</v>
      </c>
      <c r="AB2326">
        <v>31</v>
      </c>
      <c r="AC2326">
        <v>0.54529999999999701</v>
      </c>
      <c r="AD2326">
        <v>0.12249500000000001</v>
      </c>
      <c r="AE2326">
        <v>-4.0799999999990101E-2</v>
      </c>
      <c r="AF2326">
        <v>0.26438227092884098</v>
      </c>
      <c r="AG2326">
        <v>0.12249500000000001</v>
      </c>
      <c r="AH2326">
        <v>0.44858155060333899</v>
      </c>
      <c r="AI2326">
        <v>76.761721313317693</v>
      </c>
      <c r="AJ2326">
        <v>59.486011171638602</v>
      </c>
      <c r="AK2326">
        <v>0.53490972859744002</v>
      </c>
      <c r="AL2326">
        <v>80.988065547169299</v>
      </c>
      <c r="AM2326">
        <v>72.166384673053102</v>
      </c>
      <c r="AN2326">
        <v>1.0000000467425101</v>
      </c>
    </row>
    <row r="2327" spans="1:40" x14ac:dyDescent="0.25">
      <c r="A2327" t="str">
        <f>"20190312164517157"</f>
        <v>20190312164517157</v>
      </c>
      <c r="B2327" t="str">
        <f>"1552380317154247"</f>
        <v>1552380317154247</v>
      </c>
      <c r="C2327" t="s">
        <v>40</v>
      </c>
      <c r="D2327">
        <v>5.4257</v>
      </c>
      <c r="E2327">
        <v>0.51658490000000001</v>
      </c>
      <c r="F2327" t="s">
        <v>47</v>
      </c>
      <c r="G2327">
        <v>-457.76850000000002</v>
      </c>
      <c r="H2327" s="1">
        <v>2.7209020000000001E-6</v>
      </c>
      <c r="I2327">
        <v>211.7869</v>
      </c>
      <c r="J2327">
        <v>-465.35879999999997</v>
      </c>
      <c r="K2327">
        <v>1.171638</v>
      </c>
      <c r="L2327">
        <v>210.61869999999999</v>
      </c>
      <c r="M2327">
        <v>0.89509719999999904</v>
      </c>
      <c r="N2327">
        <v>0</v>
      </c>
      <c r="O2327">
        <v>0.44537480000000002</v>
      </c>
      <c r="P2327">
        <v>0.98013850000000002</v>
      </c>
      <c r="Q2327">
        <v>0.14355509999999999</v>
      </c>
      <c r="R2327">
        <v>0.1368241</v>
      </c>
      <c r="S2327">
        <v>3.0526119999999999</v>
      </c>
      <c r="T2327">
        <v>-0.4557986</v>
      </c>
      <c r="U2327">
        <v>0.50846859999999905</v>
      </c>
      <c r="V2327">
        <v>0.31629849999999998</v>
      </c>
      <c r="W2327">
        <v>0.15901470000000001</v>
      </c>
      <c r="X2327">
        <v>0.93523769999999995</v>
      </c>
      <c r="Y2327">
        <v>0.28484680000000001</v>
      </c>
      <c r="Z2327">
        <v>-8.4297430000000007E-2</v>
      </c>
      <c r="AA2327">
        <v>0.95485929999999997</v>
      </c>
      <c r="AB2327">
        <v>31</v>
      </c>
      <c r="AC2327">
        <v>7.5902999999999503</v>
      </c>
      <c r="AD2327">
        <v>-1.171635279098</v>
      </c>
      <c r="AE2327">
        <v>1.1682000000000099</v>
      </c>
      <c r="AF2327">
        <v>2.2822712305152399</v>
      </c>
      <c r="AG2327">
        <v>-1.171635279098</v>
      </c>
      <c r="AH2327">
        <v>7.1495515531932998</v>
      </c>
      <c r="AI2327">
        <v>98.8730639175904</v>
      </c>
      <c r="AJ2327">
        <v>72.295939680169198</v>
      </c>
      <c r="AK2327">
        <v>7.59589221939288</v>
      </c>
      <c r="AL2327">
        <v>80.850289344159904</v>
      </c>
      <c r="AM2327">
        <v>71.314402106622595</v>
      </c>
      <c r="AN2327">
        <v>0.99999998570981397</v>
      </c>
    </row>
    <row r="2328" spans="1:40" x14ac:dyDescent="0.25">
      <c r="A2328" t="str">
        <f>"20190312164517178"</f>
        <v>20190312164517178</v>
      </c>
      <c r="B2328" t="str">
        <f>"1552380317173768"</f>
        <v>1552380317173768</v>
      </c>
      <c r="C2328" t="s">
        <v>40</v>
      </c>
      <c r="D2328">
        <v>5.3451500000000003</v>
      </c>
      <c r="E2328">
        <v>0.50480349999999996</v>
      </c>
      <c r="F2328" t="s">
        <v>41</v>
      </c>
      <c r="G2328">
        <v>-464.60669999999999</v>
      </c>
      <c r="H2328">
        <v>1.2934460000000001</v>
      </c>
      <c r="I2328">
        <v>210.68809999999999</v>
      </c>
      <c r="J2328">
        <v>-465.09769999999997</v>
      </c>
      <c r="K2328">
        <v>1.168034</v>
      </c>
      <c r="L2328">
        <v>210.75069999999999</v>
      </c>
      <c r="M2328">
        <v>0.89424749999999997</v>
      </c>
      <c r="N2328">
        <v>0</v>
      </c>
      <c r="O2328">
        <v>0.44704630000000001</v>
      </c>
      <c r="P2328">
        <v>0.98062229999999995</v>
      </c>
      <c r="Q2328">
        <v>0.14831459999999999</v>
      </c>
      <c r="R2328">
        <v>0.1279951</v>
      </c>
      <c r="S2328">
        <v>2.9526669999999999</v>
      </c>
      <c r="T2328">
        <v>0.47814909999999999</v>
      </c>
      <c r="U2328">
        <v>0.27291870000000001</v>
      </c>
      <c r="V2328">
        <v>0.32690350000000001</v>
      </c>
      <c r="W2328">
        <v>0.16285920000000001</v>
      </c>
      <c r="X2328">
        <v>0.93091939999999995</v>
      </c>
      <c r="Y2328">
        <v>0.35302099999999997</v>
      </c>
      <c r="Z2328">
        <v>9.7757469999999999E-2</v>
      </c>
      <c r="AA2328">
        <v>0.9304943</v>
      </c>
      <c r="AB2328">
        <v>31</v>
      </c>
      <c r="AC2328">
        <v>0.490999999999985</v>
      </c>
      <c r="AD2328">
        <v>0.125411999999999</v>
      </c>
      <c r="AE2328">
        <v>-6.2600000000003306E-2</v>
      </c>
      <c r="AF2328">
        <v>0.25892255996734698</v>
      </c>
      <c r="AG2328">
        <v>0.125411999999999</v>
      </c>
      <c r="AH2328">
        <v>0.38638278346618699</v>
      </c>
      <c r="AI2328">
        <v>74.909855771160693</v>
      </c>
      <c r="AJ2328">
        <v>56.173197447297397</v>
      </c>
      <c r="AK2328">
        <v>0.48172680760273501</v>
      </c>
      <c r="AL2328">
        <v>80.627106188790805</v>
      </c>
      <c r="AM2328">
        <v>70.650664310469807</v>
      </c>
      <c r="AN2328">
        <v>0.99999997331662405</v>
      </c>
    </row>
    <row r="2329" spans="1:40" x14ac:dyDescent="0.25">
      <c r="A2329" t="str">
        <f>"20190312164517203"</f>
        <v>20190312164517203</v>
      </c>
      <c r="B2329" t="str">
        <f>"1552380317194264"</f>
        <v>1552380317194264</v>
      </c>
      <c r="C2329" t="s">
        <v>40</v>
      </c>
      <c r="D2329">
        <v>5.4208309999999997</v>
      </c>
      <c r="E2329">
        <v>0.50301090000000004</v>
      </c>
      <c r="F2329" t="s">
        <v>47</v>
      </c>
      <c r="G2329">
        <v>-456.91289999999998</v>
      </c>
      <c r="H2329" s="1">
        <v>2.258652E-6</v>
      </c>
      <c r="I2329">
        <v>211.9461</v>
      </c>
      <c r="J2329">
        <v>-464.78489999999999</v>
      </c>
      <c r="K2329">
        <v>1.163611</v>
      </c>
      <c r="L2329">
        <v>210.90770000000001</v>
      </c>
      <c r="M2329">
        <v>0.89420180000000005</v>
      </c>
      <c r="N2329">
        <v>0</v>
      </c>
      <c r="O2329">
        <v>0.44709919999999997</v>
      </c>
      <c r="P2329">
        <v>0.98159010000000002</v>
      </c>
      <c r="Q2329">
        <v>0.14978269999999999</v>
      </c>
      <c r="R2329">
        <v>0.1185167</v>
      </c>
      <c r="S2329">
        <v>3.0670169999999999</v>
      </c>
      <c r="T2329">
        <v>-0.43768550000000001</v>
      </c>
      <c r="U2329">
        <v>0.44795230000000003</v>
      </c>
      <c r="V2329">
        <v>0.33660279999999998</v>
      </c>
      <c r="W2329">
        <v>0.16340350000000001</v>
      </c>
      <c r="X2329">
        <v>0.92736070000000004</v>
      </c>
      <c r="Y2329">
        <v>0.30614590000000003</v>
      </c>
      <c r="Z2329">
        <v>-8.2521830000000004E-2</v>
      </c>
      <c r="AA2329">
        <v>0.94840119999999895</v>
      </c>
      <c r="AB2329">
        <v>31</v>
      </c>
      <c r="AC2329">
        <v>7.8720000000000097</v>
      </c>
      <c r="AD2329">
        <v>-1.1636087413480001</v>
      </c>
      <c r="AE2329">
        <v>1.03839999999999</v>
      </c>
      <c r="AF2329">
        <v>2.5371922632780901</v>
      </c>
      <c r="AG2329">
        <v>-1.1636087413480001</v>
      </c>
      <c r="AH2329">
        <v>7.3475264605481501</v>
      </c>
      <c r="AI2329">
        <v>98.513611949574894</v>
      </c>
      <c r="AJ2329">
        <v>70.949569970459706</v>
      </c>
      <c r="AK2329">
        <v>7.8598648189542599</v>
      </c>
      <c r="AL2329">
        <v>80.595496997297502</v>
      </c>
      <c r="AM2329">
        <v>70.050693252762997</v>
      </c>
      <c r="AN2329">
        <v>1.00000000834229</v>
      </c>
    </row>
    <row r="2330" spans="1:40" x14ac:dyDescent="0.25">
      <c r="A2330" t="str">
        <f>"20190312164517224"</f>
        <v>20190312164517224</v>
      </c>
      <c r="B2330" t="str">
        <f>"1552380317213784"</f>
        <v>1552380317213784</v>
      </c>
      <c r="C2330" t="s">
        <v>40</v>
      </c>
      <c r="D2330">
        <v>5.6139859999999997</v>
      </c>
      <c r="E2330">
        <v>0.50306700000000004</v>
      </c>
      <c r="F2330" t="s">
        <v>47</v>
      </c>
      <c r="G2330">
        <v>-456.09739999999999</v>
      </c>
      <c r="H2330" s="1">
        <v>1.817455E-6</v>
      </c>
      <c r="I2330">
        <v>212.11080000000001</v>
      </c>
      <c r="J2330">
        <v>-464.5231</v>
      </c>
      <c r="K2330">
        <v>1.1598010000000001</v>
      </c>
      <c r="L2330">
        <v>211.03790000000001</v>
      </c>
      <c r="M2330">
        <v>0.89487779999999995</v>
      </c>
      <c r="N2330">
        <v>0</v>
      </c>
      <c r="O2330">
        <v>0.44571</v>
      </c>
      <c r="P2330">
        <v>0.98335139999999999</v>
      </c>
      <c r="Q2330">
        <v>0.147733</v>
      </c>
      <c r="R2330">
        <v>0.1058077</v>
      </c>
      <c r="S2330">
        <v>3.0676570000000001</v>
      </c>
      <c r="T2330">
        <v>-0.41088259999999999</v>
      </c>
      <c r="U2330">
        <v>0.42481989999999997</v>
      </c>
      <c r="V2330">
        <v>0.34780090000000002</v>
      </c>
      <c r="W2330">
        <v>0.16056429999999999</v>
      </c>
      <c r="X2330">
        <v>0.92371729999999996</v>
      </c>
      <c r="Y2330">
        <v>0.31249929999999998</v>
      </c>
      <c r="Z2330">
        <v>-7.782008E-2</v>
      </c>
      <c r="AA2330">
        <v>0.94672500000000004</v>
      </c>
      <c r="AB2330">
        <v>31</v>
      </c>
      <c r="AC2330">
        <v>8.4257000000000009</v>
      </c>
      <c r="AD2330">
        <v>-1.159799182545</v>
      </c>
      <c r="AE2330">
        <v>1.0729</v>
      </c>
      <c r="AF2330">
        <v>2.7448753608926801</v>
      </c>
      <c r="AG2330">
        <v>-1.159799182545</v>
      </c>
      <c r="AH2330">
        <v>7.8735213894137299</v>
      </c>
      <c r="AI2330">
        <v>97.918667788416101</v>
      </c>
      <c r="AJ2330">
        <v>70.7803693470036</v>
      </c>
      <c r="AK2330">
        <v>8.4185398947931205</v>
      </c>
      <c r="AL2330">
        <v>80.760348332141206</v>
      </c>
      <c r="AM2330">
        <v>69.367484957772803</v>
      </c>
      <c r="AN2330">
        <v>1.0000000053972899</v>
      </c>
    </row>
    <row r="2331" spans="1:40" x14ac:dyDescent="0.25">
      <c r="A2331" t="str">
        <f>"20190312164517247"</f>
        <v>20190312164517247</v>
      </c>
      <c r="B2331" t="str">
        <f>"1552380317244039"</f>
        <v>1552380317244039</v>
      </c>
      <c r="C2331" t="s">
        <v>40</v>
      </c>
      <c r="D2331">
        <v>5.3287769999999997</v>
      </c>
      <c r="E2331">
        <v>0.51187859999999996</v>
      </c>
      <c r="F2331" t="s">
        <v>47</v>
      </c>
      <c r="G2331">
        <v>-455.72730000000001</v>
      </c>
      <c r="H2331" s="1">
        <v>1.6192999999999999E-6</v>
      </c>
      <c r="I2331">
        <v>212.13849999999999</v>
      </c>
      <c r="J2331">
        <v>-464.23610000000002</v>
      </c>
      <c r="K2331">
        <v>1.1554949999999999</v>
      </c>
      <c r="L2331">
        <v>211.1789</v>
      </c>
      <c r="M2331">
        <v>0.8961964</v>
      </c>
      <c r="N2331">
        <v>0</v>
      </c>
      <c r="O2331">
        <v>0.44301289999999999</v>
      </c>
      <c r="P2331">
        <v>0.98522690000000002</v>
      </c>
      <c r="Q2331">
        <v>0.1456346</v>
      </c>
      <c r="R2331">
        <v>9.0103160000000002E-2</v>
      </c>
      <c r="S2331">
        <v>3.0703130000000001</v>
      </c>
      <c r="T2331">
        <v>-0.4048445</v>
      </c>
      <c r="U2331">
        <v>0.38418580000000002</v>
      </c>
      <c r="V2331">
        <v>0.36040420000000001</v>
      </c>
      <c r="W2331">
        <v>0.15757019999999999</v>
      </c>
      <c r="X2331">
        <v>0.91939130000000002</v>
      </c>
      <c r="Y2331">
        <v>0.32217849999999998</v>
      </c>
      <c r="Z2331">
        <v>-7.704482E-2</v>
      </c>
      <c r="AA2331">
        <v>0.94353860000000001</v>
      </c>
      <c r="AB2331">
        <v>31</v>
      </c>
      <c r="AC2331">
        <v>8.5088000000000008</v>
      </c>
      <c r="AD2331">
        <v>-1.1554933806999901</v>
      </c>
      <c r="AE2331">
        <v>0.95959999999999401</v>
      </c>
      <c r="AF2331">
        <v>2.8583003799479698</v>
      </c>
      <c r="AG2331">
        <v>-1.1554933806999901</v>
      </c>
      <c r="AH2331">
        <v>7.9089510732435997</v>
      </c>
      <c r="AI2331">
        <v>97.823548192853295</v>
      </c>
      <c r="AJ2331">
        <v>70.130109294438597</v>
      </c>
      <c r="AK2331">
        <v>8.4886131431355398</v>
      </c>
      <c r="AL2331">
        <v>80.934109648447105</v>
      </c>
      <c r="AM2331">
        <v>68.594668756313396</v>
      </c>
      <c r="AN2331">
        <v>0.99999995891068405</v>
      </c>
    </row>
    <row r="2332" spans="1:40" x14ac:dyDescent="0.25">
      <c r="A2332" t="str">
        <f>"20190312164517272"</f>
        <v>20190312164517272</v>
      </c>
      <c r="B2332" t="str">
        <f>"1552380317263559"</f>
        <v>1552380317263559</v>
      </c>
      <c r="C2332" t="s">
        <v>40</v>
      </c>
      <c r="D2332">
        <v>5.6477789999999999</v>
      </c>
      <c r="E2332">
        <v>0.51119789999999998</v>
      </c>
      <c r="F2332" t="s">
        <v>62</v>
      </c>
      <c r="G2332">
        <v>-157.25</v>
      </c>
      <c r="H2332">
        <v>50.536830000000002</v>
      </c>
      <c r="I2332">
        <v>228.95359999999999</v>
      </c>
      <c r="J2332">
        <v>-463.93459999999999</v>
      </c>
      <c r="K2332">
        <v>1.15084599999999</v>
      </c>
      <c r="L2332">
        <v>211.32419999999999</v>
      </c>
      <c r="M2332">
        <v>0.89804010000000001</v>
      </c>
      <c r="N2332">
        <v>0</v>
      </c>
      <c r="O2332">
        <v>0.43921690000000002</v>
      </c>
      <c r="P2332">
        <v>0.98754960000000003</v>
      </c>
      <c r="Q2332">
        <v>0.13913349999999999</v>
      </c>
      <c r="R2332">
        <v>7.3403560000000007E-2</v>
      </c>
      <c r="S2332">
        <v>2.9589539999999999</v>
      </c>
      <c r="T2332">
        <v>0.47597339999999999</v>
      </c>
      <c r="U2332">
        <v>0.1713257</v>
      </c>
      <c r="V2332">
        <v>0.3728593</v>
      </c>
      <c r="W2332">
        <v>0.1501702</v>
      </c>
      <c r="X2332">
        <v>0.91565540000000001</v>
      </c>
      <c r="Y2332">
        <v>0.37660539999999998</v>
      </c>
      <c r="Z2332">
        <v>9.8126720000000001E-2</v>
      </c>
      <c r="AA2332">
        <v>0.92116209999999998</v>
      </c>
      <c r="AB2332">
        <v>31</v>
      </c>
      <c r="AC2332">
        <v>306.68459999999999</v>
      </c>
      <c r="AD2332">
        <v>49.385984000000001</v>
      </c>
      <c r="AE2332">
        <v>17.6294</v>
      </c>
      <c r="AF2332">
        <v>115.90978458764199</v>
      </c>
      <c r="AG2332">
        <v>49.385984000000001</v>
      </c>
      <c r="AH2332">
        <v>276.10869232080501</v>
      </c>
      <c r="AI2332">
        <v>80.634988912287497</v>
      </c>
      <c r="AJ2332">
        <v>67.227449526158296</v>
      </c>
      <c r="AK2332">
        <v>303.496397925753</v>
      </c>
      <c r="AL2332">
        <v>81.363209794717704</v>
      </c>
      <c r="AM2332">
        <v>67.843609526767807</v>
      </c>
      <c r="AN2332">
        <v>0.99999997905684401</v>
      </c>
    </row>
    <row r="2333" spans="1:40" x14ac:dyDescent="0.25">
      <c r="A2333" t="str">
        <f>"20190312164517292"</f>
        <v>20190312164517292</v>
      </c>
      <c r="B2333" t="str">
        <f>"1552380317284056"</f>
        <v>1552380317284056</v>
      </c>
      <c r="C2333" t="s">
        <v>40</v>
      </c>
      <c r="D2333">
        <v>5.3971790000000004</v>
      </c>
      <c r="E2333">
        <v>0.51128819999999997</v>
      </c>
      <c r="F2333" t="s">
        <v>41</v>
      </c>
      <c r="G2333">
        <v>-463.17219999999998</v>
      </c>
      <c r="H2333">
        <v>1.26755</v>
      </c>
      <c r="I2333">
        <v>211.35679999999999</v>
      </c>
      <c r="J2333">
        <v>-463.66899999999998</v>
      </c>
      <c r="K2333">
        <v>1.1467480000000001</v>
      </c>
      <c r="L2333">
        <v>211.4496</v>
      </c>
      <c r="M2333">
        <v>0.89984319999999896</v>
      </c>
      <c r="N2333">
        <v>0</v>
      </c>
      <c r="O2333">
        <v>0.43547049999999998</v>
      </c>
      <c r="P2333">
        <v>0.98995350000000004</v>
      </c>
      <c r="Q2333">
        <v>0.1276631</v>
      </c>
      <c r="R2333">
        <v>6.0782750000000003E-2</v>
      </c>
      <c r="S2333">
        <v>2.9644780000000002</v>
      </c>
      <c r="T2333">
        <v>0.45377800000000001</v>
      </c>
      <c r="U2333">
        <v>0.12672420000000001</v>
      </c>
      <c r="V2333">
        <v>0.38146649999999999</v>
      </c>
      <c r="W2333">
        <v>0.1380053</v>
      </c>
      <c r="X2333">
        <v>0.91402289999999997</v>
      </c>
      <c r="Y2333">
        <v>0.38751239999999998</v>
      </c>
      <c r="Z2333">
        <v>9.3834879999999996E-2</v>
      </c>
      <c r="AA2333">
        <v>0.91707640000000001</v>
      </c>
      <c r="AB2333">
        <v>31</v>
      </c>
      <c r="AC2333">
        <v>0.49680000000006402</v>
      </c>
      <c r="AD2333">
        <v>0.12080200000000001</v>
      </c>
      <c r="AE2333">
        <v>-9.2800000000011096E-2</v>
      </c>
      <c r="AF2333">
        <v>0.28373367972834201</v>
      </c>
      <c r="AG2333">
        <v>0.12080200000000001</v>
      </c>
      <c r="AH2333">
        <v>0.384778491858836</v>
      </c>
      <c r="AI2333">
        <v>75.819208088298893</v>
      </c>
      <c r="AJ2333">
        <v>53.595127702365801</v>
      </c>
      <c r="AK2333">
        <v>0.49310486918438201</v>
      </c>
      <c r="AL2333">
        <v>82.067562107792298</v>
      </c>
      <c r="AM2333">
        <v>67.346833871850905</v>
      </c>
      <c r="AN2333">
        <v>1.0000000075873701</v>
      </c>
    </row>
    <row r="2334" spans="1:40" x14ac:dyDescent="0.25">
      <c r="A2334" t="str">
        <f>"20190312164517315"</f>
        <v>20190312164517315</v>
      </c>
      <c r="B2334" t="str">
        <f>"1552380317303576"</f>
        <v>1552380317303576</v>
      </c>
      <c r="C2334" t="s">
        <v>40</v>
      </c>
      <c r="D2334">
        <v>5.030214</v>
      </c>
      <c r="E2334">
        <v>0.51057010000000003</v>
      </c>
      <c r="F2334" t="s">
        <v>41</v>
      </c>
      <c r="G2334">
        <v>-462.92110000000002</v>
      </c>
      <c r="H2334">
        <v>1.250561</v>
      </c>
      <c r="I2334">
        <v>211.47190000000001</v>
      </c>
      <c r="J2334">
        <v>-463.3877</v>
      </c>
      <c r="K2334">
        <v>1.1427020000000001</v>
      </c>
      <c r="L2334">
        <v>211.57939999999999</v>
      </c>
      <c r="M2334">
        <v>0.90206039999999998</v>
      </c>
      <c r="N2334">
        <v>0</v>
      </c>
      <c r="O2334">
        <v>0.43081779999999997</v>
      </c>
      <c r="P2334">
        <v>0.99167340000000004</v>
      </c>
      <c r="Q2334">
        <v>0.1175359</v>
      </c>
      <c r="R2334">
        <v>5.2621139999999997E-2</v>
      </c>
      <c r="S2334">
        <v>2.9717410000000002</v>
      </c>
      <c r="T2334">
        <v>0.41248560000000001</v>
      </c>
      <c r="U2334">
        <v>8.9294429999999994E-2</v>
      </c>
      <c r="V2334">
        <v>0.38476759999999999</v>
      </c>
      <c r="W2334">
        <v>0.12762200000000001</v>
      </c>
      <c r="X2334">
        <v>0.91414799999999996</v>
      </c>
      <c r="Y2334">
        <v>0.3959859</v>
      </c>
      <c r="Z2334">
        <v>8.5235779999999997E-2</v>
      </c>
      <c r="AA2334">
        <v>0.91429210000000005</v>
      </c>
      <c r="AB2334">
        <v>31</v>
      </c>
      <c r="AC2334">
        <v>0.46659999999997098</v>
      </c>
      <c r="AD2334">
        <v>0.107858999999999</v>
      </c>
      <c r="AE2334">
        <v>-0.10749999999998699</v>
      </c>
      <c r="AF2334">
        <v>0.283697695787824</v>
      </c>
      <c r="AG2334">
        <v>0.107858999999999</v>
      </c>
      <c r="AH2334">
        <v>0.356621030756266</v>
      </c>
      <c r="AI2334">
        <v>76.683810461617995</v>
      </c>
      <c r="AJ2334">
        <v>51.497193751428</v>
      </c>
      <c r="AK2334">
        <v>0.46829104844528302</v>
      </c>
      <c r="AL2334">
        <v>82.667801861310295</v>
      </c>
      <c r="AM2334">
        <v>67.173630335773893</v>
      </c>
      <c r="AN2334">
        <v>1.00000002339887</v>
      </c>
    </row>
    <row r="2335" spans="1:40" x14ac:dyDescent="0.25">
      <c r="A2335" t="str">
        <f>"20190312164517337"</f>
        <v>20190312164517337</v>
      </c>
      <c r="B2335" t="str">
        <f>"1552380317333832"</f>
        <v>1552380317333832</v>
      </c>
      <c r="C2335" t="s">
        <v>40</v>
      </c>
      <c r="D2335">
        <v>5.31196</v>
      </c>
      <c r="E2335">
        <v>0.50979540000000001</v>
      </c>
      <c r="F2335" t="s">
        <v>41</v>
      </c>
      <c r="G2335">
        <v>-462.67500000000001</v>
      </c>
      <c r="H2335">
        <v>1.234548</v>
      </c>
      <c r="I2335">
        <v>211.5966</v>
      </c>
      <c r="J2335">
        <v>-463.1019</v>
      </c>
      <c r="K2335">
        <v>1.1389640000000001</v>
      </c>
      <c r="L2335">
        <v>211.70830000000001</v>
      </c>
      <c r="M2335">
        <v>0.90476570000000001</v>
      </c>
      <c r="N2335">
        <v>0</v>
      </c>
      <c r="O2335">
        <v>0.42507220000000001</v>
      </c>
      <c r="P2335">
        <v>0.99193129999999996</v>
      </c>
      <c r="Q2335">
        <v>0.117946</v>
      </c>
      <c r="R2335">
        <v>4.6487420000000002E-2</v>
      </c>
      <c r="S2335">
        <v>2.9759829999999998</v>
      </c>
      <c r="T2335">
        <v>0.3835306</v>
      </c>
      <c r="U2335">
        <v>7.0877079999999995E-2</v>
      </c>
      <c r="V2335">
        <v>0.38477410000000001</v>
      </c>
      <c r="W2335">
        <v>0.12810869999999999</v>
      </c>
      <c r="X2335">
        <v>0.91407720000000003</v>
      </c>
      <c r="Y2335">
        <v>0.39695059999999999</v>
      </c>
      <c r="Z2335">
        <v>7.8604179999999996E-2</v>
      </c>
      <c r="AA2335">
        <v>0.9144679</v>
      </c>
      <c r="AB2335">
        <v>31</v>
      </c>
      <c r="AC2335">
        <v>0.42689999999998901</v>
      </c>
      <c r="AD2335">
        <v>9.5584000000000099E-2</v>
      </c>
      <c r="AE2335">
        <v>-0.111700000000013</v>
      </c>
      <c r="AF2335">
        <v>0.26995983934110701</v>
      </c>
      <c r="AG2335">
        <v>9.5584000000000099E-2</v>
      </c>
      <c r="AH2335">
        <v>0.32369680818622498</v>
      </c>
      <c r="AI2335">
        <v>77.222918836609495</v>
      </c>
      <c r="AJ2335">
        <v>50.172238057744998</v>
      </c>
      <c r="AK2335">
        <v>0.43219699159414099</v>
      </c>
      <c r="AL2335">
        <v>82.639685314207696</v>
      </c>
      <c r="AM2335">
        <v>67.171697459151503</v>
      </c>
      <c r="AN2335">
        <v>1.0000000373031599</v>
      </c>
    </row>
    <row r="2336" spans="1:40" x14ac:dyDescent="0.25">
      <c r="A2336" t="str">
        <f>"20190312164517358"</f>
        <v>20190312164517358</v>
      </c>
      <c r="B2336" t="str">
        <f>"1552380317354330"</f>
        <v>1552380317354330</v>
      </c>
      <c r="C2336" t="s">
        <v>40</v>
      </c>
      <c r="D2336">
        <v>5.5233210000000001</v>
      </c>
      <c r="E2336">
        <v>0.5091715</v>
      </c>
      <c r="F2336" t="s">
        <v>41</v>
      </c>
      <c r="G2336">
        <v>-462.4194</v>
      </c>
      <c r="H2336">
        <v>1.228369</v>
      </c>
      <c r="I2336">
        <v>211.7216</v>
      </c>
      <c r="J2336">
        <v>-462.83690000000001</v>
      </c>
      <c r="K2336">
        <v>1.1357189999999999</v>
      </c>
      <c r="L2336">
        <v>211.82499999999999</v>
      </c>
      <c r="M2336">
        <v>0.90763930000000004</v>
      </c>
      <c r="N2336">
        <v>0</v>
      </c>
      <c r="O2336">
        <v>0.41887609999999997</v>
      </c>
      <c r="P2336">
        <v>0.99175800000000003</v>
      </c>
      <c r="Q2336">
        <v>0.122156399999999</v>
      </c>
      <c r="R2336">
        <v>3.8652489999999998E-2</v>
      </c>
      <c r="S2336">
        <v>2.975311</v>
      </c>
      <c r="T2336">
        <v>0.38975080000000001</v>
      </c>
      <c r="U2336">
        <v>5.877686E-2</v>
      </c>
      <c r="V2336">
        <v>0.38578810000000002</v>
      </c>
      <c r="W2336">
        <v>0.1323821</v>
      </c>
      <c r="X2336">
        <v>0.91304030000000003</v>
      </c>
      <c r="Y2336">
        <v>0.39425690000000002</v>
      </c>
      <c r="Z2336">
        <v>7.8983209999999998E-2</v>
      </c>
      <c r="AA2336">
        <v>0.91559990000000002</v>
      </c>
      <c r="AB2336">
        <v>31</v>
      </c>
      <c r="AC2336">
        <v>0.41750000000001802</v>
      </c>
      <c r="AD2336">
        <v>9.2649999999999899E-2</v>
      </c>
      <c r="AE2336">
        <v>-0.103399999999993</v>
      </c>
      <c r="AF2336">
        <v>0.25690858468468802</v>
      </c>
      <c r="AG2336">
        <v>9.2649999999999899E-2</v>
      </c>
      <c r="AH2336">
        <v>0.32086257537304202</v>
      </c>
      <c r="AI2336">
        <v>77.297628159011097</v>
      </c>
      <c r="AJ2336">
        <v>51.316406078287898</v>
      </c>
      <c r="AK2336">
        <v>0.42135357558671599</v>
      </c>
      <c r="AL2336">
        <v>82.3927337286718</v>
      </c>
      <c r="AM2336">
        <v>67.094420753792306</v>
      </c>
      <c r="AN2336">
        <v>1.0000000339630499</v>
      </c>
    </row>
    <row r="2337" spans="1:40" x14ac:dyDescent="0.25">
      <c r="A2337" t="str">
        <f>"20190312164517380"</f>
        <v>20190312164517380</v>
      </c>
      <c r="B2337" t="str">
        <f>"1552380317373847"</f>
        <v>1552380317373847</v>
      </c>
      <c r="C2337" t="s">
        <v>40</v>
      </c>
      <c r="D2337">
        <v>5.5844360000000002</v>
      </c>
      <c r="E2337">
        <v>0.50880320000000001</v>
      </c>
      <c r="F2337" t="s">
        <v>41</v>
      </c>
      <c r="G2337">
        <v>-462.15339999999998</v>
      </c>
      <c r="H2337">
        <v>1.229042</v>
      </c>
      <c r="I2337">
        <v>211.83410000000001</v>
      </c>
      <c r="J2337">
        <v>-462.55439999999999</v>
      </c>
      <c r="K2337">
        <v>1.132385</v>
      </c>
      <c r="L2337">
        <v>211.946</v>
      </c>
      <c r="M2337">
        <v>0.91098449999999997</v>
      </c>
      <c r="N2337">
        <v>0</v>
      </c>
      <c r="O2337">
        <v>0.4115318</v>
      </c>
      <c r="P2337">
        <v>0.99138669999999995</v>
      </c>
      <c r="Q2337">
        <v>0.126472</v>
      </c>
      <c r="R2337">
        <v>3.4018619999999999E-2</v>
      </c>
      <c r="S2337">
        <v>2.973328</v>
      </c>
      <c r="T2337">
        <v>0.40597139999999998</v>
      </c>
      <c r="U2337">
        <v>3.988647E-2</v>
      </c>
      <c r="V2337">
        <v>0.38268730000000001</v>
      </c>
      <c r="W2337">
        <v>0.136909</v>
      </c>
      <c r="X2337">
        <v>0.91367739999999997</v>
      </c>
      <c r="Y2337">
        <v>0.39215620000000001</v>
      </c>
      <c r="Z2337">
        <v>8.125404E-2</v>
      </c>
      <c r="AA2337">
        <v>0.91630299999999998</v>
      </c>
      <c r="AB2337">
        <v>31</v>
      </c>
      <c r="AC2337">
        <v>0.40100000000001002</v>
      </c>
      <c r="AD2337">
        <v>9.6657000000000007E-2</v>
      </c>
      <c r="AE2337">
        <v>-0.11189999999999101</v>
      </c>
      <c r="AF2337">
        <v>0.25340422725532102</v>
      </c>
      <c r="AG2337">
        <v>9.6657000000000007E-2</v>
      </c>
      <c r="AH2337">
        <v>0.30303930505344301</v>
      </c>
      <c r="AI2337">
        <v>76.250759706105001</v>
      </c>
      <c r="AJ2337">
        <v>50.097325139480802</v>
      </c>
      <c r="AK2337">
        <v>0.40668058528425</v>
      </c>
      <c r="AL2337">
        <v>82.130977509164794</v>
      </c>
      <c r="AM2337">
        <v>67.273972894727507</v>
      </c>
      <c r="AN2337">
        <v>1.00000001756652</v>
      </c>
    </row>
    <row r="2338" spans="1:40" x14ac:dyDescent="0.25">
      <c r="A2338" t="str">
        <f>"20190312164517402"</f>
        <v>20190312164517402</v>
      </c>
      <c r="B2338" t="str">
        <f>"1552380317394344"</f>
        <v>1552380317394344</v>
      </c>
      <c r="C2338" t="s">
        <v>40</v>
      </c>
      <c r="D2338">
        <v>5.5355780000000001</v>
      </c>
      <c r="E2338">
        <v>0.50866169999999999</v>
      </c>
      <c r="F2338" t="s">
        <v>41</v>
      </c>
      <c r="G2338">
        <v>-461.86660000000001</v>
      </c>
      <c r="H2338">
        <v>1.2295480000000001</v>
      </c>
      <c r="I2338">
        <v>211.95240000000001</v>
      </c>
      <c r="J2338">
        <v>-462.27030000000002</v>
      </c>
      <c r="K2338">
        <v>1.1291469999999999</v>
      </c>
      <c r="L2338">
        <v>212.06389999999999</v>
      </c>
      <c r="M2338">
        <v>0.91456660000000001</v>
      </c>
      <c r="N2338">
        <v>0</v>
      </c>
      <c r="O2338">
        <v>0.40350019999999998</v>
      </c>
      <c r="P2338">
        <v>0.99162570000000005</v>
      </c>
      <c r="Q2338">
        <v>0.12544659999999999</v>
      </c>
      <c r="R2338">
        <v>3.0688750000000001E-2</v>
      </c>
      <c r="S2338">
        <v>2.971527</v>
      </c>
      <c r="T2338">
        <v>0.4197283</v>
      </c>
      <c r="U2338">
        <v>2.8518680000000001E-2</v>
      </c>
      <c r="V2338">
        <v>0.3777662</v>
      </c>
      <c r="W2338">
        <v>0.1361098</v>
      </c>
      <c r="X2338">
        <v>0.91584209999999999</v>
      </c>
      <c r="Y2338">
        <v>0.3871907</v>
      </c>
      <c r="Z2338">
        <v>8.2649130000000001E-2</v>
      </c>
      <c r="AA2338">
        <v>0.91828779999999999</v>
      </c>
      <c r="AB2338">
        <v>31</v>
      </c>
      <c r="AC2338">
        <v>0.40370000000001399</v>
      </c>
      <c r="AD2338">
        <v>0.100400999999999</v>
      </c>
      <c r="AE2338">
        <v>-0.11149999999997801</v>
      </c>
      <c r="AF2338">
        <v>0.25056751700059399</v>
      </c>
      <c r="AG2338">
        <v>0.100400999999999</v>
      </c>
      <c r="AH2338">
        <v>0.30671621289929202</v>
      </c>
      <c r="AI2338">
        <v>75.775001577311002</v>
      </c>
      <c r="AJ2338">
        <v>50.7533765522168</v>
      </c>
      <c r="AK2338">
        <v>0.40858203170492802</v>
      </c>
      <c r="AL2338">
        <v>82.177200597869302</v>
      </c>
      <c r="AM2338">
        <v>67.584850492688801</v>
      </c>
      <c r="AN2338">
        <v>0.99999996582544404</v>
      </c>
    </row>
    <row r="2339" spans="1:40" x14ac:dyDescent="0.25">
      <c r="A2339" t="str">
        <f>"20190312164517425"</f>
        <v>20190312164517425</v>
      </c>
      <c r="B2339" t="str">
        <f>"1552380317413864"</f>
        <v>1552380317413864</v>
      </c>
      <c r="C2339" t="s">
        <v>40</v>
      </c>
      <c r="D2339">
        <v>5.5885160000000003</v>
      </c>
      <c r="E2339">
        <v>0.508596099999999</v>
      </c>
      <c r="F2339" t="s">
        <v>41</v>
      </c>
      <c r="G2339">
        <v>-461.5752</v>
      </c>
      <c r="H2339">
        <v>1.2267220000000001</v>
      </c>
      <c r="I2339">
        <v>212.0685</v>
      </c>
      <c r="J2339">
        <v>-461.98160000000001</v>
      </c>
      <c r="K2339">
        <v>1.126031</v>
      </c>
      <c r="L2339">
        <v>212.1799</v>
      </c>
      <c r="M2339">
        <v>0.9183983</v>
      </c>
      <c r="N2339">
        <v>0</v>
      </c>
      <c r="O2339">
        <v>0.39470260000000001</v>
      </c>
      <c r="P2339">
        <v>0.99185219999999996</v>
      </c>
      <c r="Q2339">
        <v>0.1239944</v>
      </c>
      <c r="R2339">
        <v>2.9237079999999999E-2</v>
      </c>
      <c r="S2339">
        <v>2.9719850000000001</v>
      </c>
      <c r="T2339">
        <v>0.41717779999999999</v>
      </c>
      <c r="U2339">
        <v>1.9836429999999999E-2</v>
      </c>
      <c r="V2339">
        <v>0.37032710000000002</v>
      </c>
      <c r="W2339">
        <v>0.1349339</v>
      </c>
      <c r="X2339">
        <v>0.9190488</v>
      </c>
      <c r="Y2339">
        <v>0.3812719</v>
      </c>
      <c r="Z2339">
        <v>8.0591830000000003E-2</v>
      </c>
      <c r="AA2339">
        <v>0.92094339999999997</v>
      </c>
      <c r="AB2339">
        <v>31</v>
      </c>
      <c r="AC2339">
        <v>0.40640000000001902</v>
      </c>
      <c r="AD2339">
        <v>0.100690999999999</v>
      </c>
      <c r="AE2339">
        <v>-0.111400000000003</v>
      </c>
      <c r="AF2339">
        <v>0.24862050297660701</v>
      </c>
      <c r="AG2339">
        <v>0.100690999999999</v>
      </c>
      <c r="AH2339">
        <v>0.31160019323552701</v>
      </c>
      <c r="AI2339">
        <v>75.824074355152206</v>
      </c>
      <c r="AJ2339">
        <v>51.414227954171899</v>
      </c>
      <c r="AK2339">
        <v>0.41115144704325102</v>
      </c>
      <c r="AL2339">
        <v>82.245202394488302</v>
      </c>
      <c r="AM2339">
        <v>68.053223634432996</v>
      </c>
      <c r="AN2339">
        <v>1.0000000075725299</v>
      </c>
    </row>
    <row r="2340" spans="1:40" x14ac:dyDescent="0.25">
      <c r="A2340" t="str">
        <f>"20190312164517449"</f>
        <v>20190312164517449</v>
      </c>
      <c r="B2340" t="str">
        <f>"1552380317444121"</f>
        <v>1552380317444121</v>
      </c>
      <c r="C2340" t="s">
        <v>40</v>
      </c>
      <c r="D2340">
        <v>5.4938379999999896</v>
      </c>
      <c r="E2340">
        <v>0.489313</v>
      </c>
      <c r="F2340" t="s">
        <v>61</v>
      </c>
      <c r="G2340">
        <v>-107.39749999999999</v>
      </c>
      <c r="H2340">
        <v>50.460659999999997</v>
      </c>
      <c r="I2340">
        <v>214.09110000000001</v>
      </c>
      <c r="J2340">
        <v>-461.67</v>
      </c>
      <c r="K2340">
        <v>1.1228849999999999</v>
      </c>
      <c r="L2340">
        <v>212.30029999999999</v>
      </c>
      <c r="M2340">
        <v>0.92273660000000002</v>
      </c>
      <c r="N2340">
        <v>0</v>
      </c>
      <c r="O2340">
        <v>0.38446249999999998</v>
      </c>
      <c r="P2340">
        <v>0.99220160000000002</v>
      </c>
      <c r="Q2340">
        <v>0.1219625</v>
      </c>
      <c r="R2340">
        <v>2.5716269999999999E-2</v>
      </c>
      <c r="S2340">
        <v>2.9724729999999999</v>
      </c>
      <c r="T2340">
        <v>0.41357179999999999</v>
      </c>
      <c r="U2340">
        <v>1.6021730000000001E-2</v>
      </c>
      <c r="V2340">
        <v>0.36335119999999999</v>
      </c>
      <c r="W2340">
        <v>0.13308809999999999</v>
      </c>
      <c r="X2340">
        <v>0.92209730000000001</v>
      </c>
      <c r="Y2340">
        <v>0.37248500000000001</v>
      </c>
      <c r="Z2340">
        <v>7.7959479999999998E-2</v>
      </c>
      <c r="AA2340">
        <v>0.92475799999999997</v>
      </c>
      <c r="AB2340">
        <v>31</v>
      </c>
      <c r="AC2340">
        <v>354.27249999999998</v>
      </c>
      <c r="AD2340">
        <v>49.337774999999901</v>
      </c>
      <c r="AE2340">
        <v>1.7908000000000099</v>
      </c>
      <c r="AF2340">
        <v>132.041408739155</v>
      </c>
      <c r="AG2340">
        <v>49.337774999999901</v>
      </c>
      <c r="AH2340">
        <v>321.47612557839699</v>
      </c>
      <c r="AI2340">
        <v>81.920044125309303</v>
      </c>
      <c r="AJ2340">
        <v>67.670341469191797</v>
      </c>
      <c r="AK2340">
        <v>351.02143663979899</v>
      </c>
      <c r="AL2340">
        <v>82.351921400303993</v>
      </c>
      <c r="AM2340">
        <v>68.4931467219875</v>
      </c>
      <c r="AN2340">
        <v>0.99999998378516897</v>
      </c>
    </row>
    <row r="2341" spans="1:40" x14ac:dyDescent="0.25">
      <c r="A2341" t="str">
        <f>"20190312164517474"</f>
        <v>20190312164517474</v>
      </c>
      <c r="B2341" t="str">
        <f>"1552380317463640"</f>
        <v>1552380317463640</v>
      </c>
      <c r="C2341" t="s">
        <v>40</v>
      </c>
      <c r="D2341">
        <v>4.4592400000000003</v>
      </c>
      <c r="E2341">
        <v>0.48121120000000001</v>
      </c>
      <c r="F2341" t="s">
        <v>41</v>
      </c>
      <c r="G2341">
        <v>-460.81630000000001</v>
      </c>
      <c r="H2341">
        <v>1.2578959999999999</v>
      </c>
      <c r="I2341">
        <v>212.345</v>
      </c>
      <c r="J2341">
        <v>-461.36669999999998</v>
      </c>
      <c r="K2341">
        <v>1.120069</v>
      </c>
      <c r="L2341">
        <v>212.41229999999999</v>
      </c>
      <c r="M2341">
        <v>0.92718210000000001</v>
      </c>
      <c r="N2341">
        <v>0</v>
      </c>
      <c r="O2341">
        <v>0.37363590000000002</v>
      </c>
      <c r="P2341">
        <v>0.99292320000000001</v>
      </c>
      <c r="Q2341">
        <v>0.11641840000000001</v>
      </c>
      <c r="R2341">
        <v>2.3459890000000001E-2</v>
      </c>
      <c r="S2341">
        <v>2.9620060000000001</v>
      </c>
      <c r="T2341">
        <v>0.46844400000000003</v>
      </c>
      <c r="U2341">
        <v>0.15516659999999999</v>
      </c>
      <c r="V2341">
        <v>0.35461500000000001</v>
      </c>
      <c r="W2341">
        <v>0.12777239999999901</v>
      </c>
      <c r="X2341">
        <v>0.92624099999999998</v>
      </c>
      <c r="Y2341">
        <v>0.31640049999999997</v>
      </c>
      <c r="Z2341">
        <v>8.2304100000000005E-2</v>
      </c>
      <c r="AA2341">
        <v>0.94504860000000002</v>
      </c>
      <c r="AB2341">
        <v>30</v>
      </c>
      <c r="AC2341">
        <v>0.55039999999996703</v>
      </c>
      <c r="AD2341">
        <v>0.13782699999999901</v>
      </c>
      <c r="AE2341">
        <v>-6.7299999999988799E-2</v>
      </c>
      <c r="AF2341">
        <v>0.25254357311028602</v>
      </c>
      <c r="AG2341">
        <v>0.13782699999999901</v>
      </c>
      <c r="AH2341">
        <v>0.45711088430181102</v>
      </c>
      <c r="AI2341">
        <v>75.215716670922205</v>
      </c>
      <c r="AJ2341">
        <v>61.080328253881198</v>
      </c>
      <c r="AK2341">
        <v>0.54011563465196399</v>
      </c>
      <c r="AL2341">
        <v>82.659113179157401</v>
      </c>
      <c r="AM2341">
        <v>69.050459456023304</v>
      </c>
      <c r="AN2341">
        <v>0.99999998725387995</v>
      </c>
    </row>
    <row r="2342" spans="1:40" x14ac:dyDescent="0.25">
      <c r="A2342" t="str">
        <f>"20190312164517495"</f>
        <v>20190312164517495</v>
      </c>
      <c r="B2342" t="str">
        <f>"1552380317484137"</f>
        <v>1552380317484137</v>
      </c>
      <c r="C2342" t="s">
        <v>40</v>
      </c>
      <c r="D2342">
        <v>5.5266419999999998</v>
      </c>
      <c r="E2342">
        <v>0.48003709999999999</v>
      </c>
      <c r="F2342" t="s">
        <v>62</v>
      </c>
      <c r="G2342">
        <v>-157.25</v>
      </c>
      <c r="H2342">
        <v>53.099899999999998</v>
      </c>
      <c r="I2342">
        <v>233.9863</v>
      </c>
      <c r="J2342">
        <v>-461.07650000000001</v>
      </c>
      <c r="K2342">
        <v>1.117632</v>
      </c>
      <c r="L2342">
        <v>212.51499999999999</v>
      </c>
      <c r="M2342">
        <v>0.93154669999999895</v>
      </c>
      <c r="N2342">
        <v>0</v>
      </c>
      <c r="O2342">
        <v>0.36264479999999999</v>
      </c>
      <c r="P2342">
        <v>0.99330439999999998</v>
      </c>
      <c r="Q2342">
        <v>0.1138628</v>
      </c>
      <c r="R2342">
        <v>1.9535050000000002E-2</v>
      </c>
      <c r="S2342">
        <v>2.9571230000000002</v>
      </c>
      <c r="T2342">
        <v>0.50543379999999904</v>
      </c>
      <c r="U2342">
        <v>0.20977779999999999</v>
      </c>
      <c r="V2342">
        <v>0.34723860000000001</v>
      </c>
      <c r="W2342">
        <v>0.12535869999999999</v>
      </c>
      <c r="X2342">
        <v>0.92936030000000003</v>
      </c>
      <c r="Y2342">
        <v>0.28679519999999997</v>
      </c>
      <c r="Z2342">
        <v>8.4500889999999995E-2</v>
      </c>
      <c r="AA2342">
        <v>0.95425789999999999</v>
      </c>
      <c r="AB2342">
        <v>30</v>
      </c>
      <c r="AC2342">
        <v>303.82650000000001</v>
      </c>
      <c r="AD2342">
        <v>51.982267999999998</v>
      </c>
      <c r="AE2342">
        <v>21.471299999999999</v>
      </c>
      <c r="AF2342">
        <v>87.658365413178899</v>
      </c>
      <c r="AG2342">
        <v>51.982267999999998</v>
      </c>
      <c r="AH2342">
        <v>282.68450114447597</v>
      </c>
      <c r="AI2342">
        <v>80.0383284800387</v>
      </c>
      <c r="AJ2342">
        <v>72.771724718009494</v>
      </c>
      <c r="AK2342">
        <v>300.49404719667098</v>
      </c>
      <c r="AL2342">
        <v>82.798529339976696</v>
      </c>
      <c r="AM2342">
        <v>69.512710914100197</v>
      </c>
      <c r="AN2342">
        <v>1.00000000810587</v>
      </c>
    </row>
    <row r="2343" spans="1:40" x14ac:dyDescent="0.25">
      <c r="A2343" t="str">
        <f>"20190312164517516"</f>
        <v>20190312164517516</v>
      </c>
      <c r="B2343" t="str">
        <f>"1552380317514392"</f>
        <v>1552380317514392</v>
      </c>
      <c r="C2343" t="s">
        <v>40</v>
      </c>
      <c r="D2343">
        <v>5.6183120000000004</v>
      </c>
      <c r="E2343">
        <v>0.478549</v>
      </c>
      <c r="F2343" t="s">
        <v>62</v>
      </c>
      <c r="G2343">
        <v>-157.25</v>
      </c>
      <c r="H2343">
        <v>51.023960000000002</v>
      </c>
      <c r="I2343">
        <v>233.97909999999999</v>
      </c>
      <c r="J2343">
        <v>-460.79939999999999</v>
      </c>
      <c r="K2343">
        <v>1.1155170000000001</v>
      </c>
      <c r="L2343">
        <v>212.60890000000001</v>
      </c>
      <c r="M2343">
        <v>0.93578950000000005</v>
      </c>
      <c r="N2343">
        <v>0</v>
      </c>
      <c r="O2343">
        <v>0.35158430000000002</v>
      </c>
      <c r="P2343">
        <v>0.99337790000000004</v>
      </c>
      <c r="Q2343">
        <v>0.1132548</v>
      </c>
      <c r="R2343">
        <v>1.9343550000000001E-2</v>
      </c>
      <c r="S2343">
        <v>2.9603579999999998</v>
      </c>
      <c r="T2343">
        <v>0.48626659999999999</v>
      </c>
      <c r="U2343">
        <v>0.20913699999999999</v>
      </c>
      <c r="V2343">
        <v>0.33628150000000001</v>
      </c>
      <c r="W2343">
        <v>0.12502559999999999</v>
      </c>
      <c r="X2343">
        <v>0.93342559999999997</v>
      </c>
      <c r="Y2343">
        <v>0.27669070000000001</v>
      </c>
      <c r="Z2343">
        <v>7.8735139999999995E-2</v>
      </c>
      <c r="AA2343">
        <v>0.95772800000000002</v>
      </c>
      <c r="AB2343">
        <v>30</v>
      </c>
      <c r="AC2343">
        <v>303.54939999999999</v>
      </c>
      <c r="AD2343">
        <v>49.908442999999998</v>
      </c>
      <c r="AE2343">
        <v>21.370199999999901</v>
      </c>
      <c r="AF2343">
        <v>84.482453197099801</v>
      </c>
      <c r="AG2343">
        <v>49.908442999999998</v>
      </c>
      <c r="AH2343">
        <v>284.03162862737202</v>
      </c>
      <c r="AI2343">
        <v>80.439848165080505</v>
      </c>
      <c r="AJ2343">
        <v>73.435400773039206</v>
      </c>
      <c r="AK2343">
        <v>300.503084246404</v>
      </c>
      <c r="AL2343">
        <v>82.817765844032294</v>
      </c>
      <c r="AM2343">
        <v>70.187633080046396</v>
      </c>
      <c r="AN2343">
        <v>0.99999999931648398</v>
      </c>
    </row>
    <row r="2344" spans="1:40" x14ac:dyDescent="0.25">
      <c r="A2344" t="str">
        <f>"20190312164517537"</f>
        <v>20190312164517537</v>
      </c>
      <c r="B2344" t="str">
        <f>"1552380317533912"</f>
        <v>1552380317533912</v>
      </c>
      <c r="C2344" t="s">
        <v>40</v>
      </c>
      <c r="D2344">
        <v>4.7692610000000002</v>
      </c>
      <c r="E2344">
        <v>0.47910199999999997</v>
      </c>
      <c r="F2344" t="s">
        <v>62</v>
      </c>
      <c r="G2344">
        <v>-157.5188</v>
      </c>
      <c r="H2344">
        <v>48.490969999999997</v>
      </c>
      <c r="I2344">
        <v>235.4015</v>
      </c>
      <c r="J2344">
        <v>-460.52050000000003</v>
      </c>
      <c r="K2344">
        <v>1.113564</v>
      </c>
      <c r="L2344">
        <v>212.69919999999999</v>
      </c>
      <c r="M2344">
        <v>0.94010070000000001</v>
      </c>
      <c r="N2344">
        <v>0</v>
      </c>
      <c r="O2344">
        <v>0.33992670000000003</v>
      </c>
      <c r="P2344">
        <v>0.9933516</v>
      </c>
      <c r="Q2344">
        <v>0.1132678</v>
      </c>
      <c r="R2344">
        <v>2.0574200000000001E-2</v>
      </c>
      <c r="S2344">
        <v>2.9628909999999999</v>
      </c>
      <c r="T2344">
        <v>0.46283340000000001</v>
      </c>
      <c r="U2344">
        <v>0.22267149999999999</v>
      </c>
      <c r="V2344">
        <v>0.3233724</v>
      </c>
      <c r="W2344">
        <v>0.12534870000000001</v>
      </c>
      <c r="X2344">
        <v>0.93793280000000001</v>
      </c>
      <c r="Y2344">
        <v>0.26152429999999999</v>
      </c>
      <c r="Z2344">
        <v>7.2019440000000004E-2</v>
      </c>
      <c r="AA2344">
        <v>0.96250619999999998</v>
      </c>
      <c r="AB2344">
        <v>30</v>
      </c>
      <c r="AC2344">
        <v>303.00170000000003</v>
      </c>
      <c r="AD2344">
        <v>47.377406000000001</v>
      </c>
      <c r="AE2344">
        <v>22.702300000000001</v>
      </c>
      <c r="AF2344">
        <v>79.744158141112294</v>
      </c>
      <c r="AG2344">
        <v>47.377406000000001</v>
      </c>
      <c r="AH2344">
        <v>285.71947804876601</v>
      </c>
      <c r="AI2344">
        <v>80.925703230562604</v>
      </c>
      <c r="AJ2344">
        <v>74.405609599421496</v>
      </c>
      <c r="AK2344">
        <v>300.39868424043198</v>
      </c>
      <c r="AL2344">
        <v>82.799106588093593</v>
      </c>
      <c r="AM2344">
        <v>70.977271386239494</v>
      </c>
      <c r="AN2344">
        <v>0.99999997149464404</v>
      </c>
    </row>
    <row r="2345" spans="1:40" x14ac:dyDescent="0.25">
      <c r="A2345" t="str">
        <f>"20190312164517559"</f>
        <v>20190312164517559</v>
      </c>
      <c r="B2345" t="str">
        <f>"1552380317554407"</f>
        <v>1552380317554407</v>
      </c>
      <c r="C2345" t="s">
        <v>40</v>
      </c>
      <c r="D2345">
        <v>4.9459609999999996</v>
      </c>
      <c r="E2345">
        <v>0.47867549999999998</v>
      </c>
      <c r="F2345" t="s">
        <v>62</v>
      </c>
      <c r="G2345">
        <v>-158.22880000000001</v>
      </c>
      <c r="H2345">
        <v>47.816929999999999</v>
      </c>
      <c r="I2345">
        <v>235.4365</v>
      </c>
      <c r="J2345">
        <v>-460.2473</v>
      </c>
      <c r="K2345">
        <v>1.111788</v>
      </c>
      <c r="L2345">
        <v>212.78360000000001</v>
      </c>
      <c r="M2345">
        <v>0.9443281</v>
      </c>
      <c r="N2345">
        <v>0</v>
      </c>
      <c r="O2345">
        <v>0.32804149999999999</v>
      </c>
      <c r="P2345">
        <v>0.99347240000000003</v>
      </c>
      <c r="Q2345">
        <v>0.1118411</v>
      </c>
      <c r="R2345">
        <v>2.245374E-2</v>
      </c>
      <c r="S2345">
        <v>2.963257</v>
      </c>
      <c r="T2345">
        <v>0.45781660000000002</v>
      </c>
      <c r="U2345">
        <v>0.2228851</v>
      </c>
      <c r="V2345">
        <v>0.30960480000000001</v>
      </c>
      <c r="W2345">
        <v>0.1242293</v>
      </c>
      <c r="X2345">
        <v>0.94271519999999998</v>
      </c>
      <c r="Y2345">
        <v>0.24970500000000001</v>
      </c>
      <c r="Z2345">
        <v>6.8604410000000005E-2</v>
      </c>
      <c r="AA2345">
        <v>0.96588859999999999</v>
      </c>
      <c r="AB2345">
        <v>30</v>
      </c>
      <c r="AC2345">
        <v>302.01850000000002</v>
      </c>
      <c r="AD2345">
        <v>46.705141999999903</v>
      </c>
      <c r="AE2345">
        <v>22.652899999999899</v>
      </c>
      <c r="AF2345">
        <v>75.902420347677193</v>
      </c>
      <c r="AG2345">
        <v>46.705141999999903</v>
      </c>
      <c r="AH2345">
        <v>285.92873649779398</v>
      </c>
      <c r="AI2345">
        <v>81.028343369219101</v>
      </c>
      <c r="AJ2345">
        <v>75.133190661365305</v>
      </c>
      <c r="AK2345">
        <v>299.49589322576799</v>
      </c>
      <c r="AL2345">
        <v>82.863748980138695</v>
      </c>
      <c r="AM2345">
        <v>71.818880150014095</v>
      </c>
      <c r="AN2345">
        <v>0.99999999973628495</v>
      </c>
    </row>
    <row r="2346" spans="1:40" x14ac:dyDescent="0.25">
      <c r="A2346" t="str">
        <f>"20190312164517581"</f>
        <v>20190312164517581</v>
      </c>
      <c r="B2346" t="str">
        <f>"1552380317573928"</f>
        <v>1552380317573928</v>
      </c>
      <c r="C2346" t="s">
        <v>40</v>
      </c>
      <c r="D2346">
        <v>5.515218</v>
      </c>
      <c r="E2346">
        <v>0.48001630000000001</v>
      </c>
      <c r="F2346" t="s">
        <v>63</v>
      </c>
      <c r="G2346">
        <v>-234.6481</v>
      </c>
      <c r="H2346">
        <v>35.132559999999998</v>
      </c>
      <c r="I2346">
        <v>230.48689999999999</v>
      </c>
      <c r="J2346">
        <v>-459.93849999999998</v>
      </c>
      <c r="K2346">
        <v>1.1099619999999999</v>
      </c>
      <c r="L2346">
        <v>212.8741</v>
      </c>
      <c r="M2346">
        <v>0.94907330000000001</v>
      </c>
      <c r="N2346">
        <v>0</v>
      </c>
      <c r="O2346">
        <v>0.31409989999999999</v>
      </c>
      <c r="P2346">
        <v>0.99348020000000004</v>
      </c>
      <c r="Q2346">
        <v>0.1116756</v>
      </c>
      <c r="R2346">
        <v>2.2937639999999999E-2</v>
      </c>
      <c r="S2346">
        <v>2.964172</v>
      </c>
      <c r="T2346">
        <v>0.44700250000000002</v>
      </c>
      <c r="U2346">
        <v>0.23260500000000001</v>
      </c>
      <c r="V2346">
        <v>0.29507549999999999</v>
      </c>
      <c r="W2346">
        <v>0.12432260000000001</v>
      </c>
      <c r="X2346">
        <v>0.94735119999999895</v>
      </c>
      <c r="Y2346">
        <v>0.2329427</v>
      </c>
      <c r="Z2346">
        <v>6.3725329999999997E-2</v>
      </c>
      <c r="AA2346">
        <v>0.97040029999999999</v>
      </c>
      <c r="AB2346">
        <v>30</v>
      </c>
      <c r="AC2346">
        <v>225.29040000000001</v>
      </c>
      <c r="AD2346">
        <v>34.022597999999903</v>
      </c>
      <c r="AE2346">
        <v>17.612799999999901</v>
      </c>
      <c r="AF2346">
        <v>52.865771911381898</v>
      </c>
      <c r="AG2346">
        <v>34.022597999999903</v>
      </c>
      <c r="AH2346">
        <v>214.55188840074001</v>
      </c>
      <c r="AI2346">
        <v>81.246906125799498</v>
      </c>
      <c r="AJ2346">
        <v>76.158004968532893</v>
      </c>
      <c r="AK2346">
        <v>223.57289601107601</v>
      </c>
      <c r="AL2346">
        <v>82.858361361588393</v>
      </c>
      <c r="AM2346">
        <v>72.699533633271699</v>
      </c>
      <c r="AN2346">
        <v>0.99999997785622396</v>
      </c>
    </row>
    <row r="2347" spans="1:40" x14ac:dyDescent="0.25">
      <c r="A2347" t="str">
        <f>"20190312164517603"</f>
        <v>20190312164517603</v>
      </c>
      <c r="B2347" t="str">
        <f>"1552380317594424"</f>
        <v>1552380317594424</v>
      </c>
      <c r="C2347" t="s">
        <v>40</v>
      </c>
      <c r="D2347">
        <v>4.9330040000000004</v>
      </c>
      <c r="E2347">
        <v>0.48119070000000003</v>
      </c>
      <c r="F2347" t="s">
        <v>62</v>
      </c>
      <c r="G2347">
        <v>-158.22880000000001</v>
      </c>
      <c r="H2347">
        <v>46.482610000000001</v>
      </c>
      <c r="I2347">
        <v>235.56829999999999</v>
      </c>
      <c r="J2347">
        <v>-459.65120000000002</v>
      </c>
      <c r="K2347">
        <v>1.108441</v>
      </c>
      <c r="L2347">
        <v>212.95359999999999</v>
      </c>
      <c r="M2347">
        <v>0.95342990000000005</v>
      </c>
      <c r="N2347">
        <v>0</v>
      </c>
      <c r="O2347">
        <v>0.3006645</v>
      </c>
      <c r="P2347">
        <v>0.993614</v>
      </c>
      <c r="Q2347">
        <v>0.1104232</v>
      </c>
      <c r="R2347">
        <v>2.319247E-2</v>
      </c>
      <c r="S2347">
        <v>2.9643860000000002</v>
      </c>
      <c r="T2347">
        <v>0.44579990000000003</v>
      </c>
      <c r="U2347">
        <v>0.2229767</v>
      </c>
      <c r="V2347">
        <v>0.28126790000000002</v>
      </c>
      <c r="W2347">
        <v>0.1233166</v>
      </c>
      <c r="X2347">
        <v>0.95167290000000004</v>
      </c>
      <c r="Y2347">
        <v>0.22262999999999999</v>
      </c>
      <c r="Z2347">
        <v>6.0876329999999999E-2</v>
      </c>
      <c r="AA2347">
        <v>0.97300050000000005</v>
      </c>
      <c r="AB2347">
        <v>30</v>
      </c>
      <c r="AC2347">
        <v>301.42239999999998</v>
      </c>
      <c r="AD2347">
        <v>45.374169000000002</v>
      </c>
      <c r="AE2347">
        <v>22.614699999999999</v>
      </c>
      <c r="AF2347">
        <v>67.562828470657706</v>
      </c>
      <c r="AG2347">
        <v>45.374169000000002</v>
      </c>
      <c r="AH2347">
        <v>287.78400184337301</v>
      </c>
      <c r="AI2347">
        <v>81.273541140080994</v>
      </c>
      <c r="AJ2347">
        <v>76.787979629201999</v>
      </c>
      <c r="AK2347">
        <v>299.07053134734298</v>
      </c>
      <c r="AL2347">
        <v>82.916447797580005</v>
      </c>
      <c r="AM2347">
        <v>73.534901314470503</v>
      </c>
      <c r="AN2347">
        <v>0.99999996200018904</v>
      </c>
    </row>
    <row r="2348" spans="1:40" x14ac:dyDescent="0.25">
      <c r="A2348" t="str">
        <f>"20190312164517626"</f>
        <v>20190312164517626</v>
      </c>
      <c r="B2348" t="str">
        <f>"1552380317623704"</f>
        <v>1552380317623704</v>
      </c>
      <c r="C2348" t="s">
        <v>40</v>
      </c>
      <c r="D2348">
        <v>5.5865859999999996</v>
      </c>
      <c r="E2348">
        <v>0.48307270000000002</v>
      </c>
      <c r="F2348" t="s">
        <v>62</v>
      </c>
      <c r="G2348">
        <v>-157.25</v>
      </c>
      <c r="H2348">
        <v>46.063720000000004</v>
      </c>
      <c r="I2348">
        <v>234.83840000000001</v>
      </c>
      <c r="J2348">
        <v>-459.34890000000001</v>
      </c>
      <c r="K2348">
        <v>1.106997</v>
      </c>
      <c r="L2348">
        <v>213.03229999999999</v>
      </c>
      <c r="M2348">
        <v>0.95790260000000005</v>
      </c>
      <c r="N2348">
        <v>0</v>
      </c>
      <c r="O2348">
        <v>0.28614729999999999</v>
      </c>
      <c r="P2348">
        <v>0.99391819999999997</v>
      </c>
      <c r="Q2348">
        <v>0.10765660000000001</v>
      </c>
      <c r="R2348">
        <v>2.317779E-2</v>
      </c>
      <c r="S2348">
        <v>2.9653019999999999</v>
      </c>
      <c r="T2348">
        <v>0.44082529999999998</v>
      </c>
      <c r="U2348">
        <v>0.2145996</v>
      </c>
      <c r="V2348">
        <v>0.26662069999999999</v>
      </c>
      <c r="W2348">
        <v>0.1208021</v>
      </c>
      <c r="X2348">
        <v>0.95620099999999997</v>
      </c>
      <c r="Y2348">
        <v>0.2109762</v>
      </c>
      <c r="Z2348">
        <v>5.7277950000000001E-2</v>
      </c>
      <c r="AA2348">
        <v>0.9758116</v>
      </c>
      <c r="AB2348">
        <v>30</v>
      </c>
      <c r="AC2348">
        <v>302.09890000000001</v>
      </c>
      <c r="AD2348">
        <v>44.956722999999997</v>
      </c>
      <c r="AE2348">
        <v>21.806100000000001</v>
      </c>
      <c r="AF2348">
        <v>64.160919771150802</v>
      </c>
      <c r="AG2348">
        <v>44.956722999999997</v>
      </c>
      <c r="AH2348">
        <v>289.32710939797602</v>
      </c>
      <c r="AI2348">
        <v>81.374086055232695</v>
      </c>
      <c r="AJ2348">
        <v>77.496480941854202</v>
      </c>
      <c r="AK2348">
        <v>299.746404150854</v>
      </c>
      <c r="AL2348">
        <v>83.061604042910801</v>
      </c>
      <c r="AM2348">
        <v>74.419758396437999</v>
      </c>
      <c r="AN2348">
        <v>1.00000004871694</v>
      </c>
    </row>
    <row r="2349" spans="1:40" x14ac:dyDescent="0.25">
      <c r="A2349" t="str">
        <f>"20190312164517648"</f>
        <v>20190312164517648</v>
      </c>
      <c r="B2349" t="str">
        <f>"1552380317644202"</f>
        <v>1552380317644202</v>
      </c>
      <c r="C2349" t="s">
        <v>40</v>
      </c>
      <c r="D2349">
        <v>5.3698980000000001</v>
      </c>
      <c r="E2349">
        <v>0.48450280000000001</v>
      </c>
      <c r="F2349" t="s">
        <v>62</v>
      </c>
      <c r="G2349">
        <v>-157.25</v>
      </c>
      <c r="H2349">
        <v>45.12894</v>
      </c>
      <c r="I2349">
        <v>233.40309999999999</v>
      </c>
      <c r="J2349">
        <v>-459.06509999999997</v>
      </c>
      <c r="K2349">
        <v>1.1057779999999999</v>
      </c>
      <c r="L2349">
        <v>213.1019</v>
      </c>
      <c r="M2349">
        <v>0.96194279999999999</v>
      </c>
      <c r="N2349">
        <v>0</v>
      </c>
      <c r="O2349">
        <v>0.2723063</v>
      </c>
      <c r="P2349">
        <v>0.99407659999999998</v>
      </c>
      <c r="Q2349">
        <v>0.1061165</v>
      </c>
      <c r="R2349">
        <v>2.3475780000000002E-2</v>
      </c>
      <c r="S2349">
        <v>2.9668580000000002</v>
      </c>
      <c r="T2349">
        <v>0.43233189999999999</v>
      </c>
      <c r="U2349">
        <v>0.20005800000000001</v>
      </c>
      <c r="V2349">
        <v>0.25236170000000002</v>
      </c>
      <c r="W2349">
        <v>0.1194828</v>
      </c>
      <c r="X2349">
        <v>0.96022779999999996</v>
      </c>
      <c r="Y2349">
        <v>0.2021145</v>
      </c>
      <c r="Z2349">
        <v>5.3599250000000001E-2</v>
      </c>
      <c r="AA2349">
        <v>0.97789409999999999</v>
      </c>
      <c r="AB2349">
        <v>30</v>
      </c>
      <c r="AC2349">
        <v>301.81509999999997</v>
      </c>
      <c r="AD2349">
        <v>44.023161999999999</v>
      </c>
      <c r="AE2349">
        <v>20.301199999999898</v>
      </c>
      <c r="AF2349">
        <v>61.373830804091902</v>
      </c>
      <c r="AG2349">
        <v>44.023161999999999</v>
      </c>
      <c r="AH2349">
        <v>289.79548347725802</v>
      </c>
      <c r="AI2349">
        <v>81.546867120414404</v>
      </c>
      <c r="AJ2349">
        <v>78.042398583384596</v>
      </c>
      <c r="AK2349">
        <v>299.47655691867698</v>
      </c>
      <c r="AL2349">
        <v>83.137745534844299</v>
      </c>
      <c r="AM2349">
        <v>75.274844470657399</v>
      </c>
      <c r="AN2349">
        <v>0.99999999750778501</v>
      </c>
    </row>
    <row r="2350" spans="1:40" x14ac:dyDescent="0.25">
      <c r="A2350" t="str">
        <f>"20190312164517672"</f>
        <v>20190312164517672</v>
      </c>
      <c r="B2350" t="str">
        <f>"1552380317663720"</f>
        <v>1552380317663720</v>
      </c>
      <c r="C2350" t="s">
        <v>40</v>
      </c>
      <c r="D2350">
        <v>5.6252829999999996</v>
      </c>
      <c r="E2350">
        <v>0.48558580000000001</v>
      </c>
      <c r="F2350" t="s">
        <v>62</v>
      </c>
      <c r="G2350">
        <v>-157.25</v>
      </c>
      <c r="H2350">
        <v>44.596130000000002</v>
      </c>
      <c r="I2350">
        <v>232.4171</v>
      </c>
      <c r="J2350">
        <v>-458.74079999999998</v>
      </c>
      <c r="K2350">
        <v>1.104538</v>
      </c>
      <c r="L2350">
        <v>213.17590000000001</v>
      </c>
      <c r="M2350">
        <v>0.96629799999999999</v>
      </c>
      <c r="N2350">
        <v>0</v>
      </c>
      <c r="O2350">
        <v>0.25648149999999997</v>
      </c>
      <c r="P2350">
        <v>0.99414340000000001</v>
      </c>
      <c r="Q2350">
        <v>0.1057723</v>
      </c>
      <c r="R2350">
        <v>2.21687E-2</v>
      </c>
      <c r="S2350">
        <v>2.967743</v>
      </c>
      <c r="T2350">
        <v>0.42764029999999997</v>
      </c>
      <c r="U2350">
        <v>0.18992609999999999</v>
      </c>
      <c r="V2350">
        <v>0.2376713</v>
      </c>
      <c r="W2350">
        <v>0.1192811</v>
      </c>
      <c r="X2350">
        <v>0.96399400000000002</v>
      </c>
      <c r="Y2350">
        <v>0.1897643</v>
      </c>
      <c r="Z2350">
        <v>4.993947E-2</v>
      </c>
      <c r="AA2350">
        <v>0.98055879999999995</v>
      </c>
      <c r="AB2350">
        <v>30</v>
      </c>
      <c r="AC2350">
        <v>301.49079999999998</v>
      </c>
      <c r="AD2350">
        <v>43.491591999999997</v>
      </c>
      <c r="AE2350">
        <v>19.2411999999999</v>
      </c>
      <c r="AF2350">
        <v>57.555495041903399</v>
      </c>
      <c r="AG2350">
        <v>43.491591999999997</v>
      </c>
      <c r="AH2350">
        <v>290.31998255846099</v>
      </c>
      <c r="AI2350">
        <v>81.640448474386503</v>
      </c>
      <c r="AJ2350">
        <v>78.7865948961214</v>
      </c>
      <c r="AK2350">
        <v>299.14853477320901</v>
      </c>
      <c r="AL2350">
        <v>83.149385559417894</v>
      </c>
      <c r="AM2350">
        <v>76.150029390469598</v>
      </c>
      <c r="AN2350">
        <v>1.0000000298484399</v>
      </c>
    </row>
    <row r="2351" spans="1:40" x14ac:dyDescent="0.25">
      <c r="A2351" t="str">
        <f>"20190312164517694"</f>
        <v>20190312164517694</v>
      </c>
      <c r="B2351" t="str">
        <f>"1552380317684217"</f>
        <v>1552380317684217</v>
      </c>
      <c r="C2351" t="s">
        <v>40</v>
      </c>
      <c r="D2351">
        <v>5.6562219999999996</v>
      </c>
      <c r="E2351">
        <v>0.48667090000000002</v>
      </c>
      <c r="F2351" t="s">
        <v>62</v>
      </c>
      <c r="G2351">
        <v>-157.25</v>
      </c>
      <c r="H2351">
        <v>44.682659999999998</v>
      </c>
      <c r="I2351">
        <v>231.21250000000001</v>
      </c>
      <c r="J2351">
        <v>-458.43959999999998</v>
      </c>
      <c r="K2351">
        <v>1.1035520000000001</v>
      </c>
      <c r="L2351">
        <v>213.2398</v>
      </c>
      <c r="M2351">
        <v>0.97006179999999997</v>
      </c>
      <c r="N2351">
        <v>0</v>
      </c>
      <c r="O2351">
        <v>0.2419125</v>
      </c>
      <c r="P2351">
        <v>0.99426950000000003</v>
      </c>
      <c r="Q2351">
        <v>0.1046049</v>
      </c>
      <c r="R2351">
        <v>2.20436E-2</v>
      </c>
      <c r="S2351">
        <v>2.9681090000000001</v>
      </c>
      <c r="T2351">
        <v>0.42901719999999999</v>
      </c>
      <c r="U2351">
        <v>0.17756649999999999</v>
      </c>
      <c r="V2351">
        <v>0.2231032</v>
      </c>
      <c r="W2351">
        <v>0.1182513</v>
      </c>
      <c r="X2351">
        <v>0.96759580000000001</v>
      </c>
      <c r="Y2351">
        <v>0.1792842</v>
      </c>
      <c r="Z2351">
        <v>4.7316219999999999E-2</v>
      </c>
      <c r="AA2351">
        <v>0.98265880000000005</v>
      </c>
      <c r="AB2351">
        <v>30</v>
      </c>
      <c r="AC2351">
        <v>301.18959999999998</v>
      </c>
      <c r="AD2351">
        <v>43.579107999999998</v>
      </c>
      <c r="AE2351">
        <v>17.9727</v>
      </c>
      <c r="AF2351">
        <v>54.306721802110403</v>
      </c>
      <c r="AG2351">
        <v>43.579107999999998</v>
      </c>
      <c r="AH2351">
        <v>290.52767033073297</v>
      </c>
      <c r="AI2351">
        <v>81.612399256274003</v>
      </c>
      <c r="AJ2351">
        <v>79.412205275128798</v>
      </c>
      <c r="AK2351">
        <v>298.755227426685</v>
      </c>
      <c r="AL2351">
        <v>83.208809273678298</v>
      </c>
      <c r="AM2351">
        <v>77.015960912957198</v>
      </c>
      <c r="AN2351">
        <v>1.0000000199897801</v>
      </c>
    </row>
    <row r="2352" spans="1:40" x14ac:dyDescent="0.25">
      <c r="A2352" t="str">
        <f>"20190312164517715"</f>
        <v>20190312164517715</v>
      </c>
      <c r="B2352" t="str">
        <f>"1552380317703741"</f>
        <v>1552380317703741</v>
      </c>
      <c r="C2352" t="s">
        <v>40</v>
      </c>
      <c r="D2352">
        <v>5.4432349999999996</v>
      </c>
      <c r="E2352">
        <v>0.4876202</v>
      </c>
      <c r="F2352" t="s">
        <v>62</v>
      </c>
      <c r="G2352">
        <v>-157.25</v>
      </c>
      <c r="H2352">
        <v>44.45917</v>
      </c>
      <c r="I2352">
        <v>230.3434</v>
      </c>
      <c r="J2352">
        <v>-458.1619</v>
      </c>
      <c r="K2352">
        <v>1.1027830000000001</v>
      </c>
      <c r="L2352">
        <v>213.29490000000001</v>
      </c>
      <c r="M2352">
        <v>0.97328999999999999</v>
      </c>
      <c r="N2352">
        <v>0</v>
      </c>
      <c r="O2352">
        <v>0.22863049999999999</v>
      </c>
      <c r="P2352">
        <v>0.99425859999999999</v>
      </c>
      <c r="Q2352">
        <v>0.10463219999999999</v>
      </c>
      <c r="R2352">
        <v>2.2403389999999999E-2</v>
      </c>
      <c r="S2352">
        <v>2.9686279999999998</v>
      </c>
      <c r="T2352">
        <v>0.42732819999999999</v>
      </c>
      <c r="U2352">
        <v>0.16857910000000001</v>
      </c>
      <c r="V2352">
        <v>0.20937</v>
      </c>
      <c r="W2352">
        <v>0.11839619999999999</v>
      </c>
      <c r="X2352">
        <v>0.97064229999999996</v>
      </c>
      <c r="Y2352">
        <v>0.16907739999999999</v>
      </c>
      <c r="Z2352">
        <v>4.4547110000000001E-2</v>
      </c>
      <c r="AA2352">
        <v>0.98459549999999996</v>
      </c>
      <c r="AB2352">
        <v>30</v>
      </c>
      <c r="AC2352">
        <v>300.9119</v>
      </c>
      <c r="AD2352">
        <v>43.356386999999998</v>
      </c>
      <c r="AE2352">
        <v>17.048499999999901</v>
      </c>
      <c r="AF2352">
        <v>51.157227003328799</v>
      </c>
      <c r="AG2352">
        <v>43.356386999999998</v>
      </c>
      <c r="AH2352">
        <v>290.818788525836</v>
      </c>
      <c r="AI2352">
        <v>81.646977775476003</v>
      </c>
      <c r="AJ2352">
        <v>80.023307411439603</v>
      </c>
      <c r="AK2352">
        <v>298.450005743004</v>
      </c>
      <c r="AL2352">
        <v>83.200448010577105</v>
      </c>
      <c r="AM2352">
        <v>77.827651815975898</v>
      </c>
      <c r="AN2352">
        <v>0.99999996581186401</v>
      </c>
    </row>
    <row r="2353" spans="1:40" x14ac:dyDescent="0.25">
      <c r="A2353" t="str">
        <f>"20190312164517738"</f>
        <v>20190312164517738</v>
      </c>
      <c r="B2353" t="str">
        <f>"1552380317733992"</f>
        <v>1552380317733992</v>
      </c>
      <c r="C2353" t="s">
        <v>40</v>
      </c>
      <c r="D2353">
        <v>5.8281289999999997</v>
      </c>
      <c r="E2353">
        <v>0.4886394</v>
      </c>
      <c r="F2353" t="s">
        <v>62</v>
      </c>
      <c r="G2353">
        <v>-157.25</v>
      </c>
      <c r="H2353">
        <v>44.229489999999998</v>
      </c>
      <c r="I2353">
        <v>229.7099</v>
      </c>
      <c r="J2353">
        <v>-457.85410000000002</v>
      </c>
      <c r="K2353">
        <v>1.1020890000000001</v>
      </c>
      <c r="L2353">
        <v>213.35159999999999</v>
      </c>
      <c r="M2353">
        <v>0.97659090000000004</v>
      </c>
      <c r="N2353">
        <v>0</v>
      </c>
      <c r="O2353">
        <v>0.21414949999999999</v>
      </c>
      <c r="P2353">
        <v>0.99404840000000005</v>
      </c>
      <c r="Q2353">
        <v>0.10724110000000001</v>
      </c>
      <c r="R2353">
        <v>1.9163619999999999E-2</v>
      </c>
      <c r="S2353">
        <v>2.9689030000000001</v>
      </c>
      <c r="T2353">
        <v>0.42550369999999998</v>
      </c>
      <c r="U2353">
        <v>0.16195680000000001</v>
      </c>
      <c r="V2353">
        <v>0.19797790000000001</v>
      </c>
      <c r="W2353">
        <v>0.1209948</v>
      </c>
      <c r="X2353">
        <v>0.97271010000000002</v>
      </c>
      <c r="Y2353">
        <v>0.15692539999999999</v>
      </c>
      <c r="Z2353">
        <v>4.1475560000000002E-2</v>
      </c>
      <c r="AA2353">
        <v>0.98673920000000004</v>
      </c>
      <c r="AB2353">
        <v>30</v>
      </c>
      <c r="AC2353">
        <v>300.60410000000002</v>
      </c>
      <c r="AD2353">
        <v>43.127400999999999</v>
      </c>
      <c r="AE2353">
        <v>16.3583</v>
      </c>
      <c r="AF2353">
        <v>47.435284754039202</v>
      </c>
      <c r="AG2353">
        <v>43.127400999999999</v>
      </c>
      <c r="AH2353">
        <v>291.15601773162001</v>
      </c>
      <c r="AI2353">
        <v>81.682444687019299</v>
      </c>
      <c r="AJ2353">
        <v>80.746642132773999</v>
      </c>
      <c r="AK2353">
        <v>298.13068546871699</v>
      </c>
      <c r="AL2353">
        <v>83.050480974394205</v>
      </c>
      <c r="AM2353">
        <v>78.4955999151979</v>
      </c>
      <c r="AN2353">
        <v>0.99999996457872897</v>
      </c>
    </row>
    <row r="2354" spans="1:40" x14ac:dyDescent="0.25">
      <c r="A2354" t="str">
        <f>"20190312164517759"</f>
        <v>20190312164517759</v>
      </c>
      <c r="B2354" t="str">
        <f>"1552380317753513"</f>
        <v>1552380317753513</v>
      </c>
      <c r="C2354" t="s">
        <v>40</v>
      </c>
      <c r="D2354">
        <v>5.6376540000000004</v>
      </c>
      <c r="E2354">
        <v>0.4898129</v>
      </c>
      <c r="F2354" t="s">
        <v>62</v>
      </c>
      <c r="G2354">
        <v>-157.25</v>
      </c>
      <c r="H2354">
        <v>44.156770000000002</v>
      </c>
      <c r="I2354">
        <v>227.91560000000001</v>
      </c>
      <c r="J2354">
        <v>-457.57100000000003</v>
      </c>
      <c r="K2354">
        <v>1.101586</v>
      </c>
      <c r="L2354">
        <v>213.3999</v>
      </c>
      <c r="M2354">
        <v>0.97937240000000003</v>
      </c>
      <c r="N2354">
        <v>0</v>
      </c>
      <c r="O2354">
        <v>0.201097</v>
      </c>
      <c r="P2354">
        <v>0.99378049999999996</v>
      </c>
      <c r="Q2354">
        <v>0.1099551</v>
      </c>
      <c r="R2354">
        <v>1.761911E-2</v>
      </c>
      <c r="S2354">
        <v>2.9692989999999999</v>
      </c>
      <c r="T2354">
        <v>0.42528490000000002</v>
      </c>
      <c r="U2354">
        <v>0.14385990000000001</v>
      </c>
      <c r="V2354">
        <v>0.1863756</v>
      </c>
      <c r="W2354">
        <v>0.1237462</v>
      </c>
      <c r="X2354">
        <v>0.97465429999999997</v>
      </c>
      <c r="Y2354">
        <v>0.14995269999999999</v>
      </c>
      <c r="Z2354">
        <v>3.9140170000000002E-2</v>
      </c>
      <c r="AA2354">
        <v>0.98791810000000002</v>
      </c>
      <c r="AB2354">
        <v>30</v>
      </c>
      <c r="AC2354">
        <v>300.32100000000003</v>
      </c>
      <c r="AD2354">
        <v>43.055183999999997</v>
      </c>
      <c r="AE2354">
        <v>14.515700000000001</v>
      </c>
      <c r="AF2354">
        <v>45.2583406724154</v>
      </c>
      <c r="AG2354">
        <v>43.055183999999997</v>
      </c>
      <c r="AH2354">
        <v>291.13328339394701</v>
      </c>
      <c r="AI2354">
        <v>81.686043463793993</v>
      </c>
      <c r="AJ2354">
        <v>81.163769290517493</v>
      </c>
      <c r="AK2354">
        <v>297.75939106841702</v>
      </c>
      <c r="AL2354">
        <v>82.891643784083499</v>
      </c>
      <c r="AM2354">
        <v>79.174457645079897</v>
      </c>
      <c r="AN2354">
        <v>0.99999999539914397</v>
      </c>
    </row>
    <row r="2355" spans="1:40" x14ac:dyDescent="0.25">
      <c r="A2355" t="str">
        <f>"20190312164517782"</f>
        <v>20190312164517782</v>
      </c>
      <c r="B2355" t="str">
        <f>"1552380317774009"</f>
        <v>1552380317774009</v>
      </c>
      <c r="C2355" t="s">
        <v>40</v>
      </c>
      <c r="D2355">
        <v>6.581995</v>
      </c>
      <c r="E2355">
        <v>0.49105840000000001</v>
      </c>
      <c r="F2355" t="s">
        <v>62</v>
      </c>
      <c r="G2355">
        <v>-157.25</v>
      </c>
      <c r="H2355">
        <v>44.663200000000003</v>
      </c>
      <c r="I2355">
        <v>226.5232</v>
      </c>
      <c r="J2355">
        <v>-457.2636</v>
      </c>
      <c r="K2355">
        <v>1.1011839999999999</v>
      </c>
      <c r="L2355">
        <v>213.44839999999999</v>
      </c>
      <c r="M2355">
        <v>0.98212160000000004</v>
      </c>
      <c r="N2355">
        <v>0</v>
      </c>
      <c r="O2355">
        <v>0.18726590000000001</v>
      </c>
      <c r="P2355">
        <v>0.99358360000000001</v>
      </c>
      <c r="Q2355">
        <v>0.112024</v>
      </c>
      <c r="R2355">
        <v>1.557965E-2</v>
      </c>
      <c r="S2355">
        <v>2.9688110000000001</v>
      </c>
      <c r="T2355">
        <v>0.43062709999999998</v>
      </c>
      <c r="U2355">
        <v>0.12973019999999999</v>
      </c>
      <c r="V2355">
        <v>0.17447860000000001</v>
      </c>
      <c r="W2355">
        <v>0.12584500000000001</v>
      </c>
      <c r="X2355">
        <v>0.97658599999999995</v>
      </c>
      <c r="Y2355">
        <v>0.1408355</v>
      </c>
      <c r="Z2355">
        <v>3.7021449999999997E-2</v>
      </c>
      <c r="AA2355">
        <v>0.98934049999999996</v>
      </c>
      <c r="AB2355">
        <v>30</v>
      </c>
      <c r="AC2355">
        <v>300.0136</v>
      </c>
      <c r="AD2355">
        <v>43.562016</v>
      </c>
      <c r="AE2355">
        <v>13.0748</v>
      </c>
      <c r="AF2355">
        <v>42.455860824868203</v>
      </c>
      <c r="AG2355">
        <v>43.562016</v>
      </c>
      <c r="AH2355">
        <v>291.02892356432602</v>
      </c>
      <c r="AI2355">
        <v>81.574888798636195</v>
      </c>
      <c r="AJ2355">
        <v>81.700128692968505</v>
      </c>
      <c r="AK2355">
        <v>297.31798416405098</v>
      </c>
      <c r="AL2355">
        <v>82.7704437872179</v>
      </c>
      <c r="AM2355">
        <v>79.870311248168704</v>
      </c>
      <c r="AN2355">
        <v>0.99999998063947904</v>
      </c>
    </row>
    <row r="2356" spans="1:40" x14ac:dyDescent="0.25">
      <c r="A2356" t="str">
        <f>"20190312164517804"</f>
        <v>20190312164517804</v>
      </c>
      <c r="B2356" t="str">
        <f>"1552380317794505"</f>
        <v>1552380317794505</v>
      </c>
      <c r="C2356" t="s">
        <v>40</v>
      </c>
      <c r="D2356">
        <v>5.4771700000000001</v>
      </c>
      <c r="E2356">
        <v>0.49226530000000002</v>
      </c>
      <c r="F2356" t="s">
        <v>62</v>
      </c>
      <c r="G2356">
        <v>-157.25</v>
      </c>
      <c r="H2356">
        <v>45.056620000000002</v>
      </c>
      <c r="I2356">
        <v>224.91059999999999</v>
      </c>
      <c r="J2356">
        <v>-456.971</v>
      </c>
      <c r="K2356">
        <v>1.100913</v>
      </c>
      <c r="L2356">
        <v>213.49080000000001</v>
      </c>
      <c r="M2356">
        <v>0.98448349999999996</v>
      </c>
      <c r="N2356">
        <v>0</v>
      </c>
      <c r="O2356">
        <v>0.17447480000000001</v>
      </c>
      <c r="P2356">
        <v>0.99322319999999997</v>
      </c>
      <c r="Q2356">
        <v>0.11554830000000001</v>
      </c>
      <c r="R2356">
        <v>1.251172E-2</v>
      </c>
      <c r="S2356">
        <v>2.9686279999999998</v>
      </c>
      <c r="T2356">
        <v>0.43493850000000001</v>
      </c>
      <c r="U2356">
        <v>0.11341859999999999</v>
      </c>
      <c r="V2356">
        <v>0.16466020000000001</v>
      </c>
      <c r="W2356">
        <v>0.1293617</v>
      </c>
      <c r="X2356">
        <v>0.97783050000000005</v>
      </c>
      <c r="Y2356">
        <v>0.13352240000000001</v>
      </c>
      <c r="Z2356">
        <v>3.5028249999999997E-2</v>
      </c>
      <c r="AA2356">
        <v>0.99042660000000005</v>
      </c>
      <c r="AB2356">
        <v>30</v>
      </c>
      <c r="AC2356">
        <v>299.721</v>
      </c>
      <c r="AD2356">
        <v>43.955706999999997</v>
      </c>
      <c r="AE2356">
        <v>11.419799999999899</v>
      </c>
      <c r="AF2356">
        <v>40.195103318328201</v>
      </c>
      <c r="AG2356">
        <v>43.955706999999997</v>
      </c>
      <c r="AH2356">
        <v>290.86809527730799</v>
      </c>
      <c r="AI2356">
        <v>81.486244120547099</v>
      </c>
      <c r="AJ2356">
        <v>82.132118623051696</v>
      </c>
      <c r="AK2356">
        <v>296.90402381727699</v>
      </c>
      <c r="AL2356">
        <v>82.567290723305007</v>
      </c>
      <c r="AM2356">
        <v>80.441444346386007</v>
      </c>
      <c r="AN2356">
        <v>0.99999995881058901</v>
      </c>
    </row>
    <row r="2357" spans="1:40" x14ac:dyDescent="0.25">
      <c r="A2357" t="str">
        <f>"20190312164517826"</f>
        <v>20190312164517826</v>
      </c>
      <c r="B2357" t="str">
        <f>"1552380317823784"</f>
        <v>1552380317823784</v>
      </c>
      <c r="C2357" t="s">
        <v>40</v>
      </c>
      <c r="D2357">
        <v>5.361472</v>
      </c>
      <c r="E2357">
        <v>0.49391930000000001</v>
      </c>
      <c r="F2357" t="s">
        <v>62</v>
      </c>
      <c r="G2357">
        <v>-157.25</v>
      </c>
      <c r="H2357">
        <v>45.826140000000002</v>
      </c>
      <c r="I2357">
        <v>223.03129999999999</v>
      </c>
      <c r="J2357">
        <v>-456.67520000000002</v>
      </c>
      <c r="K2357">
        <v>1.100759</v>
      </c>
      <c r="L2357">
        <v>213.53030000000001</v>
      </c>
      <c r="M2357">
        <v>0.98663129999999999</v>
      </c>
      <c r="N2357">
        <v>0</v>
      </c>
      <c r="O2357">
        <v>0.1619391</v>
      </c>
      <c r="P2357">
        <v>0.99287329999999996</v>
      </c>
      <c r="Q2357">
        <v>0.11895029999999999</v>
      </c>
      <c r="R2357">
        <v>7.3039050000000003E-3</v>
      </c>
      <c r="S2357">
        <v>2.9677730000000002</v>
      </c>
      <c r="T2357">
        <v>0.44286019999999998</v>
      </c>
      <c r="U2357">
        <v>9.4467159999999994E-2</v>
      </c>
      <c r="V2357">
        <v>0.15721969999999999</v>
      </c>
      <c r="W2357">
        <v>0.132696799999999</v>
      </c>
      <c r="X2357">
        <v>0.97860800000000003</v>
      </c>
      <c r="Y2357">
        <v>0.1273058</v>
      </c>
      <c r="Z2357">
        <v>3.3378209999999998E-2</v>
      </c>
      <c r="AA2357">
        <v>0.99130169999999995</v>
      </c>
      <c r="AB2357">
        <v>30</v>
      </c>
      <c r="AC2357">
        <v>299.42520000000002</v>
      </c>
      <c r="AD2357">
        <v>44.725380999999999</v>
      </c>
      <c r="AE2357">
        <v>9.5009999999999692</v>
      </c>
      <c r="AF2357">
        <v>38.268237009286402</v>
      </c>
      <c r="AG2357">
        <v>44.725380999999999</v>
      </c>
      <c r="AH2357">
        <v>290.53473789191202</v>
      </c>
      <c r="AI2357">
        <v>81.322292547152202</v>
      </c>
      <c r="AJ2357">
        <v>82.496391908804696</v>
      </c>
      <c r="AK2357">
        <v>296.43760151390399</v>
      </c>
      <c r="AL2357">
        <v>82.374542351453101</v>
      </c>
      <c r="AM2357">
        <v>80.873053124143198</v>
      </c>
      <c r="AN2357">
        <v>1.00000004623116</v>
      </c>
    </row>
    <row r="2358" spans="1:40" x14ac:dyDescent="0.25">
      <c r="A2358" t="str">
        <f>"20190312164517848"</f>
        <v>20190312164517848</v>
      </c>
      <c r="B2358" t="str">
        <f>"1552380317844280"</f>
        <v>1552380317844280</v>
      </c>
      <c r="C2358" t="s">
        <v>40</v>
      </c>
      <c r="D2358">
        <v>5.7878780000000001</v>
      </c>
      <c r="E2358">
        <v>0.49480730000000001</v>
      </c>
      <c r="F2358" t="s">
        <v>62</v>
      </c>
      <c r="G2358">
        <v>-158.22880000000001</v>
      </c>
      <c r="H2358">
        <v>46.366289999999999</v>
      </c>
      <c r="I2358">
        <v>220.0393</v>
      </c>
      <c r="J2358">
        <v>-456.387</v>
      </c>
      <c r="K2358">
        <v>1.100695</v>
      </c>
      <c r="L2358">
        <v>213.56540000000001</v>
      </c>
      <c r="M2358">
        <v>0.98850130000000003</v>
      </c>
      <c r="N2358">
        <v>0</v>
      </c>
      <c r="O2358">
        <v>0.1501517</v>
      </c>
      <c r="P2358">
        <v>0.9929287</v>
      </c>
      <c r="Q2358">
        <v>0.1186103</v>
      </c>
      <c r="R2358">
        <v>4.9202660000000004E-3</v>
      </c>
      <c r="S2358">
        <v>2.967133</v>
      </c>
      <c r="T2358">
        <v>0.45002700000000001</v>
      </c>
      <c r="U2358">
        <v>6.4712519999999996E-2</v>
      </c>
      <c r="V2358">
        <v>0.14772060000000001</v>
      </c>
      <c r="W2358">
        <v>0.13238249999999999</v>
      </c>
      <c r="X2358">
        <v>0.98012929999999998</v>
      </c>
      <c r="Y2358">
        <v>0.12544449999999999</v>
      </c>
      <c r="Z2358">
        <v>3.2028889999999997E-2</v>
      </c>
      <c r="AA2358">
        <v>0.99158349999999995</v>
      </c>
      <c r="AB2358">
        <v>30</v>
      </c>
      <c r="AC2358">
        <v>298.15820000000002</v>
      </c>
      <c r="AD2358">
        <v>45.265594999999998</v>
      </c>
      <c r="AE2358">
        <v>6.47389999999998</v>
      </c>
      <c r="AF2358">
        <v>37.511459820090998</v>
      </c>
      <c r="AG2358">
        <v>45.265594999999998</v>
      </c>
      <c r="AH2358">
        <v>289.089170552506</v>
      </c>
      <c r="AI2358">
        <v>81.173696839280396</v>
      </c>
      <c r="AJ2358">
        <v>82.606757113282796</v>
      </c>
      <c r="AK2358">
        <v>295.00615627351698</v>
      </c>
      <c r="AL2358">
        <v>82.392710142987994</v>
      </c>
      <c r="AM2358">
        <v>81.429149998170203</v>
      </c>
      <c r="AN2358">
        <v>0.99999997334454904</v>
      </c>
    </row>
    <row r="2359" spans="1:40" x14ac:dyDescent="0.25">
      <c r="A2359" t="str">
        <f>"20190312164517873"</f>
        <v>20190312164517873</v>
      </c>
      <c r="B2359" t="str">
        <f>"1552380317863800"</f>
        <v>1552380317863800</v>
      </c>
      <c r="C2359" t="s">
        <v>40</v>
      </c>
      <c r="D2359">
        <v>5.4129740000000002</v>
      </c>
      <c r="E2359">
        <v>0.49569990000000003</v>
      </c>
      <c r="F2359" t="s">
        <v>62</v>
      </c>
      <c r="G2359">
        <v>-156.5933</v>
      </c>
      <c r="H2359">
        <v>46.160980000000002</v>
      </c>
      <c r="I2359">
        <v>218.70580000000001</v>
      </c>
      <c r="J2359">
        <v>-456.04719999999998</v>
      </c>
      <c r="K2359">
        <v>1.1007389999999999</v>
      </c>
      <c r="L2359">
        <v>213.6026</v>
      </c>
      <c r="M2359">
        <v>0.9904326</v>
      </c>
      <c r="N2359">
        <v>0</v>
      </c>
      <c r="O2359">
        <v>0.13689170000000001</v>
      </c>
      <c r="P2359">
        <v>0.99333199999999999</v>
      </c>
      <c r="Q2359">
        <v>0.1152557</v>
      </c>
      <c r="R2359">
        <v>2.853675E-3</v>
      </c>
      <c r="S2359">
        <v>2.9678650000000002</v>
      </c>
      <c r="T2359">
        <v>0.44608330000000002</v>
      </c>
      <c r="U2359">
        <v>5.0888059999999999E-2</v>
      </c>
      <c r="V2359">
        <v>0.13639679999999901</v>
      </c>
      <c r="W2359">
        <v>0.1290847</v>
      </c>
      <c r="X2359">
        <v>0.98220830000000003</v>
      </c>
      <c r="Y2359">
        <v>0.1170669</v>
      </c>
      <c r="Z2359">
        <v>2.915558E-2</v>
      </c>
      <c r="AA2359">
        <v>0.99269600000000002</v>
      </c>
      <c r="AB2359">
        <v>30</v>
      </c>
      <c r="AC2359">
        <v>299.45389999999998</v>
      </c>
      <c r="AD2359">
        <v>45.060240999999998</v>
      </c>
      <c r="AE2359">
        <v>5.10320000000001</v>
      </c>
      <c r="AF2359">
        <v>35.148222855788802</v>
      </c>
      <c r="AG2359">
        <v>45.060240999999998</v>
      </c>
      <c r="AH2359">
        <v>290.75121382192702</v>
      </c>
      <c r="AI2359">
        <v>81.253144859113206</v>
      </c>
      <c r="AJ2359">
        <v>83.107096809716793</v>
      </c>
      <c r="AK2359">
        <v>296.31417655559801</v>
      </c>
      <c r="AL2359">
        <v>82.583296497512606</v>
      </c>
      <c r="AM2359">
        <v>82.094040236348704</v>
      </c>
      <c r="AN2359">
        <v>1.0000000457066001</v>
      </c>
    </row>
    <row r="2360" spans="1:40" x14ac:dyDescent="0.25">
      <c r="A2360" t="str">
        <f>"20190312164517896"</f>
        <v>20190312164517896</v>
      </c>
      <c r="B2360" t="str">
        <f>"1552380317884296"</f>
        <v>1552380317884296</v>
      </c>
      <c r="C2360" t="s">
        <v>40</v>
      </c>
      <c r="D2360">
        <v>5.4674319999999996</v>
      </c>
      <c r="E2360">
        <v>0.49596479999999998</v>
      </c>
      <c r="F2360" t="s">
        <v>61</v>
      </c>
      <c r="G2360">
        <v>-107.39749999999999</v>
      </c>
      <c r="H2360">
        <v>51.918410000000002</v>
      </c>
      <c r="I2360">
        <v>218.1258</v>
      </c>
      <c r="J2360">
        <v>-455.75020000000001</v>
      </c>
      <c r="K2360">
        <v>1.1008389999999999</v>
      </c>
      <c r="L2360">
        <v>213.63200000000001</v>
      </c>
      <c r="M2360">
        <v>0.99190659999999997</v>
      </c>
      <c r="N2360">
        <v>0</v>
      </c>
      <c r="O2360">
        <v>0.12581500000000001</v>
      </c>
      <c r="P2360">
        <v>0.99334040000000001</v>
      </c>
      <c r="Q2360">
        <v>0.115199</v>
      </c>
      <c r="R2360">
        <v>2.087635E-3</v>
      </c>
      <c r="S2360">
        <v>2.9698180000000001</v>
      </c>
      <c r="T2360">
        <v>0.43286819999999998</v>
      </c>
      <c r="U2360">
        <v>3.8528439999999997E-2</v>
      </c>
      <c r="V2360">
        <v>0.12600549999999999</v>
      </c>
      <c r="W2360">
        <v>0.12909129999999999</v>
      </c>
      <c r="X2360">
        <v>0.98359450000000004</v>
      </c>
      <c r="Y2360">
        <v>0.1104636</v>
      </c>
      <c r="Z2360">
        <v>2.6211229999999999E-2</v>
      </c>
      <c r="AA2360">
        <v>0.99353449999999999</v>
      </c>
      <c r="AB2360">
        <v>30</v>
      </c>
      <c r="AC2360">
        <v>348.35270000000003</v>
      </c>
      <c r="AD2360">
        <v>50.817571000000001</v>
      </c>
      <c r="AE2360">
        <v>4.4937999999999896</v>
      </c>
      <c r="AF2360">
        <v>38.555944478375302</v>
      </c>
      <c r="AG2360">
        <v>50.817571000000001</v>
      </c>
      <c r="AH2360">
        <v>338.937563693291</v>
      </c>
      <c r="AI2360">
        <v>81.526892547666193</v>
      </c>
      <c r="AJ2360">
        <v>83.510198681296501</v>
      </c>
      <c r="AK2360">
        <v>344.88789259599002</v>
      </c>
      <c r="AL2360">
        <v>82.582915150205807</v>
      </c>
      <c r="AM2360">
        <v>82.699762815047293</v>
      </c>
      <c r="AN2360">
        <v>1.0000000450980899</v>
      </c>
    </row>
    <row r="2361" spans="1:40" x14ac:dyDescent="0.25">
      <c r="A2361" t="str">
        <f>"20190312164517919"</f>
        <v>20190312164517919</v>
      </c>
      <c r="B2361" t="str">
        <f>"1552380317913576"</f>
        <v>1552380317913576</v>
      </c>
      <c r="C2361" t="s">
        <v>40</v>
      </c>
      <c r="D2361">
        <v>5.7286029999999997</v>
      </c>
      <c r="E2361">
        <v>0.50557149999999995</v>
      </c>
      <c r="F2361" t="s">
        <v>61</v>
      </c>
      <c r="G2361">
        <v>-107.39749999999999</v>
      </c>
      <c r="H2361">
        <v>51.709629999999997</v>
      </c>
      <c r="I2361">
        <v>217.7</v>
      </c>
      <c r="J2361">
        <v>-455.43669999999997</v>
      </c>
      <c r="K2361">
        <v>1.100989</v>
      </c>
      <c r="L2361">
        <v>213.65989999999999</v>
      </c>
      <c r="M2361">
        <v>0.99327089999999996</v>
      </c>
      <c r="N2361">
        <v>0</v>
      </c>
      <c r="O2361">
        <v>0.114596</v>
      </c>
      <c r="P2361">
        <v>0.99273469999999997</v>
      </c>
      <c r="Q2361">
        <v>0.12029479999999999</v>
      </c>
      <c r="R2361">
        <v>-2.6959419999999998E-3</v>
      </c>
      <c r="S2361">
        <v>2.9700009999999999</v>
      </c>
      <c r="T2361">
        <v>0.43148310000000001</v>
      </c>
      <c r="U2361">
        <v>3.4683230000000002E-2</v>
      </c>
      <c r="V2361">
        <v>0.1195119</v>
      </c>
      <c r="W2361">
        <v>0.13413439999999999</v>
      </c>
      <c r="X2361">
        <v>0.98373010000000005</v>
      </c>
      <c r="Y2361">
        <v>0.1007483</v>
      </c>
      <c r="Z2361">
        <v>2.3813049999999999E-2</v>
      </c>
      <c r="AA2361">
        <v>0.99462689999999998</v>
      </c>
      <c r="AB2361">
        <v>30</v>
      </c>
      <c r="AC2361">
        <v>348.03919999999999</v>
      </c>
      <c r="AD2361">
        <v>50.608640999999999</v>
      </c>
      <c r="AE2361">
        <v>4.04009999999999</v>
      </c>
      <c r="AF2361">
        <v>35.133254034214701</v>
      </c>
      <c r="AG2361">
        <v>50.608640999999999</v>
      </c>
      <c r="AH2361">
        <v>339.04096506124603</v>
      </c>
      <c r="AI2361">
        <v>81.554710241170795</v>
      </c>
      <c r="AJ2361">
        <v>84.083818322436002</v>
      </c>
      <c r="AK2361">
        <v>344.593029634321</v>
      </c>
      <c r="AL2361">
        <v>82.291430734890895</v>
      </c>
      <c r="AM2361">
        <v>83.073167018647297</v>
      </c>
      <c r="AN2361">
        <v>1.00000002057548</v>
      </c>
    </row>
    <row r="2362" spans="1:40" x14ac:dyDescent="0.25">
      <c r="A2362" t="str">
        <f>"20190312164517937"</f>
        <v>20190312164517937</v>
      </c>
      <c r="B2362" t="str">
        <f>"1552380317934073"</f>
        <v>1552380317934073</v>
      </c>
      <c r="C2362" t="s">
        <v>40</v>
      </c>
      <c r="D2362">
        <v>5.8144619999999998</v>
      </c>
      <c r="E2362">
        <v>0.50723859999999998</v>
      </c>
      <c r="F2362" t="s">
        <v>60</v>
      </c>
      <c r="G2362">
        <v>-168.42529999999999</v>
      </c>
      <c r="H2362">
        <v>46.196210000000001</v>
      </c>
      <c r="I2362">
        <v>208.05799999999999</v>
      </c>
      <c r="J2362">
        <v>-455.1841</v>
      </c>
      <c r="K2362">
        <v>1.101153</v>
      </c>
      <c r="L2362">
        <v>213.68010000000001</v>
      </c>
      <c r="M2362">
        <v>0.99423740000000005</v>
      </c>
      <c r="N2362">
        <v>0</v>
      </c>
      <c r="O2362">
        <v>0.1059219</v>
      </c>
      <c r="P2362">
        <v>0.99201689999999998</v>
      </c>
      <c r="Q2362">
        <v>0.12605160000000001</v>
      </c>
      <c r="R2362">
        <v>-3.6700999999999999E-3</v>
      </c>
      <c r="S2362">
        <v>2.9653019999999999</v>
      </c>
      <c r="T2362">
        <v>0.4659084</v>
      </c>
      <c r="U2362">
        <v>-5.7876589999999999E-2</v>
      </c>
      <c r="V2362">
        <v>0.11180610000000001</v>
      </c>
      <c r="W2362">
        <v>0.13991300000000001</v>
      </c>
      <c r="X2362">
        <v>0.98383120000000002</v>
      </c>
      <c r="Y2362">
        <v>0.12252109999999999</v>
      </c>
      <c r="Z2362">
        <v>2.6088159999999999E-2</v>
      </c>
      <c r="AA2362">
        <v>0.99212290000000003</v>
      </c>
      <c r="AB2362">
        <v>30</v>
      </c>
      <c r="AC2362">
        <v>286.75880000000001</v>
      </c>
      <c r="AD2362">
        <v>45.095056999999997</v>
      </c>
      <c r="AE2362">
        <v>-5.6221000000000103</v>
      </c>
      <c r="AF2362">
        <v>35.100927943791397</v>
      </c>
      <c r="AG2362">
        <v>45.095056999999997</v>
      </c>
      <c r="AH2362">
        <v>277.68508144313398</v>
      </c>
      <c r="AI2362">
        <v>80.847481301578199</v>
      </c>
      <c r="AJ2362">
        <v>82.795705812265496</v>
      </c>
      <c r="AK2362">
        <v>283.504221775318</v>
      </c>
      <c r="AL2362">
        <v>81.957188365217704</v>
      </c>
      <c r="AM2362">
        <v>83.516518093194307</v>
      </c>
      <c r="AN2362">
        <v>1.00000004082982</v>
      </c>
    </row>
    <row r="2363" spans="1:40" x14ac:dyDescent="0.25">
      <c r="A2363" t="str">
        <f>"20190312164517962"</f>
        <v>20190312164517962</v>
      </c>
      <c r="B2363" t="str">
        <f>"1552380317953592"</f>
        <v>1552380317953592</v>
      </c>
      <c r="C2363" t="s">
        <v>40</v>
      </c>
      <c r="D2363">
        <v>5.7646470000000001</v>
      </c>
      <c r="E2363">
        <v>0.507745</v>
      </c>
      <c r="F2363" t="s">
        <v>60</v>
      </c>
      <c r="G2363">
        <v>-168.4263</v>
      </c>
      <c r="H2363">
        <v>47.796219999999998</v>
      </c>
      <c r="I2363">
        <v>206.43719999999999</v>
      </c>
      <c r="J2363">
        <v>-454.86279999999999</v>
      </c>
      <c r="K2363">
        <v>1.101389</v>
      </c>
      <c r="L2363">
        <v>213.70310000000001</v>
      </c>
      <c r="M2363">
        <v>0.99530920000000001</v>
      </c>
      <c r="N2363">
        <v>0</v>
      </c>
      <c r="O2363">
        <v>9.5376390000000005E-2</v>
      </c>
      <c r="P2363">
        <v>0.99174669999999998</v>
      </c>
      <c r="Q2363">
        <v>0.1281379</v>
      </c>
      <c r="R2363">
        <v>-4.3496630000000001E-3</v>
      </c>
      <c r="S2363">
        <v>2.9625849999999998</v>
      </c>
      <c r="T2363">
        <v>0.48242180000000001</v>
      </c>
      <c r="U2363">
        <v>-7.4829099999999996E-2</v>
      </c>
      <c r="V2363">
        <v>0.1018917</v>
      </c>
      <c r="W2363">
        <v>0.142043</v>
      </c>
      <c r="X2363">
        <v>0.98460239999999999</v>
      </c>
      <c r="Y2363">
        <v>0.1176898</v>
      </c>
      <c r="Z2363">
        <v>2.4933790000000001E-2</v>
      </c>
      <c r="AA2363">
        <v>0.99273739999999999</v>
      </c>
      <c r="AB2363">
        <v>30</v>
      </c>
      <c r="AC2363">
        <v>286.43650000000002</v>
      </c>
      <c r="AD2363">
        <v>46.694831000000001</v>
      </c>
      <c r="AE2363">
        <v>-7.26590000000001</v>
      </c>
      <c r="AF2363">
        <v>33.661641219754102</v>
      </c>
      <c r="AG2363">
        <v>46.694831000000001</v>
      </c>
      <c r="AH2363">
        <v>277.078529719355</v>
      </c>
      <c r="AI2363">
        <v>80.502622189495</v>
      </c>
      <c r="AJ2363">
        <v>83.0732109035077</v>
      </c>
      <c r="AK2363">
        <v>282.99474370236197</v>
      </c>
      <c r="AL2363">
        <v>81.833916932561493</v>
      </c>
      <c r="AM2363">
        <v>84.091770089412194</v>
      </c>
      <c r="AN2363">
        <v>1.00000000923182</v>
      </c>
    </row>
    <row r="2364" spans="1:40" x14ac:dyDescent="0.25">
      <c r="A2364" t="str">
        <f>"20190312164517984"</f>
        <v>20190312164517984</v>
      </c>
      <c r="B2364" t="str">
        <f>"1552380317974089"</f>
        <v>1552380317974089</v>
      </c>
      <c r="C2364" t="s">
        <v>40</v>
      </c>
      <c r="D2364">
        <v>5.6229529999999999</v>
      </c>
      <c r="E2364">
        <v>0.50781169999999998</v>
      </c>
      <c r="F2364" t="s">
        <v>60</v>
      </c>
      <c r="G2364">
        <v>-168.42660000000001</v>
      </c>
      <c r="H2364">
        <v>48.151389999999999</v>
      </c>
      <c r="I2364">
        <v>205.96889999999999</v>
      </c>
      <c r="J2364">
        <v>-454.56209999999999</v>
      </c>
      <c r="K2364">
        <v>1.10164</v>
      </c>
      <c r="L2364">
        <v>213.72200000000001</v>
      </c>
      <c r="M2364">
        <v>0.99616740000000004</v>
      </c>
      <c r="N2364">
        <v>0</v>
      </c>
      <c r="O2364">
        <v>8.5999720000000002E-2</v>
      </c>
      <c r="P2364">
        <v>0.99161540000000004</v>
      </c>
      <c r="Q2364">
        <v>0.1290772</v>
      </c>
      <c r="R2364">
        <v>-6.1801240000000004E-3</v>
      </c>
      <c r="S2364">
        <v>2.9617309999999999</v>
      </c>
      <c r="T2364">
        <v>0.48649429999999999</v>
      </c>
      <c r="U2364">
        <v>-7.9971310000000004E-2</v>
      </c>
      <c r="V2364">
        <v>9.4280749999999997E-2</v>
      </c>
      <c r="W2364">
        <v>0.14299310000000001</v>
      </c>
      <c r="X2364">
        <v>0.98522290000000001</v>
      </c>
      <c r="Y2364">
        <v>0.1102436</v>
      </c>
      <c r="Z2364">
        <v>2.3014960000000001E-2</v>
      </c>
      <c r="AA2364">
        <v>0.99363809999999997</v>
      </c>
      <c r="AB2364">
        <v>30</v>
      </c>
      <c r="AC2364">
        <v>286.13549999999998</v>
      </c>
      <c r="AD2364">
        <v>47.049750000000003</v>
      </c>
      <c r="AE2364">
        <v>-7.7531000000000097</v>
      </c>
      <c r="AF2364">
        <v>31.484429423097399</v>
      </c>
      <c r="AG2364">
        <v>47.049750000000003</v>
      </c>
      <c r="AH2364">
        <v>276.92631266443198</v>
      </c>
      <c r="AI2364">
        <v>80.418103028468806</v>
      </c>
      <c r="AJ2364">
        <v>83.5137540960812</v>
      </c>
      <c r="AK2364">
        <v>282.65372970664902</v>
      </c>
      <c r="AL2364">
        <v>81.778918928006107</v>
      </c>
      <c r="AM2364">
        <v>84.533734645476997</v>
      </c>
      <c r="AN2364">
        <v>1.0000000245762899</v>
      </c>
    </row>
    <row r="2365" spans="1:40" x14ac:dyDescent="0.25">
      <c r="A2365" t="str">
        <f>"20190312164518007"</f>
        <v>20190312164518007</v>
      </c>
      <c r="B2365" t="str">
        <f>"1552380318004345"</f>
        <v>1552380318004345</v>
      </c>
      <c r="C2365" t="s">
        <v>40</v>
      </c>
      <c r="D2365">
        <v>5.4082480000000004</v>
      </c>
      <c r="E2365">
        <v>0.50788069999999996</v>
      </c>
      <c r="F2365" t="s">
        <v>60</v>
      </c>
      <c r="G2365">
        <v>-168.42679999999999</v>
      </c>
      <c r="H2365">
        <v>48.24127</v>
      </c>
      <c r="I2365">
        <v>205.46250000000001</v>
      </c>
      <c r="J2365">
        <v>-454.26839999999999</v>
      </c>
      <c r="K2365">
        <v>1.1019330000000001</v>
      </c>
      <c r="L2365">
        <v>213.7381</v>
      </c>
      <c r="M2365">
        <v>0.99688209999999999</v>
      </c>
      <c r="N2365">
        <v>0</v>
      </c>
      <c r="O2365">
        <v>7.7320799999999995E-2</v>
      </c>
      <c r="P2365">
        <v>0.9912974</v>
      </c>
      <c r="Q2365">
        <v>0.1315045</v>
      </c>
      <c r="R2365">
        <v>-6.0116090000000002E-3</v>
      </c>
      <c r="S2365">
        <v>2.9613040000000002</v>
      </c>
      <c r="T2365">
        <v>0.48786289999999999</v>
      </c>
      <c r="U2365">
        <v>-8.5479739999999999E-2</v>
      </c>
      <c r="V2365">
        <v>8.5381739999999998E-2</v>
      </c>
      <c r="W2365">
        <v>0.14546419999999999</v>
      </c>
      <c r="X2365">
        <v>0.9856724</v>
      </c>
      <c r="Y2365">
        <v>0.10362830000000001</v>
      </c>
      <c r="Z2365">
        <v>2.112325E-2</v>
      </c>
      <c r="AA2365">
        <v>0.99439169999999999</v>
      </c>
      <c r="AB2365">
        <v>30</v>
      </c>
      <c r="AC2365">
        <v>285.84160000000003</v>
      </c>
      <c r="AD2365">
        <v>47.139336999999998</v>
      </c>
      <c r="AE2365">
        <v>-8.2755999999999901</v>
      </c>
      <c r="AF2365">
        <v>29.5520126124506</v>
      </c>
      <c r="AG2365">
        <v>47.139336999999998</v>
      </c>
      <c r="AH2365">
        <v>276.823325475383</v>
      </c>
      <c r="AI2365">
        <v>80.3895690131111</v>
      </c>
      <c r="AJ2365">
        <v>83.906521215885803</v>
      </c>
      <c r="AK2365">
        <v>282.35897731344699</v>
      </c>
      <c r="AL2365">
        <v>81.635838910684697</v>
      </c>
      <c r="AM2365">
        <v>85.049235044041396</v>
      </c>
      <c r="AN2365">
        <v>0.99999997756441295</v>
      </c>
    </row>
    <row r="2366" spans="1:40" x14ac:dyDescent="0.25">
      <c r="A2366" t="str">
        <f>"20190312164518039"</f>
        <v>20190312164518039</v>
      </c>
      <c r="B2366" t="str">
        <f>"1552380318034146"</f>
        <v>1552380318034146</v>
      </c>
      <c r="C2366" t="s">
        <v>40</v>
      </c>
      <c r="D2366">
        <v>5.7717919999999996</v>
      </c>
      <c r="E2366">
        <v>0.50811079999999997</v>
      </c>
      <c r="F2366" t="s">
        <v>60</v>
      </c>
      <c r="G2366">
        <v>-168.4271</v>
      </c>
      <c r="H2366">
        <v>49.100960000000001</v>
      </c>
      <c r="I2366">
        <v>205.38890000000001</v>
      </c>
      <c r="J2366">
        <v>-453.84750000000003</v>
      </c>
      <c r="K2366">
        <v>1.10246</v>
      </c>
      <c r="L2366">
        <v>213.75749999999999</v>
      </c>
      <c r="M2366">
        <v>0.99770820000000005</v>
      </c>
      <c r="N2366">
        <v>0</v>
      </c>
      <c r="O2366">
        <v>6.5878729999999996E-2</v>
      </c>
      <c r="P2366">
        <v>0.9913208</v>
      </c>
      <c r="Q2366">
        <v>0.13124920000000001</v>
      </c>
      <c r="R2366">
        <v>-7.5314500000000003E-3</v>
      </c>
      <c r="S2366">
        <v>2.9599000000000002</v>
      </c>
      <c r="T2366">
        <v>0.49703239999999999</v>
      </c>
      <c r="U2366">
        <v>-8.64563E-2</v>
      </c>
      <c r="V2366">
        <v>7.5313370000000004E-2</v>
      </c>
      <c r="W2366">
        <v>0.14523720000000001</v>
      </c>
      <c r="X2366">
        <v>0.98652629999999997</v>
      </c>
      <c r="Y2366">
        <v>9.2772250000000001E-2</v>
      </c>
      <c r="Z2366">
        <v>1.8714700000000001E-2</v>
      </c>
      <c r="AA2366">
        <v>0.99551149999999999</v>
      </c>
      <c r="AB2366">
        <v>30</v>
      </c>
      <c r="AC2366">
        <v>285.42039999999997</v>
      </c>
      <c r="AD2366">
        <v>47.9985</v>
      </c>
      <c r="AE2366">
        <v>-8.3685999999999794</v>
      </c>
      <c r="AF2366">
        <v>26.409559682393699</v>
      </c>
      <c r="AG2366">
        <v>47.9985</v>
      </c>
      <c r="AH2366">
        <v>276.43778495677401</v>
      </c>
      <c r="AI2366">
        <v>80.1935898749513</v>
      </c>
      <c r="AJ2366">
        <v>84.542794375081698</v>
      </c>
      <c r="AK2366">
        <v>281.81406955060999</v>
      </c>
      <c r="AL2366">
        <v>81.6489852193194</v>
      </c>
      <c r="AM2366">
        <v>85.634394725385206</v>
      </c>
      <c r="AN2366">
        <v>1.00000004427814</v>
      </c>
    </row>
    <row r="2367" spans="1:40" x14ac:dyDescent="0.25">
      <c r="A2367" t="str">
        <f>"20190312164518062"</f>
        <v>20190312164518062</v>
      </c>
      <c r="B2367" t="str">
        <f>"1552380318053667"</f>
        <v>1552380318053667</v>
      </c>
      <c r="C2367" t="s">
        <v>40</v>
      </c>
      <c r="D2367">
        <v>5.7060649999999997</v>
      </c>
      <c r="E2367">
        <v>0.50814759999999903</v>
      </c>
      <c r="F2367" t="s">
        <v>60</v>
      </c>
      <c r="G2367">
        <v>-168.42740000000001</v>
      </c>
      <c r="H2367">
        <v>49.278269999999999</v>
      </c>
      <c r="I2367">
        <v>204.82169999999999</v>
      </c>
      <c r="J2367">
        <v>-453.52870000000001</v>
      </c>
      <c r="K2367">
        <v>1.1029059999999999</v>
      </c>
      <c r="L2367">
        <v>213.7698</v>
      </c>
      <c r="M2367">
        <v>0.99820390000000003</v>
      </c>
      <c r="N2367">
        <v>0</v>
      </c>
      <c r="O2367">
        <v>5.7938099999999999E-2</v>
      </c>
      <c r="P2367">
        <v>0.99182119999999996</v>
      </c>
      <c r="Q2367">
        <v>0.1275251</v>
      </c>
      <c r="R2367">
        <v>-5.3005539999999999E-3</v>
      </c>
      <c r="S2367">
        <v>2.959381</v>
      </c>
      <c r="T2367">
        <v>0.4995116</v>
      </c>
      <c r="U2367">
        <v>-9.2651369999999997E-2</v>
      </c>
      <c r="V2367">
        <v>6.4995330000000004E-2</v>
      </c>
      <c r="W2367">
        <v>0.14158699999999999</v>
      </c>
      <c r="X2367">
        <v>0.98778980000000005</v>
      </c>
      <c r="Y2367">
        <v>8.7106260000000005E-2</v>
      </c>
      <c r="Z2367">
        <v>1.7005449999999998E-2</v>
      </c>
      <c r="AA2367">
        <v>0.99605390000000005</v>
      </c>
      <c r="AB2367">
        <v>29</v>
      </c>
      <c r="AC2367">
        <v>285.10129999999998</v>
      </c>
      <c r="AD2367">
        <v>48.175364000000002</v>
      </c>
      <c r="AE2367">
        <v>-8.9481000000000002</v>
      </c>
      <c r="AF2367">
        <v>24.747296628688702</v>
      </c>
      <c r="AG2367">
        <v>48.175364000000002</v>
      </c>
      <c r="AH2367">
        <v>276.22449881933301</v>
      </c>
      <c r="AI2367">
        <v>80.145441043192307</v>
      </c>
      <c r="AJ2367">
        <v>84.880468072461497</v>
      </c>
      <c r="AK2367">
        <v>281.48404596877702</v>
      </c>
      <c r="AL2367">
        <v>81.860310326119006</v>
      </c>
      <c r="AM2367">
        <v>86.235436169148201</v>
      </c>
      <c r="AN2367">
        <v>0.99999998023742398</v>
      </c>
    </row>
    <row r="2368" spans="1:40" x14ac:dyDescent="0.25">
      <c r="A2368" t="str">
        <f>"20190312164518084"</f>
        <v>20190312164518084</v>
      </c>
      <c r="B2368" t="str">
        <f>"1552380318074162"</f>
        <v>1552380318074162</v>
      </c>
      <c r="C2368" t="s">
        <v>40</v>
      </c>
      <c r="D2368">
        <v>5.7827349999999997</v>
      </c>
      <c r="E2368">
        <v>0.50821499999999997</v>
      </c>
      <c r="F2368" t="s">
        <v>60</v>
      </c>
      <c r="G2368">
        <v>-168.42670000000001</v>
      </c>
      <c r="H2368">
        <v>48.082009999999997</v>
      </c>
      <c r="I2368">
        <v>205.52019999999999</v>
      </c>
      <c r="J2368">
        <v>-453.23500000000001</v>
      </c>
      <c r="K2368">
        <v>1.1033170000000001</v>
      </c>
      <c r="L2368">
        <v>213.77959999999999</v>
      </c>
      <c r="M2368">
        <v>0.99857600000000002</v>
      </c>
      <c r="N2368">
        <v>0</v>
      </c>
      <c r="O2368">
        <v>5.1178880000000003E-2</v>
      </c>
      <c r="P2368">
        <v>0.99203529999999995</v>
      </c>
      <c r="Q2368">
        <v>0.12591949999999999</v>
      </c>
      <c r="R2368">
        <v>-3.2815959999999999E-3</v>
      </c>
      <c r="S2368">
        <v>2.9615170000000002</v>
      </c>
      <c r="T2368">
        <v>0.48799920000000002</v>
      </c>
      <c r="U2368">
        <v>-8.5693359999999996E-2</v>
      </c>
      <c r="V2368">
        <v>5.6094489999999997E-2</v>
      </c>
      <c r="W2368">
        <v>0.14002719999999999</v>
      </c>
      <c r="X2368">
        <v>0.98855740000000003</v>
      </c>
      <c r="Y2368">
        <v>7.8303949999999997E-2</v>
      </c>
      <c r="Z2368">
        <v>1.478173E-2</v>
      </c>
      <c r="AA2368">
        <v>0.99681989999999998</v>
      </c>
      <c r="AB2368">
        <v>29</v>
      </c>
      <c r="AC2368">
        <v>284.80829999999997</v>
      </c>
      <c r="AD2368">
        <v>46.978693</v>
      </c>
      <c r="AE2368">
        <v>-8.2593999999999994</v>
      </c>
      <c r="AF2368">
        <v>22.222280193670802</v>
      </c>
      <c r="AG2368">
        <v>46.978693</v>
      </c>
      <c r="AH2368">
        <v>276.49564846005097</v>
      </c>
      <c r="AI2368">
        <v>80.387518990268902</v>
      </c>
      <c r="AJ2368">
        <v>85.404947836117699</v>
      </c>
      <c r="AK2368">
        <v>281.337290365743</v>
      </c>
      <c r="AL2368">
        <v>81.950579566997504</v>
      </c>
      <c r="AM2368">
        <v>86.752303241590994</v>
      </c>
      <c r="AN2368">
        <v>0.99999997082147896</v>
      </c>
    </row>
    <row r="2369" spans="1:40" x14ac:dyDescent="0.25">
      <c r="A2369" t="str">
        <f>"20190312164518110"</f>
        <v>20190312164518110</v>
      </c>
      <c r="B2369" t="str">
        <f>"1552380318103443"</f>
        <v>1552380318103443</v>
      </c>
      <c r="C2369" t="s">
        <v>40</v>
      </c>
      <c r="D2369">
        <v>5.7768499999999996</v>
      </c>
      <c r="E2369">
        <v>0.50859560000000004</v>
      </c>
      <c r="F2369" t="s">
        <v>60</v>
      </c>
      <c r="G2369">
        <v>-168.4263</v>
      </c>
      <c r="H2369">
        <v>47.427370000000003</v>
      </c>
      <c r="I2369">
        <v>206.14160000000001</v>
      </c>
      <c r="J2369">
        <v>-452.90199999999999</v>
      </c>
      <c r="K2369">
        <v>1.10381</v>
      </c>
      <c r="L2369">
        <v>213.78890000000001</v>
      </c>
      <c r="M2369">
        <v>0.99891160000000001</v>
      </c>
      <c r="N2369">
        <v>0</v>
      </c>
      <c r="O2369">
        <v>4.4205109999999999E-2</v>
      </c>
      <c r="P2369">
        <v>0.99155720000000003</v>
      </c>
      <c r="Q2369">
        <v>0.1296089</v>
      </c>
      <c r="R2369">
        <v>-3.9853309999999999E-3</v>
      </c>
      <c r="S2369">
        <v>2.9626769999999998</v>
      </c>
      <c r="T2369">
        <v>0.481879</v>
      </c>
      <c r="U2369">
        <v>-7.9452510000000004E-2</v>
      </c>
      <c r="V2369">
        <v>4.9718230000000002E-2</v>
      </c>
      <c r="W2369">
        <v>0.14369570000000001</v>
      </c>
      <c r="X2369">
        <v>0.98837220000000003</v>
      </c>
      <c r="Y2369">
        <v>6.9482940000000007E-2</v>
      </c>
      <c r="Z2369">
        <v>1.2754669999999999E-2</v>
      </c>
      <c r="AA2369">
        <v>0.99750159999999999</v>
      </c>
      <c r="AB2369">
        <v>29</v>
      </c>
      <c r="AC2369">
        <v>284.47570000000002</v>
      </c>
      <c r="AD2369">
        <v>46.323560000000001</v>
      </c>
      <c r="AE2369">
        <v>-7.6473000000000004</v>
      </c>
      <c r="AF2369">
        <v>19.694642982384899</v>
      </c>
      <c r="AG2369">
        <v>46.323560000000001</v>
      </c>
      <c r="AH2369">
        <v>276.53214535016298</v>
      </c>
      <c r="AI2369">
        <v>80.513925472078398</v>
      </c>
      <c r="AJ2369">
        <v>85.926268134291007</v>
      </c>
      <c r="AK2369">
        <v>281.07610817221899</v>
      </c>
      <c r="AL2369">
        <v>81.738242484931803</v>
      </c>
      <c r="AM2369">
        <v>87.120269426560199</v>
      </c>
      <c r="AN2369">
        <v>0.99999998116283095</v>
      </c>
    </row>
    <row r="2370" spans="1:40" x14ac:dyDescent="0.25">
      <c r="A2370" t="str">
        <f>"20190312164518129"</f>
        <v>20190312164518129</v>
      </c>
      <c r="B2370" t="str">
        <f>"1552380318123938"</f>
        <v>1552380318123938</v>
      </c>
      <c r="C2370" t="s">
        <v>40</v>
      </c>
      <c r="D2370">
        <v>5.8493950000000003</v>
      </c>
      <c r="E2370">
        <v>0.50878290000000004</v>
      </c>
      <c r="F2370" t="s">
        <v>60</v>
      </c>
      <c r="G2370">
        <v>-168.42679999999999</v>
      </c>
      <c r="H2370">
        <v>48.30198</v>
      </c>
      <c r="I2370">
        <v>205.60290000000001</v>
      </c>
      <c r="J2370">
        <v>-452.64089999999999</v>
      </c>
      <c r="K2370">
        <v>1.1042099999999999</v>
      </c>
      <c r="L2370">
        <v>213.79509999999999</v>
      </c>
      <c r="M2370">
        <v>0.99911930000000004</v>
      </c>
      <c r="N2370">
        <v>0</v>
      </c>
      <c r="O2370">
        <v>3.92804E-2</v>
      </c>
      <c r="P2370">
        <v>0.99086620000000003</v>
      </c>
      <c r="Q2370">
        <v>0.13478670000000001</v>
      </c>
      <c r="R2370">
        <v>-4.0943220000000001E-3</v>
      </c>
      <c r="S2370">
        <v>2.9609990000000002</v>
      </c>
      <c r="T2370">
        <v>0.49126880000000001</v>
      </c>
      <c r="U2370">
        <v>-8.5205080000000002E-2</v>
      </c>
      <c r="V2370">
        <v>4.4831570000000001E-2</v>
      </c>
      <c r="W2370">
        <v>0.1488477</v>
      </c>
      <c r="X2370">
        <v>0.98784329999999998</v>
      </c>
      <c r="Y2370">
        <v>6.6564139999999994E-2</v>
      </c>
      <c r="Z2370">
        <v>1.195527E-2</v>
      </c>
      <c r="AA2370">
        <v>0.99771049999999994</v>
      </c>
      <c r="AB2370">
        <v>29</v>
      </c>
      <c r="AC2370">
        <v>284.21409999999997</v>
      </c>
      <c r="AD2370">
        <v>47.197769999999998</v>
      </c>
      <c r="AE2370">
        <v>-8.1921999999999802</v>
      </c>
      <c r="AF2370">
        <v>18.832224159950002</v>
      </c>
      <c r="AG2370">
        <v>47.197769999999998</v>
      </c>
      <c r="AH2370">
        <v>276.06603997859702</v>
      </c>
      <c r="AI2370">
        <v>80.320266710068793</v>
      </c>
      <c r="AJ2370">
        <v>86.097535536063106</v>
      </c>
      <c r="AK2370">
        <v>280.70400885852598</v>
      </c>
      <c r="AL2370">
        <v>81.439844538368305</v>
      </c>
      <c r="AM2370">
        <v>87.401512548197303</v>
      </c>
      <c r="AN2370">
        <v>0.99999994640942003</v>
      </c>
    </row>
    <row r="2371" spans="1:40" x14ac:dyDescent="0.25">
      <c r="A2371" t="str">
        <f>"20190312164518150"</f>
        <v>20190312164518150</v>
      </c>
      <c r="B2371" t="str">
        <f>"1552380318144022"</f>
        <v>1552380318144022</v>
      </c>
      <c r="C2371" t="s">
        <v>40</v>
      </c>
      <c r="D2371">
        <v>5.7772620000000003</v>
      </c>
      <c r="E2371">
        <v>0.50894059999999997</v>
      </c>
      <c r="F2371" t="s">
        <v>60</v>
      </c>
      <c r="G2371">
        <v>-168.4273</v>
      </c>
      <c r="H2371">
        <v>49.66977</v>
      </c>
      <c r="I2371">
        <v>205.35339999999999</v>
      </c>
      <c r="J2371">
        <v>-452.3526</v>
      </c>
      <c r="K2371">
        <v>1.104603</v>
      </c>
      <c r="L2371">
        <v>213.80090000000001</v>
      </c>
      <c r="M2371">
        <v>0.99930589999999997</v>
      </c>
      <c r="N2371">
        <v>0</v>
      </c>
      <c r="O2371">
        <v>3.4260819999999997E-2</v>
      </c>
      <c r="P2371">
        <v>0.99028459999999996</v>
      </c>
      <c r="Q2371">
        <v>0.13899549999999999</v>
      </c>
      <c r="R2371">
        <v>-4.0778460000000004E-3</v>
      </c>
      <c r="S2371">
        <v>2.9585569999999999</v>
      </c>
      <c r="T2371">
        <v>0.50554969999999999</v>
      </c>
      <c r="U2371">
        <v>-8.7875369999999994E-2</v>
      </c>
      <c r="V2371">
        <v>3.9719440000000002E-2</v>
      </c>
      <c r="W2371">
        <v>0.1530241</v>
      </c>
      <c r="X2371">
        <v>0.98742390000000002</v>
      </c>
      <c r="Y2371">
        <v>6.2519149999999996E-2</v>
      </c>
      <c r="Z2371">
        <v>1.111348E-2</v>
      </c>
      <c r="AA2371">
        <v>0.99798189999999998</v>
      </c>
      <c r="AB2371">
        <v>29</v>
      </c>
      <c r="AC2371">
        <v>283.92529999999999</v>
      </c>
      <c r="AD2371">
        <v>48.565166999999903</v>
      </c>
      <c r="AE2371">
        <v>-8.4475000000000193</v>
      </c>
      <c r="AF2371">
        <v>17.655004184711199</v>
      </c>
      <c r="AG2371">
        <v>48.565166999999903</v>
      </c>
      <c r="AH2371">
        <v>275.41812966180498</v>
      </c>
      <c r="AI2371">
        <v>80.019764354504005</v>
      </c>
      <c r="AJ2371">
        <v>86.332212799491202</v>
      </c>
      <c r="AK2371">
        <v>280.223876150671</v>
      </c>
      <c r="AL2371">
        <v>81.197781384323207</v>
      </c>
      <c r="AM2371">
        <v>87.696500947662301</v>
      </c>
      <c r="AN2371">
        <v>0.99999998369296605</v>
      </c>
    </row>
    <row r="2372" spans="1:40" x14ac:dyDescent="0.25">
      <c r="A2372" t="str">
        <f>"20190312164518173"</f>
        <v>20190312164518173</v>
      </c>
      <c r="B2372" t="str">
        <f>"1552380318163540"</f>
        <v>1552380318163540</v>
      </c>
      <c r="C2372" t="s">
        <v>40</v>
      </c>
      <c r="D2372">
        <v>5.7790299999999997</v>
      </c>
      <c r="E2372">
        <v>0.50920189999999999</v>
      </c>
      <c r="F2372" t="s">
        <v>60</v>
      </c>
      <c r="G2372">
        <v>-168.42779999999999</v>
      </c>
      <c r="H2372">
        <v>50.903010000000002</v>
      </c>
      <c r="I2372">
        <v>205.23820000000001</v>
      </c>
      <c r="J2372">
        <v>-452.05939999999998</v>
      </c>
      <c r="K2372">
        <v>1.104968</v>
      </c>
      <c r="L2372">
        <v>213.8056</v>
      </c>
      <c r="M2372">
        <v>0.99945779999999995</v>
      </c>
      <c r="N2372">
        <v>0</v>
      </c>
      <c r="O2372">
        <v>2.9556289999999999E-2</v>
      </c>
      <c r="P2372">
        <v>0.99017189999999999</v>
      </c>
      <c r="Q2372">
        <v>0.13984160000000001</v>
      </c>
      <c r="R2372">
        <v>-2.0260209999999998E-3</v>
      </c>
      <c r="S2372">
        <v>2.956299</v>
      </c>
      <c r="T2372">
        <v>0.51851429999999998</v>
      </c>
      <c r="U2372">
        <v>-8.9157100000000003E-2</v>
      </c>
      <c r="V2372">
        <v>3.287967E-2</v>
      </c>
      <c r="W2372">
        <v>0.15386050000000001</v>
      </c>
      <c r="X2372">
        <v>0.98754540000000002</v>
      </c>
      <c r="Y2372">
        <v>5.8336730000000003E-2</v>
      </c>
      <c r="Z2372">
        <v>1.0220150000000001E-2</v>
      </c>
      <c r="AA2372">
        <v>0.99824460000000004</v>
      </c>
      <c r="AB2372">
        <v>29</v>
      </c>
      <c r="AC2372">
        <v>283.63159999999999</v>
      </c>
      <c r="AD2372">
        <v>49.798042000000002</v>
      </c>
      <c r="AE2372">
        <v>-8.5673999999999904</v>
      </c>
      <c r="AF2372">
        <v>16.4412819076591</v>
      </c>
      <c r="AG2372">
        <v>49.798042000000002</v>
      </c>
      <c r="AH2372">
        <v>274.79144988079702</v>
      </c>
      <c r="AI2372">
        <v>79.746212920613004</v>
      </c>
      <c r="AJ2372">
        <v>86.575969232337002</v>
      </c>
      <c r="AK2372">
        <v>279.75078492363798</v>
      </c>
      <c r="AL2372">
        <v>81.149285215706897</v>
      </c>
      <c r="AM2372">
        <v>88.093079377741503</v>
      </c>
      <c r="AN2372">
        <v>1.00000002161035</v>
      </c>
    </row>
    <row r="2373" spans="1:40" x14ac:dyDescent="0.25">
      <c r="A2373" t="str">
        <f>"20190312164518195"</f>
        <v>20190312164518195</v>
      </c>
      <c r="B2373" t="str">
        <f>"1552380318184036"</f>
        <v>1552380318184036</v>
      </c>
      <c r="C2373" t="s">
        <v>40</v>
      </c>
      <c r="D2373">
        <v>5.8215899999999996</v>
      </c>
      <c r="E2373">
        <v>0.5094649</v>
      </c>
      <c r="F2373" t="s">
        <v>60</v>
      </c>
      <c r="G2373">
        <v>-168.42769999999999</v>
      </c>
      <c r="H2373">
        <v>51.02684</v>
      </c>
      <c r="I2373">
        <v>205.708</v>
      </c>
      <c r="J2373">
        <v>-451.76549999999997</v>
      </c>
      <c r="K2373">
        <v>1.105283</v>
      </c>
      <c r="L2373">
        <v>213.80930000000001</v>
      </c>
      <c r="M2373">
        <v>0.99957850000000004</v>
      </c>
      <c r="N2373">
        <v>0</v>
      </c>
      <c r="O2373">
        <v>2.5203469999999999E-2</v>
      </c>
      <c r="P2373">
        <v>0.99014630000000003</v>
      </c>
      <c r="Q2373">
        <v>0.14002979999999901</v>
      </c>
      <c r="R2373">
        <v>1.285322E-3</v>
      </c>
      <c r="S2373">
        <v>2.9561459999999999</v>
      </c>
      <c r="T2373">
        <v>0.52031000000000005</v>
      </c>
      <c r="U2373">
        <v>-8.4396360000000004E-2</v>
      </c>
      <c r="V2373">
        <v>2.5140280000000001E-2</v>
      </c>
      <c r="W2373">
        <v>0.15404470000000001</v>
      </c>
      <c r="X2373">
        <v>0.98774399999999996</v>
      </c>
      <c r="Y2373">
        <v>5.2530460000000001E-2</v>
      </c>
      <c r="Z2373">
        <v>8.9885989999999999E-3</v>
      </c>
      <c r="AA2373">
        <v>0.99857879999999999</v>
      </c>
      <c r="AB2373">
        <v>29</v>
      </c>
      <c r="AC2373">
        <v>283.33780000000002</v>
      </c>
      <c r="AD2373">
        <v>49.921557</v>
      </c>
      <c r="AE2373">
        <v>-8.1013000000000002</v>
      </c>
      <c r="AF2373">
        <v>14.7820549395211</v>
      </c>
      <c r="AG2373">
        <v>49.921557</v>
      </c>
      <c r="AH2373">
        <v>274.52828547413401</v>
      </c>
      <c r="AI2373">
        <v>79.708263430755395</v>
      </c>
      <c r="AJ2373">
        <v>86.917868569790997</v>
      </c>
      <c r="AK2373">
        <v>279.42163575304397</v>
      </c>
      <c r="AL2373">
        <v>81.138603858504197</v>
      </c>
      <c r="AM2373">
        <v>88.542009856959197</v>
      </c>
      <c r="AN2373">
        <v>1.00000000640628</v>
      </c>
    </row>
    <row r="2374" spans="1:40" x14ac:dyDescent="0.25">
      <c r="A2374" t="str">
        <f>"20190312164518218"</f>
        <v>20190312164518218</v>
      </c>
      <c r="B2374" t="str">
        <f>"1552380318214292"</f>
        <v>1552380318214292</v>
      </c>
      <c r="C2374" t="s">
        <v>40</v>
      </c>
      <c r="D2374">
        <v>5.7643420000000001</v>
      </c>
      <c r="E2374">
        <v>0.50958040000000004</v>
      </c>
      <c r="F2374" t="s">
        <v>60</v>
      </c>
      <c r="G2374">
        <v>-168.42740000000001</v>
      </c>
      <c r="H2374">
        <v>51.067680000000003</v>
      </c>
      <c r="I2374">
        <v>206.5496</v>
      </c>
      <c r="J2374">
        <v>-451.47649999999999</v>
      </c>
      <c r="K2374">
        <v>1.1055600000000001</v>
      </c>
      <c r="L2374">
        <v>213.81200000000001</v>
      </c>
      <c r="M2374">
        <v>0.99967249999999996</v>
      </c>
      <c r="N2374">
        <v>0</v>
      </c>
      <c r="O2374">
        <v>2.121843E-2</v>
      </c>
      <c r="P2374">
        <v>0.98997159999999995</v>
      </c>
      <c r="Q2374">
        <v>0.14117109999999999</v>
      </c>
      <c r="R2374">
        <v>5.2392920000000004E-3</v>
      </c>
      <c r="S2374">
        <v>2.9562379999999999</v>
      </c>
      <c r="T2374">
        <v>0.52128819999999998</v>
      </c>
      <c r="U2374">
        <v>-7.5744629999999993E-2</v>
      </c>
      <c r="V2374">
        <v>1.71416E-2</v>
      </c>
      <c r="W2374">
        <v>0.15517909999999999</v>
      </c>
      <c r="X2374">
        <v>0.98773770000000005</v>
      </c>
      <c r="Y2374">
        <v>4.5788189999999999E-2</v>
      </c>
      <c r="Z2374">
        <v>7.7182179999999998E-3</v>
      </c>
      <c r="AA2374">
        <v>0.99892130000000001</v>
      </c>
      <c r="AB2374">
        <v>29</v>
      </c>
      <c r="AC2374">
        <v>283.04909999999899</v>
      </c>
      <c r="AD2374">
        <v>49.962119999999999</v>
      </c>
      <c r="AE2374">
        <v>-7.2624000000000102</v>
      </c>
      <c r="AF2374">
        <v>12.866613197439399</v>
      </c>
      <c r="AG2374">
        <v>49.962119999999999</v>
      </c>
      <c r="AH2374">
        <v>274.29074576915502</v>
      </c>
      <c r="AI2374">
        <v>79.687834579101605</v>
      </c>
      <c r="AJ2374">
        <v>87.314300107622103</v>
      </c>
      <c r="AK2374">
        <v>279.10065636731503</v>
      </c>
      <c r="AL2374">
        <v>81.072817072073207</v>
      </c>
      <c r="AM2374">
        <v>89.005765647106102</v>
      </c>
      <c r="AN2374">
        <v>1.0000000757643199</v>
      </c>
    </row>
    <row r="2375" spans="1:40" x14ac:dyDescent="0.25">
      <c r="A2375" t="str">
        <f>"20190312164518241"</f>
        <v>20190312164518241</v>
      </c>
      <c r="B2375" t="str">
        <f>"1552380318234337"</f>
        <v>1552380318234337</v>
      </c>
      <c r="C2375" t="s">
        <v>40</v>
      </c>
      <c r="D2375">
        <v>5.8251470000000003</v>
      </c>
      <c r="E2375">
        <v>0.50969259999999905</v>
      </c>
      <c r="F2375" t="s">
        <v>60</v>
      </c>
      <c r="G2375">
        <v>-168.4271</v>
      </c>
      <c r="H2375">
        <v>51.283839999999998</v>
      </c>
      <c r="I2375">
        <v>207.67099999999999</v>
      </c>
      <c r="J2375">
        <v>-451.1746</v>
      </c>
      <c r="K2375">
        <v>1.105804</v>
      </c>
      <c r="L2375">
        <v>213.81389999999999</v>
      </c>
      <c r="M2375">
        <v>0.99974909999999995</v>
      </c>
      <c r="N2375">
        <v>0</v>
      </c>
      <c r="O2375">
        <v>1.7298069999999999E-2</v>
      </c>
      <c r="P2375">
        <v>0.98983189999999999</v>
      </c>
      <c r="Q2375">
        <v>0.1419629</v>
      </c>
      <c r="R2375">
        <v>8.9102379999999991E-3</v>
      </c>
      <c r="S2375">
        <v>2.9559630000000001</v>
      </c>
      <c r="T2375">
        <v>0.52402599999999999</v>
      </c>
      <c r="U2375">
        <v>-6.4132690000000006E-2</v>
      </c>
      <c r="V2375">
        <v>9.4963129999999993E-3</v>
      </c>
      <c r="W2375">
        <v>0.15595629999999999</v>
      </c>
      <c r="X2375">
        <v>0.98771830000000005</v>
      </c>
      <c r="Y2375">
        <v>3.8119670000000001E-2</v>
      </c>
      <c r="Z2375">
        <v>6.3951819999999897E-3</v>
      </c>
      <c r="AA2375">
        <v>0.99925269999999999</v>
      </c>
      <c r="AB2375">
        <v>29</v>
      </c>
      <c r="AC2375">
        <v>282.7475</v>
      </c>
      <c r="AD2375">
        <v>50.178035999999999</v>
      </c>
      <c r="AE2375">
        <v>-6.1428999999999903</v>
      </c>
      <c r="AF2375">
        <v>10.696736472954701</v>
      </c>
      <c r="AG2375">
        <v>50.178035999999999</v>
      </c>
      <c r="AH2375">
        <v>273.97439736729598</v>
      </c>
      <c r="AI2375">
        <v>79.629110754587103</v>
      </c>
      <c r="AJ2375">
        <v>87.764146092166797</v>
      </c>
      <c r="AK2375">
        <v>278.73683983421103</v>
      </c>
      <c r="AL2375">
        <v>81.027737225488707</v>
      </c>
      <c r="AM2375">
        <v>89.449152767653402</v>
      </c>
      <c r="AN2375">
        <v>0.99999999381258697</v>
      </c>
    </row>
    <row r="2376" spans="1:40" x14ac:dyDescent="0.25">
      <c r="A2376" t="str">
        <f>"20190312164518262"</f>
        <v>20190312164518262</v>
      </c>
      <c r="B2376" t="str">
        <f>"1552380318253857"</f>
        <v>1552380318253857</v>
      </c>
      <c r="C2376" t="s">
        <v>40</v>
      </c>
      <c r="D2376">
        <v>3.2694190000000001</v>
      </c>
      <c r="E2376">
        <v>0.50975820000000005</v>
      </c>
      <c r="F2376" t="s">
        <v>60</v>
      </c>
      <c r="G2376">
        <v>-169.40940000000001</v>
      </c>
      <c r="H2376">
        <v>51.247129999999999</v>
      </c>
      <c r="I2376">
        <v>208.7013</v>
      </c>
      <c r="J2376">
        <v>-450.8895</v>
      </c>
      <c r="K2376">
        <v>1.106015</v>
      </c>
      <c r="L2376">
        <v>213.81489999999999</v>
      </c>
      <c r="M2376">
        <v>0.99980519999999995</v>
      </c>
      <c r="N2376">
        <v>0</v>
      </c>
      <c r="O2376">
        <v>1.376921E-2</v>
      </c>
      <c r="P2376">
        <v>0.9896218</v>
      </c>
      <c r="Q2376">
        <v>0.14301549999999999</v>
      </c>
      <c r="R2376">
        <v>1.3982349999999999E-2</v>
      </c>
      <c r="S2376">
        <v>2.955902</v>
      </c>
      <c r="T2376">
        <v>0.52601589999999998</v>
      </c>
      <c r="U2376">
        <v>-5.3634639999999997E-2</v>
      </c>
      <c r="V2376">
        <v>8.5845919999999996E-4</v>
      </c>
      <c r="W2376">
        <v>0.1570047</v>
      </c>
      <c r="X2376">
        <v>0.98759750000000002</v>
      </c>
      <c r="Y2376">
        <v>3.1202199999999999E-2</v>
      </c>
      <c r="Z2376">
        <v>5.1856849999999998E-3</v>
      </c>
      <c r="AA2376">
        <v>0.99949960000000004</v>
      </c>
      <c r="AB2376">
        <v>29</v>
      </c>
      <c r="AC2376">
        <v>281.48009999999999</v>
      </c>
      <c r="AD2376">
        <v>50.141114999999999</v>
      </c>
      <c r="AE2376">
        <v>-5.1135999999999902</v>
      </c>
      <c r="AF2376">
        <v>8.7128785683443297</v>
      </c>
      <c r="AG2376">
        <v>50.141114999999999</v>
      </c>
      <c r="AH2376">
        <v>272.73162529943801</v>
      </c>
      <c r="AI2376">
        <v>79.587821065795794</v>
      </c>
      <c r="AJ2376">
        <v>88.170210578339706</v>
      </c>
      <c r="AK2376">
        <v>277.43933590041502</v>
      </c>
      <c r="AL2376">
        <v>80.966919326183998</v>
      </c>
      <c r="AM2376">
        <v>89.950196232112503</v>
      </c>
      <c r="AN2376">
        <v>1.0000000173902599</v>
      </c>
    </row>
    <row r="2377" spans="1:40" x14ac:dyDescent="0.25">
      <c r="A2377" t="str">
        <f>"20190312164518286"</f>
        <v>20190312164518286</v>
      </c>
      <c r="B2377" t="str">
        <f>"1552380318274353"</f>
        <v>1552380318274353</v>
      </c>
      <c r="C2377" t="s">
        <v>40</v>
      </c>
      <c r="D2377">
        <v>5.7332489999999998</v>
      </c>
      <c r="E2377">
        <v>0.50990659999999999</v>
      </c>
      <c r="F2377" t="s">
        <v>60</v>
      </c>
      <c r="G2377">
        <v>-169.40899999999999</v>
      </c>
      <c r="H2377">
        <v>51.596730000000001</v>
      </c>
      <c r="I2377">
        <v>210.1396</v>
      </c>
      <c r="J2377">
        <v>-450.57900000000001</v>
      </c>
      <c r="K2377">
        <v>1.1062050000000001</v>
      </c>
      <c r="L2377">
        <v>213.815</v>
      </c>
      <c r="M2377">
        <v>0.99985000000000002</v>
      </c>
      <c r="N2377">
        <v>0</v>
      </c>
      <c r="O2377">
        <v>1.007956E-2</v>
      </c>
      <c r="P2377">
        <v>0.98942379999999996</v>
      </c>
      <c r="Q2377">
        <v>0.14376320000000001</v>
      </c>
      <c r="R2377">
        <v>1.930105E-2</v>
      </c>
      <c r="S2377">
        <v>2.955444</v>
      </c>
      <c r="T2377">
        <v>0.53013480000000002</v>
      </c>
      <c r="U2377">
        <v>-3.8589480000000002E-2</v>
      </c>
      <c r="V2377">
        <v>-8.1791650000000004E-3</v>
      </c>
      <c r="W2377">
        <v>0.15774489999999999</v>
      </c>
      <c r="X2377">
        <v>0.98744600000000005</v>
      </c>
      <c r="Y2377">
        <v>2.2613270000000001E-2</v>
      </c>
      <c r="Z2377">
        <v>3.8058179999999999E-3</v>
      </c>
      <c r="AA2377">
        <v>0.99973699999999999</v>
      </c>
      <c r="AB2377">
        <v>29</v>
      </c>
      <c r="AC2377">
        <v>281.17</v>
      </c>
      <c r="AD2377">
        <v>50.490524999999998</v>
      </c>
      <c r="AE2377">
        <v>-3.67539999999999</v>
      </c>
      <c r="AF2377">
        <v>6.30624506268106</v>
      </c>
      <c r="AG2377">
        <v>50.490524999999998</v>
      </c>
      <c r="AH2377">
        <v>272.33822500388999</v>
      </c>
      <c r="AI2377">
        <v>79.499575411019194</v>
      </c>
      <c r="AJ2377">
        <v>88.673499955325298</v>
      </c>
      <c r="AK2377">
        <v>277.05084486396299</v>
      </c>
      <c r="AL2377">
        <v>80.923973479457104</v>
      </c>
      <c r="AM2377">
        <v>90.474578779176596</v>
      </c>
      <c r="AN2377">
        <v>0.99999997756605297</v>
      </c>
    </row>
    <row r="2378" spans="1:40" x14ac:dyDescent="0.25">
      <c r="A2378" t="str">
        <f>"20190312164518310"</f>
        <v>20190312164518310</v>
      </c>
      <c r="B2378" t="str">
        <f>"1552380318303634"</f>
        <v>1552380318303634</v>
      </c>
      <c r="C2378" t="s">
        <v>40</v>
      </c>
      <c r="D2378">
        <v>5.8156910000000002</v>
      </c>
      <c r="E2378">
        <v>0.51012740000000001</v>
      </c>
      <c r="F2378" t="s">
        <v>61</v>
      </c>
      <c r="G2378">
        <v>-107.39749999999999</v>
      </c>
      <c r="H2378">
        <v>63.082079999999998</v>
      </c>
      <c r="I2378">
        <v>211.03280000000001</v>
      </c>
      <c r="J2378">
        <v>-450.26769999999999</v>
      </c>
      <c r="K2378">
        <v>1.106368</v>
      </c>
      <c r="L2378">
        <v>213.8141</v>
      </c>
      <c r="M2378">
        <v>0.9998804</v>
      </c>
      <c r="N2378">
        <v>0</v>
      </c>
      <c r="O2378">
        <v>6.5342439999999998E-3</v>
      </c>
      <c r="P2378">
        <v>0.98873560000000005</v>
      </c>
      <c r="Q2378">
        <v>0.14749139999999999</v>
      </c>
      <c r="R2378">
        <v>2.5455209999999999E-2</v>
      </c>
      <c r="S2378">
        <v>2.9550169999999998</v>
      </c>
      <c r="T2378">
        <v>0.53365309999999999</v>
      </c>
      <c r="U2378">
        <v>-2.39563E-2</v>
      </c>
      <c r="V2378">
        <v>-1.788091E-2</v>
      </c>
      <c r="W2378">
        <v>0.16146359999999901</v>
      </c>
      <c r="X2378">
        <v>0.98671660000000005</v>
      </c>
      <c r="Y2378">
        <v>1.430415E-2</v>
      </c>
      <c r="Z2378">
        <v>2.45189E-3</v>
      </c>
      <c r="AA2378">
        <v>0.99989470000000003</v>
      </c>
      <c r="AB2378">
        <v>29</v>
      </c>
      <c r="AC2378">
        <v>342.87020000000001</v>
      </c>
      <c r="AD2378">
        <v>61.975712000000001</v>
      </c>
      <c r="AE2378">
        <v>-2.7812999999999799</v>
      </c>
      <c r="AF2378">
        <v>4.8629825171610097</v>
      </c>
      <c r="AG2378">
        <v>61.975712000000001</v>
      </c>
      <c r="AH2378">
        <v>331.99817663673298</v>
      </c>
      <c r="AI2378">
        <v>79.427131718163807</v>
      </c>
      <c r="AJ2378">
        <v>89.160813313369601</v>
      </c>
      <c r="AK2378">
        <v>337.76830337819501</v>
      </c>
      <c r="AL2378">
        <v>80.708140381143593</v>
      </c>
      <c r="AM2378">
        <v>91.038179100806602</v>
      </c>
      <c r="AN2378">
        <v>0.99999993489147199</v>
      </c>
    </row>
    <row r="2379" spans="1:40" x14ac:dyDescent="0.25">
      <c r="A2379" t="str">
        <f>"20190312164518328"</f>
        <v>20190312164518328</v>
      </c>
      <c r="B2379" t="str">
        <f>"1552380318324129"</f>
        <v>1552380318324129</v>
      </c>
      <c r="C2379" t="s">
        <v>40</v>
      </c>
      <c r="D2379">
        <v>5.7312479999999999</v>
      </c>
      <c r="E2379">
        <v>0.51039420000000002</v>
      </c>
      <c r="F2379" t="s">
        <v>61</v>
      </c>
      <c r="G2379">
        <v>-109.68</v>
      </c>
      <c r="H2379">
        <v>64.261229999999998</v>
      </c>
      <c r="I2379">
        <v>213.00810000000001</v>
      </c>
      <c r="J2379">
        <v>-450.02089999999998</v>
      </c>
      <c r="K2379">
        <v>1.1065020000000001</v>
      </c>
      <c r="L2379">
        <v>213.81270000000001</v>
      </c>
      <c r="M2379">
        <v>0.99989519999999998</v>
      </c>
      <c r="N2379">
        <v>0</v>
      </c>
      <c r="O2379">
        <v>3.8434060000000002E-3</v>
      </c>
      <c r="P2379">
        <v>0.98762430000000001</v>
      </c>
      <c r="Q2379">
        <v>0.15377260000000001</v>
      </c>
      <c r="R2379">
        <v>3.0863620000000001E-2</v>
      </c>
      <c r="S2379">
        <v>2.9526979999999998</v>
      </c>
      <c r="T2379">
        <v>0.54751629999999996</v>
      </c>
      <c r="U2379">
        <v>-6.9885249999999998E-3</v>
      </c>
      <c r="V2379">
        <v>-2.5960380000000002E-2</v>
      </c>
      <c r="W2379">
        <v>0.16773080000000001</v>
      </c>
      <c r="X2379">
        <v>0.98549100000000001</v>
      </c>
      <c r="Y2379">
        <v>6.0420530000000004E-3</v>
      </c>
      <c r="Z2379">
        <v>1.2621749999999999E-3</v>
      </c>
      <c r="AA2379">
        <v>0.99998089999999995</v>
      </c>
      <c r="AB2379">
        <v>29</v>
      </c>
      <c r="AC2379">
        <v>340.34089999999998</v>
      </c>
      <c r="AD2379">
        <v>63.154727999999999</v>
      </c>
      <c r="AE2379">
        <v>-0.80459999999999299</v>
      </c>
      <c r="AF2379">
        <v>2.0424607017454401</v>
      </c>
      <c r="AG2379">
        <v>63.154727999999999</v>
      </c>
      <c r="AH2379">
        <v>329.00645313029497</v>
      </c>
      <c r="AI2379">
        <v>79.134116287314697</v>
      </c>
      <c r="AJ2379">
        <v>89.644314348168606</v>
      </c>
      <c r="AK2379">
        <v>335.01930916866502</v>
      </c>
      <c r="AL2379">
        <v>80.344091259469707</v>
      </c>
      <c r="AM2379">
        <v>91.508969940561599</v>
      </c>
      <c r="AN2379">
        <v>1.00000003683969</v>
      </c>
    </row>
    <row r="2380" spans="1:40" x14ac:dyDescent="0.25">
      <c r="A2380" t="str">
        <f>"20190312164518351"</f>
        <v>20190312164518351</v>
      </c>
      <c r="B2380" t="str">
        <f>"1552380318343782"</f>
        <v>1552380318343782</v>
      </c>
      <c r="C2380" t="s">
        <v>40</v>
      </c>
      <c r="D2380">
        <v>5.4533529999999999</v>
      </c>
      <c r="E2380">
        <v>0.51068919999999995</v>
      </c>
      <c r="F2380" t="s">
        <v>61</v>
      </c>
      <c r="G2380">
        <v>-107.39749999999999</v>
      </c>
      <c r="H2380">
        <v>67.042509999999993</v>
      </c>
      <c r="I2380">
        <v>214.69030000000001</v>
      </c>
      <c r="J2380">
        <v>-449.71910000000003</v>
      </c>
      <c r="K2380">
        <v>1.1066530000000001</v>
      </c>
      <c r="L2380">
        <v>213.81030000000001</v>
      </c>
      <c r="M2380">
        <v>0.99990299999999999</v>
      </c>
      <c r="N2380">
        <v>0</v>
      </c>
      <c r="O2380">
        <v>6.7995359999999995E-4</v>
      </c>
      <c r="P2380">
        <v>0.98669110000000004</v>
      </c>
      <c r="Q2380">
        <v>0.15913389999999999</v>
      </c>
      <c r="R2380">
        <v>3.3427890000000002E-2</v>
      </c>
      <c r="S2380">
        <v>2.949036</v>
      </c>
      <c r="T2380">
        <v>0.56752630000000004</v>
      </c>
      <c r="U2380">
        <v>7.55310099999999E-3</v>
      </c>
      <c r="V2380">
        <v>-3.1674590000000002E-2</v>
      </c>
      <c r="W2380">
        <v>0.17305479999999901</v>
      </c>
      <c r="X2380">
        <v>0.98440269999999996</v>
      </c>
      <c r="Y2380">
        <v>-1.8595409999999999E-3</v>
      </c>
      <c r="Z2380" s="1">
        <v>-4.7626249999999998E-5</v>
      </c>
      <c r="AA2380">
        <v>0.99999830000000001</v>
      </c>
      <c r="AB2380">
        <v>29</v>
      </c>
      <c r="AC2380">
        <v>342.32159999999999</v>
      </c>
      <c r="AD2380">
        <v>65.935856999999999</v>
      </c>
      <c r="AE2380">
        <v>0.87999999999999501</v>
      </c>
      <c r="AF2380">
        <v>-0.62406188077750802</v>
      </c>
      <c r="AG2380">
        <v>65.935856999999999</v>
      </c>
      <c r="AH2380">
        <v>330.07634538338698</v>
      </c>
      <c r="AI2380">
        <v>78.703342252120194</v>
      </c>
      <c r="AJ2380">
        <v>90.108326663873996</v>
      </c>
      <c r="AK2380">
        <v>336.59815874898698</v>
      </c>
      <c r="AL2380">
        <v>80.034520272277305</v>
      </c>
      <c r="AM2380">
        <v>91.842939281230599</v>
      </c>
      <c r="AN2380">
        <v>0.99999995961099797</v>
      </c>
    </row>
    <row r="2381" spans="1:40" x14ac:dyDescent="0.25">
      <c r="A2381" t="str">
        <f>"20190312164518375"</f>
        <v>20190312164518375</v>
      </c>
      <c r="B2381" t="str">
        <f>"1552380318364278"</f>
        <v>1552380318364278</v>
      </c>
      <c r="C2381" t="s">
        <v>40</v>
      </c>
      <c r="D2381">
        <v>5.6662140000000001</v>
      </c>
      <c r="E2381">
        <v>0.51101009999999902</v>
      </c>
      <c r="F2381" t="s">
        <v>61</v>
      </c>
      <c r="G2381">
        <v>-107.39749999999999</v>
      </c>
      <c r="H2381">
        <v>68.981579999999994</v>
      </c>
      <c r="I2381">
        <v>215.29089999999999</v>
      </c>
      <c r="J2381">
        <v>-449.42090000000002</v>
      </c>
      <c r="K2381">
        <v>1.1068180000000001</v>
      </c>
      <c r="L2381">
        <v>213.80709999999999</v>
      </c>
      <c r="M2381">
        <v>0.99990140000000005</v>
      </c>
      <c r="N2381">
        <v>0</v>
      </c>
      <c r="O2381">
        <v>-2.237377E-3</v>
      </c>
      <c r="P2381">
        <v>0.9864676</v>
      </c>
      <c r="Q2381">
        <v>0.16030649999999999</v>
      </c>
      <c r="R2381">
        <v>3.4406640000000002E-2</v>
      </c>
      <c r="S2381">
        <v>2.945862</v>
      </c>
      <c r="T2381">
        <v>0.58410069999999903</v>
      </c>
      <c r="U2381">
        <v>1.274109E-2</v>
      </c>
      <c r="V2381">
        <v>-3.5595040000000001E-2</v>
      </c>
      <c r="W2381">
        <v>0.17418800000000001</v>
      </c>
      <c r="X2381">
        <v>0.98406890000000002</v>
      </c>
      <c r="Y2381">
        <v>-6.3945549999999997E-3</v>
      </c>
      <c r="Z2381">
        <v>-1.0672240000000001E-3</v>
      </c>
      <c r="AA2381">
        <v>0.99997899999999995</v>
      </c>
      <c r="AB2381">
        <v>29</v>
      </c>
      <c r="AC2381">
        <v>342.02339999999998</v>
      </c>
      <c r="AD2381">
        <v>67.874762000000004</v>
      </c>
      <c r="AE2381">
        <v>1.4838</v>
      </c>
      <c r="AF2381">
        <v>-2.1638871008227301</v>
      </c>
      <c r="AG2381">
        <v>67.874762000000004</v>
      </c>
      <c r="AH2381">
        <v>329.06020283240201</v>
      </c>
      <c r="AI2381">
        <v>78.345386530273501</v>
      </c>
      <c r="AJ2381">
        <v>90.376769387717204</v>
      </c>
      <c r="AK2381">
        <v>335.99446842476902</v>
      </c>
      <c r="AL2381">
        <v>79.968592136384103</v>
      </c>
      <c r="AM2381">
        <v>92.071559030822101</v>
      </c>
      <c r="AN2381">
        <v>1.0000000330819001</v>
      </c>
    </row>
    <row r="2382" spans="1:40" x14ac:dyDescent="0.25">
      <c r="A2382" t="str">
        <f>"20190312164518396"</f>
        <v>20190312164518396</v>
      </c>
      <c r="B2382" t="str">
        <f>"1552380318393558"</f>
        <v>1552380318393558</v>
      </c>
      <c r="C2382" t="s">
        <v>40</v>
      </c>
      <c r="D2382">
        <v>5.7352550000000004</v>
      </c>
      <c r="E2382">
        <v>0.51115080000000002</v>
      </c>
      <c r="F2382" t="s">
        <v>61</v>
      </c>
      <c r="G2382">
        <v>-107.39749999999999</v>
      </c>
      <c r="H2382">
        <v>69.324469999999906</v>
      </c>
      <c r="I2382">
        <v>215.25479999999999</v>
      </c>
      <c r="J2382">
        <v>-449.13569999999999</v>
      </c>
      <c r="K2382">
        <v>1.1069719999999901</v>
      </c>
      <c r="L2382">
        <v>213.80350000000001</v>
      </c>
      <c r="M2382">
        <v>0.99989260000000002</v>
      </c>
      <c r="N2382">
        <v>0</v>
      </c>
      <c r="O2382">
        <v>-4.8330530000000003E-3</v>
      </c>
      <c r="P2382">
        <v>0.98689729999999998</v>
      </c>
      <c r="Q2382">
        <v>0.157384</v>
      </c>
      <c r="R2382">
        <v>3.555386E-2</v>
      </c>
      <c r="S2382">
        <v>2.9452820000000002</v>
      </c>
      <c r="T2382">
        <v>0.58744619999999903</v>
      </c>
      <c r="U2382">
        <v>1.2466430000000001E-2</v>
      </c>
      <c r="V2382">
        <v>-3.9394720000000001E-2</v>
      </c>
      <c r="W2382">
        <v>0.171237</v>
      </c>
      <c r="X2382">
        <v>0.98444189999999998</v>
      </c>
      <c r="Y2382">
        <v>-8.7975780000000003E-3</v>
      </c>
      <c r="Z2382">
        <v>-1.823447E-3</v>
      </c>
      <c r="AA2382">
        <v>0.99995959999999995</v>
      </c>
      <c r="AB2382">
        <v>29</v>
      </c>
      <c r="AC2382">
        <v>341.73820000000001</v>
      </c>
      <c r="AD2382">
        <v>68.217497999999907</v>
      </c>
      <c r="AE2382">
        <v>1.4512999999999701</v>
      </c>
      <c r="AF2382">
        <v>-2.9841694976057198</v>
      </c>
      <c r="AG2382">
        <v>68.217497999999907</v>
      </c>
      <c r="AH2382">
        <v>328.63215575004199</v>
      </c>
      <c r="AI2382">
        <v>78.273548842439197</v>
      </c>
      <c r="AJ2382">
        <v>90.520264421191399</v>
      </c>
      <c r="AK2382">
        <v>335.651048104859</v>
      </c>
      <c r="AL2382">
        <v>80.140250912356805</v>
      </c>
      <c r="AM2382">
        <v>92.2916004399478</v>
      </c>
      <c r="AN2382">
        <v>0.99999995430424304</v>
      </c>
    </row>
    <row r="2383" spans="1:40" x14ac:dyDescent="0.25">
      <c r="A2383" t="str">
        <f>"20190312164518417"</f>
        <v>20190312164518417</v>
      </c>
      <c r="B2383" t="str">
        <f>"1552380318414054"</f>
        <v>1552380318414054</v>
      </c>
      <c r="C2383" t="s">
        <v>40</v>
      </c>
      <c r="D2383">
        <v>5.5854359999999996</v>
      </c>
      <c r="E2383">
        <v>0.51121870000000003</v>
      </c>
      <c r="F2383" t="s">
        <v>61</v>
      </c>
      <c r="G2383">
        <v>-107.39749999999999</v>
      </c>
      <c r="H2383">
        <v>68.054299999999998</v>
      </c>
      <c r="I2383">
        <v>215.50200000000001</v>
      </c>
      <c r="J2383">
        <v>-448.86360000000002</v>
      </c>
      <c r="K2383">
        <v>1.1071359999999999</v>
      </c>
      <c r="L2383">
        <v>213.7996</v>
      </c>
      <c r="M2383">
        <v>0.99987979999999999</v>
      </c>
      <c r="N2383">
        <v>0</v>
      </c>
      <c r="O2383">
        <v>-7.0918819999999999E-3</v>
      </c>
      <c r="P2383">
        <v>0.98774550000000005</v>
      </c>
      <c r="Q2383">
        <v>0.1519588</v>
      </c>
      <c r="R2383">
        <v>3.5608149999999998E-2</v>
      </c>
      <c r="S2383">
        <v>2.947235</v>
      </c>
      <c r="T2383">
        <v>0.57737079999999996</v>
      </c>
      <c r="U2383">
        <v>1.464844E-2</v>
      </c>
      <c r="V2383">
        <v>-4.1788260000000001E-2</v>
      </c>
      <c r="W2383">
        <v>0.1657825</v>
      </c>
      <c r="X2383">
        <v>0.98527659999999995</v>
      </c>
      <c r="Y2383">
        <v>-1.1705210000000001E-2</v>
      </c>
      <c r="Z2383">
        <v>-2.5120960000000001E-3</v>
      </c>
      <c r="AA2383">
        <v>0.99992840000000005</v>
      </c>
      <c r="AB2383">
        <v>29</v>
      </c>
      <c r="AC2383">
        <v>341.46609999999998</v>
      </c>
      <c r="AD2383">
        <v>66.947164000000001</v>
      </c>
      <c r="AE2383">
        <v>1.7024000000000099</v>
      </c>
      <c r="AF2383">
        <v>-3.9715664387415699</v>
      </c>
      <c r="AG2383">
        <v>66.947164000000001</v>
      </c>
      <c r="AH2383">
        <v>328.80682975083499</v>
      </c>
      <c r="AI2383">
        <v>78.492340742208199</v>
      </c>
      <c r="AJ2383">
        <v>90.692026165533207</v>
      </c>
      <c r="AK2383">
        <v>335.57655966770801</v>
      </c>
      <c r="AL2383">
        <v>80.457305867567598</v>
      </c>
      <c r="AM2383">
        <v>92.428614290567893</v>
      </c>
      <c r="AN2383">
        <v>1.00000003724381</v>
      </c>
    </row>
    <row r="2384" spans="1:40" x14ac:dyDescent="0.25">
      <c r="A2384" t="str">
        <f>"20190312164518441"</f>
        <v>20190312164518441</v>
      </c>
      <c r="B2384" t="str">
        <f>"1552380318433575"</f>
        <v>1552380318433575</v>
      </c>
      <c r="C2384" t="s">
        <v>40</v>
      </c>
      <c r="D2384">
        <v>5.6991120000000004</v>
      </c>
      <c r="E2384">
        <v>0.52176319999999998</v>
      </c>
      <c r="F2384" t="s">
        <v>61</v>
      </c>
      <c r="G2384">
        <v>-107.39749999999999</v>
      </c>
      <c r="H2384">
        <v>66.043599999999998</v>
      </c>
      <c r="I2384">
        <v>215.44200000000001</v>
      </c>
      <c r="J2384">
        <v>-448.55680000000001</v>
      </c>
      <c r="K2384">
        <v>1.107351</v>
      </c>
      <c r="L2384">
        <v>213.79480000000001</v>
      </c>
      <c r="M2384">
        <v>0.99986169999999996</v>
      </c>
      <c r="N2384">
        <v>0</v>
      </c>
      <c r="O2384">
        <v>-9.3402899999999994E-3</v>
      </c>
      <c r="P2384">
        <v>0.98809029999999998</v>
      </c>
      <c r="Q2384">
        <v>0.15027409999999999</v>
      </c>
      <c r="R2384">
        <v>3.3094810000000002E-2</v>
      </c>
      <c r="S2384">
        <v>2.9503780000000002</v>
      </c>
      <c r="T2384">
        <v>0.56107259999999903</v>
      </c>
      <c r="U2384">
        <v>1.4190670000000001E-2</v>
      </c>
      <c r="V2384">
        <v>-4.1598969999999999E-2</v>
      </c>
      <c r="W2384">
        <v>0.16404279999999999</v>
      </c>
      <c r="X2384">
        <v>0.98557570000000005</v>
      </c>
      <c r="Y2384">
        <v>-1.3736989999999999E-2</v>
      </c>
      <c r="Z2384">
        <v>-3.0551839999999999E-3</v>
      </c>
      <c r="AA2384">
        <v>0.99990100000000004</v>
      </c>
      <c r="AB2384">
        <v>29</v>
      </c>
      <c r="AC2384">
        <v>341.15929999999997</v>
      </c>
      <c r="AD2384">
        <v>64.936249000000004</v>
      </c>
      <c r="AE2384">
        <v>1.64719999999999</v>
      </c>
      <c r="AF2384">
        <v>-4.6649526053474899</v>
      </c>
      <c r="AG2384">
        <v>64.936249000000004</v>
      </c>
      <c r="AH2384">
        <v>329.20252872044199</v>
      </c>
      <c r="AI2384">
        <v>78.842566715026706</v>
      </c>
      <c r="AJ2384">
        <v>90.811853447312401</v>
      </c>
      <c r="AK2384">
        <v>335.57828167647199</v>
      </c>
      <c r="AL2384">
        <v>80.558366583292795</v>
      </c>
      <c r="AM2384">
        <v>92.416893554521593</v>
      </c>
      <c r="AN2384">
        <v>0.99999998748369501</v>
      </c>
    </row>
    <row r="2385" spans="1:40" x14ac:dyDescent="0.25">
      <c r="A2385" t="str">
        <f>"20190312164518463"</f>
        <v>20190312164518463</v>
      </c>
      <c r="B2385" t="str">
        <f>"1552380318454071"</f>
        <v>1552380318454071</v>
      </c>
      <c r="C2385" t="s">
        <v>40</v>
      </c>
      <c r="D2385">
        <v>5.5461819999999999</v>
      </c>
      <c r="E2385">
        <v>0.5188026</v>
      </c>
      <c r="F2385" t="s">
        <v>60</v>
      </c>
      <c r="G2385">
        <v>-168.83680000000001</v>
      </c>
      <c r="H2385">
        <v>55.310600000000001</v>
      </c>
      <c r="I2385">
        <v>206.40440000000001</v>
      </c>
      <c r="J2385">
        <v>-448.25810000000001</v>
      </c>
      <c r="K2385">
        <v>1.1075839999999999</v>
      </c>
      <c r="L2385">
        <v>213.78980000000001</v>
      </c>
      <c r="M2385">
        <v>0.99984280000000003</v>
      </c>
      <c r="N2385">
        <v>0</v>
      </c>
      <c r="O2385">
        <v>-1.122361E-2</v>
      </c>
      <c r="P2385">
        <v>0.98813649999999997</v>
      </c>
      <c r="Q2385">
        <v>0.1507773</v>
      </c>
      <c r="R2385">
        <v>2.920435E-2</v>
      </c>
      <c r="S2385">
        <v>2.9517820000000001</v>
      </c>
      <c r="T2385">
        <v>0.57198719999999903</v>
      </c>
      <c r="U2385">
        <v>-7.7987669999999995E-2</v>
      </c>
      <c r="V2385">
        <v>-3.9661109999999999E-2</v>
      </c>
      <c r="W2385">
        <v>0.16448499999999999</v>
      </c>
      <c r="X2385">
        <v>0.98558190000000001</v>
      </c>
      <c r="Y2385">
        <v>1.5116559999999999E-2</v>
      </c>
      <c r="Z2385">
        <v>-7.0368069999999995E-4</v>
      </c>
      <c r="AA2385">
        <v>0.99988549999999998</v>
      </c>
      <c r="AB2385">
        <v>29</v>
      </c>
      <c r="AC2385">
        <v>279.42129999999997</v>
      </c>
      <c r="AD2385">
        <v>54.203015999999998</v>
      </c>
      <c r="AE2385">
        <v>-7.3853999999999997</v>
      </c>
      <c r="AF2385">
        <v>4.0945552546888297</v>
      </c>
      <c r="AG2385">
        <v>54.203015999999998</v>
      </c>
      <c r="AH2385">
        <v>269.35788209919798</v>
      </c>
      <c r="AI2385">
        <v>78.623573906288897</v>
      </c>
      <c r="AJ2385">
        <v>89.129104128734696</v>
      </c>
      <c r="AK2385">
        <v>274.78791999502999</v>
      </c>
      <c r="AL2385">
        <v>80.532681615671095</v>
      </c>
      <c r="AM2385">
        <v>92.304414055133805</v>
      </c>
      <c r="AN2385">
        <v>1.00000000023952</v>
      </c>
    </row>
    <row r="2386" spans="1:40" x14ac:dyDescent="0.25">
      <c r="A2386" t="str">
        <f>"20190312164518488"</f>
        <v>20190312164518488</v>
      </c>
      <c r="B2386" t="str">
        <f>"1552380318484328"</f>
        <v>1552380318484328</v>
      </c>
      <c r="C2386" t="s">
        <v>40</v>
      </c>
      <c r="D2386">
        <v>5.6514030000000002</v>
      </c>
      <c r="E2386">
        <v>0.51870209999999894</v>
      </c>
      <c r="F2386" t="s">
        <v>60</v>
      </c>
      <c r="G2386">
        <v>-168.42830000000001</v>
      </c>
      <c r="H2386">
        <v>54.674599999999998</v>
      </c>
      <c r="I2386">
        <v>207.4872</v>
      </c>
      <c r="J2386">
        <v>-447.95229999999998</v>
      </c>
      <c r="K2386">
        <v>1.107815</v>
      </c>
      <c r="L2386">
        <v>213.78440000000001</v>
      </c>
      <c r="M2386">
        <v>0.99982320000000002</v>
      </c>
      <c r="N2386">
        <v>0</v>
      </c>
      <c r="O2386">
        <v>-1.2870100000000001E-2</v>
      </c>
      <c r="P2386">
        <v>0.98806519999999998</v>
      </c>
      <c r="Q2386">
        <v>0.15214349999999999</v>
      </c>
      <c r="R2386">
        <v>2.407515E-2</v>
      </c>
      <c r="S2386">
        <v>2.9517519999999999</v>
      </c>
      <c r="T2386">
        <v>0.56504560000000004</v>
      </c>
      <c r="U2386">
        <v>-6.6482540000000007E-2</v>
      </c>
      <c r="V2386">
        <v>-3.6243280000000003E-2</v>
      </c>
      <c r="W2386">
        <v>0.16578950000000001</v>
      </c>
      <c r="X2386">
        <v>0.98549489999999995</v>
      </c>
      <c r="Y2386">
        <v>9.7049119999999996E-3</v>
      </c>
      <c r="Z2386">
        <v>-1.5208890000000001E-3</v>
      </c>
      <c r="AA2386">
        <v>0.9999517</v>
      </c>
      <c r="AB2386">
        <v>29</v>
      </c>
      <c r="AC2386">
        <v>279.524</v>
      </c>
      <c r="AD2386">
        <v>53.566785000000003</v>
      </c>
      <c r="AE2386">
        <v>-6.2972000000000001</v>
      </c>
      <c r="AF2386">
        <v>2.60328329490864</v>
      </c>
      <c r="AG2386">
        <v>53.566785000000003</v>
      </c>
      <c r="AH2386">
        <v>269.68301474477897</v>
      </c>
      <c r="AI2386">
        <v>78.766145611348193</v>
      </c>
      <c r="AJ2386">
        <v>89.446933974999993</v>
      </c>
      <c r="AK2386">
        <v>274.96382667722298</v>
      </c>
      <c r="AL2386">
        <v>80.456898480872198</v>
      </c>
      <c r="AM2386">
        <v>92.106202198308907</v>
      </c>
      <c r="AN2386">
        <v>0.99999996579070805</v>
      </c>
    </row>
    <row r="2387" spans="1:40" x14ac:dyDescent="0.25">
      <c r="A2387" t="str">
        <f>"20190312164518510"</f>
        <v>20190312164518510</v>
      </c>
      <c r="B2387" t="str">
        <f>"1552380318503846"</f>
        <v>1552380318503846</v>
      </c>
      <c r="C2387" t="s">
        <v>40</v>
      </c>
      <c r="D2387">
        <v>5.7036389999999999</v>
      </c>
      <c r="E2387">
        <v>0.51947959999999904</v>
      </c>
      <c r="F2387" t="s">
        <v>60</v>
      </c>
      <c r="G2387">
        <v>-168.4289</v>
      </c>
      <c r="H2387">
        <v>55.056080000000001</v>
      </c>
      <c r="I2387">
        <v>206.0823</v>
      </c>
      <c r="J2387">
        <v>-447.66759999999999</v>
      </c>
      <c r="K2387">
        <v>1.1080099999999999</v>
      </c>
      <c r="L2387">
        <v>213.7791</v>
      </c>
      <c r="M2387">
        <v>0.99980590000000003</v>
      </c>
      <c r="N2387">
        <v>0</v>
      </c>
      <c r="O2387">
        <v>-1.4183370000000001E-2</v>
      </c>
      <c r="P2387">
        <v>0.98761469999999996</v>
      </c>
      <c r="Q2387">
        <v>0.15567220000000001</v>
      </c>
      <c r="R2387">
        <v>1.9591089999999999E-2</v>
      </c>
      <c r="S2387">
        <v>2.9504999999999999</v>
      </c>
      <c r="T2387">
        <v>0.56944949999999905</v>
      </c>
      <c r="U2387">
        <v>-8.1298830000000002E-2</v>
      </c>
      <c r="V2387">
        <v>-3.310958E-2</v>
      </c>
      <c r="W2387">
        <v>0.169265</v>
      </c>
      <c r="X2387">
        <v>0.98501430000000001</v>
      </c>
      <c r="Y2387">
        <v>1.3376600000000001E-2</v>
      </c>
      <c r="Z2387">
        <v>-1.4331189999999901E-3</v>
      </c>
      <c r="AA2387">
        <v>0.99990950000000001</v>
      </c>
      <c r="AB2387">
        <v>29</v>
      </c>
      <c r="AC2387">
        <v>279.23869999999999</v>
      </c>
      <c r="AD2387">
        <v>53.948069999999902</v>
      </c>
      <c r="AE2387">
        <v>-7.6967999999999899</v>
      </c>
      <c r="AF2387">
        <v>3.6008110058028899</v>
      </c>
      <c r="AG2387">
        <v>53.948069999999902</v>
      </c>
      <c r="AH2387">
        <v>269.276644300074</v>
      </c>
      <c r="AI2387">
        <v>78.672081166919497</v>
      </c>
      <c r="AJ2387">
        <v>89.233877196637096</v>
      </c>
      <c r="AK2387">
        <v>274.65118106815601</v>
      </c>
      <c r="AL2387">
        <v>80.254912910199707</v>
      </c>
      <c r="AM2387">
        <v>91.925175320179093</v>
      </c>
      <c r="AN2387">
        <v>1.0000000278586301</v>
      </c>
    </row>
    <row r="2388" spans="1:40" x14ac:dyDescent="0.25">
      <c r="A2388" t="str">
        <f>"20190312164518532"</f>
        <v>20190312164518532</v>
      </c>
      <c r="B2388" t="str">
        <f>"1552380318524344"</f>
        <v>1552380318524344</v>
      </c>
      <c r="C2388" t="s">
        <v>40</v>
      </c>
      <c r="D2388">
        <v>5.6462760000000003</v>
      </c>
      <c r="E2388">
        <v>0.51974399999999998</v>
      </c>
      <c r="F2388" t="s">
        <v>60</v>
      </c>
      <c r="G2388">
        <v>-169.27459999999999</v>
      </c>
      <c r="H2388">
        <v>55.971710000000002</v>
      </c>
      <c r="I2388">
        <v>204.27029999999999</v>
      </c>
      <c r="J2388">
        <v>-447.3784</v>
      </c>
      <c r="K2388">
        <v>1.108155</v>
      </c>
      <c r="L2388">
        <v>213.77350000000001</v>
      </c>
      <c r="M2388">
        <v>0.99978869999999997</v>
      </c>
      <c r="N2388">
        <v>0</v>
      </c>
      <c r="O2388">
        <v>-1.535772E-2</v>
      </c>
      <c r="P2388">
        <v>0.98687179999999997</v>
      </c>
      <c r="Q2388">
        <v>0.16079789999999999</v>
      </c>
      <c r="R2388">
        <v>1.5109279999999999E-2</v>
      </c>
      <c r="S2388">
        <v>2.948029</v>
      </c>
      <c r="T2388">
        <v>0.58097670000000001</v>
      </c>
      <c r="U2388">
        <v>-0.1006927</v>
      </c>
      <c r="V2388">
        <v>-2.9814469999999999E-2</v>
      </c>
      <c r="W2388">
        <v>0.1743411</v>
      </c>
      <c r="X2388">
        <v>0.98423389999999999</v>
      </c>
      <c r="Y2388">
        <v>1.8717310000000001E-2</v>
      </c>
      <c r="Z2388">
        <v>-1.170656E-3</v>
      </c>
      <c r="AA2388">
        <v>0.99982409999999999</v>
      </c>
      <c r="AB2388">
        <v>29</v>
      </c>
      <c r="AC2388">
        <v>278.10379999999998</v>
      </c>
      <c r="AD2388">
        <v>54.863554999999899</v>
      </c>
      <c r="AE2388">
        <v>-9.5032000000000192</v>
      </c>
      <c r="AF2388">
        <v>5.0349179851741503</v>
      </c>
      <c r="AG2388">
        <v>54.863554999999899</v>
      </c>
      <c r="AH2388">
        <v>267.80653305037998</v>
      </c>
      <c r="AI2388">
        <v>78.424416746651303</v>
      </c>
      <c r="AJ2388">
        <v>88.922933037392198</v>
      </c>
      <c r="AK2388">
        <v>273.41488476456402</v>
      </c>
      <c r="AL2388">
        <v>79.959683975350899</v>
      </c>
      <c r="AM2388">
        <v>91.735076476468095</v>
      </c>
      <c r="AN2388">
        <v>1.0000000458398901</v>
      </c>
    </row>
    <row r="2389" spans="1:40" x14ac:dyDescent="0.25">
      <c r="A2389" t="str">
        <f>"20190312164518552"</f>
        <v>20190312164518552</v>
      </c>
      <c r="B2389" t="str">
        <f>"1552380318544162"</f>
        <v>1552380318544162</v>
      </c>
      <c r="C2389" t="s">
        <v>40</v>
      </c>
      <c r="D2389">
        <v>5.7232219999999998</v>
      </c>
      <c r="E2389">
        <v>0.5194995</v>
      </c>
      <c r="F2389" t="s">
        <v>58</v>
      </c>
      <c r="G2389">
        <v>0</v>
      </c>
      <c r="H2389">
        <v>0</v>
      </c>
      <c r="I2389">
        <v>0</v>
      </c>
      <c r="J2389">
        <v>-447.10669999999999</v>
      </c>
      <c r="K2389">
        <v>1.1082479999999999</v>
      </c>
      <c r="L2389">
        <v>213.7681</v>
      </c>
      <c r="M2389">
        <v>0.99977269999999896</v>
      </c>
      <c r="N2389">
        <v>0</v>
      </c>
      <c r="O2389">
        <v>-1.637833E-2</v>
      </c>
      <c r="P2389">
        <v>0.98616340000000002</v>
      </c>
      <c r="Q2389">
        <v>0.16546159999999999</v>
      </c>
      <c r="R2389">
        <v>1.020589E-2</v>
      </c>
      <c r="S2389">
        <v>2.9443359999999998</v>
      </c>
      <c r="T2389">
        <v>0.59736180000000005</v>
      </c>
      <c r="U2389">
        <v>-0.1160278</v>
      </c>
      <c r="V2389">
        <v>-2.5929420000000002E-2</v>
      </c>
      <c r="W2389">
        <v>0.17896310000000001</v>
      </c>
      <c r="X2389">
        <v>0.98351409999999995</v>
      </c>
      <c r="Y2389">
        <v>2.2872070000000001E-2</v>
      </c>
      <c r="Z2389">
        <v>-9.921648999999999E-4</v>
      </c>
      <c r="AA2389">
        <v>0.99973789999999996</v>
      </c>
      <c r="AB2389">
        <v>29</v>
      </c>
      <c r="AC2389">
        <v>2.9443359999999998</v>
      </c>
      <c r="AD2389">
        <v>0.59736180000000005</v>
      </c>
      <c r="AE2389">
        <v>-0.1160278</v>
      </c>
      <c r="AF2389">
        <v>6.5108568372664197E-2</v>
      </c>
      <c r="AG2389">
        <v>0.59736180000000005</v>
      </c>
      <c r="AH2389">
        <v>2.8295511273006801</v>
      </c>
      <c r="AI2389">
        <v>78.082090983369397</v>
      </c>
      <c r="AJ2389">
        <v>88.681844634374499</v>
      </c>
      <c r="AK2389">
        <v>2.8926527319717001</v>
      </c>
      <c r="AL2389">
        <v>79.690631432560195</v>
      </c>
      <c r="AM2389">
        <v>91.510199262588301</v>
      </c>
      <c r="AN2389">
        <v>1.00000005544097</v>
      </c>
    </row>
    <row r="2390" spans="1:40" x14ac:dyDescent="0.25">
      <c r="A2390" t="str">
        <f>"20190312164518575"</f>
        <v>20190312164518575</v>
      </c>
      <c r="B2390" t="str">
        <f>"1552380318563685"</f>
        <v>1552380318563685</v>
      </c>
      <c r="C2390" t="s">
        <v>40</v>
      </c>
      <c r="D2390">
        <v>4.7467050000000004</v>
      </c>
      <c r="E2390">
        <v>0.51879730000000002</v>
      </c>
      <c r="F2390" t="s">
        <v>58</v>
      </c>
      <c r="G2390">
        <v>0</v>
      </c>
      <c r="H2390">
        <v>0</v>
      </c>
      <c r="I2390">
        <v>0</v>
      </c>
      <c r="J2390">
        <v>-446.81950000000001</v>
      </c>
      <c r="K2390">
        <v>1.1082970000000001</v>
      </c>
      <c r="L2390">
        <v>213.7621</v>
      </c>
      <c r="M2390">
        <v>0.99975559999999997</v>
      </c>
      <c r="N2390">
        <v>0</v>
      </c>
      <c r="O2390">
        <v>-1.741442E-2</v>
      </c>
      <c r="P2390">
        <v>0.98600220000000005</v>
      </c>
      <c r="Q2390">
        <v>0.16666149999999999</v>
      </c>
      <c r="R2390">
        <v>4.8870290000000002E-3</v>
      </c>
      <c r="S2390">
        <v>2.9410400000000001</v>
      </c>
      <c r="T2390">
        <v>0.60984340000000004</v>
      </c>
      <c r="U2390">
        <v>-0.1285858</v>
      </c>
      <c r="V2390">
        <v>-2.1649310000000001E-2</v>
      </c>
      <c r="W2390">
        <v>0.1801325</v>
      </c>
      <c r="X2390">
        <v>0.9834041</v>
      </c>
      <c r="Y2390">
        <v>2.6089299999999999E-2</v>
      </c>
      <c r="Z2390">
        <v>-8.9600679999999905E-4</v>
      </c>
      <c r="AA2390">
        <v>0.99965919999999997</v>
      </c>
      <c r="AB2390">
        <v>29</v>
      </c>
      <c r="AC2390">
        <v>2.9410400000000001</v>
      </c>
      <c r="AD2390">
        <v>0.60984340000000004</v>
      </c>
      <c r="AE2390">
        <v>-0.1285858</v>
      </c>
      <c r="AF2390">
        <v>7.4162389282192098E-2</v>
      </c>
      <c r="AG2390">
        <v>0.60984340000000004</v>
      </c>
      <c r="AH2390">
        <v>2.8217394687440098</v>
      </c>
      <c r="AI2390">
        <v>77.808706056718606</v>
      </c>
      <c r="AJ2390">
        <v>88.494469829060193</v>
      </c>
      <c r="AK2390">
        <v>2.8878404841637799</v>
      </c>
      <c r="AL2390">
        <v>79.622522530386107</v>
      </c>
      <c r="AM2390">
        <v>91.261143576306196</v>
      </c>
      <c r="AN2390">
        <v>1.0000000170382599</v>
      </c>
    </row>
    <row r="2391" spans="1:40" x14ac:dyDescent="0.25">
      <c r="A2391" t="str">
        <f>"20190312164518596"</f>
        <v>20190312164518596</v>
      </c>
      <c r="B2391" t="str">
        <f>"1552380318593938"</f>
        <v>1552380318593938</v>
      </c>
      <c r="C2391" t="s">
        <v>40</v>
      </c>
      <c r="D2391">
        <v>5.601737</v>
      </c>
      <c r="E2391">
        <v>0.5263814</v>
      </c>
      <c r="F2391" t="s">
        <v>58</v>
      </c>
      <c r="G2391">
        <v>0</v>
      </c>
      <c r="H2391">
        <v>0</v>
      </c>
      <c r="I2391">
        <v>0</v>
      </c>
      <c r="J2391">
        <v>-446.5444</v>
      </c>
      <c r="K2391">
        <v>1.1083179999999999</v>
      </c>
      <c r="L2391">
        <v>213.7561</v>
      </c>
      <c r="M2391">
        <v>0.99973800000000002</v>
      </c>
      <c r="N2391">
        <v>0</v>
      </c>
      <c r="O2391">
        <v>-1.8401710000000002E-2</v>
      </c>
      <c r="P2391">
        <v>0.98638519999999996</v>
      </c>
      <c r="Q2391">
        <v>0.16445270000000001</v>
      </c>
      <c r="R2391">
        <v>-2.4343650000000001E-4</v>
      </c>
      <c r="S2391">
        <v>2.9388730000000001</v>
      </c>
      <c r="T2391">
        <v>0.61751519999999904</v>
      </c>
      <c r="U2391">
        <v>-0.13885500000000001</v>
      </c>
      <c r="V2391">
        <v>-1.7518559999999999E-2</v>
      </c>
      <c r="W2391">
        <v>0.17790599999999901</v>
      </c>
      <c r="X2391">
        <v>0.98389150000000003</v>
      </c>
      <c r="Y2391">
        <v>2.8582380000000001E-2</v>
      </c>
      <c r="Z2391">
        <v>-8.5369259999999996E-4</v>
      </c>
      <c r="AA2391">
        <v>0.99959109999999995</v>
      </c>
      <c r="AB2391">
        <v>29</v>
      </c>
      <c r="AC2391">
        <v>2.9388730000000001</v>
      </c>
      <c r="AD2391">
        <v>0.61751519999999904</v>
      </c>
      <c r="AE2391">
        <v>-0.13885500000000001</v>
      </c>
      <c r="AF2391">
        <v>8.1170465544164794E-2</v>
      </c>
      <c r="AG2391">
        <v>0.61751519999999904</v>
      </c>
      <c r="AH2391">
        <v>2.8168432178141698</v>
      </c>
      <c r="AI2391">
        <v>77.640056224542207</v>
      </c>
      <c r="AJ2391">
        <v>88.349415247215802</v>
      </c>
      <c r="AK2391">
        <v>2.8848777063254101</v>
      </c>
      <c r="AL2391">
        <v>79.752185708007502</v>
      </c>
      <c r="AM2391">
        <v>91.020065219562099</v>
      </c>
      <c r="AN2391">
        <v>0.99999996427636095</v>
      </c>
    </row>
    <row r="2392" spans="1:40" x14ac:dyDescent="0.25">
      <c r="A2392" t="str">
        <f>"20190312164518619"</f>
        <v>20190312164518619</v>
      </c>
      <c r="B2392" t="str">
        <f>"1552380318614434"</f>
        <v>1552380318614434</v>
      </c>
      <c r="C2392" t="s">
        <v>40</v>
      </c>
      <c r="D2392">
        <v>4.8654250000000001</v>
      </c>
      <c r="E2392">
        <v>0.52957049999999894</v>
      </c>
      <c r="F2392" t="s">
        <v>58</v>
      </c>
      <c r="G2392">
        <v>0</v>
      </c>
      <c r="H2392">
        <v>0</v>
      </c>
      <c r="I2392">
        <v>0</v>
      </c>
      <c r="J2392">
        <v>-446.25259999999997</v>
      </c>
      <c r="K2392">
        <v>1.1083270000000001</v>
      </c>
      <c r="L2392">
        <v>213.74940000000001</v>
      </c>
      <c r="M2392">
        <v>0.99971810000000005</v>
      </c>
      <c r="N2392">
        <v>0</v>
      </c>
      <c r="O2392">
        <v>-1.9465980000000001E-2</v>
      </c>
      <c r="P2392">
        <v>0.98688439999999999</v>
      </c>
      <c r="Q2392">
        <v>0.16132050000000001</v>
      </c>
      <c r="R2392">
        <v>-5.938273E-3</v>
      </c>
      <c r="S2392">
        <v>2.9396969999999998</v>
      </c>
      <c r="T2392">
        <v>0.60969810000000002</v>
      </c>
      <c r="U2392">
        <v>-0.21440119999999999</v>
      </c>
      <c r="V2392">
        <v>-1.289848E-2</v>
      </c>
      <c r="W2392">
        <v>0.17475850000000001</v>
      </c>
      <c r="X2392">
        <v>0.98452689999999998</v>
      </c>
      <c r="Y2392">
        <v>5.2608540000000002E-2</v>
      </c>
      <c r="Z2392">
        <v>1.402057E-3</v>
      </c>
      <c r="AA2392">
        <v>0.99861429999999995</v>
      </c>
      <c r="AB2392">
        <v>29</v>
      </c>
      <c r="AC2392">
        <v>2.9396969999999998</v>
      </c>
      <c r="AD2392">
        <v>0.60969810000000002</v>
      </c>
      <c r="AE2392">
        <v>-0.21440119999999999</v>
      </c>
      <c r="AF2392">
        <v>0.15068376111640799</v>
      </c>
      <c r="AG2392">
        <v>0.60969810000000002</v>
      </c>
      <c r="AH2392">
        <v>2.82254321780698</v>
      </c>
      <c r="AI2392">
        <v>77.827624550124995</v>
      </c>
      <c r="AJ2392">
        <v>86.944119225438101</v>
      </c>
      <c r="AK2392">
        <v>2.8915718191661801</v>
      </c>
      <c r="AL2392">
        <v>79.935396003863801</v>
      </c>
      <c r="AM2392">
        <v>90.750600301399402</v>
      </c>
      <c r="AN2392">
        <v>1.0000000604660799</v>
      </c>
    </row>
    <row r="2393" spans="1:40" x14ac:dyDescent="0.25">
      <c r="A2393" t="str">
        <f>"20190312164518641"</f>
        <v>20190312164518641</v>
      </c>
      <c r="B2393" t="str">
        <f>"1552380318633954"</f>
        <v>1552380318633954</v>
      </c>
      <c r="C2393" t="s">
        <v>40</v>
      </c>
      <c r="D2393">
        <v>5.4906639999999998</v>
      </c>
      <c r="E2393">
        <v>0.53217009999999998</v>
      </c>
      <c r="F2393" t="s">
        <v>58</v>
      </c>
      <c r="G2393">
        <v>0</v>
      </c>
      <c r="H2393">
        <v>0</v>
      </c>
      <c r="I2393">
        <v>0</v>
      </c>
      <c r="J2393">
        <v>-445.9624</v>
      </c>
      <c r="K2393">
        <v>1.1083259999999999</v>
      </c>
      <c r="L2393">
        <v>213.74250000000001</v>
      </c>
      <c r="M2393">
        <v>0.99969660000000005</v>
      </c>
      <c r="N2393">
        <v>0</v>
      </c>
      <c r="O2393">
        <v>-2.054601E-2</v>
      </c>
      <c r="P2393">
        <v>0.98692849999999999</v>
      </c>
      <c r="Q2393">
        <v>0.1607179</v>
      </c>
      <c r="R2393">
        <v>-1.191526E-2</v>
      </c>
      <c r="S2393">
        <v>2.9395449999999999</v>
      </c>
      <c r="T2393">
        <v>0.60424239999999996</v>
      </c>
      <c r="U2393">
        <v>-0.25723269999999998</v>
      </c>
      <c r="V2393">
        <v>-7.9962090000000006E-3</v>
      </c>
      <c r="W2393">
        <v>0.17413580000000001</v>
      </c>
      <c r="X2393">
        <v>0.98468920000000004</v>
      </c>
      <c r="Y2393">
        <v>6.5748860000000006E-2</v>
      </c>
      <c r="Z2393">
        <v>2.5040940000000001E-3</v>
      </c>
      <c r="AA2393">
        <v>0.99783310000000003</v>
      </c>
      <c r="AB2393">
        <v>29</v>
      </c>
      <c r="AC2393">
        <v>2.9395449999999999</v>
      </c>
      <c r="AD2393">
        <v>0.60424239999999996</v>
      </c>
      <c r="AE2393">
        <v>-0.25723269999999998</v>
      </c>
      <c r="AF2393">
        <v>0.18885765016247899</v>
      </c>
      <c r="AG2393">
        <v>0.60424239999999996</v>
      </c>
      <c r="AH2393">
        <v>2.8257208540960801</v>
      </c>
      <c r="AI2393">
        <v>77.955933539122498</v>
      </c>
      <c r="AJ2393">
        <v>86.176311110781199</v>
      </c>
      <c r="AK2393">
        <v>2.8957683669893401</v>
      </c>
      <c r="AL2393">
        <v>79.971629245514407</v>
      </c>
      <c r="AM2393">
        <v>90.465262498665297</v>
      </c>
      <c r="AN2393">
        <v>1.00000001839832</v>
      </c>
    </row>
    <row r="2394" spans="1:40" x14ac:dyDescent="0.25">
      <c r="A2394" t="str">
        <f>"20190312164518664"</f>
        <v>20190312164518664</v>
      </c>
      <c r="B2394" t="str">
        <f>"1552380318654450"</f>
        <v>1552380318654450</v>
      </c>
      <c r="C2394" t="s">
        <v>40</v>
      </c>
      <c r="D2394">
        <v>5.3097250000000003</v>
      </c>
      <c r="E2394">
        <v>0.53411049999999904</v>
      </c>
      <c r="F2394" t="s">
        <v>58</v>
      </c>
      <c r="G2394">
        <v>0</v>
      </c>
      <c r="H2394">
        <v>0</v>
      </c>
      <c r="I2394">
        <v>0</v>
      </c>
      <c r="J2394">
        <v>-445.67669999999998</v>
      </c>
      <c r="K2394">
        <v>1.1083369999999999</v>
      </c>
      <c r="L2394">
        <v>213.7354</v>
      </c>
      <c r="M2394">
        <v>0.99967410000000001</v>
      </c>
      <c r="N2394">
        <v>0</v>
      </c>
      <c r="O2394">
        <v>-2.161422E-2</v>
      </c>
      <c r="P2394">
        <v>0.987012</v>
      </c>
      <c r="Q2394">
        <v>0.1597073</v>
      </c>
      <c r="R2394">
        <v>-1.7342750000000001E-2</v>
      </c>
      <c r="S2394">
        <v>2.9378359999999999</v>
      </c>
      <c r="T2394">
        <v>0.60380659999999997</v>
      </c>
      <c r="U2394">
        <v>-0.29620360000000001</v>
      </c>
      <c r="V2394">
        <v>-3.6343489999999998E-3</v>
      </c>
      <c r="W2394">
        <v>0.1731094</v>
      </c>
      <c r="X2394">
        <v>0.98489590000000005</v>
      </c>
      <c r="Y2394">
        <v>7.7626059999999997E-2</v>
      </c>
      <c r="Z2394">
        <v>3.4907279999999998E-3</v>
      </c>
      <c r="AA2394">
        <v>0.99697639999999998</v>
      </c>
      <c r="AB2394">
        <v>29</v>
      </c>
      <c r="AC2394">
        <v>2.9378359999999999</v>
      </c>
      <c r="AD2394">
        <v>0.60380659999999997</v>
      </c>
      <c r="AE2394">
        <v>-0.29620360000000001</v>
      </c>
      <c r="AF2394">
        <v>0.223292189720494</v>
      </c>
      <c r="AG2394">
        <v>0.60380659999999997</v>
      </c>
      <c r="AH2394">
        <v>2.8254037388676401</v>
      </c>
      <c r="AI2394">
        <v>77.973389328683794</v>
      </c>
      <c r="AJ2394">
        <v>85.481295731147796</v>
      </c>
      <c r="AK2394">
        <v>2.89781781687548</v>
      </c>
      <c r="AL2394">
        <v>80.031344424600604</v>
      </c>
      <c r="AM2394">
        <v>90.211425302750797</v>
      </c>
      <c r="AN2394">
        <v>1.00000000334891</v>
      </c>
    </row>
    <row r="2395" spans="1:40" x14ac:dyDescent="0.25">
      <c r="A2395" t="str">
        <f>"20190312164518686"</f>
        <v>20190312164518686</v>
      </c>
      <c r="B2395" t="str">
        <f>"1552380318683731"</f>
        <v>1552380318683731</v>
      </c>
      <c r="C2395" t="s">
        <v>40</v>
      </c>
      <c r="D2395">
        <v>5.6209480000000003</v>
      </c>
      <c r="E2395">
        <v>0.53619099999999997</v>
      </c>
      <c r="F2395" t="s">
        <v>58</v>
      </c>
      <c r="G2395">
        <v>0</v>
      </c>
      <c r="H2395">
        <v>0</v>
      </c>
      <c r="I2395">
        <v>0</v>
      </c>
      <c r="J2395">
        <v>-445.38060000000002</v>
      </c>
      <c r="K2395">
        <v>1.108358</v>
      </c>
      <c r="L2395">
        <v>213.7277</v>
      </c>
      <c r="M2395">
        <v>0.9996505</v>
      </c>
      <c r="N2395">
        <v>0</v>
      </c>
      <c r="O2395">
        <v>-2.2692319999999998E-2</v>
      </c>
      <c r="P2395">
        <v>0.98738210000000004</v>
      </c>
      <c r="Q2395">
        <v>0.15695039999999999</v>
      </c>
      <c r="R2395">
        <v>-2.1062979999999999E-2</v>
      </c>
      <c r="S2395">
        <v>2.9358520000000001</v>
      </c>
      <c r="T2395">
        <v>0.60451659999999996</v>
      </c>
      <c r="U2395">
        <v>-0.32820129999999997</v>
      </c>
      <c r="V2395">
        <v>-1.0053449999999999E-3</v>
      </c>
      <c r="W2395">
        <v>0.17034389999999999</v>
      </c>
      <c r="X2395">
        <v>0.98538419999999904</v>
      </c>
      <c r="Y2395">
        <v>8.71807E-2</v>
      </c>
      <c r="Z2395">
        <v>4.2469109999999999E-3</v>
      </c>
      <c r="AA2395">
        <v>0.9961835</v>
      </c>
      <c r="AB2395">
        <v>29</v>
      </c>
      <c r="AC2395">
        <v>2.9358520000000001</v>
      </c>
      <c r="AD2395">
        <v>0.60451659999999996</v>
      </c>
      <c r="AE2395">
        <v>-0.32820129999999997</v>
      </c>
      <c r="AF2395">
        <v>0.25097959209467002</v>
      </c>
      <c r="AG2395">
        <v>0.60451659999999996</v>
      </c>
      <c r="AH2395">
        <v>2.82427770884772</v>
      </c>
      <c r="AI2395">
        <v>77.964582451043995</v>
      </c>
      <c r="AJ2395">
        <v>84.9217470558645</v>
      </c>
      <c r="AK2395">
        <v>2.8991336036853599</v>
      </c>
      <c r="AL2395">
        <v>80.192185654791402</v>
      </c>
      <c r="AM2395">
        <v>90.058456392408303</v>
      </c>
      <c r="AN2395">
        <v>1.0000000382976999</v>
      </c>
    </row>
    <row r="2396" spans="1:40" x14ac:dyDescent="0.25">
      <c r="A2396" t="str">
        <f>"20190312164518710"</f>
        <v>20190312164518710</v>
      </c>
      <c r="B2396" t="str">
        <f>"1552380318704227"</f>
        <v>1552380318704227</v>
      </c>
      <c r="C2396" t="s">
        <v>40</v>
      </c>
      <c r="D2396">
        <v>5.3382579999999997</v>
      </c>
      <c r="E2396">
        <v>0.53716649999999999</v>
      </c>
      <c r="F2396" t="s">
        <v>60</v>
      </c>
      <c r="G2396">
        <v>-169.73660000000001</v>
      </c>
      <c r="H2396">
        <v>57.2333</v>
      </c>
      <c r="I2396">
        <v>180.3244</v>
      </c>
      <c r="J2396">
        <v>-445.09190000000001</v>
      </c>
      <c r="K2396">
        <v>1.1084020000000001</v>
      </c>
      <c r="L2396">
        <v>213.72</v>
      </c>
      <c r="M2396">
        <v>0.99962779999999996</v>
      </c>
      <c r="N2396">
        <v>0</v>
      </c>
      <c r="O2396">
        <v>-2.3669249999999999E-2</v>
      </c>
      <c r="P2396">
        <v>0.98763179999999995</v>
      </c>
      <c r="Q2396">
        <v>0.15501609999999999</v>
      </c>
      <c r="R2396">
        <v>-2.3526680000000001E-2</v>
      </c>
      <c r="S2396">
        <v>2.93573</v>
      </c>
      <c r="T2396">
        <v>0.59775559999999905</v>
      </c>
      <c r="U2396">
        <v>-0.35575869999999998</v>
      </c>
      <c r="V2396">
        <v>4.6253929999999998E-4</v>
      </c>
      <c r="W2396">
        <v>0.16840260000000001</v>
      </c>
      <c r="X2396">
        <v>0.98571819999999999</v>
      </c>
      <c r="Y2396">
        <v>9.5320920000000003E-2</v>
      </c>
      <c r="Z2396">
        <v>4.8198190000000004E-3</v>
      </c>
      <c r="AA2396">
        <v>0.99543490000000001</v>
      </c>
      <c r="AB2396">
        <v>29</v>
      </c>
      <c r="AC2396">
        <v>275.3553</v>
      </c>
      <c r="AD2396">
        <v>56.124897999999902</v>
      </c>
      <c r="AE2396">
        <v>-33.395600000000002</v>
      </c>
      <c r="AF2396">
        <v>25.811386312809098</v>
      </c>
      <c r="AG2396">
        <v>56.124897999999902</v>
      </c>
      <c r="AH2396">
        <v>265.21009421275397</v>
      </c>
      <c r="AI2396">
        <v>78.105702907875994</v>
      </c>
      <c r="AJ2396">
        <v>84.441235260915207</v>
      </c>
      <c r="AK2396">
        <v>272.30979767764001</v>
      </c>
      <c r="AL2396">
        <v>80.305044274836405</v>
      </c>
      <c r="AM2396">
        <v>89.973114478555999</v>
      </c>
      <c r="AN2396">
        <v>1.0000000097202999</v>
      </c>
    </row>
    <row r="2397" spans="1:40" x14ac:dyDescent="0.25">
      <c r="A2397" t="str">
        <f>"20190312164518732"</f>
        <v>20190312164518732</v>
      </c>
      <c r="B2397" t="str">
        <f>"1552380318723746"</f>
        <v>1552380318723746</v>
      </c>
      <c r="C2397" t="s">
        <v>40</v>
      </c>
      <c r="D2397">
        <v>5.5558300000000003</v>
      </c>
      <c r="E2397">
        <v>0.53790179999999999</v>
      </c>
      <c r="F2397" t="s">
        <v>60</v>
      </c>
      <c r="G2397">
        <v>-169.7106</v>
      </c>
      <c r="H2397">
        <v>56.610689999999998</v>
      </c>
      <c r="I2397">
        <v>178.9417</v>
      </c>
      <c r="J2397">
        <v>-444.79680000000002</v>
      </c>
      <c r="K2397">
        <v>1.108484</v>
      </c>
      <c r="L2397">
        <v>213.71199999999999</v>
      </c>
      <c r="M2397">
        <v>0.99960700000000002</v>
      </c>
      <c r="N2397">
        <v>0</v>
      </c>
      <c r="O2397">
        <v>-2.4537799999999999E-2</v>
      </c>
      <c r="P2397">
        <v>0.98743919999999996</v>
      </c>
      <c r="Q2397">
        <v>0.155699</v>
      </c>
      <c r="R2397">
        <v>-2.6864760000000001E-2</v>
      </c>
      <c r="S2397">
        <v>2.9358520000000001</v>
      </c>
      <c r="T2397">
        <v>0.59171280000000004</v>
      </c>
      <c r="U2397">
        <v>-0.37077329999999997</v>
      </c>
      <c r="V2397">
        <v>2.9126310000000002E-3</v>
      </c>
      <c r="W2397">
        <v>0.16907179999999999</v>
      </c>
      <c r="X2397">
        <v>0.98559940000000001</v>
      </c>
      <c r="Y2397">
        <v>9.9430470000000007E-2</v>
      </c>
      <c r="Z2397">
        <v>5.006422E-3</v>
      </c>
      <c r="AA2397">
        <v>0.99503189999999997</v>
      </c>
      <c r="AB2397">
        <v>29</v>
      </c>
      <c r="AC2397">
        <v>275.08620000000002</v>
      </c>
      <c r="AD2397">
        <v>55.502206000000001</v>
      </c>
      <c r="AE2397">
        <v>-34.770299999999999</v>
      </c>
      <c r="AF2397">
        <v>26.9301569798861</v>
      </c>
      <c r="AG2397">
        <v>55.502206000000001</v>
      </c>
      <c r="AH2397">
        <v>265.229372718062</v>
      </c>
      <c r="AI2397">
        <v>78.239541034384104</v>
      </c>
      <c r="AJ2397">
        <v>84.202322118374497</v>
      </c>
      <c r="AK2397">
        <v>272.30928808662497</v>
      </c>
      <c r="AL2397">
        <v>80.266143734260496</v>
      </c>
      <c r="AM2397">
        <v>89.830680723038</v>
      </c>
      <c r="AN2397">
        <v>0.99999996712746997</v>
      </c>
    </row>
    <row r="2398" spans="1:40" x14ac:dyDescent="0.25">
      <c r="A2398" t="str">
        <f>"20190312164518754"</f>
        <v>20190312164518754</v>
      </c>
      <c r="B2398" t="str">
        <f>"1552380318744242"</f>
        <v>1552380318744242</v>
      </c>
      <c r="C2398" t="s">
        <v>40</v>
      </c>
      <c r="D2398">
        <v>5.6617160000000002</v>
      </c>
      <c r="E2398">
        <v>0.53659990000000002</v>
      </c>
      <c r="F2398" t="s">
        <v>60</v>
      </c>
      <c r="G2398">
        <v>-169.65530000000001</v>
      </c>
      <c r="H2398">
        <v>56.52561</v>
      </c>
      <c r="I2398">
        <v>177.3954</v>
      </c>
      <c r="J2398">
        <v>-444.52640000000002</v>
      </c>
      <c r="K2398">
        <v>1.108581</v>
      </c>
      <c r="L2398">
        <v>213.7045</v>
      </c>
      <c r="M2398">
        <v>0.99958990000000003</v>
      </c>
      <c r="N2398">
        <v>0</v>
      </c>
      <c r="O2398">
        <v>-2.52281E-2</v>
      </c>
      <c r="P2398">
        <v>0.98697369999999995</v>
      </c>
      <c r="Q2398">
        <v>0.1581719</v>
      </c>
      <c r="R2398">
        <v>-2.9408879999999998E-2</v>
      </c>
      <c r="S2398">
        <v>2.9344790000000001</v>
      </c>
      <c r="T2398">
        <v>0.59104279999999998</v>
      </c>
      <c r="U2398">
        <v>-0.38732909999999998</v>
      </c>
      <c r="V2398">
        <v>4.752844E-3</v>
      </c>
      <c r="W2398">
        <v>0.17153019999999999</v>
      </c>
      <c r="X2398">
        <v>0.98516740000000003</v>
      </c>
      <c r="Y2398">
        <v>0.1042438</v>
      </c>
      <c r="Z2398">
        <v>5.3424309999999999E-3</v>
      </c>
      <c r="AA2398">
        <v>0.99453740000000002</v>
      </c>
      <c r="AB2398">
        <v>29</v>
      </c>
      <c r="AC2398">
        <v>274.87110000000001</v>
      </c>
      <c r="AD2398">
        <v>55.417028999999999</v>
      </c>
      <c r="AE2398">
        <v>-36.309100000000001</v>
      </c>
      <c r="AF2398">
        <v>28.234465372944001</v>
      </c>
      <c r="AG2398">
        <v>55.417028999999999</v>
      </c>
      <c r="AH2398">
        <v>265.10863027312399</v>
      </c>
      <c r="AI2398">
        <v>78.257723641770397</v>
      </c>
      <c r="AJ2398">
        <v>83.920829203180901</v>
      </c>
      <c r="AK2398">
        <v>272.30647804151602</v>
      </c>
      <c r="AL2398">
        <v>80.123199983787103</v>
      </c>
      <c r="AM2398">
        <v>89.723584246501304</v>
      </c>
      <c r="AN2398">
        <v>1.0000000025304401</v>
      </c>
    </row>
    <row r="2399" spans="1:40" x14ac:dyDescent="0.25">
      <c r="A2399" t="str">
        <f>"20190312164518776"</f>
        <v>20190312164518776</v>
      </c>
      <c r="B2399" t="str">
        <f>"1552380318774499"</f>
        <v>1552380318774499</v>
      </c>
      <c r="C2399" t="s">
        <v>40</v>
      </c>
      <c r="D2399">
        <v>5.7459369999999996</v>
      </c>
      <c r="E2399">
        <v>0.53380810000000001</v>
      </c>
      <c r="F2399" t="s">
        <v>60</v>
      </c>
      <c r="G2399">
        <v>-169.73740000000001</v>
      </c>
      <c r="H2399">
        <v>56.813949999999998</v>
      </c>
      <c r="I2399">
        <v>177.62379999999999</v>
      </c>
      <c r="J2399">
        <v>-444.23820000000001</v>
      </c>
      <c r="K2399">
        <v>1.1086910000000001</v>
      </c>
      <c r="L2399">
        <v>213.69649999999999</v>
      </c>
      <c r="M2399">
        <v>0.99957510000000005</v>
      </c>
      <c r="N2399">
        <v>0</v>
      </c>
      <c r="O2399">
        <v>-2.5812370000000001E-2</v>
      </c>
      <c r="P2399">
        <v>0.98660230000000004</v>
      </c>
      <c r="Q2399">
        <v>0.16009809999999999</v>
      </c>
      <c r="R2399">
        <v>-3.1374859999999997E-2</v>
      </c>
      <c r="S2399">
        <v>2.9327999999999999</v>
      </c>
      <c r="T2399">
        <v>0.59453940000000005</v>
      </c>
      <c r="U2399">
        <v>-0.38508609999999999</v>
      </c>
      <c r="V2399">
        <v>6.1088239999999997E-3</v>
      </c>
      <c r="W2399">
        <v>0.17344509999999999</v>
      </c>
      <c r="X2399">
        <v>0.98482460000000005</v>
      </c>
      <c r="Y2399">
        <v>0.10300479999999999</v>
      </c>
      <c r="Z2399">
        <v>5.1362040000000001E-3</v>
      </c>
      <c r="AA2399">
        <v>0.99466759999999999</v>
      </c>
      <c r="AB2399">
        <v>29</v>
      </c>
      <c r="AC2399">
        <v>274.50080000000003</v>
      </c>
      <c r="AD2399">
        <v>55.705258999999998</v>
      </c>
      <c r="AE2399">
        <v>-36.072699999999998</v>
      </c>
      <c r="AF2399">
        <v>27.8471839529773</v>
      </c>
      <c r="AG2399">
        <v>55.705258999999998</v>
      </c>
      <c r="AH2399">
        <v>264.62768891917102</v>
      </c>
      <c r="AI2399">
        <v>78.175986175142995</v>
      </c>
      <c r="AJ2399">
        <v>83.992784756434901</v>
      </c>
      <c r="AK2399">
        <v>271.85723326236803</v>
      </c>
      <c r="AL2399">
        <v>80.011814841406405</v>
      </c>
      <c r="AM2399">
        <v>89.644601339140706</v>
      </c>
      <c r="AN2399">
        <v>1.00000000660491</v>
      </c>
    </row>
    <row r="2400" spans="1:40" x14ac:dyDescent="0.25">
      <c r="A2400" t="str">
        <f>"20190312164518797"</f>
        <v>20190312164518797</v>
      </c>
      <c r="B2400" t="str">
        <f>"1552380318794018"</f>
        <v>1552380318794018</v>
      </c>
      <c r="C2400" t="s">
        <v>40</v>
      </c>
      <c r="D2400">
        <v>5.4954519999999896</v>
      </c>
      <c r="E2400">
        <v>0.49804880000000001</v>
      </c>
      <c r="F2400" t="s">
        <v>58</v>
      </c>
      <c r="G2400">
        <v>0</v>
      </c>
      <c r="H2400">
        <v>0</v>
      </c>
      <c r="I2400">
        <v>0</v>
      </c>
      <c r="J2400">
        <v>-443.96289999999999</v>
      </c>
      <c r="K2400">
        <v>1.1088020000000001</v>
      </c>
      <c r="L2400">
        <v>213.68879999999999</v>
      </c>
      <c r="M2400">
        <v>0.99956500000000004</v>
      </c>
      <c r="N2400">
        <v>0</v>
      </c>
      <c r="O2400">
        <v>-2.619875E-2</v>
      </c>
      <c r="P2400">
        <v>0.98638700000000001</v>
      </c>
      <c r="Q2400">
        <v>0.16107199999999999</v>
      </c>
      <c r="R2400">
        <v>-3.3112599999999999E-2</v>
      </c>
      <c r="S2400">
        <v>2.9313660000000001</v>
      </c>
      <c r="T2400">
        <v>0.60164640000000003</v>
      </c>
      <c r="U2400">
        <v>-0.36935420000000002</v>
      </c>
      <c r="V2400">
        <v>7.4219669999999998E-3</v>
      </c>
      <c r="W2400">
        <v>0.17441199999999901</v>
      </c>
      <c r="X2400">
        <v>0.98464479999999999</v>
      </c>
      <c r="Y2400">
        <v>9.7511379999999995E-2</v>
      </c>
      <c r="Z2400">
        <v>4.5665609999999898E-3</v>
      </c>
      <c r="AA2400">
        <v>0.99522390000000005</v>
      </c>
      <c r="AB2400">
        <v>29</v>
      </c>
      <c r="AC2400">
        <v>2.9313660000000001</v>
      </c>
      <c r="AD2400">
        <v>0.60164640000000003</v>
      </c>
      <c r="AE2400">
        <v>-0.36935420000000002</v>
      </c>
      <c r="AF2400">
        <v>0.28077917988651002</v>
      </c>
      <c r="AG2400">
        <v>0.60164640000000003</v>
      </c>
      <c r="AH2400">
        <v>2.8229769815244299</v>
      </c>
      <c r="AI2400">
        <v>78.026216802650794</v>
      </c>
      <c r="AJ2400">
        <v>84.319923524785295</v>
      </c>
      <c r="AK2400">
        <v>2.9000024787416101</v>
      </c>
      <c r="AL2400">
        <v>79.955558101841405</v>
      </c>
      <c r="AM2400">
        <v>89.568129206299105</v>
      </c>
      <c r="AN2400">
        <v>1.00000000675259</v>
      </c>
    </row>
    <row r="2401" spans="1:40" x14ac:dyDescent="0.25">
      <c r="A2401" t="str">
        <f>"20190312164518820"</f>
        <v>20190312164518820</v>
      </c>
      <c r="B2401" t="str">
        <f>"1552380318814515"</f>
        <v>1552380318814515</v>
      </c>
      <c r="C2401" t="s">
        <v>40</v>
      </c>
      <c r="D2401">
        <v>5.5949869999999997</v>
      </c>
      <c r="E2401">
        <v>0.49864190000000003</v>
      </c>
      <c r="F2401" t="s">
        <v>58</v>
      </c>
      <c r="G2401">
        <v>0</v>
      </c>
      <c r="H2401">
        <v>0</v>
      </c>
      <c r="I2401">
        <v>0</v>
      </c>
      <c r="J2401">
        <v>-443.66890000000001</v>
      </c>
      <c r="K2401">
        <v>1.10893</v>
      </c>
      <c r="L2401">
        <v>213.6807</v>
      </c>
      <c r="M2401">
        <v>0.99955910000000003</v>
      </c>
      <c r="N2401">
        <v>0</v>
      </c>
      <c r="O2401">
        <v>-2.6431739999999999E-2</v>
      </c>
      <c r="P2401">
        <v>0.98632730000000002</v>
      </c>
      <c r="Q2401">
        <v>0.16120010000000001</v>
      </c>
      <c r="R2401">
        <v>-3.4254640000000003E-2</v>
      </c>
      <c r="S2401">
        <v>2.9377749999999998</v>
      </c>
      <c r="T2401">
        <v>0.61632779999999998</v>
      </c>
      <c r="U2401">
        <v>-9.0011599999999997E-2</v>
      </c>
      <c r="V2401">
        <v>8.2795819999999902E-3</v>
      </c>
      <c r="W2401">
        <v>0.17453640000000001</v>
      </c>
      <c r="X2401">
        <v>0.98461589999999999</v>
      </c>
      <c r="Y2401">
        <v>4.6658070000000001E-3</v>
      </c>
      <c r="Z2401">
        <v>-4.9996859999999997E-3</v>
      </c>
      <c r="AA2401">
        <v>0.99997659999999999</v>
      </c>
      <c r="AB2401">
        <v>29</v>
      </c>
      <c r="AC2401">
        <v>2.9377749999999998</v>
      </c>
      <c r="AD2401">
        <v>0.61632779999999998</v>
      </c>
      <c r="AE2401">
        <v>-9.0011599999999997E-2</v>
      </c>
      <c r="AF2401">
        <v>1.1803509121849E-2</v>
      </c>
      <c r="AG2401">
        <v>0.61632779999999998</v>
      </c>
      <c r="AH2401">
        <v>2.8153312721389101</v>
      </c>
      <c r="AI2401">
        <v>77.651810590905797</v>
      </c>
      <c r="AJ2401">
        <v>89.759784114821102</v>
      </c>
      <c r="AK2401">
        <v>2.8820287041880301</v>
      </c>
      <c r="AL2401">
        <v>79.948319293377395</v>
      </c>
      <c r="AM2401">
        <v>89.518214235733097</v>
      </c>
      <c r="AN2401">
        <v>0.99999998846793203</v>
      </c>
    </row>
    <row r="2402" spans="1:40" x14ac:dyDescent="0.25">
      <c r="A2402" t="str">
        <f>"20190312164518842"</f>
        <v>20190312164518842</v>
      </c>
      <c r="B2402" t="str">
        <f>"1552380318834034"</f>
        <v>1552380318834034</v>
      </c>
      <c r="C2402" t="s">
        <v>40</v>
      </c>
      <c r="D2402">
        <v>5.5498919999999998</v>
      </c>
      <c r="E2402">
        <v>0.4988901</v>
      </c>
      <c r="F2402" t="s">
        <v>58</v>
      </c>
      <c r="G2402">
        <v>0</v>
      </c>
      <c r="H2402">
        <v>0</v>
      </c>
      <c r="I2402">
        <v>0</v>
      </c>
      <c r="J2402">
        <v>-443.38240000000002</v>
      </c>
      <c r="K2402">
        <v>1.1090500000000001</v>
      </c>
      <c r="L2402">
        <v>213.6729</v>
      </c>
      <c r="M2402">
        <v>0.99955709999999998</v>
      </c>
      <c r="N2402">
        <v>0</v>
      </c>
      <c r="O2402">
        <v>-2.6508819999999999E-2</v>
      </c>
      <c r="P2402">
        <v>0.98630910000000005</v>
      </c>
      <c r="Q2402">
        <v>0.1610992</v>
      </c>
      <c r="R2402">
        <v>-3.5237299999999999E-2</v>
      </c>
      <c r="S2402">
        <v>2.9367070000000002</v>
      </c>
      <c r="T2402">
        <v>0.62055769999999899</v>
      </c>
      <c r="U2402">
        <v>-9.8587040000000001E-2</v>
      </c>
      <c r="V2402">
        <v>9.1353470000000003E-3</v>
      </c>
      <c r="W2402">
        <v>0.17443349999999999</v>
      </c>
      <c r="X2402">
        <v>0.98462660000000002</v>
      </c>
      <c r="Y2402">
        <v>7.4635530000000004E-3</v>
      </c>
      <c r="Z2402">
        <v>-4.7585809999999996E-3</v>
      </c>
      <c r="AA2402">
        <v>0.99996079999999998</v>
      </c>
      <c r="AB2402">
        <v>29</v>
      </c>
      <c r="AC2402">
        <v>2.9367070000000002</v>
      </c>
      <c r="AD2402">
        <v>0.62055769999999899</v>
      </c>
      <c r="AE2402">
        <v>-9.8587040000000001E-2</v>
      </c>
      <c r="AF2402">
        <v>1.98129354637646E-2</v>
      </c>
      <c r="AG2402">
        <v>0.62055769999999899</v>
      </c>
      <c r="AH2402">
        <v>2.8128306981656301</v>
      </c>
      <c r="AI2402">
        <v>77.559176453122504</v>
      </c>
      <c r="AJ2402">
        <v>89.596428320776099</v>
      </c>
      <c r="AK2402">
        <v>2.8805383087166101</v>
      </c>
      <c r="AL2402">
        <v>79.954307209453503</v>
      </c>
      <c r="AM2402">
        <v>89.468426092158396</v>
      </c>
      <c r="AN2402">
        <v>1.0000000209573101</v>
      </c>
    </row>
    <row r="2403" spans="1:40" x14ac:dyDescent="0.25">
      <c r="A2403" t="str">
        <f>"20190312164518865"</f>
        <v>20190312164518865</v>
      </c>
      <c r="B2403" t="str">
        <f>"1552380318854530"</f>
        <v>1552380318854530</v>
      </c>
      <c r="C2403" t="s">
        <v>40</v>
      </c>
      <c r="D2403">
        <v>5.4767409999999996</v>
      </c>
      <c r="E2403">
        <v>0.49831710000000001</v>
      </c>
      <c r="F2403" t="s">
        <v>58</v>
      </c>
      <c r="G2403">
        <v>0</v>
      </c>
      <c r="H2403">
        <v>0</v>
      </c>
      <c r="I2403">
        <v>0</v>
      </c>
      <c r="J2403">
        <v>-443.09980000000002</v>
      </c>
      <c r="K2403">
        <v>1.109151</v>
      </c>
      <c r="L2403">
        <v>213.66540000000001</v>
      </c>
      <c r="M2403">
        <v>0.99955850000000002</v>
      </c>
      <c r="N2403">
        <v>0</v>
      </c>
      <c r="O2403">
        <v>-2.6458349999999999E-2</v>
      </c>
      <c r="P2403">
        <v>0.98647030000000002</v>
      </c>
      <c r="Q2403">
        <v>0.16015499999999999</v>
      </c>
      <c r="R2403">
        <v>-3.502835E-2</v>
      </c>
      <c r="S2403">
        <v>2.9379270000000002</v>
      </c>
      <c r="T2403">
        <v>0.61237810000000004</v>
      </c>
      <c r="U2403">
        <v>-0.1033173</v>
      </c>
      <c r="V2403">
        <v>8.9290749999999999E-3</v>
      </c>
      <c r="W2403">
        <v>0.1734897</v>
      </c>
      <c r="X2403">
        <v>0.98479519999999998</v>
      </c>
      <c r="Y2403">
        <v>9.061576E-3</v>
      </c>
      <c r="Z2403">
        <v>-4.5199970000000004E-3</v>
      </c>
      <c r="AA2403">
        <v>0.99994870000000002</v>
      </c>
      <c r="AB2403">
        <v>29</v>
      </c>
      <c r="AC2403">
        <v>2.9379270000000002</v>
      </c>
      <c r="AD2403">
        <v>0.61237810000000004</v>
      </c>
      <c r="AE2403">
        <v>-0.1033173</v>
      </c>
      <c r="AF2403">
        <v>2.4479095162515601E-2</v>
      </c>
      <c r="AG2403">
        <v>0.61237810000000004</v>
      </c>
      <c r="AH2403">
        <v>2.8173774446424402</v>
      </c>
      <c r="AI2403">
        <v>77.737524921451893</v>
      </c>
      <c r="AJ2403">
        <v>89.502191816839996</v>
      </c>
      <c r="AK2403">
        <v>2.8832658269815399</v>
      </c>
      <c r="AL2403">
        <v>80.009219997092003</v>
      </c>
      <c r="AM2403">
        <v>89.480517072216799</v>
      </c>
      <c r="AN2403">
        <v>0.99999999516474203</v>
      </c>
    </row>
    <row r="2404" spans="1:40" x14ac:dyDescent="0.25">
      <c r="A2404" t="str">
        <f>"20190312164518887"</f>
        <v>20190312164518887</v>
      </c>
      <c r="B2404" t="str">
        <f>"1552380318883810"</f>
        <v>1552380318883810</v>
      </c>
      <c r="C2404" t="s">
        <v>40</v>
      </c>
      <c r="D2404">
        <v>5.4731459999999998</v>
      </c>
      <c r="E2404">
        <v>0.49824059999999998</v>
      </c>
      <c r="F2404" t="s">
        <v>60</v>
      </c>
      <c r="G2404">
        <v>-169.7286</v>
      </c>
      <c r="H2404">
        <v>57.370289999999997</v>
      </c>
      <c r="I2404">
        <v>204.6104</v>
      </c>
      <c r="J2404">
        <v>-442.82459999999998</v>
      </c>
      <c r="K2404">
        <v>1.1092219999999999</v>
      </c>
      <c r="L2404">
        <v>213.65809999999999</v>
      </c>
      <c r="M2404">
        <v>0.99956219999999996</v>
      </c>
      <c r="N2404">
        <v>0</v>
      </c>
      <c r="O2404">
        <v>-2.631534E-2</v>
      </c>
      <c r="P2404">
        <v>0.98654790000000003</v>
      </c>
      <c r="Q2404">
        <v>0.16008149999999999</v>
      </c>
      <c r="R2404">
        <v>-3.3123489999999998E-2</v>
      </c>
      <c r="S2404">
        <v>2.9394840000000002</v>
      </c>
      <c r="T2404">
        <v>0.60496039999999995</v>
      </c>
      <c r="U2404">
        <v>-9.7366330000000001E-2</v>
      </c>
      <c r="V2404">
        <v>7.1319E-3</v>
      </c>
      <c r="W2404">
        <v>0.17341409999999999</v>
      </c>
      <c r="X2404">
        <v>0.98482320000000001</v>
      </c>
      <c r="Y2404">
        <v>7.1909230000000001E-3</v>
      </c>
      <c r="Z2404">
        <v>-4.6255869999999996E-3</v>
      </c>
      <c r="AA2404">
        <v>0.99996350000000001</v>
      </c>
      <c r="AB2404">
        <v>28</v>
      </c>
      <c r="AC2404">
        <v>273.096</v>
      </c>
      <c r="AD2404">
        <v>56.261068000000002</v>
      </c>
      <c r="AE2404">
        <v>-9.0476999999999901</v>
      </c>
      <c r="AF2404">
        <v>1.7817580668777799</v>
      </c>
      <c r="AG2404">
        <v>56.261068000000002</v>
      </c>
      <c r="AH2404">
        <v>262.12680471615499</v>
      </c>
      <c r="AI2404">
        <v>77.886490263178501</v>
      </c>
      <c r="AJ2404">
        <v>89.610548622685201</v>
      </c>
      <c r="AK2404">
        <v>268.10248821115198</v>
      </c>
      <c r="AL2404">
        <v>80.013618522523302</v>
      </c>
      <c r="AM2404">
        <v>89.585082249477395</v>
      </c>
      <c r="AN2404">
        <v>1.00000002466732</v>
      </c>
    </row>
    <row r="2405" spans="1:40" x14ac:dyDescent="0.25">
      <c r="A2405" t="str">
        <f>"20190312164518911"</f>
        <v>20190312164518911</v>
      </c>
      <c r="B2405" t="str">
        <f>"1552380318904306"</f>
        <v>1552380318904306</v>
      </c>
      <c r="C2405" t="s">
        <v>40</v>
      </c>
      <c r="D2405">
        <v>5.4186930000000002</v>
      </c>
      <c r="E2405">
        <v>0.49840839999999997</v>
      </c>
      <c r="F2405" t="s">
        <v>60</v>
      </c>
      <c r="G2405">
        <v>-169.72819999999999</v>
      </c>
      <c r="H2405">
        <v>56.751359999999998</v>
      </c>
      <c r="I2405">
        <v>205.28039999999999</v>
      </c>
      <c r="J2405">
        <v>-442.5215</v>
      </c>
      <c r="K2405">
        <v>1.109273</v>
      </c>
      <c r="L2405">
        <v>213.65029999999999</v>
      </c>
      <c r="M2405">
        <v>0.99956800000000001</v>
      </c>
      <c r="N2405">
        <v>0</v>
      </c>
      <c r="O2405">
        <v>-2.6097160000000001E-2</v>
      </c>
      <c r="P2405">
        <v>0.98673029999999995</v>
      </c>
      <c r="Q2405">
        <v>0.15941920000000001</v>
      </c>
      <c r="R2405">
        <v>-3.0801519999999999E-2</v>
      </c>
      <c r="S2405">
        <v>2.940674</v>
      </c>
      <c r="T2405">
        <v>0.59914899999999904</v>
      </c>
      <c r="U2405">
        <v>-9.0209960000000006E-2</v>
      </c>
      <c r="V2405">
        <v>4.9967459999999998E-3</v>
      </c>
      <c r="W2405">
        <v>0.17275009999999999</v>
      </c>
      <c r="X2405">
        <v>0.98495299999999997</v>
      </c>
      <c r="Y2405">
        <v>4.9974449999999997E-3</v>
      </c>
      <c r="Z2405">
        <v>-4.7576069999999996E-3</v>
      </c>
      <c r="AA2405">
        <v>0.99997619999999998</v>
      </c>
      <c r="AB2405">
        <v>28</v>
      </c>
      <c r="AC2405">
        <v>272.79329999999999</v>
      </c>
      <c r="AD2405">
        <v>55.642086999999997</v>
      </c>
      <c r="AE2405">
        <v>-8.3698999999999995</v>
      </c>
      <c r="AF2405">
        <v>1.1974936170091399</v>
      </c>
      <c r="AG2405">
        <v>55.642086999999997</v>
      </c>
      <c r="AH2405">
        <v>262.02757229338999</v>
      </c>
      <c r="AI2405">
        <v>78.011334247154096</v>
      </c>
      <c r="AJ2405">
        <v>89.738154072928296</v>
      </c>
      <c r="AK2405">
        <v>267.872963321508</v>
      </c>
      <c r="AL2405">
        <v>80.052245542808706</v>
      </c>
      <c r="AM2405">
        <v>89.709336383446498</v>
      </c>
      <c r="AN2405">
        <v>0.99999998836479898</v>
      </c>
    </row>
    <row r="2406" spans="1:40" x14ac:dyDescent="0.25">
      <c r="A2406" t="str">
        <f>"20190312164518933"</f>
        <v>20190312164518933</v>
      </c>
      <c r="B2406" t="str">
        <f>"1552380318923826"</f>
        <v>1552380318923826</v>
      </c>
      <c r="C2406" t="s">
        <v>40</v>
      </c>
      <c r="D2406">
        <v>5.4756390000000001</v>
      </c>
      <c r="E2406">
        <v>0.49860260000000001</v>
      </c>
      <c r="F2406" t="s">
        <v>60</v>
      </c>
      <c r="G2406">
        <v>-169.4271</v>
      </c>
      <c r="H2406">
        <v>56.20393</v>
      </c>
      <c r="I2406">
        <v>205.851</v>
      </c>
      <c r="J2406">
        <v>-442.23919999999998</v>
      </c>
      <c r="K2406">
        <v>1.1092949999999999</v>
      </c>
      <c r="L2406">
        <v>213.6431</v>
      </c>
      <c r="M2406">
        <v>0.99957410000000002</v>
      </c>
      <c r="N2406">
        <v>0</v>
      </c>
      <c r="O2406">
        <v>-2.587273E-2</v>
      </c>
      <c r="P2406">
        <v>0.98713399999999996</v>
      </c>
      <c r="Q2406">
        <v>0.15735950000000001</v>
      </c>
      <c r="R2406">
        <v>-2.8370820000000001E-2</v>
      </c>
      <c r="S2406">
        <v>2.9418030000000002</v>
      </c>
      <c r="T2406">
        <v>0.59348599999999996</v>
      </c>
      <c r="U2406">
        <v>-8.4014889999999995E-2</v>
      </c>
      <c r="V2406">
        <v>2.7645550000000001E-3</v>
      </c>
      <c r="W2406">
        <v>0.1706916</v>
      </c>
      <c r="X2406">
        <v>0.98532059999999999</v>
      </c>
      <c r="Y2406">
        <v>3.1309210000000001E-3</v>
      </c>
      <c r="Z2406">
        <v>-4.8534999999999898E-3</v>
      </c>
      <c r="AA2406">
        <v>0.99998330000000002</v>
      </c>
      <c r="AB2406">
        <v>28</v>
      </c>
      <c r="AC2406">
        <v>272.81209999999999</v>
      </c>
      <c r="AD2406">
        <v>55.094634999999997</v>
      </c>
      <c r="AE2406">
        <v>-7.7920999999999996</v>
      </c>
      <c r="AF2406">
        <v>0.70185295538401804</v>
      </c>
      <c r="AG2406">
        <v>55.094634999999997</v>
      </c>
      <c r="AH2406">
        <v>262.23602516751998</v>
      </c>
      <c r="AI2406">
        <v>78.135016158776196</v>
      </c>
      <c r="AJ2406">
        <v>89.846652967918899</v>
      </c>
      <c r="AK2406">
        <v>267.96202025476401</v>
      </c>
      <c r="AL2406">
        <v>80.171967185702101</v>
      </c>
      <c r="AM2406">
        <v>89.839243269561806</v>
      </c>
      <c r="AN2406">
        <v>0.999999974929633</v>
      </c>
    </row>
    <row r="2407" spans="1:40" x14ac:dyDescent="0.25">
      <c r="A2407" t="str">
        <f>"20190312164518957"</f>
        <v>20190312164518957</v>
      </c>
      <c r="B2407" t="str">
        <f>"1552380318954082"</f>
        <v>1552380318954082</v>
      </c>
      <c r="C2407" t="s">
        <v>40</v>
      </c>
      <c r="D2407">
        <v>5.3536710000000003</v>
      </c>
      <c r="E2407">
        <v>0.49874350000000001</v>
      </c>
      <c r="F2407" t="s">
        <v>60</v>
      </c>
      <c r="G2407">
        <v>-168.7765</v>
      </c>
      <c r="H2407">
        <v>55.219380000000001</v>
      </c>
      <c r="I2407">
        <v>206.43010000000001</v>
      </c>
      <c r="J2407">
        <v>-441.94819999999999</v>
      </c>
      <c r="K2407">
        <v>1.1092979999999999</v>
      </c>
      <c r="L2407">
        <v>213.63579999999999</v>
      </c>
      <c r="M2407">
        <v>0.99958000000000002</v>
      </c>
      <c r="N2407">
        <v>0</v>
      </c>
      <c r="O2407">
        <v>-2.5643699999999998E-2</v>
      </c>
      <c r="P2407">
        <v>0.98755409999999999</v>
      </c>
      <c r="Q2407">
        <v>0.155332</v>
      </c>
      <c r="R2407">
        <v>-2.468679E-2</v>
      </c>
      <c r="S2407">
        <v>2.944</v>
      </c>
      <c r="T2407">
        <v>0.58252990000000004</v>
      </c>
      <c r="U2407">
        <v>-7.7651979999999995E-2</v>
      </c>
      <c r="V2407">
        <v>-7.0859609999999996E-4</v>
      </c>
      <c r="W2407">
        <v>0.16866429999999999</v>
      </c>
      <c r="X2407">
        <v>0.98567329999999997</v>
      </c>
      <c r="Y2407">
        <v>1.1949619999999999E-3</v>
      </c>
      <c r="Z2407">
        <v>-4.9071100000000001E-3</v>
      </c>
      <c r="AA2407">
        <v>0.99998719999999996</v>
      </c>
      <c r="AB2407">
        <v>28</v>
      </c>
      <c r="AC2407">
        <v>273.17169999999999</v>
      </c>
      <c r="AD2407">
        <v>54.110081999999998</v>
      </c>
      <c r="AE2407">
        <v>-7.20569999999997</v>
      </c>
      <c r="AF2407">
        <v>0.19010471686973901</v>
      </c>
      <c r="AG2407">
        <v>54.110081999999998</v>
      </c>
      <c r="AH2407">
        <v>262.95645611505</v>
      </c>
      <c r="AI2407">
        <v>78.3722244218431</v>
      </c>
      <c r="AJ2407">
        <v>89.958577947826598</v>
      </c>
      <c r="AK2407">
        <v>268.46607779463699</v>
      </c>
      <c r="AL2407">
        <v>80.289832294601894</v>
      </c>
      <c r="AM2407">
        <v>90.041189670974404</v>
      </c>
      <c r="AN2407">
        <v>1.0000000012679</v>
      </c>
    </row>
    <row r="2408" spans="1:40" x14ac:dyDescent="0.25">
      <c r="A2408" t="str">
        <f>"20190312164518978"</f>
        <v>20190312164518978</v>
      </c>
      <c r="B2408" t="str">
        <f>"1552380318973602"</f>
        <v>1552380318973602</v>
      </c>
      <c r="C2408" t="s">
        <v>40</v>
      </c>
      <c r="D2408">
        <v>6.2138010000000001</v>
      </c>
      <c r="E2408">
        <v>0.49888440000000001</v>
      </c>
      <c r="F2408" t="s">
        <v>60</v>
      </c>
      <c r="G2408">
        <v>-168.4281</v>
      </c>
      <c r="H2408">
        <v>54.163220000000003</v>
      </c>
      <c r="I2408">
        <v>207.3759</v>
      </c>
      <c r="J2408">
        <v>-441.67</v>
      </c>
      <c r="K2408">
        <v>1.1092930000000001</v>
      </c>
      <c r="L2408">
        <v>213.62889999999999</v>
      </c>
      <c r="M2408">
        <v>0.99958499999999995</v>
      </c>
      <c r="N2408">
        <v>0</v>
      </c>
      <c r="O2408">
        <v>-2.5445349999999999E-2</v>
      </c>
      <c r="P2408">
        <v>0.98764680000000005</v>
      </c>
      <c r="Q2408">
        <v>0.15521969999999999</v>
      </c>
      <c r="R2408">
        <v>-2.1464819999999999E-2</v>
      </c>
      <c r="S2408">
        <v>2.9462280000000001</v>
      </c>
      <c r="T2408">
        <v>0.57147219999999999</v>
      </c>
      <c r="U2408">
        <v>-6.7428589999999997E-2</v>
      </c>
      <c r="V2408">
        <v>-3.7355000000000001E-3</v>
      </c>
      <c r="W2408">
        <v>0.16854820000000001</v>
      </c>
      <c r="X2408">
        <v>0.98568630000000002</v>
      </c>
      <c r="Y2408">
        <v>-2.0558030000000001E-3</v>
      </c>
      <c r="Z2408">
        <v>-5.0865820000000001E-3</v>
      </c>
      <c r="AA2408">
        <v>0.99998500000000001</v>
      </c>
      <c r="AB2408">
        <v>28</v>
      </c>
      <c r="AC2408">
        <v>273.24189999999999</v>
      </c>
      <c r="AD2408">
        <v>53.053927000000002</v>
      </c>
      <c r="AE2408">
        <v>-6.2529999999999797</v>
      </c>
      <c r="AF2408">
        <v>-0.67688949746023797</v>
      </c>
      <c r="AG2408">
        <v>53.053927000000002</v>
      </c>
      <c r="AH2408">
        <v>263.388025278746</v>
      </c>
      <c r="AI2408">
        <v>78.611411672665298</v>
      </c>
      <c r="AJ2408">
        <v>90.147245972853995</v>
      </c>
      <c r="AK2408">
        <v>268.67904497699601</v>
      </c>
      <c r="AL2408">
        <v>80.296580604810202</v>
      </c>
      <c r="AM2408">
        <v>90.217135370292397</v>
      </c>
      <c r="AN2408">
        <v>0.99999996584558903</v>
      </c>
    </row>
    <row r="2409" spans="1:40" x14ac:dyDescent="0.25">
      <c r="A2409" t="str">
        <f>"20190312164519000"</f>
        <v>20190312164519000</v>
      </c>
      <c r="B2409" t="str">
        <f>"1552380318994098"</f>
        <v>1552380318994098</v>
      </c>
      <c r="C2409" t="s">
        <v>40</v>
      </c>
      <c r="D2409">
        <v>5.4220110000000004</v>
      </c>
      <c r="E2409">
        <v>0.49875649999999999</v>
      </c>
      <c r="F2409" t="s">
        <v>60</v>
      </c>
      <c r="G2409">
        <v>-168.42769999999999</v>
      </c>
      <c r="H2409">
        <v>53.500599999999999</v>
      </c>
      <c r="I2409">
        <v>208.1756</v>
      </c>
      <c r="J2409">
        <v>-441.39179999999999</v>
      </c>
      <c r="K2409">
        <v>1.1092820000000001</v>
      </c>
      <c r="L2409">
        <v>213.62200000000001</v>
      </c>
      <c r="M2409">
        <v>0.99958939999999996</v>
      </c>
      <c r="N2409">
        <v>0</v>
      </c>
      <c r="O2409">
        <v>-2.527722E-2</v>
      </c>
      <c r="P2409">
        <v>0.98744699999999996</v>
      </c>
      <c r="Q2409">
        <v>0.15672849999999999</v>
      </c>
      <c r="R2409">
        <v>-1.962115E-2</v>
      </c>
      <c r="S2409">
        <v>2.9474179999999999</v>
      </c>
      <c r="T2409">
        <v>0.56513639999999998</v>
      </c>
      <c r="U2409">
        <v>-5.8822630000000001E-2</v>
      </c>
      <c r="V2409">
        <v>-5.4016860000000002E-3</v>
      </c>
      <c r="W2409">
        <v>0.170046</v>
      </c>
      <c r="X2409">
        <v>0.98542130000000006</v>
      </c>
      <c r="Y2409">
        <v>-4.7802859999999999E-3</v>
      </c>
      <c r="Z2409">
        <v>-5.2562859999999998E-3</v>
      </c>
      <c r="AA2409">
        <v>0.99997480000000005</v>
      </c>
      <c r="AB2409">
        <v>28</v>
      </c>
      <c r="AC2409">
        <v>272.96409999999997</v>
      </c>
      <c r="AD2409">
        <v>52.391317999999998</v>
      </c>
      <c r="AE2409">
        <v>-5.4464000000000103</v>
      </c>
      <c r="AF2409">
        <v>-1.4040396433379401</v>
      </c>
      <c r="AG2409">
        <v>52.391317999999998</v>
      </c>
      <c r="AH2409">
        <v>263.318041590794</v>
      </c>
      <c r="AI2409">
        <v>78.747204020472296</v>
      </c>
      <c r="AJ2409">
        <v>90.305504260047897</v>
      </c>
      <c r="AK2409">
        <v>268.48316996845199</v>
      </c>
      <c r="AL2409">
        <v>80.209506192711004</v>
      </c>
      <c r="AM2409">
        <v>90.314069434288001</v>
      </c>
      <c r="AN2409">
        <v>0.99999997941066598</v>
      </c>
    </row>
    <row r="2410" spans="1:40" x14ac:dyDescent="0.25">
      <c r="A2410" t="str">
        <f>"20190312164519122"</f>
        <v>20190312164519122</v>
      </c>
      <c r="B2410" t="str">
        <f>"1552380319114146"</f>
        <v>1552380319114146</v>
      </c>
      <c r="C2410" t="s">
        <v>40</v>
      </c>
      <c r="D2410">
        <v>5.0795570000000003</v>
      </c>
      <c r="E2410">
        <v>0.50330390000000003</v>
      </c>
      <c r="F2410" t="s">
        <v>60</v>
      </c>
      <c r="G2410">
        <v>-169.4101</v>
      </c>
      <c r="H2410">
        <v>53.350990000000003</v>
      </c>
      <c r="I2410">
        <v>208.77510000000001</v>
      </c>
      <c r="J2410">
        <v>-439.84589999999997</v>
      </c>
      <c r="K2410">
        <v>1.109218</v>
      </c>
      <c r="L2410">
        <v>213.584</v>
      </c>
      <c r="M2410">
        <v>0.99960470000000001</v>
      </c>
      <c r="N2410">
        <v>0</v>
      </c>
      <c r="O2410">
        <v>-2.4762490000000002E-2</v>
      </c>
      <c r="P2410">
        <v>0.98624520000000004</v>
      </c>
      <c r="Q2410">
        <v>0.16356850000000001</v>
      </c>
      <c r="R2410">
        <v>-2.3792580000000001E-2</v>
      </c>
      <c r="S2410">
        <v>2.947235</v>
      </c>
      <c r="T2410">
        <v>0.56609940000000003</v>
      </c>
      <c r="U2410">
        <v>-5.2520749999999998E-2</v>
      </c>
      <c r="V2410">
        <v>-6.6158919999999895E-4</v>
      </c>
      <c r="W2410">
        <v>0.1766962</v>
      </c>
      <c r="X2410">
        <v>0.98426519999999995</v>
      </c>
      <c r="Y2410">
        <v>-6.3797000000000003E-3</v>
      </c>
      <c r="Z2410">
        <v>-5.3197899999999996E-3</v>
      </c>
      <c r="AA2410">
        <v>0.99996549999999995</v>
      </c>
      <c r="AB2410">
        <v>28</v>
      </c>
      <c r="AC2410">
        <v>270.43579999999997</v>
      </c>
      <c r="AD2410">
        <v>52.241771999999997</v>
      </c>
      <c r="AE2410">
        <v>-4.8088999999999897</v>
      </c>
      <c r="AF2410">
        <v>-1.8218670247893101</v>
      </c>
      <c r="AG2410">
        <v>52.241771999999997</v>
      </c>
      <c r="AH2410">
        <v>260.74479666099</v>
      </c>
      <c r="AI2410">
        <v>78.6707281141978</v>
      </c>
      <c r="AJ2410">
        <v>90.400328574251802</v>
      </c>
      <c r="AK2410">
        <v>265.93301962512498</v>
      </c>
      <c r="AL2410">
        <v>79.822618239698201</v>
      </c>
      <c r="AM2410">
        <v>90.0385122457064</v>
      </c>
      <c r="AN2410">
        <v>0.99999998436287396</v>
      </c>
    </row>
    <row r="2411" spans="1:40" x14ac:dyDescent="0.25">
      <c r="A2411" t="str">
        <f>"20190312164519146"</f>
        <v>20190312164519146</v>
      </c>
      <c r="B2411" t="str">
        <f>"1552380319133666"</f>
        <v>1552380319133666</v>
      </c>
      <c r="C2411" t="s">
        <v>40</v>
      </c>
      <c r="D2411">
        <v>5.7321429999999998</v>
      </c>
      <c r="E2411">
        <v>0.50568369999999996</v>
      </c>
      <c r="F2411" t="s">
        <v>60</v>
      </c>
      <c r="G2411">
        <v>-168.41159999999999</v>
      </c>
      <c r="H2411">
        <v>3.3474249999999999</v>
      </c>
      <c r="I2411">
        <v>206.58920000000001</v>
      </c>
      <c r="J2411">
        <v>-439.55500000000001</v>
      </c>
      <c r="K2411">
        <v>1.1092249999999999</v>
      </c>
      <c r="L2411">
        <v>213.57689999999999</v>
      </c>
      <c r="M2411">
        <v>0.99960800000000005</v>
      </c>
      <c r="N2411">
        <v>0</v>
      </c>
      <c r="O2411">
        <v>-2.4655110000000001E-2</v>
      </c>
      <c r="P2411">
        <v>0.98607869999999997</v>
      </c>
      <c r="Q2411">
        <v>0.1644967</v>
      </c>
      <c r="R2411">
        <v>-2.428729E-2</v>
      </c>
      <c r="S2411">
        <v>3.035828</v>
      </c>
      <c r="T2411">
        <v>2.5033349999999999E-2</v>
      </c>
      <c r="U2411">
        <v>-7.8231809999999999E-2</v>
      </c>
      <c r="V2411" s="1">
        <v>-6.0328280000000002E-5</v>
      </c>
      <c r="W2411">
        <v>0.1775719</v>
      </c>
      <c r="X2411">
        <v>0.98410790000000004</v>
      </c>
      <c r="Y2411">
        <v>1.104837E-3</v>
      </c>
      <c r="Z2411">
        <v>-1.9870010000000001E-4</v>
      </c>
      <c r="AA2411">
        <v>0.99999930000000004</v>
      </c>
      <c r="AB2411">
        <v>28</v>
      </c>
      <c r="AC2411">
        <v>271.14339999999999</v>
      </c>
      <c r="AD2411">
        <v>2.2382</v>
      </c>
      <c r="AE2411">
        <v>-6.9876999999999896</v>
      </c>
      <c r="AF2411">
        <v>0.299896437188373</v>
      </c>
      <c r="AG2411">
        <v>2.2382</v>
      </c>
      <c r="AH2411">
        <v>271.21479185650702</v>
      </c>
      <c r="AI2411">
        <v>89.527177616828197</v>
      </c>
      <c r="AJ2411">
        <v>89.936645073739399</v>
      </c>
      <c r="AK2411">
        <v>271.22419287165599</v>
      </c>
      <c r="AL2411">
        <v>79.771639057913205</v>
      </c>
      <c r="AM2411">
        <v>90.003512374837101</v>
      </c>
      <c r="AN2411">
        <v>1.00000007107575</v>
      </c>
    </row>
    <row r="2412" spans="1:40" x14ac:dyDescent="0.25">
      <c r="A2412" t="str">
        <f>"20190312164519165"</f>
        <v>20190312164519165</v>
      </c>
      <c r="B2412" t="str">
        <f>"1552380319163922"</f>
        <v>1552380319163922</v>
      </c>
      <c r="C2412" t="s">
        <v>40</v>
      </c>
      <c r="D2412">
        <v>5.2304219999999999</v>
      </c>
      <c r="E2412">
        <v>0.50715659999999996</v>
      </c>
      <c r="F2412" t="s">
        <v>60</v>
      </c>
      <c r="G2412">
        <v>-168.42</v>
      </c>
      <c r="H2412">
        <v>25.7927</v>
      </c>
      <c r="I2412">
        <v>203.66970000000001</v>
      </c>
      <c r="J2412">
        <v>-439.29829999999998</v>
      </c>
      <c r="K2412">
        <v>1.109237</v>
      </c>
      <c r="L2412">
        <v>213.57069999999999</v>
      </c>
      <c r="M2412">
        <v>0.99961180000000005</v>
      </c>
      <c r="N2412">
        <v>0</v>
      </c>
      <c r="O2412">
        <v>-2.4526309999999999E-2</v>
      </c>
      <c r="P2412">
        <v>0.98598300000000005</v>
      </c>
      <c r="Q2412">
        <v>0.16503399999999999</v>
      </c>
      <c r="R2412">
        <v>-2.4524580000000001E-2</v>
      </c>
      <c r="S2412">
        <v>2.9941710000000001</v>
      </c>
      <c r="T2412">
        <v>0.2725824</v>
      </c>
      <c r="U2412">
        <v>-0.1094055</v>
      </c>
      <c r="V2412">
        <v>2.970782E-4</v>
      </c>
      <c r="W2412">
        <v>0.1780581</v>
      </c>
      <c r="X2412">
        <v>0.98401989999999995</v>
      </c>
      <c r="Y2412">
        <v>1.204359E-2</v>
      </c>
      <c r="Z2412">
        <v>-1.680352E-3</v>
      </c>
      <c r="AA2412">
        <v>0.99992610000000004</v>
      </c>
      <c r="AB2412">
        <v>28</v>
      </c>
      <c r="AC2412">
        <v>270.87830000000002</v>
      </c>
      <c r="AD2412">
        <v>24.683463</v>
      </c>
      <c r="AE2412">
        <v>-9.9009999999999803</v>
      </c>
      <c r="AF2412">
        <v>3.2270354257256701</v>
      </c>
      <c r="AG2412">
        <v>24.683463</v>
      </c>
      <c r="AH2412">
        <v>268.81055418092001</v>
      </c>
      <c r="AI2412">
        <v>84.753917704942893</v>
      </c>
      <c r="AJ2412">
        <v>89.312204725826405</v>
      </c>
      <c r="AK2412">
        <v>269.96074000188298</v>
      </c>
      <c r="AL2412">
        <v>79.743329674232697</v>
      </c>
      <c r="AM2412">
        <v>89.982702253756997</v>
      </c>
      <c r="AN2412">
        <v>0.99999996941353797</v>
      </c>
    </row>
    <row r="2413" spans="1:40" x14ac:dyDescent="0.25">
      <c r="A2413" t="str">
        <f>"20190312164519190"</f>
        <v>20190312164519190</v>
      </c>
      <c r="B2413" t="str">
        <f>"1552380319184420"</f>
        <v>1552380319184420</v>
      </c>
      <c r="C2413" t="s">
        <v>40</v>
      </c>
      <c r="D2413">
        <v>5.1923539999999999</v>
      </c>
      <c r="E2413">
        <v>0.50646639999999998</v>
      </c>
      <c r="F2413" t="s">
        <v>60</v>
      </c>
      <c r="G2413">
        <v>-169.72190000000001</v>
      </c>
      <c r="H2413">
        <v>34.532089999999997</v>
      </c>
      <c r="I2413">
        <v>202.1908</v>
      </c>
      <c r="J2413">
        <v>-439.00689999999997</v>
      </c>
      <c r="K2413">
        <v>1.1092519999999999</v>
      </c>
      <c r="L2413">
        <v>213.56379999999999</v>
      </c>
      <c r="M2413">
        <v>0.9996176</v>
      </c>
      <c r="N2413">
        <v>0</v>
      </c>
      <c r="O2413">
        <v>-2.4331820000000001E-2</v>
      </c>
      <c r="P2413">
        <v>0.98605050000000005</v>
      </c>
      <c r="Q2413">
        <v>0.16474469999999999</v>
      </c>
      <c r="R2413">
        <v>-2.374509E-2</v>
      </c>
      <c r="S2413">
        <v>2.977722</v>
      </c>
      <c r="T2413">
        <v>0.36918679999999998</v>
      </c>
      <c r="U2413">
        <v>-0.12570190000000001</v>
      </c>
      <c r="V2413">
        <v>-3.0718530000000001E-4</v>
      </c>
      <c r="W2413">
        <v>0.1776963</v>
      </c>
      <c r="X2413">
        <v>0.98408530000000005</v>
      </c>
      <c r="Y2413">
        <v>1.7900929999999999E-2</v>
      </c>
      <c r="Z2413">
        <v>-1.8985689999999999E-3</v>
      </c>
      <c r="AA2413">
        <v>0.99983789999999995</v>
      </c>
      <c r="AB2413">
        <v>28</v>
      </c>
      <c r="AC2413">
        <v>269.28500000000003</v>
      </c>
      <c r="AD2413">
        <v>33.422837999999999</v>
      </c>
      <c r="AE2413">
        <v>-11.3729999999999</v>
      </c>
      <c r="AF2413">
        <v>4.7439224618303797</v>
      </c>
      <c r="AG2413">
        <v>33.422837999999999</v>
      </c>
      <c r="AH2413">
        <v>265.40078551198701</v>
      </c>
      <c r="AI2413">
        <v>82.823463878215307</v>
      </c>
      <c r="AJ2413">
        <v>88.975972158433393</v>
      </c>
      <c r="AK2413">
        <v>267.53909592932001</v>
      </c>
      <c r="AL2413">
        <v>79.764395269541794</v>
      </c>
      <c r="AM2413">
        <v>90.017885055946607</v>
      </c>
      <c r="AN2413">
        <v>0.999999973536293</v>
      </c>
    </row>
    <row r="2414" spans="1:40" x14ac:dyDescent="0.25">
      <c r="A2414" t="str">
        <f>"20190312164519211"</f>
        <v>20190312164519211</v>
      </c>
      <c r="B2414" t="str">
        <f>"1552380319203938"</f>
        <v>1552380319203938</v>
      </c>
      <c r="C2414" t="s">
        <v>40</v>
      </c>
      <c r="D2414">
        <v>5.2178680000000002</v>
      </c>
      <c r="E2414">
        <v>0.50605169999999999</v>
      </c>
      <c r="F2414" t="s">
        <v>60</v>
      </c>
      <c r="G2414">
        <v>-168.42420000000001</v>
      </c>
      <c r="H2414">
        <v>37.722549999999998</v>
      </c>
      <c r="I2414">
        <v>202.69880000000001</v>
      </c>
      <c r="J2414">
        <v>-438.72519999999997</v>
      </c>
      <c r="K2414">
        <v>1.109273</v>
      </c>
      <c r="L2414">
        <v>213.55709999999999</v>
      </c>
      <c r="M2414">
        <v>0.99962459999999997</v>
      </c>
      <c r="N2414">
        <v>0</v>
      </c>
      <c r="O2414">
        <v>-2.4088310000000002E-2</v>
      </c>
      <c r="P2414">
        <v>0.98610019999999998</v>
      </c>
      <c r="Q2414">
        <v>0.1645916</v>
      </c>
      <c r="R2414">
        <v>-2.2722249999999999E-2</v>
      </c>
      <c r="S2414">
        <v>2.9724119999999998</v>
      </c>
      <c r="T2414">
        <v>0.4022058</v>
      </c>
      <c r="U2414">
        <v>-0.11935419999999999</v>
      </c>
      <c r="V2414">
        <v>-1.1077719999999999E-3</v>
      </c>
      <c r="W2414">
        <v>0.17745649999999999</v>
      </c>
      <c r="X2414">
        <v>0.984128</v>
      </c>
      <c r="Y2414">
        <v>1.6111609999999998E-2</v>
      </c>
      <c r="Z2414">
        <v>-2.1583560000000002E-3</v>
      </c>
      <c r="AA2414">
        <v>0.99986790000000003</v>
      </c>
      <c r="AB2414">
        <v>28</v>
      </c>
      <c r="AC2414">
        <v>270.30099999999999</v>
      </c>
      <c r="AD2414">
        <v>36.613276999999997</v>
      </c>
      <c r="AE2414">
        <v>-10.8582999999999</v>
      </c>
      <c r="AF2414">
        <v>4.2653660035655703</v>
      </c>
      <c r="AG2414">
        <v>36.613276999999997</v>
      </c>
      <c r="AH2414">
        <v>265.61849532458001</v>
      </c>
      <c r="AI2414">
        <v>82.152714708679596</v>
      </c>
      <c r="AJ2414">
        <v>89.080009595959993</v>
      </c>
      <c r="AK2414">
        <v>268.16396189331101</v>
      </c>
      <c r="AL2414">
        <v>79.778356737381202</v>
      </c>
      <c r="AM2414">
        <v>90.0644942867754</v>
      </c>
      <c r="AN2414">
        <v>0.99999997846752597</v>
      </c>
    </row>
    <row r="2415" spans="1:40" x14ac:dyDescent="0.25">
      <c r="A2415" t="str">
        <f>"20190312164519233"</f>
        <v>20190312164519233</v>
      </c>
      <c r="B2415" t="str">
        <f>"1552380319224434"</f>
        <v>1552380319224434</v>
      </c>
      <c r="C2415" t="s">
        <v>40</v>
      </c>
      <c r="D2415">
        <v>5.3822640000000002</v>
      </c>
      <c r="E2415">
        <v>0.50559290000000001</v>
      </c>
      <c r="F2415" t="s">
        <v>60</v>
      </c>
      <c r="G2415">
        <v>-168.4248</v>
      </c>
      <c r="H2415">
        <v>39.88588</v>
      </c>
      <c r="I2415">
        <v>203.20779999999999</v>
      </c>
      <c r="J2415">
        <v>-438.45319999999998</v>
      </c>
      <c r="K2415">
        <v>1.1092850000000001</v>
      </c>
      <c r="L2415">
        <v>213.55090000000001</v>
      </c>
      <c r="M2415">
        <v>0.99963239999999998</v>
      </c>
      <c r="N2415">
        <v>0</v>
      </c>
      <c r="O2415">
        <v>-2.380964E-2</v>
      </c>
      <c r="P2415">
        <v>0.9862611</v>
      </c>
      <c r="Q2415">
        <v>0.16359079999999901</v>
      </c>
      <c r="R2415">
        <v>-2.296695E-2</v>
      </c>
      <c r="S2415">
        <v>2.9685969999999999</v>
      </c>
      <c r="T2415">
        <v>0.42586770000000002</v>
      </c>
      <c r="U2415">
        <v>-0.11366270000000001</v>
      </c>
      <c r="V2415">
        <v>-6.0624330000000001E-4</v>
      </c>
      <c r="W2415">
        <v>0.17637420000000001</v>
      </c>
      <c r="X2415">
        <v>0.98432299999999995</v>
      </c>
      <c r="Y2415">
        <v>1.4549889999999999E-2</v>
      </c>
      <c r="Z2415">
        <v>-2.3587539999999998E-3</v>
      </c>
      <c r="AA2415">
        <v>0.99989130000000004</v>
      </c>
      <c r="AB2415">
        <v>28</v>
      </c>
      <c r="AC2415">
        <v>270.02839999999998</v>
      </c>
      <c r="AD2415">
        <v>38.776595</v>
      </c>
      <c r="AE2415">
        <v>-10.3431</v>
      </c>
      <c r="AF2415">
        <v>3.83145309554263</v>
      </c>
      <c r="AG2415">
        <v>38.776595</v>
      </c>
      <c r="AH2415">
        <v>264.74664583744499</v>
      </c>
      <c r="AI2415">
        <v>81.668179126106907</v>
      </c>
      <c r="AJ2415">
        <v>89.170864783076198</v>
      </c>
      <c r="AK2415">
        <v>267.59874968839898</v>
      </c>
      <c r="AL2415">
        <v>79.841361993491404</v>
      </c>
      <c r="AM2415">
        <v>90.035288394212003</v>
      </c>
      <c r="AN2415">
        <v>0.99999999714278898</v>
      </c>
    </row>
    <row r="2416" spans="1:40" x14ac:dyDescent="0.25">
      <c r="A2416" t="str">
        <f>"20190312164519255"</f>
        <v>20190312164519255</v>
      </c>
      <c r="B2416" t="str">
        <f>"1552380319243954"</f>
        <v>1552380319243954</v>
      </c>
      <c r="C2416" t="s">
        <v>40</v>
      </c>
      <c r="D2416">
        <v>5.3216449999999904</v>
      </c>
      <c r="E2416">
        <v>0.50518189999999996</v>
      </c>
      <c r="F2416" t="s">
        <v>60</v>
      </c>
      <c r="G2416">
        <v>-168.42519999999999</v>
      </c>
      <c r="H2416">
        <v>41.412750000000003</v>
      </c>
      <c r="I2416">
        <v>203.3981</v>
      </c>
      <c r="J2416">
        <v>-438.1678</v>
      </c>
      <c r="K2416">
        <v>1.109294</v>
      </c>
      <c r="L2416">
        <v>213.5444</v>
      </c>
      <c r="M2416">
        <v>0.99964200000000003</v>
      </c>
      <c r="N2416">
        <v>0</v>
      </c>
      <c r="O2416">
        <v>-2.34726E-2</v>
      </c>
      <c r="P2416">
        <v>0.98646429999999996</v>
      </c>
      <c r="Q2416">
        <v>0.16230059999999999</v>
      </c>
      <c r="R2416">
        <v>-2.339751E-2</v>
      </c>
      <c r="S2416">
        <v>2.9658199999999999</v>
      </c>
      <c r="T2416">
        <v>0.44266860000000002</v>
      </c>
      <c r="U2416">
        <v>-0.1115112</v>
      </c>
      <c r="V2416">
        <v>1.403443E-4</v>
      </c>
      <c r="W2416">
        <v>0.1749773</v>
      </c>
      <c r="X2416">
        <v>0.98457249999999996</v>
      </c>
      <c r="Y2416">
        <v>1.4206379999999999E-2</v>
      </c>
      <c r="Z2416">
        <v>-2.4286070000000002E-3</v>
      </c>
      <c r="AA2416">
        <v>0.99989609999999995</v>
      </c>
      <c r="AB2416">
        <v>28</v>
      </c>
      <c r="AC2416">
        <v>269.74259999999998</v>
      </c>
      <c r="AD2416">
        <v>40.303455999999997</v>
      </c>
      <c r="AE2416">
        <v>-10.146299999999901</v>
      </c>
      <c r="AF2416">
        <v>3.7283060625362001</v>
      </c>
      <c r="AG2416">
        <v>40.303455999999997</v>
      </c>
      <c r="AH2416">
        <v>264.02059699487501</v>
      </c>
      <c r="AI2416">
        <v>81.321500803194795</v>
      </c>
      <c r="AJ2416">
        <v>89.190964617310598</v>
      </c>
      <c r="AK2416">
        <v>267.10511876257601</v>
      </c>
      <c r="AL2416">
        <v>79.922663311202399</v>
      </c>
      <c r="AM2416">
        <v>89.991832865518504</v>
      </c>
      <c r="AN2416">
        <v>1.00000004148403</v>
      </c>
    </row>
    <row r="2417" spans="1:40" x14ac:dyDescent="0.25">
      <c r="A2417" t="str">
        <f>"20190312164519277"</f>
        <v>20190312164519277</v>
      </c>
      <c r="B2417" t="str">
        <f>"1552380319274211"</f>
        <v>1552380319274211</v>
      </c>
      <c r="C2417" t="s">
        <v>40</v>
      </c>
      <c r="D2417">
        <v>5.3119370000000004</v>
      </c>
      <c r="E2417">
        <v>0.50486239999999905</v>
      </c>
      <c r="F2417" t="s">
        <v>60</v>
      </c>
      <c r="G2417">
        <v>-168.4255</v>
      </c>
      <c r="H2417">
        <v>42.37921</v>
      </c>
      <c r="I2417">
        <v>203.52520000000001</v>
      </c>
      <c r="J2417">
        <v>-437.90410000000003</v>
      </c>
      <c r="K2417">
        <v>1.109302</v>
      </c>
      <c r="L2417">
        <v>213.5386</v>
      </c>
      <c r="M2417">
        <v>0.99965159999999997</v>
      </c>
      <c r="N2417">
        <v>0</v>
      </c>
      <c r="O2417">
        <v>-2.3123560000000001E-2</v>
      </c>
      <c r="P2417">
        <v>0.98654430000000004</v>
      </c>
      <c r="Q2417">
        <v>0.16178679999999901</v>
      </c>
      <c r="R2417">
        <v>-2.357134E-2</v>
      </c>
      <c r="S2417">
        <v>2.963959</v>
      </c>
      <c r="T2417">
        <v>0.45347870000000001</v>
      </c>
      <c r="U2417">
        <v>-0.1100922</v>
      </c>
      <c r="V2417">
        <v>6.4716790000000001E-4</v>
      </c>
      <c r="W2417">
        <v>0.17434479999999999</v>
      </c>
      <c r="X2417">
        <v>0.98468449999999996</v>
      </c>
      <c r="Y2417">
        <v>1.410338E-2</v>
      </c>
      <c r="Z2417">
        <v>-2.443579E-3</v>
      </c>
      <c r="AA2417">
        <v>0.99989749999999999</v>
      </c>
      <c r="AB2417">
        <v>28</v>
      </c>
      <c r="AC2417">
        <v>269.47859999999997</v>
      </c>
      <c r="AD2417">
        <v>41.269908000000001</v>
      </c>
      <c r="AE2417">
        <v>-10.013399999999899</v>
      </c>
      <c r="AF2417">
        <v>3.6924296847610099</v>
      </c>
      <c r="AG2417">
        <v>41.269908000000001</v>
      </c>
      <c r="AH2417">
        <v>263.467236212302</v>
      </c>
      <c r="AI2417">
        <v>81.098304566085105</v>
      </c>
      <c r="AJ2417">
        <v>89.197066054055099</v>
      </c>
      <c r="AK2417">
        <v>266.70550031946198</v>
      </c>
      <c r="AL2417">
        <v>79.959468688724201</v>
      </c>
      <c r="AM2417">
        <v>89.962343284607996</v>
      </c>
      <c r="AN2417">
        <v>1.00000004632678</v>
      </c>
    </row>
    <row r="2418" spans="1:40" x14ac:dyDescent="0.25">
      <c r="A2418" t="str">
        <f>"20190312164519300"</f>
        <v>20190312164519300</v>
      </c>
      <c r="B2418" t="str">
        <f>"1552380319293731"</f>
        <v>1552380319293731</v>
      </c>
      <c r="C2418" t="s">
        <v>40</v>
      </c>
      <c r="D2418">
        <v>5.2603809999999998</v>
      </c>
      <c r="E2418">
        <v>0.50474319999999995</v>
      </c>
      <c r="F2418" t="s">
        <v>60</v>
      </c>
      <c r="G2418">
        <v>-168.42590000000001</v>
      </c>
      <c r="H2418">
        <v>43.779179999999997</v>
      </c>
      <c r="I2418">
        <v>203.64699999999999</v>
      </c>
      <c r="J2418">
        <v>-437.61219999999997</v>
      </c>
      <c r="K2418">
        <v>1.109307</v>
      </c>
      <c r="L2418">
        <v>213.53229999999999</v>
      </c>
      <c r="M2418">
        <v>0.99966310000000003</v>
      </c>
      <c r="N2418">
        <v>0</v>
      </c>
      <c r="O2418">
        <v>-2.27031E-2</v>
      </c>
      <c r="P2418">
        <v>0.98656540000000004</v>
      </c>
      <c r="Q2418">
        <v>0.16157279999999999</v>
      </c>
      <c r="R2418">
        <v>-2.4145219999999998E-2</v>
      </c>
      <c r="S2418">
        <v>2.9614259999999999</v>
      </c>
      <c r="T2418">
        <v>0.46892010000000001</v>
      </c>
      <c r="U2418">
        <v>-0.1087036</v>
      </c>
      <c r="V2418">
        <v>1.625645E-3</v>
      </c>
      <c r="W2418">
        <v>0.173987</v>
      </c>
      <c r="X2418">
        <v>0.98474660000000003</v>
      </c>
      <c r="Y2418">
        <v>1.4089870000000001E-2</v>
      </c>
      <c r="Z2418">
        <v>-2.4628739999999999E-3</v>
      </c>
      <c r="AA2418">
        <v>0.9998977</v>
      </c>
      <c r="AB2418">
        <v>28</v>
      </c>
      <c r="AC2418">
        <v>269.18630000000002</v>
      </c>
      <c r="AD2418">
        <v>42.669873000000003</v>
      </c>
      <c r="AE2418">
        <v>-9.8852999999999707</v>
      </c>
      <c r="AF2418">
        <v>3.6785977260332499</v>
      </c>
      <c r="AG2418">
        <v>42.669873000000003</v>
      </c>
      <c r="AH2418">
        <v>262.74822641061502</v>
      </c>
      <c r="AI2418">
        <v>80.776677646132597</v>
      </c>
      <c r="AJ2418">
        <v>89.197884767387706</v>
      </c>
      <c r="AK2418">
        <v>266.21585344413597</v>
      </c>
      <c r="AL2418">
        <v>79.980286758345898</v>
      </c>
      <c r="AM2418">
        <v>89.9054147403249</v>
      </c>
      <c r="AN2418">
        <v>0.99999999255111305</v>
      </c>
    </row>
    <row r="2419" spans="1:40" x14ac:dyDescent="0.25">
      <c r="A2419" t="str">
        <f>"20190312164519323"</f>
        <v>20190312164519323</v>
      </c>
      <c r="B2419" t="str">
        <f>"1552380319314227"</f>
        <v>1552380319314227</v>
      </c>
      <c r="C2419" t="s">
        <v>40</v>
      </c>
      <c r="D2419">
        <v>5.372897</v>
      </c>
      <c r="E2419">
        <v>0.50445150000000005</v>
      </c>
      <c r="F2419" t="s">
        <v>60</v>
      </c>
      <c r="G2419">
        <v>-168.42619999999999</v>
      </c>
      <c r="H2419">
        <v>44.433540000000001</v>
      </c>
      <c r="I2419">
        <v>203.5265</v>
      </c>
      <c r="J2419">
        <v>-437.30810000000002</v>
      </c>
      <c r="K2419">
        <v>1.1093029999999999</v>
      </c>
      <c r="L2419">
        <v>213.52590000000001</v>
      </c>
      <c r="M2419">
        <v>0.9996756</v>
      </c>
      <c r="N2419">
        <v>0</v>
      </c>
      <c r="O2419">
        <v>-2.2240800000000002E-2</v>
      </c>
      <c r="P2419">
        <v>0.98657689999999998</v>
      </c>
      <c r="Q2419">
        <v>0.16171070000000001</v>
      </c>
      <c r="R2419">
        <v>-2.2714649999999999E-2</v>
      </c>
      <c r="S2419">
        <v>2.960175</v>
      </c>
      <c r="T2419">
        <v>0.47642659999999998</v>
      </c>
      <c r="U2419">
        <v>-0.11003110000000001</v>
      </c>
      <c r="V2419">
        <v>6.4206799999999998E-4</v>
      </c>
      <c r="W2419">
        <v>0.17395179999999999</v>
      </c>
      <c r="X2419">
        <v>0.98475400000000002</v>
      </c>
      <c r="Y2419">
        <v>1.5001489999999999E-2</v>
      </c>
      <c r="Z2419">
        <v>-2.3560690000000001E-3</v>
      </c>
      <c r="AA2419">
        <v>0.99988469999999996</v>
      </c>
      <c r="AB2419">
        <v>28</v>
      </c>
      <c r="AC2419">
        <v>268.88189999999997</v>
      </c>
      <c r="AD2419">
        <v>43.324236999999997</v>
      </c>
      <c r="AE2419">
        <v>-9.9993999999999996</v>
      </c>
      <c r="AF2419">
        <v>3.9148206495968401</v>
      </c>
      <c r="AG2419">
        <v>43.324236999999997</v>
      </c>
      <c r="AH2419">
        <v>262.238938384287</v>
      </c>
      <c r="AI2419">
        <v>80.619983524385901</v>
      </c>
      <c r="AJ2419">
        <v>89.144726401855607</v>
      </c>
      <c r="AK2419">
        <v>265.82245228209803</v>
      </c>
      <c r="AL2419">
        <v>79.982335288044695</v>
      </c>
      <c r="AM2419">
        <v>89.962642668780802</v>
      </c>
      <c r="AN2419">
        <v>1.00000004074527</v>
      </c>
    </row>
    <row r="2420" spans="1:40" x14ac:dyDescent="0.25">
      <c r="A2420" t="str">
        <f>"20190312164519347"</f>
        <v>20190312164519347</v>
      </c>
      <c r="B2420" t="str">
        <f>"1552380319344483"</f>
        <v>1552380319344483</v>
      </c>
      <c r="C2420" t="s">
        <v>40</v>
      </c>
      <c r="D2420">
        <v>5.4348999999999998</v>
      </c>
      <c r="E2420">
        <v>0.50420679999999996</v>
      </c>
      <c r="F2420" t="s">
        <v>60</v>
      </c>
      <c r="G2420">
        <v>-168.42619999999999</v>
      </c>
      <c r="H2420">
        <v>45.125770000000003</v>
      </c>
      <c r="I2420">
        <v>204.10839999999999</v>
      </c>
      <c r="J2420">
        <v>-437.01650000000001</v>
      </c>
      <c r="K2420">
        <v>1.1092949999999999</v>
      </c>
      <c r="L2420">
        <v>213.5198</v>
      </c>
      <c r="M2420">
        <v>0.99968809999999997</v>
      </c>
      <c r="N2420">
        <v>0</v>
      </c>
      <c r="O2420">
        <v>-2.1784709999999999E-2</v>
      </c>
      <c r="P2420">
        <v>0.98643389999999997</v>
      </c>
      <c r="Q2420">
        <v>0.162885</v>
      </c>
      <c r="R2420">
        <v>-2.0423520000000001E-2</v>
      </c>
      <c r="S2420">
        <v>2.959015</v>
      </c>
      <c r="T2420">
        <v>0.48439650000000001</v>
      </c>
      <c r="U2420">
        <v>-0.1036377</v>
      </c>
      <c r="V2420">
        <v>-1.203116E-3</v>
      </c>
      <c r="W2420">
        <v>0.17493120000000001</v>
      </c>
      <c r="X2420">
        <v>0.98457989999999995</v>
      </c>
      <c r="Y2420">
        <v>1.3333950000000001E-2</v>
      </c>
      <c r="Z2420">
        <v>-2.4574200000000001E-3</v>
      </c>
      <c r="AA2420">
        <v>0.99990809999999997</v>
      </c>
      <c r="AB2420">
        <v>28</v>
      </c>
      <c r="AC2420">
        <v>268.59030000000001</v>
      </c>
      <c r="AD2420">
        <v>44.016475</v>
      </c>
      <c r="AE2420">
        <v>-9.4114000000000093</v>
      </c>
      <c r="AF2420">
        <v>3.4646341283734099</v>
      </c>
      <c r="AG2420">
        <v>44.016475</v>
      </c>
      <c r="AH2420">
        <v>261.71154559851902</v>
      </c>
      <c r="AI2420">
        <v>80.453766430726006</v>
      </c>
      <c r="AJ2420">
        <v>89.241541608887601</v>
      </c>
      <c r="AK2420">
        <v>265.40984695492199</v>
      </c>
      <c r="AL2420">
        <v>79.925345355049302</v>
      </c>
      <c r="AM2420">
        <v>90.070013042876994</v>
      </c>
      <c r="AN2420">
        <v>0.999999975852779</v>
      </c>
    </row>
    <row r="2421" spans="1:40" x14ac:dyDescent="0.25">
      <c r="A2421" t="str">
        <f>"20190312164519366"</f>
        <v>20190312164519366</v>
      </c>
      <c r="B2421" t="str">
        <f>"1552380319364003"</f>
        <v>1552380319364003</v>
      </c>
      <c r="C2421" t="s">
        <v>40</v>
      </c>
      <c r="D2421">
        <v>5.3093669999999999</v>
      </c>
      <c r="E2421">
        <v>0.50406019999999996</v>
      </c>
      <c r="F2421" t="s">
        <v>60</v>
      </c>
      <c r="G2421">
        <v>-168.4264</v>
      </c>
      <c r="H2421">
        <v>46.256309999999999</v>
      </c>
      <c r="I2421">
        <v>204.85929999999999</v>
      </c>
      <c r="J2421">
        <v>-436.7715</v>
      </c>
      <c r="K2421">
        <v>1.1092820000000001</v>
      </c>
      <c r="L2421">
        <v>213.51490000000001</v>
      </c>
      <c r="M2421">
        <v>0.99969859999999999</v>
      </c>
      <c r="N2421">
        <v>0</v>
      </c>
      <c r="O2421">
        <v>-2.139462E-2</v>
      </c>
      <c r="P2421">
        <v>0.98616420000000005</v>
      </c>
      <c r="Q2421">
        <v>0.16478989999999999</v>
      </c>
      <c r="R2421">
        <v>-1.8014169999999999E-2</v>
      </c>
      <c r="S2421">
        <v>2.9571839999999998</v>
      </c>
      <c r="T2421">
        <v>0.49706980000000001</v>
      </c>
      <c r="U2421">
        <v>-9.535217E-2</v>
      </c>
      <c r="V2421">
        <v>-3.225585E-3</v>
      </c>
      <c r="W2421">
        <v>0.17665110000000001</v>
      </c>
      <c r="X2421">
        <v>0.98426820000000004</v>
      </c>
      <c r="Y2421">
        <v>1.098097E-2</v>
      </c>
      <c r="Z2421">
        <v>-2.6537599999999998E-3</v>
      </c>
      <c r="AA2421">
        <v>0.99993620000000005</v>
      </c>
      <c r="AB2421">
        <v>28</v>
      </c>
      <c r="AC2421">
        <v>268.3451</v>
      </c>
      <c r="AD2421">
        <v>45.147027999999999</v>
      </c>
      <c r="AE2421">
        <v>-8.6556000000000193</v>
      </c>
      <c r="AF2421">
        <v>2.8319834374545398</v>
      </c>
      <c r="AG2421">
        <v>45.147027999999999</v>
      </c>
      <c r="AH2421">
        <v>261.08636401814999</v>
      </c>
      <c r="AI2421">
        <v>80.1900005480434</v>
      </c>
      <c r="AJ2421">
        <v>89.378541518077796</v>
      </c>
      <c r="AK2421">
        <v>264.97615693424399</v>
      </c>
      <c r="AL2421">
        <v>79.825243249971095</v>
      </c>
      <c r="AM2421">
        <v>90.187765636803206</v>
      </c>
      <c r="AN2421">
        <v>0.99999995253051999</v>
      </c>
    </row>
    <row r="2422" spans="1:40" x14ac:dyDescent="0.25">
      <c r="A2422" t="str">
        <f>"20190312164519390"</f>
        <v>20190312164519390</v>
      </c>
      <c r="B2422" t="str">
        <f>"1552380319383524"</f>
        <v>1552380319383524</v>
      </c>
      <c r="C2422" t="s">
        <v>40</v>
      </c>
      <c r="D2422">
        <v>5.366053</v>
      </c>
      <c r="E2422">
        <v>0.50401739999999995</v>
      </c>
      <c r="F2422" t="s">
        <v>60</v>
      </c>
      <c r="G2422">
        <v>-168.4265</v>
      </c>
      <c r="H2422">
        <v>47.293729999999996</v>
      </c>
      <c r="I2422">
        <v>205.6112</v>
      </c>
      <c r="J2422">
        <v>-436.47089999999997</v>
      </c>
      <c r="K2422">
        <v>1.1092610000000001</v>
      </c>
      <c r="L2422">
        <v>213.50899999999999</v>
      </c>
      <c r="M2422">
        <v>0.99971180000000004</v>
      </c>
      <c r="N2422">
        <v>0</v>
      </c>
      <c r="O2422">
        <v>-2.0912859999999998E-2</v>
      </c>
      <c r="P2422">
        <v>0.98564450000000003</v>
      </c>
      <c r="Q2422">
        <v>0.16809089999999999</v>
      </c>
      <c r="R2422">
        <v>-1.584056E-2</v>
      </c>
      <c r="S2422">
        <v>2.9555359999999999</v>
      </c>
      <c r="T2422">
        <v>0.50867309999999999</v>
      </c>
      <c r="U2422">
        <v>-8.7051390000000006E-2</v>
      </c>
      <c r="V2422">
        <v>-4.9175809999999999E-3</v>
      </c>
      <c r="W2422">
        <v>0.1797108</v>
      </c>
      <c r="X2422">
        <v>0.9837072</v>
      </c>
      <c r="Y2422">
        <v>8.7084629999999996E-3</v>
      </c>
      <c r="Z2422">
        <v>-2.8282630000000001E-3</v>
      </c>
      <c r="AA2422">
        <v>0.99995809999999996</v>
      </c>
      <c r="AB2422">
        <v>28</v>
      </c>
      <c r="AC2422">
        <v>268.0444</v>
      </c>
      <c r="AD2422">
        <v>46.184468999999901</v>
      </c>
      <c r="AE2422">
        <v>-7.8978000000000099</v>
      </c>
      <c r="AF2422">
        <v>2.2241354971500802</v>
      </c>
      <c r="AG2422">
        <v>46.184468999999901</v>
      </c>
      <c r="AH2422">
        <v>260.426167141105</v>
      </c>
      <c r="AI2422">
        <v>79.943972397227299</v>
      </c>
      <c r="AJ2422">
        <v>89.510684811973107</v>
      </c>
      <c r="AK2422">
        <v>264.499036836296</v>
      </c>
      <c r="AL2422">
        <v>79.647084868395098</v>
      </c>
      <c r="AM2422">
        <v>90.286420887931499</v>
      </c>
      <c r="AN2422">
        <v>1.0000000047856801</v>
      </c>
    </row>
    <row r="2423" spans="1:40" x14ac:dyDescent="0.25">
      <c r="A2423" t="str">
        <f>"20190312164519411"</f>
        <v>20190312164519411</v>
      </c>
      <c r="B2423" t="str">
        <f>"1552380319404019"</f>
        <v>1552380319404019</v>
      </c>
      <c r="C2423" t="s">
        <v>40</v>
      </c>
      <c r="D2423">
        <v>5.4190569999999996</v>
      </c>
      <c r="E2423">
        <v>0.50396739999999995</v>
      </c>
      <c r="F2423" t="s">
        <v>60</v>
      </c>
      <c r="G2423">
        <v>-168.42670000000001</v>
      </c>
      <c r="H2423">
        <v>48.669080000000001</v>
      </c>
      <c r="I2423">
        <v>206.203</v>
      </c>
      <c r="J2423">
        <v>-436.19670000000002</v>
      </c>
      <c r="K2423">
        <v>1.1092420000000001</v>
      </c>
      <c r="L2423">
        <v>213.50370000000001</v>
      </c>
      <c r="M2423">
        <v>0.99972320000000003</v>
      </c>
      <c r="N2423">
        <v>0</v>
      </c>
      <c r="O2423">
        <v>-2.0473120000000001E-2</v>
      </c>
      <c r="P2423">
        <v>0.98510330000000002</v>
      </c>
      <c r="Q2423">
        <v>0.17140749999999999</v>
      </c>
      <c r="R2423">
        <v>-1.3817110000000001E-2</v>
      </c>
      <c r="S2423">
        <v>2.9530639999999999</v>
      </c>
      <c r="T2423">
        <v>0.52397059999999995</v>
      </c>
      <c r="U2423">
        <v>-8.0490110000000004E-2</v>
      </c>
      <c r="V2423">
        <v>-6.4987860000000003E-3</v>
      </c>
      <c r="W2423">
        <v>0.18280489999999999</v>
      </c>
      <c r="X2423">
        <v>0.98312770000000005</v>
      </c>
      <c r="Y2423">
        <v>6.984245E-3</v>
      </c>
      <c r="Z2423">
        <v>-2.9888990000000002E-3</v>
      </c>
      <c r="AA2423">
        <v>0.99997119999999995</v>
      </c>
      <c r="AB2423">
        <v>28</v>
      </c>
      <c r="AC2423">
        <v>267.77</v>
      </c>
      <c r="AD2423">
        <v>47.559837999999999</v>
      </c>
      <c r="AE2423">
        <v>-7.3007</v>
      </c>
      <c r="AF2423">
        <v>1.76119489366653</v>
      </c>
      <c r="AG2423">
        <v>47.559837999999999</v>
      </c>
      <c r="AH2423">
        <v>259.67741097044899</v>
      </c>
      <c r="AI2423">
        <v>79.621555711154102</v>
      </c>
      <c r="AJ2423">
        <v>89.611412148861007</v>
      </c>
      <c r="AK2423">
        <v>264.00264727148999</v>
      </c>
      <c r="AL2423">
        <v>79.466819568469703</v>
      </c>
      <c r="AM2423">
        <v>90.378737763587196</v>
      </c>
      <c r="AN2423">
        <v>0.99999997009538599</v>
      </c>
    </row>
    <row r="2424" spans="1:40" x14ac:dyDescent="0.25">
      <c r="A2424" t="str">
        <f>"20190312164519435"</f>
        <v>20190312164519435</v>
      </c>
      <c r="B2424" t="str">
        <f>"1552380319424529"</f>
        <v>1552380319424529</v>
      </c>
      <c r="C2424" t="s">
        <v>40</v>
      </c>
      <c r="D2424">
        <v>5.4793370000000001</v>
      </c>
      <c r="E2424">
        <v>0.50404359999999904</v>
      </c>
      <c r="F2424" t="s">
        <v>60</v>
      </c>
      <c r="G2424">
        <v>-168.42699999999999</v>
      </c>
      <c r="H2424">
        <v>49.992040000000003</v>
      </c>
      <c r="I2424">
        <v>206.77520000000001</v>
      </c>
      <c r="J2424">
        <v>-435.90460000000002</v>
      </c>
      <c r="K2424">
        <v>1.109227</v>
      </c>
      <c r="L2424">
        <v>213.4982</v>
      </c>
      <c r="M2424">
        <v>0.99973540000000005</v>
      </c>
      <c r="N2424">
        <v>0</v>
      </c>
      <c r="O2424">
        <v>-2.0007299999999999E-2</v>
      </c>
      <c r="P2424">
        <v>0.98461600000000005</v>
      </c>
      <c r="Q2424">
        <v>0.174321799999999</v>
      </c>
      <c r="R2424">
        <v>-1.1990249999999999E-2</v>
      </c>
      <c r="S2424">
        <v>2.9506230000000002</v>
      </c>
      <c r="T2424">
        <v>0.53865229999999997</v>
      </c>
      <c r="U2424">
        <v>-7.4142459999999993E-2</v>
      </c>
      <c r="V2424">
        <v>-7.8593949999999999E-3</v>
      </c>
      <c r="W2424">
        <v>0.18549750000000001</v>
      </c>
      <c r="X2424">
        <v>0.98261330000000002</v>
      </c>
      <c r="Y2424">
        <v>5.3544689999999997E-3</v>
      </c>
      <c r="Z2424">
        <v>-3.1371120000000001E-3</v>
      </c>
      <c r="AA2424">
        <v>0.99998069999999895</v>
      </c>
      <c r="AB2424">
        <v>28</v>
      </c>
      <c r="AC2424">
        <v>267.4776</v>
      </c>
      <c r="AD2424">
        <v>48.882812999999999</v>
      </c>
      <c r="AE2424">
        <v>-6.7229999999999803</v>
      </c>
      <c r="AF2424">
        <v>1.3255599125734601</v>
      </c>
      <c r="AG2424">
        <v>48.882812999999999</v>
      </c>
      <c r="AH2424">
        <v>258.91640056707001</v>
      </c>
      <c r="AI2424">
        <v>79.308672670244903</v>
      </c>
      <c r="AJ2424">
        <v>89.706668543336505</v>
      </c>
      <c r="AK2424">
        <v>263.49381206867503</v>
      </c>
      <c r="AL2424">
        <v>79.309860839266406</v>
      </c>
      <c r="AM2424">
        <v>90.458268334523595</v>
      </c>
      <c r="AN2424">
        <v>0.99999999496645298</v>
      </c>
    </row>
    <row r="2425" spans="1:40" x14ac:dyDescent="0.25">
      <c r="A2425" t="str">
        <f>"20190312164519459"</f>
        <v>20190312164519459</v>
      </c>
      <c r="B2425" t="str">
        <f>"1552380319453795"</f>
        <v>1552380319453795</v>
      </c>
      <c r="C2425" t="s">
        <v>40</v>
      </c>
      <c r="D2425">
        <v>5.5281539999999998</v>
      </c>
      <c r="E2425">
        <v>0.50426139999999997</v>
      </c>
      <c r="F2425" t="s">
        <v>60</v>
      </c>
      <c r="G2425">
        <v>-168.4272</v>
      </c>
      <c r="H2425">
        <v>51.069479999999999</v>
      </c>
      <c r="I2425">
        <v>207.19730000000001</v>
      </c>
      <c r="J2425">
        <v>-435.59289999999999</v>
      </c>
      <c r="K2425">
        <v>1.109221</v>
      </c>
      <c r="L2425">
        <v>213.49250000000001</v>
      </c>
      <c r="M2425">
        <v>0.99974750000000001</v>
      </c>
      <c r="N2425">
        <v>0</v>
      </c>
      <c r="O2425">
        <v>-1.9513820000000001E-2</v>
      </c>
      <c r="P2425">
        <v>0.98401700000000003</v>
      </c>
      <c r="Q2425">
        <v>0.17774309999999999</v>
      </c>
      <c r="R2425">
        <v>-1.0869999999999999E-2</v>
      </c>
      <c r="S2425">
        <v>2.9485169999999998</v>
      </c>
      <c r="T2425">
        <v>0.55073359999999905</v>
      </c>
      <c r="U2425">
        <v>-6.9458010000000001E-2</v>
      </c>
      <c r="V2425">
        <v>-8.4838669999999904E-3</v>
      </c>
      <c r="W2425">
        <v>0.1886902</v>
      </c>
      <c r="X2425">
        <v>0.98199999999999998</v>
      </c>
      <c r="Y2425">
        <v>4.299237E-3</v>
      </c>
      <c r="Z2425">
        <v>-3.2149470000000001E-3</v>
      </c>
      <c r="AA2425">
        <v>0.99998560000000003</v>
      </c>
      <c r="AB2425">
        <v>28</v>
      </c>
      <c r="AC2425">
        <v>267.16570000000002</v>
      </c>
      <c r="AD2425">
        <v>49.960259000000001</v>
      </c>
      <c r="AE2425">
        <v>-6.2951999999999897</v>
      </c>
      <c r="AF2425">
        <v>1.04377425244058</v>
      </c>
      <c r="AG2425">
        <v>49.960259000000001</v>
      </c>
      <c r="AH2425">
        <v>258.21312982967902</v>
      </c>
      <c r="AI2425">
        <v>79.049548566006195</v>
      </c>
      <c r="AJ2425">
        <v>89.768394683349797</v>
      </c>
      <c r="AK2425">
        <v>263.00406339156802</v>
      </c>
      <c r="AL2425">
        <v>79.123644187438501</v>
      </c>
      <c r="AM2425">
        <v>90.494987454043297</v>
      </c>
      <c r="AN2425">
        <v>0.99999998378765598</v>
      </c>
    </row>
    <row r="2426" spans="1:40" x14ac:dyDescent="0.25">
      <c r="A2426" t="str">
        <f>"20190312164519481"</f>
        <v>20190312164519481</v>
      </c>
      <c r="B2426" t="str">
        <f>"1552380319474291"</f>
        <v>1552380319474291</v>
      </c>
      <c r="C2426" t="s">
        <v>40</v>
      </c>
      <c r="D2426">
        <v>5.3769920000000004</v>
      </c>
      <c r="E2426">
        <v>0.50413649999999999</v>
      </c>
      <c r="F2426" t="s">
        <v>60</v>
      </c>
      <c r="G2426">
        <v>-168.42760000000001</v>
      </c>
      <c r="H2426">
        <v>52.342590000000001</v>
      </c>
      <c r="I2426">
        <v>207.34139999999999</v>
      </c>
      <c r="J2426">
        <v>-435.32749999999999</v>
      </c>
      <c r="K2426">
        <v>1.1092229999999901</v>
      </c>
      <c r="L2426">
        <v>213.48779999999999</v>
      </c>
      <c r="M2426">
        <v>0.99975769999999997</v>
      </c>
      <c r="N2426">
        <v>0</v>
      </c>
      <c r="O2426">
        <v>-1.9096599999999998E-2</v>
      </c>
      <c r="P2426">
        <v>0.98298540000000001</v>
      </c>
      <c r="Q2426">
        <v>0.18339059999999999</v>
      </c>
      <c r="R2426">
        <v>-1.037502E-2</v>
      </c>
      <c r="S2426">
        <v>2.9459230000000001</v>
      </c>
      <c r="T2426">
        <v>0.56492980000000004</v>
      </c>
      <c r="U2426">
        <v>-6.7825319999999995E-2</v>
      </c>
      <c r="V2426">
        <v>-8.5532660000000003E-3</v>
      </c>
      <c r="W2426">
        <v>0.19414129999999999</v>
      </c>
      <c r="X2426">
        <v>0.98093629999999998</v>
      </c>
      <c r="Y2426">
        <v>4.1918720000000001E-3</v>
      </c>
      <c r="Z2426">
        <v>-3.2301629999999999E-3</v>
      </c>
      <c r="AA2426">
        <v>0.99998600000000004</v>
      </c>
      <c r="AB2426">
        <v>28</v>
      </c>
      <c r="AC2426">
        <v>266.8999</v>
      </c>
      <c r="AD2426">
        <v>51.233367000000001</v>
      </c>
      <c r="AE2426">
        <v>-6.1463999999999999</v>
      </c>
      <c r="AF2426">
        <v>1.0108647352692</v>
      </c>
      <c r="AG2426">
        <v>51.233367000000001</v>
      </c>
      <c r="AH2426">
        <v>257.48590204853701</v>
      </c>
      <c r="AI2426">
        <v>78.746609080147493</v>
      </c>
      <c r="AJ2426">
        <v>89.775063469602998</v>
      </c>
      <c r="AK2426">
        <v>262.53546331004299</v>
      </c>
      <c r="AL2426">
        <v>78.805435054178105</v>
      </c>
      <c r="AM2426">
        <v>90.499577417603803</v>
      </c>
      <c r="AN2426">
        <v>1.0000000136913201</v>
      </c>
    </row>
    <row r="2427" spans="1:40" x14ac:dyDescent="0.25">
      <c r="A2427" t="str">
        <f>"20190312164519502"</f>
        <v>20190312164519502</v>
      </c>
      <c r="B2427" t="str">
        <f>"1552380319493812"</f>
        <v>1552380319493812</v>
      </c>
      <c r="C2427" t="s">
        <v>40</v>
      </c>
      <c r="D2427">
        <v>5.5502929999999999</v>
      </c>
      <c r="E2427">
        <v>0.50395369999999995</v>
      </c>
      <c r="F2427" t="s">
        <v>60</v>
      </c>
      <c r="G2427">
        <v>-168.428</v>
      </c>
      <c r="H2427">
        <v>53.982790000000001</v>
      </c>
      <c r="I2427">
        <v>207.5515</v>
      </c>
      <c r="J2427">
        <v>-435.03879999999998</v>
      </c>
      <c r="K2427">
        <v>1.109216</v>
      </c>
      <c r="L2427">
        <v>213.48269999999999</v>
      </c>
      <c r="M2427">
        <v>0.9997684</v>
      </c>
      <c r="N2427">
        <v>0</v>
      </c>
      <c r="O2427">
        <v>-1.8644770000000001E-2</v>
      </c>
      <c r="P2427">
        <v>0.9819291</v>
      </c>
      <c r="Q2427">
        <v>0.18902360000000001</v>
      </c>
      <c r="R2427">
        <v>-9.2628669999999993E-3</v>
      </c>
      <c r="S2427">
        <v>2.9424739999999998</v>
      </c>
      <c r="T2427">
        <v>0.58291319999999902</v>
      </c>
      <c r="U2427">
        <v>-6.5444950000000002E-2</v>
      </c>
      <c r="V2427">
        <v>-9.2058269999999998E-3</v>
      </c>
      <c r="W2427">
        <v>0.1995662</v>
      </c>
      <c r="X2427">
        <v>0.97984110000000002</v>
      </c>
      <c r="Y2427">
        <v>3.8776650000000002E-3</v>
      </c>
      <c r="Z2427">
        <v>-3.2771179999999999E-3</v>
      </c>
      <c r="AA2427">
        <v>0.99998710000000002</v>
      </c>
      <c r="AB2427">
        <v>29</v>
      </c>
      <c r="AC2427">
        <v>266.61079999999998</v>
      </c>
      <c r="AD2427">
        <v>52.873573999999998</v>
      </c>
      <c r="AE2427">
        <v>-5.9311999999999898</v>
      </c>
      <c r="AF2427">
        <v>0.92271252307463103</v>
      </c>
      <c r="AG2427">
        <v>52.873573999999998</v>
      </c>
      <c r="AH2427">
        <v>256.58845866146902</v>
      </c>
      <c r="AI2427">
        <v>78.356470218808894</v>
      </c>
      <c r="AJ2427">
        <v>89.793960703988702</v>
      </c>
      <c r="AK2427">
        <v>261.98111257150299</v>
      </c>
      <c r="AL2427">
        <v>78.488407237897206</v>
      </c>
      <c r="AM2427">
        <v>90.538290867082097</v>
      </c>
      <c r="AN2427">
        <v>0.99999999834120101</v>
      </c>
    </row>
    <row r="2428" spans="1:40" x14ac:dyDescent="0.25">
      <c r="A2428" t="str">
        <f>"20190312164519526"</f>
        <v>20190312164519526</v>
      </c>
      <c r="B2428" t="str">
        <f>"1552380319514307"</f>
        <v>1552380319514307</v>
      </c>
      <c r="C2428" t="s">
        <v>40</v>
      </c>
      <c r="D2428">
        <v>5.5947269999999998</v>
      </c>
      <c r="E2428">
        <v>0.50349940000000004</v>
      </c>
      <c r="F2428" t="s">
        <v>60</v>
      </c>
      <c r="G2428">
        <v>-168.8177</v>
      </c>
      <c r="H2428">
        <v>55.282960000000003</v>
      </c>
      <c r="I2428">
        <v>208.0103</v>
      </c>
      <c r="J2428">
        <v>-434.75139999999999</v>
      </c>
      <c r="K2428">
        <v>1.109208</v>
      </c>
      <c r="L2428">
        <v>213.47790000000001</v>
      </c>
      <c r="M2428">
        <v>0.99977859999999996</v>
      </c>
      <c r="N2428">
        <v>0</v>
      </c>
      <c r="O2428">
        <v>-1.8195240000000001E-2</v>
      </c>
      <c r="P2428">
        <v>0.98121879999999995</v>
      </c>
      <c r="Q2428">
        <v>0.19277759999999999</v>
      </c>
      <c r="R2428">
        <v>-6.8004299999999997E-3</v>
      </c>
      <c r="S2428">
        <v>2.939514</v>
      </c>
      <c r="T2428">
        <v>0.59816669999999905</v>
      </c>
      <c r="U2428">
        <v>-6.0424800000000001E-2</v>
      </c>
      <c r="V2428">
        <v>-1.121632E-2</v>
      </c>
      <c r="W2428">
        <v>0.20311870000000001</v>
      </c>
      <c r="X2428">
        <v>0.97908989999999996</v>
      </c>
      <c r="Y2428">
        <v>2.6738220000000002E-3</v>
      </c>
      <c r="Z2428">
        <v>-3.395267E-3</v>
      </c>
      <c r="AA2428">
        <v>0.99999059999999995</v>
      </c>
      <c r="AB2428">
        <v>29</v>
      </c>
      <c r="AC2428">
        <v>265.93369999999999</v>
      </c>
      <c r="AD2428">
        <v>54.173751999999901</v>
      </c>
      <c r="AE2428">
        <v>-5.4676</v>
      </c>
      <c r="AF2428">
        <v>0.60269666709821601</v>
      </c>
      <c r="AG2428">
        <v>54.173751999999901</v>
      </c>
      <c r="AH2428">
        <v>255.395155007401</v>
      </c>
      <c r="AI2428">
        <v>78.024109866390305</v>
      </c>
      <c r="AJ2428">
        <v>89.864790264919407</v>
      </c>
      <c r="AK2428">
        <v>261.078233198948</v>
      </c>
      <c r="AL2428">
        <v>78.280608606560307</v>
      </c>
      <c r="AM2428">
        <v>90.656343903524601</v>
      </c>
      <c r="AN2428">
        <v>1.0000000222030201</v>
      </c>
    </row>
    <row r="2429" spans="1:40" x14ac:dyDescent="0.25">
      <c r="A2429" t="str">
        <f>"20190312164519550"</f>
        <v>20190312164519550</v>
      </c>
      <c r="B2429" t="str">
        <f>"1552380319543587"</f>
        <v>1552380319543587</v>
      </c>
      <c r="C2429" t="s">
        <v>40</v>
      </c>
      <c r="D2429">
        <v>5.5244220000000004</v>
      </c>
      <c r="E2429">
        <v>0.47783179999999997</v>
      </c>
      <c r="F2429" t="s">
        <v>60</v>
      </c>
      <c r="G2429">
        <v>-169.4109</v>
      </c>
      <c r="H2429">
        <v>56.140729999999998</v>
      </c>
      <c r="I2429">
        <v>209.0009</v>
      </c>
      <c r="J2429">
        <v>-434.44580000000002</v>
      </c>
      <c r="K2429">
        <v>1.1091899999999999</v>
      </c>
      <c r="L2429">
        <v>213.47280000000001</v>
      </c>
      <c r="M2429">
        <v>0.9997895</v>
      </c>
      <c r="N2429">
        <v>0</v>
      </c>
      <c r="O2429">
        <v>-1.7717429999999999E-2</v>
      </c>
      <c r="P2429">
        <v>0.98068739999999999</v>
      </c>
      <c r="Q2429">
        <v>0.19553690000000001</v>
      </c>
      <c r="R2429">
        <v>-4.2184869999999999E-3</v>
      </c>
      <c r="S2429">
        <v>2.9373779999999998</v>
      </c>
      <c r="T2429">
        <v>0.60921169999999902</v>
      </c>
      <c r="U2429">
        <v>-4.9560550000000002E-2</v>
      </c>
      <c r="V2429">
        <v>-1.332208E-2</v>
      </c>
      <c r="W2429">
        <v>0.20566770000000001</v>
      </c>
      <c r="X2429">
        <v>0.97853120000000005</v>
      </c>
      <c r="Y2429">
        <v>-4.6180510000000001E-4</v>
      </c>
      <c r="Z2429">
        <v>-3.6829509999999998E-3</v>
      </c>
      <c r="AA2429">
        <v>0.99999309999999997</v>
      </c>
      <c r="AB2429">
        <v>29</v>
      </c>
      <c r="AC2429">
        <v>265.03489999999999</v>
      </c>
      <c r="AD2429">
        <v>55.03154</v>
      </c>
      <c r="AE2429">
        <v>-4.4718999999999998</v>
      </c>
      <c r="AF2429">
        <v>-0.215502163313297</v>
      </c>
      <c r="AG2429">
        <v>55.03154</v>
      </c>
      <c r="AH2429">
        <v>254.119564412382</v>
      </c>
      <c r="AI2429">
        <v>77.780846910744998</v>
      </c>
      <c r="AJ2429">
        <v>90.048588787338801</v>
      </c>
      <c r="AK2429">
        <v>260.01013413536901</v>
      </c>
      <c r="AL2429">
        <v>78.131411582971793</v>
      </c>
      <c r="AM2429">
        <v>90.779997412647006</v>
      </c>
      <c r="AN2429">
        <v>0.99999999500612802</v>
      </c>
    </row>
    <row r="2430" spans="1:40" x14ac:dyDescent="0.25">
      <c r="A2430" t="str">
        <f>"20190312164519567"</f>
        <v>20190312164519567</v>
      </c>
      <c r="B2430" t="str">
        <f>"1552380319564085"</f>
        <v>1552380319564085</v>
      </c>
      <c r="C2430" t="s">
        <v>40</v>
      </c>
      <c r="D2430">
        <v>5.6158130000000002</v>
      </c>
      <c r="E2430">
        <v>0.47715750000000001</v>
      </c>
      <c r="F2430" t="s">
        <v>62</v>
      </c>
      <c r="G2430">
        <v>-157.25</v>
      </c>
      <c r="H2430">
        <v>62.316409999999998</v>
      </c>
      <c r="I2430">
        <v>228.82130000000001</v>
      </c>
      <c r="J2430">
        <v>-434.19900000000001</v>
      </c>
      <c r="K2430">
        <v>1.109173</v>
      </c>
      <c r="L2430">
        <v>213.46879999999999</v>
      </c>
      <c r="M2430">
        <v>0.99979810000000002</v>
      </c>
      <c r="N2430">
        <v>0</v>
      </c>
      <c r="O2430">
        <v>-1.7331849999999999E-2</v>
      </c>
      <c r="P2430">
        <v>0.98085389999999995</v>
      </c>
      <c r="Q2430">
        <v>0.1947209</v>
      </c>
      <c r="R2430">
        <v>-3.1899229999999999E-3</v>
      </c>
      <c r="S2430">
        <v>2.9307560000000001</v>
      </c>
      <c r="T2430">
        <v>0.64713659999999995</v>
      </c>
      <c r="U2430">
        <v>0.16227720000000001</v>
      </c>
      <c r="V2430">
        <v>-1.397498E-2</v>
      </c>
      <c r="W2430">
        <v>0.20469100000000001</v>
      </c>
      <c r="X2430">
        <v>0.97872689999999996</v>
      </c>
      <c r="Y2430">
        <v>-7.0474490000000001E-2</v>
      </c>
      <c r="Z2430">
        <v>-1.1461610000000001E-2</v>
      </c>
      <c r="AA2430">
        <v>0.99744770000000005</v>
      </c>
      <c r="AB2430">
        <v>29</v>
      </c>
      <c r="AC2430">
        <v>276.94900000000001</v>
      </c>
      <c r="AD2430">
        <v>61.207236999999999</v>
      </c>
      <c r="AE2430">
        <v>15.352499999999999</v>
      </c>
      <c r="AF2430">
        <v>-19.214837407793599</v>
      </c>
      <c r="AG2430">
        <v>61.207236999999999</v>
      </c>
      <c r="AH2430">
        <v>263.796069138723</v>
      </c>
      <c r="AI2430">
        <v>76.970436092182496</v>
      </c>
      <c r="AJ2430">
        <v>94.166052306338699</v>
      </c>
      <c r="AK2430">
        <v>271.48462558830801</v>
      </c>
      <c r="AL2430">
        <v>78.188589216358196</v>
      </c>
      <c r="AM2430">
        <v>90.818055540081303</v>
      </c>
      <c r="AN2430">
        <v>1.0000000251653001</v>
      </c>
    </row>
    <row r="2431" spans="1:40" x14ac:dyDescent="0.25">
      <c r="A2431" t="str">
        <f>"20190312164519591"</f>
        <v>20190312164519591</v>
      </c>
      <c r="B2431" t="str">
        <f>"1552380319583603"</f>
        <v>1552380319583603</v>
      </c>
      <c r="C2431" t="s">
        <v>40</v>
      </c>
      <c r="D2431">
        <v>5.4975120000000004</v>
      </c>
      <c r="E2431">
        <v>0.47681980000000002</v>
      </c>
      <c r="F2431" t="s">
        <v>62</v>
      </c>
      <c r="G2431">
        <v>-157.25</v>
      </c>
      <c r="H2431">
        <v>61.663499999999999</v>
      </c>
      <c r="I2431">
        <v>229.59370000000001</v>
      </c>
      <c r="J2431">
        <v>-433.90589999999997</v>
      </c>
      <c r="K2431">
        <v>1.1091610000000001</v>
      </c>
      <c r="L2431">
        <v>213.46420000000001</v>
      </c>
      <c r="M2431">
        <v>0.99980769999999997</v>
      </c>
      <c r="N2431">
        <v>0</v>
      </c>
      <c r="O2431">
        <v>-1.687348E-2</v>
      </c>
      <c r="P2431">
        <v>0.98082309999999995</v>
      </c>
      <c r="Q2431">
        <v>0.1948995</v>
      </c>
      <c r="R2431">
        <v>-8.0734860000000004E-4</v>
      </c>
      <c r="S2431">
        <v>2.9318240000000002</v>
      </c>
      <c r="T2431">
        <v>0.64103769999999904</v>
      </c>
      <c r="U2431">
        <v>0.17070009999999999</v>
      </c>
      <c r="V2431">
        <v>-1.5907540000000001E-2</v>
      </c>
      <c r="W2431">
        <v>0.20468629999999999</v>
      </c>
      <c r="X2431">
        <v>0.97869839999999997</v>
      </c>
      <c r="Y2431">
        <v>-7.2849159999999996E-2</v>
      </c>
      <c r="Z2431">
        <v>-1.1508559999999999E-2</v>
      </c>
      <c r="AA2431">
        <v>0.99727650000000001</v>
      </c>
      <c r="AB2431">
        <v>29</v>
      </c>
      <c r="AC2431">
        <v>276.65589999999997</v>
      </c>
      <c r="AD2431">
        <v>60.554338999999999</v>
      </c>
      <c r="AE2431">
        <v>16.1295</v>
      </c>
      <c r="AF2431">
        <v>-19.8479253493045</v>
      </c>
      <c r="AG2431">
        <v>60.554338999999999</v>
      </c>
      <c r="AH2431">
        <v>263.75126780674998</v>
      </c>
      <c r="AI2431">
        <v>77.104850243124204</v>
      </c>
      <c r="AJ2431">
        <v>94.303535661861403</v>
      </c>
      <c r="AK2431">
        <v>271.34019123982802</v>
      </c>
      <c r="AL2431">
        <v>78.188864565537202</v>
      </c>
      <c r="AM2431">
        <v>90.931190502256598</v>
      </c>
      <c r="AN2431">
        <v>1.0000000446995401</v>
      </c>
    </row>
    <row r="2432" spans="1:40" x14ac:dyDescent="0.25">
      <c r="A2432" t="str">
        <f>"20190312164519612"</f>
        <v>20190312164519612</v>
      </c>
      <c r="B2432" t="str">
        <f>"1552380319604099"</f>
        <v>1552380319604099</v>
      </c>
      <c r="C2432" t="s">
        <v>40</v>
      </c>
      <c r="D2432">
        <v>7.7504210000000002</v>
      </c>
      <c r="E2432">
        <v>0.47683110000000001</v>
      </c>
      <c r="F2432" t="s">
        <v>62</v>
      </c>
      <c r="G2432">
        <v>-157.25</v>
      </c>
      <c r="H2432">
        <v>61.115940000000002</v>
      </c>
      <c r="I2432">
        <v>230.51900000000001</v>
      </c>
      <c r="J2432">
        <v>-433.62099999999998</v>
      </c>
      <c r="K2432">
        <v>1.109146</v>
      </c>
      <c r="L2432">
        <v>213.4599</v>
      </c>
      <c r="M2432">
        <v>0.99981690000000001</v>
      </c>
      <c r="N2432">
        <v>0</v>
      </c>
      <c r="O2432">
        <v>-1.6426329999999999E-2</v>
      </c>
      <c r="P2432">
        <v>0.98071540000000001</v>
      </c>
      <c r="Q2432">
        <v>0.1954293</v>
      </c>
      <c r="R2432">
        <v>2.1753300000000001E-3</v>
      </c>
      <c r="S2432">
        <v>2.932404</v>
      </c>
      <c r="T2432">
        <v>0.63603999999999905</v>
      </c>
      <c r="U2432">
        <v>0.18077090000000001</v>
      </c>
      <c r="V2432">
        <v>-1.8450459999999998E-2</v>
      </c>
      <c r="W2432">
        <v>0.20503170000000001</v>
      </c>
      <c r="X2432">
        <v>0.97858140000000005</v>
      </c>
      <c r="Y2432">
        <v>-7.5780299999999995E-2</v>
      </c>
      <c r="Z2432">
        <v>-1.1635700000000001E-2</v>
      </c>
      <c r="AA2432">
        <v>0.99705670000000002</v>
      </c>
      <c r="AB2432">
        <v>29</v>
      </c>
      <c r="AC2432">
        <v>276.37099999999998</v>
      </c>
      <c r="AD2432">
        <v>60.0067939999999</v>
      </c>
      <c r="AE2432">
        <v>17.059100000000001</v>
      </c>
      <c r="AF2432">
        <v>-20.6280059756063</v>
      </c>
      <c r="AG2432">
        <v>60.0067939999999</v>
      </c>
      <c r="AH2432">
        <v>263.67047583793999</v>
      </c>
      <c r="AI2432">
        <v>77.216628456950005</v>
      </c>
      <c r="AJ2432">
        <v>94.473368515186905</v>
      </c>
      <c r="AK2432">
        <v>271.19817437677102</v>
      </c>
      <c r="AL2432">
        <v>78.168645101076294</v>
      </c>
      <c r="AM2432">
        <v>91.080143409616397</v>
      </c>
      <c r="AN2432">
        <v>0.99999998695253001</v>
      </c>
    </row>
    <row r="2433" spans="1:40" x14ac:dyDescent="0.25">
      <c r="A2433" t="str">
        <f>"20190312164519636"</f>
        <v>20190312164519636</v>
      </c>
      <c r="B2433" t="str">
        <f>"1552380319623622"</f>
        <v>1552380319623622</v>
      </c>
      <c r="C2433" t="s">
        <v>40</v>
      </c>
      <c r="D2433">
        <v>5.4933069999999997</v>
      </c>
      <c r="E2433">
        <v>0.47701480000000002</v>
      </c>
      <c r="F2433" t="s">
        <v>62</v>
      </c>
      <c r="G2433">
        <v>-157.25</v>
      </c>
      <c r="H2433">
        <v>61.064320000000002</v>
      </c>
      <c r="I2433">
        <v>231.34350000000001</v>
      </c>
      <c r="J2433">
        <v>-433.32920000000001</v>
      </c>
      <c r="K2433">
        <v>1.1091219999999999</v>
      </c>
      <c r="L2433">
        <v>213.4556</v>
      </c>
      <c r="M2433">
        <v>0.9998262</v>
      </c>
      <c r="N2433">
        <v>0</v>
      </c>
      <c r="O2433">
        <v>-1.5966560000000001E-2</v>
      </c>
      <c r="P2433">
        <v>0.98051690000000002</v>
      </c>
      <c r="Q2433">
        <v>0.19637299999999999</v>
      </c>
      <c r="R2433">
        <v>4.9691120000000004E-3</v>
      </c>
      <c r="S2433">
        <v>2.9317929999999999</v>
      </c>
      <c r="T2433">
        <v>0.63601580000000002</v>
      </c>
      <c r="U2433">
        <v>0.18971250000000001</v>
      </c>
      <c r="V2433">
        <v>-2.0791799999999999E-2</v>
      </c>
      <c r="W2433">
        <v>0.2057928</v>
      </c>
      <c r="X2433">
        <v>0.97837470000000004</v>
      </c>
      <c r="Y2433">
        <v>-7.8314839999999997E-2</v>
      </c>
      <c r="Z2433">
        <v>-1.180953E-2</v>
      </c>
      <c r="AA2433">
        <v>0.99685869999999999</v>
      </c>
      <c r="AB2433">
        <v>29</v>
      </c>
      <c r="AC2433">
        <v>276.07920000000001</v>
      </c>
      <c r="AD2433">
        <v>59.955198000000003</v>
      </c>
      <c r="AE2433">
        <v>17.887899999999998</v>
      </c>
      <c r="AF2433">
        <v>-21.2938120336274</v>
      </c>
      <c r="AG2433">
        <v>59.955198000000003</v>
      </c>
      <c r="AH2433">
        <v>263.38855021350798</v>
      </c>
      <c r="AI2433">
        <v>77.216589117290994</v>
      </c>
      <c r="AJ2433">
        <v>94.622060659311003</v>
      </c>
      <c r="AK2433">
        <v>270.96416844615499</v>
      </c>
      <c r="AL2433">
        <v>78.124087438550802</v>
      </c>
      <c r="AM2433">
        <v>91.217430398770006</v>
      </c>
      <c r="AN2433">
        <v>1.00000001453958</v>
      </c>
    </row>
    <row r="2434" spans="1:40" x14ac:dyDescent="0.25">
      <c r="A2434" t="str">
        <f>"20190312164519657"</f>
        <v>20190312164519657</v>
      </c>
      <c r="B2434" t="str">
        <f>"1552380319653877"</f>
        <v>1552380319653877</v>
      </c>
      <c r="C2434" t="s">
        <v>40</v>
      </c>
      <c r="D2434">
        <v>5.4978020000000001</v>
      </c>
      <c r="E2434">
        <v>0.47725450000000003</v>
      </c>
      <c r="F2434" t="s">
        <v>62</v>
      </c>
      <c r="G2434">
        <v>-157.25</v>
      </c>
      <c r="H2434">
        <v>60.989170000000001</v>
      </c>
      <c r="I2434">
        <v>231.97630000000001</v>
      </c>
      <c r="J2434">
        <v>-433.04989999999998</v>
      </c>
      <c r="K2434">
        <v>1.109105</v>
      </c>
      <c r="L2434">
        <v>213.45160000000001</v>
      </c>
      <c r="M2434">
        <v>0.99983480000000002</v>
      </c>
      <c r="N2434">
        <v>0</v>
      </c>
      <c r="O2434">
        <v>-1.552066E-2</v>
      </c>
      <c r="P2434">
        <v>0.98031809999999997</v>
      </c>
      <c r="Q2434">
        <v>0.1973046</v>
      </c>
      <c r="R2434">
        <v>6.8812980000000001E-3</v>
      </c>
      <c r="S2434">
        <v>2.9312130000000001</v>
      </c>
      <c r="T2434">
        <v>0.63576409999999905</v>
      </c>
      <c r="U2434">
        <v>0.19664000000000001</v>
      </c>
      <c r="V2434">
        <v>-2.2266080000000001E-2</v>
      </c>
      <c r="W2434">
        <v>0.2065534</v>
      </c>
      <c r="X2434">
        <v>0.978182</v>
      </c>
      <c r="Y2434">
        <v>-8.0196630000000005E-2</v>
      </c>
      <c r="Z2434">
        <v>-1.191236E-2</v>
      </c>
      <c r="AA2434">
        <v>0.99670789999999998</v>
      </c>
      <c r="AB2434">
        <v>29</v>
      </c>
      <c r="AC2434">
        <v>275.79989999999998</v>
      </c>
      <c r="AD2434">
        <v>59.880065000000002</v>
      </c>
      <c r="AE2434">
        <v>18.524699999999999</v>
      </c>
      <c r="AF2434">
        <v>-21.781136266832998</v>
      </c>
      <c r="AG2434">
        <v>59.880065000000002</v>
      </c>
      <c r="AH2434">
        <v>263.131227208025</v>
      </c>
      <c r="AI2434">
        <v>77.221946644661301</v>
      </c>
      <c r="AJ2434">
        <v>94.731967792571993</v>
      </c>
      <c r="AK2434">
        <v>270.73618674547401</v>
      </c>
      <c r="AL2434">
        <v>78.079551928271201</v>
      </c>
      <c r="AM2434">
        <v>91.303982427379196</v>
      </c>
      <c r="AN2434">
        <v>1.00000005524706</v>
      </c>
    </row>
    <row r="2435" spans="1:40" x14ac:dyDescent="0.25">
      <c r="A2435" t="str">
        <f>"20190312164519679"</f>
        <v>20190312164519679</v>
      </c>
      <c r="B2435" t="str">
        <f>"1552380319674371"</f>
        <v>1552380319674371</v>
      </c>
      <c r="C2435" t="s">
        <v>40</v>
      </c>
      <c r="D2435">
        <v>5.5014099999999999</v>
      </c>
      <c r="E2435">
        <v>0.47751490000000002</v>
      </c>
      <c r="F2435" t="s">
        <v>62</v>
      </c>
      <c r="G2435">
        <v>-157.25</v>
      </c>
      <c r="H2435">
        <v>60.813800000000001</v>
      </c>
      <c r="I2435">
        <v>232.3246</v>
      </c>
      <c r="J2435">
        <v>-432.75970000000001</v>
      </c>
      <c r="K2435">
        <v>1.1090869999999999</v>
      </c>
      <c r="L2435">
        <v>213.44759999999999</v>
      </c>
      <c r="M2435">
        <v>0.99984379999999995</v>
      </c>
      <c r="N2435">
        <v>0</v>
      </c>
      <c r="O2435">
        <v>-1.5044180000000001E-2</v>
      </c>
      <c r="P2435">
        <v>0.98011389999999998</v>
      </c>
      <c r="Q2435">
        <v>0.19828570000000001</v>
      </c>
      <c r="R2435">
        <v>7.718595E-3</v>
      </c>
      <c r="S2435">
        <v>2.9311219999999998</v>
      </c>
      <c r="T2435">
        <v>0.6345248</v>
      </c>
      <c r="U2435">
        <v>0.2005768</v>
      </c>
      <c r="V2435">
        <v>-2.2639019999999999E-2</v>
      </c>
      <c r="W2435">
        <v>0.2073567</v>
      </c>
      <c r="X2435">
        <v>0.97800339999999997</v>
      </c>
      <c r="Y2435">
        <v>-8.1056089999999997E-2</v>
      </c>
      <c r="Z2435">
        <v>-1.1879489999999999E-2</v>
      </c>
      <c r="AA2435">
        <v>0.99663880000000005</v>
      </c>
      <c r="AB2435">
        <v>29</v>
      </c>
      <c r="AC2435">
        <v>275.50970000000001</v>
      </c>
      <c r="AD2435">
        <v>59.704712999999998</v>
      </c>
      <c r="AE2435">
        <v>18.876999999999999</v>
      </c>
      <c r="AF2435">
        <v>-21.991908569425298</v>
      </c>
      <c r="AG2435">
        <v>59.704712999999998</v>
      </c>
      <c r="AH2435">
        <v>262.90571779867503</v>
      </c>
      <c r="AI2435">
        <v>77.248459872386803</v>
      </c>
      <c r="AJ2435">
        <v>94.781626267509296</v>
      </c>
      <c r="AK2435">
        <v>270.49531095413698</v>
      </c>
      <c r="AL2435">
        <v>78.032506931868198</v>
      </c>
      <c r="AM2435">
        <v>91.326057445319094</v>
      </c>
      <c r="AN2435">
        <v>0.99999998833650505</v>
      </c>
    </row>
    <row r="2436" spans="1:40" x14ac:dyDescent="0.25">
      <c r="A2436" t="str">
        <f>"20190312164519702"</f>
        <v>20190312164519702</v>
      </c>
      <c r="B2436" t="str">
        <f>"1552380319693891"</f>
        <v>1552380319693891</v>
      </c>
      <c r="C2436" t="s">
        <v>40</v>
      </c>
      <c r="D2436">
        <v>5.4630359999999998</v>
      </c>
      <c r="E2436">
        <v>0.47747610000000001</v>
      </c>
      <c r="F2436" t="s">
        <v>62</v>
      </c>
      <c r="G2436">
        <v>-157.25</v>
      </c>
      <c r="H2436">
        <v>60.630159999999997</v>
      </c>
      <c r="I2436">
        <v>232.352</v>
      </c>
      <c r="J2436">
        <v>-432.4658</v>
      </c>
      <c r="K2436">
        <v>1.109076</v>
      </c>
      <c r="L2436">
        <v>213.44370000000001</v>
      </c>
      <c r="M2436">
        <v>0.99985290000000004</v>
      </c>
      <c r="N2436">
        <v>0</v>
      </c>
      <c r="O2436">
        <v>-1.4539979999999999E-2</v>
      </c>
      <c r="P2436">
        <v>0.98004530000000001</v>
      </c>
      <c r="Q2436">
        <v>0.1986115</v>
      </c>
      <c r="R2436">
        <v>8.0596629999999999E-3</v>
      </c>
      <c r="S2436">
        <v>2.9311829999999999</v>
      </c>
      <c r="T2436">
        <v>0.63325259999999906</v>
      </c>
      <c r="U2436">
        <v>0.2011261</v>
      </c>
      <c r="V2436">
        <v>-2.2492809999999998E-2</v>
      </c>
      <c r="W2436">
        <v>0.2075032</v>
      </c>
      <c r="X2436">
        <v>0.9779757</v>
      </c>
      <c r="Y2436">
        <v>-8.0765199999999995E-2</v>
      </c>
      <c r="Z2436">
        <v>-1.171728E-2</v>
      </c>
      <c r="AA2436">
        <v>0.99666429999999995</v>
      </c>
      <c r="AB2436">
        <v>29</v>
      </c>
      <c r="AC2436">
        <v>275.2158</v>
      </c>
      <c r="AD2436">
        <v>59.521084000000002</v>
      </c>
      <c r="AE2436">
        <v>18.908300000000001</v>
      </c>
      <c r="AF2436">
        <v>-21.889090981352599</v>
      </c>
      <c r="AG2436">
        <v>59.521084000000002</v>
      </c>
      <c r="AH2436">
        <v>262.68302346544101</v>
      </c>
      <c r="AI2436">
        <v>77.275647624002303</v>
      </c>
      <c r="AJ2436">
        <v>94.763390208204598</v>
      </c>
      <c r="AK2436">
        <v>270.23001787638299</v>
      </c>
      <c r="AL2436">
        <v>78.023926459612795</v>
      </c>
      <c r="AM2436">
        <v>91.317533675807098</v>
      </c>
      <c r="AN2436">
        <v>0.99999998715121297</v>
      </c>
    </row>
    <row r="2437" spans="1:40" x14ac:dyDescent="0.25">
      <c r="A2437" t="str">
        <f>"20190312164519725"</f>
        <v>20190312164519725</v>
      </c>
      <c r="B2437" t="str">
        <f>"1552380319714390"</f>
        <v>1552380319714390</v>
      </c>
      <c r="C2437" t="s">
        <v>40</v>
      </c>
      <c r="D2437">
        <v>5.6537620000000004</v>
      </c>
      <c r="E2437">
        <v>0.47745539999999997</v>
      </c>
      <c r="F2437" t="s">
        <v>62</v>
      </c>
      <c r="G2437">
        <v>-157.25</v>
      </c>
      <c r="H2437">
        <v>60.440769999999901</v>
      </c>
      <c r="I2437">
        <v>232.4632</v>
      </c>
      <c r="J2437">
        <v>-432.16649999999998</v>
      </c>
      <c r="K2437">
        <v>1.1090679999999999</v>
      </c>
      <c r="L2437">
        <v>213.43989999999999</v>
      </c>
      <c r="M2437">
        <v>0.99986229999999998</v>
      </c>
      <c r="N2437">
        <v>0</v>
      </c>
      <c r="O2437">
        <v>-1.3996720000000001E-2</v>
      </c>
      <c r="P2437">
        <v>0.97997849999999997</v>
      </c>
      <c r="Q2437">
        <v>0.19894719999999999</v>
      </c>
      <c r="R2437">
        <v>7.8891569999999904E-3</v>
      </c>
      <c r="S2437">
        <v>2.931305</v>
      </c>
      <c r="T2437">
        <v>0.63193829999999995</v>
      </c>
      <c r="U2437">
        <v>0.2025757</v>
      </c>
      <c r="V2437">
        <v>-2.1800989999999999E-2</v>
      </c>
      <c r="W2437">
        <v>0.2076529</v>
      </c>
      <c r="X2437">
        <v>0.97795960000000004</v>
      </c>
      <c r="Y2437">
        <v>-8.0733830000000006E-2</v>
      </c>
      <c r="Z2437">
        <v>-1.157382E-2</v>
      </c>
      <c r="AA2437">
        <v>0.99666849999999996</v>
      </c>
      <c r="AB2437">
        <v>29</v>
      </c>
      <c r="AC2437">
        <v>274.91649999999998</v>
      </c>
      <c r="AD2437">
        <v>59.3317019999999</v>
      </c>
      <c r="AE2437">
        <v>19.023299999999999</v>
      </c>
      <c r="AF2437">
        <v>-21.856364653703601</v>
      </c>
      <c r="AG2437">
        <v>59.3317019999999</v>
      </c>
      <c r="AH2437">
        <v>262.45707025935502</v>
      </c>
      <c r="AI2437">
        <v>77.304200582584699</v>
      </c>
      <c r="AJ2437">
        <v>94.760377132715305</v>
      </c>
      <c r="AK2437">
        <v>269.96604465602002</v>
      </c>
      <c r="AL2437">
        <v>78.015158388261597</v>
      </c>
      <c r="AM2437">
        <v>91.277044434842196</v>
      </c>
      <c r="AN2437">
        <v>0.999999994637775</v>
      </c>
    </row>
    <row r="2438" spans="1:40" x14ac:dyDescent="0.25">
      <c r="A2438" t="str">
        <f>"20190312164519926"</f>
        <v>20190312164519926</v>
      </c>
      <c r="B2438" t="str">
        <f>"1552380319924227"</f>
        <v>1552380319924227</v>
      </c>
      <c r="C2438" t="s">
        <v>40</v>
      </c>
      <c r="D2438">
        <v>5.2808260000000002</v>
      </c>
      <c r="E2438">
        <v>0.50610109999999997</v>
      </c>
      <c r="F2438" t="s">
        <v>62</v>
      </c>
      <c r="G2438">
        <v>-157.25</v>
      </c>
      <c r="H2438">
        <v>60.203999999999901</v>
      </c>
      <c r="I2438">
        <v>232.42449999999999</v>
      </c>
      <c r="J2438">
        <v>-429.48849999999999</v>
      </c>
      <c r="K2438">
        <v>1.1089450000000001</v>
      </c>
      <c r="L2438">
        <v>213.4153</v>
      </c>
      <c r="M2438">
        <v>0.99994170000000004</v>
      </c>
      <c r="N2438">
        <v>0</v>
      </c>
      <c r="O2438">
        <v>-7.9671759999999994E-3</v>
      </c>
      <c r="P2438">
        <v>0.98267300000000002</v>
      </c>
      <c r="Q2438">
        <v>0.1853428</v>
      </c>
      <c r="R2438">
        <v>1.2755900000000001E-3</v>
      </c>
      <c r="S2438">
        <v>2.9317319999999998</v>
      </c>
      <c r="T2438">
        <v>0.63019380000000003</v>
      </c>
      <c r="U2438">
        <v>0.20245360000000001</v>
      </c>
      <c r="V2438">
        <v>-9.3599760000000008E-3</v>
      </c>
      <c r="W2438">
        <v>0.19247800000000001</v>
      </c>
      <c r="X2438">
        <v>0.98125669999999998</v>
      </c>
      <c r="Y2438">
        <v>-7.495272E-2</v>
      </c>
      <c r="Z2438">
        <v>-9.6471040000000001E-3</v>
      </c>
      <c r="AA2438">
        <v>0.99714040000000004</v>
      </c>
      <c r="AB2438">
        <v>30</v>
      </c>
      <c r="AC2438">
        <v>272.23849999999999</v>
      </c>
      <c r="AD2438">
        <v>59.095055000000002</v>
      </c>
      <c r="AE2438">
        <v>19.0092</v>
      </c>
      <c r="AF2438">
        <v>-20.229062287045199</v>
      </c>
      <c r="AG2438">
        <v>59.095055000000002</v>
      </c>
      <c r="AH2438">
        <v>259.891780733384</v>
      </c>
      <c r="AI2438">
        <v>77.227070206832707</v>
      </c>
      <c r="AJ2438">
        <v>94.450728196274895</v>
      </c>
      <c r="AK2438">
        <v>267.29230849247301</v>
      </c>
      <c r="AL2438">
        <v>78.902567676215</v>
      </c>
      <c r="AM2438">
        <v>90.546514339007999</v>
      </c>
      <c r="AN2438">
        <v>1.0000000504647999</v>
      </c>
    </row>
    <row r="2439" spans="1:40" x14ac:dyDescent="0.25">
      <c r="A2439" t="str">
        <f>"20190312164519950"</f>
        <v>20190312164519950</v>
      </c>
      <c r="B2439" t="str">
        <f>"1552380319944304"</f>
        <v>1552380319944304</v>
      </c>
      <c r="C2439" t="s">
        <v>40</v>
      </c>
      <c r="D2439">
        <v>5.1141160000000001</v>
      </c>
      <c r="E2439">
        <v>0.50517599999999996</v>
      </c>
      <c r="F2439" t="s">
        <v>60</v>
      </c>
      <c r="G2439">
        <v>-169.40639999999999</v>
      </c>
      <c r="H2439">
        <v>43.27993</v>
      </c>
      <c r="I2439">
        <v>209.70570000000001</v>
      </c>
      <c r="J2439">
        <v>-429.17779999999999</v>
      </c>
      <c r="K2439">
        <v>1.1089199999999999</v>
      </c>
      <c r="L2439">
        <v>213.4136</v>
      </c>
      <c r="M2439">
        <v>0.99994839999999996</v>
      </c>
      <c r="N2439">
        <v>0</v>
      </c>
      <c r="O2439">
        <v>-7.2367300000000002E-3</v>
      </c>
      <c r="P2439">
        <v>0.98297219999999996</v>
      </c>
      <c r="Q2439">
        <v>0.18375420000000001</v>
      </c>
      <c r="R2439">
        <v>5.8851300000000004E-4</v>
      </c>
      <c r="S2439">
        <v>2.9623110000000001</v>
      </c>
      <c r="T2439">
        <v>0.48032399999999997</v>
      </c>
      <c r="U2439">
        <v>-4.2251589999999999E-2</v>
      </c>
      <c r="V2439">
        <v>-7.9575749999999997E-3</v>
      </c>
      <c r="W2439">
        <v>0.19076660000000001</v>
      </c>
      <c r="X2439">
        <v>0.98160320000000001</v>
      </c>
      <c r="Y2439">
        <v>7.0277769999999998E-3</v>
      </c>
      <c r="Z2439">
        <v>-5.9970119999999997E-4</v>
      </c>
      <c r="AA2439">
        <v>0.99997510000000001</v>
      </c>
      <c r="AB2439">
        <v>30</v>
      </c>
      <c r="AC2439">
        <v>259.77140000000003</v>
      </c>
      <c r="AD2439">
        <v>42.171009999999903</v>
      </c>
      <c r="AE2439">
        <v>-3.7078999999999902</v>
      </c>
      <c r="AF2439">
        <v>1.78093458264178</v>
      </c>
      <c r="AG2439">
        <v>42.171009999999903</v>
      </c>
      <c r="AH2439">
        <v>253.12203052266901</v>
      </c>
      <c r="AI2439">
        <v>80.5414304467226</v>
      </c>
      <c r="AJ2439">
        <v>89.596880796059395</v>
      </c>
      <c r="AK2439">
        <v>256.617084677398</v>
      </c>
      <c r="AL2439">
        <v>79.002474869229601</v>
      </c>
      <c r="AM2439">
        <v>90.464470241346504</v>
      </c>
      <c r="AN2439">
        <v>1.00000003046283</v>
      </c>
    </row>
    <row r="2440" spans="1:40" x14ac:dyDescent="0.25">
      <c r="A2440" t="str">
        <f>"20190312164519994"</f>
        <v>20190312164519994</v>
      </c>
      <c r="B2440" t="str">
        <f>"1552380319984320"</f>
        <v>1552380319984320</v>
      </c>
      <c r="C2440" t="s">
        <v>40</v>
      </c>
      <c r="D2440">
        <v>5.0576720000000002</v>
      </c>
      <c r="E2440">
        <v>0.50299289999999997</v>
      </c>
      <c r="F2440" t="s">
        <v>41</v>
      </c>
      <c r="G2440">
        <v>-428.1891</v>
      </c>
      <c r="H2440">
        <v>1.028022</v>
      </c>
      <c r="I2440">
        <v>213.41050000000001</v>
      </c>
      <c r="J2440">
        <v>-428.5677</v>
      </c>
      <c r="K2440">
        <v>1.1089059999999999</v>
      </c>
      <c r="L2440">
        <v>213.41079999999999</v>
      </c>
      <c r="M2440">
        <v>0.99995909999999999</v>
      </c>
      <c r="N2440">
        <v>0</v>
      </c>
      <c r="O2440">
        <v>-5.8092819999999998E-3</v>
      </c>
      <c r="P2440">
        <v>0.9832263</v>
      </c>
      <c r="Q2440">
        <v>0.18239030000000001</v>
      </c>
      <c r="R2440">
        <v>1.612222E-4</v>
      </c>
      <c r="S2440">
        <v>3.099396</v>
      </c>
      <c r="T2440">
        <v>-0.25361119999999998</v>
      </c>
      <c r="U2440">
        <v>-9.7808840000000001E-3</v>
      </c>
      <c r="V2440">
        <v>-6.1311859999999899E-3</v>
      </c>
      <c r="W2440">
        <v>0.18920580000000001</v>
      </c>
      <c r="X2440">
        <v>0.98191830000000002</v>
      </c>
      <c r="Y2440">
        <v>-2.6255330000000002E-3</v>
      </c>
      <c r="Z2440">
        <v>5.8180349999999896E-4</v>
      </c>
      <c r="AA2440">
        <v>0.99999640000000001</v>
      </c>
      <c r="AB2440">
        <v>30</v>
      </c>
      <c r="AC2440">
        <v>0.37860000000000499</v>
      </c>
      <c r="AD2440">
        <v>-8.08839999999999E-2</v>
      </c>
      <c r="AE2440">
        <v>-2.9999999998153699E-4</v>
      </c>
      <c r="AF2440">
        <v>-1.81654165174424E-3</v>
      </c>
      <c r="AG2440">
        <v>-8.08839999999999E-2</v>
      </c>
      <c r="AH2440">
        <v>0.36206979915644499</v>
      </c>
      <c r="AI2440">
        <v>102.592583603514</v>
      </c>
      <c r="AJ2440">
        <v>90.287456443292598</v>
      </c>
      <c r="AK2440">
        <v>0.370998734149809</v>
      </c>
      <c r="AL2440">
        <v>79.093560625489005</v>
      </c>
      <c r="AM2440">
        <v>90.357755340602793</v>
      </c>
      <c r="AN2440">
        <v>0.99999998703514803</v>
      </c>
    </row>
    <row r="2441" spans="1:40" x14ac:dyDescent="0.25">
      <c r="A2441" t="str">
        <f>"20190312164520015"</f>
        <v>20190312164520015</v>
      </c>
      <c r="B2441" t="str">
        <f>"1552380320003840"</f>
        <v>1552380320003840</v>
      </c>
      <c r="C2441" t="s">
        <v>40</v>
      </c>
      <c r="D2441">
        <v>5.1753169999999997</v>
      </c>
      <c r="E2441">
        <v>0.50928309999999999</v>
      </c>
      <c r="F2441" t="s">
        <v>51</v>
      </c>
      <c r="G2441">
        <v>-411.97620000000001</v>
      </c>
      <c r="H2441" s="1">
        <v>2.6598930000000002E-6</v>
      </c>
      <c r="I2441">
        <v>213.4314</v>
      </c>
      <c r="J2441">
        <v>-428.27260000000001</v>
      </c>
      <c r="K2441">
        <v>1.1089089999999999</v>
      </c>
      <c r="L2441">
        <v>213.40969999999999</v>
      </c>
      <c r="M2441">
        <v>0.9999633</v>
      </c>
      <c r="N2441">
        <v>0</v>
      </c>
      <c r="O2441">
        <v>-5.1208590000000002E-3</v>
      </c>
      <c r="P2441">
        <v>0.98329949999999999</v>
      </c>
      <c r="Q2441">
        <v>0.1819953</v>
      </c>
      <c r="R2441">
        <v>-2.6489139999999998E-4</v>
      </c>
      <c r="S2441">
        <v>3.0895389999999998</v>
      </c>
      <c r="T2441">
        <v>-0.20649139999999999</v>
      </c>
      <c r="U2441">
        <v>3.8299559999999998E-3</v>
      </c>
      <c r="V2441">
        <v>-5.029932E-3</v>
      </c>
      <c r="W2441">
        <v>0.18873889999999999</v>
      </c>
      <c r="X2441">
        <v>0.98201439999999995</v>
      </c>
      <c r="Y2441">
        <v>-6.335055E-3</v>
      </c>
      <c r="Z2441">
        <v>5.5334949999999905E-4</v>
      </c>
      <c r="AA2441">
        <v>0.99997979999999997</v>
      </c>
      <c r="AB2441">
        <v>31</v>
      </c>
      <c r="AC2441">
        <v>16.296399999999998</v>
      </c>
      <c r="AD2441">
        <v>-1.1089063401069901</v>
      </c>
      <c r="AE2441">
        <v>2.1700000000009802E-2</v>
      </c>
      <c r="AF2441">
        <v>-0.10466860744722201</v>
      </c>
      <c r="AG2441">
        <v>-1.1089063401069901</v>
      </c>
      <c r="AH2441">
        <v>16.220967852562701</v>
      </c>
      <c r="AI2441">
        <v>93.910718352245496</v>
      </c>
      <c r="AJ2441">
        <v>90.369705820115698</v>
      </c>
      <c r="AK2441">
        <v>16.2591643961917</v>
      </c>
      <c r="AL2441">
        <v>79.120802756801396</v>
      </c>
      <c r="AM2441">
        <v>90.293469581076195</v>
      </c>
      <c r="AN2441">
        <v>0.99999997719824696</v>
      </c>
    </row>
    <row r="2442" spans="1:40" x14ac:dyDescent="0.25">
      <c r="A2442" t="str">
        <f>"20190312164520036"</f>
        <v>20190312164520036</v>
      </c>
      <c r="B2442" t="str">
        <f>"1552380320034096"</f>
        <v>1552380320034096</v>
      </c>
      <c r="C2442" t="s">
        <v>40</v>
      </c>
      <c r="D2442">
        <v>5.1618120000000003</v>
      </c>
      <c r="E2442">
        <v>0.50866400000000001</v>
      </c>
      <c r="F2442" t="s">
        <v>60</v>
      </c>
      <c r="G2442">
        <v>-168.42619999999999</v>
      </c>
      <c r="H2442">
        <v>47.71163</v>
      </c>
      <c r="I2442">
        <v>206.8493</v>
      </c>
      <c r="J2442">
        <v>-427.98590000000002</v>
      </c>
      <c r="K2442">
        <v>1.1089089999999999</v>
      </c>
      <c r="L2442">
        <v>213.40889999999999</v>
      </c>
      <c r="M2442">
        <v>0.99996700000000005</v>
      </c>
      <c r="N2442">
        <v>0</v>
      </c>
      <c r="O2442">
        <v>-4.4525049999999998E-3</v>
      </c>
      <c r="P2442">
        <v>0.98321840000000005</v>
      </c>
      <c r="Q2442">
        <v>0.18243390000000001</v>
      </c>
      <c r="R2442" s="1">
        <v>-2.0027160000000001E-5</v>
      </c>
      <c r="S2442">
        <v>2.9529420000000002</v>
      </c>
      <c r="T2442">
        <v>0.52960209999999996</v>
      </c>
      <c r="U2442">
        <v>-7.455444E-2</v>
      </c>
      <c r="V2442">
        <v>-4.6193930000000003E-3</v>
      </c>
      <c r="W2442">
        <v>0.18911629999999999</v>
      </c>
      <c r="X2442">
        <v>0.98194380000000003</v>
      </c>
      <c r="Y2442">
        <v>2.0531649999999999E-2</v>
      </c>
      <c r="Z2442">
        <v>1.0341860000000001E-3</v>
      </c>
      <c r="AA2442">
        <v>0.99978860000000003</v>
      </c>
      <c r="AB2442">
        <v>31</v>
      </c>
      <c r="AC2442">
        <v>259.55970000000002</v>
      </c>
      <c r="AD2442">
        <v>46.602721000000003</v>
      </c>
      <c r="AE2442">
        <v>-6.5595999999999801</v>
      </c>
      <c r="AF2442">
        <v>5.2351617996492896</v>
      </c>
      <c r="AG2442">
        <v>46.602721000000003</v>
      </c>
      <c r="AH2442">
        <v>251.48452526719601</v>
      </c>
      <c r="AI2442">
        <v>79.503805122759303</v>
      </c>
      <c r="AJ2442">
        <v>88.807444079992905</v>
      </c>
      <c r="AK2442">
        <v>255.81963758190901</v>
      </c>
      <c r="AL2442">
        <v>79.098782692450598</v>
      </c>
      <c r="AM2442">
        <v>90.269536576711403</v>
      </c>
      <c r="AN2442">
        <v>0.99999997003790797</v>
      </c>
    </row>
    <row r="2443" spans="1:40" x14ac:dyDescent="0.25">
      <c r="A2443" t="str">
        <f>"20190312164520060"</f>
        <v>20190312164520060</v>
      </c>
      <c r="B2443" t="str">
        <f>"1552380320054161"</f>
        <v>1552380320054161</v>
      </c>
      <c r="C2443" t="s">
        <v>40</v>
      </c>
      <c r="D2443">
        <v>5.1237629999999896</v>
      </c>
      <c r="E2443">
        <v>0.50895709999999905</v>
      </c>
      <c r="F2443" t="s">
        <v>60</v>
      </c>
      <c r="G2443">
        <v>-168.42609999999999</v>
      </c>
      <c r="H2443">
        <v>47.992150000000002</v>
      </c>
      <c r="I2443">
        <v>207.36269999999999</v>
      </c>
      <c r="J2443">
        <v>-427.65910000000002</v>
      </c>
      <c r="K2443">
        <v>1.1089119999999999</v>
      </c>
      <c r="L2443">
        <v>213.4083</v>
      </c>
      <c r="M2443">
        <v>0.99997060000000004</v>
      </c>
      <c r="N2443">
        <v>0</v>
      </c>
      <c r="O2443">
        <v>-3.6917719999999998E-3</v>
      </c>
      <c r="P2443">
        <v>0.98309369999999996</v>
      </c>
      <c r="Q2443">
        <v>0.18310380000000001</v>
      </c>
      <c r="R2443">
        <v>-1.673391E-4</v>
      </c>
      <c r="S2443">
        <v>2.9523009999999998</v>
      </c>
      <c r="T2443">
        <v>0.53326260000000003</v>
      </c>
      <c r="U2443">
        <v>-6.8771360000000004E-2</v>
      </c>
      <c r="V2443">
        <v>-3.7260349999999999E-3</v>
      </c>
      <c r="W2443">
        <v>0.1897269</v>
      </c>
      <c r="X2443">
        <v>0.98182979999999997</v>
      </c>
      <c r="Y2443">
        <v>1.934369E-2</v>
      </c>
      <c r="Z2443">
        <v>1.0713389999999999E-3</v>
      </c>
      <c r="AA2443">
        <v>0.99981229999999999</v>
      </c>
      <c r="AB2443">
        <v>31</v>
      </c>
      <c r="AC2443">
        <v>259.233</v>
      </c>
      <c r="AD2443">
        <v>46.883237999999999</v>
      </c>
      <c r="AE2443">
        <v>-6.0456000000000003</v>
      </c>
      <c r="AF2443">
        <v>4.9274290738623998</v>
      </c>
      <c r="AG2443">
        <v>46.883237999999999</v>
      </c>
      <c r="AH2443">
        <v>251.04676660568001</v>
      </c>
      <c r="AI2443">
        <v>79.423797702750406</v>
      </c>
      <c r="AJ2443">
        <v>88.875569487710806</v>
      </c>
      <c r="AK2443">
        <v>255.43452504665299</v>
      </c>
      <c r="AL2443">
        <v>79.063152817440098</v>
      </c>
      <c r="AM2443">
        <v>90.217435908906594</v>
      </c>
      <c r="AN2443">
        <v>0.99999996804423497</v>
      </c>
    </row>
    <row r="2444" spans="1:40" x14ac:dyDescent="0.25">
      <c r="A2444" t="str">
        <f>"20190312164520081"</f>
        <v>20190312164520081</v>
      </c>
      <c r="B2444" t="str">
        <f>"1552380320073680"</f>
        <v>1552380320073680</v>
      </c>
      <c r="C2444" t="s">
        <v>40</v>
      </c>
      <c r="D2444">
        <v>5.2324359999999999</v>
      </c>
      <c r="E2444">
        <v>0.50764900000000002</v>
      </c>
      <c r="F2444" t="s">
        <v>60</v>
      </c>
      <c r="G2444">
        <v>-168.4263</v>
      </c>
      <c r="H2444">
        <v>48.262970000000003</v>
      </c>
      <c r="I2444">
        <v>207.12549999999999</v>
      </c>
      <c r="J2444">
        <v>-427.35590000000002</v>
      </c>
      <c r="K2444">
        <v>1.1089059999999999</v>
      </c>
      <c r="L2444">
        <v>213.40780000000001</v>
      </c>
      <c r="M2444">
        <v>0.99997320000000001</v>
      </c>
      <c r="N2444">
        <v>0</v>
      </c>
      <c r="O2444">
        <v>-2.9903260000000002E-3</v>
      </c>
      <c r="P2444">
        <v>0.98296150000000004</v>
      </c>
      <c r="Q2444">
        <v>0.18381</v>
      </c>
      <c r="R2444">
        <v>-8.5657089999999995E-4</v>
      </c>
      <c r="S2444">
        <v>2.9515380000000002</v>
      </c>
      <c r="T2444">
        <v>0.53688069999999999</v>
      </c>
      <c r="U2444">
        <v>-7.1533200000000005E-2</v>
      </c>
      <c r="V2444">
        <v>-2.3483620000000001E-3</v>
      </c>
      <c r="W2444">
        <v>0.1903841</v>
      </c>
      <c r="X2444">
        <v>0.98170690000000005</v>
      </c>
      <c r="Y2444">
        <v>2.0944730000000002E-2</v>
      </c>
      <c r="Z2444">
        <v>1.349697E-3</v>
      </c>
      <c r="AA2444">
        <v>0.99977969999999905</v>
      </c>
      <c r="AB2444">
        <v>31</v>
      </c>
      <c r="AC2444">
        <v>258.92959999999999</v>
      </c>
      <c r="AD2444">
        <v>47.154063999999998</v>
      </c>
      <c r="AE2444">
        <v>-6.2823000000000198</v>
      </c>
      <c r="AF2444">
        <v>5.3312654052271897</v>
      </c>
      <c r="AG2444">
        <v>47.154063999999998</v>
      </c>
      <c r="AH2444">
        <v>250.639750356024</v>
      </c>
      <c r="AI2444">
        <v>79.347565982777695</v>
      </c>
      <c r="AJ2444">
        <v>88.781466419470306</v>
      </c>
      <c r="AK2444">
        <v>255.09255692996399</v>
      </c>
      <c r="AL2444">
        <v>79.024799643269404</v>
      </c>
      <c r="AM2444">
        <v>90.137058193972905</v>
      </c>
      <c r="AN2444">
        <v>1.0000000289222499</v>
      </c>
    </row>
    <row r="2445" spans="1:40" x14ac:dyDescent="0.25">
      <c r="A2445" t="str">
        <f>"20190312164520116"</f>
        <v>20190312164520116</v>
      </c>
      <c r="B2445" t="str">
        <f>"1552380320103935"</f>
        <v>1552380320103935</v>
      </c>
      <c r="C2445" t="s">
        <v>40</v>
      </c>
      <c r="D2445">
        <v>5.2448949999999996</v>
      </c>
      <c r="E2445">
        <v>0.50778480000000004</v>
      </c>
      <c r="F2445" t="s">
        <v>60</v>
      </c>
      <c r="G2445">
        <v>-168.4255</v>
      </c>
      <c r="H2445">
        <v>46.83052</v>
      </c>
      <c r="I2445">
        <v>207.92609999999999</v>
      </c>
      <c r="J2445">
        <v>-426.88670000000002</v>
      </c>
      <c r="K2445">
        <v>1.108887</v>
      </c>
      <c r="L2445">
        <v>213.4075</v>
      </c>
      <c r="M2445">
        <v>0.99997630000000004</v>
      </c>
      <c r="N2445">
        <v>0</v>
      </c>
      <c r="O2445">
        <v>-1.925387E-3</v>
      </c>
      <c r="P2445">
        <v>0.98274490000000003</v>
      </c>
      <c r="Q2445">
        <v>0.18496480000000001</v>
      </c>
      <c r="R2445">
        <v>-7.9905149999999904E-4</v>
      </c>
      <c r="S2445">
        <v>2.9543759999999999</v>
      </c>
      <c r="T2445">
        <v>0.52168059999999905</v>
      </c>
      <c r="U2445">
        <v>-6.2545779999999995E-2</v>
      </c>
      <c r="V2445">
        <v>-1.3575410000000001E-3</v>
      </c>
      <c r="W2445">
        <v>0.1914611</v>
      </c>
      <c r="X2445">
        <v>0.98149929999999996</v>
      </c>
      <c r="Y2445">
        <v>1.89771E-2</v>
      </c>
      <c r="Z2445">
        <v>1.325094E-3</v>
      </c>
      <c r="AA2445">
        <v>0.99981900000000001</v>
      </c>
      <c r="AB2445">
        <v>31</v>
      </c>
      <c r="AC2445">
        <v>258.46120000000002</v>
      </c>
      <c r="AD2445">
        <v>45.721632999999997</v>
      </c>
      <c r="AE2445">
        <v>-5.4813999999999998</v>
      </c>
      <c r="AF2445">
        <v>4.8325812225152101</v>
      </c>
      <c r="AG2445">
        <v>45.721632999999997</v>
      </c>
      <c r="AH2445">
        <v>250.631683413628</v>
      </c>
      <c r="AI2445">
        <v>79.663348684058207</v>
      </c>
      <c r="AJ2445">
        <v>88.895382265979094</v>
      </c>
      <c r="AK2445">
        <v>254.81377964350301</v>
      </c>
      <c r="AL2445">
        <v>78.961935788068004</v>
      </c>
      <c r="AM2445">
        <v>90.079247453580606</v>
      </c>
      <c r="AN2445">
        <v>1.00000003581563</v>
      </c>
    </row>
    <row r="2446" spans="1:40" x14ac:dyDescent="0.25">
      <c r="A2446" t="str">
        <f>"20190312164520137"</f>
        <v>20190312164520137</v>
      </c>
      <c r="B2446" t="str">
        <f>"1552380320134191"</f>
        <v>1552380320134191</v>
      </c>
      <c r="C2446" t="s">
        <v>40</v>
      </c>
      <c r="D2446">
        <v>5.3867929999999999</v>
      </c>
      <c r="E2446">
        <v>0.50733640000000002</v>
      </c>
      <c r="F2446" t="s">
        <v>60</v>
      </c>
      <c r="G2446">
        <v>-168.42580000000001</v>
      </c>
      <c r="H2446">
        <v>47.701309999999999</v>
      </c>
      <c r="I2446">
        <v>207.82810000000001</v>
      </c>
      <c r="J2446">
        <v>-426.57780000000002</v>
      </c>
      <c r="K2446">
        <v>1.1088720000000001</v>
      </c>
      <c r="L2446">
        <v>213.4076</v>
      </c>
      <c r="M2446">
        <v>0.99997769999999997</v>
      </c>
      <c r="N2446">
        <v>0</v>
      </c>
      <c r="O2446">
        <v>-1.247017E-3</v>
      </c>
      <c r="P2446">
        <v>0.98273330000000003</v>
      </c>
      <c r="Q2446">
        <v>0.18502579999999999</v>
      </c>
      <c r="R2446">
        <v>-8.6667109999999999E-4</v>
      </c>
      <c r="S2446">
        <v>2.9524840000000001</v>
      </c>
      <c r="T2446">
        <v>0.53224110000000002</v>
      </c>
      <c r="U2446">
        <v>-6.3735959999999994E-2</v>
      </c>
      <c r="V2446">
        <v>-6.1854420000000002E-4</v>
      </c>
      <c r="W2446">
        <v>0.19147140000000001</v>
      </c>
      <c r="X2446">
        <v>0.98149799999999998</v>
      </c>
      <c r="Y2446">
        <v>2.003278E-2</v>
      </c>
      <c r="Z2446">
        <v>1.5680239999999999E-3</v>
      </c>
      <c r="AA2446">
        <v>0.99979810000000002</v>
      </c>
      <c r="AB2446">
        <v>31</v>
      </c>
      <c r="AC2446">
        <v>258.15199999999999</v>
      </c>
      <c r="AD2446">
        <v>46.592438000000001</v>
      </c>
      <c r="AE2446">
        <v>-5.5794999999999897</v>
      </c>
      <c r="AF2446">
        <v>5.0917831423751601</v>
      </c>
      <c r="AG2446">
        <v>46.592438000000001</v>
      </c>
      <c r="AH2446">
        <v>250.01829888265399</v>
      </c>
      <c r="AI2446">
        <v>79.445811223843904</v>
      </c>
      <c r="AJ2446">
        <v>88.833295954952703</v>
      </c>
      <c r="AK2446">
        <v>254.37360576626</v>
      </c>
      <c r="AL2446">
        <v>78.961334137476996</v>
      </c>
      <c r="AM2446">
        <v>90.036108038335797</v>
      </c>
      <c r="AN2446">
        <v>1.0000000018094399</v>
      </c>
    </row>
    <row r="2447" spans="1:40" x14ac:dyDescent="0.25">
      <c r="A2447" t="str">
        <f>"20190312164520162"</f>
        <v>20190312164520162</v>
      </c>
      <c r="B2447" t="str">
        <f>"1552380320154283"</f>
        <v>1552380320154283</v>
      </c>
      <c r="C2447" t="s">
        <v>40</v>
      </c>
      <c r="D2447">
        <v>5.1289610000000003</v>
      </c>
      <c r="E2447">
        <v>0.50731919999999997</v>
      </c>
      <c r="F2447" t="s">
        <v>60</v>
      </c>
      <c r="G2447">
        <v>-168.42570000000001</v>
      </c>
      <c r="H2447">
        <v>47.644240000000003</v>
      </c>
      <c r="I2447">
        <v>208.14570000000001</v>
      </c>
      <c r="J2447">
        <v>-426.2432</v>
      </c>
      <c r="K2447">
        <v>1.108843</v>
      </c>
      <c r="L2447">
        <v>213.40790000000001</v>
      </c>
      <c r="M2447">
        <v>0.99997879999999995</v>
      </c>
      <c r="N2447">
        <v>0</v>
      </c>
      <c r="O2447">
        <v>-5.3970310000000003E-4</v>
      </c>
      <c r="P2447">
        <v>0.98280509999999999</v>
      </c>
      <c r="Q2447">
        <v>0.1846468</v>
      </c>
      <c r="R2447" s="1">
        <v>6.1999080000000006E-5</v>
      </c>
      <c r="S2447">
        <v>2.9524840000000001</v>
      </c>
      <c r="T2447">
        <v>0.53222510000000001</v>
      </c>
      <c r="U2447">
        <v>-6.0180659999999997E-2</v>
      </c>
      <c r="V2447">
        <v>-8.4420039999999995E-4</v>
      </c>
      <c r="W2447">
        <v>0.19103619999999999</v>
      </c>
      <c r="X2447">
        <v>0.98158259999999997</v>
      </c>
      <c r="Y2447">
        <v>1.9533229999999999E-2</v>
      </c>
      <c r="Z2447">
        <v>1.6498089999999999E-3</v>
      </c>
      <c r="AA2447">
        <v>0.99980780000000002</v>
      </c>
      <c r="AB2447">
        <v>31</v>
      </c>
      <c r="AC2447">
        <v>257.8175</v>
      </c>
      <c r="AD2447">
        <v>46.535396999999897</v>
      </c>
      <c r="AE2447">
        <v>-5.2622</v>
      </c>
      <c r="AF2447">
        <v>4.9614771418987802</v>
      </c>
      <c r="AG2447">
        <v>46.535396999999897</v>
      </c>
      <c r="AH2447">
        <v>249.688991557707</v>
      </c>
      <c r="AI2447">
        <v>79.444749018199502</v>
      </c>
      <c r="AJ2447">
        <v>88.861646669538203</v>
      </c>
      <c r="AK2447">
        <v>254.03691057498301</v>
      </c>
      <c r="AL2447">
        <v>78.986737866348903</v>
      </c>
      <c r="AM2447">
        <v>90.049276655940602</v>
      </c>
      <c r="AN2447">
        <v>0.99999997150375697</v>
      </c>
    </row>
    <row r="2448" spans="1:40" x14ac:dyDescent="0.25">
      <c r="A2448" t="str">
        <f>"20190312164520183"</f>
        <v>20190312164520183</v>
      </c>
      <c r="B2448" t="str">
        <f>"1552380320173803"</f>
        <v>1552380320173803</v>
      </c>
      <c r="C2448" t="s">
        <v>40</v>
      </c>
      <c r="D2448">
        <v>5.1172630000000003</v>
      </c>
      <c r="E2448">
        <v>0.49810700000000002</v>
      </c>
      <c r="F2448" t="s">
        <v>60</v>
      </c>
      <c r="G2448">
        <v>-169.40819999999999</v>
      </c>
      <c r="H2448">
        <v>47.52234</v>
      </c>
      <c r="I2448">
        <v>208.43799999999999</v>
      </c>
      <c r="J2448">
        <v>-425.93709999999999</v>
      </c>
      <c r="K2448">
        <v>1.108797</v>
      </c>
      <c r="L2448">
        <v>213.4083</v>
      </c>
      <c r="M2448">
        <v>0.99997930000000002</v>
      </c>
      <c r="N2448">
        <v>0</v>
      </c>
      <c r="O2448" s="1">
        <v>6.6487679999999996E-5</v>
      </c>
      <c r="P2448">
        <v>0.98275979999999996</v>
      </c>
      <c r="Q2448">
        <v>0.18488589999999999</v>
      </c>
      <c r="R2448">
        <v>5.237684E-4</v>
      </c>
      <c r="S2448">
        <v>2.9523009999999998</v>
      </c>
      <c r="T2448">
        <v>0.533520199999999</v>
      </c>
      <c r="U2448">
        <v>-5.7128909999999998E-2</v>
      </c>
      <c r="V2448">
        <v>-7.0001440000000002E-4</v>
      </c>
      <c r="W2448">
        <v>0.19121360000000001</v>
      </c>
      <c r="X2448">
        <v>0.98154819999999998</v>
      </c>
      <c r="Y2448">
        <v>1.910311E-2</v>
      </c>
      <c r="Z2448">
        <v>1.7239880000000001E-3</v>
      </c>
      <c r="AA2448">
        <v>0.99981609999999999</v>
      </c>
      <c r="AB2448">
        <v>31</v>
      </c>
      <c r="AC2448">
        <v>256.52890000000002</v>
      </c>
      <c r="AD2448">
        <v>46.413542999999997</v>
      </c>
      <c r="AE2448">
        <v>-4.9702999999999999</v>
      </c>
      <c r="AF2448">
        <v>4.8293260512863201</v>
      </c>
      <c r="AG2448">
        <v>46.413542999999997</v>
      </c>
      <c r="AH2448">
        <v>248.40015695504599</v>
      </c>
      <c r="AI2448">
        <v>79.418286726082002</v>
      </c>
      <c r="AJ2448">
        <v>88.8862118706719</v>
      </c>
      <c r="AK2448">
        <v>252.74528153699299</v>
      </c>
      <c r="AL2448">
        <v>78.976383021626404</v>
      </c>
      <c r="AM2448">
        <v>90.040861838388096</v>
      </c>
      <c r="AN2448">
        <v>0.99999999988417998</v>
      </c>
    </row>
    <row r="2449" spans="1:40" x14ac:dyDescent="0.25">
      <c r="A2449" t="str">
        <f>"20190312164520205"</f>
        <v>20190312164520205</v>
      </c>
      <c r="B2449" t="str">
        <f>"1552380320194303"</f>
        <v>1552380320194303</v>
      </c>
      <c r="C2449" t="s">
        <v>40</v>
      </c>
      <c r="D2449">
        <v>5.3578590000000004</v>
      </c>
      <c r="E2449">
        <v>0.49815470000000001</v>
      </c>
      <c r="F2449" t="s">
        <v>51</v>
      </c>
      <c r="G2449">
        <v>-410.43090000000001</v>
      </c>
      <c r="H2449" s="1">
        <v>2.3673490000000001E-6</v>
      </c>
      <c r="I2449">
        <v>213.6422</v>
      </c>
      <c r="J2449">
        <v>-425.63220000000001</v>
      </c>
      <c r="K2449">
        <v>1.1087469999999999</v>
      </c>
      <c r="L2449">
        <v>213.40889999999999</v>
      </c>
      <c r="M2449">
        <v>0.99997959999999997</v>
      </c>
      <c r="N2449">
        <v>0</v>
      </c>
      <c r="O2449">
        <v>6.1613330000000004E-4</v>
      </c>
      <c r="P2449">
        <v>0.98264379999999996</v>
      </c>
      <c r="Q2449">
        <v>0.18550140000000001</v>
      </c>
      <c r="R2449">
        <v>4.6460419999999999E-4</v>
      </c>
      <c r="S2449">
        <v>3.0942080000000001</v>
      </c>
      <c r="T2449">
        <v>-0.2212557</v>
      </c>
      <c r="U2449">
        <v>4.6661380000000002E-2</v>
      </c>
      <c r="V2449" s="1">
        <v>-8.5825100000000006E-5</v>
      </c>
      <c r="W2449">
        <v>0.19175739999999999</v>
      </c>
      <c r="X2449">
        <v>0.98144229999999999</v>
      </c>
      <c r="Y2449">
        <v>-1.4427189999999999E-2</v>
      </c>
      <c r="Z2449">
        <v>4.7113150000000002E-4</v>
      </c>
      <c r="AA2449">
        <v>0.9998958</v>
      </c>
      <c r="AB2449">
        <v>31</v>
      </c>
      <c r="AC2449">
        <v>15.2013</v>
      </c>
      <c r="AD2449">
        <v>-1.108744632651</v>
      </c>
      <c r="AE2449">
        <v>0.233300000000014</v>
      </c>
      <c r="AF2449">
        <v>-0.222749020919982</v>
      </c>
      <c r="AG2449">
        <v>-1.108744632651</v>
      </c>
      <c r="AH2449">
        <v>15.121017847425399</v>
      </c>
      <c r="AI2449">
        <v>94.193239468851701</v>
      </c>
      <c r="AJ2449">
        <v>90.843968035590805</v>
      </c>
      <c r="AK2449">
        <v>15.1632487458629</v>
      </c>
      <c r="AL2449">
        <v>78.944637570954299</v>
      </c>
      <c r="AM2449">
        <v>90.005010397446398</v>
      </c>
      <c r="AN2449">
        <v>0.99999994802499703</v>
      </c>
    </row>
    <row r="2450" spans="1:40" x14ac:dyDescent="0.25">
      <c r="A2450" t="str">
        <f>"20190312164520226"</f>
        <v>20190312164520226</v>
      </c>
      <c r="B2450" t="str">
        <f>"1552380320224556"</f>
        <v>1552380320224556</v>
      </c>
      <c r="C2450" t="s">
        <v>40</v>
      </c>
      <c r="D2450">
        <v>5.391343</v>
      </c>
      <c r="E2450">
        <v>0.50336979999999998</v>
      </c>
      <c r="F2450" t="s">
        <v>47</v>
      </c>
      <c r="G2450">
        <v>-397.84019999999998</v>
      </c>
      <c r="H2450" s="1">
        <v>2.6353800000000001E-6</v>
      </c>
      <c r="I2450">
        <v>213.797</v>
      </c>
      <c r="J2450">
        <v>-425.32819999999998</v>
      </c>
      <c r="K2450">
        <v>1.1086860000000001</v>
      </c>
      <c r="L2450">
        <v>213.40950000000001</v>
      </c>
      <c r="M2450">
        <v>0.99997970000000003</v>
      </c>
      <c r="N2450">
        <v>0</v>
      </c>
      <c r="O2450">
        <v>1.097483E-3</v>
      </c>
      <c r="P2450">
        <v>0.98274329999999999</v>
      </c>
      <c r="Q2450">
        <v>0.18497469999999999</v>
      </c>
      <c r="R2450">
        <v>5.7401139999999995E-4</v>
      </c>
      <c r="S2450">
        <v>3.076111</v>
      </c>
      <c r="T2450">
        <v>-0.1227195</v>
      </c>
      <c r="U2450">
        <v>4.2953489999999997E-2</v>
      </c>
      <c r="V2450">
        <v>2.9962769999999998E-4</v>
      </c>
      <c r="W2450">
        <v>0.1911504</v>
      </c>
      <c r="X2450">
        <v>0.98156069999999995</v>
      </c>
      <c r="Y2450">
        <v>-1.2855449999999999E-2</v>
      </c>
      <c r="Z2450">
        <v>2.1255110000000001E-4</v>
      </c>
      <c r="AA2450">
        <v>0.99991730000000001</v>
      </c>
      <c r="AB2450">
        <v>32</v>
      </c>
      <c r="AC2450">
        <v>27.488</v>
      </c>
      <c r="AD2450">
        <v>-1.1086833646200001</v>
      </c>
      <c r="AE2450">
        <v>0.38749999999998802</v>
      </c>
      <c r="AF2450">
        <v>-0.35675131913562402</v>
      </c>
      <c r="AG2450">
        <v>-1.1086833646200001</v>
      </c>
      <c r="AH2450">
        <v>27.4437726229135</v>
      </c>
      <c r="AI2450">
        <v>92.313202252816097</v>
      </c>
      <c r="AJ2450">
        <v>90.744766179249694</v>
      </c>
      <c r="AK2450">
        <v>27.468474768084</v>
      </c>
      <c r="AL2450">
        <v>78.980072013111396</v>
      </c>
      <c r="AM2450">
        <v>89.982510096317</v>
      </c>
      <c r="AN2450">
        <v>0.99999998649070398</v>
      </c>
    </row>
    <row r="2451" spans="1:40" x14ac:dyDescent="0.25">
      <c r="A2451" t="str">
        <f>"20190312164520248"</f>
        <v>20190312164520248</v>
      </c>
      <c r="B2451" t="str">
        <f>"1552380320244079"</f>
        <v>1552380320244079</v>
      </c>
      <c r="C2451" t="s">
        <v>40</v>
      </c>
      <c r="D2451">
        <v>5.3833310000000001</v>
      </c>
      <c r="E2451">
        <v>0.50314939999999997</v>
      </c>
      <c r="F2451" t="s">
        <v>61</v>
      </c>
      <c r="G2451">
        <v>-107.39749999999999</v>
      </c>
      <c r="H2451">
        <v>57.64414</v>
      </c>
      <c r="I2451">
        <v>210.8212</v>
      </c>
      <c r="J2451">
        <v>-425.01589999999999</v>
      </c>
      <c r="K2451">
        <v>1.1086009999999999</v>
      </c>
      <c r="L2451">
        <v>213.41030000000001</v>
      </c>
      <c r="M2451">
        <v>0.99997990000000003</v>
      </c>
      <c r="N2451">
        <v>0</v>
      </c>
      <c r="O2451">
        <v>1.511014E-3</v>
      </c>
      <c r="P2451">
        <v>0.98300120000000002</v>
      </c>
      <c r="Q2451">
        <v>0.18359880000000001</v>
      </c>
      <c r="R2451">
        <v>7.7668759999999996E-4</v>
      </c>
      <c r="S2451">
        <v>2.953827</v>
      </c>
      <c r="T2451">
        <v>0.52525940000000004</v>
      </c>
      <c r="U2451">
        <v>-2.4047849999999999E-2</v>
      </c>
      <c r="V2451">
        <v>5.3207440000000003E-4</v>
      </c>
      <c r="W2451">
        <v>0.18968380000000001</v>
      </c>
      <c r="X2451">
        <v>0.98184510000000003</v>
      </c>
      <c r="Y2451">
        <v>9.4795620000000004E-3</v>
      </c>
      <c r="Z2451">
        <v>1.102874E-3</v>
      </c>
      <c r="AA2451">
        <v>0.99995449999999997</v>
      </c>
      <c r="AB2451">
        <v>32</v>
      </c>
      <c r="AC2451">
        <v>317.61840000000001</v>
      </c>
      <c r="AD2451">
        <v>56.535539</v>
      </c>
      <c r="AE2451">
        <v>-2.5891000000000002</v>
      </c>
      <c r="AF2451">
        <v>2.9747868943964302</v>
      </c>
      <c r="AG2451">
        <v>56.535539</v>
      </c>
      <c r="AH2451">
        <v>307.86069986777898</v>
      </c>
      <c r="AI2451">
        <v>79.594618904894205</v>
      </c>
      <c r="AJ2451">
        <v>89.446381335211996</v>
      </c>
      <c r="AK2451">
        <v>313.02288582492901</v>
      </c>
      <c r="AL2451">
        <v>79.065668443323005</v>
      </c>
      <c r="AM2451">
        <v>89.968950688328803</v>
      </c>
      <c r="AN2451">
        <v>1.0000000137398</v>
      </c>
    </row>
    <row r="2452" spans="1:40" x14ac:dyDescent="0.25">
      <c r="A2452" t="str">
        <f>"20190312164520272"</f>
        <v>20190312164520272</v>
      </c>
      <c r="B2452" t="str">
        <f>"1552380320263600"</f>
        <v>1552380320263600</v>
      </c>
      <c r="C2452" t="s">
        <v>40</v>
      </c>
      <c r="D2452">
        <v>5.2502550000000001</v>
      </c>
      <c r="E2452">
        <v>0.50139840000000002</v>
      </c>
      <c r="F2452" t="s">
        <v>61</v>
      </c>
      <c r="G2452">
        <v>-107.39749999999999</v>
      </c>
      <c r="H2452">
        <v>57.525979999999997</v>
      </c>
      <c r="I2452">
        <v>211.0624</v>
      </c>
      <c r="J2452">
        <v>-424.67939999999999</v>
      </c>
      <c r="K2452">
        <v>1.1085</v>
      </c>
      <c r="L2452">
        <v>213.4111</v>
      </c>
      <c r="M2452">
        <v>0.99997990000000003</v>
      </c>
      <c r="N2452">
        <v>0</v>
      </c>
      <c r="O2452">
        <v>1.849393E-3</v>
      </c>
      <c r="P2452">
        <v>0.98339080000000001</v>
      </c>
      <c r="Q2452">
        <v>0.181501</v>
      </c>
      <c r="R2452" s="1">
        <v>4.8775230000000002E-5</v>
      </c>
      <c r="S2452">
        <v>2.9538570000000002</v>
      </c>
      <c r="T2452">
        <v>0.52468309999999996</v>
      </c>
      <c r="U2452">
        <v>-2.183533E-2</v>
      </c>
      <c r="V2452">
        <v>1.627833E-3</v>
      </c>
      <c r="W2452">
        <v>0.18748329999999999</v>
      </c>
      <c r="X2452">
        <v>0.98226639999999998</v>
      </c>
      <c r="Y2452">
        <v>9.0703820000000001E-3</v>
      </c>
      <c r="Z2452">
        <v>1.1252549999999999E-3</v>
      </c>
      <c r="AA2452">
        <v>0.99995820000000002</v>
      </c>
      <c r="AB2452">
        <v>32</v>
      </c>
      <c r="AC2452">
        <v>317.28190000000001</v>
      </c>
      <c r="AD2452">
        <v>56.417479999999998</v>
      </c>
      <c r="AE2452">
        <v>-2.3487</v>
      </c>
      <c r="AF2452">
        <v>2.8455204703913402</v>
      </c>
      <c r="AG2452">
        <v>56.417479999999998</v>
      </c>
      <c r="AH2452">
        <v>307.55327384473202</v>
      </c>
      <c r="AI2452">
        <v>79.605681342839205</v>
      </c>
      <c r="AJ2452">
        <v>89.469907572086697</v>
      </c>
      <c r="AK2452">
        <v>312.69800972969199</v>
      </c>
      <c r="AL2452">
        <v>79.194050792064303</v>
      </c>
      <c r="AM2452">
        <v>89.905048289069995</v>
      </c>
      <c r="AN2452">
        <v>0.99999995909406203</v>
      </c>
    </row>
    <row r="2453" spans="1:40" x14ac:dyDescent="0.25">
      <c r="A2453" t="str">
        <f>"20190312164520293"</f>
        <v>20190312164520293</v>
      </c>
      <c r="B2453" t="str">
        <f>"1552380320284095"</f>
        <v>1552380320284095</v>
      </c>
      <c r="C2453" t="s">
        <v>40</v>
      </c>
      <c r="D2453">
        <v>5.0140599999999997</v>
      </c>
      <c r="E2453">
        <v>0.49931029999999998</v>
      </c>
      <c r="F2453" t="s">
        <v>61</v>
      </c>
      <c r="G2453">
        <v>-108.0273</v>
      </c>
      <c r="H2453">
        <v>57.957819999999998</v>
      </c>
      <c r="I2453">
        <v>212.2903</v>
      </c>
      <c r="J2453">
        <v>-424.36180000000002</v>
      </c>
      <c r="K2453">
        <v>1.1084069999999999</v>
      </c>
      <c r="L2453">
        <v>213.41200000000001</v>
      </c>
      <c r="M2453">
        <v>0.99998010000000004</v>
      </c>
      <c r="N2453">
        <v>0</v>
      </c>
      <c r="O2453">
        <v>2.0757129999999999E-3</v>
      </c>
      <c r="P2453">
        <v>0.98368029999999995</v>
      </c>
      <c r="Q2453">
        <v>0.1799241</v>
      </c>
      <c r="R2453">
        <v>-7.6904049999999998E-4</v>
      </c>
      <c r="S2453">
        <v>2.9528500000000002</v>
      </c>
      <c r="T2453">
        <v>0.53013269999999901</v>
      </c>
      <c r="U2453">
        <v>-1.045227E-2</v>
      </c>
      <c r="V2453">
        <v>2.7011140000000001E-3</v>
      </c>
      <c r="W2453">
        <v>0.185809</v>
      </c>
      <c r="X2453">
        <v>0.98258219999999996</v>
      </c>
      <c r="Y2453">
        <v>5.4943989999999996E-3</v>
      </c>
      <c r="Z2453">
        <v>8.5900690000000003E-4</v>
      </c>
      <c r="AA2453">
        <v>0.9999846</v>
      </c>
      <c r="AB2453">
        <v>32</v>
      </c>
      <c r="AC2453">
        <v>316.33449999999999</v>
      </c>
      <c r="AD2453">
        <v>56.849412999999998</v>
      </c>
      <c r="AE2453">
        <v>-1.1216999999999999</v>
      </c>
      <c r="AF2453">
        <v>1.7226922061513801</v>
      </c>
      <c r="AG2453">
        <v>56.849412999999998</v>
      </c>
      <c r="AH2453">
        <v>306.43476685357399</v>
      </c>
      <c r="AI2453">
        <v>79.490205019990597</v>
      </c>
      <c r="AJ2453">
        <v>89.677902236586306</v>
      </c>
      <c r="AK2453">
        <v>311.66823669325998</v>
      </c>
      <c r="AL2453">
        <v>79.291697819862605</v>
      </c>
      <c r="AM2453">
        <v>89.842494559396499</v>
      </c>
      <c r="AN2453">
        <v>1.00000003012734</v>
      </c>
    </row>
    <row r="2454" spans="1:40" x14ac:dyDescent="0.25">
      <c r="A2454" t="str">
        <f>"20190312164520316"</f>
        <v>20190312164520316</v>
      </c>
      <c r="B2454" t="str">
        <f>"1552380320314351"</f>
        <v>1552380320314351</v>
      </c>
      <c r="C2454" t="s">
        <v>40</v>
      </c>
      <c r="D2454">
        <v>5.3118420000000004</v>
      </c>
      <c r="E2454">
        <v>0.49711080000000002</v>
      </c>
      <c r="F2454" t="s">
        <v>61</v>
      </c>
      <c r="G2454">
        <v>-109.68</v>
      </c>
      <c r="H2454">
        <v>58.301250000000003</v>
      </c>
      <c r="I2454">
        <v>213.76660000000001</v>
      </c>
      <c r="J2454">
        <v>-424.04250000000002</v>
      </c>
      <c r="K2454">
        <v>1.1083320000000001</v>
      </c>
      <c r="L2454">
        <v>213.4128</v>
      </c>
      <c r="M2454">
        <v>0.99998030000000004</v>
      </c>
      <c r="N2454">
        <v>0</v>
      </c>
      <c r="O2454">
        <v>2.227864E-3</v>
      </c>
      <c r="P2454">
        <v>0.98371140000000001</v>
      </c>
      <c r="Q2454">
        <v>0.1797502</v>
      </c>
      <c r="R2454">
        <v>-1.367692E-3</v>
      </c>
      <c r="S2454">
        <v>2.9516300000000002</v>
      </c>
      <c r="T2454">
        <v>0.53645359999999997</v>
      </c>
      <c r="U2454">
        <v>3.326416E-3</v>
      </c>
      <c r="V2454">
        <v>3.4774649999999999E-3</v>
      </c>
      <c r="W2454">
        <v>0.1855387</v>
      </c>
      <c r="X2454">
        <v>0.98263080000000003</v>
      </c>
      <c r="Y2454">
        <v>1.0472750000000001E-3</v>
      </c>
      <c r="Z2454">
        <v>4.9602429999999996E-4</v>
      </c>
      <c r="AA2454">
        <v>0.99999930000000004</v>
      </c>
      <c r="AB2454">
        <v>32</v>
      </c>
      <c r="AC2454">
        <v>314.36250000000001</v>
      </c>
      <c r="AD2454">
        <v>57.192917999999999</v>
      </c>
      <c r="AE2454">
        <v>0.353800000000006</v>
      </c>
      <c r="AF2454">
        <v>0.33546604835703298</v>
      </c>
      <c r="AG2454">
        <v>57.192917999999999</v>
      </c>
      <c r="AH2454">
        <v>304.29061625016902</v>
      </c>
      <c r="AI2454">
        <v>79.355173430364601</v>
      </c>
      <c r="AJ2454">
        <v>89.936834131822195</v>
      </c>
      <c r="AK2454">
        <v>309.61899416013301</v>
      </c>
      <c r="AL2454">
        <v>79.307458557602999</v>
      </c>
      <c r="AM2454">
        <v>89.797234896229696</v>
      </c>
      <c r="AN2454">
        <v>0.99999999553457797</v>
      </c>
    </row>
    <row r="2455" spans="1:40" x14ac:dyDescent="0.25">
      <c r="A2455" t="str">
        <f>"20190312164520339"</f>
        <v>20190312164520339</v>
      </c>
      <c r="B2455" t="str">
        <f>"1552380320333871"</f>
        <v>1552380320333871</v>
      </c>
      <c r="C2455" t="s">
        <v>40</v>
      </c>
      <c r="D2455">
        <v>5.2711410000000001</v>
      </c>
      <c r="E2455">
        <v>0.49592999999999998</v>
      </c>
      <c r="F2455" t="s">
        <v>61</v>
      </c>
      <c r="G2455">
        <v>-109.68</v>
      </c>
      <c r="H2455">
        <v>59.157249999999998</v>
      </c>
      <c r="I2455">
        <v>215.40770000000001</v>
      </c>
      <c r="J2455">
        <v>-423.70530000000002</v>
      </c>
      <c r="K2455">
        <v>1.1082529999999999</v>
      </c>
      <c r="L2455">
        <v>213.4136</v>
      </c>
      <c r="M2455">
        <v>0.99998069999999895</v>
      </c>
      <c r="N2455">
        <v>0</v>
      </c>
      <c r="O2455">
        <v>2.320066E-3</v>
      </c>
      <c r="P2455">
        <v>0.98369430000000002</v>
      </c>
      <c r="Q2455">
        <v>0.179835299999999</v>
      </c>
      <c r="R2455">
        <v>-2.2474359999999998E-3</v>
      </c>
      <c r="S2455">
        <v>2.9501339999999998</v>
      </c>
      <c r="T2455">
        <v>0.54476020000000003</v>
      </c>
      <c r="U2455">
        <v>1.8722530000000001E-2</v>
      </c>
      <c r="V2455">
        <v>4.4720259999999996E-3</v>
      </c>
      <c r="W2455">
        <v>0.18551809999999999</v>
      </c>
      <c r="X2455">
        <v>0.98263069999999997</v>
      </c>
      <c r="Y2455">
        <v>-3.9977709999999998E-3</v>
      </c>
      <c r="Z2455" s="1">
        <v>5.8816249999999998E-5</v>
      </c>
      <c r="AA2455">
        <v>0.99999199999999999</v>
      </c>
      <c r="AB2455">
        <v>32</v>
      </c>
      <c r="AC2455">
        <v>314.02530000000002</v>
      </c>
      <c r="AD2455">
        <v>58.048997</v>
      </c>
      <c r="AE2455">
        <v>1.9941</v>
      </c>
      <c r="AF2455">
        <v>-1.2237091919128</v>
      </c>
      <c r="AG2455">
        <v>58.048997</v>
      </c>
      <c r="AH2455">
        <v>303.65330359642502</v>
      </c>
      <c r="AI2455">
        <v>79.177505978452899</v>
      </c>
      <c r="AJ2455">
        <v>90.230898171242004</v>
      </c>
      <c r="AK2455">
        <v>309.15451201933797</v>
      </c>
      <c r="AL2455">
        <v>79.308660060621193</v>
      </c>
      <c r="AM2455">
        <v>89.739244411281902</v>
      </c>
      <c r="AN2455">
        <v>1.0000000285133199</v>
      </c>
    </row>
    <row r="2456" spans="1:40" x14ac:dyDescent="0.25">
      <c r="A2456" t="str">
        <f>"20190312164520363"</f>
        <v>20190312164520363</v>
      </c>
      <c r="B2456" t="str">
        <f>"1552380320354367"</f>
        <v>1552380320354367</v>
      </c>
      <c r="C2456" t="s">
        <v>40</v>
      </c>
      <c r="D2456">
        <v>5.330362</v>
      </c>
      <c r="E2456">
        <v>0.49496069999999998</v>
      </c>
      <c r="F2456" t="s">
        <v>61</v>
      </c>
      <c r="G2456">
        <v>-107.39749999999999</v>
      </c>
      <c r="H2456">
        <v>60.058109999999999</v>
      </c>
      <c r="I2456">
        <v>216.13509999999999</v>
      </c>
      <c r="J2456">
        <v>-423.35890000000001</v>
      </c>
      <c r="K2456">
        <v>1.108179</v>
      </c>
      <c r="L2456">
        <v>213.4145</v>
      </c>
      <c r="M2456">
        <v>0.99998120000000001</v>
      </c>
      <c r="N2456">
        <v>0</v>
      </c>
      <c r="O2456">
        <v>2.364026E-3</v>
      </c>
      <c r="P2456">
        <v>0.98399320000000001</v>
      </c>
      <c r="Q2456">
        <v>0.17816460000000001</v>
      </c>
      <c r="R2456">
        <v>-3.8804339999999999E-3</v>
      </c>
      <c r="S2456">
        <v>2.949341</v>
      </c>
      <c r="T2456">
        <v>0.54966490000000001</v>
      </c>
      <c r="U2456">
        <v>2.5375370000000001E-2</v>
      </c>
      <c r="V2456">
        <v>6.1683320000000003E-3</v>
      </c>
      <c r="W2456">
        <v>0.18373729999999999</v>
      </c>
      <c r="X2456">
        <v>0.9829561</v>
      </c>
      <c r="Y2456">
        <v>-6.1738299999999999E-3</v>
      </c>
      <c r="Z2456">
        <v>-1.3356589999999999E-4</v>
      </c>
      <c r="AA2456">
        <v>0.99998089999999995</v>
      </c>
      <c r="AB2456">
        <v>32</v>
      </c>
      <c r="AC2456">
        <v>315.96140000000003</v>
      </c>
      <c r="AD2456">
        <v>58.949930999999999</v>
      </c>
      <c r="AE2456">
        <v>2.7205999999999899</v>
      </c>
      <c r="AF2456">
        <v>-1.9072537346670499</v>
      </c>
      <c r="AG2456">
        <v>58.949930999999999</v>
      </c>
      <c r="AH2456">
        <v>305.339019565277</v>
      </c>
      <c r="AI2456">
        <v>79.072906521612296</v>
      </c>
      <c r="AJ2456">
        <v>90.357884715890407</v>
      </c>
      <c r="AK2456">
        <v>310.98335783574902</v>
      </c>
      <c r="AL2456">
        <v>79.412477600525193</v>
      </c>
      <c r="AM2456">
        <v>89.640457237899895</v>
      </c>
      <c r="AN2456">
        <v>1.00000006912907</v>
      </c>
    </row>
    <row r="2457" spans="1:40" x14ac:dyDescent="0.25">
      <c r="A2457" t="str">
        <f>"20190312164520382"</f>
        <v>20190312164520382</v>
      </c>
      <c r="B2457" t="str">
        <f>"1552380320373887"</f>
        <v>1552380320373887</v>
      </c>
      <c r="C2457" t="s">
        <v>40</v>
      </c>
      <c r="D2457">
        <v>5.3263959999999999</v>
      </c>
      <c r="E2457">
        <v>0.49425229999999998</v>
      </c>
      <c r="F2457" t="s">
        <v>61</v>
      </c>
      <c r="G2457">
        <v>-107.39749999999999</v>
      </c>
      <c r="H2457">
        <v>59.823329999999999</v>
      </c>
      <c r="I2457">
        <v>216.39580000000001</v>
      </c>
      <c r="J2457">
        <v>-423.06849999999997</v>
      </c>
      <c r="K2457">
        <v>1.108125</v>
      </c>
      <c r="L2457">
        <v>213.4152</v>
      </c>
      <c r="M2457">
        <v>0.99998160000000003</v>
      </c>
      <c r="N2457">
        <v>0</v>
      </c>
      <c r="O2457">
        <v>2.3755690000000001E-3</v>
      </c>
      <c r="P2457">
        <v>0.98424339999999999</v>
      </c>
      <c r="Q2457">
        <v>0.17673599999999901</v>
      </c>
      <c r="R2457">
        <v>-5.4027349999999997E-3</v>
      </c>
      <c r="S2457">
        <v>2.9496769999999999</v>
      </c>
      <c r="T2457">
        <v>0.54813909999999999</v>
      </c>
      <c r="U2457">
        <v>2.7832030000000001E-2</v>
      </c>
      <c r="V2457">
        <v>7.7142540000000002E-3</v>
      </c>
      <c r="W2457">
        <v>0.18221419999999999</v>
      </c>
      <c r="X2457">
        <v>0.98322860000000001</v>
      </c>
      <c r="Y2457">
        <v>-6.9808419999999897E-3</v>
      </c>
      <c r="Z2457">
        <v>-2.05405E-4</v>
      </c>
      <c r="AA2457">
        <v>0.99997559999999996</v>
      </c>
      <c r="AB2457">
        <v>32</v>
      </c>
      <c r="AC2457">
        <v>315.67099999999999</v>
      </c>
      <c r="AD2457">
        <v>58.715204999999997</v>
      </c>
      <c r="AE2457">
        <v>2.9805999999999999</v>
      </c>
      <c r="AF2457">
        <v>-2.1560950373090502</v>
      </c>
      <c r="AG2457">
        <v>58.715204999999997</v>
      </c>
      <c r="AH2457">
        <v>305.12198727700701</v>
      </c>
      <c r="AI2457">
        <v>79.1078755310361</v>
      </c>
      <c r="AJ2457">
        <v>90.404864594863994</v>
      </c>
      <c r="AK2457">
        <v>310.72745479579402</v>
      </c>
      <c r="AL2457">
        <v>79.501242689397202</v>
      </c>
      <c r="AM2457">
        <v>89.550475721192001</v>
      </c>
      <c r="AN2457">
        <v>1.00000000212718</v>
      </c>
    </row>
    <row r="2458" spans="1:40" x14ac:dyDescent="0.25">
      <c r="A2458" t="str">
        <f>"20190312164520406"</f>
        <v>20190312164520406</v>
      </c>
      <c r="B2458" t="str">
        <f>"1552380320394387"</f>
        <v>1552380320394387</v>
      </c>
      <c r="C2458" t="s">
        <v>40</v>
      </c>
      <c r="D2458">
        <v>5.3263989999999897</v>
      </c>
      <c r="E2458">
        <v>0.49370320000000001</v>
      </c>
      <c r="F2458" t="s">
        <v>61</v>
      </c>
      <c r="G2458">
        <v>-109.68</v>
      </c>
      <c r="H2458">
        <v>59.182780000000001</v>
      </c>
      <c r="I2458">
        <v>216.4854</v>
      </c>
      <c r="J2458">
        <v>-422.7303</v>
      </c>
      <c r="K2458">
        <v>1.1080810000000001</v>
      </c>
      <c r="L2458">
        <v>213.416</v>
      </c>
      <c r="M2458">
        <v>0.99998240000000005</v>
      </c>
      <c r="N2458">
        <v>0</v>
      </c>
      <c r="O2458">
        <v>2.3737089999999999E-3</v>
      </c>
      <c r="P2458">
        <v>0.98419380000000001</v>
      </c>
      <c r="Q2458">
        <v>0.17693390000000001</v>
      </c>
      <c r="R2458">
        <v>-7.5564380000000004E-3</v>
      </c>
      <c r="S2458">
        <v>2.9500120000000001</v>
      </c>
      <c r="T2458">
        <v>0.54667279999999996</v>
      </c>
      <c r="U2458">
        <v>2.8900149999999999E-2</v>
      </c>
      <c r="V2458">
        <v>9.8752300000000005E-3</v>
      </c>
      <c r="W2458">
        <v>0.18230089999999999</v>
      </c>
      <c r="X2458">
        <v>0.98319319999999999</v>
      </c>
      <c r="Y2458">
        <v>-7.33798099999999E-3</v>
      </c>
      <c r="Z2458">
        <v>-2.379948E-4</v>
      </c>
      <c r="AA2458">
        <v>0.99997309999999995</v>
      </c>
      <c r="AB2458">
        <v>33</v>
      </c>
      <c r="AC2458">
        <v>313.05029999999999</v>
      </c>
      <c r="AD2458">
        <v>58.074699000000003</v>
      </c>
      <c r="AE2458">
        <v>3.0693999999999999</v>
      </c>
      <c r="AF2458">
        <v>-2.2489019054499799</v>
      </c>
      <c r="AG2458">
        <v>58.074699000000003</v>
      </c>
      <c r="AH2458">
        <v>302.64231980850099</v>
      </c>
      <c r="AI2458">
        <v>79.137724712594505</v>
      </c>
      <c r="AJ2458">
        <v>90.425750821018397</v>
      </c>
      <c r="AK2458">
        <v>308.17219531098499</v>
      </c>
      <c r="AL2458">
        <v>79.496190539455995</v>
      </c>
      <c r="AM2458">
        <v>89.424538356151899</v>
      </c>
      <c r="AN2458">
        <v>1.0000000034173</v>
      </c>
    </row>
    <row r="2459" spans="1:40" x14ac:dyDescent="0.25">
      <c r="A2459" t="str">
        <f>"20190312164520428"</f>
        <v>20190312164520428</v>
      </c>
      <c r="B2459" t="str">
        <f>"1552380320423664"</f>
        <v>1552380320423664</v>
      </c>
      <c r="C2459" t="s">
        <v>40</v>
      </c>
      <c r="D2459">
        <v>5.3375940000000002</v>
      </c>
      <c r="E2459">
        <v>0.49304599999999998</v>
      </c>
      <c r="F2459" t="s">
        <v>61</v>
      </c>
      <c r="G2459">
        <v>-107.39749999999999</v>
      </c>
      <c r="H2459">
        <v>59.8536</v>
      </c>
      <c r="I2459">
        <v>216.256</v>
      </c>
      <c r="J2459">
        <v>-422.40690000000001</v>
      </c>
      <c r="K2459">
        <v>1.1080509999999999</v>
      </c>
      <c r="L2459">
        <v>213.41679999999999</v>
      </c>
      <c r="M2459">
        <v>0.99998299999999996</v>
      </c>
      <c r="N2459">
        <v>0</v>
      </c>
      <c r="O2459">
        <v>2.3658640000000001E-3</v>
      </c>
      <c r="P2459">
        <v>0.98411139999999997</v>
      </c>
      <c r="Q2459">
        <v>0.17729779999999901</v>
      </c>
      <c r="R2459">
        <v>-9.5186690000000004E-3</v>
      </c>
      <c r="S2459">
        <v>2.949646</v>
      </c>
      <c r="T2459">
        <v>0.5495101</v>
      </c>
      <c r="U2459">
        <v>2.656555E-2</v>
      </c>
      <c r="V2459">
        <v>1.183567E-2</v>
      </c>
      <c r="W2459">
        <v>0.182556</v>
      </c>
      <c r="X2459">
        <v>0.9831242</v>
      </c>
      <c r="Y2459">
        <v>-6.56787E-3</v>
      </c>
      <c r="Z2459">
        <v>-1.69567E-4</v>
      </c>
      <c r="AA2459">
        <v>0.99997840000000005</v>
      </c>
      <c r="AB2459">
        <v>33</v>
      </c>
      <c r="AC2459">
        <v>315.00940000000003</v>
      </c>
      <c r="AD2459">
        <v>58.745548999999997</v>
      </c>
      <c r="AE2459">
        <v>2.8391999999999702</v>
      </c>
      <c r="AF2459">
        <v>-2.0235432741072601</v>
      </c>
      <c r="AG2459">
        <v>58.745548999999997</v>
      </c>
      <c r="AH2459">
        <v>304.42871513019799</v>
      </c>
      <c r="AI2459">
        <v>79.078129731294794</v>
      </c>
      <c r="AJ2459">
        <v>90.380840492451199</v>
      </c>
      <c r="AK2459">
        <v>310.05157127567799</v>
      </c>
      <c r="AL2459">
        <v>79.481324726172105</v>
      </c>
      <c r="AM2459">
        <v>89.3102588868163</v>
      </c>
      <c r="AN2459">
        <v>0.99999998442299398</v>
      </c>
    </row>
    <row r="2460" spans="1:40" x14ac:dyDescent="0.25">
      <c r="A2460" t="str">
        <f>"20190312164520451"</f>
        <v>20190312164520451</v>
      </c>
      <c r="B2460" t="str">
        <f>"1552380320444160"</f>
        <v>1552380320444160</v>
      </c>
      <c r="C2460" t="s">
        <v>40</v>
      </c>
      <c r="D2460">
        <v>5.3885990000000001</v>
      </c>
      <c r="E2460">
        <v>0.4925966</v>
      </c>
      <c r="F2460" t="s">
        <v>61</v>
      </c>
      <c r="G2460">
        <v>-107.39749999999999</v>
      </c>
      <c r="H2460">
        <v>60.193330000000003</v>
      </c>
      <c r="I2460">
        <v>216.18770000000001</v>
      </c>
      <c r="J2460">
        <v>-422.06900000000002</v>
      </c>
      <c r="K2460">
        <v>1.1080209999999999</v>
      </c>
      <c r="L2460">
        <v>213.41759999999999</v>
      </c>
      <c r="M2460">
        <v>0.99998350000000003</v>
      </c>
      <c r="N2460">
        <v>0</v>
      </c>
      <c r="O2460">
        <v>2.3576360000000002E-3</v>
      </c>
      <c r="P2460">
        <v>0.98408720000000005</v>
      </c>
      <c r="Q2460">
        <v>0.17734710000000001</v>
      </c>
      <c r="R2460">
        <v>-1.097806E-2</v>
      </c>
      <c r="S2460">
        <v>2.949036</v>
      </c>
      <c r="T2460">
        <v>0.55314140000000001</v>
      </c>
      <c r="U2460">
        <v>2.5939940000000002E-2</v>
      </c>
      <c r="V2460">
        <v>1.329176E-2</v>
      </c>
      <c r="W2460">
        <v>0.18249080000000001</v>
      </c>
      <c r="X2460">
        <v>0.98311769999999998</v>
      </c>
      <c r="Y2460">
        <v>-6.3682010000000004E-3</v>
      </c>
      <c r="Z2460">
        <v>-1.536699E-4</v>
      </c>
      <c r="AA2460">
        <v>0.99997970000000003</v>
      </c>
      <c r="AB2460">
        <v>33</v>
      </c>
      <c r="AC2460">
        <v>314.67149999999998</v>
      </c>
      <c r="AD2460">
        <v>59.085308999999903</v>
      </c>
      <c r="AE2460">
        <v>2.77010000000001</v>
      </c>
      <c r="AF2460">
        <v>-1.9591336268922599</v>
      </c>
      <c r="AG2460">
        <v>59.085308999999903</v>
      </c>
      <c r="AH2460">
        <v>303.96125341126901</v>
      </c>
      <c r="AI2460">
        <v>79.000000116016096</v>
      </c>
      <c r="AJ2460">
        <v>90.369285666256602</v>
      </c>
      <c r="AK2460">
        <v>309.65683509256399</v>
      </c>
      <c r="AL2460">
        <v>79.485124269943896</v>
      </c>
      <c r="AM2460">
        <v>89.225407747953696</v>
      </c>
      <c r="AN2460">
        <v>0.99999998751091301</v>
      </c>
    </row>
    <row r="2461" spans="1:40" x14ac:dyDescent="0.25">
      <c r="A2461" t="str">
        <f>"20190312164520474"</f>
        <v>20190312164520474</v>
      </c>
      <c r="B2461" t="str">
        <f>"1552380320464656"</f>
        <v>1552380320464656</v>
      </c>
      <c r="C2461" t="s">
        <v>40</v>
      </c>
      <c r="D2461">
        <v>5.3207800000000001</v>
      </c>
      <c r="E2461">
        <v>0.49214289999999999</v>
      </c>
      <c r="F2461" t="s">
        <v>61</v>
      </c>
      <c r="G2461">
        <v>-107.39749999999999</v>
      </c>
      <c r="H2461">
        <v>60.216450000000002</v>
      </c>
      <c r="I2461">
        <v>216.09440000000001</v>
      </c>
      <c r="J2461">
        <v>-421.72620000000001</v>
      </c>
      <c r="K2461">
        <v>1.107996</v>
      </c>
      <c r="L2461">
        <v>213.41839999999999</v>
      </c>
      <c r="M2461">
        <v>0.99998430000000005</v>
      </c>
      <c r="N2461">
        <v>0</v>
      </c>
      <c r="O2461">
        <v>2.3516800000000001E-3</v>
      </c>
      <c r="P2461">
        <v>0.98411479999999996</v>
      </c>
      <c r="Q2461">
        <v>0.17712510000000001</v>
      </c>
      <c r="R2461">
        <v>-1.2034390000000001E-2</v>
      </c>
      <c r="S2461">
        <v>2.9489749999999999</v>
      </c>
      <c r="T2461">
        <v>0.55394080000000001</v>
      </c>
      <c r="U2461">
        <v>2.5085449999999999E-2</v>
      </c>
      <c r="V2461">
        <v>1.4346319999999999E-2</v>
      </c>
      <c r="W2461">
        <v>0.1821555</v>
      </c>
      <c r="X2461">
        <v>0.98316510000000001</v>
      </c>
      <c r="Y2461">
        <v>-6.0891819999999899E-3</v>
      </c>
      <c r="Z2461">
        <v>-1.2902279999999999E-4</v>
      </c>
      <c r="AA2461">
        <v>0.99998149999999997</v>
      </c>
      <c r="AB2461">
        <v>33</v>
      </c>
      <c r="AC2461">
        <v>314.32870000000003</v>
      </c>
      <c r="AD2461">
        <v>59.108454000000002</v>
      </c>
      <c r="AE2461">
        <v>2.6760000000000099</v>
      </c>
      <c r="AF2461">
        <v>-1.87063865807004</v>
      </c>
      <c r="AG2461">
        <v>59.108454000000002</v>
      </c>
      <c r="AH2461">
        <v>303.599168907398</v>
      </c>
      <c r="AI2461">
        <v>78.982973982667701</v>
      </c>
      <c r="AJ2461">
        <v>90.353025814180498</v>
      </c>
      <c r="AK2461">
        <v>309.30529252588298</v>
      </c>
      <c r="AL2461">
        <v>79.504663475818305</v>
      </c>
      <c r="AM2461">
        <v>89.164000782254604</v>
      </c>
      <c r="AN2461">
        <v>1.0000000284679</v>
      </c>
    </row>
    <row r="2462" spans="1:40" x14ac:dyDescent="0.25">
      <c r="A2462" t="str">
        <f>"20190312164520497"</f>
        <v>20190312164520497</v>
      </c>
      <c r="B2462" t="str">
        <f>"1552380320493936"</f>
        <v>1552380320493936</v>
      </c>
      <c r="C2462" t="s">
        <v>40</v>
      </c>
      <c r="D2462">
        <v>5.2590219999999999</v>
      </c>
      <c r="E2462">
        <v>0.49161100000000002</v>
      </c>
      <c r="F2462" t="s">
        <v>61</v>
      </c>
      <c r="G2462">
        <v>-107.39749999999999</v>
      </c>
      <c r="H2462">
        <v>60.201680000000003</v>
      </c>
      <c r="I2462">
        <v>216.12960000000001</v>
      </c>
      <c r="J2462">
        <v>-421.38249999999999</v>
      </c>
      <c r="K2462">
        <v>1.1079760000000001</v>
      </c>
      <c r="L2462">
        <v>213.41919999999999</v>
      </c>
      <c r="M2462">
        <v>0.99998469999999995</v>
      </c>
      <c r="N2462">
        <v>0</v>
      </c>
      <c r="O2462">
        <v>2.3490550000000001E-3</v>
      </c>
      <c r="P2462">
        <v>0.98412100000000002</v>
      </c>
      <c r="Q2462">
        <v>0.17698039999999901</v>
      </c>
      <c r="R2462">
        <v>-1.356451E-2</v>
      </c>
      <c r="S2462">
        <v>2.9489749999999999</v>
      </c>
      <c r="T2462">
        <v>0.55440659999999997</v>
      </c>
      <c r="U2462">
        <v>2.5436400000000001E-2</v>
      </c>
      <c r="V2462">
        <v>1.5876540000000001E-2</v>
      </c>
      <c r="W2462">
        <v>0.18190290000000001</v>
      </c>
      <c r="X2462">
        <v>0.98318830000000002</v>
      </c>
      <c r="Y2462">
        <v>-6.2085589999999998E-3</v>
      </c>
      <c r="Z2462">
        <v>-1.4074239999999999E-4</v>
      </c>
      <c r="AA2462">
        <v>0.99998069999999895</v>
      </c>
      <c r="AB2462">
        <v>33</v>
      </c>
      <c r="AC2462">
        <v>313.98500000000001</v>
      </c>
      <c r="AD2462">
        <v>59.093704000000002</v>
      </c>
      <c r="AE2462">
        <v>2.7104000000000199</v>
      </c>
      <c r="AF2462">
        <v>-1.9053309475273399</v>
      </c>
      <c r="AG2462">
        <v>59.093704000000002</v>
      </c>
      <c r="AH2462">
        <v>303.24979586828101</v>
      </c>
      <c r="AI2462">
        <v>78.973285335935202</v>
      </c>
      <c r="AJ2462">
        <v>90.359987003686697</v>
      </c>
      <c r="AK2462">
        <v>308.95976248148099</v>
      </c>
      <c r="AL2462">
        <v>79.5193817959683</v>
      </c>
      <c r="AM2462">
        <v>89.074867265421702</v>
      </c>
      <c r="AN2462">
        <v>0.99999998140383495</v>
      </c>
    </row>
    <row r="2463" spans="1:40" x14ac:dyDescent="0.25">
      <c r="A2463" t="str">
        <f>"20190312164520516"</f>
        <v>20190312164520516</v>
      </c>
      <c r="B2463" t="str">
        <f>"1552380320514432"</f>
        <v>1552380320514432</v>
      </c>
      <c r="C2463" t="s">
        <v>40</v>
      </c>
      <c r="D2463">
        <v>5.1697389999999999</v>
      </c>
      <c r="E2463">
        <v>0.49120829999999999</v>
      </c>
      <c r="F2463" t="s">
        <v>61</v>
      </c>
      <c r="G2463">
        <v>-107.39749999999999</v>
      </c>
      <c r="H2463">
        <v>60.170430000000003</v>
      </c>
      <c r="I2463">
        <v>216.08359999999999</v>
      </c>
      <c r="J2463">
        <v>-421.0924</v>
      </c>
      <c r="K2463">
        <v>1.1079490000000001</v>
      </c>
      <c r="L2463">
        <v>213.41990000000001</v>
      </c>
      <c r="M2463">
        <v>0.99998529999999997</v>
      </c>
      <c r="N2463">
        <v>0</v>
      </c>
      <c r="O2463">
        <v>2.348242E-3</v>
      </c>
      <c r="P2463">
        <v>0.98401340000000004</v>
      </c>
      <c r="Q2463">
        <v>0.17742559999999999</v>
      </c>
      <c r="R2463">
        <v>-1.542874E-2</v>
      </c>
      <c r="S2463">
        <v>2.9490660000000002</v>
      </c>
      <c r="T2463">
        <v>0.55473739999999905</v>
      </c>
      <c r="U2463">
        <v>2.502441E-2</v>
      </c>
      <c r="V2463">
        <v>1.7741969999999999E-2</v>
      </c>
      <c r="W2463">
        <v>0.1822578</v>
      </c>
      <c r="X2463">
        <v>0.98309069999999998</v>
      </c>
      <c r="Y2463">
        <v>-6.0717260000000004E-3</v>
      </c>
      <c r="Z2463">
        <v>-1.2821530000000001E-4</v>
      </c>
      <c r="AA2463">
        <v>0.99998160000000003</v>
      </c>
      <c r="AB2463">
        <v>33</v>
      </c>
      <c r="AC2463">
        <v>313.69490000000002</v>
      </c>
      <c r="AD2463">
        <v>59.062480999999998</v>
      </c>
      <c r="AE2463">
        <v>2.6636999999999702</v>
      </c>
      <c r="AF2463">
        <v>-1.8610828699983699</v>
      </c>
      <c r="AG2463">
        <v>59.062480999999998</v>
      </c>
      <c r="AH2463">
        <v>302.96127960623397</v>
      </c>
      <c r="AI2463">
        <v>78.968721188253994</v>
      </c>
      <c r="AJ2463">
        <v>90.351961982234499</v>
      </c>
      <c r="AK2463">
        <v>308.67033746696598</v>
      </c>
      <c r="AL2463">
        <v>79.498702067645894</v>
      </c>
      <c r="AM2463">
        <v>88.966087604359899</v>
      </c>
      <c r="AN2463">
        <v>1.0000000037934</v>
      </c>
    </row>
    <row r="2464" spans="1:40" x14ac:dyDescent="0.25">
      <c r="A2464" t="str">
        <f>"20190312164520540"</f>
        <v>20190312164520540</v>
      </c>
      <c r="B2464" t="str">
        <f>"1552380320533951"</f>
        <v>1552380320533951</v>
      </c>
      <c r="C2464" t="s">
        <v>40</v>
      </c>
      <c r="D2464">
        <v>5.3866990000000001</v>
      </c>
      <c r="E2464">
        <v>0.49132629999999999</v>
      </c>
      <c r="F2464" t="s">
        <v>61</v>
      </c>
      <c r="G2464">
        <v>-107.39749999999999</v>
      </c>
      <c r="H2464">
        <v>60.320590000000003</v>
      </c>
      <c r="I2464">
        <v>215.8304</v>
      </c>
      <c r="J2464">
        <v>-420.73180000000002</v>
      </c>
      <c r="K2464">
        <v>1.107928</v>
      </c>
      <c r="L2464">
        <v>213.42080000000001</v>
      </c>
      <c r="M2464">
        <v>0.99998580000000004</v>
      </c>
      <c r="N2464">
        <v>0</v>
      </c>
      <c r="O2464">
        <v>2.3489600000000002E-3</v>
      </c>
      <c r="P2464">
        <v>0.98390230000000001</v>
      </c>
      <c r="Q2464">
        <v>0.17784259999999999</v>
      </c>
      <c r="R2464">
        <v>-1.7566970000000001E-2</v>
      </c>
      <c r="S2464">
        <v>2.9487610000000002</v>
      </c>
      <c r="T2464">
        <v>0.55660469999999995</v>
      </c>
      <c r="U2464">
        <v>2.26593E-2</v>
      </c>
      <c r="V2464">
        <v>1.988241E-2</v>
      </c>
      <c r="W2464">
        <v>0.1825677</v>
      </c>
      <c r="X2464">
        <v>0.98299219999999998</v>
      </c>
      <c r="Y2464">
        <v>-5.2833669999999998E-3</v>
      </c>
      <c r="Z2464" s="1">
        <v>-5.4766070000000002E-5</v>
      </c>
      <c r="AA2464">
        <v>0.99998609999999999</v>
      </c>
      <c r="AB2464">
        <v>34</v>
      </c>
      <c r="AC2464">
        <v>313.33429999999998</v>
      </c>
      <c r="AD2464">
        <v>59.212662000000002</v>
      </c>
      <c r="AE2464">
        <v>2.4095999999999802</v>
      </c>
      <c r="AF2464">
        <v>-1.61587267811043</v>
      </c>
      <c r="AG2464">
        <v>59.212662000000002</v>
      </c>
      <c r="AH2464">
        <v>302.53560490956102</v>
      </c>
      <c r="AI2464">
        <v>78.926136889353202</v>
      </c>
      <c r="AJ2464">
        <v>90.306019532311595</v>
      </c>
      <c r="AK2464">
        <v>308.27997441227302</v>
      </c>
      <c r="AL2464">
        <v>79.480642756734994</v>
      </c>
      <c r="AM2464">
        <v>88.8412696776997</v>
      </c>
      <c r="AN2464">
        <v>0.99999997028576804</v>
      </c>
    </row>
    <row r="2465" spans="1:40" x14ac:dyDescent="0.25">
      <c r="A2465" t="str">
        <f>"20190312164520563"</f>
        <v>20190312164520563</v>
      </c>
      <c r="B2465" t="str">
        <f>"1552380320554448"</f>
        <v>1552380320554448</v>
      </c>
      <c r="C2465" t="s">
        <v>40</v>
      </c>
      <c r="D2465">
        <v>5.4159689999999996</v>
      </c>
      <c r="E2465">
        <v>0.5069688</v>
      </c>
      <c r="F2465" t="s">
        <v>61</v>
      </c>
      <c r="G2465">
        <v>-107.39749999999999</v>
      </c>
      <c r="H2465">
        <v>60.424750000000003</v>
      </c>
      <c r="I2465">
        <v>215.05690000000001</v>
      </c>
      <c r="J2465">
        <v>-420.38319999999999</v>
      </c>
      <c r="K2465">
        <v>1.1079049999999999</v>
      </c>
      <c r="L2465">
        <v>213.42160000000001</v>
      </c>
      <c r="M2465">
        <v>0.99998629999999999</v>
      </c>
      <c r="N2465">
        <v>0</v>
      </c>
      <c r="O2465">
        <v>2.3505510000000002E-3</v>
      </c>
      <c r="P2465">
        <v>0.98385350000000005</v>
      </c>
      <c r="Q2465">
        <v>0.1778971</v>
      </c>
      <c r="R2465">
        <v>-1.9631940000000001E-2</v>
      </c>
      <c r="S2465">
        <v>2.9484560000000002</v>
      </c>
      <c r="T2465">
        <v>0.55816790000000005</v>
      </c>
      <c r="U2465">
        <v>1.5396119999999999E-2</v>
      </c>
      <c r="V2465">
        <v>2.1949730000000001E-2</v>
      </c>
      <c r="W2465">
        <v>0.18252499999999999</v>
      </c>
      <c r="X2465">
        <v>0.98295619999999995</v>
      </c>
      <c r="Y2465">
        <v>-2.862042E-3</v>
      </c>
      <c r="Z2465">
        <v>1.7254529999999999E-4</v>
      </c>
      <c r="AA2465">
        <v>0.99999590000000005</v>
      </c>
      <c r="AB2465">
        <v>34</v>
      </c>
      <c r="AC2465">
        <v>312.98570000000001</v>
      </c>
      <c r="AD2465">
        <v>59.316844999999901</v>
      </c>
      <c r="AE2465">
        <v>1.6353</v>
      </c>
      <c r="AF2465">
        <v>-0.86840831007172403</v>
      </c>
      <c r="AG2465">
        <v>59.316844999999901</v>
      </c>
      <c r="AH2465">
        <v>302.13694682797001</v>
      </c>
      <c r="AI2465">
        <v>78.892752951602702</v>
      </c>
      <c r="AJ2465">
        <v>90.164680270221893</v>
      </c>
      <c r="AK2465">
        <v>307.90579220319103</v>
      </c>
      <c r="AL2465">
        <v>79.483131718845399</v>
      </c>
      <c r="AM2465">
        <v>88.720779301043294</v>
      </c>
      <c r="AN2465">
        <v>1.00000002869525</v>
      </c>
    </row>
    <row r="2466" spans="1:40" x14ac:dyDescent="0.25">
      <c r="A2466" t="str">
        <f>"20190312164520585"</f>
        <v>20190312164520585</v>
      </c>
      <c r="B2466" t="str">
        <f>"1552380320573967"</f>
        <v>1552380320573967</v>
      </c>
      <c r="C2466" t="s">
        <v>40</v>
      </c>
      <c r="D2466">
        <v>5.4167709999999998</v>
      </c>
      <c r="E2466">
        <v>0.5086676</v>
      </c>
      <c r="F2466" t="s">
        <v>60</v>
      </c>
      <c r="G2466">
        <v>-168.42590000000001</v>
      </c>
      <c r="H2466">
        <v>43.94867</v>
      </c>
      <c r="I2466">
        <v>203.78450000000001</v>
      </c>
      <c r="J2466">
        <v>-420.04950000000002</v>
      </c>
      <c r="K2466">
        <v>1.107885</v>
      </c>
      <c r="L2466">
        <v>213.42240000000001</v>
      </c>
      <c r="M2466">
        <v>0.99998659999999995</v>
      </c>
      <c r="N2466">
        <v>0</v>
      </c>
      <c r="O2466">
        <v>2.3512170000000001E-3</v>
      </c>
      <c r="P2466">
        <v>0.98386099999999999</v>
      </c>
      <c r="Q2466">
        <v>0.1776972</v>
      </c>
      <c r="R2466">
        <v>-2.1009159999999999E-2</v>
      </c>
      <c r="S2466">
        <v>2.9561160000000002</v>
      </c>
      <c r="T2466">
        <v>0.50263429999999998</v>
      </c>
      <c r="U2466">
        <v>-0.1130676</v>
      </c>
      <c r="V2466">
        <v>2.3328649999999999E-2</v>
      </c>
      <c r="W2466">
        <v>0.18224180000000001</v>
      </c>
      <c r="X2466">
        <v>0.98297699999999999</v>
      </c>
      <c r="Y2466">
        <v>3.9963730000000003E-2</v>
      </c>
      <c r="Z2466">
        <v>3.768941E-3</v>
      </c>
      <c r="AA2466">
        <v>0.99919400000000003</v>
      </c>
      <c r="AB2466">
        <v>34</v>
      </c>
      <c r="AC2466">
        <v>251.62360000000001</v>
      </c>
      <c r="AD2466">
        <v>42.840784999999997</v>
      </c>
      <c r="AE2466">
        <v>-9.6379000000000001</v>
      </c>
      <c r="AF2466">
        <v>9.9417365453171698</v>
      </c>
      <c r="AG2466">
        <v>42.840784999999997</v>
      </c>
      <c r="AH2466">
        <v>244.522509202588</v>
      </c>
      <c r="AI2466">
        <v>80.070575956454107</v>
      </c>
      <c r="AJ2466">
        <v>87.671764503742395</v>
      </c>
      <c r="AK2466">
        <v>248.44602732119199</v>
      </c>
      <c r="AL2466">
        <v>79.499634810505597</v>
      </c>
      <c r="AM2466">
        <v>88.640474473303996</v>
      </c>
      <c r="AN2466">
        <v>1.0000000410535299</v>
      </c>
    </row>
    <row r="2467" spans="1:40" x14ac:dyDescent="0.25">
      <c r="A2467" t="str">
        <f>"20190312164520606"</f>
        <v>20190312164520606</v>
      </c>
      <c r="B2467" t="str">
        <f>"1552380320604224"</f>
        <v>1552380320604224</v>
      </c>
      <c r="C2467" t="s">
        <v>40</v>
      </c>
      <c r="D2467">
        <v>5.4152829999999996</v>
      </c>
      <c r="E2467">
        <v>0.50980809999999999</v>
      </c>
      <c r="F2467" t="s">
        <v>60</v>
      </c>
      <c r="G2467">
        <v>-168.42660000000001</v>
      </c>
      <c r="H2467">
        <v>44.388869999999997</v>
      </c>
      <c r="I2467">
        <v>202.256</v>
      </c>
      <c r="J2467">
        <v>-419.73250000000002</v>
      </c>
      <c r="K2467">
        <v>1.1078650000000001</v>
      </c>
      <c r="L2467">
        <v>213.42310000000001</v>
      </c>
      <c r="M2467">
        <v>0.99998690000000001</v>
      </c>
      <c r="N2467">
        <v>0</v>
      </c>
      <c r="O2467">
        <v>2.3455210000000002E-3</v>
      </c>
      <c r="P2467">
        <v>0.98403280000000004</v>
      </c>
      <c r="Q2467">
        <v>0.1767031</v>
      </c>
      <c r="R2467">
        <v>-2.1343049999999999E-2</v>
      </c>
      <c r="S2467">
        <v>2.9546199999999998</v>
      </c>
      <c r="T2467">
        <v>0.50821660000000002</v>
      </c>
      <c r="U2467">
        <v>-0.13111879999999901</v>
      </c>
      <c r="V2467">
        <v>2.3658780000000001E-2</v>
      </c>
      <c r="W2467">
        <v>0.1811779</v>
      </c>
      <c r="X2467">
        <v>0.98316570000000003</v>
      </c>
      <c r="Y2467">
        <v>4.5968870000000002E-2</v>
      </c>
      <c r="Z2467">
        <v>4.3231099999999998E-3</v>
      </c>
      <c r="AA2467">
        <v>0.99893350000000003</v>
      </c>
      <c r="AB2467">
        <v>34</v>
      </c>
      <c r="AC2467">
        <v>251.30590000000001</v>
      </c>
      <c r="AD2467">
        <v>43.281005</v>
      </c>
      <c r="AE2467">
        <v>-11.1671</v>
      </c>
      <c r="AF2467">
        <v>11.418499247963799</v>
      </c>
      <c r="AG2467">
        <v>43.281005</v>
      </c>
      <c r="AH2467">
        <v>244.05432752278401</v>
      </c>
      <c r="AI2467">
        <v>79.954389477346098</v>
      </c>
      <c r="AJ2467">
        <v>87.321272367621006</v>
      </c>
      <c r="AK2467">
        <v>248.12525526734299</v>
      </c>
      <c r="AL2467">
        <v>79.5616231426974</v>
      </c>
      <c r="AM2467">
        <v>88.621507360614302</v>
      </c>
      <c r="AN2467">
        <v>0.99999998148799396</v>
      </c>
    </row>
    <row r="2468" spans="1:40" x14ac:dyDescent="0.25">
      <c r="A2468" t="str">
        <f>"20190312164520628"</f>
        <v>20190312164520628</v>
      </c>
      <c r="B2468" t="str">
        <f>"1552380320623744"</f>
        <v>1552380320623744</v>
      </c>
      <c r="C2468" t="s">
        <v>40</v>
      </c>
      <c r="D2468">
        <v>5.4751609999999999</v>
      </c>
      <c r="E2468">
        <v>0.50994969999999995</v>
      </c>
      <c r="F2468" t="s">
        <v>60</v>
      </c>
      <c r="G2468">
        <v>-168.42679999999999</v>
      </c>
      <c r="H2468">
        <v>44.106290000000001</v>
      </c>
      <c r="I2468">
        <v>201.40860000000001</v>
      </c>
      <c r="J2468">
        <v>-419.38920000000002</v>
      </c>
      <c r="K2468">
        <v>1.107834</v>
      </c>
      <c r="L2468">
        <v>213.4239</v>
      </c>
      <c r="M2468">
        <v>0.99998730000000002</v>
      </c>
      <c r="N2468">
        <v>0</v>
      </c>
      <c r="O2468">
        <v>2.3270959999999999E-3</v>
      </c>
      <c r="P2468">
        <v>0.98417940000000004</v>
      </c>
      <c r="Q2468">
        <v>0.1758142</v>
      </c>
      <c r="R2468">
        <v>-2.192065E-2</v>
      </c>
      <c r="S2468">
        <v>2.954834</v>
      </c>
      <c r="T2468">
        <v>0.50557269999999999</v>
      </c>
      <c r="U2468">
        <v>-0.1412659</v>
      </c>
      <c r="V2468">
        <v>2.4222049999999998E-2</v>
      </c>
      <c r="W2468">
        <v>0.18022160000000001</v>
      </c>
      <c r="X2468">
        <v>0.98332770000000003</v>
      </c>
      <c r="Y2468">
        <v>4.9329199999999997E-2</v>
      </c>
      <c r="Z2468">
        <v>4.5824180000000004E-3</v>
      </c>
      <c r="AA2468">
        <v>0.99877210000000005</v>
      </c>
      <c r="AB2468">
        <v>34</v>
      </c>
      <c r="AC2468">
        <v>250.9624</v>
      </c>
      <c r="AD2468">
        <v>42.998455999999997</v>
      </c>
      <c r="AE2468">
        <v>-12.0152999999999</v>
      </c>
      <c r="AF2468">
        <v>12.240775484156501</v>
      </c>
      <c r="AG2468">
        <v>42.998455999999997</v>
      </c>
      <c r="AH2468">
        <v>243.793465076328</v>
      </c>
      <c r="AI2468">
        <v>80.009802929906201</v>
      </c>
      <c r="AJ2468">
        <v>87.125614920597698</v>
      </c>
      <c r="AK2468">
        <v>247.858744886599</v>
      </c>
      <c r="AL2468">
        <v>79.617331825966701</v>
      </c>
      <c r="AM2468">
        <v>88.588933636808804</v>
      </c>
      <c r="AN2468">
        <v>0.999999949200025</v>
      </c>
    </row>
    <row r="2469" spans="1:40" x14ac:dyDescent="0.25">
      <c r="A2469" t="str">
        <f>"20190312164520652"</f>
        <v>20190312164520652</v>
      </c>
      <c r="B2469" t="str">
        <f>"1552380320644239"</f>
        <v>1552380320644239</v>
      </c>
      <c r="C2469" t="s">
        <v>40</v>
      </c>
      <c r="D2469">
        <v>5.3518990000000004</v>
      </c>
      <c r="E2469">
        <v>0.50989569999999995</v>
      </c>
      <c r="F2469" t="s">
        <v>60</v>
      </c>
      <c r="G2469">
        <v>-168.42670000000001</v>
      </c>
      <c r="H2469">
        <v>43.716850000000001</v>
      </c>
      <c r="I2469">
        <v>201.19239999999999</v>
      </c>
      <c r="J2469">
        <v>-419.03620000000001</v>
      </c>
      <c r="K2469">
        <v>1.10781</v>
      </c>
      <c r="L2469">
        <v>213.4247</v>
      </c>
      <c r="M2469">
        <v>0.99998759999999998</v>
      </c>
      <c r="N2469">
        <v>0</v>
      </c>
      <c r="O2469">
        <v>2.2877639999999999E-3</v>
      </c>
      <c r="P2469">
        <v>0.98432549999999996</v>
      </c>
      <c r="Q2469">
        <v>0.17487900000000001</v>
      </c>
      <c r="R2469">
        <v>-2.282029E-2</v>
      </c>
      <c r="S2469">
        <v>2.955444</v>
      </c>
      <c r="T2469">
        <v>0.50178279999999997</v>
      </c>
      <c r="U2469">
        <v>-0.144043</v>
      </c>
      <c r="V2469">
        <v>2.5088889999999999E-2</v>
      </c>
      <c r="W2469">
        <v>0.17922669999999999</v>
      </c>
      <c r="X2469">
        <v>0.98348780000000002</v>
      </c>
      <c r="Y2469">
        <v>5.021573E-2</v>
      </c>
      <c r="Z2469">
        <v>4.6155809999999997E-3</v>
      </c>
      <c r="AA2469">
        <v>0.9987277</v>
      </c>
      <c r="AB2469">
        <v>34</v>
      </c>
      <c r="AC2469">
        <v>250.6095</v>
      </c>
      <c r="AD2469">
        <v>42.60904</v>
      </c>
      <c r="AE2469">
        <v>-12.2323</v>
      </c>
      <c r="AF2469">
        <v>12.4466639507273</v>
      </c>
      <c r="AG2469">
        <v>42.60904</v>
      </c>
      <c r="AH2469">
        <v>243.55700305891301</v>
      </c>
      <c r="AI2469">
        <v>80.089496990463005</v>
      </c>
      <c r="AJ2469">
        <v>87.074518634433502</v>
      </c>
      <c r="AK2469">
        <v>247.56910847733701</v>
      </c>
      <c r="AL2469">
        <v>79.675279040357196</v>
      </c>
      <c r="AM2469">
        <v>88.538694828102393</v>
      </c>
      <c r="AN2469">
        <v>0.99999995757158</v>
      </c>
    </row>
    <row r="2470" spans="1:40" x14ac:dyDescent="0.25">
      <c r="A2470" t="str">
        <f>"20190312164520673"</f>
        <v>20190312164520673</v>
      </c>
      <c r="B2470" t="str">
        <f>"1552380320663762"</f>
        <v>1552380320663762</v>
      </c>
      <c r="C2470" t="s">
        <v>40</v>
      </c>
      <c r="D2470">
        <v>5.3578789999999996</v>
      </c>
      <c r="E2470">
        <v>0.50971509999999998</v>
      </c>
      <c r="F2470" t="s">
        <v>60</v>
      </c>
      <c r="G2470">
        <v>-168.42660000000001</v>
      </c>
      <c r="H2470">
        <v>43.178699999999999</v>
      </c>
      <c r="I2470">
        <v>201.02600000000001</v>
      </c>
      <c r="J2470">
        <v>-418.6875</v>
      </c>
      <c r="K2470">
        <v>1.1077840000000001</v>
      </c>
      <c r="L2470">
        <v>213.4254</v>
      </c>
      <c r="M2470">
        <v>0.99998810000000005</v>
      </c>
      <c r="N2470">
        <v>0</v>
      </c>
      <c r="O2470">
        <v>2.227471E-3</v>
      </c>
      <c r="P2470">
        <v>0.98453219999999997</v>
      </c>
      <c r="Q2470">
        <v>0.17364760000000001</v>
      </c>
      <c r="R2470">
        <v>-2.3303339999999999E-2</v>
      </c>
      <c r="S2470">
        <v>2.956207</v>
      </c>
      <c r="T2470">
        <v>0.49627139999999997</v>
      </c>
      <c r="U2470">
        <v>-0.14625550000000001</v>
      </c>
      <c r="V2470">
        <v>2.5520000000000001E-2</v>
      </c>
      <c r="W2470">
        <v>0.17794450000000001</v>
      </c>
      <c r="X2470">
        <v>0.98370959999999996</v>
      </c>
      <c r="Y2470">
        <v>5.0896669999999998E-2</v>
      </c>
      <c r="Z2470">
        <v>4.611024E-3</v>
      </c>
      <c r="AA2470">
        <v>0.99869330000000001</v>
      </c>
      <c r="AB2470">
        <v>34</v>
      </c>
      <c r="AC2470">
        <v>250.26089999999999</v>
      </c>
      <c r="AD2470">
        <v>42.070915999999997</v>
      </c>
      <c r="AE2470">
        <v>-12.3994</v>
      </c>
      <c r="AF2470">
        <v>12.601570347450201</v>
      </c>
      <c r="AG2470">
        <v>42.070915999999997</v>
      </c>
      <c r="AH2470">
        <v>243.37172536205199</v>
      </c>
      <c r="AI2470">
        <v>80.205249952133101</v>
      </c>
      <c r="AJ2470">
        <v>87.035922843971306</v>
      </c>
      <c r="AK2470">
        <v>247.30256418808699</v>
      </c>
      <c r="AL2470">
        <v>79.749944902470205</v>
      </c>
      <c r="AM2470">
        <v>88.513930942028793</v>
      </c>
      <c r="AN2470">
        <v>1.0000000463062</v>
      </c>
    </row>
    <row r="2471" spans="1:40" x14ac:dyDescent="0.25">
      <c r="A2471" t="str">
        <f>"20190312164520695"</f>
        <v>20190312164520695</v>
      </c>
      <c r="B2471" t="str">
        <f>"1552380320684256"</f>
        <v>1552380320684256</v>
      </c>
      <c r="C2471" t="s">
        <v>40</v>
      </c>
      <c r="D2471">
        <v>5.413475</v>
      </c>
      <c r="E2471">
        <v>0.50961380000000001</v>
      </c>
      <c r="F2471" t="s">
        <v>60</v>
      </c>
      <c r="G2471">
        <v>-168.4264</v>
      </c>
      <c r="H2471">
        <v>42.516719999999999</v>
      </c>
      <c r="I2471">
        <v>201.05529999999999</v>
      </c>
      <c r="J2471">
        <v>-418.34390000000002</v>
      </c>
      <c r="K2471">
        <v>1.1077570000000001</v>
      </c>
      <c r="L2471">
        <v>213.42609999999999</v>
      </c>
      <c r="M2471">
        <v>0.99998830000000005</v>
      </c>
      <c r="N2471">
        <v>0</v>
      </c>
      <c r="O2471">
        <v>2.1490390000000002E-3</v>
      </c>
      <c r="P2471">
        <v>0.98470630000000003</v>
      </c>
      <c r="Q2471">
        <v>0.1727022</v>
      </c>
      <c r="R2471">
        <v>-2.2964979999999999E-2</v>
      </c>
      <c r="S2471">
        <v>2.9573670000000001</v>
      </c>
      <c r="T2471">
        <v>0.48933480000000001</v>
      </c>
      <c r="U2471">
        <v>-0.14617920000000001</v>
      </c>
      <c r="V2471">
        <v>2.5111660000000001E-2</v>
      </c>
      <c r="W2471">
        <v>0.17695669999999999</v>
      </c>
      <c r="X2471">
        <v>0.98389819999999995</v>
      </c>
      <c r="Y2471">
        <v>5.079674E-2</v>
      </c>
      <c r="Z2471">
        <v>4.5246009999999996E-3</v>
      </c>
      <c r="AA2471">
        <v>0.9986988</v>
      </c>
      <c r="AB2471">
        <v>35</v>
      </c>
      <c r="AC2471">
        <v>249.91749999999999</v>
      </c>
      <c r="AD2471">
        <v>41.408963</v>
      </c>
      <c r="AE2471">
        <v>-12.370799999999999</v>
      </c>
      <c r="AF2471">
        <v>12.563784003859899</v>
      </c>
      <c r="AG2471">
        <v>41.408963</v>
      </c>
      <c r="AH2471">
        <v>243.22920162889201</v>
      </c>
      <c r="AI2471">
        <v>80.350840529950503</v>
      </c>
      <c r="AJ2471">
        <v>87.0430664031948</v>
      </c>
      <c r="AK2471">
        <v>247.04856892979501</v>
      </c>
      <c r="AL2471">
        <v>79.807453564302605</v>
      </c>
      <c r="AM2471">
        <v>88.537978985124894</v>
      </c>
      <c r="AN2471">
        <v>0.99999996855304196</v>
      </c>
    </row>
    <row r="2472" spans="1:40" x14ac:dyDescent="0.25">
      <c r="A2472" t="str">
        <f>"20190312164520717"</f>
        <v>20190312164520717</v>
      </c>
      <c r="B2472" t="str">
        <f>"1552380320714512"</f>
        <v>1552380320714512</v>
      </c>
      <c r="C2472" t="s">
        <v>40</v>
      </c>
      <c r="D2472">
        <v>5.4093640000000001</v>
      </c>
      <c r="E2472">
        <v>0.50970819999999994</v>
      </c>
      <c r="F2472" t="s">
        <v>60</v>
      </c>
      <c r="G2472">
        <v>-168.42619999999999</v>
      </c>
      <c r="H2472">
        <v>42.05527</v>
      </c>
      <c r="I2472">
        <v>201.24160000000001</v>
      </c>
      <c r="J2472">
        <v>-418.00740000000002</v>
      </c>
      <c r="K2472">
        <v>1.1077330000000001</v>
      </c>
      <c r="L2472">
        <v>213.42679999999999</v>
      </c>
      <c r="M2472">
        <v>0.99998869999999895</v>
      </c>
      <c r="N2472">
        <v>0</v>
      </c>
      <c r="O2472">
        <v>2.053011E-3</v>
      </c>
      <c r="P2472">
        <v>0.98488430000000005</v>
      </c>
      <c r="Q2472">
        <v>0.17180790000000001</v>
      </c>
      <c r="R2472">
        <v>-2.202169E-2</v>
      </c>
      <c r="S2472">
        <v>2.958221</v>
      </c>
      <c r="T2472">
        <v>0.48468719999999998</v>
      </c>
      <c r="U2472">
        <v>-0.1442261</v>
      </c>
      <c r="V2472">
        <v>2.4080810000000001E-2</v>
      </c>
      <c r="W2472">
        <v>0.17602689999999999</v>
      </c>
      <c r="X2472">
        <v>0.98409069999999998</v>
      </c>
      <c r="Y2472">
        <v>5.0053819999999999E-2</v>
      </c>
      <c r="Z2472">
        <v>4.4049450000000004E-3</v>
      </c>
      <c r="AA2472">
        <v>0.99873679999999998</v>
      </c>
      <c r="AB2472">
        <v>35</v>
      </c>
      <c r="AC2472">
        <v>249.5812</v>
      </c>
      <c r="AD2472">
        <v>40.947536999999997</v>
      </c>
      <c r="AE2472">
        <v>-12.185199999999901</v>
      </c>
      <c r="AF2472">
        <v>12.365516895209099</v>
      </c>
      <c r="AG2472">
        <v>40.947536999999997</v>
      </c>
      <c r="AH2472">
        <v>243.02951015727899</v>
      </c>
      <c r="AI2472">
        <v>80.448305800399197</v>
      </c>
      <c r="AJ2472">
        <v>87.0872611953138</v>
      </c>
      <c r="AK2472">
        <v>246.764968343845</v>
      </c>
      <c r="AL2472">
        <v>79.861576413543503</v>
      </c>
      <c r="AM2472">
        <v>88.598245576811195</v>
      </c>
      <c r="AN2472">
        <v>0.99999993038017498</v>
      </c>
    </row>
    <row r="2473" spans="1:40" x14ac:dyDescent="0.25">
      <c r="A2473" t="str">
        <f>"20190312164520740"</f>
        <v>20190312164520740</v>
      </c>
      <c r="B2473" t="str">
        <f>"1552380320734032"</f>
        <v>1552380320734032</v>
      </c>
      <c r="C2473" t="s">
        <v>40</v>
      </c>
      <c r="D2473">
        <v>5.4095870000000001</v>
      </c>
      <c r="E2473">
        <v>0.50961099999999904</v>
      </c>
      <c r="F2473" t="s">
        <v>60</v>
      </c>
      <c r="G2473">
        <v>-168.42590000000001</v>
      </c>
      <c r="H2473">
        <v>41.44341</v>
      </c>
      <c r="I2473">
        <v>201.44880000000001</v>
      </c>
      <c r="J2473">
        <v>-417.64460000000003</v>
      </c>
      <c r="K2473">
        <v>1.1077159999999999</v>
      </c>
      <c r="L2473">
        <v>213.42750000000001</v>
      </c>
      <c r="M2473">
        <v>0.99998900000000002</v>
      </c>
      <c r="N2473">
        <v>0</v>
      </c>
      <c r="O2473">
        <v>1.930392E-3</v>
      </c>
      <c r="P2473">
        <v>0.98496229999999996</v>
      </c>
      <c r="Q2473">
        <v>0.171532399999999</v>
      </c>
      <c r="R2473">
        <v>-2.063589E-2</v>
      </c>
      <c r="S2473">
        <v>2.9594119999999999</v>
      </c>
      <c r="T2473">
        <v>0.4782805</v>
      </c>
      <c r="U2473">
        <v>-0.14202879999999901</v>
      </c>
      <c r="V2473">
        <v>2.258112E-2</v>
      </c>
      <c r="W2473">
        <v>0.17571989999999901</v>
      </c>
      <c r="X2473">
        <v>0.98418119999999998</v>
      </c>
      <c r="Y2473">
        <v>4.9203209999999997E-2</v>
      </c>
      <c r="Z2473">
        <v>4.2578889999999999E-3</v>
      </c>
      <c r="AA2473">
        <v>0.99877969999999905</v>
      </c>
      <c r="AB2473">
        <v>35</v>
      </c>
      <c r="AC2473">
        <v>249.21870000000001</v>
      </c>
      <c r="AD2473">
        <v>40.335693999999997</v>
      </c>
      <c r="AE2473">
        <v>-11.9787</v>
      </c>
      <c r="AF2473">
        <v>12.1424343515407</v>
      </c>
      <c r="AG2473">
        <v>40.335693999999997</v>
      </c>
      <c r="AH2473">
        <v>242.84836994187199</v>
      </c>
      <c r="AI2473">
        <v>80.581151900112999</v>
      </c>
      <c r="AJ2473">
        <v>87.137591042639798</v>
      </c>
      <c r="AK2473">
        <v>246.474618786332</v>
      </c>
      <c r="AL2473">
        <v>79.879445574605299</v>
      </c>
      <c r="AM2473">
        <v>88.68563236928</v>
      </c>
      <c r="AN2473">
        <v>1.00000001233495</v>
      </c>
    </row>
    <row r="2474" spans="1:40" x14ac:dyDescent="0.25">
      <c r="A2474" t="str">
        <f>"20190312164520764"</f>
        <v>20190312164520764</v>
      </c>
      <c r="B2474" t="str">
        <f>"1552380320754528"</f>
        <v>1552380320754528</v>
      </c>
      <c r="C2474" t="s">
        <v>40</v>
      </c>
      <c r="D2474">
        <v>4.1236119999999996</v>
      </c>
      <c r="E2474">
        <v>0.50960419999999995</v>
      </c>
      <c r="F2474" t="s">
        <v>60</v>
      </c>
      <c r="G2474">
        <v>-168.42570000000001</v>
      </c>
      <c r="H2474">
        <v>41.203780000000002</v>
      </c>
      <c r="I2474">
        <v>201.88560000000001</v>
      </c>
      <c r="J2474">
        <v>-417.2688</v>
      </c>
      <c r="K2474">
        <v>1.107694</v>
      </c>
      <c r="L2474">
        <v>213.4281</v>
      </c>
      <c r="M2474">
        <v>0.99998940000000003</v>
      </c>
      <c r="N2474">
        <v>0</v>
      </c>
      <c r="O2474">
        <v>1.788579E-3</v>
      </c>
      <c r="P2474">
        <v>0.98495060000000001</v>
      </c>
      <c r="Q2474">
        <v>0.1718229</v>
      </c>
      <c r="R2474">
        <v>-1.8690720000000001E-2</v>
      </c>
      <c r="S2474">
        <v>2.9600219999999999</v>
      </c>
      <c r="T2474">
        <v>0.47622910000000002</v>
      </c>
      <c r="U2474">
        <v>-0.13708499999999901</v>
      </c>
      <c r="V2474">
        <v>2.0502200000000002E-2</v>
      </c>
      <c r="W2474">
        <v>0.17598279999999999</v>
      </c>
      <c r="X2474">
        <v>0.98417969999999999</v>
      </c>
      <c r="Y2474">
        <v>4.7417719999999997E-2</v>
      </c>
      <c r="Z2474">
        <v>4.0738620000000001E-3</v>
      </c>
      <c r="AA2474">
        <v>0.9988669</v>
      </c>
      <c r="AB2474">
        <v>35</v>
      </c>
      <c r="AC2474">
        <v>248.84309999999999</v>
      </c>
      <c r="AD2474">
        <v>40.096086</v>
      </c>
      <c r="AE2474">
        <v>-11.542499999999899</v>
      </c>
      <c r="AF2474">
        <v>11.6848403694508</v>
      </c>
      <c r="AG2474">
        <v>40.096086</v>
      </c>
      <c r="AH2474">
        <v>242.538577846159</v>
      </c>
      <c r="AI2474">
        <v>80.623539006230104</v>
      </c>
      <c r="AJ2474">
        <v>87.241779887517097</v>
      </c>
      <c r="AK2474">
        <v>246.108092818209</v>
      </c>
      <c r="AL2474">
        <v>79.864143776551003</v>
      </c>
      <c r="AM2474">
        <v>88.806600409194999</v>
      </c>
      <c r="AN2474">
        <v>0.99999998399638401</v>
      </c>
    </row>
    <row r="2475" spans="1:40" x14ac:dyDescent="0.25">
      <c r="A2475" t="str">
        <f>"20190312164520786"</f>
        <v>20190312164520786</v>
      </c>
      <c r="B2475" t="str">
        <f>"1552380320783808"</f>
        <v>1552380320783808</v>
      </c>
      <c r="C2475" t="s">
        <v>40</v>
      </c>
      <c r="D2475">
        <v>5.3986049999999999</v>
      </c>
      <c r="E2475">
        <v>0.50960269999999996</v>
      </c>
      <c r="F2475" t="s">
        <v>60</v>
      </c>
      <c r="G2475">
        <v>-168.4255</v>
      </c>
      <c r="H2475">
        <v>41.095390000000002</v>
      </c>
      <c r="I2475">
        <v>202.40770000000001</v>
      </c>
      <c r="J2475">
        <v>-416.92340000000002</v>
      </c>
      <c r="K2475">
        <v>1.1076809999999999</v>
      </c>
      <c r="L2475">
        <v>213.42859999999999</v>
      </c>
      <c r="M2475">
        <v>0.99998989999999999</v>
      </c>
      <c r="N2475">
        <v>0</v>
      </c>
      <c r="O2475">
        <v>1.648261E-3</v>
      </c>
      <c r="P2475">
        <v>0.98498379999999996</v>
      </c>
      <c r="Q2475">
        <v>0.17186080000000001</v>
      </c>
      <c r="R2475">
        <v>-1.646767E-2</v>
      </c>
      <c r="S2475">
        <v>2.9603579999999998</v>
      </c>
      <c r="T2475">
        <v>0.47571289999999999</v>
      </c>
      <c r="U2475">
        <v>-0.13110350000000001</v>
      </c>
      <c r="V2475">
        <v>1.8145250000000002E-2</v>
      </c>
      <c r="W2475">
        <v>0.17600160000000001</v>
      </c>
      <c r="X2475">
        <v>0.98422270000000001</v>
      </c>
      <c r="Y2475">
        <v>4.528861E-2</v>
      </c>
      <c r="Z2475">
        <v>3.8769389999999998E-3</v>
      </c>
      <c r="AA2475">
        <v>0.99896640000000003</v>
      </c>
      <c r="AB2475">
        <v>35</v>
      </c>
      <c r="AC2475">
        <v>248.49789999999999</v>
      </c>
      <c r="AD2475">
        <v>39.987709000000002</v>
      </c>
      <c r="AE2475">
        <v>-11.0208999999999</v>
      </c>
      <c r="AF2475">
        <v>11.1425145214235</v>
      </c>
      <c r="AG2475">
        <v>39.987709000000002</v>
      </c>
      <c r="AH2475">
        <v>242.21955435818401</v>
      </c>
      <c r="AI2475">
        <v>80.635395624464707</v>
      </c>
      <c r="AJ2475">
        <v>87.366152802708697</v>
      </c>
      <c r="AK2475">
        <v>245.750859641235</v>
      </c>
      <c r="AL2475">
        <v>79.863050399574902</v>
      </c>
      <c r="AM2475">
        <v>88.943807658000196</v>
      </c>
      <c r="AN2475">
        <v>1.0000000682476999</v>
      </c>
    </row>
    <row r="2476" spans="1:40" x14ac:dyDescent="0.25">
      <c r="A2476" t="str">
        <f>"20190312164520807"</f>
        <v>20190312164520807</v>
      </c>
      <c r="B2476" t="str">
        <f>"1552380320804304"</f>
        <v>1552380320804304</v>
      </c>
      <c r="C2476" t="s">
        <v>40</v>
      </c>
      <c r="D2476">
        <v>5.4634640000000001</v>
      </c>
      <c r="E2476">
        <v>0.50957050000000004</v>
      </c>
      <c r="F2476" t="s">
        <v>60</v>
      </c>
      <c r="G2476">
        <v>-168.42529999999999</v>
      </c>
      <c r="H2476">
        <v>41.111699999999999</v>
      </c>
      <c r="I2476">
        <v>202.99019999999999</v>
      </c>
      <c r="J2476">
        <v>-416.59440000000001</v>
      </c>
      <c r="K2476">
        <v>1.1076649999999999</v>
      </c>
      <c r="L2476">
        <v>213.42910000000001</v>
      </c>
      <c r="M2476">
        <v>0.99999020000000005</v>
      </c>
      <c r="N2476">
        <v>0</v>
      </c>
      <c r="O2476">
        <v>1.509802E-3</v>
      </c>
      <c r="P2476">
        <v>0.98502699999999999</v>
      </c>
      <c r="Q2476">
        <v>0.1718094</v>
      </c>
      <c r="R2476">
        <v>-1.425878E-2</v>
      </c>
      <c r="S2476">
        <v>2.9605100000000002</v>
      </c>
      <c r="T2476">
        <v>0.47659269999999998</v>
      </c>
      <c r="U2476">
        <v>-0.1243591</v>
      </c>
      <c r="V2476">
        <v>1.5803299999999999E-2</v>
      </c>
      <c r="W2476">
        <v>0.17593210000000001</v>
      </c>
      <c r="X2476">
        <v>0.98427549999999997</v>
      </c>
      <c r="Y2476">
        <v>4.290654E-2</v>
      </c>
      <c r="Z2476">
        <v>3.671442E-3</v>
      </c>
      <c r="AA2476">
        <v>0.99907239999999997</v>
      </c>
      <c r="AB2476">
        <v>35</v>
      </c>
      <c r="AC2476">
        <v>248.16909999999999</v>
      </c>
      <c r="AD2476">
        <v>40.004034999999902</v>
      </c>
      <c r="AE2476">
        <v>-10.4389</v>
      </c>
      <c r="AF2476">
        <v>10.540181316968299</v>
      </c>
      <c r="AG2476">
        <v>40.004034999999902</v>
      </c>
      <c r="AH2476">
        <v>241.87908173125399</v>
      </c>
      <c r="AI2476">
        <v>80.617688216292194</v>
      </c>
      <c r="AJ2476">
        <v>87.504843808564402</v>
      </c>
      <c r="AK2476">
        <v>245.39133729133701</v>
      </c>
      <c r="AL2476">
        <v>79.867095430650096</v>
      </c>
      <c r="AM2476">
        <v>89.080151239447503</v>
      </c>
      <c r="AN2476">
        <v>1.0000000540007701</v>
      </c>
    </row>
    <row r="2477" spans="1:40" x14ac:dyDescent="0.25">
      <c r="A2477" t="str">
        <f>"20190312164520830"</f>
        <v>20190312164520830</v>
      </c>
      <c r="B2477" t="str">
        <f>"1552380320823824"</f>
        <v>1552380320823824</v>
      </c>
      <c r="C2477" t="s">
        <v>40</v>
      </c>
      <c r="D2477">
        <v>5.2979390000000004</v>
      </c>
      <c r="E2477">
        <v>0.50959239999999995</v>
      </c>
      <c r="F2477" t="s">
        <v>60</v>
      </c>
      <c r="G2477">
        <v>-168.42500000000001</v>
      </c>
      <c r="H2477">
        <v>41.015520000000002</v>
      </c>
      <c r="I2477">
        <v>203.57089999999999</v>
      </c>
      <c r="J2477">
        <v>-416.23329999999999</v>
      </c>
      <c r="K2477">
        <v>1.1076520000000001</v>
      </c>
      <c r="L2477">
        <v>213.42949999999999</v>
      </c>
      <c r="M2477">
        <v>0.9999905</v>
      </c>
      <c r="N2477">
        <v>0</v>
      </c>
      <c r="O2477">
        <v>1.357825E-3</v>
      </c>
      <c r="P2477">
        <v>0.98506229999999995</v>
      </c>
      <c r="Q2477">
        <v>0.1717641</v>
      </c>
      <c r="R2477">
        <v>-1.223086E-2</v>
      </c>
      <c r="S2477">
        <v>2.9608460000000001</v>
      </c>
      <c r="T2477">
        <v>0.47613100000000003</v>
      </c>
      <c r="U2477">
        <v>-0.1176147</v>
      </c>
      <c r="V2477">
        <v>1.3628110000000001E-2</v>
      </c>
      <c r="W2477">
        <v>0.17586779999999999</v>
      </c>
      <c r="X2477">
        <v>0.98431939999999996</v>
      </c>
      <c r="Y2477">
        <v>4.0511720000000001E-2</v>
      </c>
      <c r="Z2477">
        <v>3.452161E-3</v>
      </c>
      <c r="AA2477">
        <v>0.99917310000000004</v>
      </c>
      <c r="AB2477">
        <v>35</v>
      </c>
      <c r="AC2477">
        <v>247.8083</v>
      </c>
      <c r="AD2477">
        <v>39.907868000000001</v>
      </c>
      <c r="AE2477">
        <v>-9.8585999999999903</v>
      </c>
      <c r="AF2477">
        <v>9.9377464526197397</v>
      </c>
      <c r="AG2477">
        <v>39.907868000000001</v>
      </c>
      <c r="AH2477">
        <v>241.54025059481799</v>
      </c>
      <c r="AI2477">
        <v>80.625998315509506</v>
      </c>
      <c r="AJ2477">
        <v>87.643995266421697</v>
      </c>
      <c r="AK2477">
        <v>245.016508403556</v>
      </c>
      <c r="AL2477">
        <v>79.870836784093001</v>
      </c>
      <c r="AM2477">
        <v>89.206778512266794</v>
      </c>
      <c r="AN2477">
        <v>0.99999994483768395</v>
      </c>
    </row>
    <row r="2478" spans="1:40" x14ac:dyDescent="0.25">
      <c r="A2478" t="str">
        <f>"20190312164520852"</f>
        <v>20190312164520852</v>
      </c>
      <c r="B2478" t="str">
        <f>"1552380320844320"</f>
        <v>1552380320844320</v>
      </c>
      <c r="C2478" t="s">
        <v>40</v>
      </c>
      <c r="D2478">
        <v>5.5059959999999997</v>
      </c>
      <c r="E2478">
        <v>0.50951449999999998</v>
      </c>
      <c r="F2478" t="s">
        <v>60</v>
      </c>
      <c r="G2478">
        <v>-168.42490000000001</v>
      </c>
      <c r="H2478">
        <v>40.967590000000001</v>
      </c>
      <c r="I2478">
        <v>204.07550000000001</v>
      </c>
      <c r="J2478">
        <v>-415.86770000000001</v>
      </c>
      <c r="K2478">
        <v>1.1076429999999999</v>
      </c>
      <c r="L2478">
        <v>213.4299</v>
      </c>
      <c r="M2478">
        <v>0.99999059999999995</v>
      </c>
      <c r="N2478">
        <v>0</v>
      </c>
      <c r="O2478">
        <v>1.2129650000000001E-3</v>
      </c>
      <c r="P2478">
        <v>0.98519199999999996</v>
      </c>
      <c r="Q2478">
        <v>0.1711259</v>
      </c>
      <c r="R2478">
        <v>-1.061463E-2</v>
      </c>
      <c r="S2478">
        <v>2.9610599999999998</v>
      </c>
      <c r="T2478">
        <v>0.47628619999999999</v>
      </c>
      <c r="U2478">
        <v>-0.1117706</v>
      </c>
      <c r="V2478">
        <v>1.186941E-2</v>
      </c>
      <c r="W2478">
        <v>0.17521339999999999</v>
      </c>
      <c r="X2478">
        <v>0.98445890000000003</v>
      </c>
      <c r="Y2478">
        <v>3.8423310000000002E-2</v>
      </c>
      <c r="Z2478">
        <v>3.2631819999999999E-3</v>
      </c>
      <c r="AA2478">
        <v>0.99925629999999999</v>
      </c>
      <c r="AB2478">
        <v>36</v>
      </c>
      <c r="AC2478">
        <v>247.44280000000001</v>
      </c>
      <c r="AD2478">
        <v>39.859946999999998</v>
      </c>
      <c r="AE2478">
        <v>-9.3543999999999894</v>
      </c>
      <c r="AF2478">
        <v>9.4106840579417401</v>
      </c>
      <c r="AG2478">
        <v>39.859946999999998</v>
      </c>
      <c r="AH2478">
        <v>241.181732541457</v>
      </c>
      <c r="AI2478">
        <v>80.622601102070504</v>
      </c>
      <c r="AJ2478">
        <v>87.765506180597797</v>
      </c>
      <c r="AK2478">
        <v>244.634430244355</v>
      </c>
      <c r="AL2478">
        <v>79.908922811380606</v>
      </c>
      <c r="AM2478">
        <v>89.309230534369902</v>
      </c>
      <c r="AN2478">
        <v>0.99999997211125802</v>
      </c>
    </row>
    <row r="2479" spans="1:40" x14ac:dyDescent="0.25">
      <c r="A2479" t="str">
        <f>"20190312164520874"</f>
        <v>20190312164520874</v>
      </c>
      <c r="B2479" t="str">
        <f>"1552380320863840"</f>
        <v>1552380320863840</v>
      </c>
      <c r="C2479" t="s">
        <v>40</v>
      </c>
      <c r="D2479">
        <v>5.2532610000000002</v>
      </c>
      <c r="E2479">
        <v>0.50855709999999998</v>
      </c>
      <c r="F2479" t="s">
        <v>60</v>
      </c>
      <c r="G2479">
        <v>-168.4246</v>
      </c>
      <c r="H2479">
        <v>40.730870000000003</v>
      </c>
      <c r="I2479">
        <v>204.54249999999999</v>
      </c>
      <c r="J2479">
        <v>-415.5138</v>
      </c>
      <c r="K2479">
        <v>1.107634</v>
      </c>
      <c r="L2479">
        <v>213.43020000000001</v>
      </c>
      <c r="M2479">
        <v>0.99999090000000002</v>
      </c>
      <c r="N2479">
        <v>0</v>
      </c>
      <c r="O2479">
        <v>1.0849869999999999E-3</v>
      </c>
      <c r="P2479">
        <v>0.9853866</v>
      </c>
      <c r="Q2479">
        <v>0.17007229999999901</v>
      </c>
      <c r="R2479">
        <v>-9.4249680000000006E-3</v>
      </c>
      <c r="S2479">
        <v>2.9615480000000001</v>
      </c>
      <c r="T2479">
        <v>0.47423510000000002</v>
      </c>
      <c r="U2479">
        <v>-0.10636900000000001</v>
      </c>
      <c r="V2479">
        <v>1.0551680000000001E-2</v>
      </c>
      <c r="W2479">
        <v>0.17414760000000001</v>
      </c>
      <c r="X2479">
        <v>0.98466299999999995</v>
      </c>
      <c r="Y2479">
        <v>3.6499620000000003E-2</v>
      </c>
      <c r="Z2479">
        <v>3.0755299999999999E-3</v>
      </c>
      <c r="AA2479">
        <v>0.99932889999999996</v>
      </c>
      <c r="AB2479">
        <v>36</v>
      </c>
      <c r="AC2479">
        <v>247.08920000000001</v>
      </c>
      <c r="AD2479">
        <v>39.623235999999999</v>
      </c>
      <c r="AE2479">
        <v>-8.8877000000000201</v>
      </c>
      <c r="AF2479">
        <v>8.9265333447976207</v>
      </c>
      <c r="AG2479">
        <v>39.623235999999999</v>
      </c>
      <c r="AH2479">
        <v>240.89277496245799</v>
      </c>
      <c r="AI2479">
        <v>80.665639027763703</v>
      </c>
      <c r="AJ2479">
        <v>87.877816058978595</v>
      </c>
      <c r="AK2479">
        <v>244.29288335475701</v>
      </c>
      <c r="AL2479">
        <v>79.970942215447906</v>
      </c>
      <c r="AM2479">
        <v>89.386040106213798</v>
      </c>
      <c r="AN2479">
        <v>0.99999997405278995</v>
      </c>
    </row>
    <row r="2480" spans="1:40" x14ac:dyDescent="0.25">
      <c r="A2480" t="str">
        <f>"20190312164520896"</f>
        <v>20190312164520896</v>
      </c>
      <c r="B2480" t="str">
        <f>"1552380320884339"</f>
        <v>1552380320884339</v>
      </c>
      <c r="C2480" t="s">
        <v>40</v>
      </c>
      <c r="D2480">
        <v>5.3011879999999998</v>
      </c>
      <c r="E2480">
        <v>0.50803580000000004</v>
      </c>
      <c r="F2480" t="s">
        <v>60</v>
      </c>
      <c r="G2480">
        <v>-168.42429999999999</v>
      </c>
      <c r="H2480">
        <v>40.676789999999997</v>
      </c>
      <c r="I2480">
        <v>205.4956</v>
      </c>
      <c r="J2480">
        <v>-415.1687</v>
      </c>
      <c r="K2480">
        <v>1.1076330000000001</v>
      </c>
      <c r="L2480">
        <v>213.43049999999999</v>
      </c>
      <c r="M2480">
        <v>0.99999119999999997</v>
      </c>
      <c r="N2480">
        <v>0</v>
      </c>
      <c r="O2480">
        <v>9.8177050000000004E-4</v>
      </c>
      <c r="P2480">
        <v>0.98555680000000001</v>
      </c>
      <c r="Q2480">
        <v>0.169123</v>
      </c>
      <c r="R2480">
        <v>-8.7059759999999903E-3</v>
      </c>
      <c r="S2480">
        <v>2.9617309999999999</v>
      </c>
      <c r="T2480">
        <v>0.47429490000000002</v>
      </c>
      <c r="U2480">
        <v>-9.5108029999999996E-2</v>
      </c>
      <c r="V2480">
        <v>9.7265939999999999E-3</v>
      </c>
      <c r="W2480">
        <v>0.1731887</v>
      </c>
      <c r="X2480">
        <v>0.98484059999999995</v>
      </c>
      <c r="Y2480">
        <v>3.2648959999999998E-2</v>
      </c>
      <c r="Z2480">
        <v>2.753204E-3</v>
      </c>
      <c r="AA2480">
        <v>0.99946310000000005</v>
      </c>
      <c r="AB2480">
        <v>36</v>
      </c>
      <c r="AC2480">
        <v>246.74440000000001</v>
      </c>
      <c r="AD2480">
        <v>39.569156999999997</v>
      </c>
      <c r="AE2480">
        <v>-7.9348999999999901</v>
      </c>
      <c r="AF2480">
        <v>7.9723325196771802</v>
      </c>
      <c r="AG2480">
        <v>39.569156999999997</v>
      </c>
      <c r="AH2480">
        <v>240.55650891144299</v>
      </c>
      <c r="AI2480">
        <v>80.664094992311604</v>
      </c>
      <c r="AJ2480">
        <v>88.101843575523205</v>
      </c>
      <c r="AK2480">
        <v>243.91947493211001</v>
      </c>
      <c r="AL2480">
        <v>80.026730852527805</v>
      </c>
      <c r="AM2480">
        <v>89.434147346725794</v>
      </c>
      <c r="AN2480">
        <v>0.99999996992344398</v>
      </c>
    </row>
    <row r="2481" spans="1:40" x14ac:dyDescent="0.25">
      <c r="A2481" t="str">
        <f>"20190312164520918"</f>
        <v>20190312164520918</v>
      </c>
      <c r="B2481" t="str">
        <f>"1552380320914592"</f>
        <v>1552380320914592</v>
      </c>
      <c r="C2481" t="s">
        <v>40</v>
      </c>
      <c r="D2481">
        <v>5.3211380000000004</v>
      </c>
      <c r="E2481">
        <v>0.50716289999999997</v>
      </c>
      <c r="F2481" t="s">
        <v>60</v>
      </c>
      <c r="G2481">
        <v>-168.42410000000001</v>
      </c>
      <c r="H2481">
        <v>40.69238</v>
      </c>
      <c r="I2481">
        <v>206.01910000000001</v>
      </c>
      <c r="J2481">
        <v>-414.79919999999998</v>
      </c>
      <c r="K2481">
        <v>1.107639</v>
      </c>
      <c r="L2481">
        <v>213.4308</v>
      </c>
      <c r="M2481">
        <v>0.99999110000000002</v>
      </c>
      <c r="N2481">
        <v>0</v>
      </c>
      <c r="O2481">
        <v>9.0082050000000005E-4</v>
      </c>
      <c r="P2481">
        <v>0.98569410000000002</v>
      </c>
      <c r="Q2481">
        <v>0.16832520000000001</v>
      </c>
      <c r="R2481">
        <v>-8.6024980000000001E-3</v>
      </c>
      <c r="S2481">
        <v>2.9616389999999999</v>
      </c>
      <c r="T2481">
        <v>0.47513040000000001</v>
      </c>
      <c r="U2481">
        <v>-8.8958739999999994E-2</v>
      </c>
      <c r="V2481">
        <v>9.5360299999999992E-3</v>
      </c>
      <c r="W2481">
        <v>0.17238319999999999</v>
      </c>
      <c r="X2481">
        <v>0.98498379999999996</v>
      </c>
      <c r="Y2481">
        <v>3.0522420000000001E-2</v>
      </c>
      <c r="Z2481">
        <v>2.575805E-3</v>
      </c>
      <c r="AA2481">
        <v>0.99953080000000005</v>
      </c>
      <c r="AB2481">
        <v>36</v>
      </c>
      <c r="AC2481">
        <v>246.3751</v>
      </c>
      <c r="AD2481">
        <v>39.584740999999902</v>
      </c>
      <c r="AE2481">
        <v>-7.41169999999999</v>
      </c>
      <c r="AF2481">
        <v>7.4417090782782802</v>
      </c>
      <c r="AG2481">
        <v>39.584740999999902</v>
      </c>
      <c r="AH2481">
        <v>240.17398257447701</v>
      </c>
      <c r="AI2481">
        <v>80.645235779747196</v>
      </c>
      <c r="AJ2481">
        <v>88.225277574133997</v>
      </c>
      <c r="AK2481">
        <v>243.52797100072101</v>
      </c>
      <c r="AL2481">
        <v>80.073587606085297</v>
      </c>
      <c r="AM2481">
        <v>89.445313514010607</v>
      </c>
      <c r="AN2481">
        <v>0.99999999488642</v>
      </c>
    </row>
    <row r="2482" spans="1:40" x14ac:dyDescent="0.25">
      <c r="A2482" t="str">
        <f>"20190312164520941"</f>
        <v>20190312164520941</v>
      </c>
      <c r="B2482" t="str">
        <f>"1552380320934112"</f>
        <v>1552380320934112</v>
      </c>
      <c r="C2482" t="s">
        <v>40</v>
      </c>
      <c r="D2482">
        <v>5.3839489999999897</v>
      </c>
      <c r="E2482">
        <v>0.50664659999999995</v>
      </c>
      <c r="F2482" t="s">
        <v>60</v>
      </c>
      <c r="G2482">
        <v>-168.4239</v>
      </c>
      <c r="H2482">
        <v>40.490349999999999</v>
      </c>
      <c r="I2482">
        <v>206.643</v>
      </c>
      <c r="J2482">
        <v>-414.42110000000002</v>
      </c>
      <c r="K2482">
        <v>1.107645</v>
      </c>
      <c r="L2482">
        <v>213.43109999999999</v>
      </c>
      <c r="M2482">
        <v>0.99999119999999997</v>
      </c>
      <c r="N2482">
        <v>0</v>
      </c>
      <c r="O2482">
        <v>8.4807579999999995E-4</v>
      </c>
      <c r="P2482">
        <v>0.98580869999999998</v>
      </c>
      <c r="Q2482">
        <v>0.1676482</v>
      </c>
      <c r="R2482">
        <v>-8.6753460000000004E-3</v>
      </c>
      <c r="S2482">
        <v>2.9619450000000001</v>
      </c>
      <c r="T2482">
        <v>0.47346260000000001</v>
      </c>
      <c r="U2482">
        <v>-8.1603999999999996E-2</v>
      </c>
      <c r="V2482">
        <v>9.5480919999999993E-3</v>
      </c>
      <c r="W2482">
        <v>0.17170070000000001</v>
      </c>
      <c r="X2482">
        <v>0.9851029</v>
      </c>
      <c r="Y2482">
        <v>2.8021879999999999E-2</v>
      </c>
      <c r="Z2482">
        <v>2.3597729999999999E-3</v>
      </c>
      <c r="AA2482">
        <v>0.99960450000000001</v>
      </c>
      <c r="AB2482">
        <v>36</v>
      </c>
      <c r="AC2482">
        <v>245.99719999999999</v>
      </c>
      <c r="AD2482">
        <v>39.382705000000001</v>
      </c>
      <c r="AE2482">
        <v>-6.7880999999999796</v>
      </c>
      <c r="AF2482">
        <v>6.8220077043757001</v>
      </c>
      <c r="AG2482">
        <v>39.382705000000001</v>
      </c>
      <c r="AH2482">
        <v>239.84867983811799</v>
      </c>
      <c r="AI2482">
        <v>80.679050063926596</v>
      </c>
      <c r="AJ2482">
        <v>88.370777378675399</v>
      </c>
      <c r="AK2482">
        <v>243.15617710089899</v>
      </c>
      <c r="AL2482">
        <v>80.113284013846197</v>
      </c>
      <c r="AM2482">
        <v>89.444679085036697</v>
      </c>
      <c r="AN2482">
        <v>1.00000001001487</v>
      </c>
    </row>
    <row r="2483" spans="1:40" x14ac:dyDescent="0.25">
      <c r="A2483" t="str">
        <f>"20190312164520965"</f>
        <v>20190312164520965</v>
      </c>
      <c r="B2483" t="str">
        <f>"1552380320954608"</f>
        <v>1552380320954608</v>
      </c>
      <c r="C2483" t="s">
        <v>40</v>
      </c>
      <c r="D2483">
        <v>5.4371809999999998</v>
      </c>
      <c r="E2483">
        <v>0.50618989999999997</v>
      </c>
      <c r="F2483" t="s">
        <v>60</v>
      </c>
      <c r="G2483">
        <v>-168.42359999999999</v>
      </c>
      <c r="H2483">
        <v>40.149819999999998</v>
      </c>
      <c r="I2483">
        <v>206.9744</v>
      </c>
      <c r="J2483">
        <v>-414.03930000000003</v>
      </c>
      <c r="K2483">
        <v>1.1076649999999999</v>
      </c>
      <c r="L2483">
        <v>213.4314</v>
      </c>
      <c r="M2483">
        <v>0.99999119999999997</v>
      </c>
      <c r="N2483">
        <v>0</v>
      </c>
      <c r="O2483">
        <v>8.328392E-4</v>
      </c>
      <c r="P2483">
        <v>0.98604510000000001</v>
      </c>
      <c r="Q2483">
        <v>0.16623760000000001</v>
      </c>
      <c r="R2483">
        <v>-8.9435169999999998E-3</v>
      </c>
      <c r="S2483">
        <v>2.962555</v>
      </c>
      <c r="T2483">
        <v>0.4701864</v>
      </c>
      <c r="U2483">
        <v>-7.7758789999999994E-2</v>
      </c>
      <c r="V2483">
        <v>9.7906959999999998E-3</v>
      </c>
      <c r="W2483">
        <v>0.17028799999999999</v>
      </c>
      <c r="X2483">
        <v>0.98534569999999999</v>
      </c>
      <c r="Y2483">
        <v>2.6726030000000001E-2</v>
      </c>
      <c r="Z2483">
        <v>2.2386319999999999E-3</v>
      </c>
      <c r="AA2483">
        <v>0.99964030000000004</v>
      </c>
      <c r="AB2483">
        <v>36</v>
      </c>
      <c r="AC2483">
        <v>245.6157</v>
      </c>
      <c r="AD2483">
        <v>39.042155000000001</v>
      </c>
      <c r="AE2483">
        <v>-6.4569999999999901</v>
      </c>
      <c r="AF2483">
        <v>6.4974983480046298</v>
      </c>
      <c r="AG2483">
        <v>39.042155000000001</v>
      </c>
      <c r="AH2483">
        <v>239.56139696530701</v>
      </c>
      <c r="AI2483">
        <v>80.747029017706396</v>
      </c>
      <c r="AJ2483">
        <v>88.4463774577777</v>
      </c>
      <c r="AK2483">
        <v>242.80891719168</v>
      </c>
      <c r="AL2483">
        <v>80.195435643813596</v>
      </c>
      <c r="AM2483">
        <v>89.430710359845193</v>
      </c>
      <c r="AN2483">
        <v>1.0000000045903199</v>
      </c>
    </row>
    <row r="2484" spans="1:40" x14ac:dyDescent="0.25">
      <c r="A2484" t="str">
        <f>"20190312164520988"</f>
        <v>20190312164520988</v>
      </c>
      <c r="B2484" t="str">
        <f>"1552380320983888"</f>
        <v>1552380320983888</v>
      </c>
      <c r="C2484" t="s">
        <v>40</v>
      </c>
      <c r="D2484">
        <v>5.3213220000000003</v>
      </c>
      <c r="E2484">
        <v>0.50563279999999999</v>
      </c>
      <c r="F2484" t="s">
        <v>60</v>
      </c>
      <c r="G2484">
        <v>-168.42339999999999</v>
      </c>
      <c r="H2484">
        <v>39.601140000000001</v>
      </c>
      <c r="I2484">
        <v>207.2218</v>
      </c>
      <c r="J2484">
        <v>-413.65789999999998</v>
      </c>
      <c r="K2484">
        <v>1.107683</v>
      </c>
      <c r="L2484">
        <v>213.43180000000001</v>
      </c>
      <c r="M2484">
        <v>0.99999139999999997</v>
      </c>
      <c r="N2484">
        <v>0</v>
      </c>
      <c r="O2484">
        <v>8.6520110000000005E-4</v>
      </c>
      <c r="P2484">
        <v>0.98633839999999995</v>
      </c>
      <c r="Q2484">
        <v>0.1644852</v>
      </c>
      <c r="R2484">
        <v>-9.0488800000000005E-3</v>
      </c>
      <c r="S2484">
        <v>2.9634399999999999</v>
      </c>
      <c r="T2484">
        <v>0.46443719999999999</v>
      </c>
      <c r="U2484">
        <v>-7.4920650000000005E-2</v>
      </c>
      <c r="V2484">
        <v>9.9146330000000008E-3</v>
      </c>
      <c r="W2484">
        <v>0.1685323</v>
      </c>
      <c r="X2484">
        <v>0.98564620000000003</v>
      </c>
      <c r="Y2484">
        <v>2.5813059999999999E-2</v>
      </c>
      <c r="Z2484">
        <v>2.1449099999999999E-3</v>
      </c>
      <c r="AA2484">
        <v>0.99966449999999996</v>
      </c>
      <c r="AB2484">
        <v>36</v>
      </c>
      <c r="AC2484">
        <v>245.2345</v>
      </c>
      <c r="AD2484">
        <v>38.493456999999999</v>
      </c>
      <c r="AE2484">
        <v>-6.21</v>
      </c>
      <c r="AF2484">
        <v>6.2678464758606101</v>
      </c>
      <c r="AG2484">
        <v>38.493456999999999</v>
      </c>
      <c r="AH2484">
        <v>239.33598294967899</v>
      </c>
      <c r="AI2484">
        <v>80.866194199631707</v>
      </c>
      <c r="AJ2484">
        <v>88.499853304295499</v>
      </c>
      <c r="AK2484">
        <v>242.492772811366</v>
      </c>
      <c r="AL2484">
        <v>80.297504515364494</v>
      </c>
      <c r="AM2484">
        <v>89.423680152409403</v>
      </c>
      <c r="AN2484">
        <v>0.99999993383262498</v>
      </c>
    </row>
    <row r="2485" spans="1:40" x14ac:dyDescent="0.25">
      <c r="A2485" t="str">
        <f>"20190312164521009"</f>
        <v>20190312164521009</v>
      </c>
      <c r="B2485" t="str">
        <f>"1552380321004385"</f>
        <v>1552380321004385</v>
      </c>
      <c r="C2485" t="s">
        <v>40</v>
      </c>
      <c r="D2485">
        <v>5.3200880000000002</v>
      </c>
      <c r="E2485">
        <v>0.50527759999999999</v>
      </c>
      <c r="F2485" t="s">
        <v>60</v>
      </c>
      <c r="G2485">
        <v>-168.423</v>
      </c>
      <c r="H2485">
        <v>38.949829999999999</v>
      </c>
      <c r="I2485">
        <v>207.57640000000001</v>
      </c>
      <c r="J2485">
        <v>-413.33019999999999</v>
      </c>
      <c r="K2485">
        <v>1.1077060000000001</v>
      </c>
      <c r="L2485">
        <v>213.43209999999999</v>
      </c>
      <c r="M2485">
        <v>0.99999139999999997</v>
      </c>
      <c r="N2485">
        <v>0</v>
      </c>
      <c r="O2485">
        <v>9.3433190000000003E-4</v>
      </c>
      <c r="P2485">
        <v>0.98653040000000003</v>
      </c>
      <c r="Q2485">
        <v>0.1633291</v>
      </c>
      <c r="R2485">
        <v>-9.0332580000000006E-3</v>
      </c>
      <c r="S2485">
        <v>2.9646300000000001</v>
      </c>
      <c r="T2485">
        <v>0.45747199999999999</v>
      </c>
      <c r="U2485">
        <v>-7.0785520000000005E-2</v>
      </c>
      <c r="V2485">
        <v>9.9547549999999992E-3</v>
      </c>
      <c r="W2485">
        <v>0.1673722</v>
      </c>
      <c r="X2485">
        <v>0.98584349999999998</v>
      </c>
      <c r="Y2485">
        <v>2.450304E-2</v>
      </c>
      <c r="Z2485">
        <v>2.0224570000000001E-3</v>
      </c>
      <c r="AA2485">
        <v>0.99969770000000002</v>
      </c>
      <c r="AB2485">
        <v>37</v>
      </c>
      <c r="AC2485">
        <v>244.90719999999999</v>
      </c>
      <c r="AD2485">
        <v>37.842123999999998</v>
      </c>
      <c r="AE2485">
        <v>-5.8556999999999801</v>
      </c>
      <c r="AF2485">
        <v>5.9427210452498596</v>
      </c>
      <c r="AG2485">
        <v>37.842123999999998</v>
      </c>
      <c r="AH2485">
        <v>239.19406697578</v>
      </c>
      <c r="AI2485">
        <v>81.012658211709706</v>
      </c>
      <c r="AJ2485">
        <v>88.576792446661898</v>
      </c>
      <c r="AK2485">
        <v>242.24191206037599</v>
      </c>
      <c r="AL2485">
        <v>80.364931578596199</v>
      </c>
      <c r="AM2485">
        <v>89.421463890296707</v>
      </c>
      <c r="AN2485">
        <v>0.99999997848609901</v>
      </c>
    </row>
    <row r="2486" spans="1:40" x14ac:dyDescent="0.25">
      <c r="A2486" t="str">
        <f>"20190312164521030"</f>
        <v>20190312164521030</v>
      </c>
      <c r="B2486" t="str">
        <f>"1552380321023907"</f>
        <v>1552380321023907</v>
      </c>
      <c r="C2486" t="s">
        <v>40</v>
      </c>
      <c r="D2486">
        <v>5.3771050000000002</v>
      </c>
      <c r="E2486">
        <v>0.50494439999999996</v>
      </c>
      <c r="F2486" t="s">
        <v>60</v>
      </c>
      <c r="G2486">
        <v>-168.4228</v>
      </c>
      <c r="H2486">
        <v>38.520670000000003</v>
      </c>
      <c r="I2486">
        <v>207.81909999999999</v>
      </c>
      <c r="J2486">
        <v>-412.9631</v>
      </c>
      <c r="K2486">
        <v>1.107731</v>
      </c>
      <c r="L2486">
        <v>213.43260000000001</v>
      </c>
      <c r="M2486">
        <v>0.99999110000000002</v>
      </c>
      <c r="N2486">
        <v>0</v>
      </c>
      <c r="O2486">
        <v>1.047042E-3</v>
      </c>
      <c r="P2486">
        <v>0.98656330000000003</v>
      </c>
      <c r="Q2486">
        <v>0.16309960000000001</v>
      </c>
      <c r="R2486">
        <v>-9.5863949999999993E-3</v>
      </c>
      <c r="S2486">
        <v>2.9653320000000001</v>
      </c>
      <c r="T2486">
        <v>0.4529955</v>
      </c>
      <c r="U2486">
        <v>-6.7962649999999999E-2</v>
      </c>
      <c r="V2486">
        <v>1.0605450000000001E-2</v>
      </c>
      <c r="W2486">
        <v>0.1671376</v>
      </c>
      <c r="X2486">
        <v>0.98587659999999999</v>
      </c>
      <c r="Y2486">
        <v>2.3673179999999999E-2</v>
      </c>
      <c r="Z2486">
        <v>1.9565530000000002E-3</v>
      </c>
      <c r="AA2486">
        <v>0.99971779999999999</v>
      </c>
      <c r="AB2486">
        <v>37</v>
      </c>
      <c r="AC2486">
        <v>244.5403</v>
      </c>
      <c r="AD2486">
        <v>37.412939000000001</v>
      </c>
      <c r="AE2486">
        <v>-5.6135000000000099</v>
      </c>
      <c r="AF2486">
        <v>5.7353669189669896</v>
      </c>
      <c r="AG2486">
        <v>37.412939000000001</v>
      </c>
      <c r="AH2486">
        <v>238.94430309334601</v>
      </c>
      <c r="AI2486">
        <v>81.103630874063001</v>
      </c>
      <c r="AJ2486">
        <v>88.624996591590602</v>
      </c>
      <c r="AK2486">
        <v>241.92354664041599</v>
      </c>
      <c r="AL2486">
        <v>80.378566024404805</v>
      </c>
      <c r="AM2486">
        <v>89.383671255385906</v>
      </c>
      <c r="AN2486">
        <v>1.0000000616655</v>
      </c>
    </row>
    <row r="2487" spans="1:40" x14ac:dyDescent="0.25">
      <c r="A2487" t="str">
        <f>"20190312164521054"</f>
        <v>20190312164521054</v>
      </c>
      <c r="B2487" t="str">
        <f>"1552380321044403"</f>
        <v>1552380321044403</v>
      </c>
      <c r="C2487" t="s">
        <v>40</v>
      </c>
      <c r="D2487">
        <v>5.3760560000000002</v>
      </c>
      <c r="E2487">
        <v>0.50461829999999996</v>
      </c>
      <c r="F2487" t="s">
        <v>60</v>
      </c>
      <c r="G2487">
        <v>-168.42269999999999</v>
      </c>
      <c r="H2487">
        <v>38.32544</v>
      </c>
      <c r="I2487">
        <v>207.9102</v>
      </c>
      <c r="J2487">
        <v>-412.57639999999998</v>
      </c>
      <c r="K2487">
        <v>1.1077520000000001</v>
      </c>
      <c r="L2487">
        <v>213.4331</v>
      </c>
      <c r="M2487">
        <v>0.99999110000000002</v>
      </c>
      <c r="N2487">
        <v>0</v>
      </c>
      <c r="O2487">
        <v>1.1951430000000001E-3</v>
      </c>
      <c r="P2487">
        <v>0.98662720000000004</v>
      </c>
      <c r="Q2487">
        <v>0.1627151</v>
      </c>
      <c r="R2487">
        <v>-9.5411369999999999E-3</v>
      </c>
      <c r="S2487">
        <v>2.9656069999999999</v>
      </c>
      <c r="T2487">
        <v>0.45134940000000001</v>
      </c>
      <c r="U2487">
        <v>-6.6970829999999995E-2</v>
      </c>
      <c r="V2487">
        <v>1.069414E-2</v>
      </c>
      <c r="W2487">
        <v>0.166745899999999</v>
      </c>
      <c r="X2487">
        <v>0.98594190000000004</v>
      </c>
      <c r="Y2487">
        <v>2.3487500000000001E-2</v>
      </c>
      <c r="Z2487">
        <v>1.9577129999999998E-3</v>
      </c>
      <c r="AA2487">
        <v>0.99972220000000001</v>
      </c>
      <c r="AB2487">
        <v>37</v>
      </c>
      <c r="AC2487">
        <v>244.15369999999999</v>
      </c>
      <c r="AD2487">
        <v>37.217688000000003</v>
      </c>
      <c r="AE2487">
        <v>-5.5228999999999902</v>
      </c>
      <c r="AF2487">
        <v>5.6827176532038299</v>
      </c>
      <c r="AG2487">
        <v>37.217688000000003</v>
      </c>
      <c r="AH2487">
        <v>238.60538788549201</v>
      </c>
      <c r="AI2487">
        <v>81.136911442018004</v>
      </c>
      <c r="AJ2487">
        <v>88.635679604593093</v>
      </c>
      <c r="AK2487">
        <v>241.557406651044</v>
      </c>
      <c r="AL2487">
        <v>80.4013275610601</v>
      </c>
      <c r="AM2487">
        <v>89.378558655248</v>
      </c>
      <c r="AN2487">
        <v>0.99999999498637904</v>
      </c>
    </row>
    <row r="2488" spans="1:40" x14ac:dyDescent="0.25">
      <c r="A2488" t="str">
        <f>"20190312164521075"</f>
        <v>20190312164521075</v>
      </c>
      <c r="B2488" t="str">
        <f>"1552380321063920"</f>
        <v>1552380321063920</v>
      </c>
      <c r="C2488" t="s">
        <v>40</v>
      </c>
      <c r="D2488">
        <v>5.3783570000000003</v>
      </c>
      <c r="E2488">
        <v>0.50434449999999997</v>
      </c>
      <c r="F2488" t="s">
        <v>60</v>
      </c>
      <c r="G2488">
        <v>-168.42259999999999</v>
      </c>
      <c r="H2488">
        <v>38.107860000000002</v>
      </c>
      <c r="I2488">
        <v>208.1525</v>
      </c>
      <c r="J2488">
        <v>-412.21109999999999</v>
      </c>
      <c r="K2488">
        <v>1.107769</v>
      </c>
      <c r="L2488">
        <v>213.43369999999999</v>
      </c>
      <c r="M2488">
        <v>0.99999090000000002</v>
      </c>
      <c r="N2488">
        <v>0</v>
      </c>
      <c r="O2488">
        <v>1.354292E-3</v>
      </c>
      <c r="P2488">
        <v>0.9866028</v>
      </c>
      <c r="Q2488">
        <v>0.16283499999999901</v>
      </c>
      <c r="R2488">
        <v>-1.0002820000000001E-2</v>
      </c>
      <c r="S2488">
        <v>2.965973</v>
      </c>
      <c r="T2488">
        <v>0.4494765</v>
      </c>
      <c r="U2488">
        <v>-6.4147949999999995E-2</v>
      </c>
      <c r="V2488">
        <v>1.130367E-2</v>
      </c>
      <c r="W2488">
        <v>0.16685729999999999</v>
      </c>
      <c r="X2488">
        <v>0.98591629999999997</v>
      </c>
      <c r="Y2488">
        <v>2.270233E-2</v>
      </c>
      <c r="Z2488">
        <v>1.9142930000000001E-3</v>
      </c>
      <c r="AA2488">
        <v>0.99974039999999997</v>
      </c>
      <c r="AB2488">
        <v>37</v>
      </c>
      <c r="AC2488">
        <v>243.7885</v>
      </c>
      <c r="AD2488">
        <v>37.000090999999998</v>
      </c>
      <c r="AE2488">
        <v>-5.2811999999999797</v>
      </c>
      <c r="AF2488">
        <v>5.4850719428278003</v>
      </c>
      <c r="AG2488">
        <v>37.000090999999998</v>
      </c>
      <c r="AH2488">
        <v>238.29469503770201</v>
      </c>
      <c r="AI2488">
        <v>81.176443798809501</v>
      </c>
      <c r="AJ2488">
        <v>88.681397473685706</v>
      </c>
      <c r="AK2488">
        <v>241.21246740443999</v>
      </c>
      <c r="AL2488">
        <v>80.394854568160298</v>
      </c>
      <c r="AM2488">
        <v>89.343124554910801</v>
      </c>
      <c r="AN2488">
        <v>1.0000000410622201</v>
      </c>
    </row>
    <row r="2489" spans="1:40" x14ac:dyDescent="0.25">
      <c r="A2489" t="str">
        <f>"20190312164521098"</f>
        <v>20190312164521098</v>
      </c>
      <c r="B2489" t="str">
        <f>"1552380321094176"</f>
        <v>1552380321094176</v>
      </c>
      <c r="C2489" t="s">
        <v>40</v>
      </c>
      <c r="D2489">
        <v>5.3654289999999998</v>
      </c>
      <c r="E2489">
        <v>0.50391769999999902</v>
      </c>
      <c r="F2489" t="s">
        <v>60</v>
      </c>
      <c r="G2489">
        <v>-169.4051</v>
      </c>
      <c r="H2489">
        <v>37.92221</v>
      </c>
      <c r="I2489">
        <v>208.22200000000001</v>
      </c>
      <c r="J2489">
        <v>-411.8492</v>
      </c>
      <c r="K2489">
        <v>1.1077699999999999</v>
      </c>
      <c r="L2489">
        <v>213.43430000000001</v>
      </c>
      <c r="M2489">
        <v>0.99999059999999995</v>
      </c>
      <c r="N2489">
        <v>0</v>
      </c>
      <c r="O2489">
        <v>1.523366E-3</v>
      </c>
      <c r="P2489">
        <v>0.98671819999999999</v>
      </c>
      <c r="Q2489">
        <v>0.16212389999999999</v>
      </c>
      <c r="R2489">
        <v>-1.0154710000000001E-2</v>
      </c>
      <c r="S2489">
        <v>2.9658509999999998</v>
      </c>
      <c r="T2489">
        <v>0.44968520000000001</v>
      </c>
      <c r="U2489">
        <v>-6.3659670000000002E-2</v>
      </c>
      <c r="V2489">
        <v>1.1616049999999999E-2</v>
      </c>
      <c r="W2489">
        <v>0.16613800000000001</v>
      </c>
      <c r="X2489">
        <v>0.98603410000000002</v>
      </c>
      <c r="Y2489">
        <v>2.2705489999999998E-2</v>
      </c>
      <c r="Z2489">
        <v>1.940979E-3</v>
      </c>
      <c r="AA2489">
        <v>0.99974030000000003</v>
      </c>
      <c r="AB2489">
        <v>37</v>
      </c>
      <c r="AC2489">
        <v>242.44409999999999</v>
      </c>
      <c r="AD2489">
        <v>36.814439999999998</v>
      </c>
      <c r="AE2489">
        <v>-5.2122999999999902</v>
      </c>
      <c r="AF2489">
        <v>5.4558868293978904</v>
      </c>
      <c r="AG2489">
        <v>36.814439999999998</v>
      </c>
      <c r="AH2489">
        <v>236.97435471041899</v>
      </c>
      <c r="AI2489">
        <v>81.171875668280606</v>
      </c>
      <c r="AJ2489">
        <v>88.681105918561997</v>
      </c>
      <c r="AK2489">
        <v>239.87895798512301</v>
      </c>
      <c r="AL2489">
        <v>80.436650491221599</v>
      </c>
      <c r="AM2489">
        <v>89.325053917136501</v>
      </c>
      <c r="AN2489">
        <v>1.0000000070121999</v>
      </c>
    </row>
    <row r="2490" spans="1:40" x14ac:dyDescent="0.25">
      <c r="A2490" t="str">
        <f>"20190312164521120"</f>
        <v>20190312164521120</v>
      </c>
      <c r="B2490" t="str">
        <f>"1552380321113697"</f>
        <v>1552380321113697</v>
      </c>
      <c r="C2490" t="s">
        <v>40</v>
      </c>
      <c r="D2490">
        <v>5.4843529999999996</v>
      </c>
      <c r="E2490">
        <v>0.50373570000000001</v>
      </c>
      <c r="F2490" t="s">
        <v>60</v>
      </c>
      <c r="G2490">
        <v>-169.4049</v>
      </c>
      <c r="H2490">
        <v>37.619979999999998</v>
      </c>
      <c r="I2490">
        <v>208.4957</v>
      </c>
      <c r="J2490">
        <v>-411.46749999999997</v>
      </c>
      <c r="K2490">
        <v>1.107769</v>
      </c>
      <c r="L2490">
        <v>213.435</v>
      </c>
      <c r="M2490">
        <v>0.9999903</v>
      </c>
      <c r="N2490">
        <v>0</v>
      </c>
      <c r="O2490">
        <v>1.7028480000000001E-3</v>
      </c>
      <c r="P2490">
        <v>0.98690149999999999</v>
      </c>
      <c r="Q2490">
        <v>0.16095079999999901</v>
      </c>
      <c r="R2490">
        <v>-1.097561E-2</v>
      </c>
      <c r="S2490">
        <v>2.96637</v>
      </c>
      <c r="T2490">
        <v>0.44673689999999999</v>
      </c>
      <c r="U2490">
        <v>-6.0424800000000001E-2</v>
      </c>
      <c r="V2490">
        <v>1.261023E-2</v>
      </c>
      <c r="W2490">
        <v>0.1649543</v>
      </c>
      <c r="X2490">
        <v>0.9862206</v>
      </c>
      <c r="Y2490">
        <v>2.1803240000000002E-2</v>
      </c>
      <c r="Z2490">
        <v>1.8874079999999999E-3</v>
      </c>
      <c r="AA2490">
        <v>0.99976050000000005</v>
      </c>
      <c r="AB2490">
        <v>37</v>
      </c>
      <c r="AC2490">
        <v>242.0626</v>
      </c>
      <c r="AD2490">
        <v>36.512211000000001</v>
      </c>
      <c r="AE2490">
        <v>-4.9393000000000002</v>
      </c>
      <c r="AF2490">
        <v>5.2324915966671304</v>
      </c>
      <c r="AG2490">
        <v>36.512211000000001</v>
      </c>
      <c r="AH2490">
        <v>236.671317283636</v>
      </c>
      <c r="AI2490">
        <v>81.232006277663501</v>
      </c>
      <c r="AJ2490">
        <v>88.733471990479799</v>
      </c>
      <c r="AK2490">
        <v>239.52835520077599</v>
      </c>
      <c r="AL2490">
        <v>80.505420378227598</v>
      </c>
      <c r="AM2490">
        <v>89.267432067026704</v>
      </c>
      <c r="AN2490">
        <v>1.0000000054267499</v>
      </c>
    </row>
    <row r="2491" spans="1:40" x14ac:dyDescent="0.25">
      <c r="A2491" t="str">
        <f>"20190312164521155"</f>
        <v>20190312164521155</v>
      </c>
      <c r="B2491" t="str">
        <f>"1552380321143952"</f>
        <v>1552380321143952</v>
      </c>
      <c r="C2491" t="s">
        <v>40</v>
      </c>
      <c r="D2491">
        <v>5.5421950000000004</v>
      </c>
      <c r="E2491">
        <v>0.50341400000000003</v>
      </c>
      <c r="F2491" t="s">
        <v>60</v>
      </c>
      <c r="G2491">
        <v>-169.40479999999999</v>
      </c>
      <c r="H2491">
        <v>37.235379999999999</v>
      </c>
      <c r="I2491">
        <v>208.4068</v>
      </c>
      <c r="J2491">
        <v>-410.87079999999997</v>
      </c>
      <c r="K2491">
        <v>1.1077549999999901</v>
      </c>
      <c r="L2491">
        <v>213.43620000000001</v>
      </c>
      <c r="M2491">
        <v>0.99999000000000005</v>
      </c>
      <c r="N2491">
        <v>0</v>
      </c>
      <c r="O2491">
        <v>1.9551909999999998E-3</v>
      </c>
      <c r="P2491">
        <v>0.98684550000000004</v>
      </c>
      <c r="Q2491">
        <v>0.16128519999999999</v>
      </c>
      <c r="R2491">
        <v>-1.111796E-2</v>
      </c>
      <c r="S2491">
        <v>2.9669490000000001</v>
      </c>
      <c r="T2491">
        <v>0.44281480000000001</v>
      </c>
      <c r="U2491">
        <v>-6.1630249999999998E-2</v>
      </c>
      <c r="V2491">
        <v>1.3001230000000001E-2</v>
      </c>
      <c r="W2491">
        <v>0.1652699</v>
      </c>
      <c r="X2491">
        <v>0.98616269999999995</v>
      </c>
      <c r="Y2491">
        <v>2.245229E-2</v>
      </c>
      <c r="Z2491">
        <v>1.956265E-3</v>
      </c>
      <c r="AA2491">
        <v>0.99974600000000002</v>
      </c>
      <c r="AB2491">
        <v>38</v>
      </c>
      <c r="AC2491">
        <v>241.46600000000001</v>
      </c>
      <c r="AD2491">
        <v>36.127625000000002</v>
      </c>
      <c r="AE2491">
        <v>-5.0294000000000096</v>
      </c>
      <c r="AF2491">
        <v>5.3810999644160002</v>
      </c>
      <c r="AG2491">
        <v>36.127625000000002</v>
      </c>
      <c r="AH2491">
        <v>236.17118681856999</v>
      </c>
      <c r="AI2491">
        <v>81.304982674454905</v>
      </c>
      <c r="AJ2491">
        <v>88.694756186678902</v>
      </c>
      <c r="AK2491">
        <v>238.979059769385</v>
      </c>
      <c r="AL2491">
        <v>80.487086342831603</v>
      </c>
      <c r="AM2491">
        <v>89.244675899471702</v>
      </c>
      <c r="AN2491">
        <v>1.0000000213494</v>
      </c>
    </row>
    <row r="2492" spans="1:40" x14ac:dyDescent="0.25">
      <c r="A2492" t="str">
        <f>"20190312164521178"</f>
        <v>20190312164521178</v>
      </c>
      <c r="B2492" t="str">
        <f>"1552380321174208"</f>
        <v>1552380321174208</v>
      </c>
      <c r="C2492" t="s">
        <v>40</v>
      </c>
      <c r="D2492">
        <v>5.4758909999999998</v>
      </c>
      <c r="E2492">
        <v>0.50313129999999995</v>
      </c>
      <c r="F2492" t="s">
        <v>60</v>
      </c>
      <c r="G2492">
        <v>-169.40479999999999</v>
      </c>
      <c r="H2492">
        <v>37.172179999999997</v>
      </c>
      <c r="I2492">
        <v>208.5966</v>
      </c>
      <c r="J2492">
        <v>-410.4864</v>
      </c>
      <c r="K2492">
        <v>1.107745</v>
      </c>
      <c r="L2492">
        <v>213.43709999999999</v>
      </c>
      <c r="M2492">
        <v>0.99998969999999998</v>
      </c>
      <c r="N2492">
        <v>0</v>
      </c>
      <c r="O2492">
        <v>2.0840350000000001E-3</v>
      </c>
      <c r="P2492">
        <v>0.98671500000000001</v>
      </c>
      <c r="Q2492">
        <v>0.16212470000000001</v>
      </c>
      <c r="R2492">
        <v>-1.04429E-2</v>
      </c>
      <c r="S2492">
        <v>2.9668580000000002</v>
      </c>
      <c r="T2492">
        <v>0.44311859999999997</v>
      </c>
      <c r="U2492">
        <v>-5.9463500000000002E-2</v>
      </c>
      <c r="V2492">
        <v>1.245723E-2</v>
      </c>
      <c r="W2492">
        <v>0.16609470000000001</v>
      </c>
      <c r="X2492">
        <v>0.98603110000000005</v>
      </c>
      <c r="Y2492">
        <v>2.18567E-2</v>
      </c>
      <c r="Z2492">
        <v>1.932575E-3</v>
      </c>
      <c r="AA2492">
        <v>0.99975930000000002</v>
      </c>
      <c r="AB2492">
        <v>38</v>
      </c>
      <c r="AC2492">
        <v>241.08160000000001</v>
      </c>
      <c r="AD2492">
        <v>36.064435000000003</v>
      </c>
      <c r="AE2492">
        <v>-4.8404999999999898</v>
      </c>
      <c r="AF2492">
        <v>5.2260130840248404</v>
      </c>
      <c r="AG2492">
        <v>36.064435000000003</v>
      </c>
      <c r="AH2492">
        <v>235.796356418778</v>
      </c>
      <c r="AI2492">
        <v>81.306252126936599</v>
      </c>
      <c r="AJ2492">
        <v>88.730347300495495</v>
      </c>
      <c r="AK2492">
        <v>238.59563362516701</v>
      </c>
      <c r="AL2492">
        <v>80.439166102964805</v>
      </c>
      <c r="AM2492">
        <v>89.276180301805297</v>
      </c>
      <c r="AN2492">
        <v>0.99999998105728605</v>
      </c>
    </row>
    <row r="2493" spans="1:40" x14ac:dyDescent="0.25">
      <c r="A2493" t="str">
        <f>"20190312164521197"</f>
        <v>20190312164521197</v>
      </c>
      <c r="B2493" t="str">
        <f>"1552380321193728"</f>
        <v>1552380321193728</v>
      </c>
      <c r="C2493" t="s">
        <v>40</v>
      </c>
      <c r="D2493">
        <v>5.417891</v>
      </c>
      <c r="E2493">
        <v>0.50293679999999996</v>
      </c>
      <c r="F2493" t="s">
        <v>60</v>
      </c>
      <c r="G2493">
        <v>-169.40459999999999</v>
      </c>
      <c r="H2493">
        <v>37.204470000000001</v>
      </c>
      <c r="I2493">
        <v>208.96600000000001</v>
      </c>
      <c r="J2493">
        <v>-410.15210000000002</v>
      </c>
      <c r="K2493">
        <v>1.1077360000000001</v>
      </c>
      <c r="L2493">
        <v>213.43790000000001</v>
      </c>
      <c r="M2493">
        <v>0.99998969999999998</v>
      </c>
      <c r="N2493">
        <v>0</v>
      </c>
      <c r="O2493">
        <v>2.172214E-3</v>
      </c>
      <c r="P2493">
        <v>0.98659770000000002</v>
      </c>
      <c r="Q2493">
        <v>0.16284390000000001</v>
      </c>
      <c r="R2493">
        <v>-1.035698E-2</v>
      </c>
      <c r="S2493">
        <v>2.9668580000000002</v>
      </c>
      <c r="T2493">
        <v>0.44422260000000002</v>
      </c>
      <c r="U2493">
        <v>-5.502319E-2</v>
      </c>
      <c r="V2493">
        <v>1.246299E-2</v>
      </c>
      <c r="W2493">
        <v>0.1668009</v>
      </c>
      <c r="X2493">
        <v>0.9859118</v>
      </c>
      <c r="Y2493">
        <v>2.0462350000000001E-2</v>
      </c>
      <c r="Z2493">
        <v>1.846692E-3</v>
      </c>
      <c r="AA2493">
        <v>0.99978889999999998</v>
      </c>
      <c r="AB2493">
        <v>38</v>
      </c>
      <c r="AC2493">
        <v>240.7475</v>
      </c>
      <c r="AD2493">
        <v>36.096733999999998</v>
      </c>
      <c r="AE2493">
        <v>-4.47190000000003</v>
      </c>
      <c r="AF2493">
        <v>4.8850662508116702</v>
      </c>
      <c r="AG2493">
        <v>36.096733999999998</v>
      </c>
      <c r="AH2493">
        <v>235.44602278885301</v>
      </c>
      <c r="AI2493">
        <v>81.285576054666095</v>
      </c>
      <c r="AJ2493">
        <v>88.811389878200302</v>
      </c>
      <c r="AK2493">
        <v>238.24707285679401</v>
      </c>
      <c r="AL2493">
        <v>80.398131309541796</v>
      </c>
      <c r="AM2493">
        <v>89.275758039400898</v>
      </c>
      <c r="AN2493">
        <v>0.99999997186989398</v>
      </c>
    </row>
    <row r="2494" spans="1:40" x14ac:dyDescent="0.25">
      <c r="A2494" t="str">
        <f>"20190312164521222"</f>
        <v>20190312164521222</v>
      </c>
      <c r="B2494" t="str">
        <f>"1552380321214224"</f>
        <v>1552380321214224</v>
      </c>
      <c r="C2494" t="s">
        <v>40</v>
      </c>
      <c r="D2494">
        <v>5.408614</v>
      </c>
      <c r="E2494">
        <v>0.50279200000000002</v>
      </c>
      <c r="F2494" t="s">
        <v>60</v>
      </c>
      <c r="G2494">
        <v>-169.40459999999999</v>
      </c>
      <c r="H2494">
        <v>37.248919999999998</v>
      </c>
      <c r="I2494">
        <v>209.1164</v>
      </c>
      <c r="J2494">
        <v>-409.73849999999999</v>
      </c>
      <c r="K2494">
        <v>1.1077109999999999</v>
      </c>
      <c r="L2494">
        <v>213.43879999999999</v>
      </c>
      <c r="M2494">
        <v>0.99998940000000003</v>
      </c>
      <c r="N2494">
        <v>0</v>
      </c>
      <c r="O2494">
        <v>2.2504780000000002E-3</v>
      </c>
      <c r="P2494">
        <v>0.98658259999999998</v>
      </c>
      <c r="Q2494">
        <v>0.1629466</v>
      </c>
      <c r="R2494">
        <v>-1.0147959999999999E-2</v>
      </c>
      <c r="S2494">
        <v>2.9667050000000001</v>
      </c>
      <c r="T2494">
        <v>0.44536419999999999</v>
      </c>
      <c r="U2494">
        <v>-5.3253170000000002E-2</v>
      </c>
      <c r="V2494">
        <v>1.233855E-2</v>
      </c>
      <c r="W2494">
        <v>0.16688739999999999</v>
      </c>
      <c r="X2494">
        <v>0.98589870000000002</v>
      </c>
      <c r="Y2494">
        <v>1.9948799999999999E-2</v>
      </c>
      <c r="Z2494">
        <v>1.824843E-3</v>
      </c>
      <c r="AA2494">
        <v>0.99979929999999995</v>
      </c>
      <c r="AB2494">
        <v>38</v>
      </c>
      <c r="AC2494">
        <v>240.3339</v>
      </c>
      <c r="AD2494">
        <v>36.141209000000003</v>
      </c>
      <c r="AE2494">
        <v>-4.3223999999999796</v>
      </c>
      <c r="AF2494">
        <v>4.7557483747222902</v>
      </c>
      <c r="AG2494">
        <v>36.141209000000003</v>
      </c>
      <c r="AH2494">
        <v>235.010774392531</v>
      </c>
      <c r="AI2494">
        <v>81.259004182059698</v>
      </c>
      <c r="AJ2494">
        <v>88.840703685520197</v>
      </c>
      <c r="AK2494">
        <v>237.82108445460099</v>
      </c>
      <c r="AL2494">
        <v>80.393104511944102</v>
      </c>
      <c r="AM2494">
        <v>89.282979138684496</v>
      </c>
      <c r="AN2494">
        <v>0.99999994537827397</v>
      </c>
    </row>
    <row r="2495" spans="1:40" x14ac:dyDescent="0.25">
      <c r="A2495" t="str">
        <f>"20190312164521243"</f>
        <v>20190312164521243</v>
      </c>
      <c r="B2495" t="str">
        <f>"1552380321233747"</f>
        <v>1552380321233747</v>
      </c>
      <c r="C2495" t="s">
        <v>40</v>
      </c>
      <c r="D2495">
        <v>5.4551530000000001</v>
      </c>
      <c r="E2495">
        <v>0.50266369999999905</v>
      </c>
      <c r="F2495" t="s">
        <v>60</v>
      </c>
      <c r="G2495">
        <v>-169.40450000000001</v>
      </c>
      <c r="H2495">
        <v>37.135559999999998</v>
      </c>
      <c r="I2495">
        <v>209.2757</v>
      </c>
      <c r="J2495">
        <v>-409.36</v>
      </c>
      <c r="K2495">
        <v>1.10768</v>
      </c>
      <c r="L2495">
        <v>213.43969999999999</v>
      </c>
      <c r="M2495">
        <v>0.99998960000000003</v>
      </c>
      <c r="N2495">
        <v>0</v>
      </c>
      <c r="O2495">
        <v>2.294716E-3</v>
      </c>
      <c r="P2495">
        <v>0.98658599999999996</v>
      </c>
      <c r="Q2495">
        <v>0.16295029999999999</v>
      </c>
      <c r="R2495">
        <v>-9.7616930000000001E-3</v>
      </c>
      <c r="S2495">
        <v>2.9667970000000001</v>
      </c>
      <c r="T2495">
        <v>0.44474540000000001</v>
      </c>
      <c r="U2495">
        <v>-5.1391600000000003E-2</v>
      </c>
      <c r="V2495">
        <v>1.2002799999999999E-2</v>
      </c>
      <c r="W2495">
        <v>0.16687569999999999</v>
      </c>
      <c r="X2495">
        <v>0.98590489999999997</v>
      </c>
      <c r="Y2495">
        <v>1.9371969999999999E-2</v>
      </c>
      <c r="Z2495">
        <v>1.785893E-3</v>
      </c>
      <c r="AA2495">
        <v>0.9998108</v>
      </c>
      <c r="AB2495">
        <v>38</v>
      </c>
      <c r="AC2495">
        <v>239.9555</v>
      </c>
      <c r="AD2495">
        <v>36.027880000000003</v>
      </c>
      <c r="AE2495">
        <v>-4.1639999999999802</v>
      </c>
      <c r="AF2495">
        <v>4.6107139780447302</v>
      </c>
      <c r="AG2495">
        <v>36.027880000000003</v>
      </c>
      <c r="AH2495">
        <v>234.656980914256</v>
      </c>
      <c r="AI2495">
        <v>81.272955519682995</v>
      </c>
      <c r="AJ2495">
        <v>88.874354977826201</v>
      </c>
      <c r="AK2495">
        <v>237.451396105551</v>
      </c>
      <c r="AL2495">
        <v>80.393785122194998</v>
      </c>
      <c r="AM2495">
        <v>89.302492756826993</v>
      </c>
      <c r="AN2495">
        <v>1.00000001915116</v>
      </c>
    </row>
    <row r="2496" spans="1:40" x14ac:dyDescent="0.25">
      <c r="A2496" t="str">
        <f>"20190312164521265"</f>
        <v>20190312164521265</v>
      </c>
      <c r="B2496" t="str">
        <f>"1552380321254240"</f>
        <v>1552380321254240</v>
      </c>
      <c r="C2496" t="s">
        <v>40</v>
      </c>
      <c r="D2496">
        <v>5.4556009999999997</v>
      </c>
      <c r="E2496">
        <v>0.5025406</v>
      </c>
      <c r="F2496" t="s">
        <v>60</v>
      </c>
      <c r="G2496">
        <v>-169.40440000000001</v>
      </c>
      <c r="H2496">
        <v>37.013730000000002</v>
      </c>
      <c r="I2496">
        <v>209.45490000000001</v>
      </c>
      <c r="J2496">
        <v>-408.98099999999999</v>
      </c>
      <c r="K2496">
        <v>1.1076569999999999</v>
      </c>
      <c r="L2496">
        <v>213.44049999999999</v>
      </c>
      <c r="M2496">
        <v>0.99998940000000003</v>
      </c>
      <c r="N2496">
        <v>0</v>
      </c>
      <c r="O2496">
        <v>2.3120049999999998E-3</v>
      </c>
      <c r="P2496">
        <v>0.98652309999999999</v>
      </c>
      <c r="Q2496">
        <v>0.1633628</v>
      </c>
      <c r="R2496">
        <v>-9.1996920000000006E-3</v>
      </c>
      <c r="S2496">
        <v>2.96698</v>
      </c>
      <c r="T2496">
        <v>0.44396819999999998</v>
      </c>
      <c r="U2496">
        <v>-4.9270630000000003E-2</v>
      </c>
      <c r="V2496">
        <v>1.1465090000000001E-2</v>
      </c>
      <c r="W2496">
        <v>0.1672729</v>
      </c>
      <c r="X2496">
        <v>0.98584400000000005</v>
      </c>
      <c r="Y2496">
        <v>1.8682020000000001E-2</v>
      </c>
      <c r="Z2496">
        <v>1.7339479999999999E-3</v>
      </c>
      <c r="AA2496">
        <v>0.99982400000000005</v>
      </c>
      <c r="AB2496">
        <v>38</v>
      </c>
      <c r="AC2496">
        <v>239.57660000000001</v>
      </c>
      <c r="AD2496">
        <v>35.9060729999999</v>
      </c>
      <c r="AE2496">
        <v>-3.9855999999999701</v>
      </c>
      <c r="AF2496">
        <v>4.4397972238439296</v>
      </c>
      <c r="AG2496">
        <v>35.9060729999999</v>
      </c>
      <c r="AH2496">
        <v>234.30525337585101</v>
      </c>
      <c r="AI2496">
        <v>81.289036193178603</v>
      </c>
      <c r="AJ2496">
        <v>88.914445152385497</v>
      </c>
      <c r="AK2496">
        <v>237.082073631036</v>
      </c>
      <c r="AL2496">
        <v>80.370702924292701</v>
      </c>
      <c r="AM2496">
        <v>89.333696146900095</v>
      </c>
      <c r="AN2496">
        <v>1.0000000318495501</v>
      </c>
    </row>
    <row r="2497" spans="1:40" x14ac:dyDescent="0.25">
      <c r="A2497" t="str">
        <f>"20190312164521287"</f>
        <v>20190312164521287</v>
      </c>
      <c r="B2497" t="str">
        <f>"1552380321284496"</f>
        <v>1552380321284496</v>
      </c>
      <c r="C2497" t="s">
        <v>40</v>
      </c>
      <c r="D2497">
        <v>5.4468269999999999</v>
      </c>
      <c r="E2497">
        <v>0.50266089999999997</v>
      </c>
      <c r="F2497" t="s">
        <v>60</v>
      </c>
      <c r="G2497">
        <v>-169.40430000000001</v>
      </c>
      <c r="H2497">
        <v>36.994430000000001</v>
      </c>
      <c r="I2497">
        <v>209.67519999999999</v>
      </c>
      <c r="J2497">
        <v>-408.60500000000002</v>
      </c>
      <c r="K2497">
        <v>1.107639</v>
      </c>
      <c r="L2497">
        <v>213.44139999999999</v>
      </c>
      <c r="M2497">
        <v>0.99998960000000003</v>
      </c>
      <c r="N2497">
        <v>0</v>
      </c>
      <c r="O2497">
        <v>2.2986479999999999E-3</v>
      </c>
      <c r="P2497">
        <v>0.98645950000000004</v>
      </c>
      <c r="Q2497">
        <v>0.1637932</v>
      </c>
      <c r="R2497">
        <v>-8.3454749999999998E-3</v>
      </c>
      <c r="S2497">
        <v>2.9669490000000001</v>
      </c>
      <c r="T2497">
        <v>0.44442700000000002</v>
      </c>
      <c r="U2497">
        <v>-4.6630860000000003E-2</v>
      </c>
      <c r="V2497">
        <v>1.0605389999999999E-2</v>
      </c>
      <c r="W2497">
        <v>0.16768759999999999</v>
      </c>
      <c r="X2497">
        <v>0.98578319999999997</v>
      </c>
      <c r="Y2497">
        <v>1.778911E-2</v>
      </c>
      <c r="Z2497">
        <v>1.667261E-3</v>
      </c>
      <c r="AA2497">
        <v>0.99984039999999996</v>
      </c>
      <c r="AB2497">
        <v>39</v>
      </c>
      <c r="AC2497">
        <v>239.20070000000001</v>
      </c>
      <c r="AD2497">
        <v>35.886790999999903</v>
      </c>
      <c r="AE2497">
        <v>-3.7661999999999898</v>
      </c>
      <c r="AF2497">
        <v>4.2210471148286999</v>
      </c>
      <c r="AG2497">
        <v>35.886790999999903</v>
      </c>
      <c r="AH2497">
        <v>233.92738779012899</v>
      </c>
      <c r="AI2497">
        <v>81.279651311881693</v>
      </c>
      <c r="AJ2497">
        <v>88.966252117813198</v>
      </c>
      <c r="AK2497">
        <v>236.701714749464</v>
      </c>
      <c r="AL2497">
        <v>80.346602237682603</v>
      </c>
      <c r="AM2497">
        <v>89.383616351513894</v>
      </c>
      <c r="AN2497">
        <v>1.0000000614465201</v>
      </c>
    </row>
    <row r="2498" spans="1:40" x14ac:dyDescent="0.25">
      <c r="A2498" t="str">
        <f>"20190312164521309"</f>
        <v>20190312164521309</v>
      </c>
      <c r="B2498" t="str">
        <f>"1552380321304017"</f>
        <v>1552380321304017</v>
      </c>
      <c r="C2498" t="s">
        <v>40</v>
      </c>
      <c r="D2498">
        <v>5.2860820000000004</v>
      </c>
      <c r="E2498">
        <v>0.51735750000000003</v>
      </c>
      <c r="F2498" t="s">
        <v>60</v>
      </c>
      <c r="G2498">
        <v>-169.40430000000001</v>
      </c>
      <c r="H2498">
        <v>36.983440000000002</v>
      </c>
      <c r="I2498">
        <v>209.82089999999999</v>
      </c>
      <c r="J2498">
        <v>-408.21019999999999</v>
      </c>
      <c r="K2498">
        <v>1.1076079999999999</v>
      </c>
      <c r="L2498">
        <v>213.44229999999999</v>
      </c>
      <c r="M2498">
        <v>0.99998989999999999</v>
      </c>
      <c r="N2498">
        <v>0</v>
      </c>
      <c r="O2498">
        <v>2.2567910000000002E-3</v>
      </c>
      <c r="P2498">
        <v>0.98640720000000004</v>
      </c>
      <c r="Q2498">
        <v>0.1641426</v>
      </c>
      <c r="R2498">
        <v>-7.6332689999999998E-3</v>
      </c>
      <c r="S2498">
        <v>2.9669189999999999</v>
      </c>
      <c r="T2498">
        <v>0.44498480000000001</v>
      </c>
      <c r="U2498">
        <v>-4.4906620000000001E-2</v>
      </c>
      <c r="V2498">
        <v>9.8611419999999998E-3</v>
      </c>
      <c r="W2498">
        <v>0.168019</v>
      </c>
      <c r="X2498">
        <v>0.98573449999999996</v>
      </c>
      <c r="Y2498">
        <v>1.7173279999999999E-2</v>
      </c>
      <c r="Z2498">
        <v>1.617189E-3</v>
      </c>
      <c r="AA2498">
        <v>0.99985119999999905</v>
      </c>
      <c r="AB2498">
        <v>39</v>
      </c>
      <c r="AC2498">
        <v>238.80590000000001</v>
      </c>
      <c r="AD2498">
        <v>35.875832000000003</v>
      </c>
      <c r="AE2498">
        <v>-3.6213999999999902</v>
      </c>
      <c r="AF2498">
        <v>4.0685280305909099</v>
      </c>
      <c r="AG2498">
        <v>35.875832000000003</v>
      </c>
      <c r="AH2498">
        <v>233.52782266794</v>
      </c>
      <c r="AI2498">
        <v>81.267492278480304</v>
      </c>
      <c r="AJ2498">
        <v>89.001892358668599</v>
      </c>
      <c r="AK2498">
        <v>236.30250147228</v>
      </c>
      <c r="AL2498">
        <v>80.327341180173605</v>
      </c>
      <c r="AM2498">
        <v>89.426840623915396</v>
      </c>
      <c r="AN2498">
        <v>1.0000000654863901</v>
      </c>
    </row>
    <row r="2499" spans="1:40" x14ac:dyDescent="0.25">
      <c r="A2499" t="str">
        <f>"20190312164521332"</f>
        <v>20190312164521332</v>
      </c>
      <c r="B2499" t="str">
        <f>"1552380321324513"</f>
        <v>1552380321324513</v>
      </c>
      <c r="C2499" t="s">
        <v>40</v>
      </c>
      <c r="D2499">
        <v>5.2636820000000002</v>
      </c>
      <c r="E2499">
        <v>0.51684249999999998</v>
      </c>
      <c r="F2499" t="s">
        <v>60</v>
      </c>
      <c r="G2499">
        <v>-168.4255</v>
      </c>
      <c r="H2499">
        <v>39.124360000000003</v>
      </c>
      <c r="I2499">
        <v>200.43340000000001</v>
      </c>
      <c r="J2499">
        <v>-407.80990000000003</v>
      </c>
      <c r="K2499">
        <v>1.1075790000000001</v>
      </c>
      <c r="L2499">
        <v>213.44309999999999</v>
      </c>
      <c r="M2499">
        <v>0.99999000000000005</v>
      </c>
      <c r="N2499">
        <v>0</v>
      </c>
      <c r="O2499">
        <v>2.1928799999999999E-3</v>
      </c>
      <c r="P2499">
        <v>0.98641999999999996</v>
      </c>
      <c r="Q2499">
        <v>0.1640779</v>
      </c>
      <c r="R2499">
        <v>-7.3507069999999997E-3</v>
      </c>
      <c r="S2499">
        <v>2.9619140000000002</v>
      </c>
      <c r="T2499">
        <v>0.46959810000000002</v>
      </c>
      <c r="U2499">
        <v>-0.16069029999999901</v>
      </c>
      <c r="V2499">
        <v>9.5245859999999998E-3</v>
      </c>
      <c r="W2499">
        <v>0.16793959999999999</v>
      </c>
      <c r="X2499">
        <v>0.9857513</v>
      </c>
      <c r="Y2499">
        <v>5.5641780000000002E-2</v>
      </c>
      <c r="Z2499">
        <v>4.7256109999999898E-3</v>
      </c>
      <c r="AA2499">
        <v>0.99843959999999998</v>
      </c>
      <c r="AB2499">
        <v>39</v>
      </c>
      <c r="AC2499">
        <v>239.3844</v>
      </c>
      <c r="AD2499">
        <v>38.016781000000002</v>
      </c>
      <c r="AE2499">
        <v>-13.009699999999899</v>
      </c>
      <c r="AF2499">
        <v>13.2026139568936</v>
      </c>
      <c r="AG2499">
        <v>38.016781000000002</v>
      </c>
      <c r="AH2499">
        <v>233.48398203467201</v>
      </c>
      <c r="AI2499">
        <v>80.766527414803505</v>
      </c>
      <c r="AJ2499">
        <v>86.763592302792802</v>
      </c>
      <c r="AK2499">
        <v>236.926896994967</v>
      </c>
      <c r="AL2499">
        <v>80.331955656218298</v>
      </c>
      <c r="AM2499">
        <v>89.446410471150998</v>
      </c>
      <c r="AN2499">
        <v>1.00000002621916</v>
      </c>
    </row>
    <row r="2500" spans="1:40" x14ac:dyDescent="0.25">
      <c r="A2500" t="str">
        <f>"20190312164521355"</f>
        <v>20190312164521355</v>
      </c>
      <c r="B2500" t="str">
        <f>"1552380321344032"</f>
        <v>1552380321344032</v>
      </c>
      <c r="C2500" t="s">
        <v>40</v>
      </c>
      <c r="D2500">
        <v>5.3667499999999997</v>
      </c>
      <c r="E2500">
        <v>0.51731720000000003</v>
      </c>
      <c r="F2500" t="s">
        <v>60</v>
      </c>
      <c r="G2500">
        <v>-168.42519999999999</v>
      </c>
      <c r="H2500">
        <v>38.826599999999999</v>
      </c>
      <c r="I2500">
        <v>200.87029999999999</v>
      </c>
      <c r="J2500">
        <v>-407.40949999999998</v>
      </c>
      <c r="K2500">
        <v>1.107558</v>
      </c>
      <c r="L2500">
        <v>213.44399999999999</v>
      </c>
      <c r="M2500">
        <v>0.99999020000000005</v>
      </c>
      <c r="N2500">
        <v>0</v>
      </c>
      <c r="O2500">
        <v>2.1141990000000002E-3</v>
      </c>
      <c r="P2500">
        <v>0.98641330000000005</v>
      </c>
      <c r="Q2500">
        <v>0.1641338</v>
      </c>
      <c r="R2500">
        <v>-7.002543E-3</v>
      </c>
      <c r="S2500">
        <v>2.962494</v>
      </c>
      <c r="T2500">
        <v>0.46679039999999999</v>
      </c>
      <c r="U2500">
        <v>-0.15559389999999901</v>
      </c>
      <c r="V2500">
        <v>9.1062629999999999E-3</v>
      </c>
      <c r="W2500">
        <v>0.167981399999999</v>
      </c>
      <c r="X2500">
        <v>0.98574810000000002</v>
      </c>
      <c r="Y2500">
        <v>5.3871299999999997E-2</v>
      </c>
      <c r="Z2500">
        <v>4.5461579999999998E-3</v>
      </c>
      <c r="AA2500">
        <v>0.99853749999999997</v>
      </c>
      <c r="AB2500">
        <v>39</v>
      </c>
      <c r="AC2500">
        <v>238.98429999999999</v>
      </c>
      <c r="AD2500">
        <v>37.719042000000002</v>
      </c>
      <c r="AE2500">
        <v>-12.573700000000001</v>
      </c>
      <c r="AF2500">
        <v>12.7619080661173</v>
      </c>
      <c r="AG2500">
        <v>37.719042000000002</v>
      </c>
      <c r="AH2500">
        <v>233.16495871823</v>
      </c>
      <c r="AI2500">
        <v>80.824380608109394</v>
      </c>
      <c r="AJ2500">
        <v>86.867133816754404</v>
      </c>
      <c r="AK2500">
        <v>236.54067388286401</v>
      </c>
      <c r="AL2500">
        <v>80.329525881033007</v>
      </c>
      <c r="AM2500">
        <v>89.470721175240001</v>
      </c>
      <c r="AN2500">
        <v>0.99999999571269704</v>
      </c>
    </row>
    <row r="2501" spans="1:40" x14ac:dyDescent="0.25">
      <c r="A2501" t="str">
        <f>"20190312164521379"</f>
        <v>20190312164521379</v>
      </c>
      <c r="B2501" t="str">
        <f>"1552380321374288"</f>
        <v>1552380321374288</v>
      </c>
      <c r="C2501" t="s">
        <v>40</v>
      </c>
      <c r="D2501">
        <v>5.5019289999999996</v>
      </c>
      <c r="E2501">
        <v>0.51725259999999995</v>
      </c>
      <c r="F2501" t="s">
        <v>48</v>
      </c>
      <c r="G2501">
        <v>-356.48059999999998</v>
      </c>
      <c r="H2501">
        <v>8.9945160000000008</v>
      </c>
      <c r="I2501">
        <v>210.726</v>
      </c>
      <c r="J2501">
        <v>-407.0061</v>
      </c>
      <c r="K2501">
        <v>1.1075269999999999</v>
      </c>
      <c r="L2501">
        <v>213.44470000000001</v>
      </c>
      <c r="M2501">
        <v>0.99999039999999995</v>
      </c>
      <c r="N2501">
        <v>0</v>
      </c>
      <c r="O2501">
        <v>2.0252239999999999E-3</v>
      </c>
      <c r="P2501">
        <v>0.98639460000000001</v>
      </c>
      <c r="Q2501">
        <v>0.16421429999999901</v>
      </c>
      <c r="R2501">
        <v>-7.6999719999999898E-3</v>
      </c>
      <c r="S2501">
        <v>2.9638369999999998</v>
      </c>
      <c r="T2501">
        <v>0.4589896</v>
      </c>
      <c r="U2501">
        <v>-0.1581726</v>
      </c>
      <c r="V2501">
        <v>9.7221770000000002E-3</v>
      </c>
      <c r="W2501">
        <v>0.16804720000000001</v>
      </c>
      <c r="X2501">
        <v>0.98573100000000002</v>
      </c>
      <c r="Y2501">
        <v>5.4640359999999999E-2</v>
      </c>
      <c r="Z2501">
        <v>4.5144510000000001E-3</v>
      </c>
      <c r="AA2501">
        <v>0.99849589999999999</v>
      </c>
      <c r="AB2501">
        <v>39</v>
      </c>
      <c r="AC2501">
        <v>50.525500000000001</v>
      </c>
      <c r="AD2501">
        <v>7.8869889999999998</v>
      </c>
      <c r="AE2501">
        <v>-2.7187000000000099</v>
      </c>
      <c r="AF2501">
        <v>2.7541052421271601</v>
      </c>
      <c r="AG2501">
        <v>7.8869889999999998</v>
      </c>
      <c r="AH2501">
        <v>49.321544234747897</v>
      </c>
      <c r="AI2501">
        <v>80.928668798817895</v>
      </c>
      <c r="AJ2501">
        <v>86.803934151499405</v>
      </c>
      <c r="AK2501">
        <v>50.024038390268203</v>
      </c>
      <c r="AL2501">
        <v>80.325701428802802</v>
      </c>
      <c r="AM2501">
        <v>89.434915155912293</v>
      </c>
      <c r="AN2501">
        <v>0.99999999325722899</v>
      </c>
    </row>
    <row r="2502" spans="1:40" x14ac:dyDescent="0.25">
      <c r="A2502" t="str">
        <f>"20190312164521399"</f>
        <v>20190312164521399</v>
      </c>
      <c r="B2502" t="str">
        <f>"1552380321393808"</f>
        <v>1552380321393808</v>
      </c>
      <c r="C2502" t="s">
        <v>40</v>
      </c>
      <c r="D2502">
        <v>5.2932079999999999</v>
      </c>
      <c r="E2502">
        <v>0.51727780000000001</v>
      </c>
      <c r="F2502" t="s">
        <v>60</v>
      </c>
      <c r="G2502">
        <v>-168.4248</v>
      </c>
      <c r="H2502">
        <v>37.338639999999998</v>
      </c>
      <c r="I2502">
        <v>200.61969999999999</v>
      </c>
      <c r="J2502">
        <v>-406.6336</v>
      </c>
      <c r="K2502">
        <v>1.107504</v>
      </c>
      <c r="L2502">
        <v>213.44540000000001</v>
      </c>
      <c r="M2502">
        <v>0.99999059999999995</v>
      </c>
      <c r="N2502">
        <v>0</v>
      </c>
      <c r="O2502">
        <v>1.936924E-3</v>
      </c>
      <c r="P2502">
        <v>0.98648420000000003</v>
      </c>
      <c r="Q2502">
        <v>0.1636156</v>
      </c>
      <c r="R2502">
        <v>-8.8866369999999993E-3</v>
      </c>
      <c r="S2502">
        <v>2.9651489999999998</v>
      </c>
      <c r="T2502">
        <v>0.45029000000000002</v>
      </c>
      <c r="U2502">
        <v>-0.15939329999999999</v>
      </c>
      <c r="V2502">
        <v>1.0826479999999999E-2</v>
      </c>
      <c r="W2502">
        <v>0.16743379999999999</v>
      </c>
      <c r="X2502">
        <v>0.98582389999999998</v>
      </c>
      <c r="Y2502">
        <v>5.4961639999999999E-2</v>
      </c>
      <c r="Z2502">
        <v>4.4387949999999997E-3</v>
      </c>
      <c r="AA2502">
        <v>0.99847859999999999</v>
      </c>
      <c r="AB2502">
        <v>39</v>
      </c>
      <c r="AC2502">
        <v>238.2088</v>
      </c>
      <c r="AD2502">
        <v>36.231135999999999</v>
      </c>
      <c r="AE2502">
        <v>-12.825699999999999</v>
      </c>
      <c r="AF2502">
        <v>12.9874893437323</v>
      </c>
      <c r="AG2502">
        <v>36.231135999999999</v>
      </c>
      <c r="AH2502">
        <v>232.81320839540399</v>
      </c>
      <c r="AI2502">
        <v>81.167916336212002</v>
      </c>
      <c r="AJ2502">
        <v>86.807063191138297</v>
      </c>
      <c r="AK2502">
        <v>235.973219028486</v>
      </c>
      <c r="AL2502">
        <v>80.361352102057197</v>
      </c>
      <c r="AM2502">
        <v>89.370793633000304</v>
      </c>
      <c r="AN2502">
        <v>1.0000000259314099</v>
      </c>
    </row>
    <row r="2503" spans="1:40" x14ac:dyDescent="0.25">
      <c r="A2503" t="str">
        <f>"20190312164521423"</f>
        <v>20190312164521423</v>
      </c>
      <c r="B2503" t="str">
        <f>"1552380321414304"</f>
        <v>1552380321414304</v>
      </c>
      <c r="C2503" t="s">
        <v>40</v>
      </c>
      <c r="D2503">
        <v>5.3830159999999996</v>
      </c>
      <c r="E2503">
        <v>0.50762640000000003</v>
      </c>
      <c r="F2503" t="s">
        <v>60</v>
      </c>
      <c r="G2503">
        <v>-168.4247</v>
      </c>
      <c r="H2503">
        <v>36.896329999999999</v>
      </c>
      <c r="I2503">
        <v>200.35249999999999</v>
      </c>
      <c r="J2503">
        <v>-406.22039999999998</v>
      </c>
      <c r="K2503">
        <v>1.1074900000000001</v>
      </c>
      <c r="L2503">
        <v>213.4462</v>
      </c>
      <c r="M2503">
        <v>0.99999079999999996</v>
      </c>
      <c r="N2503">
        <v>0</v>
      </c>
      <c r="O2503">
        <v>1.8353429999999999E-3</v>
      </c>
      <c r="P2503">
        <v>0.98654030000000004</v>
      </c>
      <c r="Q2503">
        <v>0.16321240000000001</v>
      </c>
      <c r="R2503">
        <v>-9.9722749999999992E-3</v>
      </c>
      <c r="S2503">
        <v>2.9657589999999998</v>
      </c>
      <c r="T2503">
        <v>0.44557999999999998</v>
      </c>
      <c r="U2503">
        <v>-0.1630096</v>
      </c>
      <c r="V2503">
        <v>1.1816210000000001E-2</v>
      </c>
      <c r="W2503">
        <v>0.16701250000000001</v>
      </c>
      <c r="X2503">
        <v>0.98588399999999998</v>
      </c>
      <c r="Y2503">
        <v>5.6065650000000002E-2</v>
      </c>
      <c r="Z2503">
        <v>4.4590910000000001E-3</v>
      </c>
      <c r="AA2503">
        <v>0.99841709999999995</v>
      </c>
      <c r="AB2503">
        <v>40</v>
      </c>
      <c r="AC2503">
        <v>237.79570000000001</v>
      </c>
      <c r="AD2503">
        <v>35.78884</v>
      </c>
      <c r="AE2503">
        <v>-13.0937</v>
      </c>
      <c r="AF2503">
        <v>13.231321257751899</v>
      </c>
      <c r="AG2503">
        <v>35.78884</v>
      </c>
      <c r="AH2503">
        <v>232.520370799977</v>
      </c>
      <c r="AI2503">
        <v>81.263786141058304</v>
      </c>
      <c r="AJ2503">
        <v>86.743157628409804</v>
      </c>
      <c r="AK2503">
        <v>235.63028618522301</v>
      </c>
      <c r="AL2503">
        <v>80.385835600083993</v>
      </c>
      <c r="AM2503">
        <v>89.313320281317004</v>
      </c>
      <c r="AN2503">
        <v>1.0000000297155001</v>
      </c>
    </row>
    <row r="2504" spans="1:40" x14ac:dyDescent="0.25">
      <c r="A2504" t="str">
        <f>"20190312164521445"</f>
        <v>20190312164521445</v>
      </c>
      <c r="B2504" t="str">
        <f>"1552380321433824"</f>
        <v>1552380321433824</v>
      </c>
      <c r="C2504" t="s">
        <v>40</v>
      </c>
      <c r="D2504">
        <v>5.326797</v>
      </c>
      <c r="E2504">
        <v>0.51746720000000002</v>
      </c>
      <c r="F2504" t="s">
        <v>41</v>
      </c>
      <c r="G2504">
        <v>-405.39</v>
      </c>
      <c r="H2504">
        <v>1.0286979999999999</v>
      </c>
      <c r="I2504">
        <v>213.42789999999999</v>
      </c>
      <c r="J2504">
        <v>-405.80970000000002</v>
      </c>
      <c r="K2504">
        <v>1.1074679999999999</v>
      </c>
      <c r="L2504">
        <v>213.4469</v>
      </c>
      <c r="M2504">
        <v>0.99999130000000003</v>
      </c>
      <c r="N2504">
        <v>0</v>
      </c>
      <c r="O2504">
        <v>1.7324619999999999E-3</v>
      </c>
      <c r="P2504">
        <v>0.98665020000000003</v>
      </c>
      <c r="Q2504">
        <v>0.16249</v>
      </c>
      <c r="R2504">
        <v>-1.088823E-2</v>
      </c>
      <c r="S2504">
        <v>3.0887449999999999</v>
      </c>
      <c r="T2504">
        <v>-0.29313990000000001</v>
      </c>
      <c r="U2504">
        <v>-6.6558839999999994E-2</v>
      </c>
      <c r="V2504">
        <v>1.263412E-2</v>
      </c>
      <c r="W2504">
        <v>0.16627059999999999</v>
      </c>
      <c r="X2504">
        <v>0.98599919999999996</v>
      </c>
      <c r="Y2504">
        <v>2.3164049999999999E-2</v>
      </c>
      <c r="Z2504">
        <v>-1.260646E-3</v>
      </c>
      <c r="AA2504">
        <v>0.99973089999999998</v>
      </c>
      <c r="AB2504">
        <v>40</v>
      </c>
      <c r="AC2504">
        <v>0.41970000000003399</v>
      </c>
      <c r="AD2504">
        <v>-7.8770000000000201E-2</v>
      </c>
      <c r="AE2504">
        <v>-1.9000000000005401E-2</v>
      </c>
      <c r="AF2504">
        <v>1.9057185770342999E-2</v>
      </c>
      <c r="AG2504">
        <v>-7.8770000000000201E-2</v>
      </c>
      <c r="AH2504">
        <v>0.40541514964493203</v>
      </c>
      <c r="AI2504">
        <v>100.983438936623</v>
      </c>
      <c r="AJ2504">
        <v>87.308701576078406</v>
      </c>
      <c r="AK2504">
        <v>0.41343600809691</v>
      </c>
      <c r="AL2504">
        <v>80.428945629320793</v>
      </c>
      <c r="AM2504">
        <v>89.265879586299107</v>
      </c>
      <c r="AN2504">
        <v>0.99999997790658601</v>
      </c>
    </row>
    <row r="2505" spans="1:40" x14ac:dyDescent="0.25">
      <c r="A2505" t="str">
        <f>"20190312164521467"</f>
        <v>20190312164521467</v>
      </c>
      <c r="B2505" t="str">
        <f>"1552380321464082"</f>
        <v>1552380321464082</v>
      </c>
      <c r="C2505" t="s">
        <v>40</v>
      </c>
      <c r="D2505">
        <v>5.3281289999999997</v>
      </c>
      <c r="E2505">
        <v>0.51719139999999997</v>
      </c>
      <c r="F2505" t="s">
        <v>60</v>
      </c>
      <c r="G2505">
        <v>-169.72280000000001</v>
      </c>
      <c r="H2505">
        <v>35.137390000000003</v>
      </c>
      <c r="I2505">
        <v>199.92439999999999</v>
      </c>
      <c r="J2505">
        <v>-405.43020000000001</v>
      </c>
      <c r="K2505">
        <v>1.1074539999999999</v>
      </c>
      <c r="L2505">
        <v>213.44739999999999</v>
      </c>
      <c r="M2505">
        <v>0.99999139999999997</v>
      </c>
      <c r="N2505">
        <v>0</v>
      </c>
      <c r="O2505">
        <v>1.6374579999999901E-3</v>
      </c>
      <c r="P2505">
        <v>0.98669309999999999</v>
      </c>
      <c r="Q2505">
        <v>0.16215499999999999</v>
      </c>
      <c r="R2505">
        <v>-1.19557E-2</v>
      </c>
      <c r="S2505">
        <v>2.9682309999999998</v>
      </c>
      <c r="T2505">
        <v>0.4278458</v>
      </c>
      <c r="U2505">
        <v>-0.17001340000000001</v>
      </c>
      <c r="V2505">
        <v>1.361041E-2</v>
      </c>
      <c r="W2505">
        <v>0.16591700000000001</v>
      </c>
      <c r="X2505">
        <v>0.98604579999999997</v>
      </c>
      <c r="Y2505">
        <v>5.8202240000000002E-2</v>
      </c>
      <c r="Z2505">
        <v>4.4043820000000001E-3</v>
      </c>
      <c r="AA2505">
        <v>0.99829509999999999</v>
      </c>
      <c r="AB2505">
        <v>40</v>
      </c>
      <c r="AC2505">
        <v>235.70740000000001</v>
      </c>
      <c r="AD2505">
        <v>34.029935999999999</v>
      </c>
      <c r="AE2505">
        <v>-13.5229999999999</v>
      </c>
      <c r="AF2505">
        <v>13.625863345456899</v>
      </c>
      <c r="AG2505">
        <v>34.029935999999999</v>
      </c>
      <c r="AH2505">
        <v>230.88815463521499</v>
      </c>
      <c r="AI2505">
        <v>81.630059724363306</v>
      </c>
      <c r="AJ2505">
        <v>86.622607104070696</v>
      </c>
      <c r="AK2505">
        <v>233.77989786747801</v>
      </c>
      <c r="AL2505">
        <v>80.449491070407205</v>
      </c>
      <c r="AM2505">
        <v>89.209195423254798</v>
      </c>
      <c r="AN2505">
        <v>1.0000000069235</v>
      </c>
    </row>
    <row r="2506" spans="1:40" x14ac:dyDescent="0.25">
      <c r="A2506" t="str">
        <f>"20190312164521490"</f>
        <v>20190312164521490</v>
      </c>
      <c r="B2506" t="str">
        <f>"1552380321484576"</f>
        <v>1552380321484576</v>
      </c>
      <c r="C2506" t="s">
        <v>40</v>
      </c>
      <c r="D2506">
        <v>5.2938589999999897</v>
      </c>
      <c r="E2506">
        <v>0.51723520000000001</v>
      </c>
      <c r="F2506" t="s">
        <v>60</v>
      </c>
      <c r="G2506">
        <v>-169.7226</v>
      </c>
      <c r="H2506">
        <v>34.540950000000002</v>
      </c>
      <c r="I2506">
        <v>199.87469999999999</v>
      </c>
      <c r="J2506">
        <v>-405.01240000000001</v>
      </c>
      <c r="K2506">
        <v>1.107442</v>
      </c>
      <c r="L2506">
        <v>213.44810000000001</v>
      </c>
      <c r="M2506">
        <v>0.99999170000000004</v>
      </c>
      <c r="N2506">
        <v>0</v>
      </c>
      <c r="O2506">
        <v>1.5338729999999901E-3</v>
      </c>
      <c r="P2506">
        <v>0.98673440000000001</v>
      </c>
      <c r="Q2506">
        <v>0.161815299999999</v>
      </c>
      <c r="R2506">
        <v>-1.308288E-2</v>
      </c>
      <c r="S2506">
        <v>2.9691770000000002</v>
      </c>
      <c r="T2506">
        <v>0.42115780000000003</v>
      </c>
      <c r="U2506">
        <v>-0.17097470000000001</v>
      </c>
      <c r="V2506">
        <v>1.463807E-2</v>
      </c>
      <c r="W2506">
        <v>0.1655577</v>
      </c>
      <c r="X2506">
        <v>0.98609139999999995</v>
      </c>
      <c r="Y2506">
        <v>5.8421090000000002E-2</v>
      </c>
      <c r="Z2506">
        <v>4.3356389999999996E-3</v>
      </c>
      <c r="AA2506">
        <v>0.99828260000000002</v>
      </c>
      <c r="AB2506">
        <v>40</v>
      </c>
      <c r="AC2506">
        <v>235.28980000000001</v>
      </c>
      <c r="AD2506">
        <v>33.433508000000003</v>
      </c>
      <c r="AE2506">
        <v>-13.573399999999999</v>
      </c>
      <c r="AF2506">
        <v>13.6594090156562</v>
      </c>
      <c r="AG2506">
        <v>33.433508000000003</v>
      </c>
      <c r="AH2506">
        <v>230.62754911995501</v>
      </c>
      <c r="AI2506">
        <v>81.765665804292397</v>
      </c>
      <c r="AJ2506">
        <v>86.610494720038304</v>
      </c>
      <c r="AK2506">
        <v>233.43831160484399</v>
      </c>
      <c r="AL2506">
        <v>80.470365476515695</v>
      </c>
      <c r="AM2506">
        <v>89.149533162948302</v>
      </c>
      <c r="AN2506">
        <v>0.99999993713828506</v>
      </c>
    </row>
    <row r="2507" spans="1:40" x14ac:dyDescent="0.25">
      <c r="A2507" t="str">
        <f>"20190312164521511"</f>
        <v>20190312164521511</v>
      </c>
      <c r="B2507" t="str">
        <f>"1552380321504097"</f>
        <v>1552380321504097</v>
      </c>
      <c r="C2507" t="s">
        <v>40</v>
      </c>
      <c r="D2507">
        <v>5.2274240000000001</v>
      </c>
      <c r="E2507">
        <v>0.51708220000000005</v>
      </c>
      <c r="F2507" t="s">
        <v>60</v>
      </c>
      <c r="G2507">
        <v>-169.7227</v>
      </c>
      <c r="H2507">
        <v>34.487130000000001</v>
      </c>
      <c r="I2507">
        <v>199.60910000000001</v>
      </c>
      <c r="J2507">
        <v>-404.6121</v>
      </c>
      <c r="K2507">
        <v>1.107432</v>
      </c>
      <c r="L2507">
        <v>213.4486</v>
      </c>
      <c r="M2507">
        <v>0.99999190000000004</v>
      </c>
      <c r="N2507">
        <v>0</v>
      </c>
      <c r="O2507">
        <v>1.4354789999999999E-3</v>
      </c>
      <c r="P2507">
        <v>0.98673460000000002</v>
      </c>
      <c r="Q2507">
        <v>0.16173360000000001</v>
      </c>
      <c r="R2507">
        <v>-1.404441E-2</v>
      </c>
      <c r="S2507">
        <v>2.9689030000000001</v>
      </c>
      <c r="T2507">
        <v>0.4211876</v>
      </c>
      <c r="U2507">
        <v>-0.17462159999999999</v>
      </c>
      <c r="V2507">
        <v>1.550473E-2</v>
      </c>
      <c r="W2507">
        <v>0.1654571</v>
      </c>
      <c r="X2507">
        <v>0.9860951</v>
      </c>
      <c r="Y2507">
        <v>5.95399E-2</v>
      </c>
      <c r="Z2507">
        <v>4.4012069999999999E-3</v>
      </c>
      <c r="AA2507">
        <v>0.9982162</v>
      </c>
      <c r="AB2507">
        <v>40</v>
      </c>
      <c r="AC2507">
        <v>234.88939999999999</v>
      </c>
      <c r="AD2507">
        <v>33.379697999999998</v>
      </c>
      <c r="AE2507">
        <v>-13.8394999999999</v>
      </c>
      <c r="AF2507">
        <v>13.8969918649821</v>
      </c>
      <c r="AG2507">
        <v>33.379697999999998</v>
      </c>
      <c r="AH2507">
        <v>230.23582700586701</v>
      </c>
      <c r="AI2507">
        <v>81.765489534467704</v>
      </c>
      <c r="AJ2507">
        <v>86.545828165093596</v>
      </c>
      <c r="AK2507">
        <v>233.05764664250401</v>
      </c>
      <c r="AL2507">
        <v>80.476210616729702</v>
      </c>
      <c r="AM2507">
        <v>89.099191959570206</v>
      </c>
      <c r="AN2507">
        <v>0.99999999741839596</v>
      </c>
    </row>
    <row r="2508" spans="1:40" x14ac:dyDescent="0.25">
      <c r="A2508" t="str">
        <f>"20190312164521534"</f>
        <v>20190312164521534</v>
      </c>
      <c r="B2508" t="str">
        <f>"1552380321524596"</f>
        <v>1552380321524596</v>
      </c>
      <c r="C2508" t="s">
        <v>40</v>
      </c>
      <c r="D2508">
        <v>5.3854600000000001</v>
      </c>
      <c r="E2508">
        <v>0.50375000000000003</v>
      </c>
      <c r="F2508" t="s">
        <v>60</v>
      </c>
      <c r="G2508">
        <v>-169.7227</v>
      </c>
      <c r="H2508">
        <v>34.489359999999998</v>
      </c>
      <c r="I2508">
        <v>199.49090000000001</v>
      </c>
      <c r="J2508">
        <v>-404.21159999999998</v>
      </c>
      <c r="K2508">
        <v>1.107418</v>
      </c>
      <c r="L2508">
        <v>213.44909999999999</v>
      </c>
      <c r="M2508">
        <v>0.99999199999999999</v>
      </c>
      <c r="N2508">
        <v>0</v>
      </c>
      <c r="O2508">
        <v>1.337626E-3</v>
      </c>
      <c r="P2508">
        <v>0.9868692</v>
      </c>
      <c r="Q2508">
        <v>0.16083069999999999</v>
      </c>
      <c r="R2508">
        <v>-1.492111E-2</v>
      </c>
      <c r="S2508">
        <v>2.9686889999999999</v>
      </c>
      <c r="T2508">
        <v>0.42190349999999999</v>
      </c>
      <c r="U2508">
        <v>-0.17640690000000001</v>
      </c>
      <c r="V2508">
        <v>1.628636E-2</v>
      </c>
      <c r="W2508">
        <v>0.16453579999999901</v>
      </c>
      <c r="X2508">
        <v>0.98623660000000002</v>
      </c>
      <c r="Y2508">
        <v>6.0038500000000002E-2</v>
      </c>
      <c r="Z2508">
        <v>4.4302459999999997E-3</v>
      </c>
      <c r="AA2508">
        <v>0.99818620000000002</v>
      </c>
      <c r="AB2508">
        <v>40</v>
      </c>
      <c r="AC2508">
        <v>234.4889</v>
      </c>
      <c r="AD2508">
        <v>33.381941999999903</v>
      </c>
      <c r="AE2508">
        <v>-13.9581999999999</v>
      </c>
      <c r="AF2508">
        <v>13.989334477087899</v>
      </c>
      <c r="AG2508">
        <v>33.381941999999903</v>
      </c>
      <c r="AH2508">
        <v>229.82864448427</v>
      </c>
      <c r="AI2508">
        <v>81.750804258824701</v>
      </c>
      <c r="AJ2508">
        <v>86.516786946220193</v>
      </c>
      <c r="AK2508">
        <v>232.661258821232</v>
      </c>
      <c r="AL2508">
        <v>80.529730335432802</v>
      </c>
      <c r="AM2508">
        <v>89.053923893137195</v>
      </c>
      <c r="AN2508">
        <v>0.99999995309162304</v>
      </c>
    </row>
    <row r="2509" spans="1:40" x14ac:dyDescent="0.25">
      <c r="A2509" t="str">
        <f>"20190312164521555"</f>
        <v>20190312164521555</v>
      </c>
      <c r="B2509" t="str">
        <f>"1552380321544112"</f>
        <v>1552380321544112</v>
      </c>
      <c r="C2509" t="s">
        <v>40</v>
      </c>
      <c r="D2509">
        <v>5.2793519999999896</v>
      </c>
      <c r="E2509">
        <v>0.4977722</v>
      </c>
      <c r="F2509" t="s">
        <v>60</v>
      </c>
      <c r="G2509">
        <v>-168.4211</v>
      </c>
      <c r="H2509">
        <v>33.298079999999999</v>
      </c>
      <c r="I2509">
        <v>207.72790000000001</v>
      </c>
      <c r="J2509">
        <v>-403.82080000000002</v>
      </c>
      <c r="K2509">
        <v>1.107399</v>
      </c>
      <c r="L2509">
        <v>213.4496</v>
      </c>
      <c r="M2509">
        <v>0.9999924</v>
      </c>
      <c r="N2509">
        <v>0</v>
      </c>
      <c r="O2509">
        <v>1.2420969999999999E-3</v>
      </c>
      <c r="P2509">
        <v>0.98694340000000003</v>
      </c>
      <c r="Q2509">
        <v>0.1603147</v>
      </c>
      <c r="R2509">
        <v>-1.5570519999999999E-2</v>
      </c>
      <c r="S2509">
        <v>2.9726560000000002</v>
      </c>
      <c r="T2509">
        <v>0.40583429999999998</v>
      </c>
      <c r="U2509">
        <v>-7.2128300000000006E-2</v>
      </c>
      <c r="V2509">
        <v>1.6842639999999999E-2</v>
      </c>
      <c r="W2509">
        <v>0.16400429999999999</v>
      </c>
      <c r="X2509">
        <v>0.98631579999999996</v>
      </c>
      <c r="Y2509">
        <v>2.525287E-2</v>
      </c>
      <c r="Z2509">
        <v>1.8843530000000001E-3</v>
      </c>
      <c r="AA2509">
        <v>0.99967930000000005</v>
      </c>
      <c r="AB2509">
        <v>41</v>
      </c>
      <c r="AC2509">
        <v>235.3997</v>
      </c>
      <c r="AD2509">
        <v>32.190680999999998</v>
      </c>
      <c r="AE2509">
        <v>-5.7216999999999896</v>
      </c>
      <c r="AF2509">
        <v>5.9037501457543602</v>
      </c>
      <c r="AG2509">
        <v>32.190680999999998</v>
      </c>
      <c r="AH2509">
        <v>231.07381377805601</v>
      </c>
      <c r="AI2509">
        <v>82.071773237170902</v>
      </c>
      <c r="AJ2509">
        <v>88.536457295108093</v>
      </c>
      <c r="AK2509">
        <v>233.37995120181799</v>
      </c>
      <c r="AL2509">
        <v>80.560602600885602</v>
      </c>
      <c r="AM2509">
        <v>89.021694263742205</v>
      </c>
      <c r="AN2509">
        <v>0.99999997113514905</v>
      </c>
    </row>
    <row r="2510" spans="1:40" x14ac:dyDescent="0.25">
      <c r="A2510" t="str">
        <f>"20190312164521579"</f>
        <v>20190312164521579</v>
      </c>
      <c r="B2510" t="str">
        <f>"1552380321574368"</f>
        <v>1552380321574368</v>
      </c>
      <c r="C2510" t="s">
        <v>40</v>
      </c>
      <c r="D2510">
        <v>5.2736980000000004</v>
      </c>
      <c r="E2510">
        <v>0.49549280000000001</v>
      </c>
      <c r="F2510" t="s">
        <v>61</v>
      </c>
      <c r="G2510">
        <v>-107.39749999999999</v>
      </c>
      <c r="H2510">
        <v>41.333770000000001</v>
      </c>
      <c r="I2510">
        <v>210.81819999999999</v>
      </c>
      <c r="J2510">
        <v>-403.40109999999999</v>
      </c>
      <c r="K2510">
        <v>1.10738</v>
      </c>
      <c r="L2510">
        <v>213.45</v>
      </c>
      <c r="M2510">
        <v>0.9999924</v>
      </c>
      <c r="N2510">
        <v>0</v>
      </c>
      <c r="O2510">
        <v>1.1401880000000001E-3</v>
      </c>
      <c r="P2510">
        <v>0.98706260000000001</v>
      </c>
      <c r="Q2510">
        <v>0.15946440000000001</v>
      </c>
      <c r="R2510">
        <v>-1.6692599999999998E-2</v>
      </c>
      <c r="S2510">
        <v>2.9737239999999998</v>
      </c>
      <c r="T2510">
        <v>0.40355220000000003</v>
      </c>
      <c r="U2510">
        <v>-2.6397710000000001E-2</v>
      </c>
      <c r="V2510">
        <v>1.7865079999999998E-2</v>
      </c>
      <c r="W2510">
        <v>0.16314010000000001</v>
      </c>
      <c r="X2510">
        <v>0.98644109999999996</v>
      </c>
      <c r="Y2510">
        <v>9.9154510000000005E-3</v>
      </c>
      <c r="Z2510">
        <v>8.2373329999999999E-4</v>
      </c>
      <c r="AA2510">
        <v>0.99995049999999996</v>
      </c>
      <c r="AB2510">
        <v>41</v>
      </c>
      <c r="AC2510">
        <v>296.00360000000001</v>
      </c>
      <c r="AD2510">
        <v>40.226390000000002</v>
      </c>
      <c r="AE2510">
        <v>-2.6317999999999899</v>
      </c>
      <c r="AF2510">
        <v>2.9154608869951</v>
      </c>
      <c r="AG2510">
        <v>40.226390000000002</v>
      </c>
      <c r="AH2510">
        <v>290.63331289670401</v>
      </c>
      <c r="AI2510">
        <v>82.120181843663701</v>
      </c>
      <c r="AJ2510">
        <v>89.425262026284301</v>
      </c>
      <c r="AK2510">
        <v>293.41844681261801</v>
      </c>
      <c r="AL2510">
        <v>80.610793407157004</v>
      </c>
      <c r="AM2510">
        <v>88.962450170234902</v>
      </c>
      <c r="AN2510">
        <v>0.99999994854031105</v>
      </c>
    </row>
    <row r="2511" spans="1:40" x14ac:dyDescent="0.25">
      <c r="A2511" t="str">
        <f>"20190312164521600"</f>
        <v>20190312164521600</v>
      </c>
      <c r="B2511" t="str">
        <f>"1552380321593888"</f>
        <v>1552380321593888</v>
      </c>
      <c r="C2511" t="s">
        <v>40</v>
      </c>
      <c r="D2511">
        <v>5.6402229999999998</v>
      </c>
      <c r="E2511">
        <v>0.49499330000000002</v>
      </c>
      <c r="F2511" t="s">
        <v>61</v>
      </c>
      <c r="G2511">
        <v>-107.39749999999999</v>
      </c>
      <c r="H2511">
        <v>40.631610000000002</v>
      </c>
      <c r="I2511">
        <v>212.33410000000001</v>
      </c>
      <c r="J2511">
        <v>-402.9905</v>
      </c>
      <c r="K2511">
        <v>1.10737</v>
      </c>
      <c r="L2511">
        <v>213.4504</v>
      </c>
      <c r="M2511">
        <v>0.99999249999999995</v>
      </c>
      <c r="N2511">
        <v>0</v>
      </c>
      <c r="O2511">
        <v>1.0404800000000001E-3</v>
      </c>
      <c r="P2511">
        <v>0.98708499999999999</v>
      </c>
      <c r="Q2511">
        <v>0.15917400000000001</v>
      </c>
      <c r="R2511">
        <v>-1.8078179999999999E-2</v>
      </c>
      <c r="S2511">
        <v>2.974945</v>
      </c>
      <c r="T2511">
        <v>0.39723350000000002</v>
      </c>
      <c r="U2511">
        <v>-1.121521E-2</v>
      </c>
      <c r="V2511">
        <v>1.9153170000000001E-2</v>
      </c>
      <c r="W2511">
        <v>0.16283900000000001</v>
      </c>
      <c r="X2511">
        <v>0.98646670000000003</v>
      </c>
      <c r="Y2511">
        <v>4.7588689999999998E-3</v>
      </c>
      <c r="Z2511">
        <v>4.546307E-4</v>
      </c>
      <c r="AA2511">
        <v>0.99998860000000001</v>
      </c>
      <c r="AB2511">
        <v>41</v>
      </c>
      <c r="AC2511">
        <v>295.59300000000002</v>
      </c>
      <c r="AD2511">
        <v>39.524239999999899</v>
      </c>
      <c r="AE2511">
        <v>-1.1162999999999901</v>
      </c>
      <c r="AF2511">
        <v>1.39885070237228</v>
      </c>
      <c r="AG2511">
        <v>39.524239999999899</v>
      </c>
      <c r="AH2511">
        <v>290.39974874720502</v>
      </c>
      <c r="AI2511">
        <v>82.249591231537295</v>
      </c>
      <c r="AJ2511">
        <v>89.724009328977402</v>
      </c>
      <c r="AK2511">
        <v>293.080426510037</v>
      </c>
      <c r="AL2511">
        <v>80.628279162919</v>
      </c>
      <c r="AM2511">
        <v>88.887688820811604</v>
      </c>
      <c r="AN2511">
        <v>0.99999996702546901</v>
      </c>
    </row>
    <row r="2512" spans="1:40" x14ac:dyDescent="0.25">
      <c r="A2512" t="str">
        <f>"20190312164521623"</f>
        <v>20190312164521623</v>
      </c>
      <c r="B2512" t="str">
        <f>"1552380321614384"</f>
        <v>1552380321614384</v>
      </c>
      <c r="C2512" t="s">
        <v>40</v>
      </c>
      <c r="D2512">
        <v>5.5092249999999998</v>
      </c>
      <c r="E2512">
        <v>0.49482959999999898</v>
      </c>
      <c r="F2512" t="s">
        <v>61</v>
      </c>
      <c r="G2512">
        <v>-107.39749999999999</v>
      </c>
      <c r="H2512">
        <v>40.066510000000001</v>
      </c>
      <c r="I2512">
        <v>212.35300000000001</v>
      </c>
      <c r="J2512">
        <v>-402.57510000000002</v>
      </c>
      <c r="K2512">
        <v>1.1073599999999999</v>
      </c>
      <c r="L2512">
        <v>213.45070000000001</v>
      </c>
      <c r="M2512">
        <v>0.99999260000000001</v>
      </c>
      <c r="N2512">
        <v>0</v>
      </c>
      <c r="O2512">
        <v>9.3969590000000003E-4</v>
      </c>
      <c r="P2512">
        <v>0.98707149999999999</v>
      </c>
      <c r="Q2512">
        <v>0.15909879999999901</v>
      </c>
      <c r="R2512">
        <v>-1.9419280000000001E-2</v>
      </c>
      <c r="S2512">
        <v>2.9758</v>
      </c>
      <c r="T2512">
        <v>0.39221060000000002</v>
      </c>
      <c r="U2512">
        <v>-1.1047360000000001E-2</v>
      </c>
      <c r="V2512">
        <v>2.0395650000000001E-2</v>
      </c>
      <c r="W2512">
        <v>0.16275529999999999</v>
      </c>
      <c r="X2512">
        <v>0.98645559999999999</v>
      </c>
      <c r="Y2512">
        <v>4.6041270000000004E-3</v>
      </c>
      <c r="Z2512">
        <v>4.2542399999999998E-4</v>
      </c>
      <c r="AA2512">
        <v>0.99998929999999997</v>
      </c>
      <c r="AB2512">
        <v>41</v>
      </c>
      <c r="AC2512">
        <v>295.17759999999998</v>
      </c>
      <c r="AD2512">
        <v>38.959150000000001</v>
      </c>
      <c r="AE2512">
        <v>-1.0977000000000301</v>
      </c>
      <c r="AF2512">
        <v>1.35153499506584</v>
      </c>
      <c r="AG2512">
        <v>38.959150000000001</v>
      </c>
      <c r="AH2512">
        <v>290.12252707530598</v>
      </c>
      <c r="AI2512">
        <v>82.351862264021193</v>
      </c>
      <c r="AJ2512">
        <v>89.7330896993805</v>
      </c>
      <c r="AK2512">
        <v>292.729777665558</v>
      </c>
      <c r="AL2512">
        <v>80.633139599281407</v>
      </c>
      <c r="AM2512">
        <v>88.815538995386603</v>
      </c>
      <c r="AN2512">
        <v>0.99999996049418505</v>
      </c>
    </row>
    <row r="2513" spans="1:40" x14ac:dyDescent="0.25">
      <c r="A2513" t="str">
        <f>"20190312164521645"</f>
        <v>20190312164521645</v>
      </c>
      <c r="B2513" t="str">
        <f>"1552380321633905"</f>
        <v>1552380321633905</v>
      </c>
      <c r="C2513" t="s">
        <v>40</v>
      </c>
      <c r="D2513">
        <v>5.1050709999999997</v>
      </c>
      <c r="E2513">
        <v>0.49442629999999999</v>
      </c>
      <c r="F2513" t="s">
        <v>61</v>
      </c>
      <c r="G2513">
        <v>-107.39749999999999</v>
      </c>
      <c r="H2513">
        <v>39.704000000000001</v>
      </c>
      <c r="I2513">
        <v>212.0933</v>
      </c>
      <c r="J2513">
        <v>-402.16879999999998</v>
      </c>
      <c r="K2513">
        <v>1.1073500000000001</v>
      </c>
      <c r="L2513">
        <v>213.4511</v>
      </c>
      <c r="M2513">
        <v>0.99999280000000002</v>
      </c>
      <c r="N2513">
        <v>0</v>
      </c>
      <c r="O2513">
        <v>8.4093380000000004E-4</v>
      </c>
      <c r="P2513">
        <v>0.98708830000000003</v>
      </c>
      <c r="Q2513">
        <v>0.15891189999999999</v>
      </c>
      <c r="R2513">
        <v>-2.009886E-2</v>
      </c>
      <c r="S2513">
        <v>2.9763489999999999</v>
      </c>
      <c r="T2513">
        <v>0.38918009999999997</v>
      </c>
      <c r="U2513">
        <v>-1.368713E-2</v>
      </c>
      <c r="V2513">
        <v>2.0977989999999998E-2</v>
      </c>
      <c r="W2513">
        <v>0.16256329999999999</v>
      </c>
      <c r="X2513">
        <v>0.98647510000000005</v>
      </c>
      <c r="Y2513">
        <v>5.3865019999999996E-3</v>
      </c>
      <c r="Z2513">
        <v>4.6016109999999998E-4</v>
      </c>
      <c r="AA2513">
        <v>0.99998540000000002</v>
      </c>
      <c r="AB2513">
        <v>41</v>
      </c>
      <c r="AC2513">
        <v>294.7713</v>
      </c>
      <c r="AD2513">
        <v>38.596649999999997</v>
      </c>
      <c r="AE2513">
        <v>-1.3577999999999899</v>
      </c>
      <c r="AF2513">
        <v>1.5786200397889201</v>
      </c>
      <c r="AG2513">
        <v>38.596649999999997</v>
      </c>
      <c r="AH2513">
        <v>289.80160983473201</v>
      </c>
      <c r="AI2513">
        <v>82.413930620234794</v>
      </c>
      <c r="AJ2513">
        <v>89.687899003754694</v>
      </c>
      <c r="AK2513">
        <v>292.36478326784601</v>
      </c>
      <c r="AL2513">
        <v>80.644289365376395</v>
      </c>
      <c r="AM2513">
        <v>88.781754192845298</v>
      </c>
      <c r="AN2513">
        <v>1.0000000127456701</v>
      </c>
    </row>
    <row r="2514" spans="1:40" x14ac:dyDescent="0.25">
      <c r="A2514" t="str">
        <f>"20190312164521667"</f>
        <v>20190312164521667</v>
      </c>
      <c r="B2514" t="str">
        <f>"1552380321664161"</f>
        <v>1552380321664161</v>
      </c>
      <c r="C2514" t="s">
        <v>40</v>
      </c>
      <c r="D2514">
        <v>5.1787470000000004</v>
      </c>
      <c r="E2514">
        <v>0.49044100000000002</v>
      </c>
      <c r="F2514" t="s">
        <v>61</v>
      </c>
      <c r="G2514">
        <v>-107.39749999999999</v>
      </c>
      <c r="H2514">
        <v>39.507899999999999</v>
      </c>
      <c r="I2514">
        <v>212.19540000000001</v>
      </c>
      <c r="J2514">
        <v>-401.76139999999998</v>
      </c>
      <c r="K2514">
        <v>1.1073390000000001</v>
      </c>
      <c r="L2514">
        <v>213.4513</v>
      </c>
      <c r="M2514">
        <v>0.99999300000000002</v>
      </c>
      <c r="N2514">
        <v>0</v>
      </c>
      <c r="O2514">
        <v>7.4222649999999997E-4</v>
      </c>
      <c r="P2514">
        <v>0.98713249999999997</v>
      </c>
      <c r="Q2514">
        <v>0.1584942</v>
      </c>
      <c r="R2514">
        <v>-2.1200569999999998E-2</v>
      </c>
      <c r="S2514">
        <v>2.9765630000000001</v>
      </c>
      <c r="T2514">
        <v>0.3877642</v>
      </c>
      <c r="U2514">
        <v>-1.268005E-2</v>
      </c>
      <c r="V2514">
        <v>2.1982829999999998E-2</v>
      </c>
      <c r="W2514">
        <v>0.16214310000000001</v>
      </c>
      <c r="X2514">
        <v>0.98652240000000002</v>
      </c>
      <c r="Y2514">
        <v>4.95402E-3</v>
      </c>
      <c r="Z2514">
        <v>4.1761229999999998E-4</v>
      </c>
      <c r="AA2514">
        <v>0.99998770000000003</v>
      </c>
      <c r="AB2514">
        <v>41</v>
      </c>
      <c r="AC2514">
        <v>294.3639</v>
      </c>
      <c r="AD2514">
        <v>38.400561000000003</v>
      </c>
      <c r="AE2514">
        <v>-1.25589999999999</v>
      </c>
      <c r="AF2514">
        <v>1.44971514793685</v>
      </c>
      <c r="AG2514">
        <v>38.400561000000003</v>
      </c>
      <c r="AH2514">
        <v>289.43735952230298</v>
      </c>
      <c r="AI2514">
        <v>82.442619564118701</v>
      </c>
      <c r="AJ2514">
        <v>89.713023000860005</v>
      </c>
      <c r="AK2514">
        <v>291.97720775150901</v>
      </c>
      <c r="AL2514">
        <v>80.668689000671407</v>
      </c>
      <c r="AM2514">
        <v>88.723480606850501</v>
      </c>
      <c r="AN2514">
        <v>1.0000000376970799</v>
      </c>
    </row>
    <row r="2515" spans="1:40" x14ac:dyDescent="0.25">
      <c r="A2515" t="str">
        <f>"20190312164521690"</f>
        <v>20190312164521690</v>
      </c>
      <c r="B2515" t="str">
        <f>"1552380321683681"</f>
        <v>1552380321683681</v>
      </c>
      <c r="C2515" t="s">
        <v>40</v>
      </c>
      <c r="D2515">
        <v>5.2025899999999998</v>
      </c>
      <c r="E2515">
        <v>0.49004920000000002</v>
      </c>
      <c r="F2515" t="s">
        <v>61</v>
      </c>
      <c r="G2515">
        <v>-107.39749999999999</v>
      </c>
      <c r="H2515">
        <v>37.489879999999999</v>
      </c>
      <c r="I2515">
        <v>215.08799999999999</v>
      </c>
      <c r="J2515">
        <v>-401.3322</v>
      </c>
      <c r="K2515">
        <v>1.1073360000000001</v>
      </c>
      <c r="L2515">
        <v>213.45160000000001</v>
      </c>
      <c r="M2515">
        <v>0.99999300000000002</v>
      </c>
      <c r="N2515">
        <v>0</v>
      </c>
      <c r="O2515">
        <v>6.3821069999999997E-4</v>
      </c>
      <c r="P2515">
        <v>0.98728700000000003</v>
      </c>
      <c r="Q2515">
        <v>0.15745010000000001</v>
      </c>
      <c r="R2515">
        <v>-2.1770020000000001E-2</v>
      </c>
      <c r="S2515">
        <v>2.9803160000000002</v>
      </c>
      <c r="T2515">
        <v>0.36835909999999999</v>
      </c>
      <c r="U2515">
        <v>1.6571039999999999E-2</v>
      </c>
      <c r="V2515">
        <v>2.244989E-2</v>
      </c>
      <c r="W2515">
        <v>0.1610994</v>
      </c>
      <c r="X2515">
        <v>0.98668279999999997</v>
      </c>
      <c r="Y2515">
        <v>-4.8895240000000001E-3</v>
      </c>
      <c r="Z2515">
        <v>-2.2243640000000001E-4</v>
      </c>
      <c r="AA2515">
        <v>0.99998799999999999</v>
      </c>
      <c r="AB2515">
        <v>41</v>
      </c>
      <c r="AC2515">
        <v>293.93470000000002</v>
      </c>
      <c r="AD2515">
        <v>36.382544000000003</v>
      </c>
      <c r="AE2515">
        <v>1.6363999999999801</v>
      </c>
      <c r="AF2515">
        <v>-1.4269447148640699</v>
      </c>
      <c r="AG2515">
        <v>36.382544000000003</v>
      </c>
      <c r="AH2515">
        <v>289.50041375785003</v>
      </c>
      <c r="AI2515">
        <v>82.837075198635006</v>
      </c>
      <c r="AJ2515">
        <v>90.282408051191695</v>
      </c>
      <c r="AK2515">
        <v>291.78110844449401</v>
      </c>
      <c r="AL2515">
        <v>80.729284744013398</v>
      </c>
      <c r="AM2515">
        <v>88.696580046599095</v>
      </c>
      <c r="AN2515">
        <v>0.99999998102860499</v>
      </c>
    </row>
    <row r="2516" spans="1:40" x14ac:dyDescent="0.25">
      <c r="A2516" t="str">
        <f>"20190312164521711"</f>
        <v>20190312164521711</v>
      </c>
      <c r="B2516" t="str">
        <f>"1552380321704177"</f>
        <v>1552380321704177</v>
      </c>
      <c r="C2516" t="s">
        <v>40</v>
      </c>
      <c r="D2516">
        <v>4.9694820000000002</v>
      </c>
      <c r="E2516">
        <v>0.48659409999999997</v>
      </c>
      <c r="F2516" t="s">
        <v>61</v>
      </c>
      <c r="G2516">
        <v>-107.39749999999999</v>
      </c>
      <c r="H2516">
        <v>37.418349999999997</v>
      </c>
      <c r="I2516">
        <v>215.21379999999999</v>
      </c>
      <c r="J2516">
        <v>-400.9196</v>
      </c>
      <c r="K2516">
        <v>1.107324</v>
      </c>
      <c r="L2516">
        <v>213.45169999999999</v>
      </c>
      <c r="M2516">
        <v>0.99999300000000002</v>
      </c>
      <c r="N2516">
        <v>0</v>
      </c>
      <c r="O2516">
        <v>5.3842339999999895E-4</v>
      </c>
      <c r="P2516">
        <v>0.98735229999999996</v>
      </c>
      <c r="Q2516">
        <v>0.15698429999999999</v>
      </c>
      <c r="R2516">
        <v>-2.2173660000000001E-2</v>
      </c>
      <c r="S2516">
        <v>2.9803160000000002</v>
      </c>
      <c r="T2516">
        <v>0.36817169999999999</v>
      </c>
      <c r="U2516">
        <v>1.7868040000000002E-2</v>
      </c>
      <c r="V2516">
        <v>2.2755210000000001E-2</v>
      </c>
      <c r="W2516">
        <v>0.1606358</v>
      </c>
      <c r="X2516">
        <v>0.98675139999999995</v>
      </c>
      <c r="Y2516">
        <v>-5.4197219999999897E-3</v>
      </c>
      <c r="Z2516">
        <v>-2.672288E-4</v>
      </c>
      <c r="AA2516">
        <v>0.99998529999999997</v>
      </c>
      <c r="AB2516">
        <v>42</v>
      </c>
      <c r="AC2516">
        <v>293.52210000000002</v>
      </c>
      <c r="AD2516">
        <v>36.311025999999998</v>
      </c>
      <c r="AE2516">
        <v>1.7621</v>
      </c>
      <c r="AF2516">
        <v>-1.5798823760426699</v>
      </c>
      <c r="AG2516">
        <v>36.311025999999998</v>
      </c>
      <c r="AH2516">
        <v>289.09889326099199</v>
      </c>
      <c r="AI2516">
        <v>82.841203359556403</v>
      </c>
      <c r="AJ2516">
        <v>90.313109781047999</v>
      </c>
      <c r="AK2516">
        <v>291.37459862216099</v>
      </c>
      <c r="AL2516">
        <v>80.756197689115197</v>
      </c>
      <c r="AM2516">
        <v>88.678951503389897</v>
      </c>
      <c r="AN2516">
        <v>0.99999999261287198</v>
      </c>
    </row>
    <row r="2517" spans="1:40" x14ac:dyDescent="0.25">
      <c r="A2517" t="str">
        <f>"20190312164521734"</f>
        <v>20190312164521734</v>
      </c>
      <c r="B2517" t="str">
        <f>"1552380321723700"</f>
        <v>1552380321723700</v>
      </c>
      <c r="C2517" t="s">
        <v>40</v>
      </c>
      <c r="D2517">
        <v>5.2714749999999997</v>
      </c>
      <c r="E2517">
        <v>0.49292910000000001</v>
      </c>
      <c r="F2517" t="s">
        <v>41</v>
      </c>
      <c r="G2517">
        <v>-399.90620000000001</v>
      </c>
      <c r="H2517">
        <v>0.99323510000000004</v>
      </c>
      <c r="I2517">
        <v>213.47460000000001</v>
      </c>
      <c r="J2517">
        <v>-400.49400000000003</v>
      </c>
      <c r="K2517">
        <v>1.107313</v>
      </c>
      <c r="L2517">
        <v>213.45189999999999</v>
      </c>
      <c r="M2517">
        <v>0.99999309999999997</v>
      </c>
      <c r="N2517">
        <v>0</v>
      </c>
      <c r="O2517">
        <v>4.3541370000000002E-4</v>
      </c>
      <c r="P2517">
        <v>0.98745769999999999</v>
      </c>
      <c r="Q2517">
        <v>0.15630929999999901</v>
      </c>
      <c r="R2517">
        <v>-2.224566E-2</v>
      </c>
      <c r="S2517">
        <v>3.0953979999999999</v>
      </c>
      <c r="T2517">
        <v>-0.3485144</v>
      </c>
      <c r="U2517">
        <v>7.0297239999999997E-2</v>
      </c>
      <c r="V2517">
        <v>2.2725829999999999E-2</v>
      </c>
      <c r="W2517">
        <v>0.1599661</v>
      </c>
      <c r="X2517">
        <v>0.98686090000000004</v>
      </c>
      <c r="Y2517">
        <v>-2.213207E-2</v>
      </c>
      <c r="Z2517">
        <v>1.1929919999999999E-3</v>
      </c>
      <c r="AA2517">
        <v>0.99975440000000004</v>
      </c>
      <c r="AB2517">
        <v>42</v>
      </c>
      <c r="AC2517">
        <v>0.58780000000001498</v>
      </c>
      <c r="AD2517">
        <v>-0.114077899999999</v>
      </c>
      <c r="AE2517">
        <v>2.2700000000014601E-2</v>
      </c>
      <c r="AF2517">
        <v>-2.1630547558588901E-2</v>
      </c>
      <c r="AG2517">
        <v>-0.114077899999999</v>
      </c>
      <c r="AH2517">
        <v>0.56650394281248695</v>
      </c>
      <c r="AI2517">
        <v>101.37741190502</v>
      </c>
      <c r="AJ2517">
        <v>92.186634967370793</v>
      </c>
      <c r="AK2517">
        <v>0.57828052455377399</v>
      </c>
      <c r="AL2517">
        <v>80.795071693136094</v>
      </c>
      <c r="AM2517">
        <v>88.680802889118993</v>
      </c>
      <c r="AN2517">
        <v>1.0000000262236</v>
      </c>
    </row>
    <row r="2518" spans="1:40" x14ac:dyDescent="0.25">
      <c r="A2518" t="str">
        <f>"20190312164521756"</f>
        <v>20190312164521756</v>
      </c>
      <c r="B2518" t="str">
        <f>"1552380321753953"</f>
        <v>1552380321753953</v>
      </c>
      <c r="C2518" t="s">
        <v>40</v>
      </c>
      <c r="D2518">
        <v>5.4647119999999996</v>
      </c>
      <c r="E2518">
        <v>0.5054305</v>
      </c>
      <c r="F2518" t="s">
        <v>61</v>
      </c>
      <c r="G2518">
        <v>-107.39749999999999</v>
      </c>
      <c r="H2518">
        <v>34.586449999999999</v>
      </c>
      <c r="I2518">
        <v>212.90479999999999</v>
      </c>
      <c r="J2518">
        <v>-400.09109999999998</v>
      </c>
      <c r="K2518">
        <v>1.107302</v>
      </c>
      <c r="L2518">
        <v>213.452</v>
      </c>
      <c r="M2518">
        <v>0.99999300000000002</v>
      </c>
      <c r="N2518">
        <v>0</v>
      </c>
      <c r="O2518">
        <v>3.4039230000000001E-4</v>
      </c>
      <c r="P2518">
        <v>0.98779419999999996</v>
      </c>
      <c r="Q2518">
        <v>0.15415200000000001</v>
      </c>
      <c r="R2518">
        <v>-2.23678E-2</v>
      </c>
      <c r="S2518">
        <v>2.9840390000000001</v>
      </c>
      <c r="T2518">
        <v>0.3408544</v>
      </c>
      <c r="U2518">
        <v>-5.5694580000000002E-3</v>
      </c>
      <c r="V2518">
        <v>2.275319E-2</v>
      </c>
      <c r="W2518">
        <v>0.15781600000000001</v>
      </c>
      <c r="X2518">
        <v>0.98720629999999998</v>
      </c>
      <c r="Y2518">
        <v>2.1903500000000002E-3</v>
      </c>
      <c r="Z2518">
        <v>1.6344760000000001E-4</v>
      </c>
      <c r="AA2518">
        <v>0.99999760000000004</v>
      </c>
      <c r="AB2518">
        <v>42</v>
      </c>
      <c r="AC2518">
        <v>292.6936</v>
      </c>
      <c r="AD2518">
        <v>33.479147999999903</v>
      </c>
      <c r="AE2518">
        <v>-0.54720000000000302</v>
      </c>
      <c r="AF2518">
        <v>0.638477842702036</v>
      </c>
      <c r="AG2518">
        <v>33.479147999999903</v>
      </c>
      <c r="AH2518">
        <v>288.91342509225598</v>
      </c>
      <c r="AI2518">
        <v>83.390089735756803</v>
      </c>
      <c r="AJ2518">
        <v>89.873380663653904</v>
      </c>
      <c r="AK2518">
        <v>290.84743114440602</v>
      </c>
      <c r="AL2518">
        <v>80.919847714461497</v>
      </c>
      <c r="AM2518">
        <v>88.679677195854495</v>
      </c>
      <c r="AN2518">
        <v>0.99999993813543098</v>
      </c>
    </row>
    <row r="2519" spans="1:40" x14ac:dyDescent="0.25">
      <c r="A2519" t="str">
        <f>"20190312164521780"</f>
        <v>20190312164521780</v>
      </c>
      <c r="B2519" t="str">
        <f>"1552380321774448"</f>
        <v>1552380321774448</v>
      </c>
      <c r="C2519" t="s">
        <v>40</v>
      </c>
      <c r="D2519">
        <v>5.1432469999999997</v>
      </c>
      <c r="E2519">
        <v>0.50966889999999998</v>
      </c>
      <c r="F2519" t="s">
        <v>60</v>
      </c>
      <c r="G2519">
        <v>-168.4179</v>
      </c>
      <c r="H2519">
        <v>21.50854</v>
      </c>
      <c r="I2519">
        <v>205.48949999999999</v>
      </c>
      <c r="J2519">
        <v>-399.6379</v>
      </c>
      <c r="K2519">
        <v>1.107289</v>
      </c>
      <c r="L2519">
        <v>213.4521</v>
      </c>
      <c r="M2519">
        <v>0.99999300000000002</v>
      </c>
      <c r="N2519">
        <v>0</v>
      </c>
      <c r="O2519">
        <v>2.4276119999999999E-4</v>
      </c>
      <c r="P2519">
        <v>0.98813030000000002</v>
      </c>
      <c r="Q2519">
        <v>0.151892</v>
      </c>
      <c r="R2519">
        <v>-2.2966339999999998E-2</v>
      </c>
      <c r="S2519">
        <v>2.9936219999999998</v>
      </c>
      <c r="T2519">
        <v>0.26362000000000002</v>
      </c>
      <c r="U2519">
        <v>-0.10289</v>
      </c>
      <c r="V2519">
        <v>2.325354E-2</v>
      </c>
      <c r="W2519">
        <v>0.15556589999999901</v>
      </c>
      <c r="X2519">
        <v>0.98755179999999998</v>
      </c>
      <c r="Y2519">
        <v>3.4457950000000001E-2</v>
      </c>
      <c r="Z2519">
        <v>1.535149E-3</v>
      </c>
      <c r="AA2519">
        <v>0.99940499999999999</v>
      </c>
      <c r="AB2519">
        <v>42</v>
      </c>
      <c r="AC2519">
        <v>231.22</v>
      </c>
      <c r="AD2519">
        <v>20.401250999999998</v>
      </c>
      <c r="AE2519">
        <v>-7.9626000000000001</v>
      </c>
      <c r="AF2519">
        <v>7.9568600238459402</v>
      </c>
      <c r="AG2519">
        <v>20.401250999999998</v>
      </c>
      <c r="AH2519">
        <v>229.43401488709</v>
      </c>
      <c r="AI2519">
        <v>84.921665969713104</v>
      </c>
      <c r="AJ2519">
        <v>88.013756342885998</v>
      </c>
      <c r="AK2519">
        <v>230.476657930935</v>
      </c>
      <c r="AL2519">
        <v>81.050382091107807</v>
      </c>
      <c r="AM2519">
        <v>88.651125390935405</v>
      </c>
      <c r="AN2519">
        <v>1.00000001702429</v>
      </c>
    </row>
    <row r="2520" spans="1:40" x14ac:dyDescent="0.25">
      <c r="A2520" t="str">
        <f>"20190312164521802"</f>
        <v>20190312164521802</v>
      </c>
      <c r="B2520" t="str">
        <f>"1552380321793969"</f>
        <v>1552380321793969</v>
      </c>
      <c r="C2520" t="s">
        <v>40</v>
      </c>
      <c r="D2520">
        <v>5.170693</v>
      </c>
      <c r="E2520">
        <v>0.51092309999999996</v>
      </c>
      <c r="F2520" t="s">
        <v>60</v>
      </c>
      <c r="G2520">
        <v>-168.41759999999999</v>
      </c>
      <c r="H2520">
        <v>17.98244</v>
      </c>
      <c r="I2520">
        <v>202.92590000000001</v>
      </c>
      <c r="J2520">
        <v>-399.21379999999999</v>
      </c>
      <c r="K2520">
        <v>1.1072839999999999</v>
      </c>
      <c r="L2520">
        <v>213.4521</v>
      </c>
      <c r="M2520">
        <v>0.99999300000000002</v>
      </c>
      <c r="N2520">
        <v>0</v>
      </c>
      <c r="O2520">
        <v>1.686398E-4</v>
      </c>
      <c r="P2520">
        <v>0.98842609999999997</v>
      </c>
      <c r="Q2520">
        <v>0.1498023</v>
      </c>
      <c r="R2520">
        <v>-2.3936889999999999E-2</v>
      </c>
      <c r="S2520">
        <v>2.9991759999999998</v>
      </c>
      <c r="T2520">
        <v>0.2188891</v>
      </c>
      <c r="U2520">
        <v>-0.13653560000000001</v>
      </c>
      <c r="V2520">
        <v>2.4146830000000001E-2</v>
      </c>
      <c r="W2520">
        <v>0.15348680000000001</v>
      </c>
      <c r="X2520">
        <v>0.98785559999999994</v>
      </c>
      <c r="Y2520">
        <v>4.5524469999999997E-2</v>
      </c>
      <c r="Z2520">
        <v>1.670482E-3</v>
      </c>
      <c r="AA2520">
        <v>0.99896180000000001</v>
      </c>
      <c r="AB2520">
        <v>42</v>
      </c>
      <c r="AC2520">
        <v>230.7962</v>
      </c>
      <c r="AD2520">
        <v>16.875156</v>
      </c>
      <c r="AE2520">
        <v>-10.5261999999999</v>
      </c>
      <c r="AF2520">
        <v>10.509055552588899</v>
      </c>
      <c r="AG2520">
        <v>16.875156</v>
      </c>
      <c r="AH2520">
        <v>229.569663411752</v>
      </c>
      <c r="AI2520">
        <v>85.800258145946202</v>
      </c>
      <c r="AJ2520">
        <v>87.378989651488297</v>
      </c>
      <c r="AK2520">
        <v>230.42882089186901</v>
      </c>
      <c r="AL2520">
        <v>81.170953639188497</v>
      </c>
      <c r="AM2520">
        <v>88.599758912222796</v>
      </c>
      <c r="AN2520">
        <v>0.999999976812324</v>
      </c>
    </row>
    <row r="2521" spans="1:40" x14ac:dyDescent="0.25">
      <c r="A2521" t="str">
        <f>"20190312164521825"</f>
        <v>20190312164521825</v>
      </c>
      <c r="B2521" t="str">
        <f>"1552380321814468"</f>
        <v>1552380321814468</v>
      </c>
      <c r="C2521" t="s">
        <v>40</v>
      </c>
      <c r="D2521">
        <v>5.3488189999999998</v>
      </c>
      <c r="E2521">
        <v>0.51237959999999905</v>
      </c>
      <c r="F2521" t="s">
        <v>60</v>
      </c>
      <c r="G2521">
        <v>-168.417</v>
      </c>
      <c r="H2521">
        <v>15.14927</v>
      </c>
      <c r="I2521">
        <v>202.08240000000001</v>
      </c>
      <c r="J2521">
        <v>-398.78309999999999</v>
      </c>
      <c r="K2521">
        <v>1.107286</v>
      </c>
      <c r="L2521">
        <v>213.4521</v>
      </c>
      <c r="M2521">
        <v>0.99999309999999997</v>
      </c>
      <c r="N2521">
        <v>0</v>
      </c>
      <c r="O2521">
        <v>1.1200109999999999E-4</v>
      </c>
      <c r="P2521">
        <v>0.98862910000000004</v>
      </c>
      <c r="Q2521">
        <v>0.14826400000000001</v>
      </c>
      <c r="R2521">
        <v>-2.5113779999999999E-2</v>
      </c>
      <c r="S2521">
        <v>3.003876</v>
      </c>
      <c r="T2521">
        <v>0.18276010000000001</v>
      </c>
      <c r="U2521">
        <v>-0.14797969999999999</v>
      </c>
      <c r="V2521">
        <v>2.5262119999999999E-2</v>
      </c>
      <c r="W2521">
        <v>0.1519605</v>
      </c>
      <c r="X2521">
        <v>0.98806369999999999</v>
      </c>
      <c r="Y2521">
        <v>4.9224120000000003E-2</v>
      </c>
      <c r="Z2521">
        <v>1.5019499999999999E-3</v>
      </c>
      <c r="AA2521">
        <v>0.99878659999999997</v>
      </c>
      <c r="AB2521">
        <v>42</v>
      </c>
      <c r="AC2521">
        <v>230.36609999999999</v>
      </c>
      <c r="AD2521">
        <v>14.041983999999999</v>
      </c>
      <c r="AE2521">
        <v>-11.3696999999999</v>
      </c>
      <c r="AF2521">
        <v>11.3534199906086</v>
      </c>
      <c r="AG2521">
        <v>14.041983999999999</v>
      </c>
      <c r="AH2521">
        <v>229.51413258485101</v>
      </c>
      <c r="AI2521">
        <v>86.503196079991497</v>
      </c>
      <c r="AJ2521">
        <v>87.168047019635907</v>
      </c>
      <c r="AK2521">
        <v>230.223401322098</v>
      </c>
      <c r="AL2521">
        <v>81.2594426606843</v>
      </c>
      <c r="AM2521">
        <v>88.535420746342794</v>
      </c>
      <c r="AN2521">
        <v>1.0000000217624101</v>
      </c>
    </row>
    <row r="2522" spans="1:40" x14ac:dyDescent="0.25">
      <c r="A2522" t="str">
        <f>"20190312164521845"</f>
        <v>20190312164521845</v>
      </c>
      <c r="B2522" t="str">
        <f>"1552380321833985"</f>
        <v>1552380321833985</v>
      </c>
      <c r="C2522" t="s">
        <v>40</v>
      </c>
      <c r="D2522">
        <v>5.1829780000000003</v>
      </c>
      <c r="E2522">
        <v>0.51336440000000005</v>
      </c>
      <c r="F2522" t="s">
        <v>60</v>
      </c>
      <c r="G2522">
        <v>-169.71520000000001</v>
      </c>
      <c r="H2522">
        <v>13.45115</v>
      </c>
      <c r="I2522">
        <v>201.08170000000001</v>
      </c>
      <c r="J2522">
        <v>-398.38760000000002</v>
      </c>
      <c r="K2522">
        <v>1.1072949999999999</v>
      </c>
      <c r="L2522">
        <v>213.4521</v>
      </c>
      <c r="M2522">
        <v>0.99999300000000002</v>
      </c>
      <c r="N2522">
        <v>0</v>
      </c>
      <c r="O2522" s="1">
        <v>7.9211619999999906E-5</v>
      </c>
      <c r="P2522">
        <v>0.98872879999999996</v>
      </c>
      <c r="Q2522">
        <v>0.14727699999999999</v>
      </c>
      <c r="R2522">
        <v>-2.6925790000000002E-2</v>
      </c>
      <c r="S2522">
        <v>3.0060730000000002</v>
      </c>
      <c r="T2522">
        <v>0.16198969999999999</v>
      </c>
      <c r="U2522">
        <v>-0.16233829999999999</v>
      </c>
      <c r="V2522">
        <v>2.7035859999999998E-2</v>
      </c>
      <c r="W2522">
        <v>0.1509848</v>
      </c>
      <c r="X2522">
        <v>0.98816630000000005</v>
      </c>
      <c r="Y2522">
        <v>5.3925830000000001E-2</v>
      </c>
      <c r="Z2522">
        <v>1.4551179999999901E-3</v>
      </c>
      <c r="AA2522">
        <v>0.99854390000000004</v>
      </c>
      <c r="AB2522">
        <v>43</v>
      </c>
      <c r="AC2522">
        <v>228.67240000000001</v>
      </c>
      <c r="AD2522">
        <v>12.343855</v>
      </c>
      <c r="AE2522">
        <v>-12.370399999999901</v>
      </c>
      <c r="AF2522">
        <v>12.3526243579704</v>
      </c>
      <c r="AG2522">
        <v>12.343855</v>
      </c>
      <c r="AH2522">
        <v>228.00896351221101</v>
      </c>
      <c r="AI2522">
        <v>86.905698636668205</v>
      </c>
      <c r="AJ2522">
        <v>86.898972660646805</v>
      </c>
      <c r="AK2522">
        <v>228.676727120848</v>
      </c>
      <c r="AL2522">
        <v>81.315998468615305</v>
      </c>
      <c r="AM2522">
        <v>88.432799888035106</v>
      </c>
      <c r="AN2522">
        <v>0.99999999200633405</v>
      </c>
    </row>
    <row r="2523" spans="1:40" x14ac:dyDescent="0.25">
      <c r="A2523" t="str">
        <f>"20190312164521868"</f>
        <v>20190312164521868</v>
      </c>
      <c r="B2523" t="str">
        <f>"1552380321864144"</f>
        <v>1552380321864144</v>
      </c>
      <c r="C2523" t="s">
        <v>40</v>
      </c>
      <c r="D2523">
        <v>5.3026169999999997</v>
      </c>
      <c r="E2523">
        <v>0.51317820000000003</v>
      </c>
      <c r="F2523" t="s">
        <v>60</v>
      </c>
      <c r="G2523">
        <v>-168.41669999999999</v>
      </c>
      <c r="H2523">
        <v>12.339219999999999</v>
      </c>
      <c r="I2523">
        <v>200.08349999999999</v>
      </c>
      <c r="J2523">
        <v>-397.9581</v>
      </c>
      <c r="K2523">
        <v>1.1073090000000001</v>
      </c>
      <c r="L2523">
        <v>213.4522</v>
      </c>
      <c r="M2523">
        <v>0.99999309999999997</v>
      </c>
      <c r="N2523">
        <v>0</v>
      </c>
      <c r="O2523" s="1">
        <v>7.7273590000000004E-5</v>
      </c>
      <c r="P2523">
        <v>0.98887590000000003</v>
      </c>
      <c r="Q2523">
        <v>0.14588289999999901</v>
      </c>
      <c r="R2523">
        <v>-2.9039349999999998E-2</v>
      </c>
      <c r="S2523">
        <v>3.007568</v>
      </c>
      <c r="T2523">
        <v>0.14689199999999999</v>
      </c>
      <c r="U2523">
        <v>-0.1748352</v>
      </c>
      <c r="V2523">
        <v>2.9138540000000001E-2</v>
      </c>
      <c r="W2523">
        <v>0.14960499999999999</v>
      </c>
      <c r="X2523">
        <v>0.98831639999999998</v>
      </c>
      <c r="Y2523">
        <v>5.8041870000000002E-2</v>
      </c>
      <c r="Z2523">
        <v>1.419137E-3</v>
      </c>
      <c r="AA2523">
        <v>0.99831309999999995</v>
      </c>
      <c r="AB2523">
        <v>43</v>
      </c>
      <c r="AC2523">
        <v>229.54140000000001</v>
      </c>
      <c r="AD2523">
        <v>11.231910999999901</v>
      </c>
      <c r="AE2523">
        <v>-13.3687</v>
      </c>
      <c r="AF2523">
        <v>13.3545703240429</v>
      </c>
      <c r="AG2523">
        <v>11.231910999999901</v>
      </c>
      <c r="AH2523">
        <v>228.993931155588</v>
      </c>
      <c r="AI2523">
        <v>87.196708210667595</v>
      </c>
      <c r="AJ2523">
        <v>86.662379516846201</v>
      </c>
      <c r="AK2523">
        <v>229.65783435219799</v>
      </c>
      <c r="AL2523">
        <v>81.395963641834697</v>
      </c>
      <c r="AM2523">
        <v>88.311237297598694</v>
      </c>
      <c r="AN2523">
        <v>1.00000000852364</v>
      </c>
    </row>
    <row r="2524" spans="1:40" x14ac:dyDescent="0.25">
      <c r="A2524" t="str">
        <f>"20190312164521892"</f>
        <v>20190312164521892</v>
      </c>
      <c r="B2524" t="str">
        <f>"1552380321884638"</f>
        <v>1552380321884638</v>
      </c>
      <c r="C2524" t="s">
        <v>40</v>
      </c>
      <c r="D2524">
        <v>5.1138969999999997</v>
      </c>
      <c r="E2524">
        <v>0.51369069999999994</v>
      </c>
      <c r="F2524" t="s">
        <v>60</v>
      </c>
      <c r="G2524">
        <v>-168.4162</v>
      </c>
      <c r="H2524">
        <v>10.56465</v>
      </c>
      <c r="I2524">
        <v>199.8492</v>
      </c>
      <c r="J2524">
        <v>-397.50439999999998</v>
      </c>
      <c r="K2524">
        <v>1.107337</v>
      </c>
      <c r="L2524">
        <v>213.4522</v>
      </c>
      <c r="M2524">
        <v>0.99999280000000002</v>
      </c>
      <c r="N2524">
        <v>0</v>
      </c>
      <c r="O2524">
        <v>1.348803E-4</v>
      </c>
      <c r="P2524">
        <v>0.9890873</v>
      </c>
      <c r="Q2524">
        <v>0.1440013</v>
      </c>
      <c r="R2524">
        <v>-3.1142969999999999E-2</v>
      </c>
      <c r="S2524">
        <v>3.0102229999999999</v>
      </c>
      <c r="T2524">
        <v>0.12402440000000001</v>
      </c>
      <c r="U2524">
        <v>-0.17839050000000001</v>
      </c>
      <c r="V2524">
        <v>3.1285889999999997E-2</v>
      </c>
      <c r="W2524">
        <v>0.14774100000000001</v>
      </c>
      <c r="X2524">
        <v>0.9885311</v>
      </c>
      <c r="Y2524">
        <v>5.9242219999999998E-2</v>
      </c>
      <c r="Z2524">
        <v>1.2243860000000001E-3</v>
      </c>
      <c r="AA2524">
        <v>0.99824290000000004</v>
      </c>
      <c r="AB2524">
        <v>43</v>
      </c>
      <c r="AC2524">
        <v>229.0882</v>
      </c>
      <c r="AD2524">
        <v>9.4573129999999992</v>
      </c>
      <c r="AE2524">
        <v>-13.603</v>
      </c>
      <c r="AF2524">
        <v>13.610785073281701</v>
      </c>
      <c r="AG2524">
        <v>9.4573129999999992</v>
      </c>
      <c r="AH2524">
        <v>228.69797687823799</v>
      </c>
      <c r="AI2524">
        <v>87.636183241450894</v>
      </c>
      <c r="AJ2524">
        <v>86.594102904963805</v>
      </c>
      <c r="AK2524">
        <v>229.297751553935</v>
      </c>
      <c r="AL2524">
        <v>81.503962948322993</v>
      </c>
      <c r="AM2524">
        <v>88.187258537574806</v>
      </c>
      <c r="AN2524">
        <v>0.99999997283065001</v>
      </c>
    </row>
    <row r="2525" spans="1:40" x14ac:dyDescent="0.25">
      <c r="A2525" t="str">
        <f>"20190312164521913"</f>
        <v>20190312164521913</v>
      </c>
      <c r="B2525" t="str">
        <f>"1552380321904159"</f>
        <v>1552380321904159</v>
      </c>
      <c r="C2525" t="s">
        <v>40</v>
      </c>
      <c r="D2525">
        <v>5.1326989999999997</v>
      </c>
      <c r="E2525">
        <v>0.5140015</v>
      </c>
      <c r="F2525" t="s">
        <v>60</v>
      </c>
      <c r="G2525">
        <v>-168.4161</v>
      </c>
      <c r="H2525">
        <v>9.6210810000000002</v>
      </c>
      <c r="I2525">
        <v>199.1069</v>
      </c>
      <c r="J2525">
        <v>-397.07600000000002</v>
      </c>
      <c r="K2525">
        <v>1.1073740000000001</v>
      </c>
      <c r="L2525">
        <v>213.45240000000001</v>
      </c>
      <c r="M2525">
        <v>0.99999289999999996</v>
      </c>
      <c r="N2525">
        <v>0</v>
      </c>
      <c r="O2525">
        <v>2.4854670000000001E-4</v>
      </c>
      <c r="P2525">
        <v>0.98922619999999895</v>
      </c>
      <c r="Q2525">
        <v>0.1426075</v>
      </c>
      <c r="R2525">
        <v>-3.3092740000000002E-2</v>
      </c>
      <c r="S2525">
        <v>3.0108640000000002</v>
      </c>
      <c r="T2525">
        <v>0.11189499999999999</v>
      </c>
      <c r="U2525">
        <v>-0.1885376</v>
      </c>
      <c r="V2525">
        <v>3.3331920000000001E-2</v>
      </c>
      <c r="W2525">
        <v>0.14636469999999999</v>
      </c>
      <c r="X2525">
        <v>0.98866900000000002</v>
      </c>
      <c r="Y2525">
        <v>6.2701469999999995E-2</v>
      </c>
      <c r="Z2525">
        <v>1.1727949999999999E-3</v>
      </c>
      <c r="AA2525">
        <v>0.99803160000000002</v>
      </c>
      <c r="AB2525">
        <v>43</v>
      </c>
      <c r="AC2525">
        <v>228.65989999999999</v>
      </c>
      <c r="AD2525">
        <v>8.5137070000000001</v>
      </c>
      <c r="AE2525">
        <v>-14.345499999999999</v>
      </c>
      <c r="AF2525">
        <v>14.3824723628426</v>
      </c>
      <c r="AG2525">
        <v>8.5137070000000001</v>
      </c>
      <c r="AH2525">
        <v>228.34101915777501</v>
      </c>
      <c r="AI2525">
        <v>87.868932175856997</v>
      </c>
      <c r="AJ2525">
        <v>86.395882847086</v>
      </c>
      <c r="AK2525">
        <v>228.951872121984</v>
      </c>
      <c r="AL2525">
        <v>81.583686208969297</v>
      </c>
      <c r="AM2525">
        <v>88.069065316953797</v>
      </c>
      <c r="AN2525">
        <v>1.00000001692898</v>
      </c>
    </row>
    <row r="2526" spans="1:40" x14ac:dyDescent="0.25">
      <c r="A2526" t="str">
        <f>"20190312164521936"</f>
        <v>20190312164521936</v>
      </c>
      <c r="B2526" t="str">
        <f>"1552380321923682"</f>
        <v>1552380321923682</v>
      </c>
      <c r="C2526" t="s">
        <v>40</v>
      </c>
      <c r="D2526">
        <v>5.1397139999999997</v>
      </c>
      <c r="E2526">
        <v>0.51398529999999998</v>
      </c>
      <c r="F2526" t="s">
        <v>60</v>
      </c>
      <c r="G2526">
        <v>-168.416</v>
      </c>
      <c r="H2526">
        <v>8.6599430000000002</v>
      </c>
      <c r="I2526">
        <v>198.50110000000001</v>
      </c>
      <c r="J2526">
        <v>-396.642</v>
      </c>
      <c r="K2526">
        <v>1.107407</v>
      </c>
      <c r="L2526">
        <v>213.45259999999999</v>
      </c>
      <c r="M2526">
        <v>0.99999269999999996</v>
      </c>
      <c r="N2526">
        <v>0</v>
      </c>
      <c r="O2526">
        <v>4.174758E-4</v>
      </c>
      <c r="P2526">
        <v>0.98927430000000005</v>
      </c>
      <c r="Q2526">
        <v>0.14177400000000001</v>
      </c>
      <c r="R2526">
        <v>-3.5167999999999998E-2</v>
      </c>
      <c r="S2526">
        <v>3.0117799999999999</v>
      </c>
      <c r="T2526">
        <v>9.94786E-2</v>
      </c>
      <c r="U2526">
        <v>-0.19692989999999999</v>
      </c>
      <c r="V2526">
        <v>3.5557310000000002E-2</v>
      </c>
      <c r="W2526">
        <v>0.14555100000000001</v>
      </c>
      <c r="X2526">
        <v>0.98871160000000002</v>
      </c>
      <c r="Y2526">
        <v>6.5627959999999999E-2</v>
      </c>
      <c r="Z2526">
        <v>1.096161E-3</v>
      </c>
      <c r="AA2526">
        <v>0.99784360000000005</v>
      </c>
      <c r="AB2526">
        <v>43</v>
      </c>
      <c r="AC2526">
        <v>228.226</v>
      </c>
      <c r="AD2526">
        <v>7.5525359999999999</v>
      </c>
      <c r="AE2526">
        <v>-14.9514999999999</v>
      </c>
      <c r="AF2526">
        <v>15.030388717635899</v>
      </c>
      <c r="AG2526">
        <v>7.5525359999999999</v>
      </c>
      <c r="AH2526">
        <v>227.97115293005001</v>
      </c>
      <c r="AI2526">
        <v>88.106629778390399</v>
      </c>
      <c r="AJ2526">
        <v>86.227885631461305</v>
      </c>
      <c r="AK2526">
        <v>228.59090085410401</v>
      </c>
      <c r="AL2526">
        <v>81.630812511644194</v>
      </c>
      <c r="AM2526">
        <v>87.940343612030901</v>
      </c>
      <c r="AN2526">
        <v>1.00000002193499</v>
      </c>
    </row>
    <row r="2527" spans="1:40" x14ac:dyDescent="0.25">
      <c r="A2527" t="str">
        <f>"20190312164521956"</f>
        <v>20190312164521956</v>
      </c>
      <c r="B2527" t="str">
        <f>"1552380321954689"</f>
        <v>1552380321954689</v>
      </c>
      <c r="C2527" t="s">
        <v>40</v>
      </c>
      <c r="D2527">
        <v>5.2246569999999997</v>
      </c>
      <c r="E2527">
        <v>0.51445829999999904</v>
      </c>
      <c r="F2527" t="s">
        <v>60</v>
      </c>
      <c r="G2527">
        <v>-168.41589999999999</v>
      </c>
      <c r="H2527">
        <v>7.8164319999999998</v>
      </c>
      <c r="I2527">
        <v>198.07249999999999</v>
      </c>
      <c r="J2527">
        <v>-396.23480000000001</v>
      </c>
      <c r="K2527">
        <v>1.1074379999999999</v>
      </c>
      <c r="L2527">
        <v>213.4529</v>
      </c>
      <c r="M2527">
        <v>0.99999260000000001</v>
      </c>
      <c r="N2527">
        <v>0</v>
      </c>
      <c r="O2527">
        <v>6.2173589999999998E-4</v>
      </c>
      <c r="P2527">
        <v>0.98935280000000003</v>
      </c>
      <c r="Q2527">
        <v>0.14076379999999999</v>
      </c>
      <c r="R2527">
        <v>-3.6974689999999998E-2</v>
      </c>
      <c r="S2527">
        <v>3.0126040000000001</v>
      </c>
      <c r="T2527">
        <v>8.8560100000000003E-2</v>
      </c>
      <c r="U2527">
        <v>-0.20301820000000001</v>
      </c>
      <c r="V2527">
        <v>3.7550269999999997E-2</v>
      </c>
      <c r="W2527">
        <v>0.144558299999999</v>
      </c>
      <c r="X2527">
        <v>0.98878350000000004</v>
      </c>
      <c r="Y2527">
        <v>6.7827990000000005E-2</v>
      </c>
      <c r="Z2527">
        <v>1.013863E-3</v>
      </c>
      <c r="AA2527">
        <v>0.99769649999999999</v>
      </c>
      <c r="AB2527">
        <v>43</v>
      </c>
      <c r="AC2527">
        <v>227.81890000000001</v>
      </c>
      <c r="AD2527">
        <v>6.7089939999999997</v>
      </c>
      <c r="AE2527">
        <v>-15.3804</v>
      </c>
      <c r="AF2527">
        <v>15.5086526592035</v>
      </c>
      <c r="AG2527">
        <v>6.7089939999999997</v>
      </c>
      <c r="AH2527">
        <v>227.61279584336</v>
      </c>
      <c r="AI2527">
        <v>88.315572052253799</v>
      </c>
      <c r="AJ2527">
        <v>86.102112491103398</v>
      </c>
      <c r="AK2527">
        <v>228.23915908412201</v>
      </c>
      <c r="AL2527">
        <v>81.688297563700203</v>
      </c>
      <c r="AM2527">
        <v>87.825167385395005</v>
      </c>
      <c r="AN2527">
        <v>0.99999996737410501</v>
      </c>
    </row>
    <row r="2528" spans="1:40" x14ac:dyDescent="0.25">
      <c r="A2528" t="str">
        <f>"20190312164521981"</f>
        <v>20190312164521981</v>
      </c>
      <c r="B2528" t="str">
        <f>"1552380321974208"</f>
        <v>1552380321974208</v>
      </c>
      <c r="C2528" t="s">
        <v>40</v>
      </c>
      <c r="D2528">
        <v>5.2111479999999997</v>
      </c>
      <c r="E2528">
        <v>0.54288819999999904</v>
      </c>
      <c r="F2528" t="s">
        <v>48</v>
      </c>
      <c r="G2528">
        <v>-285.58929999999998</v>
      </c>
      <c r="H2528">
        <v>4.1081839999999996</v>
      </c>
      <c r="I2528">
        <v>205.6506</v>
      </c>
      <c r="J2528">
        <v>-395.77390000000003</v>
      </c>
      <c r="K2528">
        <v>1.1074759999999999</v>
      </c>
      <c r="L2528">
        <v>213.45339999999999</v>
      </c>
      <c r="M2528">
        <v>0.99999229999999995</v>
      </c>
      <c r="N2528">
        <v>0</v>
      </c>
      <c r="O2528">
        <v>8.9979559999999999E-4</v>
      </c>
      <c r="P2528">
        <v>0.98934739999999999</v>
      </c>
      <c r="Q2528">
        <v>0.14040059999999999</v>
      </c>
      <c r="R2528">
        <v>-3.8462070000000001E-2</v>
      </c>
      <c r="S2528">
        <v>3.012756</v>
      </c>
      <c r="T2528">
        <v>8.1707000000000002E-2</v>
      </c>
      <c r="U2528">
        <v>-0.2124481</v>
      </c>
      <c r="V2528">
        <v>3.9296200000000003E-2</v>
      </c>
      <c r="W2528">
        <v>0.14421199999999901</v>
      </c>
      <c r="X2528">
        <v>0.98876629999999999</v>
      </c>
      <c r="Y2528">
        <v>7.121268E-2</v>
      </c>
      <c r="Z2528">
        <v>9.8865049999999994E-4</v>
      </c>
      <c r="AA2528">
        <v>0.99746069999999998</v>
      </c>
      <c r="AB2528">
        <v>44</v>
      </c>
      <c r="AC2528">
        <v>110.1846</v>
      </c>
      <c r="AD2528">
        <v>3.0007079999999902</v>
      </c>
      <c r="AE2528">
        <v>-7.8027999999999897</v>
      </c>
      <c r="AF2528">
        <v>7.8961141614759498</v>
      </c>
      <c r="AG2528">
        <v>3.0007079999999902</v>
      </c>
      <c r="AH2528">
        <v>110.096287693512</v>
      </c>
      <c r="AI2528">
        <v>88.4427704134621</v>
      </c>
      <c r="AJ2528">
        <v>85.897766343594299</v>
      </c>
      <c r="AK2528">
        <v>110.419859768272</v>
      </c>
      <c r="AL2528">
        <v>81.708349843757603</v>
      </c>
      <c r="AM2528">
        <v>87.724111217364694</v>
      </c>
      <c r="AN2528">
        <v>1.00000004414706</v>
      </c>
    </row>
    <row r="2529" spans="1:40" x14ac:dyDescent="0.25">
      <c r="A2529" t="str">
        <f>"20190312164522004"</f>
        <v>20190312164522004</v>
      </c>
      <c r="B2529" t="str">
        <f>"1552380321994705"</f>
        <v>1552380321994705</v>
      </c>
      <c r="C2529" t="s">
        <v>40</v>
      </c>
      <c r="D2529">
        <v>5.0906289999999998</v>
      </c>
      <c r="E2529">
        <v>0.54356090000000001</v>
      </c>
      <c r="F2529" t="s">
        <v>67</v>
      </c>
      <c r="G2529">
        <v>-256.33499999999998</v>
      </c>
      <c r="H2529">
        <v>1.94241</v>
      </c>
      <c r="I2529">
        <v>192.98140000000001</v>
      </c>
      <c r="J2529">
        <v>-395.30849999999998</v>
      </c>
      <c r="K2529">
        <v>1.1075159999999999</v>
      </c>
      <c r="L2529">
        <v>213.45400000000001</v>
      </c>
      <c r="M2529">
        <v>0.99999190000000004</v>
      </c>
      <c r="N2529">
        <v>0</v>
      </c>
      <c r="O2529">
        <v>1.2187789999999999E-3</v>
      </c>
      <c r="P2529">
        <v>0.98932350000000002</v>
      </c>
      <c r="Q2529">
        <v>0.14027290000000001</v>
      </c>
      <c r="R2529">
        <v>-3.9531320000000002E-2</v>
      </c>
      <c r="S2529">
        <v>3.012543</v>
      </c>
      <c r="T2529">
        <v>1.8038510000000001E-2</v>
      </c>
      <c r="U2529">
        <v>-0.4422913</v>
      </c>
      <c r="V2529">
        <v>4.0665949999999999E-2</v>
      </c>
      <c r="W2529">
        <v>0.1440987</v>
      </c>
      <c r="X2529">
        <v>0.98872740000000003</v>
      </c>
      <c r="Y2529">
        <v>0.1464626</v>
      </c>
      <c r="Z2529">
        <v>4.4341189999999998E-4</v>
      </c>
      <c r="AA2529">
        <v>0.98921610000000004</v>
      </c>
      <c r="AB2529">
        <v>44</v>
      </c>
      <c r="AC2529">
        <v>138.9735</v>
      </c>
      <c r="AD2529">
        <v>0.83489399999999903</v>
      </c>
      <c r="AE2529">
        <v>-20.4726</v>
      </c>
      <c r="AF2529">
        <v>20.641234884783799</v>
      </c>
      <c r="AG2529">
        <v>0.83489399999999903</v>
      </c>
      <c r="AH2529">
        <v>138.94353692534099</v>
      </c>
      <c r="AI2529">
        <v>89.659458322661493</v>
      </c>
      <c r="AJ2529">
        <v>81.550029310296296</v>
      </c>
      <c r="AK2529">
        <v>140.47086558743601</v>
      </c>
      <c r="AL2529">
        <v>81.714909716964499</v>
      </c>
      <c r="AM2529">
        <v>87.644775697259007</v>
      </c>
      <c r="AN2529">
        <v>1.0000000131709199</v>
      </c>
    </row>
    <row r="2530" spans="1:40" x14ac:dyDescent="0.25">
      <c r="A2530" t="str">
        <f>"20190312164522025"</f>
        <v>20190312164522025</v>
      </c>
      <c r="B2530" t="str">
        <f>"1552380322014228"</f>
        <v>1552380322014228</v>
      </c>
      <c r="C2530" t="s">
        <v>40</v>
      </c>
      <c r="D2530">
        <v>5.1086330000000002</v>
      </c>
      <c r="E2530">
        <v>0.54306589999999999</v>
      </c>
      <c r="F2530" t="s">
        <v>67</v>
      </c>
      <c r="G2530">
        <v>-256.4674</v>
      </c>
      <c r="H2530">
        <v>1.6921919999999999</v>
      </c>
      <c r="I2530">
        <v>192.65610000000001</v>
      </c>
      <c r="J2530">
        <v>-394.89019999999999</v>
      </c>
      <c r="K2530">
        <v>1.1075429999999999</v>
      </c>
      <c r="L2530">
        <v>213.4547</v>
      </c>
      <c r="M2530">
        <v>0.99999150000000003</v>
      </c>
      <c r="N2530">
        <v>0</v>
      </c>
      <c r="O2530">
        <v>1.5291969999999999E-3</v>
      </c>
      <c r="P2530">
        <v>0.98929049999999996</v>
      </c>
      <c r="Q2530">
        <v>0.14036860000000001</v>
      </c>
      <c r="R2530">
        <v>-4.0017810000000001E-2</v>
      </c>
      <c r="S2530">
        <v>3.0125120000000001</v>
      </c>
      <c r="T2530">
        <v>1.2686009999999999E-2</v>
      </c>
      <c r="U2530">
        <v>-0.45126339999999998</v>
      </c>
      <c r="V2530">
        <v>4.1447820000000003E-2</v>
      </c>
      <c r="W2530">
        <v>0.14420720000000001</v>
      </c>
      <c r="X2530">
        <v>0.98867910000000003</v>
      </c>
      <c r="Y2530">
        <v>0.14965439999999999</v>
      </c>
      <c r="Z2530">
        <v>3.1975999999999999E-4</v>
      </c>
      <c r="AA2530">
        <v>0.98873829999999996</v>
      </c>
      <c r="AB2530">
        <v>44</v>
      </c>
      <c r="AC2530">
        <v>138.4228</v>
      </c>
      <c r="AD2530">
        <v>0.58464899999999997</v>
      </c>
      <c r="AE2530">
        <v>-20.7986</v>
      </c>
      <c r="AF2530">
        <v>21.009886439092501</v>
      </c>
      <c r="AG2530">
        <v>0.58464899999999997</v>
      </c>
      <c r="AH2530">
        <v>138.38841852770301</v>
      </c>
      <c r="AI2530">
        <v>89.760686388327699</v>
      </c>
      <c r="AJ2530">
        <v>81.367376480020695</v>
      </c>
      <c r="AK2530">
        <v>139.975396142449</v>
      </c>
      <c r="AL2530">
        <v>81.708627404529395</v>
      </c>
      <c r="AM2530">
        <v>87.5994279626116</v>
      </c>
      <c r="AN2530">
        <v>1.0000000005456999</v>
      </c>
    </row>
    <row r="2531" spans="1:40" x14ac:dyDescent="0.25">
      <c r="A2531" t="str">
        <f>"20190312164522046"</f>
        <v>20190312164522046</v>
      </c>
      <c r="B2531" t="str">
        <f>"1552380322044481"</f>
        <v>1552380322044481</v>
      </c>
      <c r="C2531" t="s">
        <v>40</v>
      </c>
      <c r="D2531">
        <v>4.9740989999999998</v>
      </c>
      <c r="E2531">
        <v>0.54150869999999995</v>
      </c>
      <c r="F2531" t="s">
        <v>68</v>
      </c>
      <c r="G2531">
        <v>-258.67700000000002</v>
      </c>
      <c r="H2531">
        <v>0.88251520000000006</v>
      </c>
      <c r="I2531">
        <v>193.21530000000001</v>
      </c>
      <c r="J2531">
        <v>-394.47160000000002</v>
      </c>
      <c r="K2531">
        <v>1.107569</v>
      </c>
      <c r="L2531">
        <v>213.4555</v>
      </c>
      <c r="M2531">
        <v>0.99999090000000002</v>
      </c>
      <c r="N2531">
        <v>0</v>
      </c>
      <c r="O2531">
        <v>1.854912E-3</v>
      </c>
      <c r="P2531">
        <v>0.98924979999999996</v>
      </c>
      <c r="Q2531">
        <v>0.14061650000000001</v>
      </c>
      <c r="R2531">
        <v>-4.0153149999999999E-2</v>
      </c>
      <c r="S2531">
        <v>3.0150760000000001</v>
      </c>
      <c r="T2531">
        <v>-4.9810409999999899E-3</v>
      </c>
      <c r="U2531">
        <v>-0.44799800000000001</v>
      </c>
      <c r="V2531">
        <v>4.1895290000000002E-2</v>
      </c>
      <c r="W2531">
        <v>0.1444677</v>
      </c>
      <c r="X2531">
        <v>0.98862220000000001</v>
      </c>
      <c r="Y2531">
        <v>0.14880679999999999</v>
      </c>
      <c r="Z2531">
        <v>-1.252944E-4</v>
      </c>
      <c r="AA2531">
        <v>0.98886629999999998</v>
      </c>
      <c r="AB2531">
        <v>44</v>
      </c>
      <c r="AC2531">
        <v>135.7946</v>
      </c>
      <c r="AD2531">
        <v>-0.2250538</v>
      </c>
      <c r="AE2531">
        <v>-20.240199999999898</v>
      </c>
      <c r="AF2531">
        <v>20.491999009496499</v>
      </c>
      <c r="AG2531">
        <v>-0.2250538</v>
      </c>
      <c r="AH2531">
        <v>135.75645753987999</v>
      </c>
      <c r="AI2531">
        <v>90.093919535743893</v>
      </c>
      <c r="AJ2531">
        <v>81.416189425197203</v>
      </c>
      <c r="AK2531">
        <v>137.29453170609301</v>
      </c>
      <c r="AL2531">
        <v>81.693543844337</v>
      </c>
      <c r="AM2531">
        <v>87.573402749154099</v>
      </c>
      <c r="AN2531">
        <v>0.99999999300015696</v>
      </c>
    </row>
    <row r="2532" spans="1:40" x14ac:dyDescent="0.25">
      <c r="A2532" t="str">
        <f>"20190312164522068"</f>
        <v>20190312164522068</v>
      </c>
      <c r="B2532" t="str">
        <f>"1552380322063665"</f>
        <v>1552380322063665</v>
      </c>
      <c r="C2532" t="s">
        <v>40</v>
      </c>
      <c r="D2532">
        <v>4.7235620000000003</v>
      </c>
      <c r="E2532">
        <v>0.54061919999999897</v>
      </c>
      <c r="F2532" t="s">
        <v>69</v>
      </c>
      <c r="G2532">
        <v>-279.2355</v>
      </c>
      <c r="H2532">
        <v>0.26334340000000001</v>
      </c>
      <c r="I2532">
        <v>196.84219999999999</v>
      </c>
      <c r="J2532">
        <v>-394.03469999999999</v>
      </c>
      <c r="K2532">
        <v>1.1075900000000001</v>
      </c>
      <c r="L2532">
        <v>213.45650000000001</v>
      </c>
      <c r="M2532">
        <v>0.99999020000000005</v>
      </c>
      <c r="N2532">
        <v>0</v>
      </c>
      <c r="O2532">
        <v>2.2048139999999998E-3</v>
      </c>
      <c r="P2532">
        <v>0.9892107</v>
      </c>
      <c r="Q2532">
        <v>0.14105719999999999</v>
      </c>
      <c r="R2532">
        <v>-3.9569229999999997E-2</v>
      </c>
      <c r="S2532">
        <v>3.0181580000000001</v>
      </c>
      <c r="T2532">
        <v>-2.2111180000000001E-2</v>
      </c>
      <c r="U2532">
        <v>-0.4351196</v>
      </c>
      <c r="V2532">
        <v>4.1647879999999998E-2</v>
      </c>
      <c r="W2532">
        <v>0.1449211</v>
      </c>
      <c r="X2532">
        <v>0.98856630000000001</v>
      </c>
      <c r="Y2532">
        <v>0.1448701</v>
      </c>
      <c r="Z2532">
        <v>-5.4399690000000002E-4</v>
      </c>
      <c r="AA2532">
        <v>0.98945050000000001</v>
      </c>
      <c r="AB2532">
        <v>44</v>
      </c>
      <c r="AC2532">
        <v>114.799199999999</v>
      </c>
      <c r="AD2532">
        <v>-0.84424659999999996</v>
      </c>
      <c r="AE2532">
        <v>-16.6143</v>
      </c>
      <c r="AF2532">
        <v>16.866478889264599</v>
      </c>
      <c r="AG2532">
        <v>-0.84424659999999996</v>
      </c>
      <c r="AH2532">
        <v>114.75621021812999</v>
      </c>
      <c r="AI2532">
        <v>90.417029898477097</v>
      </c>
      <c r="AJ2532">
        <v>81.638724638844195</v>
      </c>
      <c r="AK2532">
        <v>115.992149070837</v>
      </c>
      <c r="AL2532">
        <v>81.667289710001199</v>
      </c>
      <c r="AM2532">
        <v>87.587579642838705</v>
      </c>
      <c r="AN2532">
        <v>1.0000000003146901</v>
      </c>
    </row>
    <row r="2533" spans="1:40" x14ac:dyDescent="0.25">
      <c r="A2533" t="str">
        <f>"20190312164522092"</f>
        <v>20190312164522092</v>
      </c>
      <c r="B2533" t="str">
        <f>"1552380322084161"</f>
        <v>1552380322084161</v>
      </c>
      <c r="C2533" t="s">
        <v>40</v>
      </c>
      <c r="D2533">
        <v>4.7188910000000002</v>
      </c>
      <c r="E2533">
        <v>0.54037089999999999</v>
      </c>
      <c r="F2533" t="s">
        <v>42</v>
      </c>
      <c r="G2533">
        <v>-289.95780000000002</v>
      </c>
      <c r="H2533">
        <v>3.6199139999999998E-2</v>
      </c>
      <c r="I2533">
        <v>198.78370000000001</v>
      </c>
      <c r="J2533">
        <v>-393.55489999999998</v>
      </c>
      <c r="K2533">
        <v>1.107613</v>
      </c>
      <c r="L2533">
        <v>213.45779999999999</v>
      </c>
      <c r="M2533">
        <v>0.99998909999999996</v>
      </c>
      <c r="N2533">
        <v>0</v>
      </c>
      <c r="O2533">
        <v>2.5955359999999999E-3</v>
      </c>
      <c r="P2533">
        <v>0.98919679999999999</v>
      </c>
      <c r="Q2533">
        <v>0.14140349999999999</v>
      </c>
      <c r="R2533">
        <v>-3.8661559999999998E-2</v>
      </c>
      <c r="S2533">
        <v>3.0201419999999999</v>
      </c>
      <c r="T2533">
        <v>-3.1090019999999999E-2</v>
      </c>
      <c r="U2533">
        <v>-0.42578129999999997</v>
      </c>
      <c r="V2533">
        <v>4.1117769999999998E-2</v>
      </c>
      <c r="W2533">
        <v>0.14528250000000001</v>
      </c>
      <c r="X2533">
        <v>0.98853550000000001</v>
      </c>
      <c r="Y2533">
        <v>0.14216219999999999</v>
      </c>
      <c r="Z2533">
        <v>-7.5469399999999998E-4</v>
      </c>
      <c r="AA2533">
        <v>0.98984309999999998</v>
      </c>
      <c r="AB2533">
        <v>44</v>
      </c>
      <c r="AC2533">
        <v>103.597099999999</v>
      </c>
      <c r="AD2533">
        <v>-1.0714138600000001</v>
      </c>
      <c r="AE2533">
        <v>-14.6740999999999</v>
      </c>
      <c r="AF2533">
        <v>14.941375909990301</v>
      </c>
      <c r="AG2533">
        <v>-1.0714138600000001</v>
      </c>
      <c r="AH2533">
        <v>103.547806016677</v>
      </c>
      <c r="AI2533">
        <v>90.586744508864498</v>
      </c>
      <c r="AJ2533">
        <v>81.789208146841403</v>
      </c>
      <c r="AK2533">
        <v>104.625717548843</v>
      </c>
      <c r="AL2533">
        <v>81.646361989084994</v>
      </c>
      <c r="AM2533">
        <v>87.618176131080801</v>
      </c>
      <c r="AN2533">
        <v>1.0000000552881301</v>
      </c>
    </row>
    <row r="2534" spans="1:40" x14ac:dyDescent="0.25">
      <c r="A2534" t="str">
        <f>"20190312164522114"</f>
        <v>20190312164522114</v>
      </c>
      <c r="B2534" t="str">
        <f>"1552380322103684"</f>
        <v>1552380322103684</v>
      </c>
      <c r="C2534" t="s">
        <v>40</v>
      </c>
      <c r="D2534">
        <v>4.9342090000000001</v>
      </c>
      <c r="E2534">
        <v>0.54023500000000002</v>
      </c>
      <c r="F2534" t="s">
        <v>51</v>
      </c>
      <c r="G2534">
        <v>-298.94889999999998</v>
      </c>
      <c r="H2534" s="1">
        <v>4.9253990000000001E-6</v>
      </c>
      <c r="I2534">
        <v>200.26429999999999</v>
      </c>
      <c r="J2534">
        <v>-393.12020000000001</v>
      </c>
      <c r="K2534">
        <v>1.1076239999999999</v>
      </c>
      <c r="L2534">
        <v>213.45910000000001</v>
      </c>
      <c r="M2534">
        <v>0.99998810000000005</v>
      </c>
      <c r="N2534">
        <v>0</v>
      </c>
      <c r="O2534">
        <v>2.9511329999999999E-3</v>
      </c>
      <c r="P2534">
        <v>0.98906139999999998</v>
      </c>
      <c r="Q2534">
        <v>0.142769799999999</v>
      </c>
      <c r="R2534">
        <v>-3.7072330000000001E-2</v>
      </c>
      <c r="S2534">
        <v>3.0213930000000002</v>
      </c>
      <c r="T2534">
        <v>-3.5373210000000002E-2</v>
      </c>
      <c r="U2534">
        <v>-0.42135620000000001</v>
      </c>
      <c r="V2534">
        <v>3.9871660000000003E-2</v>
      </c>
      <c r="W2534">
        <v>0.14666089999999901</v>
      </c>
      <c r="X2534">
        <v>0.98838289999999995</v>
      </c>
      <c r="Y2534">
        <v>0.14103360000000001</v>
      </c>
      <c r="Z2534">
        <v>-8.5596299999999995E-4</v>
      </c>
      <c r="AA2534">
        <v>0.99000440000000001</v>
      </c>
      <c r="AB2534">
        <v>45</v>
      </c>
      <c r="AC2534">
        <v>94.171300000000002</v>
      </c>
      <c r="AD2534">
        <v>-1.107619074601</v>
      </c>
      <c r="AE2534">
        <v>-13.194800000000001</v>
      </c>
      <c r="AF2534">
        <v>13.470829012837999</v>
      </c>
      <c r="AG2534">
        <v>-1.107619074601</v>
      </c>
      <c r="AH2534">
        <v>94.119180381389597</v>
      </c>
      <c r="AI2534">
        <v>90.667439646082101</v>
      </c>
      <c r="AJ2534">
        <v>81.854845349417403</v>
      </c>
      <c r="AK2534">
        <v>95.084752563027095</v>
      </c>
      <c r="AL2534">
        <v>81.566529604803904</v>
      </c>
      <c r="AM2534">
        <v>87.689923771779206</v>
      </c>
      <c r="AN2534">
        <v>0.99999996293618698</v>
      </c>
    </row>
    <row r="2535" spans="1:40" x14ac:dyDescent="0.25">
      <c r="A2535" t="str">
        <f>"20190312164522134"</f>
        <v>20190312164522134</v>
      </c>
      <c r="B2535" t="str">
        <f>"1552380322124194"</f>
        <v>1552380322124194</v>
      </c>
      <c r="C2535" t="s">
        <v>40</v>
      </c>
      <c r="D2535">
        <v>4.7390290000000004</v>
      </c>
      <c r="E2535">
        <v>0.54000459999999995</v>
      </c>
      <c r="F2535" t="s">
        <v>51</v>
      </c>
      <c r="G2535">
        <v>-313.91379999999998</v>
      </c>
      <c r="H2535">
        <v>7.9999479999999998E-2</v>
      </c>
      <c r="I2535">
        <v>202.5848</v>
      </c>
      <c r="J2535">
        <v>-392.69639999999998</v>
      </c>
      <c r="K2535">
        <v>1.1076469999999901</v>
      </c>
      <c r="L2535">
        <v>213.4606</v>
      </c>
      <c r="M2535">
        <v>0.99998710000000002</v>
      </c>
      <c r="N2535">
        <v>0</v>
      </c>
      <c r="O2535">
        <v>3.2989109999999999E-3</v>
      </c>
      <c r="P2535">
        <v>0.98891370000000001</v>
      </c>
      <c r="Q2535">
        <v>0.14422739999999901</v>
      </c>
      <c r="R2535">
        <v>-3.533472E-2</v>
      </c>
      <c r="S2535">
        <v>3.023285</v>
      </c>
      <c r="T2535">
        <v>-3.9224149999999999E-2</v>
      </c>
      <c r="U2535">
        <v>-0.41506959999999998</v>
      </c>
      <c r="V2535">
        <v>3.8469940000000001E-2</v>
      </c>
      <c r="W2535">
        <v>0.1481315</v>
      </c>
      <c r="X2535">
        <v>0.98821910000000002</v>
      </c>
      <c r="Y2535">
        <v>0.139270799999999</v>
      </c>
      <c r="Z2535">
        <v>-9.4179699999999997E-4</v>
      </c>
      <c r="AA2535">
        <v>0.99025390000000002</v>
      </c>
      <c r="AB2535">
        <v>45</v>
      </c>
      <c r="AC2535">
        <v>78.782600000000002</v>
      </c>
      <c r="AD2535">
        <v>-1.0276475199999999</v>
      </c>
      <c r="AE2535">
        <v>-10.8757999999999</v>
      </c>
      <c r="AF2535">
        <v>11.133780576073701</v>
      </c>
      <c r="AG2535">
        <v>-1.0276475199999999</v>
      </c>
      <c r="AH2535">
        <v>78.733146949012195</v>
      </c>
      <c r="AI2535">
        <v>90.740432587812194</v>
      </c>
      <c r="AJ2535">
        <v>81.951080846795506</v>
      </c>
      <c r="AK2535">
        <v>79.523113356031701</v>
      </c>
      <c r="AL2535">
        <v>81.481339686554406</v>
      </c>
      <c r="AM2535">
        <v>87.770683859083803</v>
      </c>
      <c r="AN2535">
        <v>0.99999993359032902</v>
      </c>
    </row>
    <row r="2536" spans="1:40" x14ac:dyDescent="0.25">
      <c r="A2536" t="str">
        <f>"20190312164522158"</f>
        <v>20190312164522158</v>
      </c>
      <c r="B2536" t="str">
        <f>"1552380322154433"</f>
        <v>1552380322154433</v>
      </c>
      <c r="C2536" t="s">
        <v>40</v>
      </c>
      <c r="D2536">
        <v>5.0143199999999997</v>
      </c>
      <c r="E2536">
        <v>0.53984259999999995</v>
      </c>
      <c r="F2536" t="s">
        <v>43</v>
      </c>
      <c r="G2536">
        <v>-307.89690000000002</v>
      </c>
      <c r="H2536">
        <v>-0.05</v>
      </c>
      <c r="I2536">
        <v>202.02119999999999</v>
      </c>
      <c r="J2536">
        <v>-392.23880000000003</v>
      </c>
      <c r="K2536">
        <v>1.107669</v>
      </c>
      <c r="L2536">
        <v>213.4623</v>
      </c>
      <c r="M2536">
        <v>0.99998549999999997</v>
      </c>
      <c r="N2536">
        <v>0</v>
      </c>
      <c r="O2536">
        <v>3.6742810000000002E-3</v>
      </c>
      <c r="P2536">
        <v>0.98875519999999995</v>
      </c>
      <c r="Q2536">
        <v>0.14593689999999901</v>
      </c>
      <c r="R2536">
        <v>-3.2642570000000003E-2</v>
      </c>
      <c r="S2536">
        <v>3.0250849999999998</v>
      </c>
      <c r="T2536">
        <v>-4.1297199999999999E-2</v>
      </c>
      <c r="U2536">
        <v>-0.40808109999999997</v>
      </c>
      <c r="V2536">
        <v>3.614084E-2</v>
      </c>
      <c r="W2536">
        <v>0.14985390000000001</v>
      </c>
      <c r="X2536">
        <v>0.98804740000000002</v>
      </c>
      <c r="Y2536">
        <v>0.13731559999999901</v>
      </c>
      <c r="Z2536">
        <v>-9.8295380000000001E-4</v>
      </c>
      <c r="AA2536">
        <v>0.99052689999999999</v>
      </c>
      <c r="AB2536">
        <v>45</v>
      </c>
      <c r="AC2536">
        <v>84.341899999999995</v>
      </c>
      <c r="AD2536">
        <v>-1.1576690000000001</v>
      </c>
      <c r="AE2536">
        <v>-11.4411</v>
      </c>
      <c r="AF2536">
        <v>11.748747536380099</v>
      </c>
      <c r="AG2536">
        <v>-1.1576690000000001</v>
      </c>
      <c r="AH2536">
        <v>84.283700350249703</v>
      </c>
      <c r="AI2536">
        <v>90.779395201384006</v>
      </c>
      <c r="AJ2536">
        <v>82.064375932245298</v>
      </c>
      <c r="AK2536">
        <v>85.1064945284309</v>
      </c>
      <c r="AL2536">
        <v>81.381540122977796</v>
      </c>
      <c r="AM2536">
        <v>87.905166459662297</v>
      </c>
      <c r="AN2536">
        <v>1.00000000815393</v>
      </c>
    </row>
    <row r="2537" spans="1:40" x14ac:dyDescent="0.25">
      <c r="A2537" t="str">
        <f>"20190312164522194"</f>
        <v>20190312164522194</v>
      </c>
      <c r="B2537" t="str">
        <f>"1552380322184689"</f>
        <v>1552380322184689</v>
      </c>
      <c r="C2537" t="s">
        <v>40</v>
      </c>
      <c r="D2537">
        <v>5.0258289999999999</v>
      </c>
      <c r="E2537">
        <v>0.52733450000000004</v>
      </c>
      <c r="F2537" t="s">
        <v>43</v>
      </c>
      <c r="G2537">
        <v>-312.17939999999999</v>
      </c>
      <c r="H2537">
        <v>-0.05</v>
      </c>
      <c r="I2537">
        <v>202.9111</v>
      </c>
      <c r="J2537">
        <v>-391.52019999999999</v>
      </c>
      <c r="K2537">
        <v>1.107688</v>
      </c>
      <c r="L2537">
        <v>213.46530000000001</v>
      </c>
      <c r="M2537">
        <v>0.99998310000000001</v>
      </c>
      <c r="N2537">
        <v>0</v>
      </c>
      <c r="O2537">
        <v>4.2635149999999998E-3</v>
      </c>
      <c r="P2537">
        <v>0.98855660000000001</v>
      </c>
      <c r="Q2537">
        <v>0.1479945</v>
      </c>
      <c r="R2537">
        <v>-2.9220590000000001E-2</v>
      </c>
      <c r="S2537">
        <v>3.0274049999999999</v>
      </c>
      <c r="T2537">
        <v>-4.3776629999999997E-2</v>
      </c>
      <c r="U2537">
        <v>-0.39898679999999997</v>
      </c>
      <c r="V2537">
        <v>3.3290529999999999E-2</v>
      </c>
      <c r="W2537">
        <v>0.15193409999999999</v>
      </c>
      <c r="X2537">
        <v>0.98782979999999998</v>
      </c>
      <c r="Y2537">
        <v>0.1348734</v>
      </c>
      <c r="Z2537">
        <v>-1.0322809999999999E-3</v>
      </c>
      <c r="AA2537">
        <v>0.99086229999999997</v>
      </c>
      <c r="AB2537">
        <v>45</v>
      </c>
      <c r="AC2537">
        <v>79.340800000000002</v>
      </c>
      <c r="AD2537">
        <v>-1.1576879999999901</v>
      </c>
      <c r="AE2537">
        <v>-10.5542</v>
      </c>
      <c r="AF2537">
        <v>10.890099142791501</v>
      </c>
      <c r="AG2537">
        <v>-1.1576879999999901</v>
      </c>
      <c r="AH2537">
        <v>79.278495071808393</v>
      </c>
      <c r="AI2537">
        <v>90.828837247720699</v>
      </c>
      <c r="AJ2537">
        <v>82.178508885479104</v>
      </c>
      <c r="AK2537">
        <v>80.031333124570196</v>
      </c>
      <c r="AL2537">
        <v>81.260972600344502</v>
      </c>
      <c r="AM2537">
        <v>88.069824118240305</v>
      </c>
      <c r="AN2537">
        <v>0.99999997194926504</v>
      </c>
    </row>
    <row r="2538" spans="1:40" x14ac:dyDescent="0.25">
      <c r="A2538" t="str">
        <f>"20190312164522214"</f>
        <v>20190312164522214</v>
      </c>
      <c r="B2538" t="str">
        <f>"1552380322204209"</f>
        <v>1552380322204209</v>
      </c>
      <c r="C2538" t="s">
        <v>40</v>
      </c>
      <c r="D2538">
        <v>4.8114059999999998</v>
      </c>
      <c r="E2538">
        <v>0.52746179999999998</v>
      </c>
      <c r="F2538" t="s">
        <v>41</v>
      </c>
      <c r="G2538">
        <v>-390.48</v>
      </c>
      <c r="H2538">
        <v>1.0521739999999999</v>
      </c>
      <c r="I2538">
        <v>213.36770000000001</v>
      </c>
      <c r="J2538">
        <v>-391.0958</v>
      </c>
      <c r="K2538">
        <v>1.107702</v>
      </c>
      <c r="L2538">
        <v>213.46729999999999</v>
      </c>
      <c r="M2538">
        <v>0.99998160000000003</v>
      </c>
      <c r="N2538">
        <v>0</v>
      </c>
      <c r="O2538">
        <v>4.6112619999999997E-3</v>
      </c>
      <c r="P2538">
        <v>0.98837339999999996</v>
      </c>
      <c r="Q2538">
        <v>0.1495552</v>
      </c>
      <c r="R2538">
        <v>-2.7420340000000001E-2</v>
      </c>
      <c r="S2538">
        <v>3.050659</v>
      </c>
      <c r="T2538">
        <v>-0.16290959999999999</v>
      </c>
      <c r="U2538">
        <v>-0.28575129999999999</v>
      </c>
      <c r="V2538">
        <v>3.1827569999999999E-2</v>
      </c>
      <c r="W2538">
        <v>0.15350849999999999</v>
      </c>
      <c r="X2538">
        <v>0.98763460000000003</v>
      </c>
      <c r="Y2538">
        <v>9.7706180000000004E-2</v>
      </c>
      <c r="Z2538">
        <v>-2.846838E-3</v>
      </c>
      <c r="AA2538">
        <v>0.99521119999999996</v>
      </c>
      <c r="AB2538">
        <v>45</v>
      </c>
      <c r="AC2538">
        <v>0.61579999999997803</v>
      </c>
      <c r="AD2538">
        <v>-5.5528000000000001E-2</v>
      </c>
      <c r="AE2538">
        <v>-9.9599999999980995E-2</v>
      </c>
      <c r="AF2538">
        <v>0.10163326387888</v>
      </c>
      <c r="AG2538">
        <v>-5.5528000000000001E-2</v>
      </c>
      <c r="AH2538">
        <v>0.61049675710316698</v>
      </c>
      <c r="AI2538">
        <v>95.126887707234701</v>
      </c>
      <c r="AJ2538">
        <v>80.548288473344599</v>
      </c>
      <c r="AK2538">
        <v>0.62138471943246099</v>
      </c>
      <c r="AL2538">
        <v>81.169695424062795</v>
      </c>
      <c r="AM2538">
        <v>88.154221662252695</v>
      </c>
      <c r="AN2538">
        <v>0.99999997845075705</v>
      </c>
    </row>
    <row r="2539" spans="1:40" x14ac:dyDescent="0.25">
      <c r="A2539" t="str">
        <f>"20190312164522235"</f>
        <v>20190312164522235</v>
      </c>
      <c r="B2539" t="str">
        <f>"1552380322224706"</f>
        <v>1552380322224706</v>
      </c>
      <c r="C2539" t="s">
        <v>40</v>
      </c>
      <c r="D2539">
        <v>4.6556179999999996</v>
      </c>
      <c r="E2539">
        <v>0.52710630000000003</v>
      </c>
      <c r="F2539" t="s">
        <v>41</v>
      </c>
      <c r="G2539">
        <v>-390.07080000000002</v>
      </c>
      <c r="H2539">
        <v>1.05457</v>
      </c>
      <c r="I2539">
        <v>213.37260000000001</v>
      </c>
      <c r="J2539">
        <v>-390.66629999999998</v>
      </c>
      <c r="K2539">
        <v>1.1077140000000001</v>
      </c>
      <c r="L2539">
        <v>213.46950000000001</v>
      </c>
      <c r="M2539">
        <v>0.99997979999999997</v>
      </c>
      <c r="N2539">
        <v>0</v>
      </c>
      <c r="O2539">
        <v>4.9635929999999997E-3</v>
      </c>
      <c r="P2539">
        <v>0.98811190000000004</v>
      </c>
      <c r="Q2539">
        <v>0.15157870000000001</v>
      </c>
      <c r="R2539">
        <v>-2.566968E-2</v>
      </c>
      <c r="S2539">
        <v>3.051453</v>
      </c>
      <c r="T2539">
        <v>-0.15826499999999999</v>
      </c>
      <c r="U2539">
        <v>-0.28138730000000001</v>
      </c>
      <c r="V2539">
        <v>3.0418669999999998E-2</v>
      </c>
      <c r="W2539">
        <v>0.15554609999999999</v>
      </c>
      <c r="X2539">
        <v>0.98736020000000002</v>
      </c>
      <c r="Y2539">
        <v>9.6630770000000005E-2</v>
      </c>
      <c r="Z2539">
        <v>-2.755665E-3</v>
      </c>
      <c r="AA2539">
        <v>0.99531650000000005</v>
      </c>
      <c r="AB2539">
        <v>45</v>
      </c>
      <c r="AC2539">
        <v>0.59549999999995795</v>
      </c>
      <c r="AD2539">
        <v>-5.3143999999999803E-2</v>
      </c>
      <c r="AE2539">
        <v>-9.6900000000005093E-2</v>
      </c>
      <c r="AF2539">
        <v>9.9085860481243807E-2</v>
      </c>
      <c r="AG2539">
        <v>-5.3143999999999803E-2</v>
      </c>
      <c r="AH2539">
        <v>0.59043064667690504</v>
      </c>
      <c r="AI2539">
        <v>95.072710514393094</v>
      </c>
      <c r="AJ2539">
        <v>80.473414566927403</v>
      </c>
      <c r="AK2539">
        <v>0.60104129726551803</v>
      </c>
      <c r="AL2539">
        <v>81.051530595940605</v>
      </c>
      <c r="AM2539">
        <v>88.235385305112501</v>
      </c>
      <c r="AN2539">
        <v>1.0000000246269001</v>
      </c>
    </row>
    <row r="2540" spans="1:40" x14ac:dyDescent="0.25">
      <c r="A2540" t="str">
        <f>"20190312164522258"</f>
        <v>20190312164522258</v>
      </c>
      <c r="B2540" t="str">
        <f>"1552380322253985"</f>
        <v>1552380322253985</v>
      </c>
      <c r="C2540" t="s">
        <v>40</v>
      </c>
      <c r="D2540">
        <v>4.7479849999999999</v>
      </c>
      <c r="E2540">
        <v>0.51933809999999903</v>
      </c>
      <c r="F2540" t="s">
        <v>41</v>
      </c>
      <c r="G2540">
        <v>-389.65129999999999</v>
      </c>
      <c r="H2540">
        <v>1.0576159999999999</v>
      </c>
      <c r="I2540">
        <v>213.3784</v>
      </c>
      <c r="J2540">
        <v>-390.20089999999999</v>
      </c>
      <c r="K2540">
        <v>1.107721</v>
      </c>
      <c r="L2540">
        <v>213.47200000000001</v>
      </c>
      <c r="M2540">
        <v>0.99997780000000003</v>
      </c>
      <c r="N2540">
        <v>0</v>
      </c>
      <c r="O2540">
        <v>5.3456010000000002E-3</v>
      </c>
      <c r="P2540">
        <v>0.98782119999999995</v>
      </c>
      <c r="Q2540">
        <v>0.15372230000000001</v>
      </c>
      <c r="R2540">
        <v>-2.4056370000000001E-2</v>
      </c>
      <c r="S2540">
        <v>3.052155</v>
      </c>
      <c r="T2540">
        <v>-0.15073339999999999</v>
      </c>
      <c r="U2540">
        <v>-0.27355960000000001</v>
      </c>
      <c r="V2540">
        <v>2.9175960000000001E-2</v>
      </c>
      <c r="W2540">
        <v>0.15770490000000001</v>
      </c>
      <c r="X2540">
        <v>0.98705520000000002</v>
      </c>
      <c r="Y2540">
        <v>9.4472840000000002E-2</v>
      </c>
      <c r="Z2540">
        <v>-2.5900630000000001E-3</v>
      </c>
      <c r="AA2540">
        <v>0.99552399999999996</v>
      </c>
      <c r="AB2540">
        <v>46</v>
      </c>
      <c r="AC2540">
        <v>0.54959999999999798</v>
      </c>
      <c r="AD2540">
        <v>-5.0104999999999997E-2</v>
      </c>
      <c r="AE2540">
        <v>-9.3600000000009204E-2</v>
      </c>
      <c r="AF2540">
        <v>9.5763146535424906E-2</v>
      </c>
      <c r="AG2540">
        <v>-5.0104999999999997E-2</v>
      </c>
      <c r="AH2540">
        <v>0.54469229987812096</v>
      </c>
      <c r="AI2540">
        <v>95.176761149767898</v>
      </c>
      <c r="AJ2540">
        <v>80.028649229429206</v>
      </c>
      <c r="AK2540">
        <v>0.55531143766888302</v>
      </c>
      <c r="AL2540">
        <v>80.926294749112898</v>
      </c>
      <c r="AM2540">
        <v>88.306910517605701</v>
      </c>
      <c r="AN2540">
        <v>1.00000001998648</v>
      </c>
    </row>
    <row r="2541" spans="1:40" x14ac:dyDescent="0.25">
      <c r="A2541" t="str">
        <f>"20190312164522394"</f>
        <v>20190312164522394</v>
      </c>
      <c r="B2541" t="str">
        <f>"1552380322383793"</f>
        <v>1552380322383793</v>
      </c>
      <c r="C2541" t="s">
        <v>40</v>
      </c>
      <c r="D2541">
        <v>5.0213939999999999</v>
      </c>
      <c r="E2541">
        <v>0.49602679999999999</v>
      </c>
      <c r="F2541" t="s">
        <v>41</v>
      </c>
      <c r="G2541">
        <v>-386.84359999999998</v>
      </c>
      <c r="H2541">
        <v>0.90068539999999997</v>
      </c>
      <c r="I2541">
        <v>213.4298</v>
      </c>
      <c r="J2541">
        <v>-387.3852</v>
      </c>
      <c r="K2541">
        <v>1.107742</v>
      </c>
      <c r="L2541">
        <v>213.49090000000001</v>
      </c>
      <c r="M2541">
        <v>0.99996229999999997</v>
      </c>
      <c r="N2541">
        <v>0</v>
      </c>
      <c r="O2541">
        <v>7.6574130000000001E-3</v>
      </c>
      <c r="P2541">
        <v>0.98753489999999999</v>
      </c>
      <c r="Q2541">
        <v>0.1564044</v>
      </c>
      <c r="R2541">
        <v>-1.7688829999999999E-2</v>
      </c>
      <c r="S2541">
        <v>3.133362</v>
      </c>
      <c r="T2541">
        <v>-0.6197783</v>
      </c>
      <c r="U2541">
        <v>-0.169799799999999</v>
      </c>
      <c r="V2541">
        <v>2.507529E-2</v>
      </c>
      <c r="W2541">
        <v>0.16049559999999999</v>
      </c>
      <c r="X2541">
        <v>0.98671799999999998</v>
      </c>
      <c r="Y2541">
        <v>6.0440529999999999E-2</v>
      </c>
      <c r="Z2541">
        <v>-7.4151069999999998E-3</v>
      </c>
      <c r="AA2541">
        <v>0.99814429999999998</v>
      </c>
      <c r="AB2541">
        <v>47</v>
      </c>
      <c r="AC2541">
        <v>0.54160000000001596</v>
      </c>
      <c r="AD2541">
        <v>-0.20705660000000001</v>
      </c>
      <c r="AE2541">
        <v>-6.1100000000010299E-2</v>
      </c>
      <c r="AF2541">
        <v>5.70167971747855E-2</v>
      </c>
      <c r="AG2541">
        <v>-0.20705660000000001</v>
      </c>
      <c r="AH2541">
        <v>0.47287117492477898</v>
      </c>
      <c r="AI2541">
        <v>113.49566191973</v>
      </c>
      <c r="AJ2541">
        <v>83.124708972865093</v>
      </c>
      <c r="AK2541">
        <v>0.51935584991253503</v>
      </c>
      <c r="AL2541">
        <v>80.764336311560101</v>
      </c>
      <c r="AM2541">
        <v>88.544265812618505</v>
      </c>
      <c r="AN2541">
        <v>1.00000000965597</v>
      </c>
    </row>
    <row r="2542" spans="1:40" x14ac:dyDescent="0.25">
      <c r="A2542" t="str">
        <f>"20190312164522416"</f>
        <v>20190312164522416</v>
      </c>
      <c r="B2542" t="str">
        <f>"1552380322414051"</f>
        <v>1552380322414051</v>
      </c>
      <c r="C2542" t="s">
        <v>40</v>
      </c>
      <c r="D2542">
        <v>4.9652419999999999</v>
      </c>
      <c r="E2542">
        <v>0.4934482</v>
      </c>
      <c r="F2542" t="s">
        <v>61</v>
      </c>
      <c r="G2542">
        <v>-107.39749999999999</v>
      </c>
      <c r="H2542">
        <v>13.110670000000001</v>
      </c>
      <c r="I2542">
        <v>212.63</v>
      </c>
      <c r="J2542">
        <v>-386.93049999999999</v>
      </c>
      <c r="K2542">
        <v>1.1077440000000001</v>
      </c>
      <c r="L2542">
        <v>213.49459999999999</v>
      </c>
      <c r="M2542">
        <v>0.99995919999999905</v>
      </c>
      <c r="N2542">
        <v>0</v>
      </c>
      <c r="O2542">
        <v>8.0302220000000001E-3</v>
      </c>
      <c r="P2542">
        <v>0.98760340000000002</v>
      </c>
      <c r="Q2542">
        <v>0.15597269999999999</v>
      </c>
      <c r="R2542">
        <v>-1.7672259999999999E-2</v>
      </c>
      <c r="S2542">
        <v>3.017242</v>
      </c>
      <c r="T2542">
        <v>0.1293482</v>
      </c>
      <c r="U2542">
        <v>-9.2773439999999999E-3</v>
      </c>
      <c r="V2542">
        <v>2.5426500000000001E-2</v>
      </c>
      <c r="W2542">
        <v>0.16008329999999901</v>
      </c>
      <c r="X2542">
        <v>0.98677599999999999</v>
      </c>
      <c r="Y2542">
        <v>1.1087359999999999E-2</v>
      </c>
      <c r="Z2542">
        <v>5.816412E-4</v>
      </c>
      <c r="AA2542">
        <v>0.99993840000000001</v>
      </c>
      <c r="AB2542">
        <v>47</v>
      </c>
      <c r="AC2542">
        <v>279.53300000000002</v>
      </c>
      <c r="AD2542">
        <v>12.002925999999899</v>
      </c>
      <c r="AE2542">
        <v>-0.86459999999999504</v>
      </c>
      <c r="AF2542">
        <v>3.1035811241584699</v>
      </c>
      <c r="AG2542">
        <v>12.002925999999899</v>
      </c>
      <c r="AH2542">
        <v>279.00263059453403</v>
      </c>
      <c r="AI2542">
        <v>87.536758952950095</v>
      </c>
      <c r="AJ2542">
        <v>89.362677099509796</v>
      </c>
      <c r="AK2542">
        <v>279.27794457676998</v>
      </c>
      <c r="AL2542">
        <v>80.788268922052595</v>
      </c>
      <c r="AM2542">
        <v>88.523972163196504</v>
      </c>
      <c r="AN2542">
        <v>1.0000000220085601</v>
      </c>
    </row>
    <row r="2543" spans="1:40" x14ac:dyDescent="0.25">
      <c r="A2543" t="str">
        <f>"20190312164522438"</f>
        <v>20190312164522438</v>
      </c>
      <c r="B2543" t="str">
        <f>"1552380322434545"</f>
        <v>1552380322434545</v>
      </c>
      <c r="C2543" t="s">
        <v>40</v>
      </c>
      <c r="D2543">
        <v>4.9927109999999999</v>
      </c>
      <c r="E2543">
        <v>0.49324950000000001</v>
      </c>
      <c r="F2543" t="s">
        <v>61</v>
      </c>
      <c r="G2543">
        <v>-107.39749999999999</v>
      </c>
      <c r="H2543">
        <v>22.432549999999999</v>
      </c>
      <c r="I2543">
        <v>214.20509999999999</v>
      </c>
      <c r="J2543">
        <v>-386.47269999999997</v>
      </c>
      <c r="K2543">
        <v>1.1077429999999999</v>
      </c>
      <c r="L2543">
        <v>213.4984</v>
      </c>
      <c r="M2543">
        <v>0.99995610000000001</v>
      </c>
      <c r="N2543">
        <v>0</v>
      </c>
      <c r="O2543">
        <v>8.4050569999999901E-3</v>
      </c>
      <c r="P2543">
        <v>0.9876123</v>
      </c>
      <c r="Q2543">
        <v>0.15589500000000001</v>
      </c>
      <c r="R2543">
        <v>-1.7856750000000001E-2</v>
      </c>
      <c r="S2543">
        <v>3.001617</v>
      </c>
      <c r="T2543">
        <v>0.22898579999999999</v>
      </c>
      <c r="U2543">
        <v>7.6293949999999998E-3</v>
      </c>
      <c r="V2543">
        <v>2.5980050000000001E-2</v>
      </c>
      <c r="W2543">
        <v>0.160025799999999</v>
      </c>
      <c r="X2543">
        <v>0.98677090000000001</v>
      </c>
      <c r="Y2543">
        <v>5.8221009999999997E-3</v>
      </c>
      <c r="Z2543">
        <v>8.6202149999999999E-4</v>
      </c>
      <c r="AA2543">
        <v>0.9999827</v>
      </c>
      <c r="AB2543">
        <v>47</v>
      </c>
      <c r="AC2543">
        <v>279.0752</v>
      </c>
      <c r="AD2543">
        <v>21.324807</v>
      </c>
      <c r="AE2543">
        <v>0.70669999999998301</v>
      </c>
      <c r="AF2543">
        <v>1.6294738429914899</v>
      </c>
      <c r="AG2543">
        <v>21.324807</v>
      </c>
      <c r="AH2543">
        <v>277.45129429593999</v>
      </c>
      <c r="AI2543">
        <v>85.6049833667022</v>
      </c>
      <c r="AJ2543">
        <v>89.663505261820404</v>
      </c>
      <c r="AK2543">
        <v>278.27436692064299</v>
      </c>
      <c r="AL2543">
        <v>80.791606385318502</v>
      </c>
      <c r="AM2543">
        <v>88.491845052596403</v>
      </c>
      <c r="AN2543">
        <v>1.0000000143752199</v>
      </c>
    </row>
    <row r="2544" spans="1:40" x14ac:dyDescent="0.25">
      <c r="A2544" t="str">
        <f>"20190312164522461"</f>
        <v>20190312164522461</v>
      </c>
      <c r="B2544" t="str">
        <f>"1552380322454066"</f>
        <v>1552380322454066</v>
      </c>
      <c r="C2544" t="s">
        <v>40</v>
      </c>
      <c r="D2544">
        <v>4.8045429999999998</v>
      </c>
      <c r="E2544">
        <v>0.49210350000000003</v>
      </c>
      <c r="F2544" t="s">
        <v>61</v>
      </c>
      <c r="G2544">
        <v>-107.39749999999999</v>
      </c>
      <c r="H2544">
        <v>20.29813</v>
      </c>
      <c r="I2544">
        <v>214.37129999999999</v>
      </c>
      <c r="J2544">
        <v>-385.98500000000001</v>
      </c>
      <c r="K2544">
        <v>1.1077429999999999</v>
      </c>
      <c r="L2544">
        <v>213.5027</v>
      </c>
      <c r="M2544">
        <v>0.99995259999999997</v>
      </c>
      <c r="N2544">
        <v>0</v>
      </c>
      <c r="O2544">
        <v>8.8040859999999992E-3</v>
      </c>
      <c r="P2544">
        <v>0.98756049999999995</v>
      </c>
      <c r="Q2544">
        <v>0.1562299</v>
      </c>
      <c r="R2544">
        <v>-1.779383E-2</v>
      </c>
      <c r="S2544">
        <v>3.005188</v>
      </c>
      <c r="T2544">
        <v>0.2066499</v>
      </c>
      <c r="U2544">
        <v>9.399414E-3</v>
      </c>
      <c r="V2544">
        <v>2.630886E-2</v>
      </c>
      <c r="W2544">
        <v>0.16038350000000001</v>
      </c>
      <c r="X2544">
        <v>0.98670409999999997</v>
      </c>
      <c r="Y2544">
        <v>5.6424119999999899E-3</v>
      </c>
      <c r="Z2544">
        <v>7.9845860000000003E-4</v>
      </c>
      <c r="AA2544">
        <v>0.99998379999999998</v>
      </c>
      <c r="AB2544">
        <v>47</v>
      </c>
      <c r="AC2544">
        <v>278.58749999999998</v>
      </c>
      <c r="AD2544">
        <v>19.190387000000001</v>
      </c>
      <c r="AE2544">
        <v>0.86859999999998605</v>
      </c>
      <c r="AF2544">
        <v>1.5766817520593099</v>
      </c>
      <c r="AG2544">
        <v>19.190387000000001</v>
      </c>
      <c r="AH2544">
        <v>277.26869856070402</v>
      </c>
      <c r="AI2544">
        <v>86.040808707507907</v>
      </c>
      <c r="AJ2544">
        <v>89.674192446528494</v>
      </c>
      <c r="AK2544">
        <v>277.93648209636598</v>
      </c>
      <c r="AL2544">
        <v>80.770843393591605</v>
      </c>
      <c r="AM2544">
        <v>88.472663105505504</v>
      </c>
      <c r="AN2544">
        <v>1.0000000020717701</v>
      </c>
    </row>
    <row r="2545" spans="1:40" x14ac:dyDescent="0.25">
      <c r="A2545" t="str">
        <f>"20190312164522483"</f>
        <v>20190312164522483</v>
      </c>
      <c r="B2545" t="str">
        <f>"1552380322474563"</f>
        <v>1552380322474563</v>
      </c>
      <c r="C2545" t="s">
        <v>40</v>
      </c>
      <c r="D2545">
        <v>4.8552119999999999</v>
      </c>
      <c r="E2545">
        <v>0.49139050000000001</v>
      </c>
      <c r="F2545" t="s">
        <v>61</v>
      </c>
      <c r="G2545">
        <v>-107.39749999999999</v>
      </c>
      <c r="H2545">
        <v>18.87358</v>
      </c>
      <c r="I2545">
        <v>215.26650000000001</v>
      </c>
      <c r="J2545">
        <v>-385.5061</v>
      </c>
      <c r="K2545">
        <v>1.1077429999999999</v>
      </c>
      <c r="L2545">
        <v>213.50710000000001</v>
      </c>
      <c r="M2545">
        <v>0.99994890000000003</v>
      </c>
      <c r="N2545">
        <v>0</v>
      </c>
      <c r="O2545">
        <v>9.1954140000000007E-3</v>
      </c>
      <c r="P2545">
        <v>0.98749690000000001</v>
      </c>
      <c r="Q2545">
        <v>0.15661369999999999</v>
      </c>
      <c r="R2545">
        <v>-1.7956059999999999E-2</v>
      </c>
      <c r="S2545">
        <v>3.0077820000000002</v>
      </c>
      <c r="T2545">
        <v>0.19181010000000001</v>
      </c>
      <c r="U2545">
        <v>1.9042969999999999E-2</v>
      </c>
      <c r="V2545">
        <v>2.685506E-2</v>
      </c>
      <c r="W2545">
        <v>0.16079679999999999</v>
      </c>
      <c r="X2545">
        <v>0.98662209999999995</v>
      </c>
      <c r="Y2545">
        <v>2.8400259999999998E-3</v>
      </c>
      <c r="Z2545">
        <v>6.7626060000000002E-4</v>
      </c>
      <c r="AA2545">
        <v>0.99999579999999999</v>
      </c>
      <c r="AB2545">
        <v>47</v>
      </c>
      <c r="AC2545">
        <v>278.10860000000002</v>
      </c>
      <c r="AD2545">
        <v>17.765837000000001</v>
      </c>
      <c r="AE2545">
        <v>1.7593999999999901</v>
      </c>
      <c r="AF2545">
        <v>0.79477748134916404</v>
      </c>
      <c r="AG2545">
        <v>17.765837000000001</v>
      </c>
      <c r="AH2545">
        <v>276.98276154716098</v>
      </c>
      <c r="AI2545">
        <v>86.3300573628688</v>
      </c>
      <c r="AJ2545">
        <v>89.835595290833595</v>
      </c>
      <c r="AK2545">
        <v>277.553070294397</v>
      </c>
      <c r="AL2545">
        <v>80.746851519622993</v>
      </c>
      <c r="AM2545">
        <v>88.440839942438402</v>
      </c>
      <c r="AN2545">
        <v>0.99999998667312595</v>
      </c>
    </row>
    <row r="2546" spans="1:40" x14ac:dyDescent="0.25">
      <c r="A2546" t="str">
        <f>"20190312164522504"</f>
        <v>20190312164522504</v>
      </c>
      <c r="B2546" t="str">
        <f>"1552380322494082"</f>
        <v>1552380322494082</v>
      </c>
      <c r="C2546" t="s">
        <v>40</v>
      </c>
      <c r="D2546">
        <v>5.179265</v>
      </c>
      <c r="E2546">
        <v>0.4909713</v>
      </c>
      <c r="F2546" t="s">
        <v>61</v>
      </c>
      <c r="G2546">
        <v>-107.39749999999999</v>
      </c>
      <c r="H2546">
        <v>18.480309999999999</v>
      </c>
      <c r="I2546">
        <v>215.7569</v>
      </c>
      <c r="J2546">
        <v>-385.05290000000002</v>
      </c>
      <c r="K2546">
        <v>1.10775</v>
      </c>
      <c r="L2546">
        <v>213.51150000000001</v>
      </c>
      <c r="M2546">
        <v>0.99994530000000004</v>
      </c>
      <c r="N2546">
        <v>0</v>
      </c>
      <c r="O2546">
        <v>9.5648480000000008E-3</v>
      </c>
      <c r="P2546">
        <v>0.98750199999999999</v>
      </c>
      <c r="Q2546">
        <v>0.1566014</v>
      </c>
      <c r="R2546">
        <v>-1.778536E-2</v>
      </c>
      <c r="S2546">
        <v>3.0086059999999999</v>
      </c>
      <c r="T2546">
        <v>0.18793869999999999</v>
      </c>
      <c r="U2546">
        <v>2.4337770000000002E-2</v>
      </c>
      <c r="V2546">
        <v>2.70478E-2</v>
      </c>
      <c r="W2546">
        <v>0.16082739999999901</v>
      </c>
      <c r="X2546">
        <v>0.98661180000000004</v>
      </c>
      <c r="Y2546">
        <v>1.4543939999999999E-3</v>
      </c>
      <c r="Z2546">
        <v>6.4226979999999995E-4</v>
      </c>
      <c r="AA2546">
        <v>0.99999870000000002</v>
      </c>
      <c r="AB2546">
        <v>47</v>
      </c>
      <c r="AC2546">
        <v>277.65539999999999</v>
      </c>
      <c r="AD2546">
        <v>17.37256</v>
      </c>
      <c r="AE2546">
        <v>2.2453999999999801</v>
      </c>
      <c r="AF2546">
        <v>0.40885768376154402</v>
      </c>
      <c r="AG2546">
        <v>17.37256</v>
      </c>
      <c r="AH2546">
        <v>276.581470924021</v>
      </c>
      <c r="AI2546">
        <v>86.405878710750102</v>
      </c>
      <c r="AJ2546">
        <v>89.915302342708799</v>
      </c>
      <c r="AK2546">
        <v>277.12683569812299</v>
      </c>
      <c r="AL2546">
        <v>80.745074713487099</v>
      </c>
      <c r="AM2546">
        <v>88.429638976315502</v>
      </c>
      <c r="AN2546">
        <v>0.99999993998741799</v>
      </c>
    </row>
    <row r="2547" spans="1:40" x14ac:dyDescent="0.25">
      <c r="A2547" t="str">
        <f>"20190312164522527"</f>
        <v>20190312164522527</v>
      </c>
      <c r="B2547" t="str">
        <f>"1552380322514581"</f>
        <v>1552380322514581</v>
      </c>
      <c r="C2547" t="s">
        <v>40</v>
      </c>
      <c r="D2547">
        <v>5.070646</v>
      </c>
      <c r="E2547">
        <v>0.49038929999999997</v>
      </c>
      <c r="F2547" t="s">
        <v>61</v>
      </c>
      <c r="G2547">
        <v>-107.39749999999999</v>
      </c>
      <c r="H2547">
        <v>17.173570000000002</v>
      </c>
      <c r="I2547">
        <v>216.15129999999999</v>
      </c>
      <c r="J2547">
        <v>-384.58850000000001</v>
      </c>
      <c r="K2547">
        <v>1.107764</v>
      </c>
      <c r="L2547">
        <v>213.51609999999999</v>
      </c>
      <c r="M2547">
        <v>0.99994130000000003</v>
      </c>
      <c r="N2547">
        <v>0</v>
      </c>
      <c r="O2547">
        <v>9.9430590000000006E-3</v>
      </c>
      <c r="P2547">
        <v>0.98743210000000003</v>
      </c>
      <c r="Q2547">
        <v>0.15707869999999999</v>
      </c>
      <c r="R2547">
        <v>-1.7447020000000001E-2</v>
      </c>
      <c r="S2547">
        <v>3.0108640000000002</v>
      </c>
      <c r="T2547">
        <v>0.1742165</v>
      </c>
      <c r="U2547">
        <v>2.862549E-2</v>
      </c>
      <c r="V2547">
        <v>2.7080690000000001E-2</v>
      </c>
      <c r="W2547">
        <v>0.1613723</v>
      </c>
      <c r="X2547">
        <v>0.98652200000000001</v>
      </c>
      <c r="Y2547">
        <v>4.1887309999999998E-4</v>
      </c>
      <c r="Z2547">
        <v>5.8693739999999997E-4</v>
      </c>
      <c r="AA2547">
        <v>0.99999979999999999</v>
      </c>
      <c r="AB2547">
        <v>47</v>
      </c>
      <c r="AC2547">
        <v>277.19099999999997</v>
      </c>
      <c r="AD2547">
        <v>16.065805999999998</v>
      </c>
      <c r="AE2547">
        <v>2.63519999999999</v>
      </c>
      <c r="AF2547">
        <v>0.120676923985452</v>
      </c>
      <c r="AG2547">
        <v>16.065805999999998</v>
      </c>
      <c r="AH2547">
        <v>276.27549531786599</v>
      </c>
      <c r="AI2547">
        <v>86.671918717913698</v>
      </c>
      <c r="AJ2547">
        <v>89.974973249142806</v>
      </c>
      <c r="AK2547">
        <v>276.74225192131797</v>
      </c>
      <c r="AL2547">
        <v>80.713441792570407</v>
      </c>
      <c r="AM2547">
        <v>88.427587335536401</v>
      </c>
      <c r="AN2547">
        <v>1.0000000197310801</v>
      </c>
    </row>
    <row r="2548" spans="1:40" x14ac:dyDescent="0.25">
      <c r="A2548" t="str">
        <f>"20190312164522549"</f>
        <v>20190312164522549</v>
      </c>
      <c r="B2548" t="str">
        <f>"1552380322543857"</f>
        <v>1552380322543857</v>
      </c>
      <c r="C2548" t="s">
        <v>40</v>
      </c>
      <c r="D2548">
        <v>5.1658850000000003</v>
      </c>
      <c r="E2548">
        <v>0.49064340000000001</v>
      </c>
      <c r="F2548" t="s">
        <v>61</v>
      </c>
      <c r="G2548">
        <v>-107.39749999999999</v>
      </c>
      <c r="H2548">
        <v>16.348189999999999</v>
      </c>
      <c r="I2548">
        <v>216.6892</v>
      </c>
      <c r="J2548">
        <v>-384.11149999999998</v>
      </c>
      <c r="K2548">
        <v>1.1077870000000001</v>
      </c>
      <c r="L2548">
        <v>213.52099999999999</v>
      </c>
      <c r="M2548">
        <v>0.99993699999999996</v>
      </c>
      <c r="N2548">
        <v>0</v>
      </c>
      <c r="O2548">
        <v>1.032782E-2</v>
      </c>
      <c r="P2548">
        <v>0.98731329999999995</v>
      </c>
      <c r="Q2548">
        <v>0.1578997</v>
      </c>
      <c r="R2548">
        <v>-1.6746830000000001E-2</v>
      </c>
      <c r="S2548">
        <v>3.0124819999999999</v>
      </c>
      <c r="T2548">
        <v>0.1656319</v>
      </c>
      <c r="U2548">
        <v>3.4484859999999999E-2</v>
      </c>
      <c r="V2548">
        <v>2.6757010000000001E-2</v>
      </c>
      <c r="W2548">
        <v>0.16229789999999999</v>
      </c>
      <c r="X2548">
        <v>0.98637900000000001</v>
      </c>
      <c r="Y2548">
        <v>-1.13261E-3</v>
      </c>
      <c r="Z2548">
        <v>5.3627340000000001E-4</v>
      </c>
      <c r="AA2548">
        <v>0.99999919999999998</v>
      </c>
      <c r="AB2548">
        <v>47</v>
      </c>
      <c r="AC2548">
        <v>276.714</v>
      </c>
      <c r="AD2548">
        <v>15.240403000000001</v>
      </c>
      <c r="AE2548">
        <v>3.1682000000000099</v>
      </c>
      <c r="AF2548">
        <v>-0.30921317152253303</v>
      </c>
      <c r="AG2548">
        <v>15.240403000000001</v>
      </c>
      <c r="AH2548">
        <v>275.89516998816299</v>
      </c>
      <c r="AI2548">
        <v>86.838206110301101</v>
      </c>
      <c r="AJ2548">
        <v>90.064214978032595</v>
      </c>
      <c r="AK2548">
        <v>276.31596102864802</v>
      </c>
      <c r="AL2548">
        <v>80.659700568473298</v>
      </c>
      <c r="AM2548">
        <v>88.446147091666901</v>
      </c>
      <c r="AN2548">
        <v>1.0000000387847701</v>
      </c>
    </row>
    <row r="2549" spans="1:40" x14ac:dyDescent="0.25">
      <c r="A2549" t="str">
        <f>"20190312164522572"</f>
        <v>20190312164522572</v>
      </c>
      <c r="B2549" t="str">
        <f>"1552380322564354"</f>
        <v>1552380322564354</v>
      </c>
      <c r="C2549" t="s">
        <v>40</v>
      </c>
      <c r="D2549">
        <v>5.9967439999999996</v>
      </c>
      <c r="E2549">
        <v>0.49094749999999998</v>
      </c>
      <c r="F2549" t="s">
        <v>61</v>
      </c>
      <c r="G2549">
        <v>-107.39749999999999</v>
      </c>
      <c r="H2549">
        <v>16.111750000000001</v>
      </c>
      <c r="I2549">
        <v>216.71899999999999</v>
      </c>
      <c r="J2549">
        <v>-383.62599999999998</v>
      </c>
      <c r="K2549">
        <v>1.1078049999999999</v>
      </c>
      <c r="L2549">
        <v>213.52619999999999</v>
      </c>
      <c r="M2549">
        <v>0.99993220000000005</v>
      </c>
      <c r="N2549">
        <v>0</v>
      </c>
      <c r="O2549">
        <v>1.0712259999999999E-2</v>
      </c>
      <c r="P2549">
        <v>0.98725110000000005</v>
      </c>
      <c r="Q2549">
        <v>0.15834980000000001</v>
      </c>
      <c r="R2549">
        <v>-1.6149219999999999E-2</v>
      </c>
      <c r="S2549">
        <v>3.0129999999999999</v>
      </c>
      <c r="T2549">
        <v>0.16337119999999999</v>
      </c>
      <c r="U2549">
        <v>3.482056E-2</v>
      </c>
      <c r="V2549">
        <v>2.6537450000000001E-2</v>
      </c>
      <c r="W2549">
        <v>0.1628917</v>
      </c>
      <c r="X2549">
        <v>0.98628700000000002</v>
      </c>
      <c r="Y2549">
        <v>-8.581544E-4</v>
      </c>
      <c r="Z2549">
        <v>5.5713680000000002E-4</v>
      </c>
      <c r="AA2549">
        <v>0.99999950000000004</v>
      </c>
      <c r="AB2549">
        <v>48</v>
      </c>
      <c r="AC2549">
        <v>276.2285</v>
      </c>
      <c r="AD2549">
        <v>15.003945</v>
      </c>
      <c r="AE2549">
        <v>3.1928000000000298</v>
      </c>
      <c r="AF2549">
        <v>-0.23286750122132399</v>
      </c>
      <c r="AG2549">
        <v>15.003945</v>
      </c>
      <c r="AH2549">
        <v>275.43433280546299</v>
      </c>
      <c r="AI2549">
        <v>86.881966014487901</v>
      </c>
      <c r="AJ2549">
        <v>90.048441026544594</v>
      </c>
      <c r="AK2549">
        <v>275.84278906802399</v>
      </c>
      <c r="AL2549">
        <v>80.625219072160604</v>
      </c>
      <c r="AM2549">
        <v>88.458747684455005</v>
      </c>
      <c r="AN2549">
        <v>0.99999999427519604</v>
      </c>
    </row>
    <row r="2550" spans="1:40" x14ac:dyDescent="0.25">
      <c r="A2550" t="str">
        <f>"20190312164522595"</f>
        <v>20190312164522595</v>
      </c>
      <c r="B2550" t="str">
        <f>"1552380322583873"</f>
        <v>1552380322583873</v>
      </c>
      <c r="C2550" t="s">
        <v>40</v>
      </c>
      <c r="D2550">
        <v>5.4622699999999904</v>
      </c>
      <c r="E2550">
        <v>0.4911934</v>
      </c>
      <c r="F2550" t="s">
        <v>61</v>
      </c>
      <c r="G2550">
        <v>-107.39749999999999</v>
      </c>
      <c r="H2550">
        <v>16.853909999999999</v>
      </c>
      <c r="I2550">
        <v>216.67509999999999</v>
      </c>
      <c r="J2550">
        <v>-383.12650000000002</v>
      </c>
      <c r="K2550">
        <v>1.107831</v>
      </c>
      <c r="L2550">
        <v>213.5318</v>
      </c>
      <c r="M2550">
        <v>0.99992729999999996</v>
      </c>
      <c r="N2550">
        <v>0</v>
      </c>
      <c r="O2550">
        <v>1.109944E-2</v>
      </c>
      <c r="P2550">
        <v>0.98725200000000002</v>
      </c>
      <c r="Q2550">
        <v>0.15839909999999999</v>
      </c>
      <c r="R2550">
        <v>-1.560102E-2</v>
      </c>
      <c r="S2550">
        <v>3.011749</v>
      </c>
      <c r="T2550">
        <v>0.171682</v>
      </c>
      <c r="U2550">
        <v>3.433228E-2</v>
      </c>
      <c r="V2550">
        <v>2.6371769999999999E-2</v>
      </c>
      <c r="W2550">
        <v>0.16310529999999901</v>
      </c>
      <c r="X2550">
        <v>0.98625609999999997</v>
      </c>
      <c r="Y2550">
        <v>-3.1666069999999999E-4</v>
      </c>
      <c r="Z2550">
        <v>6.2314930000000003E-4</v>
      </c>
      <c r="AA2550">
        <v>0.99999979999999999</v>
      </c>
      <c r="AB2550">
        <v>48</v>
      </c>
      <c r="AC2550">
        <v>275.72899999999998</v>
      </c>
      <c r="AD2550">
        <v>15.7460789999999</v>
      </c>
      <c r="AE2550">
        <v>3.14329999999998</v>
      </c>
      <c r="AF2550">
        <v>-8.2366327738109396E-2</v>
      </c>
      <c r="AG2550">
        <v>15.7460789999999</v>
      </c>
      <c r="AH2550">
        <v>274.85067203221399</v>
      </c>
      <c r="AI2550">
        <v>86.721133171191894</v>
      </c>
      <c r="AJ2550">
        <v>90.017170206560493</v>
      </c>
      <c r="AK2550">
        <v>275.30135797820901</v>
      </c>
      <c r="AL2550">
        <v>80.612814402015502</v>
      </c>
      <c r="AM2550">
        <v>88.468317549713106</v>
      </c>
      <c r="AN2550">
        <v>0.99999995196411495</v>
      </c>
    </row>
    <row r="2551" spans="1:40" x14ac:dyDescent="0.25">
      <c r="A2551" t="str">
        <f>"20190312164522617"</f>
        <v>20190312164522617</v>
      </c>
      <c r="B2551" t="str">
        <f>"1552380322614129"</f>
        <v>1552380322614129</v>
      </c>
      <c r="C2551" t="s">
        <v>40</v>
      </c>
      <c r="D2551">
        <v>5.0458689999999997</v>
      </c>
      <c r="E2551">
        <v>0.49152760000000001</v>
      </c>
      <c r="F2551" t="s">
        <v>61</v>
      </c>
      <c r="G2551">
        <v>-107.39749999999999</v>
      </c>
      <c r="H2551">
        <v>17.33221</v>
      </c>
      <c r="I2551">
        <v>216.64930000000001</v>
      </c>
      <c r="J2551">
        <v>-382.65730000000002</v>
      </c>
      <c r="K2551">
        <v>1.107858</v>
      </c>
      <c r="L2551">
        <v>213.53720000000001</v>
      </c>
      <c r="M2551">
        <v>0.99992230000000004</v>
      </c>
      <c r="N2551">
        <v>0</v>
      </c>
      <c r="O2551">
        <v>1.145178E-2</v>
      </c>
      <c r="P2551">
        <v>0.98724540000000005</v>
      </c>
      <c r="Q2551">
        <v>0.1584988</v>
      </c>
      <c r="R2551">
        <v>-1.498184E-2</v>
      </c>
      <c r="S2551">
        <v>3.0108640000000002</v>
      </c>
      <c r="T2551">
        <v>0.17716519999999999</v>
      </c>
      <c r="U2551">
        <v>3.4042360000000001E-2</v>
      </c>
      <c r="V2551">
        <v>2.6101940000000001E-2</v>
      </c>
      <c r="W2551">
        <v>0.16337389999999999</v>
      </c>
      <c r="X2551">
        <v>0.98621890000000001</v>
      </c>
      <c r="Y2551">
        <v>1.2612139999999901E-4</v>
      </c>
      <c r="Z2551">
        <v>6.769349E-4</v>
      </c>
      <c r="AA2551">
        <v>0.99999979999999999</v>
      </c>
      <c r="AB2551">
        <v>48</v>
      </c>
      <c r="AC2551">
        <v>275.25979999999998</v>
      </c>
      <c r="AD2551">
        <v>16.224352</v>
      </c>
      <c r="AE2551">
        <v>3.1120999999999901</v>
      </c>
      <c r="AF2551">
        <v>4.0217268807822802E-2</v>
      </c>
      <c r="AG2551">
        <v>16.224352</v>
      </c>
      <c r="AH2551">
        <v>274.32446545908101</v>
      </c>
      <c r="AI2551">
        <v>86.615302650692996</v>
      </c>
      <c r="AJ2551">
        <v>89.991600166810201</v>
      </c>
      <c r="AK2551">
        <v>274.80382741995999</v>
      </c>
      <c r="AL2551">
        <v>80.597216264559506</v>
      </c>
      <c r="AM2551">
        <v>88.483924870319299</v>
      </c>
      <c r="AN2551">
        <v>1.00000003059509</v>
      </c>
    </row>
    <row r="2552" spans="1:40" x14ac:dyDescent="0.25">
      <c r="A2552" t="str">
        <f>"20190312164522639"</f>
        <v>20190312164522639</v>
      </c>
      <c r="B2552" t="str">
        <f>"1552380322634625"</f>
        <v>1552380322634625</v>
      </c>
      <c r="C2552" t="s">
        <v>40</v>
      </c>
      <c r="D2552">
        <v>5.1974019999999896</v>
      </c>
      <c r="E2552">
        <v>0.491672</v>
      </c>
      <c r="F2552" t="s">
        <v>61</v>
      </c>
      <c r="G2552">
        <v>-107.39749999999999</v>
      </c>
      <c r="H2552">
        <v>17.84224</v>
      </c>
      <c r="I2552">
        <v>216.54849999999999</v>
      </c>
      <c r="J2552">
        <v>-382.18939999999998</v>
      </c>
      <c r="K2552">
        <v>1.1078809999999999</v>
      </c>
      <c r="L2552">
        <v>213.5427</v>
      </c>
      <c r="M2552">
        <v>0.99991759999999996</v>
      </c>
      <c r="N2552">
        <v>0</v>
      </c>
      <c r="O2552">
        <v>1.1784360000000001E-2</v>
      </c>
      <c r="P2552">
        <v>0.98724369999999995</v>
      </c>
      <c r="Q2552">
        <v>0.15857769999999999</v>
      </c>
      <c r="R2552">
        <v>-1.426506E-2</v>
      </c>
      <c r="S2552">
        <v>3.0098880000000001</v>
      </c>
      <c r="T2552">
        <v>0.18298629999999999</v>
      </c>
      <c r="U2552">
        <v>3.2928470000000001E-2</v>
      </c>
      <c r="V2552">
        <v>2.5716800000000001E-2</v>
      </c>
      <c r="W2552">
        <v>0.16364579999999901</v>
      </c>
      <c r="X2552">
        <v>0.9861839</v>
      </c>
      <c r="Y2552">
        <v>8.2184749999999996E-4</v>
      </c>
      <c r="Z2552">
        <v>7.4069199999999896E-4</v>
      </c>
      <c r="AA2552">
        <v>0.99999939999999998</v>
      </c>
      <c r="AB2552">
        <v>48</v>
      </c>
      <c r="AC2552">
        <v>274.7919</v>
      </c>
      <c r="AD2552">
        <v>16.734359000000001</v>
      </c>
      <c r="AE2552">
        <v>3.00579999999999</v>
      </c>
      <c r="AF2552">
        <v>0.23183767764851099</v>
      </c>
      <c r="AG2552">
        <v>16.734359000000001</v>
      </c>
      <c r="AH2552">
        <v>273.79297252045598</v>
      </c>
      <c r="AI2552">
        <v>86.502406482138198</v>
      </c>
      <c r="AJ2552">
        <v>89.951484082427797</v>
      </c>
      <c r="AK2552">
        <v>274.303999827631</v>
      </c>
      <c r="AL2552">
        <v>80.581424663264301</v>
      </c>
      <c r="AM2552">
        <v>88.506231701234398</v>
      </c>
      <c r="AN2552">
        <v>0.99999999313954502</v>
      </c>
    </row>
    <row r="2553" spans="1:40" x14ac:dyDescent="0.25">
      <c r="A2553" t="str">
        <f>"20190312164522661"</f>
        <v>20190312164522661</v>
      </c>
      <c r="B2553" t="str">
        <f>"1552380322654146"</f>
        <v>1552380322654146</v>
      </c>
      <c r="C2553" t="s">
        <v>40</v>
      </c>
      <c r="D2553">
        <v>5.1927940000000001</v>
      </c>
      <c r="E2553">
        <v>0.49180629999999997</v>
      </c>
      <c r="F2553" t="s">
        <v>61</v>
      </c>
      <c r="G2553">
        <v>-107.39749999999999</v>
      </c>
      <c r="H2553">
        <v>18.05857</v>
      </c>
      <c r="I2553">
        <v>216.60650000000001</v>
      </c>
      <c r="J2553">
        <v>-381.70080000000002</v>
      </c>
      <c r="K2553">
        <v>1.107907</v>
      </c>
      <c r="L2553">
        <v>213.54859999999999</v>
      </c>
      <c r="M2553">
        <v>0.99991260000000004</v>
      </c>
      <c r="N2553">
        <v>0</v>
      </c>
      <c r="O2553">
        <v>1.2101489999999999E-2</v>
      </c>
      <c r="P2553">
        <v>0.98718479999999997</v>
      </c>
      <c r="Q2553">
        <v>0.158999799999999</v>
      </c>
      <c r="R2553">
        <v>-1.361832E-2</v>
      </c>
      <c r="S2553">
        <v>3.0093990000000002</v>
      </c>
      <c r="T2553">
        <v>0.185637</v>
      </c>
      <c r="U2553">
        <v>3.355408E-2</v>
      </c>
      <c r="V2553">
        <v>2.5388930000000001E-2</v>
      </c>
      <c r="W2553">
        <v>0.16431370000000001</v>
      </c>
      <c r="X2553">
        <v>0.9860814</v>
      </c>
      <c r="Y2553">
        <v>9.2789450000000002E-4</v>
      </c>
      <c r="Z2553">
        <v>7.7433229999999997E-4</v>
      </c>
      <c r="AA2553">
        <v>0.99999930000000004</v>
      </c>
      <c r="AB2553">
        <v>48</v>
      </c>
      <c r="AC2553">
        <v>274.30329999999998</v>
      </c>
      <c r="AD2553">
        <v>16.950662999999999</v>
      </c>
      <c r="AE2553">
        <v>3.0579000000000098</v>
      </c>
      <c r="AF2553">
        <v>0.26085362536928303</v>
      </c>
      <c r="AG2553">
        <v>16.950662999999999</v>
      </c>
      <c r="AH2553">
        <v>273.27679677111502</v>
      </c>
      <c r="AI2553">
        <v>86.450637767503906</v>
      </c>
      <c r="AJ2553">
        <v>89.945308904957599</v>
      </c>
      <c r="AK2553">
        <v>273.80211955760097</v>
      </c>
      <c r="AL2553">
        <v>80.542632322820097</v>
      </c>
      <c r="AM2553">
        <v>88.525114441465007</v>
      </c>
      <c r="AN2553">
        <v>1.0000000586000899</v>
      </c>
    </row>
    <row r="2554" spans="1:40" x14ac:dyDescent="0.25">
      <c r="A2554" t="str">
        <f>"20190312164522683"</f>
        <v>20190312164522683</v>
      </c>
      <c r="B2554" t="str">
        <f>"1552380322674645"</f>
        <v>1552380322674645</v>
      </c>
      <c r="C2554" t="s">
        <v>40</v>
      </c>
      <c r="D2554">
        <v>5.3520159999999999</v>
      </c>
      <c r="E2554">
        <v>0.49198989999999998</v>
      </c>
      <c r="F2554" t="s">
        <v>61</v>
      </c>
      <c r="G2554">
        <v>-107.39749999999999</v>
      </c>
      <c r="H2554">
        <v>18.276869999999999</v>
      </c>
      <c r="I2554">
        <v>216.6643</v>
      </c>
      <c r="J2554">
        <v>-381.22239999999999</v>
      </c>
      <c r="K2554">
        <v>1.1079300000000001</v>
      </c>
      <c r="L2554">
        <v>213.55449999999999</v>
      </c>
      <c r="M2554">
        <v>0.99990760000000001</v>
      </c>
      <c r="N2554">
        <v>0</v>
      </c>
      <c r="O2554">
        <v>1.237192E-2</v>
      </c>
      <c r="P2554">
        <v>0.98718729999999999</v>
      </c>
      <c r="Q2554">
        <v>0.1589856</v>
      </c>
      <c r="R2554">
        <v>-1.361003E-2</v>
      </c>
      <c r="S2554">
        <v>3.0090940000000002</v>
      </c>
      <c r="T2554">
        <v>0.18834329999999999</v>
      </c>
      <c r="U2554">
        <v>3.4179689999999999E-2</v>
      </c>
      <c r="V2554">
        <v>2.5658199999999999E-2</v>
      </c>
      <c r="W2554">
        <v>0.16459070000000001</v>
      </c>
      <c r="X2554">
        <v>0.98602809999999996</v>
      </c>
      <c r="Y2554">
        <v>9.8799020000000007E-4</v>
      </c>
      <c r="Z2554">
        <v>8.0446619999999995E-4</v>
      </c>
      <c r="AA2554">
        <v>0.99999919999999998</v>
      </c>
      <c r="AB2554">
        <v>48</v>
      </c>
      <c r="AC2554">
        <v>273.82490000000001</v>
      </c>
      <c r="AD2554">
        <v>17.168939999999999</v>
      </c>
      <c r="AE2554">
        <v>3.1097999999999999</v>
      </c>
      <c r="AF2554">
        <v>0.27714211550500101</v>
      </c>
      <c r="AG2554">
        <v>17.168939999999999</v>
      </c>
      <c r="AH2554">
        <v>272.77020160854698</v>
      </c>
      <c r="AI2554">
        <v>86.398392191382399</v>
      </c>
      <c r="AJ2554">
        <v>89.941785913614893</v>
      </c>
      <c r="AK2554">
        <v>273.31013920826899</v>
      </c>
      <c r="AL2554">
        <v>80.526541078521205</v>
      </c>
      <c r="AM2554">
        <v>88.509398580455596</v>
      </c>
      <c r="AN2554">
        <v>0.99999992787166703</v>
      </c>
    </row>
    <row r="2555" spans="1:40" x14ac:dyDescent="0.25">
      <c r="A2555" t="str">
        <f>"20190312164522705"</f>
        <v>20190312164522705</v>
      </c>
      <c r="B2555" t="str">
        <f>"1552380322694165"</f>
        <v>1552380322694165</v>
      </c>
      <c r="C2555" t="s">
        <v>40</v>
      </c>
      <c r="D2555">
        <v>5.1882539999999997</v>
      </c>
      <c r="E2555">
        <v>0.49193389999999998</v>
      </c>
      <c r="F2555" t="s">
        <v>61</v>
      </c>
      <c r="G2555">
        <v>-107.39749999999999</v>
      </c>
      <c r="H2555">
        <v>18.406839999999999</v>
      </c>
      <c r="I2555">
        <v>216.57910000000001</v>
      </c>
      <c r="J2555">
        <v>-380.74869999999999</v>
      </c>
      <c r="K2555">
        <v>1.1079399999999999</v>
      </c>
      <c r="L2555">
        <v>213.56039999999999</v>
      </c>
      <c r="M2555">
        <v>0.99990290000000004</v>
      </c>
      <c r="N2555">
        <v>0</v>
      </c>
      <c r="O2555">
        <v>1.259033E-2</v>
      </c>
      <c r="P2555">
        <v>0.98727450000000005</v>
      </c>
      <c r="Q2555">
        <v>0.15846089999999999</v>
      </c>
      <c r="R2555">
        <v>-1.339424E-2</v>
      </c>
      <c r="S2555">
        <v>3.008759</v>
      </c>
      <c r="T2555">
        <v>0.1900791</v>
      </c>
      <c r="U2555">
        <v>3.3233640000000002E-2</v>
      </c>
      <c r="V2555">
        <v>2.567407E-2</v>
      </c>
      <c r="W2555">
        <v>0.1643984</v>
      </c>
      <c r="X2555">
        <v>0.98605980000000004</v>
      </c>
      <c r="Y2555">
        <v>1.517582E-3</v>
      </c>
      <c r="Z2555">
        <v>8.4245330000000005E-4</v>
      </c>
      <c r="AA2555">
        <v>0.99999850000000001</v>
      </c>
      <c r="AB2555">
        <v>48</v>
      </c>
      <c r="AC2555">
        <v>273.35120000000001</v>
      </c>
      <c r="AD2555">
        <v>17.2989</v>
      </c>
      <c r="AE2555">
        <v>3.0187000000000199</v>
      </c>
      <c r="AF2555">
        <v>0.42149462713785202</v>
      </c>
      <c r="AG2555">
        <v>17.2989</v>
      </c>
      <c r="AH2555">
        <v>272.277221712288</v>
      </c>
      <c r="AI2555">
        <v>86.364652300525606</v>
      </c>
      <c r="AJ2555">
        <v>89.911304207602797</v>
      </c>
      <c r="AK2555">
        <v>272.82652924943602</v>
      </c>
      <c r="AL2555">
        <v>80.537711528908403</v>
      </c>
      <c r="AM2555">
        <v>88.508524964430705</v>
      </c>
      <c r="AN2555">
        <v>0.99999996048448103</v>
      </c>
    </row>
    <row r="2556" spans="1:40" x14ac:dyDescent="0.25">
      <c r="A2556" t="str">
        <f>"20190312164522727"</f>
        <v>20190312164522727</v>
      </c>
      <c r="B2556" t="str">
        <f>"1552380322724418"</f>
        <v>1552380322724418</v>
      </c>
      <c r="C2556" t="s">
        <v>40</v>
      </c>
      <c r="D2556">
        <v>5.3014539999999997</v>
      </c>
      <c r="E2556">
        <v>0.49207420000000002</v>
      </c>
      <c r="F2556" t="s">
        <v>61</v>
      </c>
      <c r="G2556">
        <v>-107.39749999999999</v>
      </c>
      <c r="H2556">
        <v>18.104980000000001</v>
      </c>
      <c r="I2556">
        <v>216.66679999999999</v>
      </c>
      <c r="J2556">
        <v>-380.28190000000001</v>
      </c>
      <c r="K2556">
        <v>1.1079540000000001</v>
      </c>
      <c r="L2556">
        <v>213.56630000000001</v>
      </c>
      <c r="M2556">
        <v>0.99989839999999997</v>
      </c>
      <c r="N2556">
        <v>0</v>
      </c>
      <c r="O2556">
        <v>1.275337E-2</v>
      </c>
      <c r="P2556">
        <v>0.98730459999999998</v>
      </c>
      <c r="Q2556">
        <v>0.15824099999999999</v>
      </c>
      <c r="R2556">
        <v>-1.376697E-2</v>
      </c>
      <c r="S2556">
        <v>3.0090940000000002</v>
      </c>
      <c r="T2556">
        <v>0.18710669999999999</v>
      </c>
      <c r="U2556">
        <v>3.4194950000000002E-2</v>
      </c>
      <c r="V2556">
        <v>2.6225600000000002E-2</v>
      </c>
      <c r="W2556">
        <v>0.16454240000000001</v>
      </c>
      <c r="X2556">
        <v>0.98602129999999999</v>
      </c>
      <c r="Y2556">
        <v>1.363335E-3</v>
      </c>
      <c r="Z2556">
        <v>8.3454880000000001E-4</v>
      </c>
      <c r="AA2556">
        <v>0.99999870000000002</v>
      </c>
      <c r="AB2556">
        <v>48</v>
      </c>
      <c r="AC2556">
        <v>272.88440000000003</v>
      </c>
      <c r="AD2556">
        <v>16.997025999999899</v>
      </c>
      <c r="AE2556">
        <v>3.1004999999999798</v>
      </c>
      <c r="AF2556">
        <v>0.37854999641209902</v>
      </c>
      <c r="AG2556">
        <v>16.997025999999899</v>
      </c>
      <c r="AH2556">
        <v>271.84722269503499</v>
      </c>
      <c r="AI2556">
        <v>86.422288789343696</v>
      </c>
      <c r="AJ2556">
        <v>89.920215101353705</v>
      </c>
      <c r="AK2556">
        <v>272.378330048387</v>
      </c>
      <c r="AL2556">
        <v>80.529347346882005</v>
      </c>
      <c r="AM2556">
        <v>88.476440602413206</v>
      </c>
      <c r="AN2556">
        <v>0.99999999377340498</v>
      </c>
    </row>
    <row r="2557" spans="1:40" x14ac:dyDescent="0.25">
      <c r="A2557" t="str">
        <f>"20190312164522750"</f>
        <v>20190312164522750</v>
      </c>
      <c r="B2557" t="str">
        <f>"1552380322743937"</f>
        <v>1552380322743937</v>
      </c>
      <c r="C2557" t="s">
        <v>40</v>
      </c>
      <c r="D2557">
        <v>5.1908139999999996</v>
      </c>
      <c r="E2557">
        <v>0.49223980000000001</v>
      </c>
      <c r="F2557" t="s">
        <v>61</v>
      </c>
      <c r="G2557">
        <v>-107.39749999999999</v>
      </c>
      <c r="H2557">
        <v>17.983650000000001</v>
      </c>
      <c r="I2557">
        <v>216.4735</v>
      </c>
      <c r="J2557">
        <v>-379.78030000000001</v>
      </c>
      <c r="K2557">
        <v>1.1079600000000001</v>
      </c>
      <c r="L2557">
        <v>213.5728</v>
      </c>
      <c r="M2557">
        <v>0.99989410000000001</v>
      </c>
      <c r="N2557">
        <v>0</v>
      </c>
      <c r="O2557">
        <v>1.287759E-2</v>
      </c>
      <c r="P2557">
        <v>0.98722480000000001</v>
      </c>
      <c r="Q2557">
        <v>0.1586611</v>
      </c>
      <c r="R2557">
        <v>-1.4622069999999999E-2</v>
      </c>
      <c r="S2557">
        <v>3.0092159999999999</v>
      </c>
      <c r="T2557">
        <v>0.18609629999999999</v>
      </c>
      <c r="U2557">
        <v>3.2058719999999999E-2</v>
      </c>
      <c r="V2557">
        <v>2.72213E-2</v>
      </c>
      <c r="W2557">
        <v>0.165378</v>
      </c>
      <c r="X2557">
        <v>0.98585449999999997</v>
      </c>
      <c r="Y2557">
        <v>2.1963379999999999E-3</v>
      </c>
      <c r="Z2557">
        <v>8.6342919999999896E-4</v>
      </c>
      <c r="AA2557">
        <v>0.99999720000000003</v>
      </c>
      <c r="AB2557">
        <v>48</v>
      </c>
      <c r="AC2557">
        <v>272.38279999999997</v>
      </c>
      <c r="AD2557">
        <v>16.875689999999999</v>
      </c>
      <c r="AE2557">
        <v>2.9007000000000001</v>
      </c>
      <c r="AF2557">
        <v>0.60493337432590699</v>
      </c>
      <c r="AG2557">
        <v>16.875689999999999</v>
      </c>
      <c r="AH2557">
        <v>271.35608055949098</v>
      </c>
      <c r="AI2557">
        <v>86.441355724083607</v>
      </c>
      <c r="AJ2557">
        <v>89.872270885743106</v>
      </c>
      <c r="AK2557">
        <v>271.88099844228202</v>
      </c>
      <c r="AL2557">
        <v>80.480805936333397</v>
      </c>
      <c r="AM2557">
        <v>88.418357462815194</v>
      </c>
      <c r="AN2557">
        <v>0.99999998861396899</v>
      </c>
    </row>
    <row r="2558" spans="1:40" x14ac:dyDescent="0.25">
      <c r="A2558" t="str">
        <f>"20190312164522774"</f>
        <v>20190312164522774</v>
      </c>
      <c r="B2558" t="str">
        <f>"1552380322764437"</f>
        <v>1552380322764437</v>
      </c>
      <c r="C2558" t="s">
        <v>40</v>
      </c>
      <c r="D2558">
        <v>5.5197310000000002</v>
      </c>
      <c r="E2558">
        <v>0.49240990000000001</v>
      </c>
      <c r="F2558" t="s">
        <v>61</v>
      </c>
      <c r="G2558">
        <v>-107.39749999999999</v>
      </c>
      <c r="H2558">
        <v>18.17923</v>
      </c>
      <c r="I2558">
        <v>216.12809999999999</v>
      </c>
      <c r="J2558">
        <v>-379.26639999999998</v>
      </c>
      <c r="K2558">
        <v>1.107979</v>
      </c>
      <c r="L2558">
        <v>213.57939999999999</v>
      </c>
      <c r="M2558">
        <v>0.99988980000000005</v>
      </c>
      <c r="N2558">
        <v>0</v>
      </c>
      <c r="O2558">
        <v>1.295953E-2</v>
      </c>
      <c r="P2558">
        <v>0.98717270000000001</v>
      </c>
      <c r="Q2558">
        <v>0.1588985</v>
      </c>
      <c r="R2558">
        <v>-1.5538369999999999E-2</v>
      </c>
      <c r="S2558">
        <v>3.008972</v>
      </c>
      <c r="T2558">
        <v>0.18858430000000001</v>
      </c>
      <c r="U2558">
        <v>2.8228759999999999E-2</v>
      </c>
      <c r="V2558">
        <v>2.8235509999999998E-2</v>
      </c>
      <c r="W2558">
        <v>0.16605239999999999</v>
      </c>
      <c r="X2558">
        <v>0.98571260000000005</v>
      </c>
      <c r="Y2558">
        <v>3.5465940000000001E-3</v>
      </c>
      <c r="Z2558">
        <v>9.2243230000000004E-4</v>
      </c>
      <c r="AA2558">
        <v>0.99999329999999997</v>
      </c>
      <c r="AB2558">
        <v>48</v>
      </c>
      <c r="AC2558">
        <v>271.8689</v>
      </c>
      <c r="AD2558">
        <v>17.071251</v>
      </c>
      <c r="AE2558">
        <v>2.54869999999999</v>
      </c>
      <c r="AF2558">
        <v>0.97107113028968595</v>
      </c>
      <c r="AG2558">
        <v>17.071251</v>
      </c>
      <c r="AH2558">
        <v>270.81142018417802</v>
      </c>
      <c r="AI2558">
        <v>86.393018167819804</v>
      </c>
      <c r="AJ2558">
        <v>89.794550618013602</v>
      </c>
      <c r="AK2558">
        <v>271.35068802569202</v>
      </c>
      <c r="AL2558">
        <v>80.441623898526302</v>
      </c>
      <c r="AM2558">
        <v>88.359224281809304</v>
      </c>
      <c r="AN2558">
        <v>0.99999998668473999</v>
      </c>
    </row>
    <row r="2559" spans="1:40" x14ac:dyDescent="0.25">
      <c r="A2559" t="str">
        <f>"20190312164522797"</f>
        <v>20190312164522797</v>
      </c>
      <c r="B2559" t="str">
        <f>"1552380322783953"</f>
        <v>1552380322783953</v>
      </c>
      <c r="C2559" t="s">
        <v>40</v>
      </c>
      <c r="D2559">
        <v>5.1895230000000003</v>
      </c>
      <c r="E2559">
        <v>0.49253930000000001</v>
      </c>
      <c r="F2559" t="s">
        <v>61</v>
      </c>
      <c r="G2559">
        <v>-107.39749999999999</v>
      </c>
      <c r="H2559">
        <v>18.305</v>
      </c>
      <c r="I2559">
        <v>215.7979</v>
      </c>
      <c r="J2559">
        <v>-378.76429999999999</v>
      </c>
      <c r="K2559">
        <v>1.10799</v>
      </c>
      <c r="L2559">
        <v>213.58590000000001</v>
      </c>
      <c r="M2559">
        <v>0.99988600000000005</v>
      </c>
      <c r="N2559">
        <v>0</v>
      </c>
      <c r="O2559">
        <v>1.3005569999999999E-2</v>
      </c>
      <c r="P2559">
        <v>0.98696019999999896</v>
      </c>
      <c r="Q2559">
        <v>0.1601253</v>
      </c>
      <c r="R2559">
        <v>-1.6418229999999999E-2</v>
      </c>
      <c r="S2559">
        <v>3.0087280000000001</v>
      </c>
      <c r="T2559">
        <v>0.19031719999999999</v>
      </c>
      <c r="U2559">
        <v>2.4551389999999999E-2</v>
      </c>
      <c r="V2559">
        <v>2.9173049999999999E-2</v>
      </c>
      <c r="W2559">
        <v>0.16769419999999999</v>
      </c>
      <c r="X2559">
        <v>0.98540740000000004</v>
      </c>
      <c r="Y2559">
        <v>4.8108229999999997E-3</v>
      </c>
      <c r="Z2559">
        <v>9.7382879999999999E-4</v>
      </c>
      <c r="AA2559">
        <v>0.99998799999999999</v>
      </c>
      <c r="AB2559">
        <v>49</v>
      </c>
      <c r="AC2559">
        <v>271.36680000000001</v>
      </c>
      <c r="AD2559">
        <v>17.197009999999999</v>
      </c>
      <c r="AE2559">
        <v>2.2119999999999802</v>
      </c>
      <c r="AF2559">
        <v>1.3123010103791299</v>
      </c>
      <c r="AG2559">
        <v>17.197009999999999</v>
      </c>
      <c r="AH2559">
        <v>270.28721845427998</v>
      </c>
      <c r="AI2559">
        <v>86.359509011719396</v>
      </c>
      <c r="AJ2559">
        <v>89.721819185643099</v>
      </c>
      <c r="AK2559">
        <v>270.83692463664198</v>
      </c>
      <c r="AL2559">
        <v>80.346218812936002</v>
      </c>
      <c r="AM2559">
        <v>88.304250033951703</v>
      </c>
      <c r="AN2559">
        <v>1.0000000777673399</v>
      </c>
    </row>
    <row r="2560" spans="1:40" x14ac:dyDescent="0.25">
      <c r="A2560" t="str">
        <f>"20190312164522820"</f>
        <v>20190312164522820</v>
      </c>
      <c r="B2560" t="str">
        <f>"1552380322814211"</f>
        <v>1552380322814211</v>
      </c>
      <c r="C2560" t="s">
        <v>40</v>
      </c>
      <c r="D2560">
        <v>5.4185189999999999</v>
      </c>
      <c r="E2560">
        <v>0.49267490000000003</v>
      </c>
      <c r="F2560" t="s">
        <v>61</v>
      </c>
      <c r="G2560">
        <v>-107.39749999999999</v>
      </c>
      <c r="H2560">
        <v>18.698039999999999</v>
      </c>
      <c r="I2560">
        <v>215.4785</v>
      </c>
      <c r="J2560">
        <v>-378.28590000000003</v>
      </c>
      <c r="K2560">
        <v>1.107999</v>
      </c>
      <c r="L2560">
        <v>213.59209999999999</v>
      </c>
      <c r="M2560">
        <v>0.99988279999999996</v>
      </c>
      <c r="N2560">
        <v>0</v>
      </c>
      <c r="O2560">
        <v>1.301445E-2</v>
      </c>
      <c r="P2560">
        <v>0.98678259999999995</v>
      </c>
      <c r="Q2560">
        <v>0.16113129999999901</v>
      </c>
      <c r="R2560">
        <v>-1.723558E-2</v>
      </c>
      <c r="S2560">
        <v>3.0083310000000001</v>
      </c>
      <c r="T2560">
        <v>0.19500110000000001</v>
      </c>
      <c r="U2560">
        <v>2.0980829999999999E-2</v>
      </c>
      <c r="V2560">
        <v>3.0011800000000002E-2</v>
      </c>
      <c r="W2560">
        <v>0.16909060000000001</v>
      </c>
      <c r="X2560">
        <v>0.98514349999999995</v>
      </c>
      <c r="Y2560">
        <v>6.0011689999999998E-3</v>
      </c>
      <c r="Z2560">
        <v>1.0369999999999999E-3</v>
      </c>
      <c r="AA2560">
        <v>0.99998149999999997</v>
      </c>
      <c r="AB2560">
        <v>49</v>
      </c>
      <c r="AC2560">
        <v>270.88839999999999</v>
      </c>
      <c r="AD2560">
        <v>17.590040999999999</v>
      </c>
      <c r="AE2560">
        <v>1.8864000000000001</v>
      </c>
      <c r="AF2560">
        <v>1.63245498622073</v>
      </c>
      <c r="AG2560">
        <v>17.590040999999999</v>
      </c>
      <c r="AH2560">
        <v>269.75264886996399</v>
      </c>
      <c r="AI2560">
        <v>86.269204754112593</v>
      </c>
      <c r="AJ2560">
        <v>89.653268875901205</v>
      </c>
      <c r="AK2560">
        <v>270.330475573927</v>
      </c>
      <c r="AL2560">
        <v>80.265051430354106</v>
      </c>
      <c r="AM2560">
        <v>88.255058463889</v>
      </c>
      <c r="AN2560">
        <v>1.0000000273699201</v>
      </c>
    </row>
    <row r="2561" spans="1:40" x14ac:dyDescent="0.25">
      <c r="A2561" t="str">
        <f>"20190312164522841"</f>
        <v>20190312164522841</v>
      </c>
      <c r="B2561" t="str">
        <f>"1552380322833730"</f>
        <v>1552380322833730</v>
      </c>
      <c r="C2561" t="s">
        <v>40</v>
      </c>
      <c r="D2561">
        <v>4.9442469999999998</v>
      </c>
      <c r="E2561">
        <v>0.49265940000000003</v>
      </c>
      <c r="F2561" t="s">
        <v>61</v>
      </c>
      <c r="G2561">
        <v>-107.39749999999999</v>
      </c>
      <c r="H2561">
        <v>18.924569999999999</v>
      </c>
      <c r="I2561">
        <v>215.1737</v>
      </c>
      <c r="J2561">
        <v>-377.80840000000001</v>
      </c>
      <c r="K2561">
        <v>1.108007</v>
      </c>
      <c r="L2561">
        <v>213.59829999999999</v>
      </c>
      <c r="M2561">
        <v>0.99988010000000005</v>
      </c>
      <c r="N2561">
        <v>0</v>
      </c>
      <c r="O2561">
        <v>1.2984000000000001E-2</v>
      </c>
      <c r="P2561">
        <v>0.9865623</v>
      </c>
      <c r="Q2561">
        <v>0.1623761</v>
      </c>
      <c r="R2561">
        <v>-1.8146639999999999E-2</v>
      </c>
      <c r="S2561">
        <v>3.0081790000000002</v>
      </c>
      <c r="T2561">
        <v>0.1978512</v>
      </c>
      <c r="U2561">
        <v>1.7562870000000001E-2</v>
      </c>
      <c r="V2561">
        <v>3.090764E-2</v>
      </c>
      <c r="W2561">
        <v>0.17072209999999999</v>
      </c>
      <c r="X2561">
        <v>0.98483430000000005</v>
      </c>
      <c r="Y2561">
        <v>7.1030659999999999E-3</v>
      </c>
      <c r="Z2561">
        <v>1.0863820000000001E-3</v>
      </c>
      <c r="AA2561">
        <v>0.99997420000000004</v>
      </c>
      <c r="AB2561">
        <v>49</v>
      </c>
      <c r="AC2561">
        <v>270.41090000000003</v>
      </c>
      <c r="AD2561">
        <v>17.816562999999999</v>
      </c>
      <c r="AE2561">
        <v>1.5753999999999999</v>
      </c>
      <c r="AF2561">
        <v>1.9275057307546299</v>
      </c>
      <c r="AG2561">
        <v>17.816562999999999</v>
      </c>
      <c r="AH2561">
        <v>269.23980325313897</v>
      </c>
      <c r="AI2561">
        <v>86.214149310325993</v>
      </c>
      <c r="AJ2561">
        <v>89.589822695780398</v>
      </c>
      <c r="AK2561">
        <v>269.83553667236703</v>
      </c>
      <c r="AL2561">
        <v>80.170193464319794</v>
      </c>
      <c r="AM2561">
        <v>88.202442509035293</v>
      </c>
      <c r="AN2561">
        <v>0.99999995804763397</v>
      </c>
    </row>
    <row r="2562" spans="1:40" x14ac:dyDescent="0.25">
      <c r="A2562" t="str">
        <f>"20190312164522863"</f>
        <v>20190312164522863</v>
      </c>
      <c r="B2562" t="str">
        <f>"1552380322854226"</f>
        <v>1552380322854226</v>
      </c>
      <c r="C2562" t="s">
        <v>40</v>
      </c>
      <c r="D2562">
        <v>5.0503519999999904</v>
      </c>
      <c r="E2562">
        <v>0.46261269999999999</v>
      </c>
      <c r="F2562" t="s">
        <v>61</v>
      </c>
      <c r="G2562">
        <v>-107.39749999999999</v>
      </c>
      <c r="H2562">
        <v>19.262979999999999</v>
      </c>
      <c r="I2562">
        <v>214.94540000000001</v>
      </c>
      <c r="J2562">
        <v>-377.33539999999999</v>
      </c>
      <c r="K2562">
        <v>1.1080030000000001</v>
      </c>
      <c r="L2562">
        <v>213.6045</v>
      </c>
      <c r="M2562">
        <v>0.99987760000000003</v>
      </c>
      <c r="N2562">
        <v>0</v>
      </c>
      <c r="O2562">
        <v>1.291144E-2</v>
      </c>
      <c r="P2562">
        <v>0.98644909999999997</v>
      </c>
      <c r="Q2562">
        <v>0.16299269999999999</v>
      </c>
      <c r="R2562">
        <v>-1.8754340000000001E-2</v>
      </c>
      <c r="S2562">
        <v>3.007965</v>
      </c>
      <c r="T2562">
        <v>0.20195080000000001</v>
      </c>
      <c r="U2562">
        <v>1.498413E-2</v>
      </c>
      <c r="V2562">
        <v>3.146322E-2</v>
      </c>
      <c r="W2562">
        <v>0.17171339999999999</v>
      </c>
      <c r="X2562">
        <v>0.98464439999999998</v>
      </c>
      <c r="Y2562">
        <v>7.8839589999999994E-3</v>
      </c>
      <c r="Z2562">
        <v>1.1302459999999999E-3</v>
      </c>
      <c r="AA2562">
        <v>0.99996830000000003</v>
      </c>
      <c r="AB2562">
        <v>49</v>
      </c>
      <c r="AC2562">
        <v>269.93790000000001</v>
      </c>
      <c r="AD2562">
        <v>18.154976999999999</v>
      </c>
      <c r="AE2562">
        <v>1.3409</v>
      </c>
      <c r="AF2562">
        <v>2.1349777628083499</v>
      </c>
      <c r="AG2562">
        <v>18.154976999999999</v>
      </c>
      <c r="AH2562">
        <v>268.71722905994699</v>
      </c>
      <c r="AI2562">
        <v>86.134998461793799</v>
      </c>
      <c r="AJ2562">
        <v>89.544790478094697</v>
      </c>
      <c r="AK2562">
        <v>269.33828267361901</v>
      </c>
      <c r="AL2562">
        <v>80.112545389281493</v>
      </c>
      <c r="AM2562">
        <v>88.169799636752501</v>
      </c>
      <c r="AN2562">
        <v>1.00000001020184</v>
      </c>
    </row>
    <row r="2563" spans="1:40" x14ac:dyDescent="0.25">
      <c r="A2563" t="str">
        <f>"20190312164522884"</f>
        <v>20190312164522884</v>
      </c>
      <c r="B2563" t="str">
        <f>"1552380322873749"</f>
        <v>1552380322873749</v>
      </c>
      <c r="C2563" t="s">
        <v>40</v>
      </c>
      <c r="D2563">
        <v>5.1062580000000004</v>
      </c>
      <c r="E2563">
        <v>0.46316829999999998</v>
      </c>
      <c r="F2563" t="s">
        <v>47</v>
      </c>
      <c r="G2563">
        <v>-364.16329999999999</v>
      </c>
      <c r="H2563" s="1">
        <v>6.7873149999999998E-7</v>
      </c>
      <c r="I2563">
        <v>214.75980000000001</v>
      </c>
      <c r="J2563">
        <v>-376.86200000000002</v>
      </c>
      <c r="K2563">
        <v>1.107982</v>
      </c>
      <c r="L2563">
        <v>213.6105</v>
      </c>
      <c r="M2563">
        <v>0.99987579999999998</v>
      </c>
      <c r="N2563">
        <v>0</v>
      </c>
      <c r="O2563">
        <v>1.279156E-2</v>
      </c>
      <c r="P2563">
        <v>0.98636990000000002</v>
      </c>
      <c r="Q2563">
        <v>0.16342290000000001</v>
      </c>
      <c r="R2563">
        <v>-1.9166849999999999E-2</v>
      </c>
      <c r="S2563">
        <v>3.0892940000000002</v>
      </c>
      <c r="T2563">
        <v>-0.25986359999999997</v>
      </c>
      <c r="U2563">
        <v>0.27096559999999997</v>
      </c>
      <c r="V2563">
        <v>3.1781730000000001E-2</v>
      </c>
      <c r="W2563">
        <v>0.1725053</v>
      </c>
      <c r="X2563">
        <v>0.98449569999999997</v>
      </c>
      <c r="Y2563">
        <v>-7.4409470000000005E-2</v>
      </c>
      <c r="Z2563">
        <v>2.046174E-3</v>
      </c>
      <c r="AA2563">
        <v>0.99722569999999999</v>
      </c>
      <c r="AB2563">
        <v>49</v>
      </c>
      <c r="AC2563">
        <v>12.698699999999899</v>
      </c>
      <c r="AD2563">
        <v>-1.1079813212684999</v>
      </c>
      <c r="AE2563">
        <v>1.14930000000001</v>
      </c>
      <c r="AF2563">
        <v>-0.97936770609374701</v>
      </c>
      <c r="AG2563">
        <v>-1.1079813212684999</v>
      </c>
      <c r="AH2563">
        <v>12.6170914938719</v>
      </c>
      <c r="AI2563">
        <v>95.003632055300599</v>
      </c>
      <c r="AJ2563">
        <v>94.438530291708005</v>
      </c>
      <c r="AK2563">
        <v>12.7034554935559</v>
      </c>
      <c r="AL2563">
        <v>80.066485146455193</v>
      </c>
      <c r="AM2563">
        <v>88.1510058163217</v>
      </c>
      <c r="AN2563">
        <v>0.99999997010418595</v>
      </c>
    </row>
    <row r="2564" spans="1:40" x14ac:dyDescent="0.25">
      <c r="A2564" t="str">
        <f>"20190312164522906"</f>
        <v>20190312164522906</v>
      </c>
      <c r="B2564" t="str">
        <f>"1552380322894245"</f>
        <v>1552380322894245</v>
      </c>
      <c r="C2564" t="s">
        <v>40</v>
      </c>
      <c r="D2564">
        <v>4.9730869999999996</v>
      </c>
      <c r="E2564">
        <v>0.46354000000000001</v>
      </c>
      <c r="F2564" t="s">
        <v>62</v>
      </c>
      <c r="G2564">
        <v>-157.25</v>
      </c>
      <c r="H2564">
        <v>19.387550000000001</v>
      </c>
      <c r="I2564">
        <v>231.55889999999999</v>
      </c>
      <c r="J2564">
        <v>-376.38979999999998</v>
      </c>
      <c r="K2564">
        <v>1.107955</v>
      </c>
      <c r="L2564">
        <v>213.6165</v>
      </c>
      <c r="M2564">
        <v>0.9998745</v>
      </c>
      <c r="N2564">
        <v>0</v>
      </c>
      <c r="O2564">
        <v>1.2618809999999999E-2</v>
      </c>
      <c r="P2564">
        <v>0.98621519999999996</v>
      </c>
      <c r="Q2564">
        <v>0.16432840000000001</v>
      </c>
      <c r="R2564">
        <v>-1.9385650000000001E-2</v>
      </c>
      <c r="S2564">
        <v>3.004791</v>
      </c>
      <c r="T2564">
        <v>0.25010670000000002</v>
      </c>
      <c r="U2564">
        <v>0.24557499999999999</v>
      </c>
      <c r="V2564">
        <v>3.1856580000000002E-2</v>
      </c>
      <c r="W2564">
        <v>0.17376259999999999</v>
      </c>
      <c r="X2564">
        <v>0.98427220000000004</v>
      </c>
      <c r="Y2564">
        <v>-6.8679740000000003E-2</v>
      </c>
      <c r="Z2564">
        <v>-1.8019710000000001E-3</v>
      </c>
      <c r="AA2564">
        <v>0.9976372</v>
      </c>
      <c r="AB2564">
        <v>49</v>
      </c>
      <c r="AC2564">
        <v>219.13980000000001</v>
      </c>
      <c r="AD2564">
        <v>18.279595</v>
      </c>
      <c r="AE2564">
        <v>17.9423999999999</v>
      </c>
      <c r="AF2564">
        <v>-15.071391019324601</v>
      </c>
      <c r="AG2564">
        <v>18.279595</v>
      </c>
      <c r="AH2564">
        <v>217.84309240557201</v>
      </c>
      <c r="AI2564">
        <v>85.214832792894796</v>
      </c>
      <c r="AJ2564">
        <v>93.957680135120199</v>
      </c>
      <c r="AK2564">
        <v>219.127596001608</v>
      </c>
      <c r="AL2564">
        <v>79.993343114697893</v>
      </c>
      <c r="AM2564">
        <v>88.146233686078205</v>
      </c>
      <c r="AN2564">
        <v>1.00000002327044</v>
      </c>
    </row>
    <row r="2565" spans="1:40" x14ac:dyDescent="0.25">
      <c r="A2565" t="str">
        <f>"20190312164522929"</f>
        <v>20190312164522929</v>
      </c>
      <c r="B2565" t="str">
        <f>"1552380322924498"</f>
        <v>1552380322924498</v>
      </c>
      <c r="C2565" t="s">
        <v>40</v>
      </c>
      <c r="D2565">
        <v>5.0538369999999997</v>
      </c>
      <c r="E2565">
        <v>0.46404580000000001</v>
      </c>
      <c r="F2565" t="s">
        <v>62</v>
      </c>
      <c r="G2565">
        <v>-157.25</v>
      </c>
      <c r="H2565">
        <v>19.436489999999999</v>
      </c>
      <c r="I2565">
        <v>231.2679</v>
      </c>
      <c r="J2565">
        <v>-375.90210000000002</v>
      </c>
      <c r="K2565">
        <v>1.107926</v>
      </c>
      <c r="L2565">
        <v>213.6225</v>
      </c>
      <c r="M2565">
        <v>0.99987380000000003</v>
      </c>
      <c r="N2565">
        <v>0</v>
      </c>
      <c r="O2565">
        <v>1.238382E-2</v>
      </c>
      <c r="P2565">
        <v>0.9860023</v>
      </c>
      <c r="Q2565">
        <v>0.16552910000000001</v>
      </c>
      <c r="R2565">
        <v>-2.000033E-2</v>
      </c>
      <c r="S2565">
        <v>3.0048219999999999</v>
      </c>
      <c r="T2565">
        <v>0.25131959999999998</v>
      </c>
      <c r="U2565">
        <v>0.2420349</v>
      </c>
      <c r="V2565">
        <v>3.2269579999999999E-2</v>
      </c>
      <c r="W2565">
        <v>0.175322799999999</v>
      </c>
      <c r="X2565">
        <v>0.98398200000000002</v>
      </c>
      <c r="Y2565">
        <v>-6.7746180000000003E-2</v>
      </c>
      <c r="Z2565">
        <v>-1.791415E-3</v>
      </c>
      <c r="AA2565">
        <v>0.99770099999999995</v>
      </c>
      <c r="AB2565">
        <v>49</v>
      </c>
      <c r="AC2565">
        <v>218.65209999999999</v>
      </c>
      <c r="AD2565">
        <v>18.328564</v>
      </c>
      <c r="AE2565">
        <v>17.645399999999899</v>
      </c>
      <c r="AF2565">
        <v>-14.8326149313193</v>
      </c>
      <c r="AG2565">
        <v>18.328564</v>
      </c>
      <c r="AH2565">
        <v>217.33658870202399</v>
      </c>
      <c r="AI2565">
        <v>85.190637539009202</v>
      </c>
      <c r="AJ2565">
        <v>93.904222833696807</v>
      </c>
      <c r="AK2565">
        <v>218.61183754004699</v>
      </c>
      <c r="AL2565">
        <v>79.902556315722805</v>
      </c>
      <c r="AM2565">
        <v>88.121664491162505</v>
      </c>
      <c r="AN2565">
        <v>0.99999999315860799</v>
      </c>
    </row>
    <row r="2566" spans="1:40" x14ac:dyDescent="0.25">
      <c r="A2566" t="str">
        <f>"20190312164522951"</f>
        <v>20190312164522951</v>
      </c>
      <c r="B2566" t="str">
        <f>"1552380322944018"</f>
        <v>1552380322944018</v>
      </c>
      <c r="C2566" t="s">
        <v>40</v>
      </c>
      <c r="D2566">
        <v>4.91892</v>
      </c>
      <c r="E2566">
        <v>0.46594580000000002</v>
      </c>
      <c r="F2566" t="s">
        <v>62</v>
      </c>
      <c r="G2566">
        <v>-157.25</v>
      </c>
      <c r="H2566">
        <v>19.284700000000001</v>
      </c>
      <c r="I2566">
        <v>230.82919999999999</v>
      </c>
      <c r="J2566">
        <v>-375.40140000000002</v>
      </c>
      <c r="K2566">
        <v>1.10789</v>
      </c>
      <c r="L2566">
        <v>213.6284</v>
      </c>
      <c r="M2566">
        <v>0.99987360000000003</v>
      </c>
      <c r="N2566">
        <v>0</v>
      </c>
      <c r="O2566">
        <v>1.207946E-2</v>
      </c>
      <c r="P2566">
        <v>0.98578790000000005</v>
      </c>
      <c r="Q2566">
        <v>0.166743</v>
      </c>
      <c r="R2566">
        <v>-2.047353E-2</v>
      </c>
      <c r="S2566">
        <v>3.0054319999999999</v>
      </c>
      <c r="T2566">
        <v>0.2498454</v>
      </c>
      <c r="U2566">
        <v>0.2365112</v>
      </c>
      <c r="V2566">
        <v>3.2474370000000002E-2</v>
      </c>
      <c r="W2566">
        <v>0.17690929999999999</v>
      </c>
      <c r="X2566">
        <v>0.98369130000000005</v>
      </c>
      <c r="Y2566">
        <v>-6.6217880000000007E-2</v>
      </c>
      <c r="Z2566">
        <v>-1.7426010000000001E-3</v>
      </c>
      <c r="AA2566">
        <v>0.99780369999999996</v>
      </c>
      <c r="AB2566">
        <v>49</v>
      </c>
      <c r="AC2566">
        <v>218.1514</v>
      </c>
      <c r="AD2566">
        <v>18.17681</v>
      </c>
      <c r="AE2566">
        <v>17.200799999999902</v>
      </c>
      <c r="AF2566">
        <v>-14.464453170077</v>
      </c>
      <c r="AG2566">
        <v>18.17681</v>
      </c>
      <c r="AH2566">
        <v>216.84709840314699</v>
      </c>
      <c r="AI2566">
        <v>85.219062559043095</v>
      </c>
      <c r="AJ2566">
        <v>93.816173976373094</v>
      </c>
      <c r="AK2566">
        <v>218.08778258570399</v>
      </c>
      <c r="AL2566">
        <v>79.810213545747004</v>
      </c>
      <c r="AM2566">
        <v>88.109194573066702</v>
      </c>
      <c r="AN2566">
        <v>1.0000000294145299</v>
      </c>
    </row>
    <row r="2567" spans="1:40" x14ac:dyDescent="0.25">
      <c r="A2567" t="str">
        <f>"20190312164522974"</f>
        <v>20190312164522974</v>
      </c>
      <c r="B2567" t="str">
        <f>"1552380322964517"</f>
        <v>1552380322964517</v>
      </c>
      <c r="C2567" t="s">
        <v>40</v>
      </c>
      <c r="D2567">
        <v>5.0869200000000001</v>
      </c>
      <c r="E2567">
        <v>0.46573290000000001</v>
      </c>
      <c r="F2567" t="s">
        <v>62</v>
      </c>
      <c r="G2567">
        <v>-157.25</v>
      </c>
      <c r="H2567">
        <v>20.091380000000001</v>
      </c>
      <c r="I2567">
        <v>229.59139999999999</v>
      </c>
      <c r="J2567">
        <v>-374.91629999999998</v>
      </c>
      <c r="K2567">
        <v>1.107877</v>
      </c>
      <c r="L2567">
        <v>213.63399999999999</v>
      </c>
      <c r="M2567">
        <v>0.99987360000000003</v>
      </c>
      <c r="N2567">
        <v>0</v>
      </c>
      <c r="O2567">
        <v>1.173925E-2</v>
      </c>
      <c r="P2567">
        <v>0.98551149999999998</v>
      </c>
      <c r="Q2567">
        <v>0.1683037</v>
      </c>
      <c r="R2567">
        <v>-2.0993080000000001E-2</v>
      </c>
      <c r="S2567">
        <v>3.0036320000000001</v>
      </c>
      <c r="T2567">
        <v>0.261376</v>
      </c>
      <c r="U2567">
        <v>0.2197876</v>
      </c>
      <c r="V2567">
        <v>3.268546E-2</v>
      </c>
      <c r="W2567">
        <v>0.17884439999999999</v>
      </c>
      <c r="X2567">
        <v>0.98333429999999999</v>
      </c>
      <c r="Y2567">
        <v>-6.1079769999999999E-2</v>
      </c>
      <c r="Z2567">
        <v>-1.6308469999999999E-3</v>
      </c>
      <c r="AA2567">
        <v>0.99813160000000001</v>
      </c>
      <c r="AB2567">
        <v>49</v>
      </c>
      <c r="AC2567">
        <v>217.66630000000001</v>
      </c>
      <c r="AD2567">
        <v>18.983502999999999</v>
      </c>
      <c r="AE2567">
        <v>15.9573999999999</v>
      </c>
      <c r="AF2567">
        <v>-13.3002898185833</v>
      </c>
      <c r="AG2567">
        <v>18.983502999999999</v>
      </c>
      <c r="AH2567">
        <v>216.202936748783</v>
      </c>
      <c r="AI2567">
        <v>84.991484846278993</v>
      </c>
      <c r="AJ2567">
        <v>93.5202636724797</v>
      </c>
      <c r="AK2567">
        <v>217.441902480197</v>
      </c>
      <c r="AL2567">
        <v>79.697543408758605</v>
      </c>
      <c r="AM2567">
        <v>88.096222554016407</v>
      </c>
      <c r="AN2567">
        <v>1.00000000213163</v>
      </c>
    </row>
    <row r="2568" spans="1:40" x14ac:dyDescent="0.25">
      <c r="A2568" t="str">
        <f>"20190312164522998"</f>
        <v>20190312164522998</v>
      </c>
      <c r="B2568" t="str">
        <f>"1552380322993794"</f>
        <v>1552380322993794</v>
      </c>
      <c r="C2568" t="s">
        <v>40</v>
      </c>
      <c r="D2568">
        <v>4.9108720000000003</v>
      </c>
      <c r="E2568">
        <v>0.46533530000000001</v>
      </c>
      <c r="F2568" t="s">
        <v>62</v>
      </c>
      <c r="G2568">
        <v>-157.25</v>
      </c>
      <c r="H2568">
        <v>20.286460000000002</v>
      </c>
      <c r="I2568">
        <v>229.56620000000001</v>
      </c>
      <c r="J2568">
        <v>-374.40949999999998</v>
      </c>
      <c r="K2568">
        <v>1.1078749999999999</v>
      </c>
      <c r="L2568">
        <v>213.6396</v>
      </c>
      <c r="M2568">
        <v>0.99987360000000003</v>
      </c>
      <c r="N2568">
        <v>0</v>
      </c>
      <c r="O2568">
        <v>1.134512E-2</v>
      </c>
      <c r="P2568">
        <v>0.98535499999999998</v>
      </c>
      <c r="Q2568">
        <v>0.169117299999999</v>
      </c>
      <c r="R2568">
        <v>-2.1791479999999998E-2</v>
      </c>
      <c r="S2568">
        <v>3.003571</v>
      </c>
      <c r="T2568">
        <v>0.26464529999999997</v>
      </c>
      <c r="U2568">
        <v>0.21984860000000001</v>
      </c>
      <c r="V2568">
        <v>3.312027E-2</v>
      </c>
      <c r="W2568">
        <v>0.18005280000000001</v>
      </c>
      <c r="X2568">
        <v>0.98309919999999995</v>
      </c>
      <c r="Y2568">
        <v>-6.1487029999999998E-2</v>
      </c>
      <c r="Z2568">
        <v>-1.703684E-3</v>
      </c>
      <c r="AA2568">
        <v>0.99810639999999995</v>
      </c>
      <c r="AB2568">
        <v>49</v>
      </c>
      <c r="AC2568">
        <v>217.15950000000001</v>
      </c>
      <c r="AD2568">
        <v>19.178585000000002</v>
      </c>
      <c r="AE2568">
        <v>15.926600000000001</v>
      </c>
      <c r="AF2568">
        <v>-13.358090333667301</v>
      </c>
      <c r="AG2568">
        <v>19.178585000000002</v>
      </c>
      <c r="AH2568">
        <v>215.65320082447101</v>
      </c>
      <c r="AI2568">
        <v>84.927582156046697</v>
      </c>
      <c r="AJ2568">
        <v>93.544513033474203</v>
      </c>
      <c r="AK2568">
        <v>216.91601998424301</v>
      </c>
      <c r="AL2568">
        <v>79.627164730334698</v>
      </c>
      <c r="AM2568">
        <v>88.070454908712605</v>
      </c>
      <c r="AN2568">
        <v>1.00000000005667</v>
      </c>
    </row>
    <row r="2569" spans="1:40" x14ac:dyDescent="0.25">
      <c r="A2569" t="str">
        <f>"20190312164523019"</f>
        <v>20190312164523019</v>
      </c>
      <c r="B2569" t="str">
        <f>"1552380323014290"</f>
        <v>1552380323014290</v>
      </c>
      <c r="C2569" t="s">
        <v>40</v>
      </c>
      <c r="D2569">
        <v>4.9312750000000003</v>
      </c>
      <c r="E2569">
        <v>0.465167</v>
      </c>
      <c r="F2569" t="s">
        <v>62</v>
      </c>
      <c r="G2569">
        <v>-157.25</v>
      </c>
      <c r="H2569">
        <v>20.273140000000001</v>
      </c>
      <c r="I2569">
        <v>229.59540000000001</v>
      </c>
      <c r="J2569">
        <v>-373.95699999999999</v>
      </c>
      <c r="K2569">
        <v>1.1078790000000001</v>
      </c>
      <c r="L2569">
        <v>213.64439999999999</v>
      </c>
      <c r="M2569">
        <v>0.99987369999999998</v>
      </c>
      <c r="N2569">
        <v>0</v>
      </c>
      <c r="O2569">
        <v>1.0965229999999999E-2</v>
      </c>
      <c r="P2569">
        <v>0.9852088</v>
      </c>
      <c r="Q2569">
        <v>0.16986399999999999</v>
      </c>
      <c r="R2569">
        <v>-2.2585540000000001E-2</v>
      </c>
      <c r="S2569">
        <v>3.0039980000000002</v>
      </c>
      <c r="T2569">
        <v>0.26511649999999998</v>
      </c>
      <c r="U2569">
        <v>0.22071840000000001</v>
      </c>
      <c r="V2569">
        <v>3.3557320000000002E-2</v>
      </c>
      <c r="W2569">
        <v>0.18116009999999999</v>
      </c>
      <c r="X2569">
        <v>0.98288089999999995</v>
      </c>
      <c r="Y2569">
        <v>-6.213867E-2</v>
      </c>
      <c r="Z2569">
        <v>-1.768515E-3</v>
      </c>
      <c r="AA2569">
        <v>0.99806589999999995</v>
      </c>
      <c r="AB2569">
        <v>49</v>
      </c>
      <c r="AC2569">
        <v>216.70699999999999</v>
      </c>
      <c r="AD2569">
        <v>19.165261000000001</v>
      </c>
      <c r="AE2569">
        <v>15.951000000000001</v>
      </c>
      <c r="AF2569">
        <v>-13.468864059227901</v>
      </c>
      <c r="AG2569">
        <v>19.165261000000001</v>
      </c>
      <c r="AH2569">
        <v>215.19483624429199</v>
      </c>
      <c r="AI2569">
        <v>84.920550104696403</v>
      </c>
      <c r="AJ2569">
        <v>93.581422966970095</v>
      </c>
      <c r="AK2569">
        <v>216.46601367062601</v>
      </c>
      <c r="AL2569">
        <v>79.562660042540898</v>
      </c>
      <c r="AM2569">
        <v>88.044578687340007</v>
      </c>
      <c r="AN2569">
        <v>0.99999996957119996</v>
      </c>
    </row>
    <row r="2570" spans="1:40" x14ac:dyDescent="0.25">
      <c r="A2570" t="str">
        <f>"20190312164523041"</f>
        <v>20190312164523041</v>
      </c>
      <c r="B2570" t="str">
        <f>"1552380323033810"</f>
        <v>1552380323033810</v>
      </c>
      <c r="C2570" t="s">
        <v>40</v>
      </c>
      <c r="D2570">
        <v>5.0530049999999997</v>
      </c>
      <c r="E2570">
        <v>0.46482630000000003</v>
      </c>
      <c r="F2570" t="s">
        <v>62</v>
      </c>
      <c r="G2570">
        <v>-157.25</v>
      </c>
      <c r="H2570">
        <v>20.233720000000002</v>
      </c>
      <c r="I2570">
        <v>229.52209999999999</v>
      </c>
      <c r="J2570">
        <v>-373.45589999999999</v>
      </c>
      <c r="K2570">
        <v>1.107893</v>
      </c>
      <c r="L2570">
        <v>213.64959999999999</v>
      </c>
      <c r="M2570">
        <v>0.99987380000000003</v>
      </c>
      <c r="N2570">
        <v>0</v>
      </c>
      <c r="O2570">
        <v>1.052027E-2</v>
      </c>
      <c r="P2570">
        <v>0.98516199999999998</v>
      </c>
      <c r="Q2570">
        <v>0.17008970000000001</v>
      </c>
      <c r="R2570">
        <v>-2.2920010000000001E-2</v>
      </c>
      <c r="S2570">
        <v>3.0043639999999998</v>
      </c>
      <c r="T2570">
        <v>0.2651559</v>
      </c>
      <c r="U2570">
        <v>0.22012329999999999</v>
      </c>
      <c r="V2570">
        <v>3.3469569999999997E-2</v>
      </c>
      <c r="W2570">
        <v>0.18177769999999999</v>
      </c>
      <c r="X2570">
        <v>0.98276989999999997</v>
      </c>
      <c r="Y2570">
        <v>-6.2374600000000002E-2</v>
      </c>
      <c r="Z2570">
        <v>-1.818084E-3</v>
      </c>
      <c r="AA2570">
        <v>0.99805120000000003</v>
      </c>
      <c r="AB2570">
        <v>48</v>
      </c>
      <c r="AC2570">
        <v>216.20590000000001</v>
      </c>
      <c r="AD2570">
        <v>19.125826999999902</v>
      </c>
      <c r="AE2570">
        <v>15.8725</v>
      </c>
      <c r="AF2570">
        <v>-13.491902607858499</v>
      </c>
      <c r="AG2570">
        <v>19.125826999999902</v>
      </c>
      <c r="AH2570">
        <v>214.689904702777</v>
      </c>
      <c r="AI2570">
        <v>84.919167688184004</v>
      </c>
      <c r="AJ2570">
        <v>93.595948465326003</v>
      </c>
      <c r="AK2570">
        <v>215.96199636904001</v>
      </c>
      <c r="AL2570">
        <v>79.526677156772294</v>
      </c>
      <c r="AM2570">
        <v>88.049467910742194</v>
      </c>
      <c r="AN2570">
        <v>1.00000001033964</v>
      </c>
    </row>
    <row r="2571" spans="1:40" x14ac:dyDescent="0.25">
      <c r="A2571" t="str">
        <f>"20190312164523064"</f>
        <v>20190312164523064</v>
      </c>
      <c r="B2571" t="str">
        <f>"1552380323054306"</f>
        <v>1552380323054306</v>
      </c>
      <c r="C2571" t="s">
        <v>40</v>
      </c>
      <c r="D2571">
        <v>5.0713210000000002</v>
      </c>
      <c r="E2571">
        <v>0.46464149999999999</v>
      </c>
      <c r="F2571" t="s">
        <v>62</v>
      </c>
      <c r="G2571">
        <v>-157.25</v>
      </c>
      <c r="H2571">
        <v>20.08323</v>
      </c>
      <c r="I2571">
        <v>229.6199</v>
      </c>
      <c r="J2571">
        <v>-372.9631</v>
      </c>
      <c r="K2571">
        <v>1.107901</v>
      </c>
      <c r="L2571">
        <v>213.65450000000001</v>
      </c>
      <c r="M2571">
        <v>0.99987389999999998</v>
      </c>
      <c r="N2571">
        <v>0</v>
      </c>
      <c r="O2571">
        <v>1.0069120000000001E-2</v>
      </c>
      <c r="P2571">
        <v>0.98519650000000003</v>
      </c>
      <c r="Q2571">
        <v>0.1698394</v>
      </c>
      <c r="R2571">
        <v>-2.3297209999999999E-2</v>
      </c>
      <c r="S2571">
        <v>3.0048219999999999</v>
      </c>
      <c r="T2571">
        <v>0.26371919999999999</v>
      </c>
      <c r="U2571">
        <v>0.22195429999999999</v>
      </c>
      <c r="V2571">
        <v>3.3415640000000003E-2</v>
      </c>
      <c r="W2571">
        <v>0.18188270000000001</v>
      </c>
      <c r="X2571">
        <v>0.98275230000000002</v>
      </c>
      <c r="Y2571">
        <v>-6.341521E-2</v>
      </c>
      <c r="Z2571">
        <v>-1.892929E-3</v>
      </c>
      <c r="AA2571">
        <v>0.99798540000000002</v>
      </c>
      <c r="AB2571">
        <v>48</v>
      </c>
      <c r="AC2571">
        <v>215.7131</v>
      </c>
      <c r="AD2571">
        <v>18.975328999999999</v>
      </c>
      <c r="AE2571">
        <v>15.965399999999899</v>
      </c>
      <c r="AF2571">
        <v>-13.687052978137199</v>
      </c>
      <c r="AG2571">
        <v>18.975328999999999</v>
      </c>
      <c r="AH2571">
        <v>214.21438394817301</v>
      </c>
      <c r="AI2571">
        <v>84.948141869915304</v>
      </c>
      <c r="AJ2571">
        <v>93.655897380583795</v>
      </c>
      <c r="AK2571">
        <v>215.48828464716999</v>
      </c>
      <c r="AL2571">
        <v>79.520559027217601</v>
      </c>
      <c r="AM2571">
        <v>88.052573560534796</v>
      </c>
      <c r="AN2571">
        <v>1.0000000023555899</v>
      </c>
    </row>
    <row r="2572" spans="1:40" x14ac:dyDescent="0.25">
      <c r="A2572" t="str">
        <f>"20190312164523085"</f>
        <v>20190312164523085</v>
      </c>
      <c r="B2572" t="str">
        <f>"1552380323073826"</f>
        <v>1552380323073826</v>
      </c>
      <c r="C2572" t="s">
        <v>40</v>
      </c>
      <c r="D2572">
        <v>5.0651529999999996</v>
      </c>
      <c r="E2572">
        <v>0.46447699999999997</v>
      </c>
      <c r="F2572" t="s">
        <v>62</v>
      </c>
      <c r="G2572">
        <v>-157.25</v>
      </c>
      <c r="H2572">
        <v>19.689779999999999</v>
      </c>
      <c r="I2572">
        <v>229.61009999999999</v>
      </c>
      <c r="J2572">
        <v>-372.5136</v>
      </c>
      <c r="K2572">
        <v>1.1079129999999999</v>
      </c>
      <c r="L2572">
        <v>213.65880000000001</v>
      </c>
      <c r="M2572">
        <v>0.99987429999999999</v>
      </c>
      <c r="N2572">
        <v>0</v>
      </c>
      <c r="O2572">
        <v>9.6589129999999999E-3</v>
      </c>
      <c r="P2572">
        <v>0.98512730000000004</v>
      </c>
      <c r="Q2572">
        <v>0.17023379999999999</v>
      </c>
      <c r="R2572">
        <v>-2.3338169999999998E-2</v>
      </c>
      <c r="S2572">
        <v>3.0056759999999998</v>
      </c>
      <c r="T2572">
        <v>0.25891459999999999</v>
      </c>
      <c r="U2572">
        <v>0.22232060000000001</v>
      </c>
      <c r="V2572">
        <v>3.3062920000000003E-2</v>
      </c>
      <c r="W2572">
        <v>0.18256720000000001</v>
      </c>
      <c r="X2572">
        <v>0.98263730000000005</v>
      </c>
      <c r="Y2572">
        <v>-6.3928750000000006E-2</v>
      </c>
      <c r="Z2572">
        <v>-1.9152990000000001E-3</v>
      </c>
      <c r="AA2572">
        <v>0.99795259999999997</v>
      </c>
      <c r="AB2572">
        <v>48</v>
      </c>
      <c r="AC2572">
        <v>215.2636</v>
      </c>
      <c r="AD2572">
        <v>18.581866999999999</v>
      </c>
      <c r="AE2572">
        <v>15.9512999999999</v>
      </c>
      <c r="AF2572">
        <v>-13.7691400403682</v>
      </c>
      <c r="AG2572">
        <v>18.581866999999999</v>
      </c>
      <c r="AH2572">
        <v>213.82306225553401</v>
      </c>
      <c r="AI2572">
        <v>85.043517104255002</v>
      </c>
      <c r="AJ2572">
        <v>93.684475571079304</v>
      </c>
      <c r="AK2572">
        <v>215.07016750584199</v>
      </c>
      <c r="AL2572">
        <v>79.480672224009297</v>
      </c>
      <c r="AM2572">
        <v>88.072888775162596</v>
      </c>
      <c r="AN2572">
        <v>1.0000000012730199</v>
      </c>
    </row>
    <row r="2573" spans="1:40" x14ac:dyDescent="0.25">
      <c r="A2573" t="str">
        <f>"20190312164523107"</f>
        <v>20190312164523107</v>
      </c>
      <c r="B2573" t="str">
        <f>"1552380323104082"</f>
        <v>1552380323104082</v>
      </c>
      <c r="C2573" t="s">
        <v>40</v>
      </c>
      <c r="D2573">
        <v>4.9688790000000003</v>
      </c>
      <c r="E2573">
        <v>0.46428429999999998</v>
      </c>
      <c r="F2573" t="s">
        <v>62</v>
      </c>
      <c r="G2573">
        <v>-157.25</v>
      </c>
      <c r="H2573">
        <v>19.60765</v>
      </c>
      <c r="I2573">
        <v>229.6671</v>
      </c>
      <c r="J2573">
        <v>-372.02730000000003</v>
      </c>
      <c r="K2573">
        <v>1.1079270000000001</v>
      </c>
      <c r="L2573">
        <v>213.66319999999999</v>
      </c>
      <c r="M2573">
        <v>0.99987470000000001</v>
      </c>
      <c r="N2573">
        <v>0</v>
      </c>
      <c r="O2573">
        <v>9.2282839999999998E-3</v>
      </c>
      <c r="P2573">
        <v>0.98502230000000002</v>
      </c>
      <c r="Q2573">
        <v>0.17081779999999999</v>
      </c>
      <c r="R2573">
        <v>-2.3499340000000001E-2</v>
      </c>
      <c r="S2573">
        <v>3.005951</v>
      </c>
      <c r="T2573">
        <v>0.2583319</v>
      </c>
      <c r="U2573">
        <v>0.2235413</v>
      </c>
      <c r="V2573">
        <v>3.2808049999999998E-2</v>
      </c>
      <c r="W2573">
        <v>0.18343209999999999</v>
      </c>
      <c r="X2573">
        <v>0.98248480000000005</v>
      </c>
      <c r="Y2573">
        <v>-6.4751160000000002E-2</v>
      </c>
      <c r="Z2573">
        <v>-1.9829100000000001E-3</v>
      </c>
      <c r="AA2573">
        <v>0.99789950000000005</v>
      </c>
      <c r="AB2573">
        <v>48</v>
      </c>
      <c r="AC2573">
        <v>214.7773</v>
      </c>
      <c r="AD2573">
        <v>18.499722999999999</v>
      </c>
      <c r="AE2573">
        <v>16.003900000000002</v>
      </c>
      <c r="AF2573">
        <v>-13.9183365997729</v>
      </c>
      <c r="AG2573">
        <v>18.499722999999999</v>
      </c>
      <c r="AH2573">
        <v>213.34178045740899</v>
      </c>
      <c r="AI2573">
        <v>85.054510759614104</v>
      </c>
      <c r="AJ2573">
        <v>93.732665190288799</v>
      </c>
      <c r="AK2573">
        <v>214.59421039142401</v>
      </c>
      <c r="AL2573">
        <v>79.430266334186896</v>
      </c>
      <c r="AM2573">
        <v>88.0874365020059</v>
      </c>
      <c r="AN2573">
        <v>1.0000000428431199</v>
      </c>
    </row>
    <row r="2574" spans="1:40" x14ac:dyDescent="0.25">
      <c r="A2574" t="str">
        <f>"20190312164523131"</f>
        <v>20190312164523131</v>
      </c>
      <c r="B2574" t="str">
        <f>"1552380323124578"</f>
        <v>1552380323124578</v>
      </c>
      <c r="C2574" t="s">
        <v>40</v>
      </c>
      <c r="D2574">
        <v>4.9642239999999997</v>
      </c>
      <c r="E2574">
        <v>0.46421249999999997</v>
      </c>
      <c r="F2574" t="s">
        <v>62</v>
      </c>
      <c r="G2574">
        <v>-157.25</v>
      </c>
      <c r="H2574">
        <v>19.4756</v>
      </c>
      <c r="I2574">
        <v>229.73179999999999</v>
      </c>
      <c r="J2574">
        <v>-371.53710000000001</v>
      </c>
      <c r="K2574">
        <v>1.1079460000000001</v>
      </c>
      <c r="L2574">
        <v>213.66739999999999</v>
      </c>
      <c r="M2574">
        <v>0.99987510000000002</v>
      </c>
      <c r="N2574">
        <v>0</v>
      </c>
      <c r="O2574">
        <v>8.8193439999999998E-3</v>
      </c>
      <c r="P2574">
        <v>0.98497239999999997</v>
      </c>
      <c r="Q2574">
        <v>0.17108099999999901</v>
      </c>
      <c r="R2574">
        <v>-2.3685390000000001E-2</v>
      </c>
      <c r="S2574">
        <v>3.0064700000000002</v>
      </c>
      <c r="T2574">
        <v>0.25711289999999998</v>
      </c>
      <c r="U2574">
        <v>0.22492980000000001</v>
      </c>
      <c r="V2574">
        <v>3.2594949999999998E-2</v>
      </c>
      <c r="W2574">
        <v>0.18394679999999999</v>
      </c>
      <c r="X2574">
        <v>0.98239560000000004</v>
      </c>
      <c r="Y2574">
        <v>-6.5602259999999996E-2</v>
      </c>
      <c r="Z2574">
        <v>-2.0443459999999998E-3</v>
      </c>
      <c r="AA2574">
        <v>0.9978437</v>
      </c>
      <c r="AB2574">
        <v>48</v>
      </c>
      <c r="AC2574">
        <v>214.28710000000001</v>
      </c>
      <c r="AD2574">
        <v>18.367654000000002</v>
      </c>
      <c r="AE2574">
        <v>16.064399999999999</v>
      </c>
      <c r="AF2574">
        <v>-14.070938236981</v>
      </c>
      <c r="AG2574">
        <v>18.367654000000002</v>
      </c>
      <c r="AH2574">
        <v>212.86525452601001</v>
      </c>
      <c r="AI2574">
        <v>85.0789810193194</v>
      </c>
      <c r="AJ2574">
        <v>93.781895708679201</v>
      </c>
      <c r="AK2574">
        <v>214.11907575168399</v>
      </c>
      <c r="AL2574">
        <v>79.400265101277199</v>
      </c>
      <c r="AM2574">
        <v>88.099677744234796</v>
      </c>
      <c r="AN2574">
        <v>0.99999998544755098</v>
      </c>
    </row>
    <row r="2575" spans="1:40" x14ac:dyDescent="0.25">
      <c r="A2575" t="str">
        <f>"20190312164523152"</f>
        <v>20190312164523152</v>
      </c>
      <c r="B2575" t="str">
        <f>"1552380323144107"</f>
        <v>1552380323144107</v>
      </c>
      <c r="C2575" t="s">
        <v>40</v>
      </c>
      <c r="D2575">
        <v>4.9253429999999998</v>
      </c>
      <c r="E2575">
        <v>0.45728020000000003</v>
      </c>
      <c r="F2575" t="s">
        <v>62</v>
      </c>
      <c r="G2575">
        <v>-157.25</v>
      </c>
      <c r="H2575">
        <v>19.340769999999999</v>
      </c>
      <c r="I2575">
        <v>229.7055</v>
      </c>
      <c r="J2575">
        <v>-371.05380000000002</v>
      </c>
      <c r="K2575">
        <v>1.107969</v>
      </c>
      <c r="L2575">
        <v>213.67140000000001</v>
      </c>
      <c r="M2575">
        <v>0.99987519999999996</v>
      </c>
      <c r="N2575">
        <v>0</v>
      </c>
      <c r="O2575">
        <v>8.449046E-3</v>
      </c>
      <c r="P2575">
        <v>0.984846</v>
      </c>
      <c r="Q2575">
        <v>0.1717021</v>
      </c>
      <c r="R2575">
        <v>-2.4434600000000001E-2</v>
      </c>
      <c r="S2575">
        <v>3.0067439999999999</v>
      </c>
      <c r="T2575">
        <v>0.25583240000000002</v>
      </c>
      <c r="U2575">
        <v>0.2250366</v>
      </c>
      <c r="V2575">
        <v>3.2977399999999997E-2</v>
      </c>
      <c r="W2575">
        <v>0.1847848</v>
      </c>
      <c r="X2575">
        <v>0.98222560000000003</v>
      </c>
      <c r="Y2575">
        <v>-6.5999550000000004E-2</v>
      </c>
      <c r="Z2575">
        <v>-2.0822639999999999E-3</v>
      </c>
      <c r="AA2575">
        <v>0.99781750000000002</v>
      </c>
      <c r="AB2575">
        <v>48</v>
      </c>
      <c r="AC2575">
        <v>213.8038</v>
      </c>
      <c r="AD2575">
        <v>18.232800999999998</v>
      </c>
      <c r="AE2575">
        <v>16.034099999999899</v>
      </c>
      <c r="AF2575">
        <v>-14.1247823143476</v>
      </c>
      <c r="AG2575">
        <v>18.232800999999998</v>
      </c>
      <c r="AH2575">
        <v>212.395670876407</v>
      </c>
      <c r="AI2575">
        <v>85.104315665084499</v>
      </c>
      <c r="AJ2575">
        <v>93.804693968946495</v>
      </c>
      <c r="AK2575">
        <v>213.64424989868701</v>
      </c>
      <c r="AL2575">
        <v>79.351414294839202</v>
      </c>
      <c r="AM2575">
        <v>88.077064608663406</v>
      </c>
      <c r="AN2575">
        <v>1.0000000302585701</v>
      </c>
    </row>
    <row r="2576" spans="1:40" x14ac:dyDescent="0.25">
      <c r="A2576" t="str">
        <f>"20190312164523175"</f>
        <v>20190312164523175</v>
      </c>
      <c r="B2576" t="str">
        <f>"1552380323164597"</f>
        <v>1552380323164597</v>
      </c>
      <c r="C2576" t="s">
        <v>40</v>
      </c>
      <c r="D2576">
        <v>4.9014790000000001</v>
      </c>
      <c r="E2576">
        <v>0.45744249999999997</v>
      </c>
      <c r="F2576" t="s">
        <v>47</v>
      </c>
      <c r="G2576">
        <v>-353.46570000000003</v>
      </c>
      <c r="H2576" s="1">
        <v>2.7478970000000001E-7</v>
      </c>
      <c r="I2576">
        <v>215.3639</v>
      </c>
      <c r="J2576">
        <v>-370.57490000000001</v>
      </c>
      <c r="K2576">
        <v>1.107998</v>
      </c>
      <c r="L2576">
        <v>213.67519999999999</v>
      </c>
      <c r="M2576">
        <v>0.99987550000000003</v>
      </c>
      <c r="N2576">
        <v>0</v>
      </c>
      <c r="O2576">
        <v>8.1109240000000003E-3</v>
      </c>
      <c r="P2576">
        <v>0.98477400000000004</v>
      </c>
      <c r="Q2576">
        <v>0.17198179999999999</v>
      </c>
      <c r="R2576">
        <v>-2.5348300000000001E-2</v>
      </c>
      <c r="S2576">
        <v>3.0874329999999999</v>
      </c>
      <c r="T2576">
        <v>-0.19449330000000001</v>
      </c>
      <c r="U2576">
        <v>0.29710389999999998</v>
      </c>
      <c r="V2576">
        <v>3.3552169999999999E-2</v>
      </c>
      <c r="W2576">
        <v>0.1852548</v>
      </c>
      <c r="X2576">
        <v>0.98211760000000004</v>
      </c>
      <c r="Y2576">
        <v>-8.7554069999999998E-2</v>
      </c>
      <c r="Z2576">
        <v>2.239418E-3</v>
      </c>
      <c r="AA2576">
        <v>0.99615719999999996</v>
      </c>
      <c r="AB2576">
        <v>48</v>
      </c>
      <c r="AC2576">
        <v>17.109199999999898</v>
      </c>
      <c r="AD2576">
        <v>-1.1079977252102999</v>
      </c>
      <c r="AE2576">
        <v>1.6887000000000101</v>
      </c>
      <c r="AF2576">
        <v>-1.5434496820965999</v>
      </c>
      <c r="AG2576">
        <v>-1.1079977252102999</v>
      </c>
      <c r="AH2576">
        <v>17.051512843085</v>
      </c>
      <c r="AI2576">
        <v>93.702725359366895</v>
      </c>
      <c r="AJ2576">
        <v>95.172140088753295</v>
      </c>
      <c r="AK2576">
        <v>17.157038967086599</v>
      </c>
      <c r="AL2576">
        <v>79.324012223014506</v>
      </c>
      <c r="AM2576">
        <v>88.0433602143288</v>
      </c>
      <c r="AN2576">
        <v>1.00000003463225</v>
      </c>
    </row>
    <row r="2577" spans="1:40" x14ac:dyDescent="0.25">
      <c r="A2577" t="str">
        <f>"20190312164523196"</f>
        <v>20190312164523196</v>
      </c>
      <c r="B2577" t="str">
        <f>"1552380323184114"</f>
        <v>1552380323184114</v>
      </c>
      <c r="C2577" t="s">
        <v>40</v>
      </c>
      <c r="D2577">
        <v>5.2639559999999896</v>
      </c>
      <c r="E2577">
        <v>0.48844579999999999</v>
      </c>
      <c r="F2577" t="s">
        <v>47</v>
      </c>
      <c r="G2577">
        <v>-353.39879999999999</v>
      </c>
      <c r="H2577" s="1">
        <v>2.4158960000000001E-7</v>
      </c>
      <c r="I2577">
        <v>215.30930000000001</v>
      </c>
      <c r="J2577">
        <v>-370.11709999999999</v>
      </c>
      <c r="K2577">
        <v>1.1080350000000001</v>
      </c>
      <c r="L2577">
        <v>213.67869999999999</v>
      </c>
      <c r="M2577">
        <v>0.99987570000000003</v>
      </c>
      <c r="N2577">
        <v>0</v>
      </c>
      <c r="O2577">
        <v>7.8212669999999998E-3</v>
      </c>
      <c r="P2577">
        <v>0.9846106</v>
      </c>
      <c r="Q2577">
        <v>0.17271049999999999</v>
      </c>
      <c r="R2577">
        <v>-2.6711800000000001E-2</v>
      </c>
      <c r="S2577">
        <v>3.0887150000000001</v>
      </c>
      <c r="T2577">
        <v>-0.1992468</v>
      </c>
      <c r="U2577">
        <v>0.2938538</v>
      </c>
      <c r="V2577">
        <v>3.4620270000000002E-2</v>
      </c>
      <c r="W2577">
        <v>0.18614220000000001</v>
      </c>
      <c r="X2577">
        <v>0.98191269999999997</v>
      </c>
      <c r="Y2577">
        <v>-8.6757940000000006E-2</v>
      </c>
      <c r="Z2577">
        <v>2.2862329999999999E-3</v>
      </c>
      <c r="AA2577">
        <v>0.99622679999999997</v>
      </c>
      <c r="AB2577">
        <v>48</v>
      </c>
      <c r="AC2577">
        <v>16.718299999999999</v>
      </c>
      <c r="AD2577">
        <v>-1.10803475841039</v>
      </c>
      <c r="AE2577">
        <v>1.63060000000001</v>
      </c>
      <c r="AF2577">
        <v>-1.49328198038015</v>
      </c>
      <c r="AG2577">
        <v>-1.10803475841039</v>
      </c>
      <c r="AH2577">
        <v>16.658060275724001</v>
      </c>
      <c r="AI2577">
        <v>93.790350704851704</v>
      </c>
      <c r="AJ2577">
        <v>95.122485554342703</v>
      </c>
      <c r="AK2577">
        <v>16.761521537391101</v>
      </c>
      <c r="AL2577">
        <v>79.272267746674501</v>
      </c>
      <c r="AM2577">
        <v>87.980702341304905</v>
      </c>
      <c r="AN2577">
        <v>1.0000000160685001</v>
      </c>
    </row>
    <row r="2578" spans="1:40" x14ac:dyDescent="0.25">
      <c r="A2578" t="str">
        <f>"20190312164523232"</f>
        <v>20190312164523232</v>
      </c>
      <c r="B2578" t="str">
        <f>"1552380323224130"</f>
        <v>1552380323224130</v>
      </c>
      <c r="C2578" t="s">
        <v>40</v>
      </c>
      <c r="D2578">
        <v>5.0095879999999999</v>
      </c>
      <c r="E2578">
        <v>0.49759999999999999</v>
      </c>
      <c r="F2578" t="s">
        <v>61</v>
      </c>
      <c r="G2578">
        <v>-107.39749999999999</v>
      </c>
      <c r="H2578">
        <v>17.320789999999999</v>
      </c>
      <c r="I2578">
        <v>215.98429999999999</v>
      </c>
      <c r="J2578">
        <v>-369.33100000000002</v>
      </c>
      <c r="K2578">
        <v>1.108112</v>
      </c>
      <c r="L2578">
        <v>213.68450000000001</v>
      </c>
      <c r="M2578">
        <v>0.99987530000000002</v>
      </c>
      <c r="N2578">
        <v>0</v>
      </c>
      <c r="O2578">
        <v>7.4236079999999999E-3</v>
      </c>
      <c r="P2578">
        <v>0.98425649999999998</v>
      </c>
      <c r="Q2578">
        <v>0.1744086</v>
      </c>
      <c r="R2578">
        <v>-2.8647470000000001E-2</v>
      </c>
      <c r="S2578">
        <v>3.0149539999999999</v>
      </c>
      <c r="T2578">
        <v>0.1860571</v>
      </c>
      <c r="U2578">
        <v>2.6458740000000001E-2</v>
      </c>
      <c r="V2578">
        <v>3.6137580000000002E-2</v>
      </c>
      <c r="W2578">
        <v>0.18806970000000001</v>
      </c>
      <c r="X2578">
        <v>0.98149059999999999</v>
      </c>
      <c r="Y2578">
        <v>-1.3627439999999999E-3</v>
      </c>
      <c r="Z2578">
        <v>4.1570719999999998E-4</v>
      </c>
      <c r="AA2578">
        <v>0.99999899999999997</v>
      </c>
      <c r="AB2578">
        <v>48</v>
      </c>
      <c r="AC2578">
        <v>261.93349999999998</v>
      </c>
      <c r="AD2578">
        <v>16.212678</v>
      </c>
      <c r="AE2578">
        <v>2.2997999999999701</v>
      </c>
      <c r="AF2578">
        <v>-0.353701107583616</v>
      </c>
      <c r="AG2578">
        <v>16.212678</v>
      </c>
      <c r="AH2578">
        <v>260.94372191119299</v>
      </c>
      <c r="AI2578">
        <v>86.444732827098903</v>
      </c>
      <c r="AJ2578">
        <v>90.077662601398998</v>
      </c>
      <c r="AK2578">
        <v>261.44713048199799</v>
      </c>
      <c r="AL2578">
        <v>79.159844158565207</v>
      </c>
      <c r="AM2578">
        <v>87.891374668809902</v>
      </c>
      <c r="AN2578">
        <v>0.99999996731735197</v>
      </c>
    </row>
    <row r="2579" spans="1:40" x14ac:dyDescent="0.25">
      <c r="A2579" t="str">
        <f>"20190312164523254"</f>
        <v>20190312164523254</v>
      </c>
      <c r="B2579" t="str">
        <f>"1552380323244629"</f>
        <v>1552380323244629</v>
      </c>
      <c r="C2579" t="s">
        <v>40</v>
      </c>
      <c r="D2579">
        <v>4.0804229999999997</v>
      </c>
      <c r="E2579">
        <v>0.49920409999999998</v>
      </c>
      <c r="F2579" t="s">
        <v>60</v>
      </c>
      <c r="G2579">
        <v>-169.39689999999999</v>
      </c>
      <c r="H2579">
        <v>15.038270000000001</v>
      </c>
      <c r="I2579">
        <v>210.15950000000001</v>
      </c>
      <c r="J2579">
        <v>-368.86869999999999</v>
      </c>
      <c r="K2579">
        <v>1.1081700000000001</v>
      </c>
      <c r="L2579">
        <v>213.68780000000001</v>
      </c>
      <c r="M2579">
        <v>0.99987499999999996</v>
      </c>
      <c r="N2579">
        <v>0</v>
      </c>
      <c r="O2579">
        <v>7.2565989999999999E-3</v>
      </c>
      <c r="P2579">
        <v>0.98398660000000004</v>
      </c>
      <c r="Q2579">
        <v>0.17575959999999999</v>
      </c>
      <c r="R2579">
        <v>-2.96557E-2</v>
      </c>
      <c r="S2579">
        <v>3.009277</v>
      </c>
      <c r="T2579">
        <v>0.2096683</v>
      </c>
      <c r="U2579">
        <v>-5.3054810000000001E-2</v>
      </c>
      <c r="V2579">
        <v>3.6960279999999998E-2</v>
      </c>
      <c r="W2579">
        <v>0.18953210000000001</v>
      </c>
      <c r="X2579">
        <v>0.98117860000000001</v>
      </c>
      <c r="Y2579">
        <v>2.4805689999999998E-2</v>
      </c>
      <c r="Z2579">
        <v>1.3680420000000001E-3</v>
      </c>
      <c r="AA2579">
        <v>0.99969140000000001</v>
      </c>
      <c r="AB2579">
        <v>48</v>
      </c>
      <c r="AC2579">
        <v>199.4718</v>
      </c>
      <c r="AD2579">
        <v>13.930099999999999</v>
      </c>
      <c r="AE2579">
        <v>-3.5283000000000002</v>
      </c>
      <c r="AF2579">
        <v>4.9516953235560299</v>
      </c>
      <c r="AG2579">
        <v>13.930099999999999</v>
      </c>
      <c r="AH2579">
        <v>198.473305700449</v>
      </c>
      <c r="AI2579">
        <v>85.986451882314697</v>
      </c>
      <c r="AJ2579">
        <v>88.570828458726893</v>
      </c>
      <c r="AK2579">
        <v>199.023164602142</v>
      </c>
      <c r="AL2579">
        <v>79.074520225257302</v>
      </c>
      <c r="AM2579">
        <v>87.842729889280903</v>
      </c>
      <c r="AN2579">
        <v>0.999999962163023</v>
      </c>
    </row>
    <row r="2580" spans="1:40" x14ac:dyDescent="0.25">
      <c r="A2580" t="str">
        <f>"20190312164523275"</f>
        <v>20190312164523275</v>
      </c>
      <c r="B2580" t="str">
        <f>"1552380323264149"</f>
        <v>1552380323264149</v>
      </c>
      <c r="C2580" t="s">
        <v>40</v>
      </c>
      <c r="D2580">
        <v>6.0908740000000003</v>
      </c>
      <c r="E2580">
        <v>0.50011349999999999</v>
      </c>
      <c r="F2580" t="s">
        <v>60</v>
      </c>
      <c r="G2580">
        <v>-169.39750000000001</v>
      </c>
      <c r="H2580">
        <v>15.67268</v>
      </c>
      <c r="I2580">
        <v>209.10120000000001</v>
      </c>
      <c r="J2580">
        <v>-368.41550000000001</v>
      </c>
      <c r="K2580">
        <v>1.1082289999999999</v>
      </c>
      <c r="L2580">
        <v>213.691</v>
      </c>
      <c r="M2580">
        <v>0.9998745</v>
      </c>
      <c r="N2580">
        <v>0</v>
      </c>
      <c r="O2580">
        <v>7.1318579999999996E-3</v>
      </c>
      <c r="P2580">
        <v>0.98372519999999997</v>
      </c>
      <c r="Q2580">
        <v>0.17717330000000001</v>
      </c>
      <c r="R2580">
        <v>-2.9910340000000001E-2</v>
      </c>
      <c r="S2580">
        <v>3.0074770000000002</v>
      </c>
      <c r="T2580">
        <v>0.21959319999999999</v>
      </c>
      <c r="U2580">
        <v>-6.9152829999999998E-2</v>
      </c>
      <c r="V2580">
        <v>3.7071220000000002E-2</v>
      </c>
      <c r="W2580">
        <v>0.1910423</v>
      </c>
      <c r="X2580">
        <v>0.98088149999999996</v>
      </c>
      <c r="Y2580">
        <v>3.001881E-2</v>
      </c>
      <c r="Z2580">
        <v>1.6143590000000001E-3</v>
      </c>
      <c r="AA2580">
        <v>0.99954799999999999</v>
      </c>
      <c r="AB2580">
        <v>48</v>
      </c>
      <c r="AC2580">
        <v>199.018</v>
      </c>
      <c r="AD2580">
        <v>14.564451</v>
      </c>
      <c r="AE2580">
        <v>-4.5897999999999604</v>
      </c>
      <c r="AF2580">
        <v>5.9771992760836401</v>
      </c>
      <c r="AG2580">
        <v>14.564451</v>
      </c>
      <c r="AH2580">
        <v>197.92079061033701</v>
      </c>
      <c r="AI2580">
        <v>85.793256733904499</v>
      </c>
      <c r="AJ2580">
        <v>88.270195702624704</v>
      </c>
      <c r="AK2580">
        <v>198.545938009163</v>
      </c>
      <c r="AL2580">
        <v>78.986381858783403</v>
      </c>
      <c r="AM2580">
        <v>87.835606017915694</v>
      </c>
      <c r="AN2580">
        <v>0.99999997639191296</v>
      </c>
    </row>
    <row r="2581" spans="1:40" x14ac:dyDescent="0.25">
      <c r="A2581" t="str">
        <f>"20190312164523297"</f>
        <v>20190312164523297</v>
      </c>
      <c r="B2581" t="str">
        <f>"1552380323294403"</f>
        <v>1552380323294403</v>
      </c>
      <c r="C2581" t="s">
        <v>40</v>
      </c>
      <c r="D2581">
        <v>6.5408039999999996</v>
      </c>
      <c r="E2581">
        <v>0.50105230000000001</v>
      </c>
      <c r="F2581" t="s">
        <v>60</v>
      </c>
      <c r="G2581">
        <v>-169.39779999999999</v>
      </c>
      <c r="H2581">
        <v>15.979990000000001</v>
      </c>
      <c r="I2581">
        <v>208.5583</v>
      </c>
      <c r="J2581">
        <v>-367.95940000000002</v>
      </c>
      <c r="K2581">
        <v>1.1082890000000001</v>
      </c>
      <c r="L2581">
        <v>213.6942</v>
      </c>
      <c r="M2581">
        <v>0.99987400000000004</v>
      </c>
      <c r="N2581">
        <v>0</v>
      </c>
      <c r="O2581">
        <v>7.0395889999999997E-3</v>
      </c>
      <c r="P2581">
        <v>0.98357030000000001</v>
      </c>
      <c r="Q2581">
        <v>0.17809249999999999</v>
      </c>
      <c r="R2581">
        <v>-2.954217E-2</v>
      </c>
      <c r="S2581">
        <v>3.0067750000000002</v>
      </c>
      <c r="T2581">
        <v>0.2246841</v>
      </c>
      <c r="U2581">
        <v>-7.7545169999999997E-2</v>
      </c>
      <c r="V2581">
        <v>3.65925E-2</v>
      </c>
      <c r="W2581">
        <v>0.19204750000000001</v>
      </c>
      <c r="X2581">
        <v>0.9807032</v>
      </c>
      <c r="Y2581">
        <v>3.2708149999999998E-2</v>
      </c>
      <c r="Z2581">
        <v>1.7454529999999999E-3</v>
      </c>
      <c r="AA2581">
        <v>0.9994634</v>
      </c>
      <c r="AB2581">
        <v>48</v>
      </c>
      <c r="AC2581">
        <v>198.5616</v>
      </c>
      <c r="AD2581">
        <v>14.871701</v>
      </c>
      <c r="AE2581">
        <v>-5.1358999999999897</v>
      </c>
      <c r="AF2581">
        <v>6.4972835695568403</v>
      </c>
      <c r="AG2581">
        <v>14.871701</v>
      </c>
      <c r="AH2581">
        <v>197.413851251816</v>
      </c>
      <c r="AI2581">
        <v>85.694219096452002</v>
      </c>
      <c r="AJ2581">
        <v>88.114962052232997</v>
      </c>
      <c r="AK2581">
        <v>198.079809295372</v>
      </c>
      <c r="AL2581">
        <v>78.927701980433596</v>
      </c>
      <c r="AM2581">
        <v>87.863141828137003</v>
      </c>
      <c r="AN2581">
        <v>1.0000000099013699</v>
      </c>
    </row>
    <row r="2582" spans="1:40" x14ac:dyDescent="0.25">
      <c r="A2582" t="str">
        <f>"20190312164523319"</f>
        <v>20190312164523319</v>
      </c>
      <c r="B2582" t="str">
        <f>"1552380323313922"</f>
        <v>1552380323313922</v>
      </c>
      <c r="C2582" t="s">
        <v>40</v>
      </c>
      <c r="D2582">
        <v>5.3300519999999896</v>
      </c>
      <c r="E2582">
        <v>0.50157249999999998</v>
      </c>
      <c r="F2582" t="s">
        <v>60</v>
      </c>
      <c r="G2582">
        <v>-168.4153</v>
      </c>
      <c r="H2582">
        <v>16.212540000000001</v>
      </c>
      <c r="I2582">
        <v>208.10149999999999</v>
      </c>
      <c r="J2582">
        <v>-367.47250000000003</v>
      </c>
      <c r="K2582">
        <v>1.1083449999999999</v>
      </c>
      <c r="L2582">
        <v>213.69749999999999</v>
      </c>
      <c r="M2582">
        <v>0.99987329999999996</v>
      </c>
      <c r="N2582">
        <v>0</v>
      </c>
      <c r="O2582">
        <v>6.9697980000000001E-3</v>
      </c>
      <c r="P2582">
        <v>0.98336270000000003</v>
      </c>
      <c r="Q2582">
        <v>0.1791885</v>
      </c>
      <c r="R2582">
        <v>-2.982425E-2</v>
      </c>
      <c r="S2582">
        <v>3.006348</v>
      </c>
      <c r="T2582">
        <v>0.2275624</v>
      </c>
      <c r="U2582">
        <v>-8.4259029999999999E-2</v>
      </c>
      <c r="V2582">
        <v>3.6786699999999999E-2</v>
      </c>
      <c r="W2582">
        <v>0.193222</v>
      </c>
      <c r="X2582">
        <v>0.98046520000000004</v>
      </c>
      <c r="Y2582">
        <v>3.486355E-2</v>
      </c>
      <c r="Z2582">
        <v>1.8441169999999999E-3</v>
      </c>
      <c r="AA2582">
        <v>0.99939040000000001</v>
      </c>
      <c r="AB2582">
        <v>48</v>
      </c>
      <c r="AC2582">
        <v>199.05719999999999</v>
      </c>
      <c r="AD2582">
        <v>15.104195000000001</v>
      </c>
      <c r="AE2582">
        <v>-5.5960000000000001</v>
      </c>
      <c r="AF2582">
        <v>6.94344878064111</v>
      </c>
      <c r="AG2582">
        <v>15.104195000000001</v>
      </c>
      <c r="AH2582">
        <v>197.87497728454301</v>
      </c>
      <c r="AI2582">
        <v>85.637637038731597</v>
      </c>
      <c r="AJ2582">
        <v>87.9903110957179</v>
      </c>
      <c r="AK2582">
        <v>198.57203937847299</v>
      </c>
      <c r="AL2582">
        <v>78.859123598075598</v>
      </c>
      <c r="AM2582">
        <v>87.851290941627397</v>
      </c>
      <c r="AN2582">
        <v>1.0000000054959599</v>
      </c>
    </row>
    <row r="2583" spans="1:40" x14ac:dyDescent="0.25">
      <c r="A2583" t="str">
        <f>"20190312164523342"</f>
        <v>20190312164523342</v>
      </c>
      <c r="B2583" t="str">
        <f>"1552380323334418"</f>
        <v>1552380323334418</v>
      </c>
      <c r="C2583" t="s">
        <v>40</v>
      </c>
      <c r="D2583">
        <v>5.3975179999999998</v>
      </c>
      <c r="E2583">
        <v>0.50180550000000002</v>
      </c>
      <c r="F2583" t="s">
        <v>60</v>
      </c>
      <c r="G2583">
        <v>-168.41560000000001</v>
      </c>
      <c r="H2583">
        <v>16.619669999999999</v>
      </c>
      <c r="I2583">
        <v>207.76599999999999</v>
      </c>
      <c r="J2583">
        <v>-366.98910000000001</v>
      </c>
      <c r="K2583">
        <v>1.108395</v>
      </c>
      <c r="L2583">
        <v>213.70089999999999</v>
      </c>
      <c r="M2583">
        <v>0.9998726</v>
      </c>
      <c r="N2583">
        <v>0</v>
      </c>
      <c r="O2583">
        <v>6.9213790000000001E-3</v>
      </c>
      <c r="P2583">
        <v>0.98315669999999999</v>
      </c>
      <c r="Q2583">
        <v>0.18028540000000001</v>
      </c>
      <c r="R2583">
        <v>-3.0001710000000001E-2</v>
      </c>
      <c r="S2583">
        <v>3.0053709999999998</v>
      </c>
      <c r="T2583">
        <v>0.23419119999999999</v>
      </c>
      <c r="U2583">
        <v>-8.9553830000000001E-2</v>
      </c>
      <c r="V2583">
        <v>3.6899840000000003E-2</v>
      </c>
      <c r="W2583">
        <v>0.1943849</v>
      </c>
      <c r="X2583">
        <v>0.98023099999999996</v>
      </c>
      <c r="Y2583">
        <v>3.6571279999999998E-2</v>
      </c>
      <c r="Z2583">
        <v>1.9608970000000001E-3</v>
      </c>
      <c r="AA2583">
        <v>0.99932909999999997</v>
      </c>
      <c r="AB2583">
        <v>48</v>
      </c>
      <c r="AC2583">
        <v>198.5735</v>
      </c>
      <c r="AD2583">
        <v>15.511274999999999</v>
      </c>
      <c r="AE2583">
        <v>-5.9348999999999901</v>
      </c>
      <c r="AF2583">
        <v>7.2650129274165396</v>
      </c>
      <c r="AG2583">
        <v>15.511274999999999</v>
      </c>
      <c r="AH2583">
        <v>197.324714651992</v>
      </c>
      <c r="AI2583">
        <v>85.508374320858593</v>
      </c>
      <c r="AJ2583">
        <v>87.8914620489698</v>
      </c>
      <c r="AK2583">
        <v>198.06671370387099</v>
      </c>
      <c r="AL2583">
        <v>78.7912060274829</v>
      </c>
      <c r="AM2583">
        <v>87.844174195417494</v>
      </c>
      <c r="AN2583">
        <v>0.99999995045051604</v>
      </c>
    </row>
    <row r="2584" spans="1:40" x14ac:dyDescent="0.25">
      <c r="A2584" t="str">
        <f>"20190312164523364"</f>
        <v>20190312164523364</v>
      </c>
      <c r="B2584" t="str">
        <f>"1552380323353938"</f>
        <v>1552380323353938</v>
      </c>
      <c r="C2584" t="s">
        <v>40</v>
      </c>
      <c r="D2584">
        <v>5.2996169999999996</v>
      </c>
      <c r="E2584">
        <v>0.50192320000000001</v>
      </c>
      <c r="F2584" t="s">
        <v>60</v>
      </c>
      <c r="G2584">
        <v>-168.41569999999999</v>
      </c>
      <c r="H2584">
        <v>16.878979999999999</v>
      </c>
      <c r="I2584">
        <v>207.6293</v>
      </c>
      <c r="J2584">
        <v>-366.50779999999997</v>
      </c>
      <c r="K2584">
        <v>1.10843799999999</v>
      </c>
      <c r="L2584">
        <v>213.70410000000001</v>
      </c>
      <c r="M2584">
        <v>0.99987210000000004</v>
      </c>
      <c r="N2584">
        <v>0</v>
      </c>
      <c r="O2584">
        <v>6.8868239999999997E-3</v>
      </c>
      <c r="P2584">
        <v>0.98298370000000002</v>
      </c>
      <c r="Q2584">
        <v>0.1811893</v>
      </c>
      <c r="R2584">
        <v>-3.022913E-2</v>
      </c>
      <c r="S2584">
        <v>3.004791</v>
      </c>
      <c r="T2584">
        <v>0.2386394</v>
      </c>
      <c r="U2584">
        <v>-9.1873170000000004E-2</v>
      </c>
      <c r="V2584">
        <v>3.7079139999999997E-2</v>
      </c>
      <c r="W2584">
        <v>0.19534609999999999</v>
      </c>
      <c r="X2584">
        <v>0.98003320000000005</v>
      </c>
      <c r="Y2584">
        <v>3.730584E-2</v>
      </c>
      <c r="Z2584">
        <v>2.024765E-3</v>
      </c>
      <c r="AA2584">
        <v>0.99930189999999997</v>
      </c>
      <c r="AB2584">
        <v>48</v>
      </c>
      <c r="AC2584">
        <v>198.09209999999999</v>
      </c>
      <c r="AD2584">
        <v>15.770542000000001</v>
      </c>
      <c r="AE2584">
        <v>-6.0747999999999998</v>
      </c>
      <c r="AF2584">
        <v>7.3922149223125704</v>
      </c>
      <c r="AG2584">
        <v>15.770542000000001</v>
      </c>
      <c r="AH2584">
        <v>196.79939906356401</v>
      </c>
      <c r="AI2584">
        <v>85.421601663420901</v>
      </c>
      <c r="AJ2584">
        <v>87.848856794489905</v>
      </c>
      <c r="AK2584">
        <v>197.568616708756</v>
      </c>
      <c r="AL2584">
        <v>78.735057701808202</v>
      </c>
      <c r="AM2584">
        <v>87.833271973513007</v>
      </c>
      <c r="AN2584">
        <v>1.0000000172552901</v>
      </c>
    </row>
    <row r="2585" spans="1:40" x14ac:dyDescent="0.25">
      <c r="A2585" t="str">
        <f>"20190312164523386"</f>
        <v>20190312164523386</v>
      </c>
      <c r="B2585" t="str">
        <f>"1552380323374437"</f>
        <v>1552380323374437</v>
      </c>
      <c r="C2585" t="s">
        <v>40</v>
      </c>
      <c r="D2585">
        <v>5.3683709999999998</v>
      </c>
      <c r="E2585">
        <v>0.50207500000000005</v>
      </c>
      <c r="F2585" t="s">
        <v>60</v>
      </c>
      <c r="G2585">
        <v>-168.41579999999999</v>
      </c>
      <c r="H2585">
        <v>17.136029999999899</v>
      </c>
      <c r="I2585">
        <v>207.5446</v>
      </c>
      <c r="J2585">
        <v>-366.04770000000002</v>
      </c>
      <c r="K2585">
        <v>1.1084700000000001</v>
      </c>
      <c r="L2585">
        <v>213.7072</v>
      </c>
      <c r="M2585">
        <v>0.99987170000000003</v>
      </c>
      <c r="N2585">
        <v>0</v>
      </c>
      <c r="O2585">
        <v>6.8610099999999999E-3</v>
      </c>
      <c r="P2585">
        <v>0.98294099999999995</v>
      </c>
      <c r="Q2585">
        <v>0.18135470000000001</v>
      </c>
      <c r="R2585">
        <v>-3.0624140000000001E-2</v>
      </c>
      <c r="S2585">
        <v>3.0042420000000001</v>
      </c>
      <c r="T2585">
        <v>0.24307329999999999</v>
      </c>
      <c r="U2585">
        <v>-9.341431E-2</v>
      </c>
      <c r="V2585">
        <v>3.743805E-2</v>
      </c>
      <c r="W2585">
        <v>0.1955588</v>
      </c>
      <c r="X2585">
        <v>0.97997710000000005</v>
      </c>
      <c r="Y2585">
        <v>3.779101E-2</v>
      </c>
      <c r="Z2585">
        <v>2.0801299999999999E-3</v>
      </c>
      <c r="AA2585">
        <v>0.99928349999999999</v>
      </c>
      <c r="AB2585">
        <v>48</v>
      </c>
      <c r="AC2585">
        <v>197.6319</v>
      </c>
      <c r="AD2585">
        <v>16.027559999999902</v>
      </c>
      <c r="AE2585">
        <v>-6.1625999999999896</v>
      </c>
      <c r="AF2585">
        <v>7.4694732272375504</v>
      </c>
      <c r="AG2585">
        <v>16.027559999999902</v>
      </c>
      <c r="AH2585">
        <v>196.295202932</v>
      </c>
      <c r="AI2585">
        <v>85.335498771195603</v>
      </c>
      <c r="AJ2585">
        <v>87.820818332404698</v>
      </c>
      <c r="AK2585">
        <v>197.09003628788801</v>
      </c>
      <c r="AL2585">
        <v>78.722630844576202</v>
      </c>
      <c r="AM2585">
        <v>87.812194151415994</v>
      </c>
      <c r="AN2585">
        <v>0.99999998418482605</v>
      </c>
    </row>
    <row r="2586" spans="1:40" x14ac:dyDescent="0.25">
      <c r="A2586" t="str">
        <f>"20190312164523409"</f>
        <v>20190312164523409</v>
      </c>
      <c r="B2586" t="str">
        <f>"1552380323404689"</f>
        <v>1552380323404689</v>
      </c>
      <c r="C2586" t="s">
        <v>40</v>
      </c>
      <c r="D2586">
        <v>5.2776139999999998</v>
      </c>
      <c r="E2586">
        <v>0.50226990000000005</v>
      </c>
      <c r="F2586" t="s">
        <v>60</v>
      </c>
      <c r="G2586">
        <v>-168.41579999999999</v>
      </c>
      <c r="H2586">
        <v>17.00076</v>
      </c>
      <c r="I2586">
        <v>207.40809999999999</v>
      </c>
      <c r="J2586">
        <v>-365.5505</v>
      </c>
      <c r="K2586">
        <v>1.1085020000000001</v>
      </c>
      <c r="L2586">
        <v>213.7106</v>
      </c>
      <c r="M2586">
        <v>0.99987099999999995</v>
      </c>
      <c r="N2586">
        <v>0</v>
      </c>
      <c r="O2586">
        <v>6.83704E-3</v>
      </c>
      <c r="P2586">
        <v>0.98274419999999996</v>
      </c>
      <c r="Q2586">
        <v>0.18243480000000001</v>
      </c>
      <c r="R2586">
        <v>-3.0518569999999998E-2</v>
      </c>
      <c r="S2586">
        <v>3.0045470000000001</v>
      </c>
      <c r="T2586">
        <v>0.24160680000000001</v>
      </c>
      <c r="U2586">
        <v>-9.5764160000000001E-2</v>
      </c>
      <c r="V2586">
        <v>3.7297789999999997E-2</v>
      </c>
      <c r="W2586">
        <v>0.19668150000000001</v>
      </c>
      <c r="X2586">
        <v>0.97975780000000001</v>
      </c>
      <c r="Y2586">
        <v>3.8544099999999998E-2</v>
      </c>
      <c r="Z2586">
        <v>2.0956870000000002E-3</v>
      </c>
      <c r="AA2586">
        <v>0.99925469999999905</v>
      </c>
      <c r="AB2586">
        <v>48</v>
      </c>
      <c r="AC2586">
        <v>197.13470000000001</v>
      </c>
      <c r="AD2586">
        <v>15.892257999999901</v>
      </c>
      <c r="AE2586">
        <v>-6.3025000000000002</v>
      </c>
      <c r="AF2586">
        <v>7.6009648057426</v>
      </c>
      <c r="AG2586">
        <v>15.892257999999901</v>
      </c>
      <c r="AH2586">
        <v>195.815693979733</v>
      </c>
      <c r="AI2586">
        <v>85.3635626226271</v>
      </c>
      <c r="AJ2586">
        <v>87.777069548570907</v>
      </c>
      <c r="AK2586">
        <v>196.60652211735299</v>
      </c>
      <c r="AL2586">
        <v>78.657031574711496</v>
      </c>
      <c r="AM2586">
        <v>87.819895354206693</v>
      </c>
      <c r="AN2586">
        <v>1.00000004212098</v>
      </c>
    </row>
    <row r="2587" spans="1:40" x14ac:dyDescent="0.25">
      <c r="A2587" t="str">
        <f>"20190312164523432"</f>
        <v>20190312164523432</v>
      </c>
      <c r="B2587" t="str">
        <f>"1552380323424210"</f>
        <v>1552380323424210</v>
      </c>
      <c r="C2587" t="s">
        <v>40</v>
      </c>
      <c r="D2587">
        <v>5.101718</v>
      </c>
      <c r="E2587">
        <v>0.50232949999999998</v>
      </c>
      <c r="F2587" t="s">
        <v>60</v>
      </c>
      <c r="G2587">
        <v>-168.41579999999999</v>
      </c>
      <c r="H2587">
        <v>16.974</v>
      </c>
      <c r="I2587">
        <v>207.3466</v>
      </c>
      <c r="J2587">
        <v>-365.04509999999999</v>
      </c>
      <c r="K2587">
        <v>1.1085309999999999</v>
      </c>
      <c r="L2587">
        <v>213.7141</v>
      </c>
      <c r="M2587">
        <v>0.9998707</v>
      </c>
      <c r="N2587">
        <v>0</v>
      </c>
      <c r="O2587">
        <v>6.8134210000000001E-3</v>
      </c>
      <c r="P2587">
        <v>0.98263060000000002</v>
      </c>
      <c r="Q2587">
        <v>0.1830273</v>
      </c>
      <c r="R2587">
        <v>-3.0630879999999999E-2</v>
      </c>
      <c r="S2587">
        <v>3.0047299999999999</v>
      </c>
      <c r="T2587">
        <v>0.2418227</v>
      </c>
      <c r="U2587">
        <v>-9.7000119999999995E-2</v>
      </c>
      <c r="V2587">
        <v>3.7377819999999999E-2</v>
      </c>
      <c r="W2587">
        <v>0.19731070000000001</v>
      </c>
      <c r="X2587">
        <v>0.97962819999999995</v>
      </c>
      <c r="Y2587">
        <v>3.8927759999999999E-2</v>
      </c>
      <c r="Z2587">
        <v>2.1109240000000001E-3</v>
      </c>
      <c r="AA2587">
        <v>0.99923980000000001</v>
      </c>
      <c r="AB2587">
        <v>48</v>
      </c>
      <c r="AC2587">
        <v>196.6293</v>
      </c>
      <c r="AD2587">
        <v>15.865468999999999</v>
      </c>
      <c r="AE2587">
        <v>-6.3674999999999997</v>
      </c>
      <c r="AF2587">
        <v>7.6574117282619296</v>
      </c>
      <c r="AG2587">
        <v>15.865468999999999</v>
      </c>
      <c r="AH2587">
        <v>195.31111947858901</v>
      </c>
      <c r="AI2587">
        <v>85.359508474688994</v>
      </c>
      <c r="AJ2587">
        <v>87.754798683357293</v>
      </c>
      <c r="AK2587">
        <v>196.10400927300299</v>
      </c>
      <c r="AL2587">
        <v>78.620260168091306</v>
      </c>
      <c r="AM2587">
        <v>87.814933268996398</v>
      </c>
      <c r="AN2587">
        <v>1.0000000119988399</v>
      </c>
    </row>
    <row r="2588" spans="1:40" x14ac:dyDescent="0.25">
      <c r="A2588" t="str">
        <f>"20190312164523455"</f>
        <v>20190312164523455</v>
      </c>
      <c r="B2588" t="str">
        <f>"1552380323444707"</f>
        <v>1552380323444707</v>
      </c>
      <c r="C2588" t="s">
        <v>40</v>
      </c>
      <c r="D2588">
        <v>5.2196879999999997</v>
      </c>
      <c r="E2588">
        <v>0.50229609999999902</v>
      </c>
      <c r="F2588" t="s">
        <v>60</v>
      </c>
      <c r="G2588">
        <v>-168.41579999999999</v>
      </c>
      <c r="H2588">
        <v>16.92503</v>
      </c>
      <c r="I2588">
        <v>207.3039</v>
      </c>
      <c r="J2588">
        <v>-364.56200000000001</v>
      </c>
      <c r="K2588">
        <v>1.1085529999999999</v>
      </c>
      <c r="L2588">
        <v>213.71729999999999</v>
      </c>
      <c r="M2588">
        <v>0.99987040000000005</v>
      </c>
      <c r="N2588">
        <v>0</v>
      </c>
      <c r="O2588">
        <v>6.7912819999999896E-3</v>
      </c>
      <c r="P2588">
        <v>0.98254339999999996</v>
      </c>
      <c r="Q2588">
        <v>0.18356040000000001</v>
      </c>
      <c r="R2588">
        <v>-3.0240079999999999E-2</v>
      </c>
      <c r="S2588">
        <v>3.0049130000000002</v>
      </c>
      <c r="T2588">
        <v>0.24171019999999999</v>
      </c>
      <c r="U2588">
        <v>-9.7961430000000002E-2</v>
      </c>
      <c r="V2588">
        <v>3.6957820000000002E-2</v>
      </c>
      <c r="W2588">
        <v>0.19787399999999999</v>
      </c>
      <c r="X2588">
        <v>0.97953049999999997</v>
      </c>
      <c r="Y2588">
        <v>3.9222279999999998E-2</v>
      </c>
      <c r="Z2588">
        <v>2.1198520000000002E-3</v>
      </c>
      <c r="AA2588">
        <v>0.99922820000000001</v>
      </c>
      <c r="AB2588">
        <v>48</v>
      </c>
      <c r="AC2588">
        <v>196.14619999999999</v>
      </c>
      <c r="AD2588">
        <v>15.816477000000001</v>
      </c>
      <c r="AE2588">
        <v>-6.4133999999999904</v>
      </c>
      <c r="AF2588">
        <v>7.6954940243394603</v>
      </c>
      <c r="AG2588">
        <v>15.816477000000001</v>
      </c>
      <c r="AH2588">
        <v>194.83262984483201</v>
      </c>
      <c r="AI2588">
        <v>85.362516728543</v>
      </c>
      <c r="AJ2588">
        <v>87.738108589202994</v>
      </c>
      <c r="AK2588">
        <v>195.624986198654</v>
      </c>
      <c r="AL2588">
        <v>78.587336203926498</v>
      </c>
      <c r="AM2588">
        <v>87.8392473209054</v>
      </c>
      <c r="AN2588">
        <v>1.0000000003827001</v>
      </c>
    </row>
    <row r="2589" spans="1:40" x14ac:dyDescent="0.25">
      <c r="A2589" t="str">
        <f>"20190312164523476"</f>
        <v>20190312164523476</v>
      </c>
      <c r="B2589" t="str">
        <f>"1552380323464226"</f>
        <v>1552380323464226</v>
      </c>
      <c r="C2589" t="s">
        <v>40</v>
      </c>
      <c r="D2589">
        <v>5.3885680000000002</v>
      </c>
      <c r="E2589">
        <v>0.50231680000000001</v>
      </c>
      <c r="F2589" t="s">
        <v>60</v>
      </c>
      <c r="G2589">
        <v>-168.41579999999999</v>
      </c>
      <c r="H2589">
        <v>16.954709999999999</v>
      </c>
      <c r="I2589">
        <v>207.4066</v>
      </c>
      <c r="J2589">
        <v>-364.12450000000001</v>
      </c>
      <c r="K2589">
        <v>1.1085750000000001</v>
      </c>
      <c r="L2589">
        <v>213.72020000000001</v>
      </c>
      <c r="M2589">
        <v>0.99987020000000004</v>
      </c>
      <c r="N2589">
        <v>0</v>
      </c>
      <c r="O2589">
        <v>6.7710959999999999E-3</v>
      </c>
      <c r="P2589">
        <v>0.98242640000000003</v>
      </c>
      <c r="Q2589">
        <v>0.1842887</v>
      </c>
      <c r="R2589">
        <v>-2.960376E-2</v>
      </c>
      <c r="S2589">
        <v>3.0049739999999998</v>
      </c>
      <c r="T2589">
        <v>0.2427647</v>
      </c>
      <c r="U2589">
        <v>-9.6679689999999999E-2</v>
      </c>
      <c r="V2589">
        <v>3.6295769999999998E-2</v>
      </c>
      <c r="W2589">
        <v>0.19862460000000001</v>
      </c>
      <c r="X2589">
        <v>0.97940329999999998</v>
      </c>
      <c r="Y2589">
        <v>3.8775909999999997E-2</v>
      </c>
      <c r="Z2589">
        <v>2.1094170000000001E-3</v>
      </c>
      <c r="AA2589">
        <v>0.99924570000000001</v>
      </c>
      <c r="AB2589">
        <v>48</v>
      </c>
      <c r="AC2589">
        <v>195.70869999999999</v>
      </c>
      <c r="AD2589">
        <v>15.846135</v>
      </c>
      <c r="AE2589">
        <v>-6.3136000000000001</v>
      </c>
      <c r="AF2589">
        <v>7.5890585600623801</v>
      </c>
      <c r="AG2589">
        <v>15.846135</v>
      </c>
      <c r="AH2589">
        <v>194.38840920183901</v>
      </c>
      <c r="AI2589">
        <v>85.3432049186424</v>
      </c>
      <c r="AJ2589">
        <v>87.7642683790029</v>
      </c>
      <c r="AK2589">
        <v>195.18080703872499</v>
      </c>
      <c r="AL2589">
        <v>78.5434587412729</v>
      </c>
      <c r="AM2589">
        <v>87.877643256450199</v>
      </c>
      <c r="AN2589">
        <v>0.99999996934797097</v>
      </c>
    </row>
    <row r="2590" spans="1:40" x14ac:dyDescent="0.25">
      <c r="A2590" t="str">
        <f>"20190312164523498"</f>
        <v>20190312164523498</v>
      </c>
      <c r="B2590" t="str">
        <f>"1552380323494482"</f>
        <v>1552380323494482</v>
      </c>
      <c r="C2590" t="s">
        <v>40</v>
      </c>
      <c r="D2590">
        <v>5.3015249999999998</v>
      </c>
      <c r="E2590">
        <v>0.50240180000000001</v>
      </c>
      <c r="F2590" t="s">
        <v>60</v>
      </c>
      <c r="G2590">
        <v>-168.41579999999999</v>
      </c>
      <c r="H2590">
        <v>16.972479999999901</v>
      </c>
      <c r="I2590">
        <v>207.51329999999999</v>
      </c>
      <c r="J2590">
        <v>-363.65100000000001</v>
      </c>
      <c r="K2590">
        <v>1.1086009999999999</v>
      </c>
      <c r="L2590">
        <v>213.7234</v>
      </c>
      <c r="M2590">
        <v>0.99987009999999998</v>
      </c>
      <c r="N2590">
        <v>0</v>
      </c>
      <c r="O2590">
        <v>6.7497669999999899E-3</v>
      </c>
      <c r="P2590">
        <v>0.98221959999999997</v>
      </c>
      <c r="Q2590">
        <v>0.1853513</v>
      </c>
      <c r="R2590">
        <v>-2.9828899999999998E-2</v>
      </c>
      <c r="S2590">
        <v>3.005096</v>
      </c>
      <c r="T2590">
        <v>0.2435899</v>
      </c>
      <c r="U2590">
        <v>-9.5306399999999999E-2</v>
      </c>
      <c r="V2590">
        <v>3.6494270000000002E-2</v>
      </c>
      <c r="W2590">
        <v>0.1997063</v>
      </c>
      <c r="X2590">
        <v>0.97917589999999999</v>
      </c>
      <c r="Y2590">
        <v>3.8297749999999998E-2</v>
      </c>
      <c r="Z2590">
        <v>2.0954250000000002E-3</v>
      </c>
      <c r="AA2590">
        <v>0.99926420000000005</v>
      </c>
      <c r="AB2590">
        <v>48</v>
      </c>
      <c r="AC2590">
        <v>195.23519999999999</v>
      </c>
      <c r="AD2590">
        <v>15.863878999999899</v>
      </c>
      <c r="AE2590">
        <v>-6.2101000000000104</v>
      </c>
      <c r="AF2590">
        <v>7.4785651369458703</v>
      </c>
      <c r="AG2590">
        <v>15.863878999999899</v>
      </c>
      <c r="AH2590">
        <v>193.90985193683599</v>
      </c>
      <c r="AI2590">
        <v>85.326473418095802</v>
      </c>
      <c r="AJ2590">
        <v>87.791355341597196</v>
      </c>
      <c r="AK2590">
        <v>194.70136689710199</v>
      </c>
      <c r="AL2590">
        <v>78.480214519344102</v>
      </c>
      <c r="AM2590">
        <v>87.865551758106903</v>
      </c>
      <c r="AN2590">
        <v>0.99999994057166397</v>
      </c>
    </row>
    <row r="2591" spans="1:40" x14ac:dyDescent="0.25">
      <c r="A2591" t="str">
        <f>"20190312164523520"</f>
        <v>20190312164523520</v>
      </c>
      <c r="B2591" t="str">
        <f>"1552380323514002"</f>
        <v>1552380323514002</v>
      </c>
      <c r="C2591" t="s">
        <v>40</v>
      </c>
      <c r="D2591">
        <v>5.4530599999999998</v>
      </c>
      <c r="E2591">
        <v>0.50272099999999997</v>
      </c>
      <c r="F2591" t="s">
        <v>60</v>
      </c>
      <c r="G2591">
        <v>-168.41579999999999</v>
      </c>
      <c r="H2591">
        <v>17.10624</v>
      </c>
      <c r="I2591">
        <v>207.47370000000001</v>
      </c>
      <c r="J2591">
        <v>-363.17849999999999</v>
      </c>
      <c r="K2591">
        <v>1.1086199999999999</v>
      </c>
      <c r="L2591">
        <v>213.72659999999999</v>
      </c>
      <c r="M2591">
        <v>0.99986989999999998</v>
      </c>
      <c r="N2591">
        <v>0</v>
      </c>
      <c r="O2591">
        <v>6.7291410000000001E-3</v>
      </c>
      <c r="P2591">
        <v>0.9821318</v>
      </c>
      <c r="Q2591">
        <v>0.1857461</v>
      </c>
      <c r="R2591">
        <v>-3.0267189999999999E-2</v>
      </c>
      <c r="S2591">
        <v>3.0049440000000001</v>
      </c>
      <c r="T2591">
        <v>0.24622669999999999</v>
      </c>
      <c r="U2591">
        <v>-9.6191410000000005E-2</v>
      </c>
      <c r="V2591">
        <v>3.6907889999999999E-2</v>
      </c>
      <c r="W2591">
        <v>0.2001184</v>
      </c>
      <c r="X2591">
        <v>0.97907630000000001</v>
      </c>
      <c r="Y2591">
        <v>3.8568680000000001E-2</v>
      </c>
      <c r="Z2591">
        <v>2.1275209999999998E-3</v>
      </c>
      <c r="AA2591">
        <v>0.99925370000000002</v>
      </c>
      <c r="AB2591">
        <v>48</v>
      </c>
      <c r="AC2591">
        <v>194.7627</v>
      </c>
      <c r="AD2591">
        <v>15.99762</v>
      </c>
      <c r="AE2591">
        <v>-6.2528999999999799</v>
      </c>
      <c r="AF2591">
        <v>7.5128492584945299</v>
      </c>
      <c r="AG2591">
        <v>15.99762</v>
      </c>
      <c r="AH2591">
        <v>193.41263155231201</v>
      </c>
      <c r="AI2591">
        <v>85.2752394215252</v>
      </c>
      <c r="AJ2591">
        <v>87.775542098664303</v>
      </c>
      <c r="AK2591">
        <v>194.21846666482401</v>
      </c>
      <c r="AL2591">
        <v>78.456116984504305</v>
      </c>
      <c r="AM2591">
        <v>87.841163647873103</v>
      </c>
      <c r="AN2591">
        <v>0.99999998379224997</v>
      </c>
    </row>
    <row r="2592" spans="1:40" x14ac:dyDescent="0.25">
      <c r="A2592" t="str">
        <f>"20190312164523543"</f>
        <v>20190312164523543</v>
      </c>
      <c r="B2592" t="str">
        <f>"1552380323534501"</f>
        <v>1552380323534501</v>
      </c>
      <c r="C2592" t="s">
        <v>40</v>
      </c>
      <c r="D2592">
        <v>5.0285869999999999</v>
      </c>
      <c r="E2592">
        <v>0.51856650000000004</v>
      </c>
      <c r="F2592" t="s">
        <v>60</v>
      </c>
      <c r="G2592">
        <v>-168.41589999999999</v>
      </c>
      <c r="H2592">
        <v>17.055679999999999</v>
      </c>
      <c r="I2592">
        <v>207.25069999999999</v>
      </c>
      <c r="J2592">
        <v>-362.70479999999998</v>
      </c>
      <c r="K2592">
        <v>1.108635</v>
      </c>
      <c r="L2592">
        <v>213.72980000000001</v>
      </c>
      <c r="M2592">
        <v>0.99986980000000003</v>
      </c>
      <c r="N2592">
        <v>0</v>
      </c>
      <c r="O2592">
        <v>6.7092810000000001E-3</v>
      </c>
      <c r="P2592">
        <v>0.98204669999999905</v>
      </c>
      <c r="Q2592">
        <v>0.18610779999999999</v>
      </c>
      <c r="R2592">
        <v>-3.0798840000000001E-2</v>
      </c>
      <c r="S2592">
        <v>3.0049440000000001</v>
      </c>
      <c r="T2592">
        <v>0.2460437</v>
      </c>
      <c r="U2592">
        <v>-9.9914550000000005E-2</v>
      </c>
      <c r="V2592">
        <v>3.741688E-2</v>
      </c>
      <c r="W2592">
        <v>0.20049449999999999</v>
      </c>
      <c r="X2592">
        <v>0.97898010000000002</v>
      </c>
      <c r="Y2592">
        <v>3.9781820000000002E-2</v>
      </c>
      <c r="Z2592">
        <v>2.1738489999999998E-3</v>
      </c>
      <c r="AA2592">
        <v>0.99920600000000004</v>
      </c>
      <c r="AB2592">
        <v>48</v>
      </c>
      <c r="AC2592">
        <v>194.28890000000001</v>
      </c>
      <c r="AD2592">
        <v>15.947044999999999</v>
      </c>
      <c r="AE2592">
        <v>-6.4791000000000096</v>
      </c>
      <c r="AF2592">
        <v>7.7306103407886697</v>
      </c>
      <c r="AG2592">
        <v>15.947044999999999</v>
      </c>
      <c r="AH2592">
        <v>192.94264687489701</v>
      </c>
      <c r="AI2592">
        <v>85.278914574892596</v>
      </c>
      <c r="AJ2592">
        <v>87.705564010317403</v>
      </c>
      <c r="AK2592">
        <v>193.75483365212901</v>
      </c>
      <c r="AL2592">
        <v>78.434123078751597</v>
      </c>
      <c r="AM2592">
        <v>87.811205430395702</v>
      </c>
      <c r="AN2592">
        <v>1.00000005181759</v>
      </c>
    </row>
    <row r="2593" spans="1:40" x14ac:dyDescent="0.25">
      <c r="A2593" t="str">
        <f>"20190312164523564"</f>
        <v>20190312164523564</v>
      </c>
      <c r="B2593" t="str">
        <f>"1552380323554018"</f>
        <v>1552380323554018</v>
      </c>
      <c r="C2593" t="s">
        <v>40</v>
      </c>
      <c r="D2593">
        <v>5.040864</v>
      </c>
      <c r="E2593">
        <v>0.51920900000000003</v>
      </c>
      <c r="F2593" t="s">
        <v>60</v>
      </c>
      <c r="G2593">
        <v>-168.41849999999999</v>
      </c>
      <c r="H2593">
        <v>16.709299999999999</v>
      </c>
      <c r="I2593">
        <v>198.98580000000001</v>
      </c>
      <c r="J2593">
        <v>-362.23590000000002</v>
      </c>
      <c r="K2593">
        <v>1.108646</v>
      </c>
      <c r="L2593">
        <v>213.7329</v>
      </c>
      <c r="M2593">
        <v>0.99986980000000003</v>
      </c>
      <c r="N2593">
        <v>0</v>
      </c>
      <c r="O2593">
        <v>6.6904310000000002E-3</v>
      </c>
      <c r="P2593">
        <v>0.98181379999999996</v>
      </c>
      <c r="Q2593">
        <v>0.18720129999999999</v>
      </c>
      <c r="R2593">
        <v>-3.1585809999999999E-2</v>
      </c>
      <c r="S2593">
        <v>3.0019840000000002</v>
      </c>
      <c r="T2593">
        <v>0.24105170000000001</v>
      </c>
      <c r="U2593">
        <v>-0.22781370000000001</v>
      </c>
      <c r="V2593">
        <v>3.8181670000000001E-2</v>
      </c>
      <c r="W2593">
        <v>0.20159779999999999</v>
      </c>
      <c r="X2593">
        <v>0.97872389999999998</v>
      </c>
      <c r="Y2593">
        <v>8.2056379999999998E-2</v>
      </c>
      <c r="Z2593">
        <v>3.8201519999999998E-3</v>
      </c>
      <c r="AA2593">
        <v>0.99662039999999996</v>
      </c>
      <c r="AB2593">
        <v>48</v>
      </c>
      <c r="AC2593">
        <v>193.81739999999999</v>
      </c>
      <c r="AD2593">
        <v>15.600654</v>
      </c>
      <c r="AE2593">
        <v>-14.7470999999999</v>
      </c>
      <c r="AF2593">
        <v>15.940946597248701</v>
      </c>
      <c r="AG2593">
        <v>15.600654</v>
      </c>
      <c r="AH2593">
        <v>192.47454405675899</v>
      </c>
      <c r="AI2593">
        <v>85.3818734391173</v>
      </c>
      <c r="AJ2593">
        <v>85.265507974145805</v>
      </c>
      <c r="AK2593">
        <v>193.76259776722</v>
      </c>
      <c r="AL2593">
        <v>78.369590316745004</v>
      </c>
      <c r="AM2593">
        <v>87.765927903217403</v>
      </c>
      <c r="AN2593">
        <v>0.99999999266001904</v>
      </c>
    </row>
    <row r="2594" spans="1:40" x14ac:dyDescent="0.25">
      <c r="A2594" t="str">
        <f>"20190312164523586"</f>
        <v>20190312164523586</v>
      </c>
      <c r="B2594" t="str">
        <f>"1552380323584059"</f>
        <v>1552380323584059</v>
      </c>
      <c r="C2594" t="s">
        <v>40</v>
      </c>
      <c r="D2594">
        <v>5.0222189999999998</v>
      </c>
      <c r="E2594">
        <v>0.51954460000000002</v>
      </c>
      <c r="F2594" t="s">
        <v>60</v>
      </c>
      <c r="G2594">
        <v>-168.41909999999999</v>
      </c>
      <c r="H2594">
        <v>17.92014</v>
      </c>
      <c r="I2594">
        <v>198.482</v>
      </c>
      <c r="J2594">
        <v>-361.77690000000001</v>
      </c>
      <c r="K2594">
        <v>1.1086510000000001</v>
      </c>
      <c r="L2594">
        <v>213.73589999999999</v>
      </c>
      <c r="M2594">
        <v>0.99986980000000003</v>
      </c>
      <c r="N2594">
        <v>0</v>
      </c>
      <c r="O2594">
        <v>6.6724729999999999E-3</v>
      </c>
      <c r="P2594">
        <v>0.98163080000000003</v>
      </c>
      <c r="Q2594">
        <v>0.18809870000000001</v>
      </c>
      <c r="R2594">
        <v>-3.1940139999999999E-2</v>
      </c>
      <c r="S2594">
        <v>2.9983520000000001</v>
      </c>
      <c r="T2594">
        <v>0.2600749</v>
      </c>
      <c r="U2594">
        <v>-0.23593140000000001</v>
      </c>
      <c r="V2594">
        <v>3.8515670000000002E-2</v>
      </c>
      <c r="W2594">
        <v>0.20250290000000001</v>
      </c>
      <c r="X2594">
        <v>0.97852399999999995</v>
      </c>
      <c r="Y2594">
        <v>8.4754209999999996E-2</v>
      </c>
      <c r="Z2594">
        <v>4.2401319999999998E-3</v>
      </c>
      <c r="AA2594">
        <v>0.99639279999999997</v>
      </c>
      <c r="AB2594">
        <v>48</v>
      </c>
      <c r="AC2594">
        <v>193.3578</v>
      </c>
      <c r="AD2594">
        <v>16.811489000000002</v>
      </c>
      <c r="AE2594">
        <v>-15.2538999999999</v>
      </c>
      <c r="AF2594">
        <v>16.420512386949401</v>
      </c>
      <c r="AG2594">
        <v>16.811489000000002</v>
      </c>
      <c r="AH2594">
        <v>191.810691453723</v>
      </c>
      <c r="AI2594">
        <v>85.009201300610698</v>
      </c>
      <c r="AJ2594">
        <v>85.106958035441394</v>
      </c>
      <c r="AK2594">
        <v>193.244924242275</v>
      </c>
      <c r="AL2594">
        <v>78.316640486036604</v>
      </c>
      <c r="AM2594">
        <v>87.745945172324696</v>
      </c>
      <c r="AN2594">
        <v>1.0000000499599699</v>
      </c>
    </row>
    <row r="2595" spans="1:40" x14ac:dyDescent="0.25">
      <c r="A2595" t="str">
        <f>"20190312164523610"</f>
        <v>20190312164523610</v>
      </c>
      <c r="B2595" t="str">
        <f>"1552380323604555"</f>
        <v>1552380323604555</v>
      </c>
      <c r="C2595" t="s">
        <v>40</v>
      </c>
      <c r="D2595">
        <v>5.2769009999999996</v>
      </c>
      <c r="E2595">
        <v>0.51991220000000005</v>
      </c>
      <c r="F2595" t="s">
        <v>60</v>
      </c>
      <c r="G2595">
        <v>-168.41929999999999</v>
      </c>
      <c r="H2595">
        <v>18.306280000000001</v>
      </c>
      <c r="I2595">
        <v>198.25360000000001</v>
      </c>
      <c r="J2595">
        <v>-361.28250000000003</v>
      </c>
      <c r="K2595">
        <v>1.1086609999999999</v>
      </c>
      <c r="L2595">
        <v>213.73920000000001</v>
      </c>
      <c r="M2595">
        <v>0.99986960000000003</v>
      </c>
      <c r="N2595">
        <v>0</v>
      </c>
      <c r="O2595">
        <v>6.6536199999999998E-3</v>
      </c>
      <c r="P2595">
        <v>0.98148199999999997</v>
      </c>
      <c r="Q2595">
        <v>0.188857</v>
      </c>
      <c r="R2595">
        <v>-3.202911E-2</v>
      </c>
      <c r="S2595">
        <v>2.997223</v>
      </c>
      <c r="T2595">
        <v>0.26657969999999998</v>
      </c>
      <c r="U2595">
        <v>-0.23999019999999999</v>
      </c>
      <c r="V2595">
        <v>3.8583930000000002E-2</v>
      </c>
      <c r="W2595">
        <v>0.20326859999999999</v>
      </c>
      <c r="X2595">
        <v>0.97836250000000002</v>
      </c>
      <c r="Y2595">
        <v>8.6082969999999995E-2</v>
      </c>
      <c r="Z2595">
        <v>4.4043800000000003E-3</v>
      </c>
      <c r="AA2595">
        <v>0.9962782</v>
      </c>
      <c r="AB2595">
        <v>47</v>
      </c>
      <c r="AC2595">
        <v>192.86320000000001</v>
      </c>
      <c r="AD2595">
        <v>17.1976189999999</v>
      </c>
      <c r="AE2595">
        <v>-15.4856</v>
      </c>
      <c r="AF2595">
        <v>16.6371946651157</v>
      </c>
      <c r="AG2595">
        <v>17.1976189999999</v>
      </c>
      <c r="AH2595">
        <v>191.24497888203001</v>
      </c>
      <c r="AI2595">
        <v>84.880754955514305</v>
      </c>
      <c r="AJ2595">
        <v>85.028119433074295</v>
      </c>
      <c r="AK2595">
        <v>192.73607937587099</v>
      </c>
      <c r="AL2595">
        <v>78.271836864182703</v>
      </c>
      <c r="AM2595">
        <v>87.741582166210094</v>
      </c>
      <c r="AN2595">
        <v>1.00000001240322</v>
      </c>
    </row>
    <row r="2596" spans="1:40" x14ac:dyDescent="0.25">
      <c r="A2596" t="str">
        <f>"20190312164523633"</f>
        <v>20190312164523633</v>
      </c>
      <c r="B2596" t="str">
        <f>"1552380323624075"</f>
        <v>1552380323624075</v>
      </c>
      <c r="C2596" t="s">
        <v>40</v>
      </c>
      <c r="D2596">
        <v>5.3449879999999999</v>
      </c>
      <c r="E2596">
        <v>0.52015649999999902</v>
      </c>
      <c r="F2596" t="s">
        <v>60</v>
      </c>
      <c r="G2596">
        <v>-168.4194</v>
      </c>
      <c r="H2596">
        <v>18.442879999999999</v>
      </c>
      <c r="I2596">
        <v>198.08150000000001</v>
      </c>
      <c r="J2596">
        <v>-360.77910000000003</v>
      </c>
      <c r="K2596">
        <v>1.1086659999999999</v>
      </c>
      <c r="L2596">
        <v>213.74250000000001</v>
      </c>
      <c r="M2596">
        <v>0.99986960000000003</v>
      </c>
      <c r="N2596">
        <v>0</v>
      </c>
      <c r="O2596">
        <v>6.6342889999999998E-3</v>
      </c>
      <c r="P2596">
        <v>0.98140470000000002</v>
      </c>
      <c r="Q2596">
        <v>0.1892839</v>
      </c>
      <c r="R2596">
        <v>-3.1887440000000003E-2</v>
      </c>
      <c r="S2596">
        <v>2.9968569999999999</v>
      </c>
      <c r="T2596">
        <v>0.26935300000000001</v>
      </c>
      <c r="U2596">
        <v>-0.2433014</v>
      </c>
      <c r="V2596">
        <v>3.8421450000000003E-2</v>
      </c>
      <c r="W2596">
        <v>0.2037023</v>
      </c>
      <c r="X2596">
        <v>0.97827869999999995</v>
      </c>
      <c r="Y2596">
        <v>8.7155129999999997E-2</v>
      </c>
      <c r="Z2596">
        <v>4.4966379999999999E-3</v>
      </c>
      <c r="AA2596">
        <v>0.99618459999999998</v>
      </c>
      <c r="AB2596">
        <v>47</v>
      </c>
      <c r="AC2596">
        <v>192.3597</v>
      </c>
      <c r="AD2596">
        <v>17.334213999999999</v>
      </c>
      <c r="AE2596">
        <v>-15.661</v>
      </c>
      <c r="AF2596">
        <v>16.801426694580702</v>
      </c>
      <c r="AG2596">
        <v>17.334213999999999</v>
      </c>
      <c r="AH2596">
        <v>190.71307652671001</v>
      </c>
      <c r="AI2596">
        <v>84.826494084079101</v>
      </c>
      <c r="AJ2596">
        <v>84.965358777981393</v>
      </c>
      <c r="AK2596">
        <v>192.23485758897601</v>
      </c>
      <c r="AL2596">
        <v>78.246456828217703</v>
      </c>
      <c r="AM2596">
        <v>87.750890311877995</v>
      </c>
      <c r="AN2596">
        <v>1.00000002485954</v>
      </c>
    </row>
    <row r="2597" spans="1:40" x14ac:dyDescent="0.25">
      <c r="A2597" t="str">
        <f>"20190312164523654"</f>
        <v>20190312164523654</v>
      </c>
      <c r="B2597" t="str">
        <f>"1552380323644571"</f>
        <v>1552380323644571</v>
      </c>
      <c r="C2597" t="s">
        <v>40</v>
      </c>
      <c r="D2597">
        <v>5.2692759999999996</v>
      </c>
      <c r="E2597">
        <v>0.51792039999999995</v>
      </c>
      <c r="F2597" t="s">
        <v>60</v>
      </c>
      <c r="G2597">
        <v>-168.4194</v>
      </c>
      <c r="H2597">
        <v>18.465869999999999</v>
      </c>
      <c r="I2597">
        <v>198.00749999999999</v>
      </c>
      <c r="J2597">
        <v>-360.33850000000001</v>
      </c>
      <c r="K2597">
        <v>1.1086720000000001</v>
      </c>
      <c r="L2597">
        <v>213.74549999999999</v>
      </c>
      <c r="M2597">
        <v>0.99986960000000003</v>
      </c>
      <c r="N2597">
        <v>0</v>
      </c>
      <c r="O2597">
        <v>6.6176480000000003E-3</v>
      </c>
      <c r="P2597">
        <v>0.98134949999999999</v>
      </c>
      <c r="Q2597">
        <v>0.18951019999999999</v>
      </c>
      <c r="R2597">
        <v>-3.2236979999999998E-2</v>
      </c>
      <c r="S2597">
        <v>2.9967350000000001</v>
      </c>
      <c r="T2597">
        <v>0.27040520000000001</v>
      </c>
      <c r="U2597">
        <v>-0.2451324</v>
      </c>
      <c r="V2597">
        <v>3.8753580000000003E-2</v>
      </c>
      <c r="W2597">
        <v>0.20393339999999999</v>
      </c>
      <c r="X2597">
        <v>0.97821740000000001</v>
      </c>
      <c r="Y2597">
        <v>8.7741250000000007E-2</v>
      </c>
      <c r="Z2597">
        <v>4.5390539999999998E-3</v>
      </c>
      <c r="AA2597">
        <v>0.99613300000000005</v>
      </c>
      <c r="AB2597">
        <v>47</v>
      </c>
      <c r="AC2597">
        <v>191.91909999999999</v>
      </c>
      <c r="AD2597">
        <v>17.357198</v>
      </c>
      <c r="AE2597">
        <v>-15.738</v>
      </c>
      <c r="AF2597">
        <v>16.870774663862299</v>
      </c>
      <c r="AG2597">
        <v>17.357198</v>
      </c>
      <c r="AH2597">
        <v>190.26487452869</v>
      </c>
      <c r="AI2597">
        <v>84.807794175172901</v>
      </c>
      <c r="AJ2597">
        <v>84.932838987634796</v>
      </c>
      <c r="AK2597">
        <v>191.798378094258</v>
      </c>
      <c r="AL2597">
        <v>78.232931293500101</v>
      </c>
      <c r="AM2597">
        <v>87.731326346994706</v>
      </c>
      <c r="AN2597">
        <v>0.99999997663056805</v>
      </c>
    </row>
    <row r="2598" spans="1:40" x14ac:dyDescent="0.25">
      <c r="A2598" t="str">
        <f>"20190312164523676"</f>
        <v>20190312164523676</v>
      </c>
      <c r="B2598" t="str">
        <f>"1552380323663865"</f>
        <v>1552380323663865</v>
      </c>
      <c r="C2598" t="s">
        <v>40</v>
      </c>
      <c r="D2598">
        <v>5.2044730000000001</v>
      </c>
      <c r="E2598">
        <v>0.51952019999999999</v>
      </c>
      <c r="F2598" t="s">
        <v>60</v>
      </c>
      <c r="G2598">
        <v>-168.4179</v>
      </c>
      <c r="H2598">
        <v>15.28257</v>
      </c>
      <c r="I2598">
        <v>199.30719999999999</v>
      </c>
      <c r="J2598">
        <v>-359.8818</v>
      </c>
      <c r="K2598">
        <v>1.1086830000000001</v>
      </c>
      <c r="L2598">
        <v>213.74850000000001</v>
      </c>
      <c r="M2598">
        <v>0.99986980000000003</v>
      </c>
      <c r="N2598">
        <v>0</v>
      </c>
      <c r="O2598">
        <v>6.6002939999999996E-3</v>
      </c>
      <c r="P2598">
        <v>0.98123970000000005</v>
      </c>
      <c r="Q2598">
        <v>0.19000449999999999</v>
      </c>
      <c r="R2598">
        <v>-3.2668019999999999E-2</v>
      </c>
      <c r="S2598">
        <v>3.0067140000000001</v>
      </c>
      <c r="T2598">
        <v>0.22205510000000001</v>
      </c>
      <c r="U2598">
        <v>-0.22619629999999999</v>
      </c>
      <c r="V2598">
        <v>3.9166359999999997E-2</v>
      </c>
      <c r="W2598">
        <v>0.2044301</v>
      </c>
      <c r="X2598">
        <v>0.97809729999999995</v>
      </c>
      <c r="Y2598">
        <v>8.1360970000000005E-2</v>
      </c>
      <c r="Z2598">
        <v>3.4822640000000001E-3</v>
      </c>
      <c r="AA2598">
        <v>0.99667859999999997</v>
      </c>
      <c r="AB2598">
        <v>47</v>
      </c>
      <c r="AC2598">
        <v>191.4639</v>
      </c>
      <c r="AD2598">
        <v>14.173886999999899</v>
      </c>
      <c r="AE2598">
        <v>-14.4413</v>
      </c>
      <c r="AF2598">
        <v>15.619723918584301</v>
      </c>
      <c r="AG2598">
        <v>14.173886999999899</v>
      </c>
      <c r="AH2598">
        <v>190.32725186561399</v>
      </c>
      <c r="AI2598">
        <v>85.755198130755602</v>
      </c>
      <c r="AJ2598">
        <v>85.308379927849799</v>
      </c>
      <c r="AK2598">
        <v>191.49239580385</v>
      </c>
      <c r="AL2598">
        <v>78.203860301003601</v>
      </c>
      <c r="AM2598">
        <v>87.706906210611393</v>
      </c>
      <c r="AN2598">
        <v>0.999999998904474</v>
      </c>
    </row>
    <row r="2599" spans="1:40" x14ac:dyDescent="0.25">
      <c r="A2599" t="str">
        <f>"20190312164523698"</f>
        <v>20190312164523698</v>
      </c>
      <c r="B2599" t="str">
        <f>"1552380323694122"</f>
        <v>1552380323694122</v>
      </c>
      <c r="C2599" t="s">
        <v>40</v>
      </c>
      <c r="D2599">
        <v>5.6106389999999999</v>
      </c>
      <c r="E2599">
        <v>0.52022270000000004</v>
      </c>
      <c r="F2599" t="s">
        <v>60</v>
      </c>
      <c r="G2599">
        <v>-168.4186</v>
      </c>
      <c r="H2599">
        <v>16.37079</v>
      </c>
      <c r="I2599">
        <v>198.4014</v>
      </c>
      <c r="J2599">
        <v>-359.41379999999998</v>
      </c>
      <c r="K2599">
        <v>1.1086910000000001</v>
      </c>
      <c r="L2599">
        <v>213.75149999999999</v>
      </c>
      <c r="M2599">
        <v>0.99986980000000003</v>
      </c>
      <c r="N2599">
        <v>0</v>
      </c>
      <c r="O2599">
        <v>6.5831809999999996E-3</v>
      </c>
      <c r="P2599">
        <v>0.98126820000000003</v>
      </c>
      <c r="Q2599">
        <v>0.18981000000000001</v>
      </c>
      <c r="R2599">
        <v>-3.2938410000000001E-2</v>
      </c>
      <c r="S2599">
        <v>3.0029599999999999</v>
      </c>
      <c r="T2599">
        <v>0.23937549999999999</v>
      </c>
      <c r="U2599">
        <v>-0.24070739999999999</v>
      </c>
      <c r="V2599">
        <v>3.9419620000000002E-2</v>
      </c>
      <c r="W2599">
        <v>0.20423910000000001</v>
      </c>
      <c r="X2599">
        <v>0.97812699999999997</v>
      </c>
      <c r="Y2599">
        <v>8.6169179999999998E-2</v>
      </c>
      <c r="Z2599">
        <v>3.9466950000000001E-3</v>
      </c>
      <c r="AA2599">
        <v>0.99627270000000001</v>
      </c>
      <c r="AB2599">
        <v>47</v>
      </c>
      <c r="AC2599">
        <v>190.99520000000001</v>
      </c>
      <c r="AD2599">
        <v>15.262098999999999</v>
      </c>
      <c r="AE2599">
        <v>-15.3500999999999</v>
      </c>
      <c r="AF2599">
        <v>16.502561640261</v>
      </c>
      <c r="AG2599">
        <v>15.262098999999999</v>
      </c>
      <c r="AH2599">
        <v>189.68655808031099</v>
      </c>
      <c r="AI2599">
        <v>85.4171522787708</v>
      </c>
      <c r="AJ2599">
        <v>85.027837493077399</v>
      </c>
      <c r="AK2599">
        <v>191.013760035583</v>
      </c>
      <c r="AL2599">
        <v>78.215039348812198</v>
      </c>
      <c r="AM2599">
        <v>87.692164446292495</v>
      </c>
      <c r="AN2599">
        <v>0.99999997226937598</v>
      </c>
    </row>
    <row r="2600" spans="1:40" x14ac:dyDescent="0.25">
      <c r="A2600" t="str">
        <f>"20190312164523722"</f>
        <v>20190312164523722</v>
      </c>
      <c r="B2600" t="str">
        <f>"1552380323714618"</f>
        <v>1552380323714618</v>
      </c>
      <c r="C2600" t="s">
        <v>40</v>
      </c>
      <c r="D2600">
        <v>5.1928970000000003</v>
      </c>
      <c r="E2600">
        <v>0.52050050000000003</v>
      </c>
      <c r="F2600" t="s">
        <v>60</v>
      </c>
      <c r="G2600">
        <v>-168.41890000000001</v>
      </c>
      <c r="H2600">
        <v>16.931260000000002</v>
      </c>
      <c r="I2600">
        <v>197.9991</v>
      </c>
      <c r="J2600">
        <v>-358.91230000000002</v>
      </c>
      <c r="K2600">
        <v>1.108692</v>
      </c>
      <c r="L2600">
        <v>213.75479999999999</v>
      </c>
      <c r="M2600">
        <v>0.99987000000000004</v>
      </c>
      <c r="N2600">
        <v>0</v>
      </c>
      <c r="O2600">
        <v>6.5645209999999898E-3</v>
      </c>
      <c r="P2600">
        <v>0.98131170000000001</v>
      </c>
      <c r="Q2600">
        <v>0.1895733</v>
      </c>
      <c r="R2600">
        <v>-3.3008549999999998E-2</v>
      </c>
      <c r="S2600">
        <v>3.0008539999999999</v>
      </c>
      <c r="T2600">
        <v>0.24859999999999999</v>
      </c>
      <c r="U2600">
        <v>-0.24749760000000001</v>
      </c>
      <c r="V2600">
        <v>3.9471289999999999E-2</v>
      </c>
      <c r="W2600">
        <v>0.2040062</v>
      </c>
      <c r="X2600">
        <v>0.97817359999999998</v>
      </c>
      <c r="Y2600">
        <v>8.8414649999999997E-2</v>
      </c>
      <c r="Z2600">
        <v>4.1919160000000004E-3</v>
      </c>
      <c r="AA2600">
        <v>0.99607489999999999</v>
      </c>
      <c r="AB2600">
        <v>47</v>
      </c>
      <c r="AC2600">
        <v>190.49340000000001</v>
      </c>
      <c r="AD2600">
        <v>15.822568</v>
      </c>
      <c r="AE2600">
        <v>-15.7556999999999</v>
      </c>
      <c r="AF2600">
        <v>16.8902577287373</v>
      </c>
      <c r="AG2600">
        <v>15.822568</v>
      </c>
      <c r="AH2600">
        <v>189.09016167179101</v>
      </c>
      <c r="AI2600">
        <v>85.235663903285499</v>
      </c>
      <c r="AJ2600">
        <v>84.895668075345</v>
      </c>
      <c r="AK2600">
        <v>190.50124331699701</v>
      </c>
      <c r="AL2600">
        <v>78.228671489170793</v>
      </c>
      <c r="AM2600">
        <v>87.689252654670696</v>
      </c>
      <c r="AN2600">
        <v>1.00000005205483</v>
      </c>
    </row>
    <row r="2601" spans="1:40" x14ac:dyDescent="0.25">
      <c r="A2601" t="str">
        <f>"20190312164523743"</f>
        <v>20190312164523743</v>
      </c>
      <c r="B2601" t="str">
        <f>"1552380323734141"</f>
        <v>1552380323734141</v>
      </c>
      <c r="C2601" t="s">
        <v>40</v>
      </c>
      <c r="D2601">
        <v>5.2453079999999996</v>
      </c>
      <c r="E2601">
        <v>0.52062079999999999</v>
      </c>
      <c r="F2601" t="s">
        <v>60</v>
      </c>
      <c r="G2601">
        <v>-168.41900000000001</v>
      </c>
      <c r="H2601">
        <v>17.024609999999999</v>
      </c>
      <c r="I2601">
        <v>197.87729999999999</v>
      </c>
      <c r="J2601">
        <v>-358.44110000000001</v>
      </c>
      <c r="K2601">
        <v>1.1087020000000001</v>
      </c>
      <c r="L2601">
        <v>213.75790000000001</v>
      </c>
      <c r="M2601">
        <v>0.99986989999999998</v>
      </c>
      <c r="N2601">
        <v>0</v>
      </c>
      <c r="O2601">
        <v>6.5473529999999997E-3</v>
      </c>
      <c r="P2601">
        <v>0.98127370000000003</v>
      </c>
      <c r="Q2601">
        <v>0.189724</v>
      </c>
      <c r="R2601">
        <v>-3.3270229999999998E-2</v>
      </c>
      <c r="S2601">
        <v>3.0003359999999999</v>
      </c>
      <c r="T2601">
        <v>0.25068179999999901</v>
      </c>
      <c r="U2601">
        <v>-0.25007629999999997</v>
      </c>
      <c r="V2601">
        <v>3.9715649999999998E-2</v>
      </c>
      <c r="W2601">
        <v>0.20415839999999999</v>
      </c>
      <c r="X2601">
        <v>0.97813190000000005</v>
      </c>
      <c r="Y2601">
        <v>8.9253520000000003E-2</v>
      </c>
      <c r="Z2601">
        <v>4.2609689999999999E-3</v>
      </c>
      <c r="AA2601">
        <v>0.99599979999999999</v>
      </c>
      <c r="AB2601">
        <v>47</v>
      </c>
      <c r="AC2601">
        <v>190.02209999999999</v>
      </c>
      <c r="AD2601">
        <v>15.9159079999999</v>
      </c>
      <c r="AE2601">
        <v>-15.880599999999999</v>
      </c>
      <c r="AF2601">
        <v>17.006059095416401</v>
      </c>
      <c r="AG2601">
        <v>15.9159079999999</v>
      </c>
      <c r="AH2601">
        <v>188.60010413456499</v>
      </c>
      <c r="AI2601">
        <v>85.195654926073402</v>
      </c>
      <c r="AJ2601">
        <v>84.847577273546605</v>
      </c>
      <c r="AK2601">
        <v>190.03294833525601</v>
      </c>
      <c r="AL2601">
        <v>78.219762965747506</v>
      </c>
      <c r="AM2601">
        <v>87.6748638516585</v>
      </c>
      <c r="AN2601">
        <v>0.99999999947154605</v>
      </c>
    </row>
    <row r="2602" spans="1:40" x14ac:dyDescent="0.25">
      <c r="A2602" t="str">
        <f>"20190312164523764"</f>
        <v>20190312164523764</v>
      </c>
      <c r="B2602" t="str">
        <f>"1552380323754633"</f>
        <v>1552380323754633</v>
      </c>
      <c r="C2602" t="s">
        <v>40</v>
      </c>
      <c r="D2602">
        <v>5.2370910000000004</v>
      </c>
      <c r="E2602">
        <v>0.5207714</v>
      </c>
      <c r="F2602" t="s">
        <v>60</v>
      </c>
      <c r="G2602">
        <v>-168.41909999999999</v>
      </c>
      <c r="H2602">
        <v>17.19406</v>
      </c>
      <c r="I2602">
        <v>197.77449999999999</v>
      </c>
      <c r="J2602">
        <v>-358.01069999999999</v>
      </c>
      <c r="K2602">
        <v>1.1087049999999901</v>
      </c>
      <c r="L2602">
        <v>213.76070000000001</v>
      </c>
      <c r="M2602">
        <v>0.99987000000000004</v>
      </c>
      <c r="N2602">
        <v>0</v>
      </c>
      <c r="O2602">
        <v>6.5315590000000001E-3</v>
      </c>
      <c r="P2602">
        <v>0.98117520000000003</v>
      </c>
      <c r="Q2602">
        <v>0.19016050000000001</v>
      </c>
      <c r="R2602">
        <v>-3.36756E-2</v>
      </c>
      <c r="S2602">
        <v>2.9995729999999998</v>
      </c>
      <c r="T2602">
        <v>0.25391419999999998</v>
      </c>
      <c r="U2602">
        <v>-0.25230409999999998</v>
      </c>
      <c r="V2602">
        <v>4.010449E-2</v>
      </c>
      <c r="W2602">
        <v>0.20459479999999999</v>
      </c>
      <c r="X2602">
        <v>0.97802480000000003</v>
      </c>
      <c r="Y2602">
        <v>8.9982049999999994E-2</v>
      </c>
      <c r="Z2602">
        <v>4.3460699999999996E-3</v>
      </c>
      <c r="AA2602">
        <v>0.99593390000000004</v>
      </c>
      <c r="AB2602">
        <v>47</v>
      </c>
      <c r="AC2602">
        <v>189.5916</v>
      </c>
      <c r="AD2602">
        <v>16.085355</v>
      </c>
      <c r="AE2602">
        <v>-15.9862</v>
      </c>
      <c r="AF2602">
        <v>17.102087263707599</v>
      </c>
      <c r="AG2602">
        <v>16.085355</v>
      </c>
      <c r="AH2602">
        <v>188.13843361308301</v>
      </c>
      <c r="AI2602">
        <v>85.1332103869333</v>
      </c>
      <c r="AJ2602">
        <v>84.805995978609801</v>
      </c>
      <c r="AK2602">
        <v>189.597706306368</v>
      </c>
      <c r="AL2602">
        <v>78.194219411298704</v>
      </c>
      <c r="AM2602">
        <v>87.651867908911498</v>
      </c>
      <c r="AN2602">
        <v>0.99999995586011903</v>
      </c>
    </row>
    <row r="2603" spans="1:40" x14ac:dyDescent="0.25">
      <c r="A2603" t="str">
        <f>"20190312164523788"</f>
        <v>20190312164523788</v>
      </c>
      <c r="B2603" t="str">
        <f>"1552380323784355"</f>
        <v>1552380323784355</v>
      </c>
      <c r="C2603" t="s">
        <v>40</v>
      </c>
      <c r="D2603">
        <v>5.2285329999999997</v>
      </c>
      <c r="E2603">
        <v>0.5210283</v>
      </c>
      <c r="F2603" t="s">
        <v>60</v>
      </c>
      <c r="G2603">
        <v>-168.41909999999999</v>
      </c>
      <c r="H2603">
        <v>17.217860000000002</v>
      </c>
      <c r="I2603">
        <v>197.67779999999999</v>
      </c>
      <c r="J2603">
        <v>-357.53379999999999</v>
      </c>
      <c r="K2603">
        <v>1.1087070000000001</v>
      </c>
      <c r="L2603">
        <v>213.7638</v>
      </c>
      <c r="M2603">
        <v>0.99987020000000004</v>
      </c>
      <c r="N2603">
        <v>0</v>
      </c>
      <c r="O2603">
        <v>6.5139200000000003E-3</v>
      </c>
      <c r="P2603">
        <v>0.98122319999999996</v>
      </c>
      <c r="Q2603">
        <v>0.18985930000000001</v>
      </c>
      <c r="R2603">
        <v>-3.3976729999999997E-2</v>
      </c>
      <c r="S2603">
        <v>2.9994510000000001</v>
      </c>
      <c r="T2603">
        <v>0.25485679999999999</v>
      </c>
      <c r="U2603">
        <v>-0.25444029999999901</v>
      </c>
      <c r="V2603">
        <v>4.0388489999999999E-2</v>
      </c>
      <c r="W2603">
        <v>0.20429510000000001</v>
      </c>
      <c r="X2603">
        <v>0.97807580000000005</v>
      </c>
      <c r="Y2603">
        <v>9.0667189999999995E-2</v>
      </c>
      <c r="Z2603">
        <v>4.389703E-3</v>
      </c>
      <c r="AA2603">
        <v>0.99587159999999997</v>
      </c>
      <c r="AB2603">
        <v>47</v>
      </c>
      <c r="AC2603">
        <v>189.1147</v>
      </c>
      <c r="AD2603">
        <v>16.109152999999999</v>
      </c>
      <c r="AE2603">
        <v>-16.085999999999999</v>
      </c>
      <c r="AF2603">
        <v>17.193809023159101</v>
      </c>
      <c r="AG2603">
        <v>16.109152999999999</v>
      </c>
      <c r="AH2603">
        <v>187.65406301908101</v>
      </c>
      <c r="AI2603">
        <v>85.113843342251698</v>
      </c>
      <c r="AJ2603">
        <v>84.764889708277707</v>
      </c>
      <c r="AK2603">
        <v>189.12741537564401</v>
      </c>
      <c r="AL2603">
        <v>78.211761939116798</v>
      </c>
      <c r="AM2603">
        <v>87.635381584217598</v>
      </c>
      <c r="AN2603">
        <v>0.99999999427706499</v>
      </c>
    </row>
    <row r="2604" spans="1:40" x14ac:dyDescent="0.25">
      <c r="A2604" t="str">
        <f>"20190312164523811"</f>
        <v>20190312164523811</v>
      </c>
      <c r="B2604" t="str">
        <f>"1552380323803874"</f>
        <v>1552380323803874</v>
      </c>
      <c r="C2604" t="s">
        <v>40</v>
      </c>
      <c r="D2604">
        <v>5.2618470000000004</v>
      </c>
      <c r="E2604">
        <v>0.52112599999999998</v>
      </c>
      <c r="F2604" t="s">
        <v>60</v>
      </c>
      <c r="G2604">
        <v>-168.41909999999999</v>
      </c>
      <c r="H2604">
        <v>17.122620000000001</v>
      </c>
      <c r="I2604">
        <v>197.5437</v>
      </c>
      <c r="J2604">
        <v>-357.02679999999998</v>
      </c>
      <c r="K2604">
        <v>1.108711</v>
      </c>
      <c r="L2604">
        <v>213.7671</v>
      </c>
      <c r="M2604">
        <v>0.99987040000000005</v>
      </c>
      <c r="N2604">
        <v>0</v>
      </c>
      <c r="O2604">
        <v>6.49527E-3</v>
      </c>
      <c r="P2604">
        <v>0.98134460000000001</v>
      </c>
      <c r="Q2604">
        <v>0.1892692</v>
      </c>
      <c r="R2604">
        <v>-3.377206E-2</v>
      </c>
      <c r="S2604">
        <v>2.9993289999999999</v>
      </c>
      <c r="T2604">
        <v>0.2539787</v>
      </c>
      <c r="U2604">
        <v>-0.25724789999999997</v>
      </c>
      <c r="V2604">
        <v>4.016579E-2</v>
      </c>
      <c r="W2604">
        <v>0.203707</v>
      </c>
      <c r="X2604">
        <v>0.97820759999999995</v>
      </c>
      <c r="Y2604">
        <v>9.1576710000000006E-2</v>
      </c>
      <c r="Z2604">
        <v>4.4114319999999999E-3</v>
      </c>
      <c r="AA2604">
        <v>0.99578829999999996</v>
      </c>
      <c r="AB2604">
        <v>47</v>
      </c>
      <c r="AC2604">
        <v>188.60769999999999</v>
      </c>
      <c r="AD2604">
        <v>16.013908999999899</v>
      </c>
      <c r="AE2604">
        <v>-16.223399999999899</v>
      </c>
      <c r="AF2604">
        <v>17.3242748963794</v>
      </c>
      <c r="AG2604">
        <v>16.013908999999899</v>
      </c>
      <c r="AH2604">
        <v>187.15901126768799</v>
      </c>
      <c r="AI2604">
        <v>85.130222942270095</v>
      </c>
      <c r="AJ2604">
        <v>84.711516343145902</v>
      </c>
      <c r="AK2604">
        <v>188.64005746618199</v>
      </c>
      <c r="AL2604">
        <v>78.2461811241037</v>
      </c>
      <c r="AM2604">
        <v>87.648721776627696</v>
      </c>
      <c r="AN2604">
        <v>0.999999970616541</v>
      </c>
    </row>
    <row r="2605" spans="1:40" x14ac:dyDescent="0.25">
      <c r="A2605" t="str">
        <f>"20190312164523835"</f>
        <v>20190312164523835</v>
      </c>
      <c r="B2605" t="str">
        <f>"1552380323824370"</f>
        <v>1552380323824370</v>
      </c>
      <c r="C2605" t="s">
        <v>40</v>
      </c>
      <c r="D2605">
        <v>5.2244659999999996</v>
      </c>
      <c r="E2605">
        <v>0.52119700000000002</v>
      </c>
      <c r="F2605" t="s">
        <v>60</v>
      </c>
      <c r="G2605">
        <v>-168.41909999999999</v>
      </c>
      <c r="H2605">
        <v>16.95515</v>
      </c>
      <c r="I2605">
        <v>197.57839999999999</v>
      </c>
      <c r="J2605">
        <v>-356.53309999999999</v>
      </c>
      <c r="K2605">
        <v>1.108711</v>
      </c>
      <c r="L2605">
        <v>213.77029999999999</v>
      </c>
      <c r="M2605">
        <v>0.9998705</v>
      </c>
      <c r="N2605">
        <v>0</v>
      </c>
      <c r="O2605">
        <v>6.4773369999999997E-3</v>
      </c>
      <c r="P2605">
        <v>0.98139120000000002</v>
      </c>
      <c r="Q2605">
        <v>0.1890384</v>
      </c>
      <c r="R2605">
        <v>-3.3707609999999999E-2</v>
      </c>
      <c r="S2605">
        <v>2.9995729999999998</v>
      </c>
      <c r="T2605">
        <v>0.25201859999999998</v>
      </c>
      <c r="U2605">
        <v>-0.25746149999999901</v>
      </c>
      <c r="V2605">
        <v>4.0084120000000001E-2</v>
      </c>
      <c r="W2605">
        <v>0.2034763</v>
      </c>
      <c r="X2605">
        <v>0.97825899999999999</v>
      </c>
      <c r="Y2605">
        <v>9.1627639999999996E-2</v>
      </c>
      <c r="Z2605">
        <v>4.3777690000000001E-3</v>
      </c>
      <c r="AA2605">
        <v>0.99578370000000005</v>
      </c>
      <c r="AB2605">
        <v>47</v>
      </c>
      <c r="AC2605">
        <v>188.114</v>
      </c>
      <c r="AD2605">
        <v>15.846439</v>
      </c>
      <c r="AE2605">
        <v>-16.1919</v>
      </c>
      <c r="AF2605">
        <v>17.288391953510899</v>
      </c>
      <c r="AG2605">
        <v>15.846439</v>
      </c>
      <c r="AH2605">
        <v>186.69012792599301</v>
      </c>
      <c r="AI2605">
        <v>85.168880476218305</v>
      </c>
      <c r="AJ2605">
        <v>84.709228352491806</v>
      </c>
      <c r="AK2605">
        <v>188.15738622318901</v>
      </c>
      <c r="AL2605">
        <v>78.259682449025306</v>
      </c>
      <c r="AM2605">
        <v>87.653620486695402</v>
      </c>
      <c r="AN2605">
        <v>1.0000000062094301</v>
      </c>
    </row>
    <row r="2606" spans="1:40" x14ac:dyDescent="0.25">
      <c r="A2606" t="str">
        <f>"20190312164523856"</f>
        <v>20190312164523856</v>
      </c>
      <c r="B2606" t="str">
        <f>"1552380323843891"</f>
        <v>1552380323843891</v>
      </c>
      <c r="C2606" t="s">
        <v>40</v>
      </c>
      <c r="D2606">
        <v>5.2506890000000004</v>
      </c>
      <c r="E2606">
        <v>0.52141959999999998</v>
      </c>
      <c r="F2606" t="s">
        <v>60</v>
      </c>
      <c r="G2606">
        <v>-168.41900000000001</v>
      </c>
      <c r="H2606">
        <v>16.873049999999999</v>
      </c>
      <c r="I2606">
        <v>197.59530000000001</v>
      </c>
      <c r="J2606">
        <v>-356.10160000000002</v>
      </c>
      <c r="K2606">
        <v>1.108711</v>
      </c>
      <c r="L2606">
        <v>213.7731</v>
      </c>
      <c r="M2606">
        <v>0.99987060000000005</v>
      </c>
      <c r="N2606">
        <v>0</v>
      </c>
      <c r="O2606">
        <v>6.4615519999999997E-3</v>
      </c>
      <c r="P2606">
        <v>0.98143579999999997</v>
      </c>
      <c r="Q2606">
        <v>0.18880369999999999</v>
      </c>
      <c r="R2606">
        <v>-3.372182E-2</v>
      </c>
      <c r="S2606">
        <v>2.9995729999999998</v>
      </c>
      <c r="T2606">
        <v>0.2513707</v>
      </c>
      <c r="U2606">
        <v>-0.25791930000000002</v>
      </c>
      <c r="V2606">
        <v>4.0082909999999999E-2</v>
      </c>
      <c r="W2606">
        <v>0.20324249999999999</v>
      </c>
      <c r="X2606">
        <v>0.9783077</v>
      </c>
      <c r="Y2606">
        <v>9.1764109999999996E-2</v>
      </c>
      <c r="Z2606">
        <v>4.3709040000000001E-3</v>
      </c>
      <c r="AA2606">
        <v>0.99577119999999997</v>
      </c>
      <c r="AB2606">
        <v>47</v>
      </c>
      <c r="AC2606">
        <v>187.68260000000001</v>
      </c>
      <c r="AD2606">
        <v>15.764339</v>
      </c>
      <c r="AE2606">
        <v>-16.177799999999898</v>
      </c>
      <c r="AF2606">
        <v>17.269376008612099</v>
      </c>
      <c r="AG2606">
        <v>15.764339</v>
      </c>
      <c r="AH2606">
        <v>186.269676018192</v>
      </c>
      <c r="AI2606">
        <v>85.183042249973695</v>
      </c>
      <c r="AJ2606">
        <v>84.703153232918098</v>
      </c>
      <c r="AK2606">
        <v>187.73155817751001</v>
      </c>
      <c r="AL2606">
        <v>78.273364668117907</v>
      </c>
      <c r="AM2606">
        <v>87.653807904909897</v>
      </c>
      <c r="AN2606">
        <v>1.0000000546798</v>
      </c>
    </row>
    <row r="2607" spans="1:40" x14ac:dyDescent="0.25">
      <c r="A2607" t="str">
        <f>"20190312164523876"</f>
        <v>20190312164523876</v>
      </c>
      <c r="B2607" t="str">
        <f>"1552380323873835"</f>
        <v>1552380323873835</v>
      </c>
      <c r="C2607" t="s">
        <v>40</v>
      </c>
      <c r="D2607">
        <v>5.1978859999999996</v>
      </c>
      <c r="E2607">
        <v>0.52157039999999999</v>
      </c>
      <c r="F2607" t="s">
        <v>60</v>
      </c>
      <c r="G2607">
        <v>-168.41900000000001</v>
      </c>
      <c r="H2607">
        <v>16.78267</v>
      </c>
      <c r="I2607">
        <v>197.51419999999999</v>
      </c>
      <c r="J2607">
        <v>-355.65980000000002</v>
      </c>
      <c r="K2607">
        <v>1.1087089999999999</v>
      </c>
      <c r="L2607">
        <v>213.77590000000001</v>
      </c>
      <c r="M2607">
        <v>0.99987060000000005</v>
      </c>
      <c r="N2607">
        <v>0</v>
      </c>
      <c r="O2607">
        <v>6.4455889999999998E-3</v>
      </c>
      <c r="P2607">
        <v>0.98149710000000001</v>
      </c>
      <c r="Q2607">
        <v>0.1885434</v>
      </c>
      <c r="R2607">
        <v>-3.3392190000000002E-2</v>
      </c>
      <c r="S2607">
        <v>2.9996339999999999</v>
      </c>
      <c r="T2607">
        <v>0.25050929999999999</v>
      </c>
      <c r="U2607">
        <v>-0.25985720000000001</v>
      </c>
      <c r="V2607">
        <v>3.973778E-2</v>
      </c>
      <c r="W2607">
        <v>0.20298189999999999</v>
      </c>
      <c r="X2607">
        <v>0.97837589999999997</v>
      </c>
      <c r="Y2607">
        <v>9.2385309999999998E-2</v>
      </c>
      <c r="Z2607">
        <v>4.3802870000000001E-3</v>
      </c>
      <c r="AA2607">
        <v>0.99571370000000003</v>
      </c>
      <c r="AB2607">
        <v>47</v>
      </c>
      <c r="AC2607">
        <v>187.24080000000001</v>
      </c>
      <c r="AD2607">
        <v>15.673960999999901</v>
      </c>
      <c r="AE2607">
        <v>-16.261700000000001</v>
      </c>
      <c r="AF2607">
        <v>17.347718226339602</v>
      </c>
      <c r="AG2607">
        <v>15.673960999999901</v>
      </c>
      <c r="AH2607">
        <v>185.83957983444</v>
      </c>
      <c r="AI2607">
        <v>85.199776951380599</v>
      </c>
      <c r="AJ2607">
        <v>84.667018696878401</v>
      </c>
      <c r="AK2607">
        <v>187.304473556109</v>
      </c>
      <c r="AL2607">
        <v>78.2886140178326</v>
      </c>
      <c r="AM2607">
        <v>87.674149241130806</v>
      </c>
      <c r="AN2607">
        <v>1.00000007229387</v>
      </c>
    </row>
    <row r="2608" spans="1:40" x14ac:dyDescent="0.25">
      <c r="A2608" t="str">
        <f>"20190312164523900"</f>
        <v>20190312164523900</v>
      </c>
      <c r="B2608" t="str">
        <f>"1552380323894331"</f>
        <v>1552380323894331</v>
      </c>
      <c r="C2608" t="s">
        <v>40</v>
      </c>
      <c r="D2608">
        <v>5.3167220000000004</v>
      </c>
      <c r="E2608">
        <v>0.52174639999999906</v>
      </c>
      <c r="F2608" t="s">
        <v>60</v>
      </c>
      <c r="G2608">
        <v>-168.41900000000001</v>
      </c>
      <c r="H2608">
        <v>16.704129999999999</v>
      </c>
      <c r="I2608">
        <v>197.56899999999999</v>
      </c>
      <c r="J2608">
        <v>-355.16649999999998</v>
      </c>
      <c r="K2608">
        <v>1.108714</v>
      </c>
      <c r="L2608">
        <v>213.7791</v>
      </c>
      <c r="M2608">
        <v>0.99987079999999995</v>
      </c>
      <c r="N2608">
        <v>0</v>
      </c>
      <c r="O2608">
        <v>6.4274229999999998E-3</v>
      </c>
      <c r="P2608">
        <v>0.98146750000000005</v>
      </c>
      <c r="Q2608">
        <v>0.1887171</v>
      </c>
      <c r="R2608">
        <v>-3.3280289999999997E-2</v>
      </c>
      <c r="S2608">
        <v>2.999695</v>
      </c>
      <c r="T2608">
        <v>0.24984729999999999</v>
      </c>
      <c r="U2608">
        <v>-0.25964359999999997</v>
      </c>
      <c r="V2608">
        <v>3.9607969999999999E-2</v>
      </c>
      <c r="W2608">
        <v>0.20315420000000001</v>
      </c>
      <c r="X2608">
        <v>0.97834529999999997</v>
      </c>
      <c r="Y2608">
        <v>9.2297260000000006E-2</v>
      </c>
      <c r="Z2608">
        <v>4.3635139999999998E-3</v>
      </c>
      <c r="AA2608">
        <v>0.99572190000000005</v>
      </c>
      <c r="AB2608">
        <v>47</v>
      </c>
      <c r="AC2608">
        <v>186.7475</v>
      </c>
      <c r="AD2608">
        <v>15.595416</v>
      </c>
      <c r="AE2608">
        <v>-16.210099999999901</v>
      </c>
      <c r="AF2608">
        <v>17.2905175967392</v>
      </c>
      <c r="AG2608">
        <v>15.595416</v>
      </c>
      <c r="AH2608">
        <v>185.356425425559</v>
      </c>
      <c r="AI2608">
        <v>85.211299233222107</v>
      </c>
      <c r="AJ2608">
        <v>84.670726418372894</v>
      </c>
      <c r="AK2608">
        <v>186.81323145194199</v>
      </c>
      <c r="AL2608">
        <v>78.278530712261798</v>
      </c>
      <c r="AM2608">
        <v>87.681666282537293</v>
      </c>
      <c r="AN2608">
        <v>0.99999997314862499</v>
      </c>
    </row>
    <row r="2609" spans="1:40" x14ac:dyDescent="0.25">
      <c r="A2609" t="str">
        <f>"20190312164523912"</f>
        <v>20190312164523912</v>
      </c>
      <c r="B2609" t="str">
        <f>"1552380323904091"</f>
        <v>1552380323904091</v>
      </c>
      <c r="C2609" t="s">
        <v>40</v>
      </c>
      <c r="D2609">
        <v>5.251938</v>
      </c>
      <c r="E2609">
        <v>0.52187229999999996</v>
      </c>
      <c r="F2609" t="s">
        <v>60</v>
      </c>
      <c r="G2609">
        <v>-168.41890000000001</v>
      </c>
      <c r="H2609">
        <v>16.63355</v>
      </c>
      <c r="I2609">
        <v>197.56229999999999</v>
      </c>
      <c r="J2609">
        <v>-354.8922</v>
      </c>
      <c r="K2609">
        <v>1.108717</v>
      </c>
      <c r="L2609">
        <v>213.7808</v>
      </c>
      <c r="M2609">
        <v>0.99987079999999995</v>
      </c>
      <c r="N2609">
        <v>0</v>
      </c>
      <c r="O2609">
        <v>6.4175369999999897E-3</v>
      </c>
      <c r="P2609">
        <v>0.98150729999999997</v>
      </c>
      <c r="Q2609">
        <v>0.18852340000000001</v>
      </c>
      <c r="R2609">
        <v>-3.3202259999999997E-2</v>
      </c>
      <c r="S2609">
        <v>2.9998170000000002</v>
      </c>
      <c r="T2609">
        <v>0.24938370000000001</v>
      </c>
      <c r="U2609">
        <v>-0.26049800000000001</v>
      </c>
      <c r="V2609">
        <v>3.9520520000000003E-2</v>
      </c>
      <c r="W2609">
        <v>0.20296</v>
      </c>
      <c r="X2609">
        <v>0.97838919999999996</v>
      </c>
      <c r="Y2609">
        <v>9.2565850000000005E-2</v>
      </c>
      <c r="Z2609">
        <v>4.3655220000000002E-3</v>
      </c>
      <c r="AA2609">
        <v>0.99569700000000005</v>
      </c>
      <c r="AB2609">
        <v>47</v>
      </c>
      <c r="AC2609">
        <v>186.47329999999999</v>
      </c>
      <c r="AD2609">
        <v>15.524832999999999</v>
      </c>
      <c r="AE2609">
        <v>-16.218499999999999</v>
      </c>
      <c r="AF2609">
        <v>17.296009859371601</v>
      </c>
      <c r="AG2609">
        <v>15.524832999999999</v>
      </c>
      <c r="AH2609">
        <v>185.09205136047299</v>
      </c>
      <c r="AI2609">
        <v>85.226166241944497</v>
      </c>
      <c r="AJ2609">
        <v>84.661472900511697</v>
      </c>
      <c r="AK2609">
        <v>186.545543697944</v>
      </c>
      <c r="AL2609">
        <v>78.289894965425205</v>
      </c>
      <c r="AM2609">
        <v>87.686883020095493</v>
      </c>
      <c r="AN2609">
        <v>1.0000000298888501</v>
      </c>
    </row>
    <row r="2610" spans="1:40" x14ac:dyDescent="0.25">
      <c r="A2610" t="str">
        <f>"20190312164523934"</f>
        <v>20190312164523934</v>
      </c>
      <c r="B2610" t="str">
        <f>"1552380323924599"</f>
        <v>1552380323924599</v>
      </c>
      <c r="C2610" t="s">
        <v>40</v>
      </c>
      <c r="D2610">
        <v>5.0018729999999998</v>
      </c>
      <c r="E2610">
        <v>0.52205329999999905</v>
      </c>
      <c r="F2610" t="s">
        <v>60</v>
      </c>
      <c r="G2610">
        <v>-168.41890000000001</v>
      </c>
      <c r="H2610">
        <v>16.55911</v>
      </c>
      <c r="I2610">
        <v>197.5335</v>
      </c>
      <c r="J2610">
        <v>-354.45839999999998</v>
      </c>
      <c r="K2610">
        <v>1.108716</v>
      </c>
      <c r="L2610">
        <v>213.78360000000001</v>
      </c>
      <c r="M2610">
        <v>0.99987099999999995</v>
      </c>
      <c r="N2610">
        <v>0</v>
      </c>
      <c r="O2610">
        <v>6.401754E-3</v>
      </c>
      <c r="P2610">
        <v>0.98156540000000003</v>
      </c>
      <c r="Q2610">
        <v>0.18821869999999999</v>
      </c>
      <c r="R2610">
        <v>-3.321756E-2</v>
      </c>
      <c r="S2610">
        <v>2.9999389999999999</v>
      </c>
      <c r="T2610">
        <v>0.2485629</v>
      </c>
      <c r="U2610">
        <v>-0.26138309999999998</v>
      </c>
      <c r="V2610">
        <v>3.9520569999999998E-2</v>
      </c>
      <c r="W2610">
        <v>0.2026551</v>
      </c>
      <c r="X2610">
        <v>0.9784524</v>
      </c>
      <c r="Y2610">
        <v>9.2839550000000007E-2</v>
      </c>
      <c r="Z2610">
        <v>4.3609679999999998E-3</v>
      </c>
      <c r="AA2610">
        <v>0.99567150000000004</v>
      </c>
      <c r="AB2610">
        <v>47</v>
      </c>
      <c r="AC2610">
        <v>186.0395</v>
      </c>
      <c r="AD2610">
        <v>15.450393999999999</v>
      </c>
      <c r="AE2610">
        <v>-16.2501</v>
      </c>
      <c r="AF2610">
        <v>17.3223056369172</v>
      </c>
      <c r="AG2610">
        <v>15.450393999999999</v>
      </c>
      <c r="AH2610">
        <v>184.66761295064299</v>
      </c>
      <c r="AI2610">
        <v>85.238238465067397</v>
      </c>
      <c r="AJ2610">
        <v>84.641186423427101</v>
      </c>
      <c r="AK2610">
        <v>186.120671125543</v>
      </c>
      <c r="AL2610">
        <v>78.307735218227407</v>
      </c>
      <c r="AM2610">
        <v>87.687029343097393</v>
      </c>
      <c r="AN2610">
        <v>1.00000003203744</v>
      </c>
    </row>
    <row r="2611" spans="1:40" x14ac:dyDescent="0.25">
      <c r="A2611" t="str">
        <f>"20190312164523955"</f>
        <v>20190312164523955</v>
      </c>
      <c r="B2611" t="str">
        <f>"1552380323944106"</f>
        <v>1552380323944106</v>
      </c>
      <c r="C2611" t="s">
        <v>40</v>
      </c>
      <c r="D2611">
        <v>4.9743659999999998</v>
      </c>
      <c r="E2611">
        <v>0.52219749999999998</v>
      </c>
      <c r="F2611" t="s">
        <v>60</v>
      </c>
      <c r="G2611">
        <v>-168.41890000000001</v>
      </c>
      <c r="H2611">
        <v>16.431239999999999</v>
      </c>
      <c r="I2611">
        <v>197.4716</v>
      </c>
      <c r="J2611">
        <v>-354.0138</v>
      </c>
      <c r="K2611">
        <v>1.1087149999999999</v>
      </c>
      <c r="L2611">
        <v>213.78649999999999</v>
      </c>
      <c r="M2611">
        <v>0.99987110000000001</v>
      </c>
      <c r="N2611">
        <v>0</v>
      </c>
      <c r="O2611">
        <v>6.3856169999999997E-3</v>
      </c>
      <c r="P2611">
        <v>0.98157439999999996</v>
      </c>
      <c r="Q2611">
        <v>0.18814700000000001</v>
      </c>
      <c r="R2611">
        <v>-3.3356690000000001E-2</v>
      </c>
      <c r="S2611">
        <v>3.0000610000000001</v>
      </c>
      <c r="T2611">
        <v>0.24709059999999999</v>
      </c>
      <c r="U2611">
        <v>-0.26304630000000001</v>
      </c>
      <c r="V2611">
        <v>3.9643749999999998E-2</v>
      </c>
      <c r="W2611">
        <v>0.20258219999999999</v>
      </c>
      <c r="X2611">
        <v>0.97846250000000001</v>
      </c>
      <c r="Y2611">
        <v>9.3370069999999999E-2</v>
      </c>
      <c r="Z2611">
        <v>4.355388E-3</v>
      </c>
      <c r="AA2611">
        <v>0.99562189999999995</v>
      </c>
      <c r="AB2611">
        <v>47</v>
      </c>
      <c r="AC2611">
        <v>185.5949</v>
      </c>
      <c r="AD2611">
        <v>15.322525000000001</v>
      </c>
      <c r="AE2611">
        <v>-16.314899999999898</v>
      </c>
      <c r="AF2611">
        <v>17.3822651128621</v>
      </c>
      <c r="AG2611">
        <v>15.322525000000001</v>
      </c>
      <c r="AH2611">
        <v>184.24077055067499</v>
      </c>
      <c r="AI2611">
        <v>85.266815431780699</v>
      </c>
      <c r="AJ2611">
        <v>84.610361399948602</v>
      </c>
      <c r="AK2611">
        <v>185.69217658785701</v>
      </c>
      <c r="AL2611">
        <v>78.312000402075697</v>
      </c>
      <c r="AM2611">
        <v>87.679851932030203</v>
      </c>
      <c r="AN2611">
        <v>1.0000000192885701</v>
      </c>
    </row>
    <row r="2612" spans="1:40" x14ac:dyDescent="0.25">
      <c r="A2612" t="str">
        <f>"20190312164523977"</f>
        <v>20190312164523977</v>
      </c>
      <c r="B2612" t="str">
        <f>"1552380323974363"</f>
        <v>1552380323974363</v>
      </c>
      <c r="C2612" t="s">
        <v>40</v>
      </c>
      <c r="D2612">
        <v>4.9484519999999996</v>
      </c>
      <c r="E2612">
        <v>0.52244449999999998</v>
      </c>
      <c r="F2612" t="s">
        <v>60</v>
      </c>
      <c r="G2612">
        <v>-168.41890000000001</v>
      </c>
      <c r="H2612">
        <v>16.331589999999998</v>
      </c>
      <c r="I2612">
        <v>197.42910000000001</v>
      </c>
      <c r="J2612">
        <v>-353.54750000000001</v>
      </c>
      <c r="K2612">
        <v>1.1087199999999999</v>
      </c>
      <c r="L2612">
        <v>213.7894</v>
      </c>
      <c r="M2612">
        <v>0.99987139999999997</v>
      </c>
      <c r="N2612">
        <v>0</v>
      </c>
      <c r="O2612">
        <v>6.3687040000000002E-3</v>
      </c>
      <c r="P2612">
        <v>0.98148539999999995</v>
      </c>
      <c r="Q2612">
        <v>0.18859699999999999</v>
      </c>
      <c r="R2612">
        <v>-3.3435100000000002E-2</v>
      </c>
      <c r="S2612">
        <v>3.0001829999999998</v>
      </c>
      <c r="T2612">
        <v>0.24608179999999999</v>
      </c>
      <c r="U2612">
        <v>-0.26441959999999998</v>
      </c>
      <c r="V2612">
        <v>3.9704959999999997E-2</v>
      </c>
      <c r="W2612">
        <v>0.20302909999999999</v>
      </c>
      <c r="X2612">
        <v>0.9783674</v>
      </c>
      <c r="Y2612">
        <v>9.3803319999999996E-2</v>
      </c>
      <c r="Z2612">
        <v>4.3537269999999999E-3</v>
      </c>
      <c r="AA2612">
        <v>0.99558120000000006</v>
      </c>
      <c r="AB2612">
        <v>47</v>
      </c>
      <c r="AC2612">
        <v>185.12860000000001</v>
      </c>
      <c r="AD2612">
        <v>15.22287</v>
      </c>
      <c r="AE2612">
        <v>-16.360299999999899</v>
      </c>
      <c r="AF2612">
        <v>17.4222367140807</v>
      </c>
      <c r="AG2612">
        <v>15.22287</v>
      </c>
      <c r="AH2612">
        <v>183.78758106276999</v>
      </c>
      <c r="AI2612">
        <v>85.286115234142201</v>
      </c>
      <c r="AJ2612">
        <v>84.584799580107799</v>
      </c>
      <c r="AK2612">
        <v>185.238076690681</v>
      </c>
      <c r="AL2612">
        <v>78.285851697579204</v>
      </c>
      <c r="AM2612">
        <v>87.676047919443207</v>
      </c>
      <c r="AN2612">
        <v>1.00000003433908</v>
      </c>
    </row>
    <row r="2613" spans="1:40" x14ac:dyDescent="0.25">
      <c r="A2613" t="str">
        <f>"20190312164524000"</f>
        <v>20190312164524000</v>
      </c>
      <c r="B2613" t="str">
        <f>"1552380323993883"</f>
        <v>1552380323993883</v>
      </c>
      <c r="C2613" t="s">
        <v>40</v>
      </c>
      <c r="D2613">
        <v>4.9144019999999999</v>
      </c>
      <c r="E2613">
        <v>0.52261409999999997</v>
      </c>
      <c r="F2613" t="s">
        <v>60</v>
      </c>
      <c r="G2613">
        <v>-168.41890000000001</v>
      </c>
      <c r="H2613">
        <v>16.304200000000002</v>
      </c>
      <c r="I2613">
        <v>197.33009999999999</v>
      </c>
      <c r="J2613">
        <v>-353.06290000000001</v>
      </c>
      <c r="K2613">
        <v>1.1087209999999901</v>
      </c>
      <c r="L2613">
        <v>213.79249999999999</v>
      </c>
      <c r="M2613">
        <v>0.99987139999999997</v>
      </c>
      <c r="N2613">
        <v>0</v>
      </c>
      <c r="O2613">
        <v>6.3510779999999996E-3</v>
      </c>
      <c r="P2613">
        <v>0.98153210000000002</v>
      </c>
      <c r="Q2613">
        <v>0.1883669</v>
      </c>
      <c r="R2613">
        <v>-3.3354830000000002E-2</v>
      </c>
      <c r="S2613">
        <v>3.0001829999999998</v>
      </c>
      <c r="T2613">
        <v>0.2462577</v>
      </c>
      <c r="U2613">
        <v>-0.2667389</v>
      </c>
      <c r="V2613">
        <v>3.9607820000000002E-2</v>
      </c>
      <c r="W2613">
        <v>0.20279749999999999</v>
      </c>
      <c r="X2613">
        <v>0.97841940000000005</v>
      </c>
      <c r="Y2613">
        <v>9.4546549999999993E-2</v>
      </c>
      <c r="Z2613">
        <v>4.3856299999999997E-3</v>
      </c>
      <c r="AA2613">
        <v>0.99551080000000003</v>
      </c>
      <c r="AB2613">
        <v>47</v>
      </c>
      <c r="AC2613">
        <v>184.64400000000001</v>
      </c>
      <c r="AD2613">
        <v>15.195479000000001</v>
      </c>
      <c r="AE2613">
        <v>-16.462399999999999</v>
      </c>
      <c r="AF2613">
        <v>17.517181471609799</v>
      </c>
      <c r="AG2613">
        <v>15.195479000000001</v>
      </c>
      <c r="AH2613">
        <v>183.304047017502</v>
      </c>
      <c r="AI2613">
        <v>85.282542745558004</v>
      </c>
      <c r="AJ2613">
        <v>84.541190204225501</v>
      </c>
      <c r="AK2613">
        <v>184.765061312314</v>
      </c>
      <c r="AL2613">
        <v>78.299403668215305</v>
      </c>
      <c r="AM2613">
        <v>87.681850438139193</v>
      </c>
      <c r="AN2613">
        <v>1.00000006385387</v>
      </c>
    </row>
    <row r="2614" spans="1:40" x14ac:dyDescent="0.25">
      <c r="A2614" t="str">
        <f>"20190312164524025"</f>
        <v>20190312164524025</v>
      </c>
      <c r="B2614" t="str">
        <f>"1552380324014378"</f>
        <v>1552380324014378</v>
      </c>
      <c r="C2614" t="s">
        <v>40</v>
      </c>
      <c r="D2614">
        <v>5.2263260000000002</v>
      </c>
      <c r="E2614">
        <v>0.52266789999999996</v>
      </c>
      <c r="F2614" t="s">
        <v>60</v>
      </c>
      <c r="G2614">
        <v>-168.41890000000001</v>
      </c>
      <c r="H2614">
        <v>16.198929999999901</v>
      </c>
      <c r="I2614">
        <v>197.3073</v>
      </c>
      <c r="J2614">
        <v>-352.56659999999999</v>
      </c>
      <c r="K2614">
        <v>1.1087209999999901</v>
      </c>
      <c r="L2614">
        <v>213.79560000000001</v>
      </c>
      <c r="M2614">
        <v>0.99987139999999997</v>
      </c>
      <c r="N2614">
        <v>0</v>
      </c>
      <c r="O2614">
        <v>6.3332739999999998E-3</v>
      </c>
      <c r="P2614">
        <v>0.98162389999999999</v>
      </c>
      <c r="Q2614">
        <v>0.18794330000000001</v>
      </c>
      <c r="R2614">
        <v>-3.3039020000000002E-2</v>
      </c>
      <c r="S2614">
        <v>3.0002749999999998</v>
      </c>
      <c r="T2614">
        <v>0.2452008</v>
      </c>
      <c r="U2614">
        <v>-0.26786799999999999</v>
      </c>
      <c r="V2614">
        <v>3.9274999999999997E-2</v>
      </c>
      <c r="W2614">
        <v>0.20237350000000001</v>
      </c>
      <c r="X2614">
        <v>0.97852050000000002</v>
      </c>
      <c r="Y2614">
        <v>9.4899650000000002E-2</v>
      </c>
      <c r="Z2614">
        <v>4.3795919999999999E-3</v>
      </c>
      <c r="AA2614">
        <v>0.99547719999999995</v>
      </c>
      <c r="AB2614">
        <v>47</v>
      </c>
      <c r="AC2614">
        <v>184.14769999999999</v>
      </c>
      <c r="AD2614">
        <v>15.0902089999999</v>
      </c>
      <c r="AE2614">
        <v>-16.488299999999999</v>
      </c>
      <c r="AF2614">
        <v>17.537522651913999</v>
      </c>
      <c r="AG2614">
        <v>15.0902089999999</v>
      </c>
      <c r="AH2614">
        <v>182.82165296725501</v>
      </c>
      <c r="AI2614">
        <v>85.302932798842804</v>
      </c>
      <c r="AJ2614">
        <v>84.520557103076698</v>
      </c>
      <c r="AK2614">
        <v>184.27977616143801</v>
      </c>
      <c r="AL2614">
        <v>78.324210295702898</v>
      </c>
      <c r="AM2614">
        <v>87.701545845207605</v>
      </c>
      <c r="AN2614">
        <v>0.99999996402374902</v>
      </c>
    </row>
    <row r="2615" spans="1:40" x14ac:dyDescent="0.25">
      <c r="A2615" t="str">
        <f>"20190312164524046"</f>
        <v>20190312164524046</v>
      </c>
      <c r="B2615" t="str">
        <f>"1552380324033899"</f>
        <v>1552380324033899</v>
      </c>
      <c r="C2615" t="s">
        <v>40</v>
      </c>
      <c r="D2615">
        <v>4.8856190000000002</v>
      </c>
      <c r="E2615">
        <v>0.52602890000000002</v>
      </c>
      <c r="F2615" t="s">
        <v>60</v>
      </c>
      <c r="G2615">
        <v>-168.4188</v>
      </c>
      <c r="H2615">
        <v>16.04711</v>
      </c>
      <c r="I2615">
        <v>197.39760000000001</v>
      </c>
      <c r="J2615">
        <v>-352.11950000000002</v>
      </c>
      <c r="K2615">
        <v>1.1087180000000001</v>
      </c>
      <c r="L2615">
        <v>213.79839999999999</v>
      </c>
      <c r="M2615">
        <v>0.99987170000000003</v>
      </c>
      <c r="N2615">
        <v>0</v>
      </c>
      <c r="O2615">
        <v>6.3173150000000004E-3</v>
      </c>
      <c r="P2615">
        <v>0.98170999999999997</v>
      </c>
      <c r="Q2615">
        <v>0.18752079999999999</v>
      </c>
      <c r="R2615">
        <v>-3.2886529999999997E-2</v>
      </c>
      <c r="S2615">
        <v>3.0005799999999998</v>
      </c>
      <c r="T2615">
        <v>0.24341270000000001</v>
      </c>
      <c r="U2615">
        <v>-0.26719670000000001</v>
      </c>
      <c r="V2615">
        <v>3.9107389999999999E-2</v>
      </c>
      <c r="W2615">
        <v>0.2019504</v>
      </c>
      <c r="X2615">
        <v>0.9786146</v>
      </c>
      <c r="Y2615">
        <v>9.4659560000000004E-2</v>
      </c>
      <c r="Z2615">
        <v>4.3363689999999996E-3</v>
      </c>
      <c r="AA2615">
        <v>0.9955003</v>
      </c>
      <c r="AB2615">
        <v>47</v>
      </c>
      <c r="AC2615">
        <v>183.70070000000001</v>
      </c>
      <c r="AD2615">
        <v>14.938392</v>
      </c>
      <c r="AE2615">
        <v>-16.400799999999901</v>
      </c>
      <c r="AF2615">
        <v>17.446634647072401</v>
      </c>
      <c r="AG2615">
        <v>14.938392</v>
      </c>
      <c r="AH2615">
        <v>182.39679599954499</v>
      </c>
      <c r="AI2615">
        <v>85.339075283724696</v>
      </c>
      <c r="AJ2615">
        <v>84.536161982036205</v>
      </c>
      <c r="AK2615">
        <v>183.83724270928801</v>
      </c>
      <c r="AL2615">
        <v>78.348962996839205</v>
      </c>
      <c r="AM2615">
        <v>87.711564110704003</v>
      </c>
      <c r="AN2615">
        <v>0.99999994367296396</v>
      </c>
    </row>
    <row r="2616" spans="1:40" x14ac:dyDescent="0.25">
      <c r="A2616" t="str">
        <f>"20190312164524068"</f>
        <v>20190312164524068</v>
      </c>
      <c r="B2616" t="str">
        <f>"1552380324064155"</f>
        <v>1552380324064155</v>
      </c>
      <c r="C2616" t="s">
        <v>40</v>
      </c>
      <c r="D2616">
        <v>5.1608479999999997</v>
      </c>
      <c r="E2616">
        <v>0.52614989999999995</v>
      </c>
      <c r="F2616" t="s">
        <v>60</v>
      </c>
      <c r="G2616">
        <v>-168.41829999999999</v>
      </c>
      <c r="H2616">
        <v>13.128579999999999</v>
      </c>
      <c r="I2616">
        <v>195.99260000000001</v>
      </c>
      <c r="J2616">
        <v>-351.66770000000002</v>
      </c>
      <c r="K2616">
        <v>1.108725</v>
      </c>
      <c r="L2616">
        <v>213.8013</v>
      </c>
      <c r="M2616">
        <v>0.99987190000000004</v>
      </c>
      <c r="N2616">
        <v>0</v>
      </c>
      <c r="O2616">
        <v>6.3007009999999997E-3</v>
      </c>
      <c r="P2616">
        <v>0.98184559999999999</v>
      </c>
      <c r="Q2616">
        <v>0.18690909999999999</v>
      </c>
      <c r="R2616">
        <v>-3.2318230000000003E-2</v>
      </c>
      <c r="S2616">
        <v>3.0085139999999999</v>
      </c>
      <c r="T2616">
        <v>0.19685259999999999</v>
      </c>
      <c r="U2616">
        <v>-0.2916107</v>
      </c>
      <c r="V2616">
        <v>3.8523670000000003E-2</v>
      </c>
      <c r="W2616">
        <v>0.20133860000000001</v>
      </c>
      <c r="X2616">
        <v>0.97876390000000002</v>
      </c>
      <c r="Y2616">
        <v>0.10251589999999999</v>
      </c>
      <c r="Z2616">
        <v>3.7534500000000002E-3</v>
      </c>
      <c r="AA2616">
        <v>0.99472430000000001</v>
      </c>
      <c r="AB2616">
        <v>47</v>
      </c>
      <c r="AC2616">
        <v>183.24940000000001</v>
      </c>
      <c r="AD2616">
        <v>12.019855</v>
      </c>
      <c r="AE2616">
        <v>-17.808699999999899</v>
      </c>
      <c r="AF2616">
        <v>18.8825902708531</v>
      </c>
      <c r="AG2616">
        <v>12.019855</v>
      </c>
      <c r="AH2616">
        <v>182.35630854345601</v>
      </c>
      <c r="AI2616">
        <v>86.248853275602499</v>
      </c>
      <c r="AJ2616">
        <v>84.088218343230494</v>
      </c>
      <c r="AK2616">
        <v>183.724936780923</v>
      </c>
      <c r="AL2616">
        <v>78.384752817654501</v>
      </c>
      <c r="AM2616">
        <v>87.746029495824402</v>
      </c>
      <c r="AN2616">
        <v>1.00000003847171</v>
      </c>
    </row>
    <row r="2617" spans="1:40" x14ac:dyDescent="0.25">
      <c r="A2617" t="str">
        <f>"20190312164524090"</f>
        <v>20190312164524090</v>
      </c>
      <c r="B2617" t="str">
        <f>"1552380324084651"</f>
        <v>1552380324084651</v>
      </c>
      <c r="C2617" t="s">
        <v>40</v>
      </c>
      <c r="D2617">
        <v>5.1134789999999999</v>
      </c>
      <c r="E2617">
        <v>0.50689139999999999</v>
      </c>
      <c r="F2617" t="s">
        <v>60</v>
      </c>
      <c r="G2617">
        <v>-168.41820000000001</v>
      </c>
      <c r="H2617">
        <v>12.914020000000001</v>
      </c>
      <c r="I2617">
        <v>196.10040000000001</v>
      </c>
      <c r="J2617">
        <v>-351.20890000000003</v>
      </c>
      <c r="K2617">
        <v>1.108724</v>
      </c>
      <c r="L2617">
        <v>213.80420000000001</v>
      </c>
      <c r="M2617">
        <v>0.99987199999999998</v>
      </c>
      <c r="N2617">
        <v>0</v>
      </c>
      <c r="O2617">
        <v>6.2830719999999998E-3</v>
      </c>
      <c r="P2617">
        <v>0.98183390000000004</v>
      </c>
      <c r="Q2617">
        <v>0.18705160000000001</v>
      </c>
      <c r="R2617">
        <v>-3.1844789999999998E-2</v>
      </c>
      <c r="S2617">
        <v>3.008972</v>
      </c>
      <c r="T2617">
        <v>0.19384460000000001</v>
      </c>
      <c r="U2617">
        <v>-0.2906494</v>
      </c>
      <c r="V2617">
        <v>3.8032940000000001E-2</v>
      </c>
      <c r="W2617">
        <v>0.20147870000000001</v>
      </c>
      <c r="X2617">
        <v>0.97875420000000002</v>
      </c>
      <c r="Y2617">
        <v>0.1021767</v>
      </c>
      <c r="Z2617">
        <v>3.6836920000000001E-3</v>
      </c>
      <c r="AA2617">
        <v>0.99475939999999996</v>
      </c>
      <c r="AB2617">
        <v>47</v>
      </c>
      <c r="AC2617">
        <v>182.79069999999999</v>
      </c>
      <c r="AD2617">
        <v>11.805295999999901</v>
      </c>
      <c r="AE2617">
        <v>-17.703800000000001</v>
      </c>
      <c r="AF2617">
        <v>18.774480375507</v>
      </c>
      <c r="AG2617">
        <v>11.805295999999901</v>
      </c>
      <c r="AH2617">
        <v>181.92408202209</v>
      </c>
      <c r="AI2617">
        <v>86.306766025710303</v>
      </c>
      <c r="AJ2617">
        <v>84.107960236879705</v>
      </c>
      <c r="AK2617">
        <v>183.27088624928399</v>
      </c>
      <c r="AL2617">
        <v>78.376557021993605</v>
      </c>
      <c r="AM2617">
        <v>87.774690396154995</v>
      </c>
      <c r="AN2617">
        <v>0.99999997754818604</v>
      </c>
    </row>
    <row r="2618" spans="1:40" x14ac:dyDescent="0.25">
      <c r="A2618" t="str">
        <f>"20190312164524112"</f>
        <v>20190312164524112</v>
      </c>
      <c r="B2618" t="str">
        <f>"1552380324104185"</f>
        <v>1552380324104185</v>
      </c>
      <c r="C2618" t="s">
        <v>40</v>
      </c>
      <c r="D2618">
        <v>5.1151749999999998</v>
      </c>
      <c r="E2618">
        <v>0.50238819999999995</v>
      </c>
      <c r="F2618" t="s">
        <v>60</v>
      </c>
      <c r="G2618">
        <v>-168.41589999999999</v>
      </c>
      <c r="H2618">
        <v>15.42454</v>
      </c>
      <c r="I2618">
        <v>205.44829999999999</v>
      </c>
      <c r="J2618">
        <v>-350.72890000000001</v>
      </c>
      <c r="K2618">
        <v>1.1087180000000001</v>
      </c>
      <c r="L2618">
        <v>213.80719999999999</v>
      </c>
      <c r="M2618">
        <v>0.99987210000000004</v>
      </c>
      <c r="N2618">
        <v>0</v>
      </c>
      <c r="O2618">
        <v>6.2642490000000004E-3</v>
      </c>
      <c r="P2618">
        <v>0.9819137</v>
      </c>
      <c r="Q2618">
        <v>0.18670439999999999</v>
      </c>
      <c r="R2618">
        <v>-3.142118E-2</v>
      </c>
      <c r="S2618">
        <v>3.006195</v>
      </c>
      <c r="T2618">
        <v>0.23543700000000001</v>
      </c>
      <c r="U2618">
        <v>-0.13742070000000001</v>
      </c>
      <c r="V2618">
        <v>3.7591199999999998E-2</v>
      </c>
      <c r="W2618">
        <v>0.20113030000000001</v>
      </c>
      <c r="X2618">
        <v>0.97884300000000002</v>
      </c>
      <c r="Y2618">
        <v>5.1745020000000003E-2</v>
      </c>
      <c r="Z2618">
        <v>2.511779E-3</v>
      </c>
      <c r="AA2618">
        <v>0.99865720000000002</v>
      </c>
      <c r="AB2618">
        <v>47</v>
      </c>
      <c r="AC2618">
        <v>182.31299999999999</v>
      </c>
      <c r="AD2618">
        <v>14.315822000000001</v>
      </c>
      <c r="AE2618">
        <v>-8.3589000000000002</v>
      </c>
      <c r="AF2618">
        <v>9.4428122483477299</v>
      </c>
      <c r="AG2618">
        <v>14.315822000000001</v>
      </c>
      <c r="AH2618">
        <v>181.14248861477</v>
      </c>
      <c r="AI2618">
        <v>85.487367154821996</v>
      </c>
      <c r="AJ2618">
        <v>87.015918171996901</v>
      </c>
      <c r="AK2618">
        <v>181.95249557026</v>
      </c>
      <c r="AL2618">
        <v>78.396936995155002</v>
      </c>
      <c r="AM2618">
        <v>87.800710436478596</v>
      </c>
      <c r="AN2618">
        <v>1.00000005727226</v>
      </c>
    </row>
    <row r="2619" spans="1:40" x14ac:dyDescent="0.25">
      <c r="A2619" t="str">
        <f>"20190312164524134"</f>
        <v>20190312164524134</v>
      </c>
      <c r="B2619" t="str">
        <f>"1552380324124671"</f>
        <v>1552380324124671</v>
      </c>
      <c r="C2619" t="s">
        <v>40</v>
      </c>
      <c r="D2619">
        <v>5.1238769999999896</v>
      </c>
      <c r="E2619">
        <v>0.4995945</v>
      </c>
      <c r="F2619" t="s">
        <v>60</v>
      </c>
      <c r="G2619">
        <v>-169.7131</v>
      </c>
      <c r="H2619">
        <v>13.792870000000001</v>
      </c>
      <c r="I2619">
        <v>207.84190000000001</v>
      </c>
      <c r="J2619">
        <v>-350.28140000000002</v>
      </c>
      <c r="K2619">
        <v>1.1087149999999999</v>
      </c>
      <c r="L2619">
        <v>213.81</v>
      </c>
      <c r="M2619">
        <v>0.99987219999999999</v>
      </c>
      <c r="N2619">
        <v>0</v>
      </c>
      <c r="O2619">
        <v>6.2464410000000001E-3</v>
      </c>
      <c r="P2619">
        <v>0.98190650000000002</v>
      </c>
      <c r="Q2619">
        <v>0.18677779999999999</v>
      </c>
      <c r="R2619">
        <v>-3.1203470000000001E-2</v>
      </c>
      <c r="S2619">
        <v>3.0119929999999999</v>
      </c>
      <c r="T2619">
        <v>0.2110572</v>
      </c>
      <c r="U2619">
        <v>-9.925842E-2</v>
      </c>
      <c r="V2619">
        <v>3.7356460000000001E-2</v>
      </c>
      <c r="W2619">
        <v>0.20120170000000001</v>
      </c>
      <c r="X2619">
        <v>0.97883730000000002</v>
      </c>
      <c r="Y2619">
        <v>3.906859E-2</v>
      </c>
      <c r="Z2619">
        <v>1.8038710000000001E-3</v>
      </c>
      <c r="AA2619">
        <v>0.99923490000000004</v>
      </c>
      <c r="AB2619">
        <v>47</v>
      </c>
      <c r="AC2619">
        <v>180.56829999999999</v>
      </c>
      <c r="AD2619">
        <v>12.684155000000001</v>
      </c>
      <c r="AE2619">
        <v>-5.96809999999999</v>
      </c>
      <c r="AF2619">
        <v>7.0612096582230404</v>
      </c>
      <c r="AG2619">
        <v>12.684155000000001</v>
      </c>
      <c r="AH2619">
        <v>179.642023121412</v>
      </c>
      <c r="AI2619">
        <v>85.964271593918895</v>
      </c>
      <c r="AJ2619">
        <v>87.749027017575003</v>
      </c>
      <c r="AK2619">
        <v>180.22764754902499</v>
      </c>
      <c r="AL2619">
        <v>78.392760551488095</v>
      </c>
      <c r="AM2619">
        <v>87.814417927789506</v>
      </c>
      <c r="AN2619">
        <v>1.0000000445289501</v>
      </c>
    </row>
    <row r="2620" spans="1:40" x14ac:dyDescent="0.25">
      <c r="A2620" t="str">
        <f>"20190312164524156"</f>
        <v>20190312164524156</v>
      </c>
      <c r="B2620" t="str">
        <f>"1552380324144186"</f>
        <v>1552380324144186</v>
      </c>
      <c r="C2620" t="s">
        <v>40</v>
      </c>
      <c r="D2620">
        <v>5.3040560000000001</v>
      </c>
      <c r="E2620">
        <v>0.49775419999999998</v>
      </c>
      <c r="F2620" t="s">
        <v>60</v>
      </c>
      <c r="G2620">
        <v>-169.3964</v>
      </c>
      <c r="H2620">
        <v>12.71978</v>
      </c>
      <c r="I2620">
        <v>209.2911</v>
      </c>
      <c r="J2620">
        <v>-349.8245</v>
      </c>
      <c r="K2620">
        <v>1.108714</v>
      </c>
      <c r="L2620">
        <v>213.81280000000001</v>
      </c>
      <c r="M2620">
        <v>0.99987230000000005</v>
      </c>
      <c r="N2620">
        <v>0</v>
      </c>
      <c r="O2620">
        <v>6.2278000000000003E-3</v>
      </c>
      <c r="P2620">
        <v>0.9819812</v>
      </c>
      <c r="Q2620">
        <v>0.1864133</v>
      </c>
      <c r="R2620">
        <v>-3.1035219999999999E-2</v>
      </c>
      <c r="S2620">
        <v>3.0160830000000001</v>
      </c>
      <c r="T2620">
        <v>0.1936039</v>
      </c>
      <c r="U2620">
        <v>-7.5347899999999995E-2</v>
      </c>
      <c r="V2620">
        <v>3.7170349999999998E-2</v>
      </c>
      <c r="W2620">
        <v>0.2008355</v>
      </c>
      <c r="X2620">
        <v>0.9789196</v>
      </c>
      <c r="Y2620">
        <v>3.112347E-2</v>
      </c>
      <c r="Z2620">
        <v>1.397075E-3</v>
      </c>
      <c r="AA2620">
        <v>0.99951460000000003</v>
      </c>
      <c r="AB2620">
        <v>47</v>
      </c>
      <c r="AC2620">
        <v>180.4281</v>
      </c>
      <c r="AD2620">
        <v>11.611065999999999</v>
      </c>
      <c r="AE2620">
        <v>-4.5217000000000098</v>
      </c>
      <c r="AF2620">
        <v>5.6221358338609102</v>
      </c>
      <c r="AG2620">
        <v>11.611065999999999</v>
      </c>
      <c r="AH2620">
        <v>179.65290876833501</v>
      </c>
      <c r="AI2620">
        <v>86.3038899083639</v>
      </c>
      <c r="AJ2620">
        <v>88.207546082037993</v>
      </c>
      <c r="AK2620">
        <v>180.11549876097399</v>
      </c>
      <c r="AL2620">
        <v>78.414179640281404</v>
      </c>
      <c r="AM2620">
        <v>87.825478680479094</v>
      </c>
      <c r="AN2620">
        <v>1.0000000581217601</v>
      </c>
    </row>
    <row r="2621" spans="1:40" x14ac:dyDescent="0.25">
      <c r="A2621" t="str">
        <f>"20190312164524178"</f>
        <v>20190312164524178</v>
      </c>
      <c r="B2621" t="str">
        <f>"1552380324174443"</f>
        <v>1552380324174443</v>
      </c>
      <c r="C2621" t="s">
        <v>40</v>
      </c>
      <c r="D2621">
        <v>5.2514880000000002</v>
      </c>
      <c r="E2621">
        <v>0.49613269999999998</v>
      </c>
      <c r="F2621" t="s">
        <v>48</v>
      </c>
      <c r="G2621">
        <v>-234.59889999999999</v>
      </c>
      <c r="H2621">
        <v>8.7926769999999994</v>
      </c>
      <c r="I2621">
        <v>211.5052</v>
      </c>
      <c r="J2621">
        <v>-349.36399999999998</v>
      </c>
      <c r="K2621">
        <v>1.108717</v>
      </c>
      <c r="L2621">
        <v>213.81559999999999</v>
      </c>
      <c r="M2621">
        <v>0.9998726</v>
      </c>
      <c r="N2621">
        <v>0</v>
      </c>
      <c r="O2621">
        <v>6.2086869999999897E-3</v>
      </c>
      <c r="P2621">
        <v>0.98199639999999999</v>
      </c>
      <c r="Q2621">
        <v>0.1863216</v>
      </c>
      <c r="R2621">
        <v>-3.110338E-2</v>
      </c>
      <c r="S2621">
        <v>3.0149840000000001</v>
      </c>
      <c r="T2621">
        <v>0.2010595</v>
      </c>
      <c r="U2621">
        <v>-6.037903E-2</v>
      </c>
      <c r="V2621">
        <v>3.7219969999999998E-2</v>
      </c>
      <c r="W2621">
        <v>0.20074120000000001</v>
      </c>
      <c r="X2621">
        <v>0.97893699999999995</v>
      </c>
      <c r="Y2621">
        <v>2.6158170000000001E-2</v>
      </c>
      <c r="Z2621">
        <v>1.284732E-3</v>
      </c>
      <c r="AA2621">
        <v>0.99965700000000002</v>
      </c>
      <c r="AB2621">
        <v>46</v>
      </c>
      <c r="AC2621">
        <v>114.7651</v>
      </c>
      <c r="AD2621">
        <v>7.6839599999999999</v>
      </c>
      <c r="AE2621">
        <v>-2.31039999999998</v>
      </c>
      <c r="AF2621">
        <v>3.0094875936316399</v>
      </c>
      <c r="AG2621">
        <v>7.6839599999999999</v>
      </c>
      <c r="AH2621">
        <v>114.236647490225</v>
      </c>
      <c r="AI2621">
        <v>86.153210809010403</v>
      </c>
      <c r="AJ2621">
        <v>88.490930295800297</v>
      </c>
      <c r="AK2621">
        <v>114.53432623743799</v>
      </c>
      <c r="AL2621">
        <v>78.419694303248605</v>
      </c>
      <c r="AM2621">
        <v>87.822617293268607</v>
      </c>
      <c r="AN2621">
        <v>1.00000000275662</v>
      </c>
    </row>
    <row r="2622" spans="1:40" x14ac:dyDescent="0.25">
      <c r="A2622" t="str">
        <f>"20190312164524192"</f>
        <v>20190312164524192</v>
      </c>
      <c r="B2622" t="str">
        <f>"1552380324184204"</f>
        <v>1552380324184204</v>
      </c>
      <c r="C2622" t="s">
        <v>40</v>
      </c>
      <c r="D2622">
        <v>5.3222110000000002</v>
      </c>
      <c r="E2622">
        <v>0.49571490000000001</v>
      </c>
      <c r="F2622" t="s">
        <v>48</v>
      </c>
      <c r="G2622">
        <v>-234.7002</v>
      </c>
      <c r="H2622">
        <v>9.0052669999999999</v>
      </c>
      <c r="I2622">
        <v>211.9923</v>
      </c>
      <c r="J2622">
        <v>-349.09530000000001</v>
      </c>
      <c r="K2622">
        <v>1.108716</v>
      </c>
      <c r="L2622">
        <v>213.81729999999999</v>
      </c>
      <c r="M2622">
        <v>0.99987269999999995</v>
      </c>
      <c r="N2622">
        <v>0</v>
      </c>
      <c r="O2622">
        <v>6.1972549999999996E-3</v>
      </c>
      <c r="P2622">
        <v>0.98201289999999997</v>
      </c>
      <c r="Q2622">
        <v>0.18624299999999999</v>
      </c>
      <c r="R2622">
        <v>-3.106302E-2</v>
      </c>
      <c r="S2622">
        <v>3.0140989999999999</v>
      </c>
      <c r="T2622">
        <v>0.20757339999999999</v>
      </c>
      <c r="U2622">
        <v>-4.7927860000000003E-2</v>
      </c>
      <c r="V2622">
        <v>3.7168350000000003E-2</v>
      </c>
      <c r="W2622">
        <v>0.20066129999999999</v>
      </c>
      <c r="X2622">
        <v>0.97895529999999997</v>
      </c>
      <c r="Y2622">
        <v>2.202921E-2</v>
      </c>
      <c r="Z2622">
        <v>1.18391E-3</v>
      </c>
      <c r="AA2622">
        <v>0.9997566</v>
      </c>
      <c r="AB2622">
        <v>46</v>
      </c>
      <c r="AC2622">
        <v>114.3951</v>
      </c>
      <c r="AD2622">
        <v>7.8965509999999997</v>
      </c>
      <c r="AE2622">
        <v>-1.82499999999998</v>
      </c>
      <c r="AF2622">
        <v>2.5219631749415399</v>
      </c>
      <c r="AG2622">
        <v>7.8965509999999997</v>
      </c>
      <c r="AH2622">
        <v>113.83928894760299</v>
      </c>
      <c r="AI2622">
        <v>86.032959886759301</v>
      </c>
      <c r="AJ2622">
        <v>88.730893217272296</v>
      </c>
      <c r="AK2622">
        <v>114.140700558772</v>
      </c>
      <c r="AL2622">
        <v>78.424366835837006</v>
      </c>
      <c r="AM2622">
        <v>87.825674790038704</v>
      </c>
      <c r="AN2622">
        <v>0.99999996147875003</v>
      </c>
    </row>
    <row r="2623" spans="1:40" x14ac:dyDescent="0.25">
      <c r="A2623" t="str">
        <f>"20190312164524213"</f>
        <v>20190312164524213</v>
      </c>
      <c r="B2623" t="str">
        <f>"1552380324204700"</f>
        <v>1552380324204700</v>
      </c>
      <c r="C2623" t="s">
        <v>40</v>
      </c>
      <c r="D2623">
        <v>5.2391740000000002</v>
      </c>
      <c r="E2623">
        <v>0.49535380000000001</v>
      </c>
      <c r="F2623" t="s">
        <v>48</v>
      </c>
      <c r="G2623">
        <v>-234.7002</v>
      </c>
      <c r="H2623">
        <v>9.0110299999999999</v>
      </c>
      <c r="I2623">
        <v>212.12100000000001</v>
      </c>
      <c r="J2623">
        <v>-348.64089999999999</v>
      </c>
      <c r="K2623">
        <v>1.108725</v>
      </c>
      <c r="L2623">
        <v>213.8201</v>
      </c>
      <c r="M2623">
        <v>0.99987269999999995</v>
      </c>
      <c r="N2623">
        <v>0</v>
      </c>
      <c r="O2623">
        <v>6.1786150000000001E-3</v>
      </c>
      <c r="P2623">
        <v>0.98191620000000002</v>
      </c>
      <c r="Q2623">
        <v>0.1867124</v>
      </c>
      <c r="R2623">
        <v>-3.128558E-2</v>
      </c>
      <c r="S2623">
        <v>3.0140380000000002</v>
      </c>
      <c r="T2623">
        <v>0.20820859999999999</v>
      </c>
      <c r="U2623">
        <v>-4.4692990000000002E-2</v>
      </c>
      <c r="V2623">
        <v>3.737244E-2</v>
      </c>
      <c r="W2623">
        <v>0.2011261</v>
      </c>
      <c r="X2623">
        <v>0.97885219999999995</v>
      </c>
      <c r="Y2623">
        <v>2.0940360000000002E-2</v>
      </c>
      <c r="Z2623">
        <v>1.1487089999999999E-3</v>
      </c>
      <c r="AA2623">
        <v>0.99978009999999995</v>
      </c>
      <c r="AB2623">
        <v>46</v>
      </c>
      <c r="AC2623">
        <v>113.94070000000001</v>
      </c>
      <c r="AD2623">
        <v>7.9023050000000001</v>
      </c>
      <c r="AE2623">
        <v>-1.69910000000001</v>
      </c>
      <c r="AF2623">
        <v>2.391638119544</v>
      </c>
      <c r="AG2623">
        <v>7.9023050000000001</v>
      </c>
      <c r="AH2623">
        <v>113.382769612787</v>
      </c>
      <c r="AI2623">
        <v>86.014054512157301</v>
      </c>
      <c r="AJ2623">
        <v>88.791611344554696</v>
      </c>
      <c r="AK2623">
        <v>113.68297498866799</v>
      </c>
      <c r="AL2623">
        <v>78.397182200350798</v>
      </c>
      <c r="AM2623">
        <v>87.813517157659504</v>
      </c>
      <c r="AN2623">
        <v>1.0000000184088</v>
      </c>
    </row>
    <row r="2624" spans="1:40" x14ac:dyDescent="0.25">
      <c r="A2624" t="str">
        <f>"20190312164524236"</f>
        <v>20190312164524236</v>
      </c>
      <c r="B2624" t="str">
        <f>"1552380324224219"</f>
        <v>1552380324224219</v>
      </c>
      <c r="C2624" t="s">
        <v>40</v>
      </c>
      <c r="D2624">
        <v>4.8600399999999997</v>
      </c>
      <c r="E2624">
        <v>0.49482229999999999</v>
      </c>
      <c r="F2624" t="s">
        <v>48</v>
      </c>
      <c r="G2624">
        <v>-234.6722</v>
      </c>
      <c r="H2624">
        <v>8.7029479999999992</v>
      </c>
      <c r="I2624">
        <v>212.22219999999999</v>
      </c>
      <c r="J2624">
        <v>-348.17070000000001</v>
      </c>
      <c r="K2624">
        <v>1.10873</v>
      </c>
      <c r="L2624">
        <v>213.82300000000001</v>
      </c>
      <c r="M2624">
        <v>0.99987300000000001</v>
      </c>
      <c r="N2624">
        <v>0</v>
      </c>
      <c r="O2624">
        <v>6.158785E-3</v>
      </c>
      <c r="P2624">
        <v>0.98192740000000001</v>
      </c>
      <c r="Q2624">
        <v>0.18666369999999999</v>
      </c>
      <c r="R2624">
        <v>-3.1235809999999999E-2</v>
      </c>
      <c r="S2624">
        <v>3.0157470000000002</v>
      </c>
      <c r="T2624">
        <v>0.20095360000000001</v>
      </c>
      <c r="U2624">
        <v>-4.2282100000000003E-2</v>
      </c>
      <c r="V2624">
        <v>3.7303139999999999E-2</v>
      </c>
      <c r="W2624">
        <v>0.20107510000000001</v>
      </c>
      <c r="X2624">
        <v>0.97886530000000005</v>
      </c>
      <c r="Y2624">
        <v>2.0119379999999999E-2</v>
      </c>
      <c r="Z2624">
        <v>1.079511E-3</v>
      </c>
      <c r="AA2624">
        <v>0.99979700000000005</v>
      </c>
      <c r="AB2624">
        <v>46</v>
      </c>
      <c r="AC2624">
        <v>113.49850000000001</v>
      </c>
      <c r="AD2624">
        <v>7.5942179999999997</v>
      </c>
      <c r="AE2624">
        <v>-1.60079999999999</v>
      </c>
      <c r="AF2624">
        <v>2.2896095027525001</v>
      </c>
      <c r="AG2624">
        <v>7.5942179999999997</v>
      </c>
      <c r="AH2624">
        <v>112.980774025063</v>
      </c>
      <c r="AI2624">
        <v>86.155326489423601</v>
      </c>
      <c r="AJ2624">
        <v>88.839032498860902</v>
      </c>
      <c r="AK2624">
        <v>113.258861719553</v>
      </c>
      <c r="AL2624">
        <v>78.400164984346503</v>
      </c>
      <c r="AM2624">
        <v>87.817596824160006</v>
      </c>
      <c r="AN2624">
        <v>0.99999999781897897</v>
      </c>
    </row>
    <row r="2625" spans="1:40" x14ac:dyDescent="0.25">
      <c r="A2625" t="str">
        <f>"20190312164524256"</f>
        <v>20190312164524256</v>
      </c>
      <c r="B2625" t="str">
        <f>"1552380324254475"</f>
        <v>1552380324254475</v>
      </c>
      <c r="C2625" t="s">
        <v>40</v>
      </c>
      <c r="D2625">
        <v>4.968572</v>
      </c>
      <c r="E2625">
        <v>0.49391099999999999</v>
      </c>
      <c r="F2625" t="s">
        <v>61</v>
      </c>
      <c r="G2625">
        <v>-107.39749999999999</v>
      </c>
      <c r="H2625">
        <v>16.956029999999998</v>
      </c>
      <c r="I2625">
        <v>210.79499999999999</v>
      </c>
      <c r="J2625">
        <v>-347.74720000000002</v>
      </c>
      <c r="K2625">
        <v>1.108733</v>
      </c>
      <c r="L2625">
        <v>213.82560000000001</v>
      </c>
      <c r="M2625">
        <v>0.99987320000000002</v>
      </c>
      <c r="N2625">
        <v>0</v>
      </c>
      <c r="O2625">
        <v>6.1411599999999997E-3</v>
      </c>
      <c r="P2625">
        <v>0.98188969999999998</v>
      </c>
      <c r="Q2625">
        <v>0.18690770000000001</v>
      </c>
      <c r="R2625">
        <v>-3.095266E-2</v>
      </c>
      <c r="S2625">
        <v>3.0162659999999999</v>
      </c>
      <c r="T2625">
        <v>0.19852629999999999</v>
      </c>
      <c r="U2625">
        <v>-3.7933349999999998E-2</v>
      </c>
      <c r="V2625">
        <v>3.7002899999999998E-2</v>
      </c>
      <c r="W2625">
        <v>0.2013161</v>
      </c>
      <c r="X2625">
        <v>0.97882720000000001</v>
      </c>
      <c r="Y2625">
        <v>1.8662709999999999E-2</v>
      </c>
      <c r="Z2625">
        <v>1.0172829999999999E-3</v>
      </c>
      <c r="AA2625">
        <v>0.99982530000000003</v>
      </c>
      <c r="AB2625">
        <v>46</v>
      </c>
      <c r="AC2625">
        <v>240.34970000000001</v>
      </c>
      <c r="AD2625">
        <v>15.8472969999999</v>
      </c>
      <c r="AE2625">
        <v>-3.0306000000000202</v>
      </c>
      <c r="AF2625">
        <v>4.4872237744273598</v>
      </c>
      <c r="AG2625">
        <v>15.8472969999999</v>
      </c>
      <c r="AH2625">
        <v>239.286459993254</v>
      </c>
      <c r="AI2625">
        <v>86.2116522653658</v>
      </c>
      <c r="AJ2625">
        <v>88.9256857513451</v>
      </c>
      <c r="AK2625">
        <v>239.852625450528</v>
      </c>
      <c r="AL2625">
        <v>78.386068904929203</v>
      </c>
      <c r="AM2625">
        <v>87.835061262661597</v>
      </c>
      <c r="AN2625">
        <v>1.0000000370937201</v>
      </c>
    </row>
    <row r="2626" spans="1:40" x14ac:dyDescent="0.25">
      <c r="A2626" t="str">
        <f>"20190312164524279"</f>
        <v>20190312164524279</v>
      </c>
      <c r="B2626" t="str">
        <f>"1552380324273995"</f>
        <v>1552380324273995</v>
      </c>
      <c r="C2626" t="s">
        <v>40</v>
      </c>
      <c r="D2626">
        <v>4.8644569999999998</v>
      </c>
      <c r="E2626">
        <v>0.49355549999999998</v>
      </c>
      <c r="F2626" t="s">
        <v>61</v>
      </c>
      <c r="G2626">
        <v>-107.39749999999999</v>
      </c>
      <c r="H2626">
        <v>16.845839999999999</v>
      </c>
      <c r="I2626">
        <v>211.42580000000001</v>
      </c>
      <c r="J2626">
        <v>-347.27940000000001</v>
      </c>
      <c r="K2626">
        <v>1.1087340000000001</v>
      </c>
      <c r="L2626">
        <v>213.82849999999999</v>
      </c>
      <c r="M2626">
        <v>0.99987329999999996</v>
      </c>
      <c r="N2626">
        <v>0</v>
      </c>
      <c r="O2626">
        <v>6.1204909999999996E-3</v>
      </c>
      <c r="P2626">
        <v>0.98192380000000001</v>
      </c>
      <c r="Q2626">
        <v>0.18679280000000001</v>
      </c>
      <c r="R2626">
        <v>-3.0564379999999999E-2</v>
      </c>
      <c r="S2626">
        <v>3.0167540000000002</v>
      </c>
      <c r="T2626">
        <v>0.19752529999999999</v>
      </c>
      <c r="U2626">
        <v>-3.0120850000000001E-2</v>
      </c>
      <c r="V2626">
        <v>3.6594469999999997E-2</v>
      </c>
      <c r="W2626">
        <v>0.20119890000000001</v>
      </c>
      <c r="X2626">
        <v>0.97886660000000003</v>
      </c>
      <c r="Y2626">
        <v>1.6057200000000001E-2</v>
      </c>
      <c r="Z2626">
        <v>9.2545789999999995E-4</v>
      </c>
      <c r="AA2626">
        <v>0.9998707</v>
      </c>
      <c r="AB2626">
        <v>46</v>
      </c>
      <c r="AC2626">
        <v>239.8819</v>
      </c>
      <c r="AD2626">
        <v>15.737106000000001</v>
      </c>
      <c r="AE2626">
        <v>-2.4026999999999799</v>
      </c>
      <c r="AF2626">
        <v>3.8544214334385698</v>
      </c>
      <c r="AG2626">
        <v>15.737106000000001</v>
      </c>
      <c r="AH2626">
        <v>238.83489775089399</v>
      </c>
      <c r="AI2626">
        <v>86.230654087641</v>
      </c>
      <c r="AJ2626">
        <v>89.075416059502402</v>
      </c>
      <c r="AK2626">
        <v>239.383837076612</v>
      </c>
      <c r="AL2626">
        <v>78.392923647103103</v>
      </c>
      <c r="AM2626">
        <v>87.859021123164496</v>
      </c>
      <c r="AN2626">
        <v>0.99999998659567502</v>
      </c>
    </row>
    <row r="2627" spans="1:40" x14ac:dyDescent="0.25">
      <c r="A2627" t="str">
        <f>"20190312164524302"</f>
        <v>20190312164524302</v>
      </c>
      <c r="B2627" t="str">
        <f>"1552380324294494"</f>
        <v>1552380324294494</v>
      </c>
      <c r="C2627" t="s">
        <v>40</v>
      </c>
      <c r="D2627">
        <v>5.0530929999999996</v>
      </c>
      <c r="E2627">
        <v>0.49336069999999999</v>
      </c>
      <c r="F2627" t="s">
        <v>61</v>
      </c>
      <c r="G2627">
        <v>-107.39749999999999</v>
      </c>
      <c r="H2627">
        <v>16.856960000000001</v>
      </c>
      <c r="I2627">
        <v>211.75489999999999</v>
      </c>
      <c r="J2627">
        <v>-346.80119999999999</v>
      </c>
      <c r="K2627">
        <v>1.1087359999999999</v>
      </c>
      <c r="L2627">
        <v>213.8314</v>
      </c>
      <c r="M2627">
        <v>0.99987349999999997</v>
      </c>
      <c r="N2627">
        <v>0</v>
      </c>
      <c r="O2627">
        <v>6.0966419999999898E-3</v>
      </c>
      <c r="P2627">
        <v>0.98186240000000002</v>
      </c>
      <c r="Q2627">
        <v>0.18713160000000001</v>
      </c>
      <c r="R2627">
        <v>-3.046575E-2</v>
      </c>
      <c r="S2627">
        <v>3.0168149999999998</v>
      </c>
      <c r="T2627">
        <v>0.19805429999999999</v>
      </c>
      <c r="U2627">
        <v>-2.607727E-2</v>
      </c>
      <c r="V2627">
        <v>3.6472930000000001E-2</v>
      </c>
      <c r="W2627">
        <v>0.2015333</v>
      </c>
      <c r="X2627">
        <v>0.97880230000000001</v>
      </c>
      <c r="Y2627">
        <v>1.469581E-2</v>
      </c>
      <c r="Z2627">
        <v>8.8171460000000001E-4</v>
      </c>
      <c r="AA2627">
        <v>0.99989159999999999</v>
      </c>
      <c r="AB2627">
        <v>46</v>
      </c>
      <c r="AC2627">
        <v>239.40369999999999</v>
      </c>
      <c r="AD2627">
        <v>15.748223999999899</v>
      </c>
      <c r="AE2627">
        <v>-2.07650000000001</v>
      </c>
      <c r="AF2627">
        <v>3.5209430904672598</v>
      </c>
      <c r="AG2627">
        <v>15.748223999999899</v>
      </c>
      <c r="AH2627">
        <v>238.355268525957</v>
      </c>
      <c r="AI2627">
        <v>86.220351001359305</v>
      </c>
      <c r="AJ2627">
        <v>89.153698137988997</v>
      </c>
      <c r="AK2627">
        <v>238.90089500351701</v>
      </c>
      <c r="AL2627">
        <v>78.373362762704502</v>
      </c>
      <c r="AM2627">
        <v>87.865985250859694</v>
      </c>
      <c r="AN2627">
        <v>0.99999994405848003</v>
      </c>
    </row>
    <row r="2628" spans="1:40" x14ac:dyDescent="0.25">
      <c r="A2628" t="str">
        <f>"20190312164524323"</f>
        <v>20190312164524323</v>
      </c>
      <c r="B2628" t="str">
        <f>"1552380324314011"</f>
        <v>1552380324314011</v>
      </c>
      <c r="C2628" t="s">
        <v>40</v>
      </c>
      <c r="D2628">
        <v>5.02475</v>
      </c>
      <c r="E2628">
        <v>0.49302099999999999</v>
      </c>
      <c r="F2628" t="s">
        <v>61</v>
      </c>
      <c r="G2628">
        <v>-107.39749999999999</v>
      </c>
      <c r="H2628">
        <v>16.43515</v>
      </c>
      <c r="I2628">
        <v>211.9794</v>
      </c>
      <c r="J2628">
        <v>-346.35759999999999</v>
      </c>
      <c r="K2628">
        <v>1.1087370000000001</v>
      </c>
      <c r="L2628">
        <v>213.83410000000001</v>
      </c>
      <c r="M2628">
        <v>0.99987380000000003</v>
      </c>
      <c r="N2628">
        <v>0</v>
      </c>
      <c r="O2628">
        <v>6.07056E-3</v>
      </c>
      <c r="P2628">
        <v>0.98201419999999995</v>
      </c>
      <c r="Q2628">
        <v>0.1863525</v>
      </c>
      <c r="R2628">
        <v>-3.0350189999999999E-2</v>
      </c>
      <c r="S2628">
        <v>3.0178530000000001</v>
      </c>
      <c r="T2628">
        <v>0.19320090000000001</v>
      </c>
      <c r="U2628">
        <v>-2.3345950000000001E-2</v>
      </c>
      <c r="V2628">
        <v>3.6334129999999999E-2</v>
      </c>
      <c r="W2628">
        <v>0.2007543</v>
      </c>
      <c r="X2628">
        <v>0.97896760000000005</v>
      </c>
      <c r="Y2628">
        <v>1.3766E-2</v>
      </c>
      <c r="Z2628">
        <v>8.2846030000000004E-4</v>
      </c>
      <c r="AA2628">
        <v>0.99990489999999999</v>
      </c>
      <c r="AB2628">
        <v>46</v>
      </c>
      <c r="AC2628">
        <v>238.96010000000001</v>
      </c>
      <c r="AD2628">
        <v>15.326413000000001</v>
      </c>
      <c r="AE2628">
        <v>-1.8547</v>
      </c>
      <c r="AF2628">
        <v>3.2919027843371098</v>
      </c>
      <c r="AG2628">
        <v>15.326413000000001</v>
      </c>
      <c r="AH2628">
        <v>237.965580942494</v>
      </c>
      <c r="AI2628">
        <v>86.315248981976595</v>
      </c>
      <c r="AJ2628">
        <v>89.207447962005006</v>
      </c>
      <c r="AK2628">
        <v>238.48134785069999</v>
      </c>
      <c r="AL2628">
        <v>78.418928215553194</v>
      </c>
      <c r="AM2628">
        <v>87.874457542735001</v>
      </c>
      <c r="AN2628">
        <v>1.0000000099105499</v>
      </c>
    </row>
    <row r="2629" spans="1:40" x14ac:dyDescent="0.25">
      <c r="A2629" t="str">
        <f>"20190312164524346"</f>
        <v>20190312164524346</v>
      </c>
      <c r="B2629" t="str">
        <f>"1552380324334507"</f>
        <v>1552380324334507</v>
      </c>
      <c r="C2629" t="s">
        <v>40</v>
      </c>
      <c r="D2629">
        <v>5.1194199999999999</v>
      </c>
      <c r="E2629">
        <v>0.49341089999999999</v>
      </c>
      <c r="F2629" t="s">
        <v>61</v>
      </c>
      <c r="G2629">
        <v>-107.39749999999999</v>
      </c>
      <c r="H2629">
        <v>15.734579999999999</v>
      </c>
      <c r="I2629">
        <v>212.2303</v>
      </c>
      <c r="J2629">
        <v>-345.90039999999999</v>
      </c>
      <c r="K2629">
        <v>1.1087320000000001</v>
      </c>
      <c r="L2629">
        <v>213.83680000000001</v>
      </c>
      <c r="M2629">
        <v>0.99987389999999998</v>
      </c>
      <c r="N2629">
        <v>0</v>
      </c>
      <c r="O2629">
        <v>6.0383729999999997E-3</v>
      </c>
      <c r="P2629">
        <v>0.98216630000000005</v>
      </c>
      <c r="Q2629">
        <v>0.18565180000000001</v>
      </c>
      <c r="R2629">
        <v>-2.9709159999999998E-2</v>
      </c>
      <c r="S2629">
        <v>3.0192260000000002</v>
      </c>
      <c r="T2629">
        <v>0.18479599999999999</v>
      </c>
      <c r="U2629">
        <v>-2.0263670000000001E-2</v>
      </c>
      <c r="V2629">
        <v>3.5664639999999997E-2</v>
      </c>
      <c r="W2629">
        <v>0.2000526</v>
      </c>
      <c r="X2629">
        <v>0.97913589999999995</v>
      </c>
      <c r="Y2629">
        <v>1.271507E-2</v>
      </c>
      <c r="Z2629">
        <v>7.5803109999999997E-4</v>
      </c>
      <c r="AA2629">
        <v>0.99991890000000005</v>
      </c>
      <c r="AB2629">
        <v>46</v>
      </c>
      <c r="AC2629">
        <v>238.50290000000001</v>
      </c>
      <c r="AD2629">
        <v>14.625848</v>
      </c>
      <c r="AE2629">
        <v>-1.60650000000001</v>
      </c>
      <c r="AF2629">
        <v>3.0353812655741099</v>
      </c>
      <c r="AG2629">
        <v>14.625848</v>
      </c>
      <c r="AH2629">
        <v>237.59539334186999</v>
      </c>
      <c r="AI2629">
        <v>86.477729903652204</v>
      </c>
      <c r="AJ2629">
        <v>89.268062092451501</v>
      </c>
      <c r="AK2629">
        <v>238.06448686527</v>
      </c>
      <c r="AL2629">
        <v>78.459965748261993</v>
      </c>
      <c r="AM2629">
        <v>87.913946001947394</v>
      </c>
      <c r="AN2629">
        <v>1.00000005999094</v>
      </c>
    </row>
    <row r="2630" spans="1:40" x14ac:dyDescent="0.25">
      <c r="A2630" t="str">
        <f>"20190312164524368"</f>
        <v>20190312164524368</v>
      </c>
      <c r="B2630" t="str">
        <f>"1552380324363786"</f>
        <v>1552380324363786</v>
      </c>
      <c r="C2630" t="s">
        <v>40</v>
      </c>
      <c r="D2630">
        <v>5.1212980000000003</v>
      </c>
      <c r="E2630">
        <v>0.49314789999999997</v>
      </c>
      <c r="F2630" t="s">
        <v>61</v>
      </c>
      <c r="G2630">
        <v>-107.39749999999999</v>
      </c>
      <c r="H2630">
        <v>15.186059999999999</v>
      </c>
      <c r="I2630">
        <v>212.1534</v>
      </c>
      <c r="J2630">
        <v>-345.44319999999999</v>
      </c>
      <c r="K2630">
        <v>1.108722</v>
      </c>
      <c r="L2630">
        <v>213.83949999999999</v>
      </c>
      <c r="M2630">
        <v>0.99987409999999999</v>
      </c>
      <c r="N2630">
        <v>0</v>
      </c>
      <c r="O2630">
        <v>5.9994890000000002E-3</v>
      </c>
      <c r="P2630">
        <v>0.98230980000000001</v>
      </c>
      <c r="Q2630">
        <v>0.18495739999999999</v>
      </c>
      <c r="R2630">
        <v>-2.9289519999999999E-2</v>
      </c>
      <c r="S2630">
        <v>3.0201720000000001</v>
      </c>
      <c r="T2630">
        <v>0.17826249999999999</v>
      </c>
      <c r="U2630">
        <v>-2.131653E-2</v>
      </c>
      <c r="V2630">
        <v>3.5210560000000002E-2</v>
      </c>
      <c r="W2630">
        <v>0.1993578</v>
      </c>
      <c r="X2630">
        <v>0.979294</v>
      </c>
      <c r="Y2630">
        <v>1.3024630000000001E-2</v>
      </c>
      <c r="Z2630">
        <v>7.3788300000000005E-4</v>
      </c>
      <c r="AA2630">
        <v>0.99991490000000005</v>
      </c>
      <c r="AB2630">
        <v>46</v>
      </c>
      <c r="AC2630">
        <v>238.04570000000001</v>
      </c>
      <c r="AD2630">
        <v>14.077337999999999</v>
      </c>
      <c r="AE2630">
        <v>-1.6860999999999799</v>
      </c>
      <c r="AF2630">
        <v>3.1035232278023601</v>
      </c>
      <c r="AG2630">
        <v>14.077337999999999</v>
      </c>
      <c r="AH2630">
        <v>237.20179774638001</v>
      </c>
      <c r="AI2630">
        <v>86.603911432077695</v>
      </c>
      <c r="AJ2630">
        <v>89.250390855067906</v>
      </c>
      <c r="AK2630">
        <v>237.63942466624999</v>
      </c>
      <c r="AL2630">
        <v>78.500592871435401</v>
      </c>
      <c r="AM2630">
        <v>87.940814701885202</v>
      </c>
      <c r="AN2630">
        <v>1.00000002719617</v>
      </c>
    </row>
    <row r="2631" spans="1:40" x14ac:dyDescent="0.25">
      <c r="A2631" t="str">
        <f>"20190312164524392"</f>
        <v>20190312164524392</v>
      </c>
      <c r="B2631" t="str">
        <f>"1552380324384282"</f>
        <v>1552380324384282</v>
      </c>
      <c r="C2631" t="s">
        <v>40</v>
      </c>
      <c r="D2631">
        <v>4.6710909999999997</v>
      </c>
      <c r="E2631">
        <v>0.49311749999999999</v>
      </c>
      <c r="F2631" t="s">
        <v>61</v>
      </c>
      <c r="G2631">
        <v>-107.39749999999999</v>
      </c>
      <c r="H2631">
        <v>14.701840000000001</v>
      </c>
      <c r="I2631">
        <v>212.4436</v>
      </c>
      <c r="J2631">
        <v>-344.9554</v>
      </c>
      <c r="K2631">
        <v>1.1087129999999901</v>
      </c>
      <c r="L2631">
        <v>213.8424</v>
      </c>
      <c r="M2631">
        <v>0.99987459999999995</v>
      </c>
      <c r="N2631">
        <v>0</v>
      </c>
      <c r="O2631">
        <v>5.9469259999999999E-3</v>
      </c>
      <c r="P2631">
        <v>0.98252139999999999</v>
      </c>
      <c r="Q2631">
        <v>0.18388640000000001</v>
      </c>
      <c r="R2631">
        <v>-2.8944649999999999E-2</v>
      </c>
      <c r="S2631">
        <v>3.0210270000000001</v>
      </c>
      <c r="T2631">
        <v>0.17251029999999901</v>
      </c>
      <c r="U2631">
        <v>-1.7715450000000001E-2</v>
      </c>
      <c r="V2631">
        <v>3.4818689999999999E-2</v>
      </c>
      <c r="W2631">
        <v>0.19828580000000001</v>
      </c>
      <c r="X2631">
        <v>0.9795256</v>
      </c>
      <c r="Y2631">
        <v>1.178243E-2</v>
      </c>
      <c r="Z2631">
        <v>6.7547630000000004E-4</v>
      </c>
      <c r="AA2631">
        <v>0.9999304</v>
      </c>
      <c r="AB2631">
        <v>46</v>
      </c>
      <c r="AC2631">
        <v>237.55789999999999</v>
      </c>
      <c r="AD2631">
        <v>13.593127000000001</v>
      </c>
      <c r="AE2631">
        <v>-1.3987999999999901</v>
      </c>
      <c r="AF2631">
        <v>2.8024912167929599</v>
      </c>
      <c r="AG2631">
        <v>13.593127000000001</v>
      </c>
      <c r="AH2631">
        <v>236.77018247654499</v>
      </c>
      <c r="AI2631">
        <v>86.714449228443996</v>
      </c>
      <c r="AJ2631">
        <v>89.321859622709397</v>
      </c>
      <c r="AK2631">
        <v>237.17661429541201</v>
      </c>
      <c r="AL2631">
        <v>78.563264848626901</v>
      </c>
      <c r="AM2631">
        <v>87.964193713355399</v>
      </c>
      <c r="AN2631">
        <v>1.0000000003551499</v>
      </c>
    </row>
    <row r="2632" spans="1:40" x14ac:dyDescent="0.25">
      <c r="A2632" t="str">
        <f>"20190312164524413"</f>
        <v>20190312164524413</v>
      </c>
      <c r="B2632" t="str">
        <f>"1552380324403806"</f>
        <v>1552380324403806</v>
      </c>
      <c r="C2632" t="s">
        <v>40</v>
      </c>
      <c r="D2632">
        <v>4.7309029999999996</v>
      </c>
      <c r="E2632">
        <v>0.49293550000000003</v>
      </c>
      <c r="F2632" t="s">
        <v>61</v>
      </c>
      <c r="G2632">
        <v>-107.39749999999999</v>
      </c>
      <c r="H2632">
        <v>14.311030000000001</v>
      </c>
      <c r="I2632">
        <v>212.55869999999999</v>
      </c>
      <c r="J2632">
        <v>-344.5163</v>
      </c>
      <c r="K2632">
        <v>1.1086990000000001</v>
      </c>
      <c r="L2632">
        <v>213.845</v>
      </c>
      <c r="M2632">
        <v>0.99987490000000001</v>
      </c>
      <c r="N2632">
        <v>0</v>
      </c>
      <c r="O2632">
        <v>5.8898279999999997E-3</v>
      </c>
      <c r="P2632">
        <v>0.98261109999999896</v>
      </c>
      <c r="Q2632">
        <v>0.18347440000000001</v>
      </c>
      <c r="R2632">
        <v>-2.8505240000000001E-2</v>
      </c>
      <c r="S2632">
        <v>3.021423</v>
      </c>
      <c r="T2632">
        <v>0.16791679999999901</v>
      </c>
      <c r="U2632">
        <v>-1.6326899999999998E-2</v>
      </c>
      <c r="V2632">
        <v>3.4327400000000001E-2</v>
      </c>
      <c r="W2632">
        <v>0.19787260000000001</v>
      </c>
      <c r="X2632">
        <v>0.97962649999999996</v>
      </c>
      <c r="Y2632">
        <v>1.126744E-2</v>
      </c>
      <c r="Z2632">
        <v>6.3996249999999995E-4</v>
      </c>
      <c r="AA2632">
        <v>0.9999363</v>
      </c>
      <c r="AB2632">
        <v>46</v>
      </c>
      <c r="AC2632">
        <v>237.11879999999999</v>
      </c>
      <c r="AD2632">
        <v>13.202330999999999</v>
      </c>
      <c r="AE2632">
        <v>-1.28630000000001</v>
      </c>
      <c r="AF2632">
        <v>2.6747255847194999</v>
      </c>
      <c r="AG2632">
        <v>13.202330999999999</v>
      </c>
      <c r="AH2632">
        <v>236.37435763481199</v>
      </c>
      <c r="AI2632">
        <v>86.803356963127499</v>
      </c>
      <c r="AJ2632">
        <v>89.3516896312981</v>
      </c>
      <c r="AK2632">
        <v>236.75787768954399</v>
      </c>
      <c r="AL2632">
        <v>78.587418122538395</v>
      </c>
      <c r="AM2632">
        <v>87.993101737333802</v>
      </c>
      <c r="AN2632">
        <v>1.00000000786188</v>
      </c>
    </row>
    <row r="2633" spans="1:40" x14ac:dyDescent="0.25">
      <c r="A2633" t="str">
        <f>"20190312164524436"</f>
        <v>20190312164524436</v>
      </c>
      <c r="B2633" t="str">
        <f>"1552380324424299"</f>
        <v>1552380324424299</v>
      </c>
      <c r="C2633" t="s">
        <v>40</v>
      </c>
      <c r="D2633">
        <v>3.7588050000000002</v>
      </c>
      <c r="E2633">
        <v>0.49283339999999998</v>
      </c>
      <c r="F2633" t="s">
        <v>61</v>
      </c>
      <c r="G2633">
        <v>-107.39749999999999</v>
      </c>
      <c r="H2633">
        <v>14.28956</v>
      </c>
      <c r="I2633">
        <v>212.7696</v>
      </c>
      <c r="J2633">
        <v>-344.04520000000002</v>
      </c>
      <c r="K2633">
        <v>1.108687</v>
      </c>
      <c r="L2633">
        <v>213.8477</v>
      </c>
      <c r="M2633">
        <v>0.99987530000000002</v>
      </c>
      <c r="N2633">
        <v>0</v>
      </c>
      <c r="O2633">
        <v>5.8196009999999998E-3</v>
      </c>
      <c r="P2633">
        <v>0.9826452</v>
      </c>
      <c r="Q2633">
        <v>0.183278</v>
      </c>
      <c r="R2633">
        <v>-2.8595949999999998E-2</v>
      </c>
      <c r="S2633">
        <v>3.0213619999999999</v>
      </c>
      <c r="T2633">
        <v>0.16795089999999999</v>
      </c>
      <c r="U2633">
        <v>-1.370239E-2</v>
      </c>
      <c r="V2633">
        <v>3.4353349999999998E-2</v>
      </c>
      <c r="W2633">
        <v>0.19767299999999999</v>
      </c>
      <c r="X2633">
        <v>0.97966589999999998</v>
      </c>
      <c r="Y2633">
        <v>1.0330280000000001E-2</v>
      </c>
      <c r="Z2633">
        <v>6.1017799999999996E-4</v>
      </c>
      <c r="AA2633">
        <v>0.99994649999999996</v>
      </c>
      <c r="AB2633">
        <v>46</v>
      </c>
      <c r="AC2633">
        <v>236.64769999999999</v>
      </c>
      <c r="AD2633">
        <v>13.180873</v>
      </c>
      <c r="AE2633">
        <v>-1.0781000000000001</v>
      </c>
      <c r="AF2633">
        <v>2.4478316092429999</v>
      </c>
      <c r="AG2633">
        <v>13.180873</v>
      </c>
      <c r="AH2633">
        <v>235.905582281417</v>
      </c>
      <c r="AI2633">
        <v>86.802180574340397</v>
      </c>
      <c r="AJ2633">
        <v>89.405502041778007</v>
      </c>
      <c r="AK2633">
        <v>236.28620578477299</v>
      </c>
      <c r="AL2633">
        <v>78.599084960397704</v>
      </c>
      <c r="AM2633">
        <v>87.991666560620203</v>
      </c>
      <c r="AN2633">
        <v>1.0000000216040099</v>
      </c>
    </row>
    <row r="2634" spans="1:40" x14ac:dyDescent="0.25">
      <c r="A2634" t="str">
        <f>"20190312164524458"</f>
        <v>20190312164524458</v>
      </c>
      <c r="B2634" t="str">
        <f>"1552380324454556"</f>
        <v>1552380324454556</v>
      </c>
      <c r="C2634" t="s">
        <v>40</v>
      </c>
      <c r="D2634">
        <v>4.9081229999999998</v>
      </c>
      <c r="E2634">
        <v>0.49273240000000001</v>
      </c>
      <c r="F2634" t="s">
        <v>61</v>
      </c>
      <c r="G2634">
        <v>-107.39749999999999</v>
      </c>
      <c r="H2634">
        <v>14.28012</v>
      </c>
      <c r="I2634">
        <v>212.82939999999999</v>
      </c>
      <c r="J2634">
        <v>-343.58890000000002</v>
      </c>
      <c r="K2634">
        <v>1.108684</v>
      </c>
      <c r="L2634">
        <v>213.8503</v>
      </c>
      <c r="M2634">
        <v>0.99987579999999998</v>
      </c>
      <c r="N2634">
        <v>0</v>
      </c>
      <c r="O2634">
        <v>5.7428180000000002E-3</v>
      </c>
      <c r="P2634">
        <v>0.98268860000000002</v>
      </c>
      <c r="Q2634">
        <v>0.1830919</v>
      </c>
      <c r="R2634">
        <v>-2.829682E-2</v>
      </c>
      <c r="S2634">
        <v>3.02121</v>
      </c>
      <c r="T2634">
        <v>0.16815629999999901</v>
      </c>
      <c r="U2634">
        <v>-1.300049E-2</v>
      </c>
      <c r="V2634">
        <v>3.3983079999999999E-2</v>
      </c>
      <c r="W2634">
        <v>0.1974842</v>
      </c>
      <c r="X2634">
        <v>0.9797169</v>
      </c>
      <c r="Y2634">
        <v>1.002195E-2</v>
      </c>
      <c r="Z2634">
        <v>5.9810929999999998E-4</v>
      </c>
      <c r="AA2634">
        <v>0.99994959999999999</v>
      </c>
      <c r="AB2634">
        <v>46</v>
      </c>
      <c r="AC2634">
        <v>236.19139999999999</v>
      </c>
      <c r="AD2634">
        <v>13.171436</v>
      </c>
      <c r="AE2634">
        <v>-1.0209000000000099</v>
      </c>
      <c r="AF2634">
        <v>2.37006311628899</v>
      </c>
      <c r="AG2634">
        <v>13.171436</v>
      </c>
      <c r="AH2634">
        <v>235.44944436505301</v>
      </c>
      <c r="AI2634">
        <v>86.798277349445499</v>
      </c>
      <c r="AJ2634">
        <v>89.423273102887094</v>
      </c>
      <c r="AK2634">
        <v>235.82948241746499</v>
      </c>
      <c r="AL2634">
        <v>78.610120050197494</v>
      </c>
      <c r="AM2634">
        <v>88.013398835179899</v>
      </c>
      <c r="AN2634">
        <v>1.00000003156076</v>
      </c>
    </row>
    <row r="2635" spans="1:40" x14ac:dyDescent="0.25">
      <c r="A2635" t="str">
        <f>"20190312164524481"</f>
        <v>20190312164524481</v>
      </c>
      <c r="B2635" t="str">
        <f>"1552380324474075"</f>
        <v>1552380324474075</v>
      </c>
      <c r="C2635" t="s">
        <v>40</v>
      </c>
      <c r="D2635">
        <v>4.9787889999999999</v>
      </c>
      <c r="E2635">
        <v>0.49236370000000002</v>
      </c>
      <c r="F2635" t="s">
        <v>61</v>
      </c>
      <c r="G2635">
        <v>-107.39749999999999</v>
      </c>
      <c r="H2635">
        <v>14.286160000000001</v>
      </c>
      <c r="I2635">
        <v>212.96870000000001</v>
      </c>
      <c r="J2635">
        <v>-343.11660000000001</v>
      </c>
      <c r="K2635">
        <v>1.1086750000000001</v>
      </c>
      <c r="L2635">
        <v>213.85290000000001</v>
      </c>
      <c r="M2635">
        <v>0.9998764</v>
      </c>
      <c r="N2635">
        <v>0</v>
      </c>
      <c r="O2635">
        <v>5.6530819999999898E-3</v>
      </c>
      <c r="P2635">
        <v>0.98271969999999997</v>
      </c>
      <c r="Q2635">
        <v>0.18298529999999999</v>
      </c>
      <c r="R2635">
        <v>-2.790573E-2</v>
      </c>
      <c r="S2635">
        <v>3.0210569999999999</v>
      </c>
      <c r="T2635">
        <v>0.16855000000000001</v>
      </c>
      <c r="U2635">
        <v>-1.127625E-2</v>
      </c>
      <c r="V2635">
        <v>3.3508620000000003E-2</v>
      </c>
      <c r="W2635">
        <v>0.1973743</v>
      </c>
      <c r="X2635">
        <v>0.9797553</v>
      </c>
      <c r="Y2635">
        <v>9.3627629999999996E-3</v>
      </c>
      <c r="Z2635">
        <v>5.7616109999999998E-4</v>
      </c>
      <c r="AA2635">
        <v>0.99995599999999996</v>
      </c>
      <c r="AB2635">
        <v>46</v>
      </c>
      <c r="AC2635">
        <v>235.7191</v>
      </c>
      <c r="AD2635">
        <v>13.177485000000001</v>
      </c>
      <c r="AE2635">
        <v>-0.88419999999999199</v>
      </c>
      <c r="AF2635">
        <v>2.2099622521845301</v>
      </c>
      <c r="AG2635">
        <v>13.177485000000001</v>
      </c>
      <c r="AH2635">
        <v>234.97600091737999</v>
      </c>
      <c r="AI2635">
        <v>86.790348908177194</v>
      </c>
      <c r="AJ2635">
        <v>89.461145920437303</v>
      </c>
      <c r="AK2635">
        <v>235.35558427877999</v>
      </c>
      <c r="AL2635">
        <v>78.616542284053907</v>
      </c>
      <c r="AM2635">
        <v>88.041190027270304</v>
      </c>
      <c r="AN2635">
        <v>0.99999994489643995</v>
      </c>
    </row>
    <row r="2636" spans="1:40" x14ac:dyDescent="0.25">
      <c r="A2636" t="str">
        <f>"20190312164524503"</f>
        <v>20190312164524503</v>
      </c>
      <c r="B2636" t="str">
        <f>"1552380324494572"</f>
        <v>1552380324494572</v>
      </c>
      <c r="C2636" t="s">
        <v>40</v>
      </c>
      <c r="D2636">
        <v>4.6526480000000001</v>
      </c>
      <c r="E2636">
        <v>0.47046539999999998</v>
      </c>
      <c r="F2636" t="s">
        <v>61</v>
      </c>
      <c r="G2636">
        <v>-107.39749999999999</v>
      </c>
      <c r="H2636">
        <v>14.1497299999999</v>
      </c>
      <c r="I2636">
        <v>213.30529999999999</v>
      </c>
      <c r="J2636">
        <v>-342.65649999999999</v>
      </c>
      <c r="K2636">
        <v>1.108673</v>
      </c>
      <c r="L2636">
        <v>213.8554</v>
      </c>
      <c r="M2636">
        <v>0.99987700000000002</v>
      </c>
      <c r="N2636">
        <v>0</v>
      </c>
      <c r="O2636">
        <v>5.5555880000000002E-3</v>
      </c>
      <c r="P2636">
        <v>0.98281359999999995</v>
      </c>
      <c r="Q2636">
        <v>0.18246609999999999</v>
      </c>
      <c r="R2636">
        <v>-2.7995610000000001E-2</v>
      </c>
      <c r="S2636">
        <v>3.021423</v>
      </c>
      <c r="T2636">
        <v>0.16715959999999999</v>
      </c>
      <c r="U2636">
        <v>-7.019043E-3</v>
      </c>
      <c r="V2636">
        <v>3.3508129999999997E-2</v>
      </c>
      <c r="W2636">
        <v>0.196853</v>
      </c>
      <c r="X2636">
        <v>0.97986019999999896</v>
      </c>
      <c r="Y2636">
        <v>7.858706E-3</v>
      </c>
      <c r="Z2636">
        <v>5.2438289999999998E-4</v>
      </c>
      <c r="AA2636">
        <v>0.999969</v>
      </c>
      <c r="AB2636">
        <v>46</v>
      </c>
      <c r="AC2636">
        <v>235.25899999999999</v>
      </c>
      <c r="AD2636">
        <v>13.041057</v>
      </c>
      <c r="AE2636">
        <v>-0.55010000000001402</v>
      </c>
      <c r="AF2636">
        <v>1.85154481008733</v>
      </c>
      <c r="AG2636">
        <v>13.041057</v>
      </c>
      <c r="AH2636">
        <v>234.531649232305</v>
      </c>
      <c r="AI2636">
        <v>86.817462970333494</v>
      </c>
      <c r="AJ2636">
        <v>89.547679387067603</v>
      </c>
      <c r="AK2636">
        <v>234.901238560987</v>
      </c>
      <c r="AL2636">
        <v>78.647008415420203</v>
      </c>
      <c r="AM2636">
        <v>88.041428184977406</v>
      </c>
      <c r="AN2636">
        <v>0.99999995496456695</v>
      </c>
    </row>
    <row r="2637" spans="1:40" x14ac:dyDescent="0.25">
      <c r="A2637" t="str">
        <f>"20190312164524523"</f>
        <v>20190312164524523</v>
      </c>
      <c r="B2637" t="str">
        <f>"1552380324514091"</f>
        <v>1552380324514091</v>
      </c>
      <c r="C2637" t="s">
        <v>40</v>
      </c>
      <c r="D2637">
        <v>4.4501429999999997</v>
      </c>
      <c r="E2637">
        <v>0.46912540000000003</v>
      </c>
      <c r="F2637" t="s">
        <v>62</v>
      </c>
      <c r="G2637">
        <v>-167.89859999999999</v>
      </c>
      <c r="H2637">
        <v>9.7784820000000003</v>
      </c>
      <c r="I2637">
        <v>223.56989999999999</v>
      </c>
      <c r="J2637">
        <v>-342.2346</v>
      </c>
      <c r="K2637">
        <v>1.108663</v>
      </c>
      <c r="L2637">
        <v>213.85769999999999</v>
      </c>
      <c r="M2637">
        <v>0.99987760000000003</v>
      </c>
      <c r="N2637">
        <v>0</v>
      </c>
      <c r="O2637">
        <v>5.457445E-3</v>
      </c>
      <c r="P2637">
        <v>0.98278089999999996</v>
      </c>
      <c r="Q2637">
        <v>0.1826277</v>
      </c>
      <c r="R2637">
        <v>-2.8084149999999999E-2</v>
      </c>
      <c r="S2637">
        <v>3.0293580000000002</v>
      </c>
      <c r="T2637">
        <v>0.15028859999999999</v>
      </c>
      <c r="U2637">
        <v>0.16839599999999999</v>
      </c>
      <c r="V2637">
        <v>3.3504810000000003E-2</v>
      </c>
      <c r="W2637">
        <v>0.19701109999999999</v>
      </c>
      <c r="X2637">
        <v>0.97982860000000005</v>
      </c>
      <c r="Y2637">
        <v>-4.9997279999999998E-2</v>
      </c>
      <c r="Z2637">
        <v>-9.6809290000000002E-4</v>
      </c>
      <c r="AA2637">
        <v>0.99874890000000005</v>
      </c>
      <c r="AB2637">
        <v>46</v>
      </c>
      <c r="AC2637">
        <v>174.33599999999899</v>
      </c>
      <c r="AD2637">
        <v>8.6698190000000004</v>
      </c>
      <c r="AE2637">
        <v>9.7121999999999904</v>
      </c>
      <c r="AF2637">
        <v>-8.7389781989653805</v>
      </c>
      <c r="AG2637">
        <v>8.6698190000000004</v>
      </c>
      <c r="AH2637">
        <v>173.95752526759699</v>
      </c>
      <c r="AI2637">
        <v>87.150400468825296</v>
      </c>
      <c r="AJ2637">
        <v>92.875908907385806</v>
      </c>
      <c r="AK2637">
        <v>174.392534526801</v>
      </c>
      <c r="AL2637">
        <v>78.637769716519102</v>
      </c>
      <c r="AM2637">
        <v>88.0415589804456</v>
      </c>
      <c r="AN2637">
        <v>1.00000001559715</v>
      </c>
    </row>
    <row r="2638" spans="1:40" x14ac:dyDescent="0.25">
      <c r="A2638" t="str">
        <f>"20190312164524547"</f>
        <v>20190312164524547</v>
      </c>
      <c r="B2638" t="str">
        <f>"1552380324544347"</f>
        <v>1552380324544347</v>
      </c>
      <c r="C2638" t="s">
        <v>40</v>
      </c>
      <c r="D2638">
        <v>4.7691619999999997</v>
      </c>
      <c r="E2638">
        <v>0.46746599999999999</v>
      </c>
      <c r="F2638" t="s">
        <v>62</v>
      </c>
      <c r="G2638">
        <v>-167.89859999999999</v>
      </c>
      <c r="H2638">
        <v>10.443949999999999</v>
      </c>
      <c r="I2638">
        <v>224.14150000000001</v>
      </c>
      <c r="J2638">
        <v>-341.77780000000001</v>
      </c>
      <c r="K2638">
        <v>1.1086469999999999</v>
      </c>
      <c r="L2638">
        <v>213.86009999999999</v>
      </c>
      <c r="M2638">
        <v>0.99987820000000005</v>
      </c>
      <c r="N2638">
        <v>0</v>
      </c>
      <c r="O2638">
        <v>5.3429519999999998E-3</v>
      </c>
      <c r="P2638">
        <v>0.98265170000000002</v>
      </c>
      <c r="Q2638">
        <v>0.18324699999999999</v>
      </c>
      <c r="R2638">
        <v>-2.8576310000000001E-2</v>
      </c>
      <c r="S2638">
        <v>3.0275270000000001</v>
      </c>
      <c r="T2638">
        <v>0.16211800000000001</v>
      </c>
      <c r="U2638">
        <v>0.17858889999999999</v>
      </c>
      <c r="V2638">
        <v>3.3888929999999998E-2</v>
      </c>
      <c r="W2638">
        <v>0.19762440000000001</v>
      </c>
      <c r="X2638">
        <v>0.97969189999999995</v>
      </c>
      <c r="Y2638">
        <v>-5.3482189999999999E-2</v>
      </c>
      <c r="Z2638">
        <v>-1.143996E-3</v>
      </c>
      <c r="AA2638">
        <v>0.99856820000000002</v>
      </c>
      <c r="AB2638">
        <v>46</v>
      </c>
      <c r="AC2638">
        <v>173.8792</v>
      </c>
      <c r="AD2638">
        <v>9.3353029999999997</v>
      </c>
      <c r="AE2638">
        <v>10.2814</v>
      </c>
      <c r="AF2638">
        <v>-9.3253389338999302</v>
      </c>
      <c r="AG2638">
        <v>9.3353029999999997</v>
      </c>
      <c r="AH2638">
        <v>173.43348515949401</v>
      </c>
      <c r="AI2638">
        <v>86.923382417018601</v>
      </c>
      <c r="AJ2638">
        <v>93.077770977398899</v>
      </c>
      <c r="AK2638">
        <v>173.934710747747</v>
      </c>
      <c r="AL2638">
        <v>78.601925796115495</v>
      </c>
      <c r="AM2638">
        <v>88.018847800781998</v>
      </c>
      <c r="AN2638">
        <v>1.0000000409887499</v>
      </c>
    </row>
    <row r="2639" spans="1:40" x14ac:dyDescent="0.25">
      <c r="A2639" t="str">
        <f>"20190312164524569"</f>
        <v>20190312164524569</v>
      </c>
      <c r="B2639" t="str">
        <f>"1552380324563867"</f>
        <v>1552380324563867</v>
      </c>
      <c r="C2639" t="s">
        <v>40</v>
      </c>
      <c r="D2639">
        <v>4.472035</v>
      </c>
      <c r="E2639">
        <v>0.46699940000000001</v>
      </c>
      <c r="F2639" t="s">
        <v>62</v>
      </c>
      <c r="G2639">
        <v>-167.89859999999999</v>
      </c>
      <c r="H2639">
        <v>11.307869999999999</v>
      </c>
      <c r="I2639">
        <v>224.78110000000001</v>
      </c>
      <c r="J2639">
        <v>-341.31270000000001</v>
      </c>
      <c r="K2639">
        <v>1.1086419999999999</v>
      </c>
      <c r="L2639">
        <v>213.86250000000001</v>
      </c>
      <c r="M2639">
        <v>0.99987890000000001</v>
      </c>
      <c r="N2639">
        <v>0</v>
      </c>
      <c r="O2639">
        <v>5.2174949999999999E-3</v>
      </c>
      <c r="P2639">
        <v>0.98252360000000005</v>
      </c>
      <c r="Q2639">
        <v>0.18385760000000001</v>
      </c>
      <c r="R2639">
        <v>-2.905398E-2</v>
      </c>
      <c r="S2639">
        <v>3.0253909999999999</v>
      </c>
      <c r="T2639">
        <v>0.17746099999999901</v>
      </c>
      <c r="U2639">
        <v>0.19001770000000001</v>
      </c>
      <c r="V2639">
        <v>3.424808E-2</v>
      </c>
      <c r="W2639">
        <v>0.19822970000000001</v>
      </c>
      <c r="X2639">
        <v>0.97955709999999996</v>
      </c>
      <c r="Y2639">
        <v>-5.7386189999999997E-2</v>
      </c>
      <c r="Z2639">
        <v>-1.374461E-3</v>
      </c>
      <c r="AA2639">
        <v>0.99835110000000005</v>
      </c>
      <c r="AB2639">
        <v>46</v>
      </c>
      <c r="AC2639">
        <v>173.41409999999999</v>
      </c>
      <c r="AD2639">
        <v>10.199228</v>
      </c>
      <c r="AE2639">
        <v>10.9185999999999</v>
      </c>
      <c r="AF2639">
        <v>-9.9791839853925897</v>
      </c>
      <c r="AG2639">
        <v>10.199228</v>
      </c>
      <c r="AH2639">
        <v>172.873085252566</v>
      </c>
      <c r="AI2639">
        <v>86.6291556725362</v>
      </c>
      <c r="AJ2639">
        <v>93.303760712514404</v>
      </c>
      <c r="AK2639">
        <v>173.46098111549799</v>
      </c>
      <c r="AL2639">
        <v>78.566544564748597</v>
      </c>
      <c r="AM2639">
        <v>87.997593537653898</v>
      </c>
      <c r="AN2639">
        <v>1.0000000285530899</v>
      </c>
    </row>
    <row r="2640" spans="1:40" x14ac:dyDescent="0.25">
      <c r="A2640" t="str">
        <f>"20190312164524592"</f>
        <v>20190312164524592</v>
      </c>
      <c r="B2640" t="str">
        <f>"1552380324584363"</f>
        <v>1552380324584363</v>
      </c>
      <c r="C2640" t="s">
        <v>40</v>
      </c>
      <c r="D2640">
        <v>4.6346949999999998</v>
      </c>
      <c r="E2640">
        <v>0.4663466</v>
      </c>
      <c r="F2640" t="s">
        <v>62</v>
      </c>
      <c r="G2640">
        <v>-167.89859999999999</v>
      </c>
      <c r="H2640">
        <v>11.399839999999999</v>
      </c>
      <c r="I2640">
        <v>224.90010000000001</v>
      </c>
      <c r="J2640">
        <v>-340.83879999999999</v>
      </c>
      <c r="K2640">
        <v>1.108635</v>
      </c>
      <c r="L2640">
        <v>213.86490000000001</v>
      </c>
      <c r="M2640">
        <v>0.99987979999999999</v>
      </c>
      <c r="N2640">
        <v>0</v>
      </c>
      <c r="O2640">
        <v>5.0814939999999998E-3</v>
      </c>
      <c r="P2640">
        <v>0.98250479999999996</v>
      </c>
      <c r="Q2640">
        <v>0.1838833</v>
      </c>
      <c r="R2640">
        <v>-2.9526360000000001E-2</v>
      </c>
      <c r="S2640">
        <v>3.025452</v>
      </c>
      <c r="T2640">
        <v>0.17954529999999999</v>
      </c>
      <c r="U2640">
        <v>0.19256590000000001</v>
      </c>
      <c r="V2640">
        <v>3.4591909999999997E-2</v>
      </c>
      <c r="W2640">
        <v>0.1982517</v>
      </c>
      <c r="X2640">
        <v>0.97954050000000004</v>
      </c>
      <c r="Y2640">
        <v>-5.8354179999999999E-2</v>
      </c>
      <c r="Z2640">
        <v>-1.4272359999999999E-3</v>
      </c>
      <c r="AA2640">
        <v>0.99829489999999999</v>
      </c>
      <c r="AB2640">
        <v>46</v>
      </c>
      <c r="AC2640">
        <v>172.9402</v>
      </c>
      <c r="AD2640">
        <v>10.291205</v>
      </c>
      <c r="AE2640">
        <v>11.0352</v>
      </c>
      <c r="AF2640">
        <v>-10.1204761271075</v>
      </c>
      <c r="AG2640">
        <v>10.291205</v>
      </c>
      <c r="AH2640">
        <v>172.38608376821901</v>
      </c>
      <c r="AI2640">
        <v>86.589436457119206</v>
      </c>
      <c r="AJ2640">
        <v>93.359875332059602</v>
      </c>
      <c r="AK2640">
        <v>172.989291039459</v>
      </c>
      <c r="AL2640">
        <v>78.565257785754099</v>
      </c>
      <c r="AM2640">
        <v>87.977472954489201</v>
      </c>
      <c r="AN2640">
        <v>0.999999963965293</v>
      </c>
    </row>
    <row r="2641" spans="1:40" x14ac:dyDescent="0.25">
      <c r="A2641" t="str">
        <f>"20190312164524614"</f>
        <v>20190312164524614</v>
      </c>
      <c r="B2641" t="str">
        <f>"1552380324603887"</f>
        <v>1552380324603887</v>
      </c>
      <c r="C2641" t="s">
        <v>40</v>
      </c>
      <c r="D2641">
        <v>4.497871</v>
      </c>
      <c r="E2641">
        <v>0.46663979999999999</v>
      </c>
      <c r="F2641" t="s">
        <v>62</v>
      </c>
      <c r="G2641">
        <v>-167.89859999999999</v>
      </c>
      <c r="H2641">
        <v>11.400589999999999</v>
      </c>
      <c r="I2641">
        <v>225.0975</v>
      </c>
      <c r="J2641">
        <v>-340.39319999999998</v>
      </c>
      <c r="K2641">
        <v>1.10863</v>
      </c>
      <c r="L2641">
        <v>213.86699999999999</v>
      </c>
      <c r="M2641">
        <v>0.9998804</v>
      </c>
      <c r="N2641">
        <v>0</v>
      </c>
      <c r="O2641">
        <v>4.9479720000000001E-3</v>
      </c>
      <c r="P2641">
        <v>0.98247220000000002</v>
      </c>
      <c r="Q2641">
        <v>0.1839615</v>
      </c>
      <c r="R2641">
        <v>-3.0109299999999999E-2</v>
      </c>
      <c r="S2641">
        <v>3.0256349999999999</v>
      </c>
      <c r="T2641">
        <v>0.18006129999999901</v>
      </c>
      <c r="U2641">
        <v>0.1965179</v>
      </c>
      <c r="V2641">
        <v>3.5047729999999999E-2</v>
      </c>
      <c r="W2641">
        <v>0.19832549999999999</v>
      </c>
      <c r="X2641">
        <v>0.97950939999999997</v>
      </c>
      <c r="Y2641">
        <v>-5.9778930000000001E-2</v>
      </c>
      <c r="Z2641">
        <v>-1.481429E-3</v>
      </c>
      <c r="AA2641">
        <v>0.9982105</v>
      </c>
      <c r="AB2641">
        <v>46</v>
      </c>
      <c r="AC2641">
        <v>172.49459999999999</v>
      </c>
      <c r="AD2641">
        <v>10.29196</v>
      </c>
      <c r="AE2641">
        <v>11.2304999999999</v>
      </c>
      <c r="AF2641">
        <v>-10.340117370654299</v>
      </c>
      <c r="AG2641">
        <v>10.29196</v>
      </c>
      <c r="AH2641">
        <v>171.93855133570099</v>
      </c>
      <c r="AI2641">
        <v>86.580618915668794</v>
      </c>
      <c r="AJ2641">
        <v>93.441534242868102</v>
      </c>
      <c r="AK2641">
        <v>172.55639050264099</v>
      </c>
      <c r="AL2641">
        <v>78.560944182523301</v>
      </c>
      <c r="AM2641">
        <v>87.950779541570796</v>
      </c>
      <c r="AN2641">
        <v>1.00000000600838</v>
      </c>
    </row>
    <row r="2642" spans="1:40" x14ac:dyDescent="0.25">
      <c r="A2642" t="str">
        <f>"20190312164524637"</f>
        <v>20190312164524637</v>
      </c>
      <c r="B2642" t="str">
        <f>"1552380324624379"</f>
        <v>1552380324624379</v>
      </c>
      <c r="C2642" t="s">
        <v>40</v>
      </c>
      <c r="D2642">
        <v>4.6367699999999896</v>
      </c>
      <c r="E2642">
        <v>0.46652490000000002</v>
      </c>
      <c r="F2642" t="s">
        <v>62</v>
      </c>
      <c r="G2642">
        <v>-167.89859999999999</v>
      </c>
      <c r="H2642">
        <v>11.1061</v>
      </c>
      <c r="I2642">
        <v>224.83760000000001</v>
      </c>
      <c r="J2642">
        <v>-339.93799999999999</v>
      </c>
      <c r="K2642">
        <v>1.1086199999999999</v>
      </c>
      <c r="L2642">
        <v>213.86920000000001</v>
      </c>
      <c r="M2642">
        <v>0.99988120000000003</v>
      </c>
      <c r="N2642">
        <v>0</v>
      </c>
      <c r="O2642">
        <v>4.807619E-3</v>
      </c>
      <c r="P2642">
        <v>0.98254560000000002</v>
      </c>
      <c r="Q2642">
        <v>0.1834316</v>
      </c>
      <c r="R2642">
        <v>-3.0939299999999999E-2</v>
      </c>
      <c r="S2642">
        <v>3.0265810000000002</v>
      </c>
      <c r="T2642">
        <v>0.17541590000000001</v>
      </c>
      <c r="U2642">
        <v>0.19248960000000001</v>
      </c>
      <c r="V2642">
        <v>3.5743459999999998E-2</v>
      </c>
      <c r="W2642">
        <v>0.19779260000000001</v>
      </c>
      <c r="X2642">
        <v>0.97959200000000002</v>
      </c>
      <c r="Y2642">
        <v>-5.8582410000000001E-2</v>
      </c>
      <c r="Z2642">
        <v>-1.416395E-3</v>
      </c>
      <c r="AA2642">
        <v>0.99828159999999999</v>
      </c>
      <c r="AB2642">
        <v>46</v>
      </c>
      <c r="AC2642">
        <v>172.0394</v>
      </c>
      <c r="AD2642">
        <v>9.9974799999999995</v>
      </c>
      <c r="AE2642">
        <v>10.968400000000001</v>
      </c>
      <c r="AF2642">
        <v>-10.1070915975454</v>
      </c>
      <c r="AG2642">
        <v>9.9974799999999995</v>
      </c>
      <c r="AH2642">
        <v>171.513300973828</v>
      </c>
      <c r="AI2642">
        <v>86.669778195380303</v>
      </c>
      <c r="AJ2642">
        <v>93.372477575974202</v>
      </c>
      <c r="AK2642">
        <v>172.10146808743599</v>
      </c>
      <c r="AL2642">
        <v>78.592094078267195</v>
      </c>
      <c r="AM2642">
        <v>87.910312394554197</v>
      </c>
      <c r="AN2642">
        <v>0.99999999700576503</v>
      </c>
    </row>
    <row r="2643" spans="1:40" x14ac:dyDescent="0.25">
      <c r="A2643" t="str">
        <f>"20190312164524659"</f>
        <v>20190312164524659</v>
      </c>
      <c r="B2643" t="str">
        <f>"1552380324654635"</f>
        <v>1552380324654635</v>
      </c>
      <c r="C2643" t="s">
        <v>40</v>
      </c>
      <c r="D2643">
        <v>4.8405319999999996</v>
      </c>
      <c r="E2643">
        <v>0.46706959999999997</v>
      </c>
      <c r="F2643" t="s">
        <v>62</v>
      </c>
      <c r="G2643">
        <v>-167.89859999999999</v>
      </c>
      <c r="H2643">
        <v>11.183210000000001</v>
      </c>
      <c r="I2643">
        <v>224.74350000000001</v>
      </c>
      <c r="J2643">
        <v>-339.47320000000002</v>
      </c>
      <c r="K2643">
        <v>1.1086149999999999</v>
      </c>
      <c r="L2643">
        <v>213.87119999999999</v>
      </c>
      <c r="M2643">
        <v>0.99988189999999999</v>
      </c>
      <c r="N2643">
        <v>0</v>
      </c>
      <c r="O2643">
        <v>4.6597100000000001E-3</v>
      </c>
      <c r="P2643">
        <v>0.98261520000000002</v>
      </c>
      <c r="Q2643">
        <v>0.1829433</v>
      </c>
      <c r="R2643">
        <v>-3.1617279999999998E-2</v>
      </c>
      <c r="S2643">
        <v>3.0262449999999999</v>
      </c>
      <c r="T2643">
        <v>0.17721709999999999</v>
      </c>
      <c r="U2643">
        <v>0.19128419999999999</v>
      </c>
      <c r="V2643">
        <v>3.6279159999999998E-2</v>
      </c>
      <c r="W2643">
        <v>0.1973018</v>
      </c>
      <c r="X2643">
        <v>0.97967130000000002</v>
      </c>
      <c r="Y2643">
        <v>-5.8339340000000003E-2</v>
      </c>
      <c r="Z2643">
        <v>-1.4326320000000001E-3</v>
      </c>
      <c r="AA2643">
        <v>0.99829579999999996</v>
      </c>
      <c r="AB2643">
        <v>46</v>
      </c>
      <c r="AC2643">
        <v>171.5746</v>
      </c>
      <c r="AD2643">
        <v>10.074595</v>
      </c>
      <c r="AE2643">
        <v>10.872299999999999</v>
      </c>
      <c r="AF2643">
        <v>-10.0381366755146</v>
      </c>
      <c r="AG2643">
        <v>10.074595</v>
      </c>
      <c r="AH2643">
        <v>171.03605478309399</v>
      </c>
      <c r="AI2643">
        <v>86.634759800534297</v>
      </c>
      <c r="AJ2643">
        <v>93.358846536041298</v>
      </c>
      <c r="AK2643">
        <v>171.62631991654399</v>
      </c>
      <c r="AL2643">
        <v>78.620780382219905</v>
      </c>
      <c r="AM2643">
        <v>87.879193419904297</v>
      </c>
      <c r="AN2643">
        <v>1.0000000168886101</v>
      </c>
    </row>
    <row r="2644" spans="1:40" x14ac:dyDescent="0.25">
      <c r="A2644" t="str">
        <f>"20190312164524681"</f>
        <v>20190312164524681</v>
      </c>
      <c r="B2644" t="str">
        <f>"1552380324674158"</f>
        <v>1552380324674158</v>
      </c>
      <c r="C2644" t="s">
        <v>40</v>
      </c>
      <c r="D2644">
        <v>4.8232939999999997</v>
      </c>
      <c r="E2644">
        <v>0.4673079</v>
      </c>
      <c r="F2644" t="s">
        <v>62</v>
      </c>
      <c r="G2644">
        <v>-167.89859999999999</v>
      </c>
      <c r="H2644">
        <v>10.23901</v>
      </c>
      <c r="I2644">
        <v>224.39340000000001</v>
      </c>
      <c r="J2644">
        <v>-339.01609999999999</v>
      </c>
      <c r="K2644">
        <v>1.1086119999999999</v>
      </c>
      <c r="L2644">
        <v>213.8733</v>
      </c>
      <c r="M2644">
        <v>0.99988270000000001</v>
      </c>
      <c r="N2644">
        <v>0</v>
      </c>
      <c r="O2644">
        <v>4.5079179999999996E-3</v>
      </c>
      <c r="P2644">
        <v>0.98251520000000003</v>
      </c>
      <c r="Q2644">
        <v>0.18346419999999999</v>
      </c>
      <c r="R2644">
        <v>-3.1704019999999999E-2</v>
      </c>
      <c r="S2644">
        <v>3.0290219999999999</v>
      </c>
      <c r="T2644">
        <v>0.16119120000000001</v>
      </c>
      <c r="U2644">
        <v>0.1857605</v>
      </c>
      <c r="V2644">
        <v>3.6220049999999997E-2</v>
      </c>
      <c r="W2644">
        <v>0.1978174</v>
      </c>
      <c r="X2644">
        <v>0.97956949999999998</v>
      </c>
      <c r="Y2644">
        <v>-5.6637840000000002E-2</v>
      </c>
      <c r="Z2644">
        <v>-1.2650179999999999E-3</v>
      </c>
      <c r="AA2644">
        <v>0.998394</v>
      </c>
      <c r="AB2644">
        <v>46</v>
      </c>
      <c r="AC2644">
        <v>171.11750000000001</v>
      </c>
      <c r="AD2644">
        <v>9.1303979999999996</v>
      </c>
      <c r="AE2644">
        <v>10.520099999999999</v>
      </c>
      <c r="AF2644">
        <v>-9.7209552271732598</v>
      </c>
      <c r="AG2644">
        <v>9.1303979999999996</v>
      </c>
      <c r="AH2644">
        <v>170.679092652848</v>
      </c>
      <c r="AI2644">
        <v>86.942852806932095</v>
      </c>
      <c r="AJ2644">
        <v>93.259735161222395</v>
      </c>
      <c r="AK2644">
        <v>171.19933938823101</v>
      </c>
      <c r="AL2644">
        <v>78.590644657881995</v>
      </c>
      <c r="AM2644">
        <v>87.882425881773798</v>
      </c>
      <c r="AN2644">
        <v>1.0000000105475</v>
      </c>
    </row>
    <row r="2645" spans="1:40" x14ac:dyDescent="0.25">
      <c r="A2645" t="str">
        <f>"20190312164524703"</f>
        <v>20190312164524703</v>
      </c>
      <c r="B2645" t="str">
        <f>"1552380324694655"</f>
        <v>1552380324694655</v>
      </c>
      <c r="C2645" t="s">
        <v>40</v>
      </c>
      <c r="D2645">
        <v>4.7775879999999997</v>
      </c>
      <c r="E2645">
        <v>0.4674701</v>
      </c>
      <c r="F2645" t="s">
        <v>62</v>
      </c>
      <c r="G2645">
        <v>-167.89859999999999</v>
      </c>
      <c r="H2645">
        <v>10.23814</v>
      </c>
      <c r="I2645">
        <v>224.255</v>
      </c>
      <c r="J2645">
        <v>-338.57260000000002</v>
      </c>
      <c r="K2645">
        <v>1.1086039999999999</v>
      </c>
      <c r="L2645">
        <v>213.8751</v>
      </c>
      <c r="M2645">
        <v>0.99988339999999998</v>
      </c>
      <c r="N2645">
        <v>0</v>
      </c>
      <c r="O2645">
        <v>4.3527009999999996E-3</v>
      </c>
      <c r="P2645">
        <v>0.98256370000000004</v>
      </c>
      <c r="Q2645">
        <v>0.18314030000000001</v>
      </c>
      <c r="R2645">
        <v>-3.2069729999999998E-2</v>
      </c>
      <c r="S2645">
        <v>3.0291139999999999</v>
      </c>
      <c r="T2645">
        <v>0.16161130000000001</v>
      </c>
      <c r="U2645">
        <v>0.18377689999999999</v>
      </c>
      <c r="V2645">
        <v>3.6437379999999998E-2</v>
      </c>
      <c r="W2645">
        <v>0.19749069999999999</v>
      </c>
      <c r="X2645">
        <v>0.97962740000000004</v>
      </c>
      <c r="Y2645">
        <v>-5.6139689999999999E-2</v>
      </c>
      <c r="Z2645">
        <v>-1.2632979999999999E-3</v>
      </c>
      <c r="AA2645">
        <v>0.99842209999999998</v>
      </c>
      <c r="AB2645">
        <v>46</v>
      </c>
      <c r="AC2645">
        <v>170.67400000000001</v>
      </c>
      <c r="AD2645">
        <v>9.1295359999999999</v>
      </c>
      <c r="AE2645">
        <v>10.3798999999999</v>
      </c>
      <c r="AF2645">
        <v>-9.6094350596184892</v>
      </c>
      <c r="AG2645">
        <v>9.1295359999999999</v>
      </c>
      <c r="AH2645">
        <v>170.23227843089001</v>
      </c>
      <c r="AI2645">
        <v>86.935045303077104</v>
      </c>
      <c r="AJ2645">
        <v>93.230858377593094</v>
      </c>
      <c r="AK2645">
        <v>170.74752791625599</v>
      </c>
      <c r="AL2645">
        <v>78.609740370413903</v>
      </c>
      <c r="AM2645">
        <v>87.869857333065497</v>
      </c>
      <c r="AN2645">
        <v>1.0000000510392499</v>
      </c>
    </row>
    <row r="2646" spans="1:40" x14ac:dyDescent="0.25">
      <c r="A2646" t="str">
        <f>"20190312164524724"</f>
        <v>20190312164524724</v>
      </c>
      <c r="B2646" t="str">
        <f>"1552380324714171"</f>
        <v>1552380324714171</v>
      </c>
      <c r="C2646" t="s">
        <v>40</v>
      </c>
      <c r="D2646">
        <v>4.5120630000000004</v>
      </c>
      <c r="E2646">
        <v>0.46764480000000003</v>
      </c>
      <c r="F2646" t="s">
        <v>62</v>
      </c>
      <c r="G2646">
        <v>-167.89859999999999</v>
      </c>
      <c r="H2646">
        <v>10.0151</v>
      </c>
      <c r="I2646">
        <v>224.09719999999999</v>
      </c>
      <c r="J2646">
        <v>-338.14010000000002</v>
      </c>
      <c r="K2646">
        <v>1.108592</v>
      </c>
      <c r="L2646">
        <v>213.87690000000001</v>
      </c>
      <c r="M2646">
        <v>0.99988410000000005</v>
      </c>
      <c r="N2646">
        <v>0</v>
      </c>
      <c r="O2646">
        <v>4.190053E-3</v>
      </c>
      <c r="P2646">
        <v>0.98268509999999998</v>
      </c>
      <c r="Q2646">
        <v>0.18239459999999999</v>
      </c>
      <c r="R2646">
        <v>-3.2596590000000002E-2</v>
      </c>
      <c r="S2646">
        <v>3.0297239999999999</v>
      </c>
      <c r="T2646">
        <v>0.15810489999999999</v>
      </c>
      <c r="U2646">
        <v>0.18145749999999999</v>
      </c>
      <c r="V2646">
        <v>3.680982E-2</v>
      </c>
      <c r="W2646">
        <v>0.19674320000000001</v>
      </c>
      <c r="X2646">
        <v>0.97976379999999996</v>
      </c>
      <c r="Y2646">
        <v>-5.5532159999999997E-2</v>
      </c>
      <c r="Z2646">
        <v>-1.2283540000000001E-3</v>
      </c>
      <c r="AA2646">
        <v>0.99845609999999996</v>
      </c>
      <c r="AB2646">
        <v>46</v>
      </c>
      <c r="AC2646">
        <v>170.2415</v>
      </c>
      <c r="AD2646">
        <v>8.9065080000000005</v>
      </c>
      <c r="AE2646">
        <v>10.2202999999999</v>
      </c>
      <c r="AF2646">
        <v>-9.4809561965591893</v>
      </c>
      <c r="AG2646">
        <v>8.9065080000000005</v>
      </c>
      <c r="AH2646">
        <v>169.81969621337899</v>
      </c>
      <c r="AI2646">
        <v>87.002427050945997</v>
      </c>
      <c r="AJ2646">
        <v>93.195479959015799</v>
      </c>
      <c r="AK2646">
        <v>170.317185384092</v>
      </c>
      <c r="AL2646">
        <v>78.653425224115907</v>
      </c>
      <c r="AM2646">
        <v>87.848404018493895</v>
      </c>
      <c r="AN2646">
        <v>0.99999997669255503</v>
      </c>
    </row>
    <row r="2647" spans="1:40" x14ac:dyDescent="0.25">
      <c r="A2647" t="str">
        <f>"20190312164524747"</f>
        <v>20190312164524747</v>
      </c>
      <c r="B2647" t="str">
        <f>"1552380324744427"</f>
        <v>1552380324744427</v>
      </c>
      <c r="C2647" t="s">
        <v>40</v>
      </c>
      <c r="D2647">
        <v>4.5752699999999997</v>
      </c>
      <c r="E2647">
        <v>0.46774250000000001</v>
      </c>
      <c r="F2647" t="s">
        <v>62</v>
      </c>
      <c r="G2647">
        <v>-167.89859999999999</v>
      </c>
      <c r="H2647">
        <v>9.7991879999999991</v>
      </c>
      <c r="I2647">
        <v>223.9092</v>
      </c>
      <c r="J2647">
        <v>-337.68329999999997</v>
      </c>
      <c r="K2647">
        <v>1.1085700000000001</v>
      </c>
      <c r="L2647">
        <v>213.87870000000001</v>
      </c>
      <c r="M2647">
        <v>0.99988489999999997</v>
      </c>
      <c r="N2647">
        <v>0</v>
      </c>
      <c r="O2647">
        <v>4.0043930000000002E-3</v>
      </c>
      <c r="P2647">
        <v>0.98284199999999999</v>
      </c>
      <c r="Q2647">
        <v>0.18151870000000001</v>
      </c>
      <c r="R2647">
        <v>-3.2754690000000003E-2</v>
      </c>
      <c r="S2647">
        <v>3.0300289999999999</v>
      </c>
      <c r="T2647">
        <v>0.15467979999999901</v>
      </c>
      <c r="U2647">
        <v>0.178558299999999</v>
      </c>
      <c r="V2647">
        <v>3.6792199999999997E-2</v>
      </c>
      <c r="W2647">
        <v>0.1958656</v>
      </c>
      <c r="X2647">
        <v>0.97994029999999999</v>
      </c>
      <c r="Y2647">
        <v>-5.4763310000000003E-2</v>
      </c>
      <c r="Z2647">
        <v>-1.1915610000000001E-3</v>
      </c>
      <c r="AA2647">
        <v>0.99849869999999996</v>
      </c>
      <c r="AB2647">
        <v>46</v>
      </c>
      <c r="AC2647">
        <v>169.78469999999999</v>
      </c>
      <c r="AD2647">
        <v>8.69061799999999</v>
      </c>
      <c r="AE2647">
        <v>10.0304999999999</v>
      </c>
      <c r="AF2647">
        <v>-9.32611249213533</v>
      </c>
      <c r="AG2647">
        <v>8.69061799999999</v>
      </c>
      <c r="AH2647">
        <v>169.38127037903899</v>
      </c>
      <c r="AI2647">
        <v>87.067276699786007</v>
      </c>
      <c r="AJ2647">
        <v>93.151516636401894</v>
      </c>
      <c r="AK2647">
        <v>169.860289563674</v>
      </c>
      <c r="AL2647">
        <v>78.704705982804001</v>
      </c>
      <c r="AM2647">
        <v>87.849819951393499</v>
      </c>
      <c r="AN2647">
        <v>0.99999999540414497</v>
      </c>
    </row>
    <row r="2648" spans="1:40" x14ac:dyDescent="0.25">
      <c r="A2648" t="str">
        <f>"20190312164524771"</f>
        <v>20190312164524771</v>
      </c>
      <c r="B2648" t="str">
        <f>"1552380324763947"</f>
        <v>1552380324763947</v>
      </c>
      <c r="C2648" t="s">
        <v>40</v>
      </c>
      <c r="D2648">
        <v>4.6831569999999996</v>
      </c>
      <c r="E2648">
        <v>0.4675937</v>
      </c>
      <c r="F2648" t="s">
        <v>62</v>
      </c>
      <c r="G2648">
        <v>-167.89859999999999</v>
      </c>
      <c r="H2648">
        <v>9.6526379999999996</v>
      </c>
      <c r="I2648">
        <v>223.80240000000001</v>
      </c>
      <c r="J2648">
        <v>-337.20330000000001</v>
      </c>
      <c r="K2648">
        <v>1.1085529999999999</v>
      </c>
      <c r="L2648">
        <v>213.88040000000001</v>
      </c>
      <c r="M2648">
        <v>0.99988569999999999</v>
      </c>
      <c r="N2648">
        <v>0</v>
      </c>
      <c r="O2648">
        <v>3.7871879999999999E-3</v>
      </c>
      <c r="P2648">
        <v>0.98293180000000002</v>
      </c>
      <c r="Q2648">
        <v>0.18095739999999999</v>
      </c>
      <c r="R2648">
        <v>-3.3161299999999998E-2</v>
      </c>
      <c r="S2648">
        <v>3.030151</v>
      </c>
      <c r="T2648">
        <v>0.15248699999999901</v>
      </c>
      <c r="U2648">
        <v>0.17710879999999901</v>
      </c>
      <c r="V2648">
        <v>3.6994289999999999E-2</v>
      </c>
      <c r="W2648">
        <v>0.19530159999999999</v>
      </c>
      <c r="X2648">
        <v>0.98004530000000001</v>
      </c>
      <c r="Y2648">
        <v>-5.4503719999999999E-2</v>
      </c>
      <c r="Z2648">
        <v>-1.179053E-3</v>
      </c>
      <c r="AA2648">
        <v>0.99851290000000004</v>
      </c>
      <c r="AB2648">
        <v>45</v>
      </c>
      <c r="AC2648">
        <v>169.3047</v>
      </c>
      <c r="AD2648">
        <v>8.5440849999999902</v>
      </c>
      <c r="AE2648">
        <v>9.9219999999999899</v>
      </c>
      <c r="AF2648">
        <v>-9.2571760186486998</v>
      </c>
      <c r="AG2648">
        <v>8.5440849999999902</v>
      </c>
      <c r="AH2648">
        <v>168.912354239389</v>
      </c>
      <c r="AI2648">
        <v>87.108610097596497</v>
      </c>
      <c r="AJ2648">
        <v>93.136934828919394</v>
      </c>
      <c r="AK2648">
        <v>169.381463304047</v>
      </c>
      <c r="AL2648">
        <v>78.737657711802896</v>
      </c>
      <c r="AM2648">
        <v>87.838252157808995</v>
      </c>
      <c r="AN2648">
        <v>1.0000000412536201</v>
      </c>
    </row>
    <row r="2649" spans="1:40" x14ac:dyDescent="0.25">
      <c r="A2649" t="str">
        <f>"20190312164524783"</f>
        <v>20190312164524783</v>
      </c>
      <c r="B2649" t="str">
        <f>"1552380324774684"</f>
        <v>1552380324774684</v>
      </c>
      <c r="C2649" t="s">
        <v>40</v>
      </c>
      <c r="D2649">
        <v>4.6995269999999998</v>
      </c>
      <c r="E2649">
        <v>0.4475094</v>
      </c>
      <c r="F2649" t="s">
        <v>62</v>
      </c>
      <c r="G2649">
        <v>-167.89859999999999</v>
      </c>
      <c r="H2649">
        <v>9.6030829999999998</v>
      </c>
      <c r="I2649">
        <v>223.77699999999999</v>
      </c>
      <c r="J2649">
        <v>-336.94380000000001</v>
      </c>
      <c r="K2649">
        <v>1.1085419999999999</v>
      </c>
      <c r="L2649">
        <v>213.88130000000001</v>
      </c>
      <c r="M2649">
        <v>0.99988630000000001</v>
      </c>
      <c r="N2649">
        <v>0</v>
      </c>
      <c r="O2649">
        <v>3.6593300000000001E-3</v>
      </c>
      <c r="P2649">
        <v>0.98298450000000004</v>
      </c>
      <c r="Q2649">
        <v>0.18063109999999999</v>
      </c>
      <c r="R2649">
        <v>-3.3377469999999999E-2</v>
      </c>
      <c r="S2649">
        <v>3.0301209999999998</v>
      </c>
      <c r="T2649">
        <v>0.15203129999999901</v>
      </c>
      <c r="U2649">
        <v>0.177124</v>
      </c>
      <c r="V2649">
        <v>3.7089959999999998E-2</v>
      </c>
      <c r="W2649">
        <v>0.1949729</v>
      </c>
      <c r="X2649">
        <v>0.98010710000000001</v>
      </c>
      <c r="Y2649">
        <v>-5.463705E-2</v>
      </c>
      <c r="Z2649">
        <v>-1.185291E-3</v>
      </c>
      <c r="AA2649">
        <v>0.99850559999999999</v>
      </c>
      <c r="AB2649">
        <v>45</v>
      </c>
      <c r="AC2649">
        <v>169.04519999999999</v>
      </c>
      <c r="AD2649">
        <v>8.4945409999999999</v>
      </c>
      <c r="AE2649">
        <v>9.8956999999999997</v>
      </c>
      <c r="AF2649">
        <v>-9.2536889063963699</v>
      </c>
      <c r="AG2649">
        <v>8.4945409999999999</v>
      </c>
      <c r="AH2649">
        <v>168.65586923638901</v>
      </c>
      <c r="AI2649">
        <v>87.120993540833496</v>
      </c>
      <c r="AJ2649">
        <v>93.1405147178818</v>
      </c>
      <c r="AK2649">
        <v>169.12300320494299</v>
      </c>
      <c r="AL2649">
        <v>78.756859648004294</v>
      </c>
      <c r="AM2649">
        <v>87.832803570153999</v>
      </c>
      <c r="AN2649">
        <v>1.00000001216881</v>
      </c>
    </row>
    <row r="2650" spans="1:40" x14ac:dyDescent="0.25">
      <c r="A2650" t="str">
        <f>"20190312164524796"</f>
        <v>20190312164524796</v>
      </c>
      <c r="B2650" t="str">
        <f>"1552380324784445"</f>
        <v>1552380324784445</v>
      </c>
      <c r="C2650" t="s">
        <v>40</v>
      </c>
      <c r="D2650">
        <v>4.7969879999999998</v>
      </c>
      <c r="E2650">
        <v>0.4475094</v>
      </c>
      <c r="F2650" t="s">
        <v>47</v>
      </c>
      <c r="G2650">
        <v>-323.67939999999999</v>
      </c>
      <c r="H2650" s="1">
        <v>4.212073E-7</v>
      </c>
      <c r="I2650">
        <v>215.39590000000001</v>
      </c>
      <c r="J2650">
        <v>-336.70389999999998</v>
      </c>
      <c r="K2650">
        <v>1.108535</v>
      </c>
      <c r="L2650">
        <v>213.88210000000001</v>
      </c>
      <c r="M2650">
        <v>0.99988690000000002</v>
      </c>
      <c r="N2650">
        <v>0</v>
      </c>
      <c r="O2650">
        <v>3.5359559999999998E-3</v>
      </c>
      <c r="P2650">
        <v>0.98305070000000006</v>
      </c>
      <c r="Q2650">
        <v>0.18025910000000001</v>
      </c>
      <c r="R2650">
        <v>-3.3444509999999997E-2</v>
      </c>
      <c r="S2650">
        <v>3.1117859999999999</v>
      </c>
      <c r="T2650">
        <v>-0.2600595</v>
      </c>
      <c r="U2650">
        <v>0.35533140000000002</v>
      </c>
      <c r="V2650">
        <v>3.704052E-2</v>
      </c>
      <c r="W2650">
        <v>0.19459960000000001</v>
      </c>
      <c r="X2650">
        <v>0.98018309999999997</v>
      </c>
      <c r="Y2650">
        <v>-0.10957260000000001</v>
      </c>
      <c r="Z2650">
        <v>4.2618689999999997E-3</v>
      </c>
      <c r="AA2650">
        <v>0.99396969999999996</v>
      </c>
      <c r="AB2650">
        <v>45</v>
      </c>
      <c r="AC2650">
        <v>13.0244999999999</v>
      </c>
      <c r="AD2650">
        <v>-1.1085345787926999</v>
      </c>
      <c r="AE2650">
        <v>1.5138</v>
      </c>
      <c r="AF2650">
        <v>-1.4573155185044</v>
      </c>
      <c r="AG2650">
        <v>-1.1085345787926999</v>
      </c>
      <c r="AH2650">
        <v>12.937303611466699</v>
      </c>
      <c r="AI2650">
        <v>94.866803976703295</v>
      </c>
      <c r="AJ2650">
        <v>96.426959836126599</v>
      </c>
      <c r="AK2650">
        <v>13.066232898893301</v>
      </c>
      <c r="AL2650">
        <v>78.778665217180105</v>
      </c>
      <c r="AM2650">
        <v>87.835857293898997</v>
      </c>
      <c r="AN2650">
        <v>0.99999995698381905</v>
      </c>
    </row>
    <row r="2651" spans="1:40" x14ac:dyDescent="0.25">
      <c r="A2651" t="str">
        <f>"20190312164524814"</f>
        <v>20190312164524814</v>
      </c>
      <c r="B2651" t="str">
        <f>"1552380324803963"</f>
        <v>1552380324803963</v>
      </c>
      <c r="C2651" t="s">
        <v>40</v>
      </c>
      <c r="D2651">
        <v>4.6241570000000003</v>
      </c>
      <c r="E2651">
        <v>0.44727679999999997</v>
      </c>
      <c r="F2651" t="s">
        <v>47</v>
      </c>
      <c r="G2651">
        <v>-323.49299999999999</v>
      </c>
      <c r="H2651" s="1">
        <v>3.2199710000000001E-7</v>
      </c>
      <c r="I2651">
        <v>215.39099999999999</v>
      </c>
      <c r="J2651">
        <v>-336.32619999999997</v>
      </c>
      <c r="K2651">
        <v>1.108522</v>
      </c>
      <c r="L2651">
        <v>213.88329999999999</v>
      </c>
      <c r="M2651">
        <v>0.99988750000000004</v>
      </c>
      <c r="N2651">
        <v>0</v>
      </c>
      <c r="O2651">
        <v>3.3325569999999999E-3</v>
      </c>
      <c r="P2651">
        <v>0.98306020000000005</v>
      </c>
      <c r="Q2651">
        <v>0.18017159999999999</v>
      </c>
      <c r="R2651">
        <v>-3.363116E-2</v>
      </c>
      <c r="S2651">
        <v>3.111694</v>
      </c>
      <c r="T2651">
        <v>-0.26110460000000002</v>
      </c>
      <c r="U2651">
        <v>0.35540769999999999</v>
      </c>
      <c r="V2651">
        <v>3.7034820000000003E-2</v>
      </c>
      <c r="W2651">
        <v>0.1945084</v>
      </c>
      <c r="X2651">
        <v>0.9802014</v>
      </c>
      <c r="Y2651">
        <v>-0.109797699999999</v>
      </c>
      <c r="Z2651">
        <v>4.3054349999999998E-3</v>
      </c>
      <c r="AA2651">
        <v>0.99394459999999996</v>
      </c>
      <c r="AB2651">
        <v>45</v>
      </c>
      <c r="AC2651">
        <v>12.8331999999999</v>
      </c>
      <c r="AD2651">
        <v>-1.1085216780028999</v>
      </c>
      <c r="AE2651">
        <v>1.50769999999999</v>
      </c>
      <c r="AF2651">
        <v>-1.4542169584836699</v>
      </c>
      <c r="AG2651">
        <v>-1.1085216780028999</v>
      </c>
      <c r="AH2651">
        <v>12.744358033551</v>
      </c>
      <c r="AI2651">
        <v>94.939262187650399</v>
      </c>
      <c r="AJ2651">
        <v>96.509678441568695</v>
      </c>
      <c r="AK2651">
        <v>12.8748681142868</v>
      </c>
      <c r="AL2651">
        <v>78.783992192796305</v>
      </c>
      <c r="AM2651">
        <v>87.836230366693499</v>
      </c>
      <c r="AN2651">
        <v>0.99999994006247395</v>
      </c>
    </row>
    <row r="2652" spans="1:40" x14ac:dyDescent="0.25">
      <c r="A2652" t="str">
        <f>"20190312164524829"</f>
        <v>20190312164524829</v>
      </c>
      <c r="B2652" t="str">
        <f>"1552380324824459"</f>
        <v>1552380324824459</v>
      </c>
      <c r="C2652" t="s">
        <v>40</v>
      </c>
      <c r="D2652">
        <v>4.727258</v>
      </c>
      <c r="E2652">
        <v>0.44711030000000002</v>
      </c>
      <c r="F2652" t="s">
        <v>47</v>
      </c>
      <c r="G2652">
        <v>-321.6164</v>
      </c>
      <c r="H2652" s="1">
        <v>-6.766279E-7</v>
      </c>
      <c r="I2652">
        <v>215.56809999999999</v>
      </c>
      <c r="J2652">
        <v>-336.02879999999999</v>
      </c>
      <c r="K2652">
        <v>1.1085100000000001</v>
      </c>
      <c r="L2652">
        <v>213.88409999999999</v>
      </c>
      <c r="M2652">
        <v>0.99988809999999995</v>
      </c>
      <c r="N2652">
        <v>0</v>
      </c>
      <c r="O2652">
        <v>3.1645670000000001E-3</v>
      </c>
      <c r="P2652">
        <v>0.98312909999999998</v>
      </c>
      <c r="Q2652">
        <v>0.17980650000000001</v>
      </c>
      <c r="R2652">
        <v>-3.3569019999999998E-2</v>
      </c>
      <c r="S2652">
        <v>3.1067499999999999</v>
      </c>
      <c r="T2652">
        <v>-0.23412230000000001</v>
      </c>
      <c r="U2652">
        <v>0.35585020000000001</v>
      </c>
      <c r="V2652">
        <v>3.6813390000000001E-2</v>
      </c>
      <c r="W2652">
        <v>0.19414219999999999</v>
      </c>
      <c r="X2652">
        <v>0.9802824</v>
      </c>
      <c r="Y2652">
        <v>-0.11035200000000001</v>
      </c>
      <c r="Z2652">
        <v>3.9012780000000002E-3</v>
      </c>
      <c r="AA2652">
        <v>0.99388489999999996</v>
      </c>
      <c r="AB2652">
        <v>45</v>
      </c>
      <c r="AC2652">
        <v>14.4123999999999</v>
      </c>
      <c r="AD2652">
        <v>-1.10851067662789</v>
      </c>
      <c r="AE2652">
        <v>1.6839999999999899</v>
      </c>
      <c r="AF2652">
        <v>-1.62887152976618</v>
      </c>
      <c r="AG2652">
        <v>-1.10851067662789</v>
      </c>
      <c r="AH2652">
        <v>14.3340037379826</v>
      </c>
      <c r="AI2652">
        <v>94.393961929948503</v>
      </c>
      <c r="AJ2652">
        <v>96.483103165867206</v>
      </c>
      <c r="AK2652">
        <v>14.4687830013854</v>
      </c>
      <c r="AL2652">
        <v>78.805382351021507</v>
      </c>
      <c r="AM2652">
        <v>87.849332844614906</v>
      </c>
      <c r="AN2652">
        <v>1.0000000016269399</v>
      </c>
    </row>
    <row r="2653" spans="1:40" x14ac:dyDescent="0.25">
      <c r="A2653" t="str">
        <f>"20190312164524849"</f>
        <v>20190312164524849</v>
      </c>
      <c r="B2653" t="str">
        <f>"1552380324843979"</f>
        <v>1552380324843979</v>
      </c>
      <c r="C2653" t="s">
        <v>40</v>
      </c>
      <c r="D2653">
        <v>4.7112049999999996</v>
      </c>
      <c r="E2653">
        <v>0.45335890000000001</v>
      </c>
      <c r="F2653" t="s">
        <v>47</v>
      </c>
      <c r="G2653">
        <v>-321.1069</v>
      </c>
      <c r="H2653" s="1">
        <v>-9.4777010000000001E-7</v>
      </c>
      <c r="I2653">
        <v>215.60120000000001</v>
      </c>
      <c r="J2653">
        <v>-335.61750000000001</v>
      </c>
      <c r="K2653">
        <v>1.108492</v>
      </c>
      <c r="L2653">
        <v>213.8852</v>
      </c>
      <c r="M2653">
        <v>0.99988880000000002</v>
      </c>
      <c r="N2653">
        <v>0</v>
      </c>
      <c r="O2653">
        <v>2.9202350000000002E-3</v>
      </c>
      <c r="P2653">
        <v>0.98315109999999994</v>
      </c>
      <c r="Q2653">
        <v>0.17971689999999901</v>
      </c>
      <c r="R2653">
        <v>-3.3405890000000001E-2</v>
      </c>
      <c r="S2653">
        <v>3.105896</v>
      </c>
      <c r="T2653">
        <v>-0.2307292</v>
      </c>
      <c r="U2653">
        <v>0.35740660000000002</v>
      </c>
      <c r="V2653">
        <v>3.6417129999999999E-2</v>
      </c>
      <c r="W2653">
        <v>0.1940491</v>
      </c>
      <c r="X2653">
        <v>0.98031559999999995</v>
      </c>
      <c r="Y2653">
        <v>-0.1111231</v>
      </c>
      <c r="Z2653">
        <v>3.8924060000000002E-3</v>
      </c>
      <c r="AA2653">
        <v>0.99379899999999999</v>
      </c>
      <c r="AB2653">
        <v>45</v>
      </c>
      <c r="AC2653">
        <v>14.5106</v>
      </c>
      <c r="AD2653">
        <v>-1.1084929477701</v>
      </c>
      <c r="AE2653">
        <v>1.716</v>
      </c>
      <c r="AF2653">
        <v>-1.6640368532407199</v>
      </c>
      <c r="AG2653">
        <v>-1.1084929477701</v>
      </c>
      <c r="AH2653">
        <v>14.432487319194699</v>
      </c>
      <c r="AI2653">
        <v>94.363209546911705</v>
      </c>
      <c r="AJ2653">
        <v>96.5770468411867</v>
      </c>
      <c r="AK2653">
        <v>14.570328255839501</v>
      </c>
      <c r="AL2653">
        <v>78.810819617803702</v>
      </c>
      <c r="AM2653">
        <v>87.872533261977694</v>
      </c>
      <c r="AN2653">
        <v>0.99999996808580205</v>
      </c>
    </row>
    <row r="2654" spans="1:40" x14ac:dyDescent="0.25">
      <c r="A2654" t="str">
        <f>"20190312164524872"</f>
        <v>20190312164524872</v>
      </c>
      <c r="B2654" t="str">
        <f>"1552380324864479"</f>
        <v>1552380324864479</v>
      </c>
      <c r="C2654" t="s">
        <v>40</v>
      </c>
      <c r="D2654">
        <v>4.6112250000000001</v>
      </c>
      <c r="E2654">
        <v>0.45408749999999998</v>
      </c>
      <c r="F2654" t="s">
        <v>62</v>
      </c>
      <c r="G2654">
        <v>-167.89859999999999</v>
      </c>
      <c r="H2654">
        <v>12.21748</v>
      </c>
      <c r="I2654">
        <v>229.86850000000001</v>
      </c>
      <c r="J2654">
        <v>-335.1619</v>
      </c>
      <c r="K2654">
        <v>1.1084799999999999</v>
      </c>
      <c r="L2654">
        <v>213.88630000000001</v>
      </c>
      <c r="M2654">
        <v>0.99988969999999999</v>
      </c>
      <c r="N2654">
        <v>0</v>
      </c>
      <c r="O2654">
        <v>2.638367E-3</v>
      </c>
      <c r="P2654">
        <v>0.98326080000000005</v>
      </c>
      <c r="Q2654">
        <v>0.1791922</v>
      </c>
      <c r="R2654">
        <v>-3.2992630000000002E-2</v>
      </c>
      <c r="S2654">
        <v>3.024597</v>
      </c>
      <c r="T2654">
        <v>0.2003374</v>
      </c>
      <c r="U2654">
        <v>0.28823850000000001</v>
      </c>
      <c r="V2654">
        <v>3.5733550000000003E-2</v>
      </c>
      <c r="W2654">
        <v>0.19352279999999999</v>
      </c>
      <c r="X2654">
        <v>0.98044480000000001</v>
      </c>
      <c r="Y2654">
        <v>-9.204714E-2</v>
      </c>
      <c r="Z2654">
        <v>-2.86404E-3</v>
      </c>
      <c r="AA2654">
        <v>0.99575049999999998</v>
      </c>
      <c r="AB2654">
        <v>45</v>
      </c>
      <c r="AC2654">
        <v>167.26329999999999</v>
      </c>
      <c r="AD2654">
        <v>11.109</v>
      </c>
      <c r="AE2654">
        <v>15.982200000000001</v>
      </c>
      <c r="AF2654">
        <v>-15.4731588488453</v>
      </c>
      <c r="AG2654">
        <v>11.109</v>
      </c>
      <c r="AH2654">
        <v>166.57674749755401</v>
      </c>
      <c r="AI2654">
        <v>86.200901930955794</v>
      </c>
      <c r="AJ2654">
        <v>95.306923147634393</v>
      </c>
      <c r="AK2654">
        <v>167.662283572142</v>
      </c>
      <c r="AL2654">
        <v>78.841557223580295</v>
      </c>
      <c r="AM2654">
        <v>87.912706772547693</v>
      </c>
      <c r="AN2654">
        <v>0.99999998328124096</v>
      </c>
    </row>
    <row r="2655" spans="1:40" x14ac:dyDescent="0.25">
      <c r="A2655" t="str">
        <f>"20190312164524893"</f>
        <v>20190312164524893</v>
      </c>
      <c r="B2655" t="str">
        <f>"1552380324883995"</f>
        <v>1552380324883995</v>
      </c>
      <c r="C2655" t="s">
        <v>40</v>
      </c>
      <c r="D2655">
        <v>4.890536</v>
      </c>
      <c r="E2655">
        <v>0.45434010000000002</v>
      </c>
      <c r="F2655" t="s">
        <v>62</v>
      </c>
      <c r="G2655">
        <v>-167.89859999999999</v>
      </c>
      <c r="H2655">
        <v>12.04069</v>
      </c>
      <c r="I2655">
        <v>229.57749999999999</v>
      </c>
      <c r="J2655">
        <v>-334.72480000000002</v>
      </c>
      <c r="K2655">
        <v>1.1084670000000001</v>
      </c>
      <c r="L2655">
        <v>213.88730000000001</v>
      </c>
      <c r="M2655">
        <v>0.99989039999999996</v>
      </c>
      <c r="N2655">
        <v>0</v>
      </c>
      <c r="O2655">
        <v>2.3608470000000001E-3</v>
      </c>
      <c r="P2655">
        <v>0.98341480000000003</v>
      </c>
      <c r="Q2655">
        <v>0.17864070000000001</v>
      </c>
      <c r="R2655">
        <v>-3.135367E-2</v>
      </c>
      <c r="S2655">
        <v>3.0245669999999998</v>
      </c>
      <c r="T2655">
        <v>0.19768430000000001</v>
      </c>
      <c r="U2655">
        <v>0.28373720000000002</v>
      </c>
      <c r="V2655">
        <v>3.382723E-2</v>
      </c>
      <c r="W2655">
        <v>0.1929717</v>
      </c>
      <c r="X2655">
        <v>0.98062099999999996</v>
      </c>
      <c r="Y2655">
        <v>-9.0862559999999995E-2</v>
      </c>
      <c r="Z2655">
        <v>-2.8059119999999998E-3</v>
      </c>
      <c r="AA2655">
        <v>0.99585950000000001</v>
      </c>
      <c r="AB2655">
        <v>45</v>
      </c>
      <c r="AC2655">
        <v>166.8262</v>
      </c>
      <c r="AD2655">
        <v>10.932223</v>
      </c>
      <c r="AE2655">
        <v>15.6901999999999</v>
      </c>
      <c r="AF2655">
        <v>-15.231428825067001</v>
      </c>
      <c r="AG2655">
        <v>10.932223</v>
      </c>
      <c r="AH2655">
        <v>166.155522056119</v>
      </c>
      <c r="AI2655">
        <v>86.251315530201694</v>
      </c>
      <c r="AJ2655">
        <v>95.237649087646304</v>
      </c>
      <c r="AK2655">
        <v>167.20995016301001</v>
      </c>
      <c r="AL2655">
        <v>78.873739211115094</v>
      </c>
      <c r="AM2655">
        <v>88.024324089829804</v>
      </c>
      <c r="AN2655">
        <v>0.99999995206568004</v>
      </c>
    </row>
    <row r="2656" spans="1:40" x14ac:dyDescent="0.25">
      <c r="A2656" t="str">
        <f>"20190312164524915"</f>
        <v>20190312164524915</v>
      </c>
      <c r="B2656" t="str">
        <f>"1552380324904491"</f>
        <v>1552380324904491</v>
      </c>
      <c r="C2656" t="s">
        <v>40</v>
      </c>
      <c r="D2656">
        <v>4.5908829999999998</v>
      </c>
      <c r="E2656">
        <v>0.45427129999999999</v>
      </c>
      <c r="F2656" t="s">
        <v>62</v>
      </c>
      <c r="G2656">
        <v>-167.89859999999999</v>
      </c>
      <c r="H2656">
        <v>11.87548</v>
      </c>
      <c r="I2656">
        <v>229.69059999999999</v>
      </c>
      <c r="J2656">
        <v>-334.29489999999998</v>
      </c>
      <c r="K2656">
        <v>1.108457</v>
      </c>
      <c r="L2656">
        <v>213.88800000000001</v>
      </c>
      <c r="M2656">
        <v>0.99989099999999997</v>
      </c>
      <c r="N2656">
        <v>0</v>
      </c>
      <c r="O2656">
        <v>2.0838969999999999E-3</v>
      </c>
      <c r="P2656">
        <v>0.98367629999999995</v>
      </c>
      <c r="Q2656">
        <v>0.1776509</v>
      </c>
      <c r="R2656">
        <v>-2.8653649999999999E-2</v>
      </c>
      <c r="S2656">
        <v>3.0242309999999999</v>
      </c>
      <c r="T2656">
        <v>0.19518569999999999</v>
      </c>
      <c r="U2656">
        <v>0.28648380000000001</v>
      </c>
      <c r="V2656">
        <v>3.0858989999999999E-2</v>
      </c>
      <c r="W2656">
        <v>0.19198480000000001</v>
      </c>
      <c r="X2656">
        <v>0.98091260000000002</v>
      </c>
      <c r="Y2656">
        <v>-9.2046740000000002E-2</v>
      </c>
      <c r="Z2656">
        <v>-2.8266150000000002E-3</v>
      </c>
      <c r="AA2656">
        <v>0.99575069999999999</v>
      </c>
      <c r="AB2656">
        <v>45</v>
      </c>
      <c r="AC2656">
        <v>166.3963</v>
      </c>
      <c r="AD2656">
        <v>10.767023</v>
      </c>
      <c r="AE2656">
        <v>15.802599999999901</v>
      </c>
      <c r="AF2656">
        <v>-15.391905884514999</v>
      </c>
      <c r="AG2656">
        <v>10.767023</v>
      </c>
      <c r="AH2656">
        <v>165.741116534523</v>
      </c>
      <c r="AI2656">
        <v>86.299003421887093</v>
      </c>
      <c r="AJ2656">
        <v>95.305678329644095</v>
      </c>
      <c r="AK2656">
        <v>166.802150049544</v>
      </c>
      <c r="AL2656">
        <v>78.931362260647603</v>
      </c>
      <c r="AM2656">
        <v>88.198099462320101</v>
      </c>
      <c r="AN2656">
        <v>0.99999998476680996</v>
      </c>
    </row>
    <row r="2657" spans="1:40" x14ac:dyDescent="0.25">
      <c r="A2657" t="str">
        <f>"20190312164524927"</f>
        <v>20190312164524927</v>
      </c>
      <c r="B2657" t="str">
        <f>"1552380324924012"</f>
        <v>1552380324924012</v>
      </c>
      <c r="C2657" t="s">
        <v>40</v>
      </c>
      <c r="D2657">
        <v>4.7380449999999996</v>
      </c>
      <c r="E2657">
        <v>0.45428469999999999</v>
      </c>
      <c r="F2657" t="s">
        <v>62</v>
      </c>
      <c r="G2657">
        <v>-167.89859999999999</v>
      </c>
      <c r="H2657">
        <v>11.664339999999999</v>
      </c>
      <c r="I2657">
        <v>230.1387</v>
      </c>
      <c r="J2657">
        <v>-334.02879999999999</v>
      </c>
      <c r="K2657">
        <v>1.1084480000000001</v>
      </c>
      <c r="L2657">
        <v>213.88849999999999</v>
      </c>
      <c r="M2657">
        <v>0.99989150000000004</v>
      </c>
      <c r="N2657">
        <v>0</v>
      </c>
      <c r="O2657">
        <v>1.9108479999999999E-3</v>
      </c>
      <c r="P2657">
        <v>0.98372749999999998</v>
      </c>
      <c r="Q2657">
        <v>0.17765649999999999</v>
      </c>
      <c r="R2657">
        <v>-2.680743E-2</v>
      </c>
      <c r="S2657">
        <v>3.0237120000000002</v>
      </c>
      <c r="T2657">
        <v>0.19181989999999999</v>
      </c>
      <c r="U2657">
        <v>0.29530329999999999</v>
      </c>
      <c r="V2657">
        <v>2.8845010000000001E-2</v>
      </c>
      <c r="W2657">
        <v>0.19199089999999999</v>
      </c>
      <c r="X2657">
        <v>0.98097270000000003</v>
      </c>
      <c r="Y2657">
        <v>-9.511232E-2</v>
      </c>
      <c r="Z2657">
        <v>-2.8859100000000002E-3</v>
      </c>
      <c r="AA2657">
        <v>0.99546239999999997</v>
      </c>
      <c r="AB2657">
        <v>45</v>
      </c>
      <c r="AC2657">
        <v>166.1302</v>
      </c>
      <c r="AD2657">
        <v>10.555892</v>
      </c>
      <c r="AE2657">
        <v>16.2502</v>
      </c>
      <c r="AF2657">
        <v>-15.8692250304445</v>
      </c>
      <c r="AG2657">
        <v>10.555892</v>
      </c>
      <c r="AH2657">
        <v>165.49911193213401</v>
      </c>
      <c r="AI2657">
        <v>86.367112434461603</v>
      </c>
      <c r="AJ2657">
        <v>95.4771790842059</v>
      </c>
      <c r="AK2657">
        <v>166.592962664417</v>
      </c>
      <c r="AL2657">
        <v>78.931006181281603</v>
      </c>
      <c r="AM2657">
        <v>88.315731661964904</v>
      </c>
      <c r="AN2657">
        <v>0.999999989215</v>
      </c>
    </row>
    <row r="2658" spans="1:40" x14ac:dyDescent="0.25">
      <c r="A2658" t="str">
        <f>"20190312164524949"</f>
        <v>20190312164524949</v>
      </c>
      <c r="B2658" t="str">
        <f>"1552380324944507"</f>
        <v>1552380324944507</v>
      </c>
      <c r="C2658" t="s">
        <v>40</v>
      </c>
      <c r="D2658">
        <v>4.7392130000000003</v>
      </c>
      <c r="E2658">
        <v>0.45448280000000002</v>
      </c>
      <c r="F2658" t="s">
        <v>62</v>
      </c>
      <c r="G2658">
        <v>-167.89859999999999</v>
      </c>
      <c r="H2658">
        <v>11.577209999999999</v>
      </c>
      <c r="I2658">
        <v>230.4333</v>
      </c>
      <c r="J2658">
        <v>-333.61059999999998</v>
      </c>
      <c r="K2658">
        <v>1.108441</v>
      </c>
      <c r="L2658">
        <v>213.88910000000001</v>
      </c>
      <c r="M2658">
        <v>0.99989189999999994</v>
      </c>
      <c r="N2658">
        <v>0</v>
      </c>
      <c r="O2658">
        <v>1.6377049999999999E-3</v>
      </c>
      <c r="P2658">
        <v>0.98403379999999996</v>
      </c>
      <c r="Q2658">
        <v>0.17652779999999901</v>
      </c>
      <c r="R2658">
        <v>-2.270196E-2</v>
      </c>
      <c r="S2658">
        <v>3.0234380000000001</v>
      </c>
      <c r="T2658">
        <v>0.1905241</v>
      </c>
      <c r="U2658">
        <v>0.30110170000000003</v>
      </c>
      <c r="V2658">
        <v>2.4473709999999999E-2</v>
      </c>
      <c r="W2658">
        <v>0.1908677</v>
      </c>
      <c r="X2658">
        <v>0.98131069999999998</v>
      </c>
      <c r="Y2658">
        <v>-9.7281179999999995E-2</v>
      </c>
      <c r="Z2658">
        <v>-2.951698E-3</v>
      </c>
      <c r="AA2658">
        <v>0.99525249999999998</v>
      </c>
      <c r="AB2658">
        <v>45</v>
      </c>
      <c r="AC2658">
        <v>165.71199999999999</v>
      </c>
      <c r="AD2658">
        <v>10.468769</v>
      </c>
      <c r="AE2658">
        <v>16.544199999999901</v>
      </c>
      <c r="AF2658">
        <v>-16.2087106831579</v>
      </c>
      <c r="AG2658">
        <v>10.468769</v>
      </c>
      <c r="AH2658">
        <v>165.08651481032601</v>
      </c>
      <c r="AI2658">
        <v>86.388831129793502</v>
      </c>
      <c r="AJ2658">
        <v>95.607506383498404</v>
      </c>
      <c r="AK2658">
        <v>166.21033300792601</v>
      </c>
      <c r="AL2658">
        <v>78.9965742303024</v>
      </c>
      <c r="AM2658">
        <v>88.571349856991503</v>
      </c>
      <c r="AN2658">
        <v>1.0000000656594601</v>
      </c>
    </row>
    <row r="2659" spans="1:40" x14ac:dyDescent="0.25">
      <c r="A2659" t="str">
        <f>"20190312164524962"</f>
        <v>20190312164524962</v>
      </c>
      <c r="B2659" t="str">
        <f>"1552380324954267"</f>
        <v>1552380324954267</v>
      </c>
      <c r="C2659" t="s">
        <v>40</v>
      </c>
      <c r="D2659">
        <v>4.8484410000000002</v>
      </c>
      <c r="E2659">
        <v>0.45445669999999999</v>
      </c>
      <c r="F2659" t="s">
        <v>62</v>
      </c>
      <c r="G2659">
        <v>-167.89859999999999</v>
      </c>
      <c r="H2659">
        <v>11.29087</v>
      </c>
      <c r="I2659">
        <v>231.01779999999999</v>
      </c>
      <c r="J2659">
        <v>-333.3485</v>
      </c>
      <c r="K2659">
        <v>1.1084339999999999</v>
      </c>
      <c r="L2659">
        <v>213.88939999999999</v>
      </c>
      <c r="M2659">
        <v>0.99989229999999996</v>
      </c>
      <c r="N2659">
        <v>0</v>
      </c>
      <c r="O2659">
        <v>1.4667149999999999E-3</v>
      </c>
      <c r="P2659">
        <v>0.98411539999999997</v>
      </c>
      <c r="Q2659">
        <v>0.17634739999999999</v>
      </c>
      <c r="R2659">
        <v>-2.0465230000000001E-2</v>
      </c>
      <c r="S2659">
        <v>3.0225520000000001</v>
      </c>
      <c r="T2659">
        <v>0.18572640000000001</v>
      </c>
      <c r="U2659">
        <v>0.31242370000000003</v>
      </c>
      <c r="V2659">
        <v>2.207019E-2</v>
      </c>
      <c r="W2659">
        <v>0.19068889999999999</v>
      </c>
      <c r="X2659">
        <v>0.98140240000000001</v>
      </c>
      <c r="Y2659">
        <v>-0.1011711</v>
      </c>
      <c r="Z2659">
        <v>-3.0073600000000002E-3</v>
      </c>
      <c r="AA2659">
        <v>0.99486450000000004</v>
      </c>
      <c r="AB2659">
        <v>45</v>
      </c>
      <c r="AC2659">
        <v>165.44990000000001</v>
      </c>
      <c r="AD2659">
        <v>10.182435999999999</v>
      </c>
      <c r="AE2659">
        <v>17.128399999999999</v>
      </c>
      <c r="AF2659">
        <v>-16.822645148235299</v>
      </c>
      <c r="AG2659">
        <v>10.182435999999999</v>
      </c>
      <c r="AH2659">
        <v>164.85704700043499</v>
      </c>
      <c r="AI2659">
        <v>86.483815392992199</v>
      </c>
      <c r="AJ2659">
        <v>95.826513151293099</v>
      </c>
      <c r="AK2659">
        <v>166.025688790564</v>
      </c>
      <c r="AL2659">
        <v>79.007009778294105</v>
      </c>
      <c r="AM2659">
        <v>88.711725552059903</v>
      </c>
      <c r="AN2659">
        <v>1.0000000102977999</v>
      </c>
    </row>
    <row r="2660" spans="1:40" x14ac:dyDescent="0.25">
      <c r="A2660" t="str">
        <f>"20190312164524984"</f>
        <v>20190312164524984</v>
      </c>
      <c r="B2660" t="str">
        <f>"1552380324974764"</f>
        <v>1552380324974764</v>
      </c>
      <c r="C2660" t="s">
        <v>40</v>
      </c>
      <c r="D2660">
        <v>4.4829129999999999</v>
      </c>
      <c r="E2660">
        <v>0.43454389999999998</v>
      </c>
      <c r="F2660" t="s">
        <v>62</v>
      </c>
      <c r="G2660">
        <v>-167.89859999999999</v>
      </c>
      <c r="H2660">
        <v>11.279070000000001</v>
      </c>
      <c r="I2660">
        <v>231.3828</v>
      </c>
      <c r="J2660">
        <v>-332.90640000000002</v>
      </c>
      <c r="K2660">
        <v>1.1084270000000001</v>
      </c>
      <c r="L2660">
        <v>213.88980000000001</v>
      </c>
      <c r="M2660">
        <v>0.99989280000000003</v>
      </c>
      <c r="N2660">
        <v>0</v>
      </c>
      <c r="O2660">
        <v>1.181414E-3</v>
      </c>
      <c r="P2660">
        <v>0.98450459999999995</v>
      </c>
      <c r="Q2660">
        <v>0.1747012</v>
      </c>
      <c r="R2660">
        <v>-1.519002E-2</v>
      </c>
      <c r="S2660">
        <v>3.02182</v>
      </c>
      <c r="T2660">
        <v>0.18576000000000001</v>
      </c>
      <c r="U2660">
        <v>0.3195038</v>
      </c>
      <c r="V2660">
        <v>1.6514790000000001E-2</v>
      </c>
      <c r="W2660">
        <v>0.1890503</v>
      </c>
      <c r="X2660">
        <v>0.98182849999999999</v>
      </c>
      <c r="Y2660">
        <v>-0.1037796</v>
      </c>
      <c r="Z2660">
        <v>-3.1056130000000001E-3</v>
      </c>
      <c r="AA2660">
        <v>0.99459549999999997</v>
      </c>
      <c r="AB2660">
        <v>45</v>
      </c>
      <c r="AC2660">
        <v>165.0078</v>
      </c>
      <c r="AD2660">
        <v>10.170642999999901</v>
      </c>
      <c r="AE2660">
        <v>17.492999999999899</v>
      </c>
      <c r="AF2660">
        <v>-17.233280117204899</v>
      </c>
      <c r="AG2660">
        <v>10.170642999999901</v>
      </c>
      <c r="AH2660">
        <v>164.41067261875099</v>
      </c>
      <c r="AI2660">
        <v>86.479363407538798</v>
      </c>
      <c r="AJ2660">
        <v>95.983806982215398</v>
      </c>
      <c r="AK2660">
        <v>165.62396322266201</v>
      </c>
      <c r="AL2660">
        <v>79.102633778641007</v>
      </c>
      <c r="AM2660">
        <v>89.036350499293803</v>
      </c>
      <c r="AN2660">
        <v>0.99999997881554104</v>
      </c>
    </row>
    <row r="2661" spans="1:40" x14ac:dyDescent="0.25">
      <c r="A2661" t="str">
        <f>"20190312164525004"</f>
        <v>20190312164525004</v>
      </c>
      <c r="B2661" t="str">
        <f>"1552380324994283"</f>
        <v>1552380324994283</v>
      </c>
      <c r="C2661" t="s">
        <v>40</v>
      </c>
      <c r="D2661">
        <v>4.8235640000000002</v>
      </c>
      <c r="E2661">
        <v>0.42919449999999998</v>
      </c>
      <c r="F2661" t="s">
        <v>62</v>
      </c>
      <c r="G2661">
        <v>-168.6001</v>
      </c>
      <c r="H2661">
        <v>12.649789999999999</v>
      </c>
      <c r="I2661">
        <v>240.74350000000001</v>
      </c>
      <c r="J2661">
        <v>-332.49099999999999</v>
      </c>
      <c r="K2661">
        <v>1.108422</v>
      </c>
      <c r="L2661">
        <v>213.89009999999999</v>
      </c>
      <c r="M2661">
        <v>0.99989289999999997</v>
      </c>
      <c r="N2661">
        <v>0</v>
      </c>
      <c r="O2661">
        <v>9.2079480000000001E-4</v>
      </c>
      <c r="P2661">
        <v>0.98483030000000005</v>
      </c>
      <c r="Q2661">
        <v>0.173309299999999</v>
      </c>
      <c r="R2661">
        <v>-8.5453739999999997E-3</v>
      </c>
      <c r="S2661">
        <v>3.0172729999999999</v>
      </c>
      <c r="T2661">
        <v>0.2119431</v>
      </c>
      <c r="U2661">
        <v>0.4931335</v>
      </c>
      <c r="V2661">
        <v>9.6129760000000005E-3</v>
      </c>
      <c r="W2661">
        <v>0.18766740000000001</v>
      </c>
      <c r="X2661">
        <v>0.98218559999999999</v>
      </c>
      <c r="Y2661">
        <v>-0.16000610000000001</v>
      </c>
      <c r="Z2661">
        <v>-5.5117250000000003E-3</v>
      </c>
      <c r="AA2661">
        <v>0.98710070000000005</v>
      </c>
      <c r="AB2661">
        <v>45</v>
      </c>
      <c r="AC2661">
        <v>163.89089999999999</v>
      </c>
      <c r="AD2661">
        <v>11.541368</v>
      </c>
      <c r="AE2661">
        <v>26.853400000000001</v>
      </c>
      <c r="AF2661">
        <v>-26.5741237311391</v>
      </c>
      <c r="AG2661">
        <v>11.541368</v>
      </c>
      <c r="AH2661">
        <v>163.12773933540799</v>
      </c>
      <c r="AI2661">
        <v>86.005520049972802</v>
      </c>
      <c r="AJ2661">
        <v>99.252423945133501</v>
      </c>
      <c r="AK2661">
        <v>165.68055579358199</v>
      </c>
      <c r="AL2661">
        <v>79.183312558728005</v>
      </c>
      <c r="AM2661">
        <v>89.439245120748296</v>
      </c>
      <c r="AN2661">
        <v>1.00000000758884</v>
      </c>
    </row>
    <row r="2662" spans="1:40" x14ac:dyDescent="0.25">
      <c r="A2662" t="str">
        <f>"20190312164525028"</f>
        <v>20190312164525028</v>
      </c>
      <c r="B2662" t="str">
        <f>"1552380325024539"</f>
        <v>1552380325024539</v>
      </c>
      <c r="C2662" t="s">
        <v>40</v>
      </c>
      <c r="D2662">
        <v>4.843934</v>
      </c>
      <c r="E2662">
        <v>0.4259366</v>
      </c>
      <c r="F2662" t="s">
        <v>63</v>
      </c>
      <c r="G2662">
        <v>-242.94040000000001</v>
      </c>
      <c r="H2662">
        <v>6.9873820000000002</v>
      </c>
      <c r="I2662">
        <v>230.41890000000001</v>
      </c>
      <c r="J2662">
        <v>-332.0222</v>
      </c>
      <c r="K2662">
        <v>1.1084240000000001</v>
      </c>
      <c r="L2662">
        <v>213.8903</v>
      </c>
      <c r="M2662">
        <v>0.99989320000000004</v>
      </c>
      <c r="N2662">
        <v>0</v>
      </c>
      <c r="O2662">
        <v>6.3851789999999999E-4</v>
      </c>
      <c r="P2662">
        <v>0.9851683</v>
      </c>
      <c r="Q2662">
        <v>0.1715856</v>
      </c>
      <c r="R2662">
        <v>-1.367828E-3</v>
      </c>
      <c r="S2662">
        <v>3.0162049999999998</v>
      </c>
      <c r="T2662">
        <v>0.19801250000000001</v>
      </c>
      <c r="U2662">
        <v>0.55671689999999996</v>
      </c>
      <c r="V2662">
        <v>2.153889E-3</v>
      </c>
      <c r="W2662">
        <v>0.1859519</v>
      </c>
      <c r="X2662">
        <v>0.98255650000000005</v>
      </c>
      <c r="Y2662">
        <v>-0.1805069</v>
      </c>
      <c r="Z2662">
        <v>-5.8277880000000004E-3</v>
      </c>
      <c r="AA2662">
        <v>0.9835564</v>
      </c>
      <c r="AB2662">
        <v>45</v>
      </c>
      <c r="AC2662">
        <v>89.081799999999902</v>
      </c>
      <c r="AD2662">
        <v>5.8789579999999999</v>
      </c>
      <c r="AE2662">
        <v>16.528600000000001</v>
      </c>
      <c r="AF2662">
        <v>-16.402648576810702</v>
      </c>
      <c r="AG2662">
        <v>5.8789579999999999</v>
      </c>
      <c r="AH2662">
        <v>88.718795402522602</v>
      </c>
      <c r="AI2662">
        <v>86.271833100402006</v>
      </c>
      <c r="AJ2662">
        <v>100.474768417381</v>
      </c>
      <c r="AK2662">
        <v>90.413680851820104</v>
      </c>
      <c r="AL2662">
        <v>79.283364836140393</v>
      </c>
      <c r="AM2662">
        <v>89.874400554509407</v>
      </c>
      <c r="AN2662">
        <v>1.00000001202184</v>
      </c>
    </row>
    <row r="2663" spans="1:40" x14ac:dyDescent="0.25">
      <c r="A2663" t="str">
        <f>"20190312164525051"</f>
        <v>20190312164525051</v>
      </c>
      <c r="B2663" t="str">
        <f>"1552380325044060"</f>
        <v>1552380325044060</v>
      </c>
      <c r="C2663" t="s">
        <v>40</v>
      </c>
      <c r="D2663">
        <v>4.6592269999999996</v>
      </c>
      <c r="E2663">
        <v>0.42566520000000002</v>
      </c>
      <c r="F2663" t="s">
        <v>64</v>
      </c>
      <c r="G2663">
        <v>-254.8228</v>
      </c>
      <c r="H2663">
        <v>6.044022</v>
      </c>
      <c r="I2663">
        <v>229.37780000000001</v>
      </c>
      <c r="J2663">
        <v>-331.55329999999998</v>
      </c>
      <c r="K2663">
        <v>1.1084320000000001</v>
      </c>
      <c r="L2663">
        <v>213.8904</v>
      </c>
      <c r="M2663">
        <v>0.99989340000000004</v>
      </c>
      <c r="N2663">
        <v>0</v>
      </c>
      <c r="O2663">
        <v>3.7668530000000002E-4</v>
      </c>
      <c r="P2663">
        <v>0.98543009999999998</v>
      </c>
      <c r="Q2663">
        <v>0.16996149999999999</v>
      </c>
      <c r="R2663">
        <v>6.3629929999999999E-3</v>
      </c>
      <c r="S2663">
        <v>3.0124819999999999</v>
      </c>
      <c r="T2663">
        <v>0.1925983</v>
      </c>
      <c r="U2663">
        <v>0.60435490000000003</v>
      </c>
      <c r="V2663">
        <v>-5.8412439999999998E-3</v>
      </c>
      <c r="W2663">
        <v>0.18433579999999999</v>
      </c>
      <c r="X2663">
        <v>0.982846</v>
      </c>
      <c r="Y2663">
        <v>-0.19594449999999999</v>
      </c>
      <c r="Z2663">
        <v>-6.171953E-3</v>
      </c>
      <c r="AA2663">
        <v>0.98059560000000001</v>
      </c>
      <c r="AB2663">
        <v>45</v>
      </c>
      <c r="AC2663">
        <v>76.730499999999907</v>
      </c>
      <c r="AD2663">
        <v>4.9355900000000004</v>
      </c>
      <c r="AE2663">
        <v>15.487399999999999</v>
      </c>
      <c r="AF2663">
        <v>-15.3972795447939</v>
      </c>
      <c r="AG2663">
        <v>4.9355900000000004</v>
      </c>
      <c r="AH2663">
        <v>76.432466121559301</v>
      </c>
      <c r="AI2663">
        <v>86.377848586124202</v>
      </c>
      <c r="AJ2663">
        <v>101.38976433220699</v>
      </c>
      <c r="AK2663">
        <v>78.123992111591093</v>
      </c>
      <c r="AL2663">
        <v>79.377589797495006</v>
      </c>
      <c r="AM2663">
        <v>90.340515897641794</v>
      </c>
      <c r="AN2663">
        <v>1.00000003350455</v>
      </c>
    </row>
    <row r="2664" spans="1:40" x14ac:dyDescent="0.25">
      <c r="A2664" t="str">
        <f>"20190312164525073"</f>
        <v>20190312164525073</v>
      </c>
      <c r="B2664" t="str">
        <f>"1552380325064556"</f>
        <v>1552380325064556</v>
      </c>
      <c r="C2664" t="s">
        <v>40</v>
      </c>
      <c r="D2664">
        <v>4.6906480000000004</v>
      </c>
      <c r="E2664">
        <v>0.42493700000000001</v>
      </c>
      <c r="F2664" t="s">
        <v>64</v>
      </c>
      <c r="G2664">
        <v>-256.82780000000002</v>
      </c>
      <c r="H2664">
        <v>5.6359680000000001</v>
      </c>
      <c r="I2664">
        <v>229.54849999999999</v>
      </c>
      <c r="J2664">
        <v>-331.10410000000002</v>
      </c>
      <c r="K2664">
        <v>1.1084449999999999</v>
      </c>
      <c r="L2664">
        <v>213.8904</v>
      </c>
      <c r="M2664">
        <v>0.99989349999999999</v>
      </c>
      <c r="N2664">
        <v>0</v>
      </c>
      <c r="O2664">
        <v>1.486103E-4</v>
      </c>
      <c r="P2664">
        <v>0.98562499999999997</v>
      </c>
      <c r="Q2664">
        <v>0.16828109999999999</v>
      </c>
      <c r="R2664">
        <v>1.499577E-2</v>
      </c>
      <c r="S2664">
        <v>3.0088499999999998</v>
      </c>
      <c r="T2664">
        <v>0.1823041</v>
      </c>
      <c r="U2664">
        <v>0.63047790000000004</v>
      </c>
      <c r="V2664">
        <v>-1.4707400000000001E-2</v>
      </c>
      <c r="W2664">
        <v>0.1826624</v>
      </c>
      <c r="X2664">
        <v>0.98306570000000004</v>
      </c>
      <c r="Y2664">
        <v>-0.2045825</v>
      </c>
      <c r="Z2664">
        <v>-6.1168389999999998E-3</v>
      </c>
      <c r="AA2664">
        <v>0.97883019999999998</v>
      </c>
      <c r="AB2664">
        <v>45</v>
      </c>
      <c r="AC2664">
        <v>74.276299999999907</v>
      </c>
      <c r="AD2664">
        <v>4.5275230000000004</v>
      </c>
      <c r="AE2664">
        <v>15.6580999999999</v>
      </c>
      <c r="AF2664">
        <v>-15.591594321113201</v>
      </c>
      <c r="AG2664">
        <v>4.5275230000000004</v>
      </c>
      <c r="AH2664">
        <v>74.015321573896301</v>
      </c>
      <c r="AI2664">
        <v>86.5745661346606</v>
      </c>
      <c r="AJ2664">
        <v>101.895641476682</v>
      </c>
      <c r="AK2664">
        <v>75.775088951956903</v>
      </c>
      <c r="AL2664">
        <v>79.475124524987194</v>
      </c>
      <c r="AM2664">
        <v>90.857123878875896</v>
      </c>
      <c r="AN2664">
        <v>1.0000000152524999</v>
      </c>
    </row>
    <row r="2665" spans="1:40" x14ac:dyDescent="0.25">
      <c r="A2665" t="str">
        <f>"20190312164525093"</f>
        <v>20190312164525093</v>
      </c>
      <c r="B2665" t="str">
        <f>"1552380325084075"</f>
        <v>1552380325084075</v>
      </c>
      <c r="C2665" t="s">
        <v>40</v>
      </c>
      <c r="D2665">
        <v>5.0244609999999996</v>
      </c>
      <c r="E2665">
        <v>0.42402810000000002</v>
      </c>
      <c r="F2665" t="s">
        <v>64</v>
      </c>
      <c r="G2665">
        <v>-259.70229999999998</v>
      </c>
      <c r="H2665">
        <v>5.4644409999999999</v>
      </c>
      <c r="I2665">
        <v>229.64179999999999</v>
      </c>
      <c r="J2665">
        <v>-330.68799999999999</v>
      </c>
      <c r="K2665">
        <v>1.108457</v>
      </c>
      <c r="L2665">
        <v>213.8904</v>
      </c>
      <c r="M2665">
        <v>0.99989349999999999</v>
      </c>
      <c r="N2665">
        <v>0</v>
      </c>
      <c r="O2665" s="1">
        <v>-4.4231579999999997E-5</v>
      </c>
      <c r="P2665">
        <v>0.98564680000000005</v>
      </c>
      <c r="Q2665">
        <v>0.16712379999999999</v>
      </c>
      <c r="R2665">
        <v>2.3872339999999999E-2</v>
      </c>
      <c r="S2665">
        <v>3.0024109999999999</v>
      </c>
      <c r="T2665">
        <v>0.18316879999999999</v>
      </c>
      <c r="U2665">
        <v>0.66233830000000005</v>
      </c>
      <c r="V2665">
        <v>-2.3782370000000001E-2</v>
      </c>
      <c r="W2665">
        <v>0.181509</v>
      </c>
      <c r="X2665">
        <v>0.98310169999999997</v>
      </c>
      <c r="Y2665">
        <v>-0.21508440000000001</v>
      </c>
      <c r="Z2665">
        <v>-6.4797680000000003E-3</v>
      </c>
      <c r="AA2665">
        <v>0.97657400000000005</v>
      </c>
      <c r="AB2665">
        <v>45</v>
      </c>
      <c r="AC2665">
        <v>70.985699999999994</v>
      </c>
      <c r="AD2665">
        <v>4.3559840000000003</v>
      </c>
      <c r="AE2665">
        <v>15.751399999999901</v>
      </c>
      <c r="AF2665">
        <v>-15.6982014212702</v>
      </c>
      <c r="AG2665">
        <v>4.3559840000000003</v>
      </c>
      <c r="AH2665">
        <v>70.731158649503698</v>
      </c>
      <c r="AI2665">
        <v>86.559397524262195</v>
      </c>
      <c r="AJ2665">
        <v>102.513496467511</v>
      </c>
      <c r="AK2665">
        <v>72.583089823817005</v>
      </c>
      <c r="AL2665">
        <v>79.542333240096099</v>
      </c>
      <c r="AM2665">
        <v>91.385781056010998</v>
      </c>
      <c r="AN2665">
        <v>1.00000003537335</v>
      </c>
    </row>
    <row r="2666" spans="1:40" x14ac:dyDescent="0.25">
      <c r="A2666" t="str">
        <f>"20190312164525106"</f>
        <v>20190312164525106</v>
      </c>
      <c r="B2666" t="str">
        <f>"1552380325104572"</f>
        <v>1552380325104572</v>
      </c>
      <c r="C2666" t="s">
        <v>40</v>
      </c>
      <c r="D2666">
        <v>4.6194839999999999</v>
      </c>
      <c r="E2666">
        <v>0.42380600000000002</v>
      </c>
      <c r="F2666" t="s">
        <v>64</v>
      </c>
      <c r="G2666">
        <v>-262.8698</v>
      </c>
      <c r="H2666">
        <v>5.4398339999999896</v>
      </c>
      <c r="I2666">
        <v>229.64179999999999</v>
      </c>
      <c r="J2666">
        <v>-330.42180000000002</v>
      </c>
      <c r="K2666">
        <v>1.1084700000000001</v>
      </c>
      <c r="L2666">
        <v>213.8903</v>
      </c>
      <c r="M2666">
        <v>0.9998937</v>
      </c>
      <c r="N2666">
        <v>0</v>
      </c>
      <c r="O2666">
        <v>-1.591614E-4</v>
      </c>
      <c r="P2666">
        <v>0.9856277</v>
      </c>
      <c r="Q2666">
        <v>0.16656760000000001</v>
      </c>
      <c r="R2666">
        <v>2.8175780000000001E-2</v>
      </c>
      <c r="S2666">
        <v>2.9944760000000001</v>
      </c>
      <c r="T2666">
        <v>0.1912507</v>
      </c>
      <c r="U2666">
        <v>0.69549559999999999</v>
      </c>
      <c r="V2666">
        <v>-2.820423E-2</v>
      </c>
      <c r="W2666">
        <v>0.1809537</v>
      </c>
      <c r="X2666">
        <v>0.98308709999999999</v>
      </c>
      <c r="Y2666">
        <v>-0.2259554</v>
      </c>
      <c r="Z2666">
        <v>-7.123926E-3</v>
      </c>
      <c r="AA2666">
        <v>0.97411159999999997</v>
      </c>
      <c r="AB2666">
        <v>45</v>
      </c>
      <c r="AC2666">
        <v>67.552000000000007</v>
      </c>
      <c r="AD2666">
        <v>4.33136399999999</v>
      </c>
      <c r="AE2666">
        <v>15.751499999999901</v>
      </c>
      <c r="AF2666">
        <v>-15.701030595656</v>
      </c>
      <c r="AG2666">
        <v>4.33136399999999</v>
      </c>
      <c r="AH2666">
        <v>67.287123494772999</v>
      </c>
      <c r="AI2666">
        <v>86.412973525500306</v>
      </c>
      <c r="AJ2666">
        <v>103.134589024492</v>
      </c>
      <c r="AK2666">
        <v>69.230340632320093</v>
      </c>
      <c r="AL2666">
        <v>79.574684769922897</v>
      </c>
      <c r="AM2666">
        <v>91.643333737722998</v>
      </c>
      <c r="AN2666">
        <v>0.99999998315999605</v>
      </c>
    </row>
    <row r="2667" spans="1:40" x14ac:dyDescent="0.25">
      <c r="A2667" t="str">
        <f>"20190312164525127"</f>
        <v>20190312164525127</v>
      </c>
      <c r="B2667" t="str">
        <f>"1552380325124092"</f>
        <v>1552380325124092</v>
      </c>
      <c r="C2667" t="s">
        <v>40</v>
      </c>
      <c r="D2667">
        <v>4.5817310000000004</v>
      </c>
      <c r="E2667">
        <v>0.42324000000000001</v>
      </c>
      <c r="F2667" t="s">
        <v>64</v>
      </c>
      <c r="G2667">
        <v>-264.04230000000001</v>
      </c>
      <c r="H2667">
        <v>5.4416650000000004</v>
      </c>
      <c r="I2667">
        <v>229.64179999999999</v>
      </c>
      <c r="J2667">
        <v>-330.0197</v>
      </c>
      <c r="K2667">
        <v>1.1084830000000001</v>
      </c>
      <c r="L2667">
        <v>213.89009999999999</v>
      </c>
      <c r="M2667">
        <v>0.9998937</v>
      </c>
      <c r="N2667">
        <v>0</v>
      </c>
      <c r="O2667">
        <v>-3.1556720000000001E-4</v>
      </c>
      <c r="P2667">
        <v>0.98546610000000001</v>
      </c>
      <c r="Q2667">
        <v>0.16583129999999999</v>
      </c>
      <c r="R2667">
        <v>3.6834749999999999E-2</v>
      </c>
      <c r="S2667">
        <v>2.9904790000000001</v>
      </c>
      <c r="T2667">
        <v>0.1952171</v>
      </c>
      <c r="U2667">
        <v>0.70962519999999996</v>
      </c>
      <c r="V2667">
        <v>-3.7025669999999997E-2</v>
      </c>
      <c r="W2667">
        <v>0.1802174</v>
      </c>
      <c r="X2667">
        <v>0.98292970000000002</v>
      </c>
      <c r="Y2667">
        <v>-0.23072500000000001</v>
      </c>
      <c r="Z2667">
        <v>-7.4404049999999998E-3</v>
      </c>
      <c r="AA2667">
        <v>0.97299060000000004</v>
      </c>
      <c r="AB2667">
        <v>45</v>
      </c>
      <c r="AC2667">
        <v>65.977399999999903</v>
      </c>
      <c r="AD2667">
        <v>4.3331819999999999</v>
      </c>
      <c r="AE2667">
        <v>15.7517</v>
      </c>
      <c r="AF2667">
        <v>-15.708418267654</v>
      </c>
      <c r="AG2667">
        <v>4.3331819999999999</v>
      </c>
      <c r="AH2667">
        <v>65.704297068511295</v>
      </c>
      <c r="AI2667">
        <v>86.329955787205606</v>
      </c>
      <c r="AJ2667">
        <v>103.445745458255</v>
      </c>
      <c r="AK2667">
        <v>67.694796875268594</v>
      </c>
      <c r="AL2667">
        <v>79.617577042166502</v>
      </c>
      <c r="AM2667">
        <v>92.1572367774382</v>
      </c>
      <c r="AN2667">
        <v>1.0000000033218901</v>
      </c>
    </row>
    <row r="2668" spans="1:40" x14ac:dyDescent="0.25">
      <c r="A2668" t="str">
        <f>"20190312164525140"</f>
        <v>20190312164525140</v>
      </c>
      <c r="B2668" t="str">
        <f>"1552380325133853"</f>
        <v>1552380325133853</v>
      </c>
      <c r="C2668" t="s">
        <v>40</v>
      </c>
      <c r="D2668">
        <v>4.713139</v>
      </c>
      <c r="E2668">
        <v>0.42301719999999998</v>
      </c>
      <c r="F2668" t="s">
        <v>64</v>
      </c>
      <c r="G2668">
        <v>-266.54340000000002</v>
      </c>
      <c r="H2668">
        <v>5.3958529999999998</v>
      </c>
      <c r="I2668">
        <v>229.64179999999999</v>
      </c>
      <c r="J2668">
        <v>-329.76760000000002</v>
      </c>
      <c r="K2668">
        <v>1.1084909999999999</v>
      </c>
      <c r="L2668">
        <v>213.89</v>
      </c>
      <c r="M2668">
        <v>0.99989360000000005</v>
      </c>
      <c r="N2668">
        <v>0</v>
      </c>
      <c r="O2668">
        <v>-4.0175550000000001E-4</v>
      </c>
      <c r="P2668">
        <v>0.98543899999999995</v>
      </c>
      <c r="Q2668">
        <v>0.1649931</v>
      </c>
      <c r="R2668">
        <v>4.1079619999999997E-2</v>
      </c>
      <c r="S2668">
        <v>2.9826969999999999</v>
      </c>
      <c r="T2668">
        <v>0.20146130000000001</v>
      </c>
      <c r="U2668">
        <v>0.74015810000000004</v>
      </c>
      <c r="V2668">
        <v>-4.1360639999999997E-2</v>
      </c>
      <c r="W2668">
        <v>0.17937829999999999</v>
      </c>
      <c r="X2668">
        <v>0.98291030000000001</v>
      </c>
      <c r="Y2668">
        <v>-0.2407183</v>
      </c>
      <c r="Z2668">
        <v>-8.0260139999999997E-3</v>
      </c>
      <c r="AA2668">
        <v>0.97056180000000003</v>
      </c>
      <c r="AB2668">
        <v>45</v>
      </c>
      <c r="AC2668">
        <v>63.224200000000003</v>
      </c>
      <c r="AD2668">
        <v>4.2873619999999999</v>
      </c>
      <c r="AE2668">
        <v>15.751799999999999</v>
      </c>
      <c r="AF2668">
        <v>-15.7091857282606</v>
      </c>
      <c r="AG2668">
        <v>4.2873619999999999</v>
      </c>
      <c r="AH2668">
        <v>62.9453302139584</v>
      </c>
      <c r="AI2668">
        <v>86.219077275625494</v>
      </c>
      <c r="AJ2668">
        <v>104.012984348233</v>
      </c>
      <c r="AK2668">
        <v>65.017494452710906</v>
      </c>
      <c r="AL2668">
        <v>79.6664500180826</v>
      </c>
      <c r="AM2668">
        <v>92.409571717184605</v>
      </c>
      <c r="AN2668">
        <v>0.99999996744909403</v>
      </c>
    </row>
    <row r="2669" spans="1:40" x14ac:dyDescent="0.25">
      <c r="A2669" t="str">
        <f>"20190312164525162"</f>
        <v>20190312164525162</v>
      </c>
      <c r="B2669" t="str">
        <f>"1552380325154351"</f>
        <v>1552380325154351</v>
      </c>
      <c r="C2669" t="s">
        <v>40</v>
      </c>
      <c r="D2669">
        <v>4.6338419999999996</v>
      </c>
      <c r="E2669">
        <v>0.42277239999999999</v>
      </c>
      <c r="F2669" t="s">
        <v>64</v>
      </c>
      <c r="G2669">
        <v>-267.5659</v>
      </c>
      <c r="H2669">
        <v>5.3140640000000001</v>
      </c>
      <c r="I2669">
        <v>229.64179999999999</v>
      </c>
      <c r="J2669">
        <v>-329.3211</v>
      </c>
      <c r="K2669">
        <v>1.108508</v>
      </c>
      <c r="L2669">
        <v>213.8897</v>
      </c>
      <c r="M2669">
        <v>0.99989360000000005</v>
      </c>
      <c r="N2669">
        <v>0</v>
      </c>
      <c r="O2669">
        <v>-5.3744229999999995E-4</v>
      </c>
      <c r="P2669">
        <v>0.98537300000000005</v>
      </c>
      <c r="Q2669">
        <v>0.16299240000000001</v>
      </c>
      <c r="R2669">
        <v>4.9738129999999998E-2</v>
      </c>
      <c r="S2669">
        <v>2.979187</v>
      </c>
      <c r="T2669">
        <v>0.20142959999999999</v>
      </c>
      <c r="U2669">
        <v>0.75444029999999995</v>
      </c>
      <c r="V2669">
        <v>-5.016433E-2</v>
      </c>
      <c r="W2669">
        <v>0.17737720000000001</v>
      </c>
      <c r="X2669">
        <v>0.98286359999999995</v>
      </c>
      <c r="Y2669">
        <v>-0.245481</v>
      </c>
      <c r="Z2669">
        <v>-8.1966639999999993E-3</v>
      </c>
      <c r="AA2669">
        <v>0.96936670000000003</v>
      </c>
      <c r="AB2669">
        <v>45</v>
      </c>
      <c r="AC2669">
        <v>61.755200000000002</v>
      </c>
      <c r="AD2669">
        <v>4.2055559999999996</v>
      </c>
      <c r="AE2669">
        <v>15.752099999999899</v>
      </c>
      <c r="AF2669">
        <v>-15.716854203287999</v>
      </c>
      <c r="AG2669">
        <v>4.2055559999999996</v>
      </c>
      <c r="AH2669">
        <v>61.4790222900656</v>
      </c>
      <c r="AI2669">
        <v>86.208270755693405</v>
      </c>
      <c r="AJ2669">
        <v>104.340289276326</v>
      </c>
      <c r="AK2669">
        <v>63.595411698163701</v>
      </c>
      <c r="AL2669">
        <v>79.782973691349795</v>
      </c>
      <c r="AM2669">
        <v>92.921781355330793</v>
      </c>
      <c r="AN2669">
        <v>0.99999999364457404</v>
      </c>
    </row>
    <row r="2670" spans="1:40" x14ac:dyDescent="0.25">
      <c r="A2670" t="str">
        <f>"20190312164525183"</f>
        <v>20190312164525183</v>
      </c>
      <c r="B2670" t="str">
        <f>"1552380325173867"</f>
        <v>1552380325173867</v>
      </c>
      <c r="C2670" t="s">
        <v>40</v>
      </c>
      <c r="D2670">
        <v>4.7982079999999998</v>
      </c>
      <c r="E2670">
        <v>0.42272969999999999</v>
      </c>
      <c r="F2670" t="s">
        <v>64</v>
      </c>
      <c r="G2670">
        <v>-267.00990000000002</v>
      </c>
      <c r="H2670">
        <v>5.2393850000000004</v>
      </c>
      <c r="I2670">
        <v>230.28450000000001</v>
      </c>
      <c r="J2670">
        <v>-328.8956</v>
      </c>
      <c r="K2670">
        <v>1.10853</v>
      </c>
      <c r="L2670">
        <v>213.88939999999999</v>
      </c>
      <c r="M2670">
        <v>0.99989349999999999</v>
      </c>
      <c r="N2670">
        <v>0</v>
      </c>
      <c r="O2670">
        <v>-6.4343319999999996E-4</v>
      </c>
      <c r="P2670">
        <v>0.98538429999999999</v>
      </c>
      <c r="Q2670">
        <v>0.16155050000000001</v>
      </c>
      <c r="R2670">
        <v>5.402933E-2</v>
      </c>
      <c r="S2670">
        <v>2.9724729999999999</v>
      </c>
      <c r="T2670">
        <v>0.1970594</v>
      </c>
      <c r="U2670">
        <v>0.78208919999999904</v>
      </c>
      <c r="V2670">
        <v>-5.4571000000000001E-2</v>
      </c>
      <c r="W2670">
        <v>0.17593159999999999</v>
      </c>
      <c r="X2670">
        <v>0.9828886</v>
      </c>
      <c r="Y2670">
        <v>-0.25454890000000002</v>
      </c>
      <c r="Z2670">
        <v>-8.3297000000000006E-3</v>
      </c>
      <c r="AA2670">
        <v>0.96702399999999999</v>
      </c>
      <c r="AB2670">
        <v>45</v>
      </c>
      <c r="AC2670">
        <v>61.8856999999999</v>
      </c>
      <c r="AD2670">
        <v>4.1308550000000004</v>
      </c>
      <c r="AE2670">
        <v>16.395099999999999</v>
      </c>
      <c r="AF2670">
        <v>-16.366779943794199</v>
      </c>
      <c r="AG2670">
        <v>4.1308550000000004</v>
      </c>
      <c r="AH2670">
        <v>61.618598719558499</v>
      </c>
      <c r="AI2670">
        <v>86.292847376924996</v>
      </c>
      <c r="AJ2670">
        <v>104.87510845248801</v>
      </c>
      <c r="AK2670">
        <v>63.888865672522201</v>
      </c>
      <c r="AL2670">
        <v>79.867123579782799</v>
      </c>
      <c r="AM2670">
        <v>93.177858763639506</v>
      </c>
      <c r="AN2670">
        <v>0.99999996096475896</v>
      </c>
    </row>
    <row r="2671" spans="1:40" x14ac:dyDescent="0.25">
      <c r="A2671" t="str">
        <f>"20190312164525205"</f>
        <v>20190312164525205</v>
      </c>
      <c r="B2671" t="str">
        <f>"1552380325194364"</f>
        <v>1552380325194364</v>
      </c>
      <c r="C2671" t="s">
        <v>40</v>
      </c>
      <c r="D2671">
        <v>4.7591340000000004</v>
      </c>
      <c r="E2671">
        <v>0.42297240000000003</v>
      </c>
      <c r="F2671" t="s">
        <v>64</v>
      </c>
      <c r="G2671">
        <v>-267.56810000000002</v>
      </c>
      <c r="H2671">
        <v>5.1485399999999997</v>
      </c>
      <c r="I2671">
        <v>230.31479999999999</v>
      </c>
      <c r="J2671">
        <v>-328.46480000000003</v>
      </c>
      <c r="K2671">
        <v>1.108549</v>
      </c>
      <c r="L2671">
        <v>213.88910000000001</v>
      </c>
      <c r="M2671">
        <v>0.99989349999999999</v>
      </c>
      <c r="N2671">
        <v>0</v>
      </c>
      <c r="O2671">
        <v>-7.284107E-4</v>
      </c>
      <c r="P2671">
        <v>0.98521150000000002</v>
      </c>
      <c r="Q2671">
        <v>0.15973270000000001</v>
      </c>
      <c r="R2671">
        <v>6.199901E-2</v>
      </c>
      <c r="S2671">
        <v>2.968842</v>
      </c>
      <c r="T2671">
        <v>0.1955769</v>
      </c>
      <c r="U2671">
        <v>0.79515080000000005</v>
      </c>
      <c r="V2671">
        <v>-6.2635940000000001E-2</v>
      </c>
      <c r="W2671">
        <v>0.17410909999999999</v>
      </c>
      <c r="X2671">
        <v>0.9827323</v>
      </c>
      <c r="Y2671">
        <v>-0.25889190000000001</v>
      </c>
      <c r="Z2671">
        <v>-8.4182700000000003E-3</v>
      </c>
      <c r="AA2671">
        <v>0.96586959999999999</v>
      </c>
      <c r="AB2671">
        <v>45</v>
      </c>
      <c r="AC2671">
        <v>60.896700000000003</v>
      </c>
      <c r="AD2671">
        <v>4.0399909999999997</v>
      </c>
      <c r="AE2671">
        <v>16.4256999999999</v>
      </c>
      <c r="AF2671">
        <v>-16.402762063030199</v>
      </c>
      <c r="AG2671">
        <v>4.0399909999999997</v>
      </c>
      <c r="AH2671">
        <v>60.635945021535399</v>
      </c>
      <c r="AI2671">
        <v>86.320070578541802</v>
      </c>
      <c r="AJ2671">
        <v>105.136923743409</v>
      </c>
      <c r="AK2671">
        <v>62.945134515950699</v>
      </c>
      <c r="AL2671">
        <v>79.973182654697496</v>
      </c>
      <c r="AM2671">
        <v>93.646900793932502</v>
      </c>
      <c r="AN2671">
        <v>1.00000000657289</v>
      </c>
    </row>
    <row r="2672" spans="1:40" x14ac:dyDescent="0.25">
      <c r="A2672" t="str">
        <f>"20190312164525219"</f>
        <v>20190312164525219</v>
      </c>
      <c r="B2672" t="str">
        <f>"1552380325213884"</f>
        <v>1552380325213884</v>
      </c>
      <c r="C2672" t="s">
        <v>40</v>
      </c>
      <c r="D2672">
        <v>4.6669269999999896</v>
      </c>
      <c r="E2672">
        <v>0.4235312</v>
      </c>
      <c r="F2672" t="s">
        <v>64</v>
      </c>
      <c r="G2672">
        <v>-268.87599999999998</v>
      </c>
      <c r="H2672">
        <v>4.9934609999999999</v>
      </c>
      <c r="I2672">
        <v>230.31479999999999</v>
      </c>
      <c r="J2672">
        <v>-328.19199999999898</v>
      </c>
      <c r="K2672">
        <v>1.108563</v>
      </c>
      <c r="L2672">
        <v>213.8888</v>
      </c>
      <c r="M2672">
        <v>0.99989340000000004</v>
      </c>
      <c r="N2672">
        <v>0</v>
      </c>
      <c r="O2672">
        <v>-7.6909470000000003E-4</v>
      </c>
      <c r="P2672">
        <v>0.98508390000000001</v>
      </c>
      <c r="Q2672">
        <v>0.1591533</v>
      </c>
      <c r="R2672">
        <v>6.5422149999999998E-2</v>
      </c>
      <c r="S2672">
        <v>2.9623409999999999</v>
      </c>
      <c r="T2672">
        <v>0.19313240000000001</v>
      </c>
      <c r="U2672">
        <v>0.81657409999999997</v>
      </c>
      <c r="V2672">
        <v>-6.6106860000000003E-2</v>
      </c>
      <c r="W2672">
        <v>0.17352500000000001</v>
      </c>
      <c r="X2672">
        <v>0.98260829999999999</v>
      </c>
      <c r="Y2672">
        <v>-0.26595550000000001</v>
      </c>
      <c r="Z2672">
        <v>-8.5515260000000003E-3</v>
      </c>
      <c r="AA2672">
        <v>0.96394740000000001</v>
      </c>
      <c r="AB2672">
        <v>45</v>
      </c>
      <c r="AC2672">
        <v>59.315999999999903</v>
      </c>
      <c r="AD2672">
        <v>3.8848980000000002</v>
      </c>
      <c r="AE2672">
        <v>16.425999999999899</v>
      </c>
      <c r="AF2672">
        <v>-16.406256055769301</v>
      </c>
      <c r="AG2672">
        <v>3.8848980000000002</v>
      </c>
      <c r="AH2672">
        <v>59.068017263226899</v>
      </c>
      <c r="AI2672">
        <v>86.373963277950494</v>
      </c>
      <c r="AJ2672">
        <v>105.522736339395</v>
      </c>
      <c r="AK2672">
        <v>61.4270977146628</v>
      </c>
      <c r="AL2672">
        <v>80.007166930077901</v>
      </c>
      <c r="AM2672">
        <v>93.848883648990594</v>
      </c>
      <c r="AN2672">
        <v>1.00000005689647</v>
      </c>
    </row>
    <row r="2673" spans="1:40" x14ac:dyDescent="0.25">
      <c r="A2673" t="str">
        <f>"20190312164525232"</f>
        <v>20190312164525232</v>
      </c>
      <c r="B2673" t="str">
        <f>"1552380325224620"</f>
        <v>1552380325224620</v>
      </c>
      <c r="C2673" t="s">
        <v>40</v>
      </c>
      <c r="D2673">
        <v>4.8561940000000003</v>
      </c>
      <c r="E2673">
        <v>0.42381839999999998</v>
      </c>
      <c r="F2673" t="s">
        <v>64</v>
      </c>
      <c r="G2673">
        <v>-269.0641</v>
      </c>
      <c r="H2673">
        <v>4.9845739999999896</v>
      </c>
      <c r="I2673">
        <v>230.31479999999999</v>
      </c>
      <c r="J2673">
        <v>-327.92720000000003</v>
      </c>
      <c r="K2673">
        <v>1.1085780000000001</v>
      </c>
      <c r="L2673">
        <v>213.8886</v>
      </c>
      <c r="M2673">
        <v>0.99989340000000004</v>
      </c>
      <c r="N2673">
        <v>0</v>
      </c>
      <c r="O2673">
        <v>-8.0263729999999905E-4</v>
      </c>
      <c r="P2673">
        <v>0.98493929999999996</v>
      </c>
      <c r="Q2673">
        <v>0.15839529999999999</v>
      </c>
      <c r="R2673">
        <v>6.9320930000000003E-2</v>
      </c>
      <c r="S2673">
        <v>2.9594420000000001</v>
      </c>
      <c r="T2673">
        <v>0.19400139999999999</v>
      </c>
      <c r="U2673">
        <v>0.82214359999999997</v>
      </c>
      <c r="V2673">
        <v>-7.0045060000000006E-2</v>
      </c>
      <c r="W2673">
        <v>0.1727622</v>
      </c>
      <c r="X2673">
        <v>0.98246979999999995</v>
      </c>
      <c r="Y2673">
        <v>-0.2679048</v>
      </c>
      <c r="Z2673">
        <v>-8.6607090000000008E-3</v>
      </c>
      <c r="AA2673">
        <v>0.9634064</v>
      </c>
      <c r="AB2673">
        <v>45</v>
      </c>
      <c r="AC2673">
        <v>58.863100000000003</v>
      </c>
      <c r="AD2673">
        <v>3.87599599999999</v>
      </c>
      <c r="AE2673">
        <v>16.426199999999898</v>
      </c>
      <c r="AF2673">
        <v>-16.407443974193502</v>
      </c>
      <c r="AG2673">
        <v>3.87599599999999</v>
      </c>
      <c r="AH2673">
        <v>58.6141110477637</v>
      </c>
      <c r="AI2673">
        <v>86.356351320879995</v>
      </c>
      <c r="AJ2673">
        <v>105.638160928348</v>
      </c>
      <c r="AK2673">
        <v>60.990503987734797</v>
      </c>
      <c r="AL2673">
        <v>80.051541778331895</v>
      </c>
      <c r="AM2673">
        <v>94.077995259177399</v>
      </c>
      <c r="AN2673">
        <v>0.99999999804564099</v>
      </c>
    </row>
    <row r="2674" spans="1:40" x14ac:dyDescent="0.25">
      <c r="A2674" t="str">
        <f>"20190312164525251"</f>
        <v>20190312164525251</v>
      </c>
      <c r="B2674" t="str">
        <f>"1552380325244140"</f>
        <v>1552380325244140</v>
      </c>
      <c r="C2674" t="s">
        <v>40</v>
      </c>
      <c r="D2674">
        <v>4.7765170000000001</v>
      </c>
      <c r="E2674">
        <v>0.42454760000000002</v>
      </c>
      <c r="F2674" t="s">
        <v>64</v>
      </c>
      <c r="G2674">
        <v>-269.53960000000001</v>
      </c>
      <c r="H2674">
        <v>4.9173080000000002</v>
      </c>
      <c r="I2674">
        <v>230.31479999999999</v>
      </c>
      <c r="J2674">
        <v>-327.53489999999999</v>
      </c>
      <c r="K2674">
        <v>1.108598</v>
      </c>
      <c r="L2674">
        <v>213.88829999999999</v>
      </c>
      <c r="M2674">
        <v>0.99989349999999999</v>
      </c>
      <c r="N2674">
        <v>0</v>
      </c>
      <c r="O2674">
        <v>-8.3855729999999997E-4</v>
      </c>
      <c r="P2674">
        <v>0.98470599999999997</v>
      </c>
      <c r="Q2674">
        <v>0.1570249</v>
      </c>
      <c r="R2674">
        <v>7.5481820000000005E-2</v>
      </c>
      <c r="S2674">
        <v>2.956299</v>
      </c>
      <c r="T2674">
        <v>0.1928463</v>
      </c>
      <c r="U2674">
        <v>0.83169559999999998</v>
      </c>
      <c r="V2674">
        <v>-7.6251330000000006E-2</v>
      </c>
      <c r="W2674">
        <v>0.17138410000000001</v>
      </c>
      <c r="X2674">
        <v>0.98224909999999999</v>
      </c>
      <c r="Y2674">
        <v>-0.27108850000000001</v>
      </c>
      <c r="Z2674">
        <v>-8.7184350000000001E-3</v>
      </c>
      <c r="AA2674">
        <v>0.96251489999999995</v>
      </c>
      <c r="AB2674">
        <v>45</v>
      </c>
      <c r="AC2674">
        <v>57.995299999999901</v>
      </c>
      <c r="AD2674">
        <v>3.80871</v>
      </c>
      <c r="AE2674">
        <v>16.426500000000001</v>
      </c>
      <c r="AF2674">
        <v>-16.409614653854099</v>
      </c>
      <c r="AG2674">
        <v>3.80871</v>
      </c>
      <c r="AH2674">
        <v>57.750926924164197</v>
      </c>
      <c r="AI2674">
        <v>86.370057577220805</v>
      </c>
      <c r="AJ2674">
        <v>105.862213324745</v>
      </c>
      <c r="AK2674">
        <v>60.157720082731103</v>
      </c>
      <c r="AL2674">
        <v>80.1316970416065</v>
      </c>
      <c r="AM2674">
        <v>94.438929912862903</v>
      </c>
      <c r="AN2674">
        <v>1.0000000347551901</v>
      </c>
    </row>
    <row r="2675" spans="1:40" x14ac:dyDescent="0.25">
      <c r="A2675" t="str">
        <f>"20190312164525274"</f>
        <v>20190312164525274</v>
      </c>
      <c r="B2675" t="str">
        <f>"1552380325264636"</f>
        <v>1552380325264636</v>
      </c>
      <c r="C2675" t="s">
        <v>40</v>
      </c>
      <c r="D2675">
        <v>4.7733429999999997</v>
      </c>
      <c r="E2675">
        <v>0.4251839</v>
      </c>
      <c r="F2675" t="s">
        <v>64</v>
      </c>
      <c r="G2675">
        <v>-273.35180000000003</v>
      </c>
      <c r="H2675">
        <v>4.6028419999999999</v>
      </c>
      <c r="I2675">
        <v>229.37729999999999</v>
      </c>
      <c r="J2675">
        <v>-327.084</v>
      </c>
      <c r="K2675">
        <v>1.108616</v>
      </c>
      <c r="L2675">
        <v>213.8879</v>
      </c>
      <c r="M2675">
        <v>0.99989349999999999</v>
      </c>
      <c r="N2675">
        <v>0</v>
      </c>
      <c r="O2675">
        <v>-8.6470539999999895E-4</v>
      </c>
      <c r="P2675">
        <v>0.98445760000000004</v>
      </c>
      <c r="Q2675">
        <v>0.1557972</v>
      </c>
      <c r="R2675">
        <v>8.1060779999999999E-2</v>
      </c>
      <c r="S2675">
        <v>2.9515690000000001</v>
      </c>
      <c r="T2675">
        <v>0.1903465</v>
      </c>
      <c r="U2675">
        <v>0.84375</v>
      </c>
      <c r="V2675">
        <v>-8.1865869999999993E-2</v>
      </c>
      <c r="W2675">
        <v>0.17014699999999999</v>
      </c>
      <c r="X2675">
        <v>0.9820122</v>
      </c>
      <c r="Y2675">
        <v>-0.27515630000000002</v>
      </c>
      <c r="Z2675">
        <v>-8.7443099999999999E-3</v>
      </c>
      <c r="AA2675">
        <v>0.96135970000000004</v>
      </c>
      <c r="AB2675">
        <v>45</v>
      </c>
      <c r="AC2675">
        <v>53.732199999999899</v>
      </c>
      <c r="AD2675">
        <v>3.4942259999999998</v>
      </c>
      <c r="AE2675">
        <v>15.4893999999999</v>
      </c>
      <c r="AF2675">
        <v>-15.4754379771546</v>
      </c>
      <c r="AG2675">
        <v>3.4942259999999998</v>
      </c>
      <c r="AH2675">
        <v>53.509856044992503</v>
      </c>
      <c r="AI2675">
        <v>86.410545319738901</v>
      </c>
      <c r="AJ2675">
        <v>106.130252165068</v>
      </c>
      <c r="AK2675">
        <v>55.812216313990398</v>
      </c>
      <c r="AL2675">
        <v>80.203633862770204</v>
      </c>
      <c r="AM2675">
        <v>94.765468046130295</v>
      </c>
      <c r="AN2675">
        <v>0.99999999161434805</v>
      </c>
    </row>
    <row r="2676" spans="1:40" x14ac:dyDescent="0.25">
      <c r="A2676" t="str">
        <f>"20190312164525296"</f>
        <v>20190312164525296</v>
      </c>
      <c r="B2676" t="str">
        <f>"1552380325284156"</f>
        <v>1552380325284156</v>
      </c>
      <c r="C2676" t="s">
        <v>40</v>
      </c>
      <c r="D2676">
        <v>4.8009089999999999</v>
      </c>
      <c r="E2676">
        <v>0.42589460000000001</v>
      </c>
      <c r="F2676" t="s">
        <v>64</v>
      </c>
      <c r="G2676">
        <v>-273.69799999999998</v>
      </c>
      <c r="H2676">
        <v>4.4693969999999998</v>
      </c>
      <c r="I2676">
        <v>229.37729999999999</v>
      </c>
      <c r="J2676">
        <v>-326.6662</v>
      </c>
      <c r="K2676">
        <v>1.1086309999999999</v>
      </c>
      <c r="L2676">
        <v>213.88749999999999</v>
      </c>
      <c r="M2676">
        <v>0.99989349999999999</v>
      </c>
      <c r="N2676">
        <v>0</v>
      </c>
      <c r="O2676">
        <v>-8.7938719999999999E-4</v>
      </c>
      <c r="P2676">
        <v>0.98429829999999996</v>
      </c>
      <c r="Q2676">
        <v>0.154753</v>
      </c>
      <c r="R2676">
        <v>8.4902770000000002E-2</v>
      </c>
      <c r="S2676">
        <v>2.9475709999999999</v>
      </c>
      <c r="T2676">
        <v>0.18555949999999999</v>
      </c>
      <c r="U2676">
        <v>0.85520940000000001</v>
      </c>
      <c r="V2676">
        <v>-8.573008E-2</v>
      </c>
      <c r="W2676">
        <v>0.1690953</v>
      </c>
      <c r="X2676">
        <v>0.98186410000000002</v>
      </c>
      <c r="Y2676">
        <v>-0.27898230000000002</v>
      </c>
      <c r="Z2676">
        <v>-8.6502139999999998E-3</v>
      </c>
      <c r="AA2676">
        <v>0.96025729999999998</v>
      </c>
      <c r="AB2676">
        <v>45</v>
      </c>
      <c r="AC2676">
        <v>52.968200000000003</v>
      </c>
      <c r="AD2676">
        <v>3.3607659999999999</v>
      </c>
      <c r="AE2676">
        <v>15.489800000000001</v>
      </c>
      <c r="AF2676">
        <v>-15.4789733466058</v>
      </c>
      <c r="AG2676">
        <v>3.3607659999999999</v>
      </c>
      <c r="AH2676">
        <v>52.758895434397601</v>
      </c>
      <c r="AI2676">
        <v>86.502202317434296</v>
      </c>
      <c r="AJ2676">
        <v>106.351202042004</v>
      </c>
      <c r="AK2676">
        <v>55.085337535767003</v>
      </c>
      <c r="AL2676">
        <v>80.264777828458904</v>
      </c>
      <c r="AM2676">
        <v>94.990045102249795</v>
      </c>
      <c r="AN2676">
        <v>0.99999998898385301</v>
      </c>
    </row>
    <row r="2677" spans="1:40" x14ac:dyDescent="0.25">
      <c r="A2677" t="str">
        <f>"20190312164525317"</f>
        <v>20190312164525317</v>
      </c>
      <c r="B2677" t="str">
        <f>"1552380325304652"</f>
        <v>1552380325304652</v>
      </c>
      <c r="C2677" t="s">
        <v>40</v>
      </c>
      <c r="D2677">
        <v>4.7265350000000002</v>
      </c>
      <c r="E2677">
        <v>0.4265813</v>
      </c>
      <c r="F2677" t="s">
        <v>64</v>
      </c>
      <c r="G2677">
        <v>-273.68090000000001</v>
      </c>
      <c r="H2677">
        <v>4.4216509999999998</v>
      </c>
      <c r="I2677">
        <v>229.37729999999999</v>
      </c>
      <c r="J2677">
        <v>-326.23880000000003</v>
      </c>
      <c r="K2677">
        <v>1.1086450000000001</v>
      </c>
      <c r="L2677">
        <v>213.88720000000001</v>
      </c>
      <c r="M2677">
        <v>0.99989349999999999</v>
      </c>
      <c r="N2677">
        <v>0</v>
      </c>
      <c r="O2677">
        <v>-8.8732789999999904E-4</v>
      </c>
      <c r="P2677">
        <v>0.98419679999999998</v>
      </c>
      <c r="Q2677">
        <v>0.1540263</v>
      </c>
      <c r="R2677">
        <v>8.7366059999999995E-2</v>
      </c>
      <c r="S2677">
        <v>2.9446409999999998</v>
      </c>
      <c r="T2677">
        <v>0.1841218</v>
      </c>
      <c r="U2677">
        <v>0.86083980000000004</v>
      </c>
      <c r="V2677">
        <v>-8.8206980000000004E-2</v>
      </c>
      <c r="W2677">
        <v>0.16836209999999999</v>
      </c>
      <c r="X2677">
        <v>0.9817707</v>
      </c>
      <c r="Y2677">
        <v>-0.280941099999999</v>
      </c>
      <c r="Z2677">
        <v>-8.6496760000000002E-3</v>
      </c>
      <c r="AA2677">
        <v>0.95968600000000004</v>
      </c>
      <c r="AB2677">
        <v>45</v>
      </c>
      <c r="AC2677">
        <v>52.557899999999997</v>
      </c>
      <c r="AD2677">
        <v>3.3130060000000001</v>
      </c>
      <c r="AE2677">
        <v>15.490099999999901</v>
      </c>
      <c r="AF2677">
        <v>-15.480141155721901</v>
      </c>
      <c r="AG2677">
        <v>3.3130060000000001</v>
      </c>
      <c r="AH2677">
        <v>52.352736891311402</v>
      </c>
      <c r="AI2677">
        <v>86.527261266749093</v>
      </c>
      <c r="AJ2677">
        <v>106.472381610189</v>
      </c>
      <c r="AK2677">
        <v>54.693873870553297</v>
      </c>
      <c r="AL2677">
        <v>80.307398150752206</v>
      </c>
      <c r="AM2677">
        <v>95.133942874131407</v>
      </c>
      <c r="AN2677">
        <v>0.99999998770780996</v>
      </c>
    </row>
    <row r="2678" spans="1:40" x14ac:dyDescent="0.25">
      <c r="A2678" t="str">
        <f>"20190312164525341"</f>
        <v>20190312164525341</v>
      </c>
      <c r="B2678" t="str">
        <f>"1552380325333932"</f>
        <v>1552380325333932</v>
      </c>
      <c r="C2678" t="s">
        <v>40</v>
      </c>
      <c r="D2678">
        <v>4.9322499999999998</v>
      </c>
      <c r="E2678">
        <v>0.42725429999999998</v>
      </c>
      <c r="F2678" t="s">
        <v>64</v>
      </c>
      <c r="G2678">
        <v>-273.34750000000003</v>
      </c>
      <c r="H2678">
        <v>4.3948019999999897</v>
      </c>
      <c r="I2678">
        <v>229.37729999999999</v>
      </c>
      <c r="J2678">
        <v>-325.75139999999999</v>
      </c>
      <c r="K2678">
        <v>1.108657</v>
      </c>
      <c r="L2678">
        <v>213.88669999999999</v>
      </c>
      <c r="M2678">
        <v>0.99989349999999999</v>
      </c>
      <c r="N2678">
        <v>0</v>
      </c>
      <c r="O2678">
        <v>-8.8931779999999998E-4</v>
      </c>
      <c r="P2678">
        <v>0.98434189999999999</v>
      </c>
      <c r="Q2678">
        <v>0.15321989999999999</v>
      </c>
      <c r="R2678">
        <v>8.7149050000000006E-2</v>
      </c>
      <c r="S2678">
        <v>2.9430540000000001</v>
      </c>
      <c r="T2678">
        <v>0.1828544</v>
      </c>
      <c r="U2678">
        <v>0.8619232</v>
      </c>
      <c r="V2678">
        <v>-8.7998339999999994E-2</v>
      </c>
      <c r="W2678">
        <v>0.16755129999999999</v>
      </c>
      <c r="X2678">
        <v>0.98192809999999997</v>
      </c>
      <c r="Y2678">
        <v>-0.28141349999999998</v>
      </c>
      <c r="Z2678">
        <v>-8.6087249999999994E-3</v>
      </c>
      <c r="AA2678">
        <v>0.95954799999999996</v>
      </c>
      <c r="AB2678">
        <v>44</v>
      </c>
      <c r="AC2678">
        <v>52.403899999999901</v>
      </c>
      <c r="AD2678">
        <v>3.2861449999999901</v>
      </c>
      <c r="AE2678">
        <v>15.490600000000001</v>
      </c>
      <c r="AF2678">
        <v>-15.4812177270191</v>
      </c>
      <c r="AG2678">
        <v>3.2861449999999901</v>
      </c>
      <c r="AH2678">
        <v>52.201325804182702</v>
      </c>
      <c r="AI2678">
        <v>86.546206092893499</v>
      </c>
      <c r="AJ2678">
        <v>106.518646120282</v>
      </c>
      <c r="AK2678">
        <v>54.547642176237403</v>
      </c>
      <c r="AL2678">
        <v>80.354522834271904</v>
      </c>
      <c r="AM2678">
        <v>95.121047338408999</v>
      </c>
      <c r="AN2678">
        <v>0.99999996977202699</v>
      </c>
    </row>
    <row r="2679" spans="1:40" x14ac:dyDescent="0.25">
      <c r="A2679" t="str">
        <f>"20190312164525362"</f>
        <v>20190312164525362</v>
      </c>
      <c r="B2679" t="str">
        <f>"1552380325354427"</f>
        <v>1552380325354427</v>
      </c>
      <c r="C2679" t="s">
        <v>40</v>
      </c>
      <c r="D2679">
        <v>5.433738</v>
      </c>
      <c r="E2679">
        <v>0.46493129999999999</v>
      </c>
      <c r="F2679" t="s">
        <v>64</v>
      </c>
      <c r="G2679">
        <v>-269.23899999999998</v>
      </c>
      <c r="H2679">
        <v>4.6271659999999999</v>
      </c>
      <c r="I2679">
        <v>230.31469999999999</v>
      </c>
      <c r="J2679">
        <v>-325.3313</v>
      </c>
      <c r="K2679">
        <v>1.1086659999999999</v>
      </c>
      <c r="L2679">
        <v>213.88640000000001</v>
      </c>
      <c r="M2679">
        <v>0.99989380000000005</v>
      </c>
      <c r="N2679">
        <v>0</v>
      </c>
      <c r="O2679">
        <v>-8.8599449999999895E-4</v>
      </c>
      <c r="P2679">
        <v>0.98458900000000005</v>
      </c>
      <c r="Q2679">
        <v>0.1525531</v>
      </c>
      <c r="R2679">
        <v>8.5512069999999996E-2</v>
      </c>
      <c r="S2679">
        <v>2.943451</v>
      </c>
      <c r="T2679">
        <v>0.18326329999999999</v>
      </c>
      <c r="U2679">
        <v>0.85565190000000002</v>
      </c>
      <c r="V2679">
        <v>-8.6362359999999999E-2</v>
      </c>
      <c r="W2679">
        <v>0.16688269999999999</v>
      </c>
      <c r="X2679">
        <v>0.98218720000000004</v>
      </c>
      <c r="Y2679">
        <v>-0.27949170000000001</v>
      </c>
      <c r="Z2679">
        <v>-8.570579E-3</v>
      </c>
      <c r="AA2679">
        <v>0.96010980000000001</v>
      </c>
      <c r="AB2679">
        <v>44</v>
      </c>
      <c r="AC2679">
        <v>56.092299999999902</v>
      </c>
      <c r="AD2679">
        <v>3.5185</v>
      </c>
      <c r="AE2679">
        <v>16.428299999999901</v>
      </c>
      <c r="AF2679">
        <v>-16.418498494940302</v>
      </c>
      <c r="AG2679">
        <v>3.5185</v>
      </c>
      <c r="AH2679">
        <v>55.875238904885997</v>
      </c>
      <c r="AI2679">
        <v>86.542599471903003</v>
      </c>
      <c r="AJ2679">
        <v>106.375009451507</v>
      </c>
      <c r="AK2679">
        <v>58.343716523345002</v>
      </c>
      <c r="AL2679">
        <v>80.393378106826205</v>
      </c>
      <c r="AM2679">
        <v>95.025014917644697</v>
      </c>
      <c r="AN2679">
        <v>0.99999999431394904</v>
      </c>
    </row>
    <row r="2680" spans="1:40" x14ac:dyDescent="0.25">
      <c r="A2680" t="str">
        <f>"20190312164525375"</f>
        <v>20190312164525375</v>
      </c>
      <c r="B2680" t="str">
        <f>"1552380325364187"</f>
        <v>1552380325364187</v>
      </c>
      <c r="C2680" t="s">
        <v>40</v>
      </c>
      <c r="D2680">
        <v>4.7404900000000003</v>
      </c>
      <c r="E2680">
        <v>0.46493129999999999</v>
      </c>
      <c r="F2680" t="s">
        <v>63</v>
      </c>
      <c r="G2680">
        <v>-234.63810000000001</v>
      </c>
      <c r="H2680">
        <v>4.6933749999999996</v>
      </c>
      <c r="I2680">
        <v>230.75659999999999</v>
      </c>
      <c r="J2680">
        <v>-325.0763</v>
      </c>
      <c r="K2680">
        <v>1.108673</v>
      </c>
      <c r="L2680">
        <v>213.8861</v>
      </c>
      <c r="M2680">
        <v>0.99989380000000005</v>
      </c>
      <c r="N2680">
        <v>0</v>
      </c>
      <c r="O2680">
        <v>-8.8240729999999998E-4</v>
      </c>
      <c r="P2680">
        <v>0.98477999999999999</v>
      </c>
      <c r="Q2680">
        <v>0.1522635</v>
      </c>
      <c r="R2680">
        <v>8.3812960000000006E-2</v>
      </c>
      <c r="S2680">
        <v>2.9805600000000001</v>
      </c>
      <c r="T2680">
        <v>0.1178085</v>
      </c>
      <c r="U2680">
        <v>0.55442809999999998</v>
      </c>
      <c r="V2680">
        <v>-8.4662609999999999E-2</v>
      </c>
      <c r="W2680">
        <v>0.16659360000000001</v>
      </c>
      <c r="X2680">
        <v>0.98238429999999999</v>
      </c>
      <c r="Y2680">
        <v>-0.18360599999999999</v>
      </c>
      <c r="Z2680">
        <v>-3.630917E-3</v>
      </c>
      <c r="AA2680">
        <v>0.98299320000000001</v>
      </c>
      <c r="AB2680">
        <v>44</v>
      </c>
      <c r="AC2680">
        <v>90.438199999999995</v>
      </c>
      <c r="AD2680">
        <v>3.5847020000000001</v>
      </c>
      <c r="AE2680">
        <v>16.8704999999999</v>
      </c>
      <c r="AF2680">
        <v>-16.924609208375799</v>
      </c>
      <c r="AG2680">
        <v>3.5847020000000001</v>
      </c>
      <c r="AH2680">
        <v>90.286198429929101</v>
      </c>
      <c r="AI2680">
        <v>87.765220975105095</v>
      </c>
      <c r="AJ2680">
        <v>100.61717056908699</v>
      </c>
      <c r="AK2680">
        <v>91.928722998927697</v>
      </c>
      <c r="AL2680">
        <v>80.410178017106801</v>
      </c>
      <c r="AM2680">
        <v>94.925622574765498</v>
      </c>
      <c r="AN2680">
        <v>1.0000000489897201</v>
      </c>
    </row>
    <row r="2681" spans="1:40" x14ac:dyDescent="0.25">
      <c r="A2681" t="str">
        <f>"20190312164525395"</f>
        <v>20190312164525395</v>
      </c>
      <c r="B2681" t="str">
        <f>"1552380325384684"</f>
        <v>1552380325384684</v>
      </c>
      <c r="C2681" t="s">
        <v>40</v>
      </c>
      <c r="D2681">
        <v>5.0148720000000004</v>
      </c>
      <c r="E2681">
        <v>0.5403095</v>
      </c>
      <c r="F2681" t="s">
        <v>63</v>
      </c>
      <c r="G2681">
        <v>-234.63800000000001</v>
      </c>
      <c r="H2681">
        <v>4.6444519999999896</v>
      </c>
      <c r="I2681">
        <v>230.52780000000001</v>
      </c>
      <c r="J2681">
        <v>-324.69299999999998</v>
      </c>
      <c r="K2681">
        <v>1.1086819999999999</v>
      </c>
      <c r="L2681">
        <v>213.88579999999999</v>
      </c>
      <c r="M2681">
        <v>0.9998937</v>
      </c>
      <c r="N2681">
        <v>0</v>
      </c>
      <c r="O2681">
        <v>-8.7507130000000005E-4</v>
      </c>
      <c r="P2681">
        <v>0.98515730000000001</v>
      </c>
      <c r="Q2681">
        <v>0.151857299999999</v>
      </c>
      <c r="R2681">
        <v>8.0029520000000007E-2</v>
      </c>
      <c r="S2681">
        <v>2.9816590000000001</v>
      </c>
      <c r="T2681">
        <v>0.11657089999999901</v>
      </c>
      <c r="U2681">
        <v>0.54866029999999999</v>
      </c>
      <c r="V2681">
        <v>-8.0877009999999999E-2</v>
      </c>
      <c r="W2681">
        <v>0.1661878</v>
      </c>
      <c r="X2681">
        <v>0.98277190000000003</v>
      </c>
      <c r="Y2681">
        <v>-0.1816991</v>
      </c>
      <c r="Z2681">
        <v>-3.554892E-3</v>
      </c>
      <c r="AA2681">
        <v>0.98334779999999999</v>
      </c>
      <c r="AB2681">
        <v>44</v>
      </c>
      <c r="AC2681">
        <v>90.054999999999893</v>
      </c>
      <c r="AD2681">
        <v>3.5357699999999901</v>
      </c>
      <c r="AE2681">
        <v>16.641999999999999</v>
      </c>
      <c r="AF2681">
        <v>-16.695919150955</v>
      </c>
      <c r="AG2681">
        <v>3.5357699999999901</v>
      </c>
      <c r="AH2681">
        <v>89.906384249114296</v>
      </c>
      <c r="AI2681">
        <v>87.785694402147797</v>
      </c>
      <c r="AJ2681">
        <v>100.520180116555</v>
      </c>
      <c r="AK2681">
        <v>91.511820627378597</v>
      </c>
      <c r="AL2681">
        <v>80.433757269372407</v>
      </c>
      <c r="AM2681">
        <v>94.704543022126501</v>
      </c>
      <c r="AN2681">
        <v>1.0000000415224899</v>
      </c>
    </row>
    <row r="2682" spans="1:40" x14ac:dyDescent="0.25">
      <c r="A2682" t="str">
        <f>"20190312164525408"</f>
        <v>20190312164525408</v>
      </c>
      <c r="B2682" t="str">
        <f>"1552380325404203"</f>
        <v>1552380325404203</v>
      </c>
      <c r="C2682" t="s">
        <v>40</v>
      </c>
      <c r="D2682">
        <v>4.8857059999999999</v>
      </c>
      <c r="E2682">
        <v>0.54218269999999902</v>
      </c>
      <c r="F2682" t="s">
        <v>60</v>
      </c>
      <c r="G2682">
        <v>-169.7124</v>
      </c>
      <c r="H2682">
        <v>13.985189999999999</v>
      </c>
      <c r="I2682">
        <v>210.291</v>
      </c>
      <c r="J2682">
        <v>-324.43740000000003</v>
      </c>
      <c r="K2682">
        <v>1.10869</v>
      </c>
      <c r="L2682">
        <v>213.88560000000001</v>
      </c>
      <c r="M2682">
        <v>0.9998937</v>
      </c>
      <c r="N2682">
        <v>0</v>
      </c>
      <c r="O2682">
        <v>-8.6959359999999998E-4</v>
      </c>
      <c r="P2682">
        <v>0.98530980000000001</v>
      </c>
      <c r="Q2682">
        <v>0.15198900000000001</v>
      </c>
      <c r="R2682">
        <v>7.7870850000000005E-2</v>
      </c>
      <c r="S2682">
        <v>3.0122990000000001</v>
      </c>
      <c r="T2682">
        <v>0.2502762</v>
      </c>
      <c r="U2682">
        <v>-6.9870000000000002E-2</v>
      </c>
      <c r="V2682">
        <v>-7.8714679999999995E-2</v>
      </c>
      <c r="W2682">
        <v>0.16631949999999901</v>
      </c>
      <c r="X2682">
        <v>0.9829251</v>
      </c>
      <c r="Y2682">
        <v>2.2245600000000001E-2</v>
      </c>
      <c r="Z2682">
        <v>8.5029940000000003E-4</v>
      </c>
      <c r="AA2682">
        <v>0.99975219999999998</v>
      </c>
      <c r="AB2682">
        <v>44</v>
      </c>
      <c r="AC2682">
        <v>154.72499999999999</v>
      </c>
      <c r="AD2682">
        <v>12.8765</v>
      </c>
      <c r="AE2682">
        <v>-3.59460000000001</v>
      </c>
      <c r="AF2682">
        <v>3.4362503140784</v>
      </c>
      <c r="AG2682">
        <v>12.8765</v>
      </c>
      <c r="AH2682">
        <v>153.66438138967499</v>
      </c>
      <c r="AI2682">
        <v>85.211210291689</v>
      </c>
      <c r="AJ2682">
        <v>88.718962516752299</v>
      </c>
      <c r="AK2682">
        <v>154.24122074316699</v>
      </c>
      <c r="AL2682">
        <v>80.426104174230105</v>
      </c>
      <c r="AM2682">
        <v>94.578593784200194</v>
      </c>
      <c r="AN2682">
        <v>0.99999996456887996</v>
      </c>
    </row>
    <row r="2683" spans="1:40" x14ac:dyDescent="0.25">
      <c r="A2683" t="str">
        <f>"20190312164525421"</f>
        <v>20190312164525421</v>
      </c>
      <c r="B2683" t="str">
        <f>"1552380325413965"</f>
        <v>1552380325413965</v>
      </c>
      <c r="C2683" t="s">
        <v>40</v>
      </c>
      <c r="D2683">
        <v>6.8545439999999997</v>
      </c>
      <c r="E2683">
        <v>0.54291849999999997</v>
      </c>
      <c r="F2683" t="s">
        <v>60</v>
      </c>
      <c r="G2683">
        <v>-169.71279999999999</v>
      </c>
      <c r="H2683">
        <v>14.14171</v>
      </c>
      <c r="I2683">
        <v>209.1807</v>
      </c>
      <c r="J2683">
        <v>-324.17469999999997</v>
      </c>
      <c r="K2683">
        <v>1.1086959999999999</v>
      </c>
      <c r="L2683">
        <v>213.8853</v>
      </c>
      <c r="M2683">
        <v>0.9998937</v>
      </c>
      <c r="N2683">
        <v>0</v>
      </c>
      <c r="O2683">
        <v>-8.6305649999999904E-4</v>
      </c>
      <c r="P2683">
        <v>0.98545660000000002</v>
      </c>
      <c r="Q2683">
        <v>0.15214459999999999</v>
      </c>
      <c r="R2683">
        <v>7.5679750000000004E-2</v>
      </c>
      <c r="S2683">
        <v>3.0128170000000001</v>
      </c>
      <c r="T2683">
        <v>0.25378129999999999</v>
      </c>
      <c r="U2683">
        <v>-9.1613769999999997E-2</v>
      </c>
      <c r="V2683">
        <v>-7.6519439999999994E-2</v>
      </c>
      <c r="W2683">
        <v>0.16647419999999999</v>
      </c>
      <c r="X2683">
        <v>0.98307230000000001</v>
      </c>
      <c r="Y2683">
        <v>2.9430120000000001E-2</v>
      </c>
      <c r="Z2683">
        <v>1.164471E-3</v>
      </c>
      <c r="AA2683">
        <v>0.99956610000000001</v>
      </c>
      <c r="AB2683">
        <v>44</v>
      </c>
      <c r="AC2683">
        <v>154.46190000000001</v>
      </c>
      <c r="AD2683">
        <v>13.033014</v>
      </c>
      <c r="AE2683">
        <v>-4.7045999999999903</v>
      </c>
      <c r="AF2683">
        <v>4.5389895796112203</v>
      </c>
      <c r="AG2683">
        <v>13.033014</v>
      </c>
      <c r="AH2683">
        <v>153.37496851367499</v>
      </c>
      <c r="AI2683">
        <v>85.145083444642495</v>
      </c>
      <c r="AJ2683">
        <v>88.304879432736499</v>
      </c>
      <c r="AK2683">
        <v>153.994619538797</v>
      </c>
      <c r="AL2683">
        <v>80.417115692947107</v>
      </c>
      <c r="AM2683">
        <v>94.450760012277698</v>
      </c>
      <c r="AN2683">
        <v>1.0000000154954201</v>
      </c>
    </row>
    <row r="2684" spans="1:40" x14ac:dyDescent="0.25">
      <c r="A2684" t="str">
        <f>"20190312164525442"</f>
        <v>20190312164525442</v>
      </c>
      <c r="B2684" t="str">
        <f>"1552380325434460"</f>
        <v>1552380325434460</v>
      </c>
      <c r="C2684" t="s">
        <v>40</v>
      </c>
      <c r="D2684">
        <v>4.8097890000000003</v>
      </c>
      <c r="E2684">
        <v>0.54283760000000003</v>
      </c>
      <c r="F2684" t="s">
        <v>60</v>
      </c>
      <c r="G2684">
        <v>-169.71289999999999</v>
      </c>
      <c r="H2684">
        <v>14.008010000000001</v>
      </c>
      <c r="I2684">
        <v>208.55430000000001</v>
      </c>
      <c r="J2684">
        <v>-323.7722</v>
      </c>
      <c r="K2684">
        <v>1.1087</v>
      </c>
      <c r="L2684">
        <v>213.88499999999999</v>
      </c>
      <c r="M2684">
        <v>0.99989380000000005</v>
      </c>
      <c r="N2684">
        <v>0</v>
      </c>
      <c r="O2684">
        <v>-8.5195569999999997E-4</v>
      </c>
      <c r="P2684">
        <v>0.9857882</v>
      </c>
      <c r="Q2684">
        <v>0.1522752</v>
      </c>
      <c r="R2684">
        <v>7.0949999999999999E-2</v>
      </c>
      <c r="S2684">
        <v>3.0134280000000002</v>
      </c>
      <c r="T2684">
        <v>0.2516562</v>
      </c>
      <c r="U2684">
        <v>-0.1040039</v>
      </c>
      <c r="V2684">
        <v>-7.1781490000000003E-2</v>
      </c>
      <c r="W2684">
        <v>0.16660539999999999</v>
      </c>
      <c r="X2684">
        <v>0.98340740000000004</v>
      </c>
      <c r="Y2684">
        <v>3.3527800000000003E-2</v>
      </c>
      <c r="Z2684">
        <v>1.32612299999999E-3</v>
      </c>
      <c r="AA2684">
        <v>0.99943689999999996</v>
      </c>
      <c r="AB2684">
        <v>44</v>
      </c>
      <c r="AC2684">
        <v>154.05930000000001</v>
      </c>
      <c r="AD2684">
        <v>12.89931</v>
      </c>
      <c r="AE2684">
        <v>-5.33069999999997</v>
      </c>
      <c r="AF2684">
        <v>5.16327792312764</v>
      </c>
      <c r="AG2684">
        <v>12.89931</v>
      </c>
      <c r="AH2684">
        <v>152.992494752727</v>
      </c>
      <c r="AI2684">
        <v>85.183328506380803</v>
      </c>
      <c r="AJ2684">
        <v>88.067082992200994</v>
      </c>
      <c r="AK2684">
        <v>153.62211783480501</v>
      </c>
      <c r="AL2684">
        <v>80.409492141176301</v>
      </c>
      <c r="AM2684">
        <v>94.174765716705494</v>
      </c>
      <c r="AN2684">
        <v>1.0000000279952601</v>
      </c>
    </row>
    <row r="2685" spans="1:40" x14ac:dyDescent="0.25">
      <c r="A2685" t="str">
        <f>"20190312164525464"</f>
        <v>20190312164525464</v>
      </c>
      <c r="B2685" t="str">
        <f>"1552380325453980"</f>
        <v>1552380325453980</v>
      </c>
      <c r="C2685" t="s">
        <v>40</v>
      </c>
      <c r="D2685">
        <v>4.8480660000000002</v>
      </c>
      <c r="E2685">
        <v>0.54280660000000003</v>
      </c>
      <c r="F2685" t="s">
        <v>60</v>
      </c>
      <c r="G2685">
        <v>-168.4144</v>
      </c>
      <c r="H2685">
        <v>13.250830000000001</v>
      </c>
      <c r="I2685">
        <v>207.87610000000001</v>
      </c>
      <c r="J2685">
        <v>-323.31950000000001</v>
      </c>
      <c r="K2685">
        <v>1.1087070000000001</v>
      </c>
      <c r="L2685">
        <v>213.88460000000001</v>
      </c>
      <c r="M2685">
        <v>0.9998939</v>
      </c>
      <c r="N2685">
        <v>0</v>
      </c>
      <c r="O2685">
        <v>-8.3788809999999999E-4</v>
      </c>
      <c r="P2685">
        <v>0.98620980000000003</v>
      </c>
      <c r="Q2685">
        <v>0.1518002</v>
      </c>
      <c r="R2685">
        <v>6.5933939999999996E-2</v>
      </c>
      <c r="S2685">
        <v>3.0152589999999999</v>
      </c>
      <c r="T2685">
        <v>0.23566090000000001</v>
      </c>
      <c r="U2685">
        <v>-0.1166229</v>
      </c>
      <c r="V2685">
        <v>-6.6754389999999997E-2</v>
      </c>
      <c r="W2685">
        <v>0.1661328</v>
      </c>
      <c r="X2685">
        <v>0.98384130000000003</v>
      </c>
      <c r="Y2685">
        <v>3.7699089999999998E-2</v>
      </c>
      <c r="Z2685">
        <v>1.4050480000000001E-3</v>
      </c>
      <c r="AA2685">
        <v>0.99928810000000001</v>
      </c>
      <c r="AB2685">
        <v>44</v>
      </c>
      <c r="AC2685">
        <v>154.9051</v>
      </c>
      <c r="AD2685">
        <v>12.1421229999999</v>
      </c>
      <c r="AE2685">
        <v>-6.00849999999999</v>
      </c>
      <c r="AF2685">
        <v>5.8428459610300196</v>
      </c>
      <c r="AG2685">
        <v>12.1421229999999</v>
      </c>
      <c r="AH2685">
        <v>153.965523125049</v>
      </c>
      <c r="AI2685">
        <v>85.494067822303407</v>
      </c>
      <c r="AJ2685">
        <v>87.826722233296096</v>
      </c>
      <c r="AK2685">
        <v>154.55404333449701</v>
      </c>
      <c r="AL2685">
        <v>80.436952364471296</v>
      </c>
      <c r="AM2685">
        <v>93.881613437106793</v>
      </c>
      <c r="AN2685">
        <v>0.9999999797029</v>
      </c>
    </row>
    <row r="2686" spans="1:40" x14ac:dyDescent="0.25">
      <c r="A2686" t="str">
        <f>"20190312164525486"</f>
        <v>20190312164525486</v>
      </c>
      <c r="B2686" t="str">
        <f>"1552380325474698"</f>
        <v>1552380325474698</v>
      </c>
      <c r="C2686" t="s">
        <v>40</v>
      </c>
      <c r="D2686">
        <v>4.9028229999999997</v>
      </c>
      <c r="E2686">
        <v>0.54231640000000003</v>
      </c>
      <c r="F2686" t="s">
        <v>60</v>
      </c>
      <c r="G2686">
        <v>-168.4144</v>
      </c>
      <c r="H2686">
        <v>12.46954</v>
      </c>
      <c r="I2686">
        <v>207.15710000000001</v>
      </c>
      <c r="J2686">
        <v>-322.88459999999998</v>
      </c>
      <c r="K2686">
        <v>1.108711</v>
      </c>
      <c r="L2686">
        <v>213.88419999999999</v>
      </c>
      <c r="M2686">
        <v>0.99989399999999995</v>
      </c>
      <c r="N2686">
        <v>0</v>
      </c>
      <c r="O2686">
        <v>-8.2289500000000003E-4</v>
      </c>
      <c r="P2686">
        <v>0.98657349999999999</v>
      </c>
      <c r="Q2686">
        <v>0.1514752</v>
      </c>
      <c r="R2686">
        <v>6.1061219999999999E-2</v>
      </c>
      <c r="S2686">
        <v>3.016632</v>
      </c>
      <c r="T2686">
        <v>0.2212423</v>
      </c>
      <c r="U2686">
        <v>-0.13101199999999999</v>
      </c>
      <c r="V2686">
        <v>-6.1869130000000001E-2</v>
      </c>
      <c r="W2686">
        <v>0.16580980000000001</v>
      </c>
      <c r="X2686">
        <v>0.98421510000000001</v>
      </c>
      <c r="Y2686">
        <v>4.2455159999999999E-2</v>
      </c>
      <c r="Z2686">
        <v>1.4937819999999999E-3</v>
      </c>
      <c r="AA2686">
        <v>0.99909720000000002</v>
      </c>
      <c r="AB2686">
        <v>44</v>
      </c>
      <c r="AC2686">
        <v>154.47019999999901</v>
      </c>
      <c r="AD2686">
        <v>11.360828999999899</v>
      </c>
      <c r="AE2686">
        <v>-6.7270999999999699</v>
      </c>
      <c r="AF2686">
        <v>6.5645300920535599</v>
      </c>
      <c r="AG2686">
        <v>11.360828999999899</v>
      </c>
      <c r="AH2686">
        <v>153.646159024171</v>
      </c>
      <c r="AI2686">
        <v>85.774999664823596</v>
      </c>
      <c r="AJ2686">
        <v>87.553526479221603</v>
      </c>
      <c r="AK2686">
        <v>154.20539443799501</v>
      </c>
      <c r="AL2686">
        <v>80.455719584879901</v>
      </c>
      <c r="AM2686">
        <v>93.596959507033603</v>
      </c>
      <c r="AN2686">
        <v>1.0000000210455</v>
      </c>
    </row>
    <row r="2687" spans="1:40" x14ac:dyDescent="0.25">
      <c r="A2687" t="str">
        <f>"20190312164525507"</f>
        <v>20190312164525507</v>
      </c>
      <c r="B2687" t="str">
        <f>"1552380325503978"</f>
        <v>1552380325503978</v>
      </c>
      <c r="C2687" t="s">
        <v>40</v>
      </c>
      <c r="D2687">
        <v>4.9237679999999999</v>
      </c>
      <c r="E2687">
        <v>0.54155900000000001</v>
      </c>
      <c r="F2687" t="s">
        <v>60</v>
      </c>
      <c r="G2687">
        <v>-168.4144</v>
      </c>
      <c r="H2687">
        <v>12.08334</v>
      </c>
      <c r="I2687">
        <v>206.63579999999999</v>
      </c>
      <c r="J2687">
        <v>-322.46159999999998</v>
      </c>
      <c r="K2687">
        <v>1.1087089999999999</v>
      </c>
      <c r="L2687">
        <v>213.88390000000001</v>
      </c>
      <c r="M2687">
        <v>0.9998939</v>
      </c>
      <c r="N2687">
        <v>0</v>
      </c>
      <c r="O2687">
        <v>-8.073237E-4</v>
      </c>
      <c r="P2687">
        <v>0.98686499999999999</v>
      </c>
      <c r="Q2687">
        <v>0.15139649999999999</v>
      </c>
      <c r="R2687">
        <v>5.6361319999999999E-2</v>
      </c>
      <c r="S2687">
        <v>3.0166930000000001</v>
      </c>
      <c r="T2687">
        <v>0.2143275</v>
      </c>
      <c r="U2687">
        <v>-0.14155580000000001</v>
      </c>
      <c r="V2687">
        <v>-5.715543E-2</v>
      </c>
      <c r="W2687">
        <v>0.16573270000000001</v>
      </c>
      <c r="X2687">
        <v>0.98451299999999997</v>
      </c>
      <c r="Y2687">
        <v>4.59525E-2</v>
      </c>
      <c r="Z2687">
        <v>1.5721890000000001E-3</v>
      </c>
      <c r="AA2687">
        <v>0.99894240000000001</v>
      </c>
      <c r="AB2687">
        <v>44</v>
      </c>
      <c r="AC2687">
        <v>154.04719999999901</v>
      </c>
      <c r="AD2687">
        <v>10.974631</v>
      </c>
      <c r="AE2687">
        <v>-7.2481000000000204</v>
      </c>
      <c r="AF2687">
        <v>7.0878242832150997</v>
      </c>
      <c r="AG2687">
        <v>10.974631</v>
      </c>
      <c r="AH2687">
        <v>153.276775927404</v>
      </c>
      <c r="AI2687">
        <v>85.908962691065895</v>
      </c>
      <c r="AJ2687">
        <v>87.352414764583401</v>
      </c>
      <c r="AK2687">
        <v>153.832538226981</v>
      </c>
      <c r="AL2687">
        <v>80.460198469968006</v>
      </c>
      <c r="AM2687">
        <v>93.322549653656907</v>
      </c>
      <c r="AN2687">
        <v>0.99999995909838602</v>
      </c>
    </row>
    <row r="2688" spans="1:40" x14ac:dyDescent="0.25">
      <c r="A2688" t="str">
        <f>"20190312164525530"</f>
        <v>20190312164525530</v>
      </c>
      <c r="B2688" t="str">
        <f>"1552380325524474"</f>
        <v>1552380325524474</v>
      </c>
      <c r="C2688" t="s">
        <v>40</v>
      </c>
      <c r="D2688">
        <v>4.733352</v>
      </c>
      <c r="E2688">
        <v>0.54125459999999903</v>
      </c>
      <c r="F2688" t="s">
        <v>60</v>
      </c>
      <c r="G2688">
        <v>-168.4144</v>
      </c>
      <c r="H2688">
        <v>11.515330000000001</v>
      </c>
      <c r="I2688">
        <v>206.26929999999999</v>
      </c>
      <c r="J2688">
        <v>-322.02539999999999</v>
      </c>
      <c r="K2688">
        <v>1.1087119999999999</v>
      </c>
      <c r="L2688">
        <v>213.8835</v>
      </c>
      <c r="M2688">
        <v>0.99989399999999995</v>
      </c>
      <c r="N2688">
        <v>0</v>
      </c>
      <c r="O2688">
        <v>-7.9128469999999998E-4</v>
      </c>
      <c r="P2688">
        <v>0.98709590000000003</v>
      </c>
      <c r="Q2688">
        <v>0.15153739999999999</v>
      </c>
      <c r="R2688">
        <v>5.1750650000000002E-2</v>
      </c>
      <c r="S2688">
        <v>3.0171809999999999</v>
      </c>
      <c r="T2688">
        <v>0.2038256</v>
      </c>
      <c r="U2688">
        <v>-0.14913940000000001</v>
      </c>
      <c r="V2688">
        <v>-5.2529920000000001E-2</v>
      </c>
      <c r="W2688">
        <v>0.1658732</v>
      </c>
      <c r="X2688">
        <v>0.98474700000000004</v>
      </c>
      <c r="Y2688">
        <v>4.8470939999999997E-2</v>
      </c>
      <c r="Z2688">
        <v>1.5810010000000001E-3</v>
      </c>
      <c r="AA2688">
        <v>0.99882329999999997</v>
      </c>
      <c r="AB2688">
        <v>44</v>
      </c>
      <c r="AC2688">
        <v>153.61099999999999</v>
      </c>
      <c r="AD2688">
        <v>10.406618</v>
      </c>
      <c r="AE2688">
        <v>-7.6142000000000101</v>
      </c>
      <c r="AF2688">
        <v>7.4584871808325497</v>
      </c>
      <c r="AG2688">
        <v>10.406618</v>
      </c>
      <c r="AH2688">
        <v>152.916870817008</v>
      </c>
      <c r="AI2688">
        <v>86.111399420601202</v>
      </c>
      <c r="AJ2688">
        <v>87.207623723540294</v>
      </c>
      <c r="AK2688">
        <v>153.451934199899</v>
      </c>
      <c r="AL2688">
        <v>80.452035652576598</v>
      </c>
      <c r="AM2688">
        <v>93.053467338121493</v>
      </c>
      <c r="AN2688">
        <v>0.99999998249122302</v>
      </c>
    </row>
    <row r="2689" spans="1:40" x14ac:dyDescent="0.25">
      <c r="A2689" t="str">
        <f>"20190312164525543"</f>
        <v>20190312164525543</v>
      </c>
      <c r="B2689" t="str">
        <f>"1552380325534234"</f>
        <v>1552380325534234</v>
      </c>
      <c r="C2689" t="s">
        <v>40</v>
      </c>
      <c r="D2689">
        <v>4.7119140000000002</v>
      </c>
      <c r="E2689">
        <v>0.53112289999999995</v>
      </c>
      <c r="F2689" t="s">
        <v>60</v>
      </c>
      <c r="G2689">
        <v>-168.4145</v>
      </c>
      <c r="H2689">
        <v>11.384259999999999</v>
      </c>
      <c r="I2689">
        <v>205.70650000000001</v>
      </c>
      <c r="J2689">
        <v>-321.75200000000001</v>
      </c>
      <c r="K2689">
        <v>1.108716</v>
      </c>
      <c r="L2689">
        <v>213.88329999999999</v>
      </c>
      <c r="M2689">
        <v>0.99989410000000001</v>
      </c>
      <c r="N2689">
        <v>0</v>
      </c>
      <c r="O2689">
        <v>-7.8111640000000002E-4</v>
      </c>
      <c r="P2689">
        <v>0.98718729999999999</v>
      </c>
      <c r="Q2689">
        <v>0.1517474</v>
      </c>
      <c r="R2689">
        <v>4.9336400000000002E-2</v>
      </c>
      <c r="S2689">
        <v>3.0166930000000001</v>
      </c>
      <c r="T2689">
        <v>0.20179739999999999</v>
      </c>
      <c r="U2689">
        <v>-0.16058349999999999</v>
      </c>
      <c r="V2689">
        <v>-5.0106419999999999E-2</v>
      </c>
      <c r="W2689">
        <v>0.16608290000000001</v>
      </c>
      <c r="X2689">
        <v>0.98483790000000004</v>
      </c>
      <c r="Y2689">
        <v>5.2261549999999997E-2</v>
      </c>
      <c r="Z2689">
        <v>1.6926370000000001E-3</v>
      </c>
      <c r="AA2689">
        <v>0.99863199999999996</v>
      </c>
      <c r="AB2689">
        <v>44</v>
      </c>
      <c r="AC2689">
        <v>153.33750000000001</v>
      </c>
      <c r="AD2689">
        <v>10.275544</v>
      </c>
      <c r="AE2689">
        <v>-8.1767999999999805</v>
      </c>
      <c r="AF2689">
        <v>8.0210923333994195</v>
      </c>
      <c r="AG2689">
        <v>10.275544</v>
      </c>
      <c r="AH2689">
        <v>152.660235327392</v>
      </c>
      <c r="AI2689">
        <v>86.154524140651503</v>
      </c>
      <c r="AJ2689">
        <v>86.992324007105296</v>
      </c>
      <c r="AK2689">
        <v>153.215770000779</v>
      </c>
      <c r="AL2689">
        <v>80.439851282315004</v>
      </c>
      <c r="AM2689">
        <v>92.912573820042397</v>
      </c>
      <c r="AN2689">
        <v>0.99999993613701599</v>
      </c>
    </row>
    <row r="2690" spans="1:40" x14ac:dyDescent="0.25">
      <c r="A2690" t="str">
        <f>"20190312164525564"</f>
        <v>20190312164525564</v>
      </c>
      <c r="B2690" t="str">
        <f>"1552380325554730"</f>
        <v>1552380325554730</v>
      </c>
      <c r="C2690" t="s">
        <v>40</v>
      </c>
      <c r="D2690">
        <v>4.940588</v>
      </c>
      <c r="E2690">
        <v>0.52866380000000002</v>
      </c>
      <c r="F2690" t="s">
        <v>41</v>
      </c>
      <c r="G2690">
        <v>-320.91520000000003</v>
      </c>
      <c r="H2690">
        <v>1.0450410000000001</v>
      </c>
      <c r="I2690">
        <v>213.8655</v>
      </c>
      <c r="J2690">
        <v>-321.34980000000002</v>
      </c>
      <c r="K2690">
        <v>1.108717</v>
      </c>
      <c r="L2690">
        <v>213.88300000000001</v>
      </c>
      <c r="M2690">
        <v>0.99989410000000001</v>
      </c>
      <c r="N2690">
        <v>0</v>
      </c>
      <c r="O2690">
        <v>-7.6640529999999897E-4</v>
      </c>
      <c r="P2690">
        <v>0.98739069999999995</v>
      </c>
      <c r="Q2690">
        <v>0.15189129999999901</v>
      </c>
      <c r="R2690">
        <v>4.4596490000000003E-2</v>
      </c>
      <c r="S2690">
        <v>3.078217</v>
      </c>
      <c r="T2690">
        <v>-0.23436209999999999</v>
      </c>
      <c r="U2690">
        <v>-6.4880370000000007E-2</v>
      </c>
      <c r="V2690">
        <v>-4.5352789999999997E-2</v>
      </c>
      <c r="W2690">
        <v>0.16622729999999999</v>
      </c>
      <c r="X2690">
        <v>0.98504389999999997</v>
      </c>
      <c r="Y2690">
        <v>2.024989E-2</v>
      </c>
      <c r="Z2690">
        <v>-7.1140479999999996E-4</v>
      </c>
      <c r="AA2690">
        <v>0.99979470000000004</v>
      </c>
      <c r="AB2690">
        <v>44</v>
      </c>
      <c r="AC2690">
        <v>0.434599999999989</v>
      </c>
      <c r="AD2690">
        <v>-6.3675999999999996E-2</v>
      </c>
      <c r="AE2690">
        <v>-1.7499999999984001E-2</v>
      </c>
      <c r="AF2690">
        <v>1.6806674480419399E-2</v>
      </c>
      <c r="AG2690">
        <v>-6.3675999999999996E-2</v>
      </c>
      <c r="AH2690">
        <v>0.42549397717572701</v>
      </c>
      <c r="AI2690">
        <v>98.504726388202897</v>
      </c>
      <c r="AJ2690">
        <v>87.738038044318003</v>
      </c>
      <c r="AK2690">
        <v>0.43056035801721099</v>
      </c>
      <c r="AL2690">
        <v>80.431461162004297</v>
      </c>
      <c r="AM2690">
        <v>92.636115672611396</v>
      </c>
      <c r="AN2690">
        <v>0.99999993787663999</v>
      </c>
    </row>
    <row r="2691" spans="1:40" x14ac:dyDescent="0.25">
      <c r="A2691" t="str">
        <f>"20190312164525585"</f>
        <v>20190312164525585</v>
      </c>
      <c r="B2691" t="str">
        <f>"1552380325574370"</f>
        <v>1552380325574370</v>
      </c>
      <c r="C2691" t="s">
        <v>40</v>
      </c>
      <c r="D2691">
        <v>4.9090660000000002</v>
      </c>
      <c r="E2691">
        <v>0.5300745</v>
      </c>
      <c r="F2691" t="s">
        <v>60</v>
      </c>
      <c r="G2691">
        <v>-169.3946</v>
      </c>
      <c r="H2691">
        <v>7.9116080000000002</v>
      </c>
      <c r="I2691">
        <v>209.93350000000001</v>
      </c>
      <c r="J2691">
        <v>-320.94189999999998</v>
      </c>
      <c r="K2691">
        <v>1.1087229999999999</v>
      </c>
      <c r="L2691">
        <v>213.8827</v>
      </c>
      <c r="M2691">
        <v>0.99989430000000001</v>
      </c>
      <c r="N2691">
        <v>0</v>
      </c>
      <c r="O2691">
        <v>-7.5170100000000002E-4</v>
      </c>
      <c r="P2691">
        <v>0.98756719999999998</v>
      </c>
      <c r="Q2691">
        <v>0.1520965</v>
      </c>
      <c r="R2691">
        <v>3.9726289999999997E-2</v>
      </c>
      <c r="S2691">
        <v>3.021118</v>
      </c>
      <c r="T2691">
        <v>0.13525329999999999</v>
      </c>
      <c r="U2691">
        <v>-7.8521729999999998E-2</v>
      </c>
      <c r="V2691">
        <v>-4.0468700000000003E-2</v>
      </c>
      <c r="W2691">
        <v>0.16643279999999999</v>
      </c>
      <c r="X2691">
        <v>0.98522200000000004</v>
      </c>
      <c r="Y2691">
        <v>2.520617E-2</v>
      </c>
      <c r="Z2691">
        <v>5.3021950000000002E-4</v>
      </c>
      <c r="AA2691">
        <v>0.99968210000000002</v>
      </c>
      <c r="AB2691">
        <v>44</v>
      </c>
      <c r="AC2691">
        <v>151.54729999999901</v>
      </c>
      <c r="AD2691">
        <v>6.8028849999999998</v>
      </c>
      <c r="AE2691">
        <v>-3.9491999999999901</v>
      </c>
      <c r="AF2691">
        <v>3.8275610524892301</v>
      </c>
      <c r="AG2691">
        <v>6.8028849999999998</v>
      </c>
      <c r="AH2691">
        <v>151.24566253159401</v>
      </c>
      <c r="AI2691">
        <v>87.425449732657498</v>
      </c>
      <c r="AJ2691">
        <v>88.550330028450105</v>
      </c>
      <c r="AK2691">
        <v>151.446954088072</v>
      </c>
      <c r="AL2691">
        <v>80.419521060571498</v>
      </c>
      <c r="AM2691">
        <v>92.352142959495794</v>
      </c>
      <c r="AN2691">
        <v>0.99999999093976399</v>
      </c>
    </row>
    <row r="2692" spans="1:40" x14ac:dyDescent="0.25">
      <c r="A2692" t="str">
        <f>"20190312164525598"</f>
        <v>20190312164525598</v>
      </c>
      <c r="B2692" t="str">
        <f>"1552380325594866"</f>
        <v>1552380325594866</v>
      </c>
      <c r="C2692" t="s">
        <v>40</v>
      </c>
      <c r="D2692">
        <v>5.0307120000000003</v>
      </c>
      <c r="E2692">
        <v>0.52999030000000003</v>
      </c>
      <c r="F2692" t="s">
        <v>60</v>
      </c>
      <c r="G2692">
        <v>-169.3954</v>
      </c>
      <c r="H2692">
        <v>8.9228319999999997</v>
      </c>
      <c r="I2692">
        <v>208.5829</v>
      </c>
      <c r="J2692">
        <v>-320.66449999999998</v>
      </c>
      <c r="K2692">
        <v>1.108725</v>
      </c>
      <c r="L2692">
        <v>213.88249999999999</v>
      </c>
      <c r="M2692">
        <v>0.99989430000000001</v>
      </c>
      <c r="N2692">
        <v>0</v>
      </c>
      <c r="O2692">
        <v>-7.4130409999999996E-4</v>
      </c>
      <c r="P2692">
        <v>0.98756259999999996</v>
      </c>
      <c r="Q2692">
        <v>0.15271499999999999</v>
      </c>
      <c r="R2692">
        <v>3.7397159999999999E-2</v>
      </c>
      <c r="S2692">
        <v>3.0180660000000001</v>
      </c>
      <c r="T2692">
        <v>0.1556196</v>
      </c>
      <c r="U2692">
        <v>-0.105545</v>
      </c>
      <c r="V2692">
        <v>-3.812923E-2</v>
      </c>
      <c r="W2692">
        <v>0.16704920000000001</v>
      </c>
      <c r="X2692">
        <v>0.98521099999999995</v>
      </c>
      <c r="Y2692">
        <v>3.4164430000000003E-2</v>
      </c>
      <c r="Z2692">
        <v>8.4176140000000003E-4</v>
      </c>
      <c r="AA2692">
        <v>0.99941590000000002</v>
      </c>
      <c r="AB2692">
        <v>44</v>
      </c>
      <c r="AC2692">
        <v>151.26909999999901</v>
      </c>
      <c r="AD2692">
        <v>7.8141069999999999</v>
      </c>
      <c r="AE2692">
        <v>-5.2995999999999901</v>
      </c>
      <c r="AF2692">
        <v>5.1736616088708001</v>
      </c>
      <c r="AG2692">
        <v>7.8141069999999999</v>
      </c>
      <c r="AH2692">
        <v>150.87089031245799</v>
      </c>
      <c r="AI2692">
        <v>87.0368482191205</v>
      </c>
      <c r="AJ2692">
        <v>88.035983867426395</v>
      </c>
      <c r="AK2692">
        <v>151.161676976422</v>
      </c>
      <c r="AL2692">
        <v>80.383702536848304</v>
      </c>
      <c r="AM2692">
        <v>92.216331531990804</v>
      </c>
      <c r="AN2692">
        <v>0.99999999396101602</v>
      </c>
    </row>
    <row r="2693" spans="1:40" x14ac:dyDescent="0.25">
      <c r="A2693" t="str">
        <f>"20190312164525612"</f>
        <v>20190312164525612</v>
      </c>
      <c r="B2693" t="str">
        <f>"1552380325604626"</f>
        <v>1552380325604626</v>
      </c>
      <c r="C2693" t="s">
        <v>40</v>
      </c>
      <c r="D2693">
        <v>4.9672900000000002</v>
      </c>
      <c r="E2693">
        <v>0.52977469999999904</v>
      </c>
      <c r="F2693" t="s">
        <v>60</v>
      </c>
      <c r="G2693">
        <v>-169.3956</v>
      </c>
      <c r="H2693">
        <v>9.2848109999999995</v>
      </c>
      <c r="I2693">
        <v>208.25819999999999</v>
      </c>
      <c r="J2693">
        <v>-320.39359999999999</v>
      </c>
      <c r="K2693">
        <v>1.1087279999999999</v>
      </c>
      <c r="L2693">
        <v>213.88229999999999</v>
      </c>
      <c r="M2693">
        <v>0.99989410000000001</v>
      </c>
      <c r="N2693">
        <v>0</v>
      </c>
      <c r="O2693">
        <v>-7.3138550000000004E-4</v>
      </c>
      <c r="P2693">
        <v>0.98763129999999999</v>
      </c>
      <c r="Q2693">
        <v>0.15282209999999999</v>
      </c>
      <c r="R2693">
        <v>3.5068710000000003E-2</v>
      </c>
      <c r="S2693">
        <v>3.0168149999999998</v>
      </c>
      <c r="T2693">
        <v>0.1630596</v>
      </c>
      <c r="U2693">
        <v>-0.1121674</v>
      </c>
      <c r="V2693">
        <v>-3.5791290000000003E-2</v>
      </c>
      <c r="W2693">
        <v>0.1671559</v>
      </c>
      <c r="X2693">
        <v>0.98528059999999995</v>
      </c>
      <c r="Y2693">
        <v>3.6372130000000003E-2</v>
      </c>
      <c r="Z2693">
        <v>9.4241259999999999E-4</v>
      </c>
      <c r="AA2693">
        <v>0.9993379</v>
      </c>
      <c r="AB2693">
        <v>44</v>
      </c>
      <c r="AC2693">
        <v>150.99799999999999</v>
      </c>
      <c r="AD2693">
        <v>8.1760829999999896</v>
      </c>
      <c r="AE2693">
        <v>-5.6240999999999897</v>
      </c>
      <c r="AF2693">
        <v>5.4975531696853297</v>
      </c>
      <c r="AG2693">
        <v>8.1760829999999896</v>
      </c>
      <c r="AH2693">
        <v>150.56125539377001</v>
      </c>
      <c r="AI2693">
        <v>86.893727242208499</v>
      </c>
      <c r="AJ2693">
        <v>87.908846337899405</v>
      </c>
      <c r="AK2693">
        <v>150.88327624300999</v>
      </c>
      <c r="AL2693">
        <v>80.377501816168206</v>
      </c>
      <c r="AM2693">
        <v>92.080410960307802</v>
      </c>
      <c r="AN2693">
        <v>0.99999998604051599</v>
      </c>
    </row>
    <row r="2694" spans="1:40" x14ac:dyDescent="0.25">
      <c r="A2694" t="str">
        <f>"20190312164525630"</f>
        <v>20190312164525630</v>
      </c>
      <c r="B2694" t="str">
        <f>"1552380325624146"</f>
        <v>1552380325624146</v>
      </c>
      <c r="C2694" t="s">
        <v>40</v>
      </c>
      <c r="D2694">
        <v>4.9646420000000004</v>
      </c>
      <c r="E2694">
        <v>0.52909619999999902</v>
      </c>
      <c r="F2694" t="s">
        <v>60</v>
      </c>
      <c r="G2694">
        <v>-168.41309999999999</v>
      </c>
      <c r="H2694">
        <v>9.2467959999999998</v>
      </c>
      <c r="I2694">
        <v>207.96549999999999</v>
      </c>
      <c r="J2694">
        <v>-320.03649999999999</v>
      </c>
      <c r="K2694">
        <v>1.1087340000000001</v>
      </c>
      <c r="L2694">
        <v>213.88200000000001</v>
      </c>
      <c r="M2694">
        <v>0.99989430000000001</v>
      </c>
      <c r="N2694">
        <v>0</v>
      </c>
      <c r="O2694">
        <v>-7.1836160000000003E-4</v>
      </c>
      <c r="P2694">
        <v>0.98751719999999998</v>
      </c>
      <c r="Q2694">
        <v>0.15449660000000001</v>
      </c>
      <c r="R2694">
        <v>3.0668299999999999E-2</v>
      </c>
      <c r="S2694">
        <v>3.016785</v>
      </c>
      <c r="T2694">
        <v>0.16153979999999901</v>
      </c>
      <c r="U2694">
        <v>-0.11744690000000001</v>
      </c>
      <c r="V2694">
        <v>-3.137827E-2</v>
      </c>
      <c r="W2694">
        <v>0.168826</v>
      </c>
      <c r="X2694">
        <v>0.98514630000000003</v>
      </c>
      <c r="Y2694">
        <v>3.8130259999999999E-2</v>
      </c>
      <c r="Z2694">
        <v>9.8133659999999996E-4</v>
      </c>
      <c r="AA2694">
        <v>0.9992723</v>
      </c>
      <c r="AB2694">
        <v>44</v>
      </c>
      <c r="AC2694">
        <v>151.6234</v>
      </c>
      <c r="AD2694">
        <v>8.1380619999999997</v>
      </c>
      <c r="AE2694">
        <v>-5.9165000000000099</v>
      </c>
      <c r="AF2694">
        <v>5.7909096066203398</v>
      </c>
      <c r="AG2694">
        <v>8.1380619999999997</v>
      </c>
      <c r="AH2694">
        <v>151.192721286416</v>
      </c>
      <c r="AI2694">
        <v>86.921237812352999</v>
      </c>
      <c r="AJ2694">
        <v>87.806557275962206</v>
      </c>
      <c r="AK2694">
        <v>151.52228105852899</v>
      </c>
      <c r="AL2694">
        <v>80.280432991040499</v>
      </c>
      <c r="AM2694">
        <v>91.824332926569696</v>
      </c>
      <c r="AN2694">
        <v>1.0000000232539401</v>
      </c>
    </row>
    <row r="2695" spans="1:40" x14ac:dyDescent="0.25">
      <c r="A2695" t="str">
        <f>"20190312164525643"</f>
        <v>20190312164525643</v>
      </c>
      <c r="B2695" t="str">
        <f>"1552380325634882"</f>
        <v>1552380325634882</v>
      </c>
      <c r="C2695" t="s">
        <v>40</v>
      </c>
      <c r="D2695">
        <v>4.9554119999999999</v>
      </c>
      <c r="E2695">
        <v>0.52873800000000004</v>
      </c>
      <c r="F2695" t="s">
        <v>60</v>
      </c>
      <c r="G2695">
        <v>-168.41319999999999</v>
      </c>
      <c r="H2695">
        <v>9.3797169999999994</v>
      </c>
      <c r="I2695">
        <v>207.59110000000001</v>
      </c>
      <c r="J2695">
        <v>-319.786</v>
      </c>
      <c r="K2695">
        <v>1.1087469999999999</v>
      </c>
      <c r="L2695">
        <v>213.8819</v>
      </c>
      <c r="M2695">
        <v>0.99989439999999996</v>
      </c>
      <c r="N2695">
        <v>0</v>
      </c>
      <c r="O2695">
        <v>-7.0904369999999896E-4</v>
      </c>
      <c r="P2695">
        <v>0.98744449999999995</v>
      </c>
      <c r="Q2695">
        <v>0.15536610000000001</v>
      </c>
      <c r="R2695">
        <v>2.8550240000000001E-2</v>
      </c>
      <c r="S2695">
        <v>3.0160520000000002</v>
      </c>
      <c r="T2695">
        <v>0.164525</v>
      </c>
      <c r="U2695">
        <v>-0.12513730000000001</v>
      </c>
      <c r="V2695">
        <v>-2.925144E-2</v>
      </c>
      <c r="W2695">
        <v>0.16969310000000001</v>
      </c>
      <c r="X2695">
        <v>0.98506269999999996</v>
      </c>
      <c r="Y2695">
        <v>4.0686920000000001E-2</v>
      </c>
      <c r="Z2695">
        <v>1.0697949999999999E-3</v>
      </c>
      <c r="AA2695">
        <v>0.99917140000000004</v>
      </c>
      <c r="AB2695">
        <v>44</v>
      </c>
      <c r="AC2695">
        <v>151.37280000000001</v>
      </c>
      <c r="AD2695">
        <v>8.2709700000000002</v>
      </c>
      <c r="AE2695">
        <v>-6.2907999999999902</v>
      </c>
      <c r="AF2695">
        <v>6.1650830529115703</v>
      </c>
      <c r="AG2695">
        <v>8.2709700000000002</v>
      </c>
      <c r="AH2695">
        <v>150.927405837766</v>
      </c>
      <c r="AI2695">
        <v>86.865880970166003</v>
      </c>
      <c r="AJ2695">
        <v>87.660882261668903</v>
      </c>
      <c r="AK2695">
        <v>151.27953935251099</v>
      </c>
      <c r="AL2695">
        <v>80.230023867172704</v>
      </c>
      <c r="AM2695">
        <v>91.700898524898506</v>
      </c>
      <c r="AN2695">
        <v>0.99999995893048499</v>
      </c>
    </row>
    <row r="2696" spans="1:40" x14ac:dyDescent="0.25">
      <c r="A2696" t="str">
        <f>"20190312164525665"</f>
        <v>20190312164525665</v>
      </c>
      <c r="B2696" t="str">
        <f>"1552380325654402"</f>
        <v>1552380325654402</v>
      </c>
      <c r="C2696" t="s">
        <v>40</v>
      </c>
      <c r="D2696">
        <v>4.9850339999999997</v>
      </c>
      <c r="E2696">
        <v>0.52793310000000004</v>
      </c>
      <c r="F2696" t="s">
        <v>60</v>
      </c>
      <c r="G2696">
        <v>-168.41329999999999</v>
      </c>
      <c r="H2696">
        <v>9.4377820000000003</v>
      </c>
      <c r="I2696">
        <v>207.42769999999999</v>
      </c>
      <c r="J2696">
        <v>-319.36160000000001</v>
      </c>
      <c r="K2696">
        <v>1.108757</v>
      </c>
      <c r="L2696">
        <v>213.88149999999999</v>
      </c>
      <c r="M2696">
        <v>0.99989430000000001</v>
      </c>
      <c r="N2696">
        <v>0</v>
      </c>
      <c r="O2696">
        <v>-6.9315839999999995E-4</v>
      </c>
      <c r="P2696">
        <v>0.98724630000000002</v>
      </c>
      <c r="Q2696">
        <v>0.15730959999999999</v>
      </c>
      <c r="R2696">
        <v>2.446564E-2</v>
      </c>
      <c r="S2696">
        <v>3.0157780000000001</v>
      </c>
      <c r="T2696">
        <v>0.1659389</v>
      </c>
      <c r="U2696">
        <v>-0.1285858</v>
      </c>
      <c r="V2696">
        <v>-2.5151420000000001E-2</v>
      </c>
      <c r="W2696">
        <v>0.171629799999999</v>
      </c>
      <c r="X2696">
        <v>0.98484039999999995</v>
      </c>
      <c r="Y2696">
        <v>4.184425E-2</v>
      </c>
      <c r="Z2696">
        <v>1.111721E-3</v>
      </c>
      <c r="AA2696">
        <v>0.99912350000000005</v>
      </c>
      <c r="AB2696">
        <v>44</v>
      </c>
      <c r="AC2696">
        <v>150.94829999999999</v>
      </c>
      <c r="AD2696">
        <v>8.3290249999999997</v>
      </c>
      <c r="AE2696">
        <v>-6.4538000000000002</v>
      </c>
      <c r="AF2696">
        <v>6.3299193516336798</v>
      </c>
      <c r="AG2696">
        <v>8.3290249999999997</v>
      </c>
      <c r="AH2696">
        <v>150.49537382410699</v>
      </c>
      <c r="AI2696">
        <v>86.835043152169106</v>
      </c>
      <c r="AJ2696">
        <v>87.591527160257698</v>
      </c>
      <c r="AK2696">
        <v>150.85853664578099</v>
      </c>
      <c r="AL2696">
        <v>80.117407374585994</v>
      </c>
      <c r="AM2696">
        <v>91.4629345421002</v>
      </c>
      <c r="AN2696">
        <v>0.99999999782410798</v>
      </c>
    </row>
    <row r="2697" spans="1:40" x14ac:dyDescent="0.25">
      <c r="A2697" t="str">
        <f>"20190312164525686"</f>
        <v>20190312164525686</v>
      </c>
      <c r="B2697" t="str">
        <f>"1552380325674430"</f>
        <v>1552380325674430</v>
      </c>
      <c r="C2697" t="s">
        <v>40</v>
      </c>
      <c r="D2697">
        <v>4.8857759999999999</v>
      </c>
      <c r="E2697">
        <v>0.52739279999999999</v>
      </c>
      <c r="F2697" t="s">
        <v>60</v>
      </c>
      <c r="G2697">
        <v>-168.4135</v>
      </c>
      <c r="H2697">
        <v>9.6299379999999992</v>
      </c>
      <c r="I2697">
        <v>207.14879999999999</v>
      </c>
      <c r="J2697">
        <v>-318.96319999999997</v>
      </c>
      <c r="K2697">
        <v>1.1087659999999999</v>
      </c>
      <c r="L2697">
        <v>213.88130000000001</v>
      </c>
      <c r="M2697">
        <v>0.99989450000000002</v>
      </c>
      <c r="N2697">
        <v>0</v>
      </c>
      <c r="O2697">
        <v>-6.7811469999999997E-4</v>
      </c>
      <c r="P2697">
        <v>0.98703589999999997</v>
      </c>
      <c r="Q2697">
        <v>0.1591766</v>
      </c>
      <c r="R2697">
        <v>2.0575960000000001E-2</v>
      </c>
      <c r="S2697">
        <v>3.0149539999999999</v>
      </c>
      <c r="T2697">
        <v>0.17019799999999999</v>
      </c>
      <c r="U2697">
        <v>-0.1344757</v>
      </c>
      <c r="V2697">
        <v>-2.124645E-2</v>
      </c>
      <c r="W2697">
        <v>0.1734916</v>
      </c>
      <c r="X2697">
        <v>0.98460610000000004</v>
      </c>
      <c r="Y2697">
        <v>4.3812549999999999E-2</v>
      </c>
      <c r="Z2697">
        <v>1.1968059999999999E-3</v>
      </c>
      <c r="AA2697">
        <v>0.99903909999999996</v>
      </c>
      <c r="AB2697">
        <v>44</v>
      </c>
      <c r="AC2697">
        <v>150.54969999999901</v>
      </c>
      <c r="AD2697">
        <v>8.521172</v>
      </c>
      <c r="AE2697">
        <v>-6.7325000000000097</v>
      </c>
      <c r="AF2697">
        <v>6.6092665227979603</v>
      </c>
      <c r="AG2697">
        <v>8.521172</v>
      </c>
      <c r="AH2697">
        <v>150.07441178519801</v>
      </c>
      <c r="AI2697">
        <v>86.753395382847103</v>
      </c>
      <c r="AJ2697">
        <v>87.478327338520003</v>
      </c>
      <c r="AK2697">
        <v>150.46136330931</v>
      </c>
      <c r="AL2697">
        <v>80.009109099206597</v>
      </c>
      <c r="AM2697">
        <v>91.236172538826906</v>
      </c>
      <c r="AN2697">
        <v>0.99999995953268495</v>
      </c>
    </row>
    <row r="2698" spans="1:40" x14ac:dyDescent="0.25">
      <c r="A2698" t="str">
        <f>"20190312164525708"</f>
        <v>20190312164525708</v>
      </c>
      <c r="B2698" t="str">
        <f>"1552380325704686"</f>
        <v>1552380325704686</v>
      </c>
      <c r="C2698" t="s">
        <v>40</v>
      </c>
      <c r="D2698">
        <v>5.995241</v>
      </c>
      <c r="E2698">
        <v>0.52635929999999997</v>
      </c>
      <c r="F2698" t="s">
        <v>60</v>
      </c>
      <c r="G2698">
        <v>-168.4136</v>
      </c>
      <c r="H2698">
        <v>9.7460159999999991</v>
      </c>
      <c r="I2698">
        <v>206.80779999999999</v>
      </c>
      <c r="J2698">
        <v>-318.51260000000002</v>
      </c>
      <c r="K2698">
        <v>1.1087659999999999</v>
      </c>
      <c r="L2698">
        <v>213.881</v>
      </c>
      <c r="M2698">
        <v>0.99989450000000002</v>
      </c>
      <c r="N2698">
        <v>0</v>
      </c>
      <c r="O2698">
        <v>-6.6212050000000004E-4</v>
      </c>
      <c r="P2698">
        <v>0.98681280000000005</v>
      </c>
      <c r="Q2698">
        <v>0.160957399999999</v>
      </c>
      <c r="R2698">
        <v>1.7128879999999999E-2</v>
      </c>
      <c r="S2698">
        <v>3.014465</v>
      </c>
      <c r="T2698">
        <v>0.17294489999999901</v>
      </c>
      <c r="U2698">
        <v>-0.14163210000000001</v>
      </c>
      <c r="V2698">
        <v>-1.7783739999999999E-2</v>
      </c>
      <c r="W2698">
        <v>0.17526549999999999</v>
      </c>
      <c r="X2698">
        <v>0.98436060000000003</v>
      </c>
      <c r="Y2698">
        <v>4.6196189999999998E-2</v>
      </c>
      <c r="Z2698">
        <v>1.2854209999999999E-3</v>
      </c>
      <c r="AA2698">
        <v>0.99893160000000003</v>
      </c>
      <c r="AB2698">
        <v>44</v>
      </c>
      <c r="AC2698">
        <v>150.09899999999999</v>
      </c>
      <c r="AD2698">
        <v>8.6372499999999999</v>
      </c>
      <c r="AE2698">
        <v>-7.0731999999999804</v>
      </c>
      <c r="AF2698">
        <v>6.9508392099878797</v>
      </c>
      <c r="AG2698">
        <v>8.6372499999999999</v>
      </c>
      <c r="AH2698">
        <v>149.60935069921999</v>
      </c>
      <c r="AI2698">
        <v>86.699418930170594</v>
      </c>
      <c r="AJ2698">
        <v>87.339955205720997</v>
      </c>
      <c r="AK2698">
        <v>150.01957895530799</v>
      </c>
      <c r="AL2698">
        <v>79.905891310985197</v>
      </c>
      <c r="AM2698">
        <v>91.035009335896802</v>
      </c>
      <c r="AN2698">
        <v>1.00000002386549</v>
      </c>
    </row>
    <row r="2699" spans="1:40" x14ac:dyDescent="0.25">
      <c r="A2699" t="str">
        <f>"20190312164525732"</f>
        <v>20190312164525732</v>
      </c>
      <c r="B2699" t="str">
        <f>"1552380325724209"</f>
        <v>1552380325724209</v>
      </c>
      <c r="C2699" t="s">
        <v>40</v>
      </c>
      <c r="D2699">
        <v>4.8982190000000001</v>
      </c>
      <c r="E2699">
        <v>0.52612569999999903</v>
      </c>
      <c r="F2699" t="s">
        <v>60</v>
      </c>
      <c r="G2699">
        <v>-168.41370000000001</v>
      </c>
      <c r="H2699">
        <v>9.9887180000000004</v>
      </c>
      <c r="I2699">
        <v>206.70869999999999</v>
      </c>
      <c r="J2699">
        <v>-318.05689999999998</v>
      </c>
      <c r="K2699">
        <v>1.1087739999999999</v>
      </c>
      <c r="L2699">
        <v>213.88059999999999</v>
      </c>
      <c r="M2699">
        <v>0.99989450000000002</v>
      </c>
      <c r="N2699">
        <v>0</v>
      </c>
      <c r="O2699">
        <v>-6.4745619999999999E-4</v>
      </c>
      <c r="P2699">
        <v>0.98654500000000001</v>
      </c>
      <c r="Q2699">
        <v>0.16289489999999901</v>
      </c>
      <c r="R2699">
        <v>1.3942690000000001E-2</v>
      </c>
      <c r="S2699">
        <v>3.01355</v>
      </c>
      <c r="T2699">
        <v>0.17828429999999901</v>
      </c>
      <c r="U2699">
        <v>-0.14399719999999999</v>
      </c>
      <c r="V2699">
        <v>-1.458253E-2</v>
      </c>
      <c r="W2699">
        <v>0.17719649999999901</v>
      </c>
      <c r="X2699">
        <v>0.98406740000000004</v>
      </c>
      <c r="Y2699">
        <v>4.7001130000000002E-2</v>
      </c>
      <c r="Z2699">
        <v>1.350057E-3</v>
      </c>
      <c r="AA2699">
        <v>0.9988939</v>
      </c>
      <c r="AB2699">
        <v>44</v>
      </c>
      <c r="AC2699">
        <v>149.64319999999901</v>
      </c>
      <c r="AD2699">
        <v>8.8799439999999894</v>
      </c>
      <c r="AE2699">
        <v>-7.1718999999999902</v>
      </c>
      <c r="AF2699">
        <v>7.0502315926837902</v>
      </c>
      <c r="AG2699">
        <v>8.8799439999999894</v>
      </c>
      <c r="AH2699">
        <v>149.12390184154401</v>
      </c>
      <c r="AI2699">
        <v>86.596001288709601</v>
      </c>
      <c r="AJ2699">
        <v>87.293204193661495</v>
      </c>
      <c r="AK2699">
        <v>149.55432882869101</v>
      </c>
      <c r="AL2699">
        <v>79.793493220722894</v>
      </c>
      <c r="AM2699">
        <v>90.848982777089205</v>
      </c>
      <c r="AN2699">
        <v>0.99999994876810405</v>
      </c>
    </row>
    <row r="2700" spans="1:40" x14ac:dyDescent="0.25">
      <c r="A2700" t="str">
        <f>"20190312164525753"</f>
        <v>20190312164525753</v>
      </c>
      <c r="B2700" t="str">
        <f>"1552380325744705"</f>
        <v>1552380325744705</v>
      </c>
      <c r="C2700" t="s">
        <v>40</v>
      </c>
      <c r="D2700">
        <v>4.8841780000000004</v>
      </c>
      <c r="E2700">
        <v>0.51737579999999905</v>
      </c>
      <c r="F2700" t="s">
        <v>60</v>
      </c>
      <c r="G2700">
        <v>-168.41390000000001</v>
      </c>
      <c r="H2700">
        <v>10.198829999999999</v>
      </c>
      <c r="I2700">
        <v>206.3588</v>
      </c>
      <c r="J2700">
        <v>-317.63369999999998</v>
      </c>
      <c r="K2700">
        <v>1.1087819999999999</v>
      </c>
      <c r="L2700">
        <v>213.88040000000001</v>
      </c>
      <c r="M2700">
        <v>0.99989459999999997</v>
      </c>
      <c r="N2700">
        <v>0</v>
      </c>
      <c r="O2700">
        <v>-6.3529720000000001E-4</v>
      </c>
      <c r="P2700">
        <v>0.98634180000000005</v>
      </c>
      <c r="Q2700">
        <v>0.1643472</v>
      </c>
      <c r="R2700">
        <v>1.0955319999999999E-2</v>
      </c>
      <c r="S2700">
        <v>3.0128780000000002</v>
      </c>
      <c r="T2700">
        <v>0.18301780000000001</v>
      </c>
      <c r="U2700">
        <v>-0.15144349999999901</v>
      </c>
      <c r="V2700">
        <v>-1.158235E-2</v>
      </c>
      <c r="W2700">
        <v>0.1786431</v>
      </c>
      <c r="X2700">
        <v>0.98384579999999999</v>
      </c>
      <c r="Y2700">
        <v>4.947762E-2</v>
      </c>
      <c r="Z2700">
        <v>1.4618999999999999E-3</v>
      </c>
      <c r="AA2700">
        <v>0.99877419999999995</v>
      </c>
      <c r="AB2700">
        <v>44</v>
      </c>
      <c r="AC2700">
        <v>149.219799999999</v>
      </c>
      <c r="AD2700">
        <v>9.0900479999999995</v>
      </c>
      <c r="AE2700">
        <v>-7.5216000000000003</v>
      </c>
      <c r="AF2700">
        <v>7.3994007276457703</v>
      </c>
      <c r="AG2700">
        <v>9.0900479999999995</v>
      </c>
      <c r="AH2700">
        <v>148.674231618314</v>
      </c>
      <c r="AI2700">
        <v>86.505565113422705</v>
      </c>
      <c r="AJ2700">
        <v>87.150784599640005</v>
      </c>
      <c r="AK2700">
        <v>149.13553316049999</v>
      </c>
      <c r="AL2700">
        <v>79.709266153122897</v>
      </c>
      <c r="AM2700">
        <v>90.674484880505105</v>
      </c>
      <c r="AN2700">
        <v>1.00000003309338</v>
      </c>
    </row>
    <row r="2701" spans="1:40" x14ac:dyDescent="0.25">
      <c r="A2701" t="str">
        <f>"20190312164525767"</f>
        <v>20190312164525767</v>
      </c>
      <c r="B2701" t="str">
        <f>"1552380325754462"</f>
        <v>1552380325754462</v>
      </c>
      <c r="C2701" t="s">
        <v>40</v>
      </c>
      <c r="D2701">
        <v>4.9137969999999997</v>
      </c>
      <c r="E2701">
        <v>0.51708969999999999</v>
      </c>
      <c r="F2701" t="s">
        <v>60</v>
      </c>
      <c r="G2701">
        <v>-169.71039999999999</v>
      </c>
      <c r="H2701">
        <v>7.3930399999999903</v>
      </c>
      <c r="I2701">
        <v>209.60239999999999</v>
      </c>
      <c r="J2701">
        <v>-317.36649999999997</v>
      </c>
      <c r="K2701">
        <v>1.1087849999999999</v>
      </c>
      <c r="L2701">
        <v>213.8802</v>
      </c>
      <c r="M2701">
        <v>0.99989459999999997</v>
      </c>
      <c r="N2701">
        <v>0</v>
      </c>
      <c r="O2701">
        <v>-6.2790589999999998E-4</v>
      </c>
      <c r="P2701">
        <v>0.9861896</v>
      </c>
      <c r="Q2701">
        <v>0.16534460000000001</v>
      </c>
      <c r="R2701">
        <v>9.5542460000000006E-3</v>
      </c>
      <c r="S2701">
        <v>3.021118</v>
      </c>
      <c r="T2701">
        <v>0.1283475</v>
      </c>
      <c r="U2701">
        <v>-8.7371829999999998E-2</v>
      </c>
      <c r="V2701">
        <v>-1.017353E-2</v>
      </c>
      <c r="W2701">
        <v>0.17963670000000001</v>
      </c>
      <c r="X2701">
        <v>0.98368040000000001</v>
      </c>
      <c r="Y2701">
        <v>2.8255659999999998E-2</v>
      </c>
      <c r="Z2701">
        <v>5.7314210000000004E-4</v>
      </c>
      <c r="AA2701">
        <v>0.99960059999999995</v>
      </c>
      <c r="AB2701">
        <v>44</v>
      </c>
      <c r="AC2701">
        <v>147.65609999999899</v>
      </c>
      <c r="AD2701">
        <v>6.2842549999999902</v>
      </c>
      <c r="AE2701">
        <v>-4.2778000000000098</v>
      </c>
      <c r="AF2701">
        <v>4.1775146277228901</v>
      </c>
      <c r="AG2701">
        <v>6.2842549999999902</v>
      </c>
      <c r="AH2701">
        <v>147.39200112453301</v>
      </c>
      <c r="AI2701">
        <v>87.559575343509707</v>
      </c>
      <c r="AJ2701">
        <v>88.376506909933497</v>
      </c>
      <c r="AK2701">
        <v>147.58504492279801</v>
      </c>
      <c r="AL2701">
        <v>79.651400534863797</v>
      </c>
      <c r="AM2701">
        <v>90.5925497245629</v>
      </c>
      <c r="AN2701">
        <v>0.999999987021855</v>
      </c>
    </row>
    <row r="2702" spans="1:40" x14ac:dyDescent="0.25">
      <c r="A2702" t="str">
        <f>"20190312164525786"</f>
        <v>20190312164525786</v>
      </c>
      <c r="B2702" t="str">
        <f>"1552380325773982"</f>
        <v>1552380325773982</v>
      </c>
      <c r="C2702" t="s">
        <v>40</v>
      </c>
      <c r="D2702">
        <v>5.0449339999999996</v>
      </c>
      <c r="E2702">
        <v>0.51722659999999998</v>
      </c>
      <c r="F2702" t="s">
        <v>60</v>
      </c>
      <c r="G2702">
        <v>-169.71019999999999</v>
      </c>
      <c r="H2702">
        <v>6.7423989999999998</v>
      </c>
      <c r="I2702">
        <v>209.56200000000001</v>
      </c>
      <c r="J2702">
        <v>-316.99579999999997</v>
      </c>
      <c r="K2702">
        <v>1.1087910000000001</v>
      </c>
      <c r="L2702">
        <v>213.88</v>
      </c>
      <c r="M2702">
        <v>0.99989459999999997</v>
      </c>
      <c r="N2702">
        <v>0</v>
      </c>
      <c r="O2702">
        <v>-6.183664E-4</v>
      </c>
      <c r="P2702">
        <v>0.98587780000000003</v>
      </c>
      <c r="Q2702">
        <v>0.1673231</v>
      </c>
      <c r="R2702">
        <v>6.9454800000000004E-3</v>
      </c>
      <c r="S2702">
        <v>3.02359</v>
      </c>
      <c r="T2702">
        <v>0.11536150000000001</v>
      </c>
      <c r="U2702">
        <v>-8.8424680000000005E-2</v>
      </c>
      <c r="V2702">
        <v>-7.5547969999999898E-3</v>
      </c>
      <c r="W2702">
        <v>0.18160789999999999</v>
      </c>
      <c r="X2702">
        <v>0.98334200000000005</v>
      </c>
      <c r="Y2702">
        <v>2.859393E-2</v>
      </c>
      <c r="Z2702">
        <v>5.2158689999999997E-4</v>
      </c>
      <c r="AA2702">
        <v>0.99959100000000001</v>
      </c>
      <c r="AB2702">
        <v>44</v>
      </c>
      <c r="AC2702">
        <v>147.28559999999999</v>
      </c>
      <c r="AD2702">
        <v>5.6336079999999997</v>
      </c>
      <c r="AE2702">
        <v>-4.3179999999999801</v>
      </c>
      <c r="AF2702">
        <v>4.22074336166588</v>
      </c>
      <c r="AG2702">
        <v>5.6336079999999997</v>
      </c>
      <c r="AH2702">
        <v>147.07325469636601</v>
      </c>
      <c r="AI2702">
        <v>87.807272367811095</v>
      </c>
      <c r="AJ2702">
        <v>88.356163228983405</v>
      </c>
      <c r="AK2702">
        <v>147.24161932213599</v>
      </c>
      <c r="AL2702">
        <v>79.5365705088863</v>
      </c>
      <c r="AM2702">
        <v>90.440182019064096</v>
      </c>
      <c r="AN2702">
        <v>0.99999999663205996</v>
      </c>
    </row>
    <row r="2703" spans="1:40" x14ac:dyDescent="0.25">
      <c r="A2703" t="str">
        <f>"20190312164525808"</f>
        <v>20190312164525808</v>
      </c>
      <c r="B2703" t="str">
        <f>"1552380325804238"</f>
        <v>1552380325804238</v>
      </c>
      <c r="C2703" t="s">
        <v>40</v>
      </c>
      <c r="D2703">
        <v>4.8693210000000002</v>
      </c>
      <c r="E2703">
        <v>0.51756409999999997</v>
      </c>
      <c r="F2703" t="s">
        <v>60</v>
      </c>
      <c r="G2703">
        <v>-169.7105</v>
      </c>
      <c r="H2703">
        <v>7.1383089999999996</v>
      </c>
      <c r="I2703">
        <v>209.14150000000001</v>
      </c>
      <c r="J2703">
        <v>-316.56099999999998</v>
      </c>
      <c r="K2703">
        <v>1.1087940000000001</v>
      </c>
      <c r="L2703">
        <v>213.87970000000001</v>
      </c>
      <c r="M2703">
        <v>0.99989479999999997</v>
      </c>
      <c r="N2703">
        <v>0</v>
      </c>
      <c r="O2703">
        <v>-6.0834589999999905E-4</v>
      </c>
      <c r="P2703">
        <v>0.98564949999999996</v>
      </c>
      <c r="Q2703">
        <v>0.168736</v>
      </c>
      <c r="R2703">
        <v>4.8541920000000002E-3</v>
      </c>
      <c r="S2703">
        <v>3.0226440000000001</v>
      </c>
      <c r="T2703">
        <v>0.1237407</v>
      </c>
      <c r="U2703">
        <v>-9.7244259999999999E-2</v>
      </c>
      <c r="V2703">
        <v>-5.4531569999999897E-3</v>
      </c>
      <c r="W2703">
        <v>0.18301490000000001</v>
      </c>
      <c r="X2703">
        <v>0.98309500000000005</v>
      </c>
      <c r="Y2703">
        <v>3.1521309999999997E-2</v>
      </c>
      <c r="Z2703">
        <v>6.1988099999999997E-4</v>
      </c>
      <c r="AA2703">
        <v>0.99950289999999997</v>
      </c>
      <c r="AB2703">
        <v>44</v>
      </c>
      <c r="AC2703">
        <v>146.85049999999899</v>
      </c>
      <c r="AD2703">
        <v>6.029515</v>
      </c>
      <c r="AE2703">
        <v>-4.7382</v>
      </c>
      <c r="AF2703">
        <v>4.6410379744005299</v>
      </c>
      <c r="AG2703">
        <v>6.029515</v>
      </c>
      <c r="AH2703">
        <v>146.60645898568399</v>
      </c>
      <c r="AI2703">
        <v>87.646089374987795</v>
      </c>
      <c r="AJ2703">
        <v>88.186825344426595</v>
      </c>
      <c r="AK2703">
        <v>146.803774137234</v>
      </c>
      <c r="AL2703">
        <v>79.454581142241594</v>
      </c>
      <c r="AM2703">
        <v>90.317812293546993</v>
      </c>
      <c r="AN2703">
        <v>0.99999998478413799</v>
      </c>
    </row>
    <row r="2704" spans="1:40" x14ac:dyDescent="0.25">
      <c r="A2704" t="str">
        <f>"20190312164525832"</f>
        <v>20190312164525832</v>
      </c>
      <c r="B2704" t="str">
        <f>"1552380325824737"</f>
        <v>1552380325824737</v>
      </c>
      <c r="C2704" t="s">
        <v>40</v>
      </c>
      <c r="D2704">
        <v>4.8858329999999999</v>
      </c>
      <c r="E2704">
        <v>0.51668119999999995</v>
      </c>
      <c r="F2704" t="s">
        <v>60</v>
      </c>
      <c r="G2704">
        <v>-169.7107</v>
      </c>
      <c r="H2704">
        <v>7.519882</v>
      </c>
      <c r="I2704">
        <v>208.71090000000001</v>
      </c>
      <c r="J2704">
        <v>-316.09350000000001</v>
      </c>
      <c r="K2704">
        <v>1.108798</v>
      </c>
      <c r="L2704">
        <v>213.8794</v>
      </c>
      <c r="M2704">
        <v>0.99989470000000003</v>
      </c>
      <c r="N2704">
        <v>0</v>
      </c>
      <c r="O2704">
        <v>-5.9796369999999999E-4</v>
      </c>
      <c r="P2704">
        <v>0.98534540000000004</v>
      </c>
      <c r="Q2704">
        <v>0.17055090000000001</v>
      </c>
      <c r="R2704">
        <v>2.5862839999999999E-3</v>
      </c>
      <c r="S2704">
        <v>3.0216059999999998</v>
      </c>
      <c r="T2704">
        <v>0.131915899999999</v>
      </c>
      <c r="U2704">
        <v>-0.1063538</v>
      </c>
      <c r="V2704">
        <v>-3.1747379999999999E-3</v>
      </c>
      <c r="W2704">
        <v>0.18482219999999999</v>
      </c>
      <c r="X2704">
        <v>0.9827669</v>
      </c>
      <c r="Y2704">
        <v>3.4546010000000002E-2</v>
      </c>
      <c r="Z2704">
        <v>7.2741720000000002E-4</v>
      </c>
      <c r="AA2704">
        <v>0.99940280000000004</v>
      </c>
      <c r="AB2704">
        <v>44</v>
      </c>
      <c r="AC2704">
        <v>146.3828</v>
      </c>
      <c r="AD2704">
        <v>6.4110839999999998</v>
      </c>
      <c r="AE2704">
        <v>-5.1684999999999901</v>
      </c>
      <c r="AF2704">
        <v>5.07124297366612</v>
      </c>
      <c r="AG2704">
        <v>6.4110839999999998</v>
      </c>
      <c r="AH2704">
        <v>146.105960349904</v>
      </c>
      <c r="AI2704">
        <v>87.489000934423103</v>
      </c>
      <c r="AJ2704">
        <v>88.012098756719695</v>
      </c>
      <c r="AK2704">
        <v>146.33444964573701</v>
      </c>
      <c r="AL2704">
        <v>79.349234112047696</v>
      </c>
      <c r="AM2704">
        <v>90.185088097417193</v>
      </c>
      <c r="AN2704">
        <v>1.0000000521549</v>
      </c>
    </row>
    <row r="2705" spans="1:40" x14ac:dyDescent="0.25">
      <c r="A2705" t="str">
        <f>"20190312164525846"</f>
        <v>20190312164525846</v>
      </c>
      <c r="B2705" t="str">
        <f>"1552380325834494"</f>
        <v>1552380325834494</v>
      </c>
      <c r="C2705" t="s">
        <v>40</v>
      </c>
      <c r="D2705">
        <v>4.7251859999999999</v>
      </c>
      <c r="E2705">
        <v>0.5166501</v>
      </c>
      <c r="F2705" t="s">
        <v>60</v>
      </c>
      <c r="G2705">
        <v>-169.7107</v>
      </c>
      <c r="H2705">
        <v>7.4570080000000001</v>
      </c>
      <c r="I2705">
        <v>208.75020000000001</v>
      </c>
      <c r="J2705">
        <v>-315.82819999999998</v>
      </c>
      <c r="K2705">
        <v>1.108808</v>
      </c>
      <c r="L2705">
        <v>213.8792</v>
      </c>
      <c r="M2705">
        <v>0.99989470000000003</v>
      </c>
      <c r="N2705">
        <v>0</v>
      </c>
      <c r="O2705">
        <v>-5.9223459999999996E-4</v>
      </c>
      <c r="P2705">
        <v>0.98522120000000002</v>
      </c>
      <c r="Q2705">
        <v>0.1712793</v>
      </c>
      <c r="R2705">
        <v>1.627648E-3</v>
      </c>
      <c r="S2705">
        <v>3.0222169999999999</v>
      </c>
      <c r="T2705">
        <v>0.13106580000000001</v>
      </c>
      <c r="U2705">
        <v>-0.105896</v>
      </c>
      <c r="V2705">
        <v>-2.210479E-3</v>
      </c>
      <c r="W2705">
        <v>0.18554709999999999</v>
      </c>
      <c r="X2705">
        <v>0.98263290000000003</v>
      </c>
      <c r="Y2705">
        <v>3.4394019999999997E-2</v>
      </c>
      <c r="Z2705">
        <v>7.1954549999999999E-4</v>
      </c>
      <c r="AA2705">
        <v>0.99940810000000002</v>
      </c>
      <c r="AB2705">
        <v>44</v>
      </c>
      <c r="AC2705">
        <v>146.11749999999901</v>
      </c>
      <c r="AD2705">
        <v>6.3482000000000003</v>
      </c>
      <c r="AE2705">
        <v>-5.1289999999999898</v>
      </c>
      <c r="AF2705">
        <v>5.0329659170452201</v>
      </c>
      <c r="AG2705">
        <v>6.3482000000000003</v>
      </c>
      <c r="AH2705">
        <v>145.84556134597099</v>
      </c>
      <c r="AI2705">
        <v>87.5091483702993</v>
      </c>
      <c r="AJ2705">
        <v>88.0235715382954</v>
      </c>
      <c r="AK2705">
        <v>146.07038766801301</v>
      </c>
      <c r="AL2705">
        <v>79.3069689719877</v>
      </c>
      <c r="AM2705">
        <v>90.128889337783406</v>
      </c>
      <c r="AN2705">
        <v>1.0000000143491099</v>
      </c>
    </row>
    <row r="2706" spans="1:40" x14ac:dyDescent="0.25">
      <c r="A2706" t="str">
        <f>"20190312164525865"</f>
        <v>20190312164525865</v>
      </c>
      <c r="B2706" t="str">
        <f>"1552380325854014"</f>
        <v>1552380325854014</v>
      </c>
      <c r="C2706" t="s">
        <v>40</v>
      </c>
      <c r="D2706">
        <v>4.8899549999999996</v>
      </c>
      <c r="E2706">
        <v>0.51654520000000004</v>
      </c>
      <c r="F2706" t="s">
        <v>60</v>
      </c>
      <c r="G2706">
        <v>-169.71080000000001</v>
      </c>
      <c r="H2706">
        <v>7.6973269999999996</v>
      </c>
      <c r="I2706">
        <v>208.6276</v>
      </c>
      <c r="J2706">
        <v>-315.44909999999999</v>
      </c>
      <c r="K2706">
        <v>1.108811</v>
      </c>
      <c r="L2706">
        <v>213.87899999999999</v>
      </c>
      <c r="M2706">
        <v>0.99989479999999997</v>
      </c>
      <c r="N2706">
        <v>0</v>
      </c>
      <c r="O2706">
        <v>-5.847122E-4</v>
      </c>
      <c r="P2706">
        <v>0.98498940000000001</v>
      </c>
      <c r="Q2706">
        <v>0.17261580000000001</v>
      </c>
      <c r="R2706">
        <v>-3.2011049999999998E-4</v>
      </c>
      <c r="S2706">
        <v>3.021515</v>
      </c>
      <c r="T2706">
        <v>0.13624259999999999</v>
      </c>
      <c r="U2706">
        <v>-0.10859679999999999</v>
      </c>
      <c r="V2706">
        <v>-2.5465760000000003E-4</v>
      </c>
      <c r="W2706">
        <v>0.18687770000000001</v>
      </c>
      <c r="X2706">
        <v>0.98238309999999995</v>
      </c>
      <c r="Y2706">
        <v>3.5298349999999999E-2</v>
      </c>
      <c r="Z2706">
        <v>7.6880979999999904E-4</v>
      </c>
      <c r="AA2706">
        <v>0.9993765</v>
      </c>
      <c r="AB2706">
        <v>44</v>
      </c>
      <c r="AC2706">
        <v>145.73829999999899</v>
      </c>
      <c r="AD2706">
        <v>6.5885160000000003</v>
      </c>
      <c r="AE2706">
        <v>-5.2514000000000101</v>
      </c>
      <c r="AF2706">
        <v>5.1556519875057996</v>
      </c>
      <c r="AG2706">
        <v>6.5885160000000003</v>
      </c>
      <c r="AH2706">
        <v>145.444479225837</v>
      </c>
      <c r="AI2706">
        <v>87.407946912851202</v>
      </c>
      <c r="AJ2706">
        <v>87.9698544129878</v>
      </c>
      <c r="AK2706">
        <v>145.68488537859201</v>
      </c>
      <c r="AL2706">
        <v>79.229373299220399</v>
      </c>
      <c r="AM2706">
        <v>90.014852459670806</v>
      </c>
      <c r="AN2706">
        <v>0.99999994738669495</v>
      </c>
    </row>
    <row r="2707" spans="1:40" x14ac:dyDescent="0.25">
      <c r="A2707" t="str">
        <f>"20190312164525887"</f>
        <v>20190312164525887</v>
      </c>
      <c r="B2707" t="str">
        <f>"1552380325884271"</f>
        <v>1552380325884271</v>
      </c>
      <c r="C2707" t="s">
        <v>40</v>
      </c>
      <c r="D2707">
        <v>4.874784</v>
      </c>
      <c r="E2707">
        <v>0.51664639999999995</v>
      </c>
      <c r="F2707" t="s">
        <v>60</v>
      </c>
      <c r="G2707">
        <v>-169.39510000000001</v>
      </c>
      <c r="H2707">
        <v>7.7509959999999998</v>
      </c>
      <c r="I2707">
        <v>208.40260000000001</v>
      </c>
      <c r="J2707">
        <v>-315.02480000000003</v>
      </c>
      <c r="K2707">
        <v>1.1088169999999999</v>
      </c>
      <c r="L2707">
        <v>213.87880000000001</v>
      </c>
      <c r="M2707">
        <v>0.99989490000000003</v>
      </c>
      <c r="N2707">
        <v>0</v>
      </c>
      <c r="O2707">
        <v>-5.7552280000000003E-4</v>
      </c>
      <c r="P2707">
        <v>0.98482040000000004</v>
      </c>
      <c r="Q2707">
        <v>0.173563</v>
      </c>
      <c r="R2707">
        <v>-2.2371240000000001E-3</v>
      </c>
      <c r="S2707">
        <v>3.0216059999999998</v>
      </c>
      <c r="T2707">
        <v>0.13741610000000001</v>
      </c>
      <c r="U2707">
        <v>-0.11329649999999999</v>
      </c>
      <c r="V2707">
        <v>1.6714900000000001E-3</v>
      </c>
      <c r="W2707">
        <v>0.18782009999999999</v>
      </c>
      <c r="X2707">
        <v>0.98220209999999997</v>
      </c>
      <c r="Y2707">
        <v>3.6856489999999999E-2</v>
      </c>
      <c r="Z2707">
        <v>8.1119679999999998E-4</v>
      </c>
      <c r="AA2707">
        <v>0.99932030000000005</v>
      </c>
      <c r="AB2707">
        <v>44</v>
      </c>
      <c r="AC2707">
        <v>145.62970000000001</v>
      </c>
      <c r="AD2707">
        <v>6.6421789999999996</v>
      </c>
      <c r="AE2707">
        <v>-5.4762000000000004</v>
      </c>
      <c r="AF2707">
        <v>5.3811985058366396</v>
      </c>
      <c r="AG2707">
        <v>6.6421789999999996</v>
      </c>
      <c r="AH2707">
        <v>145.33092614955299</v>
      </c>
      <c r="AI2707">
        <v>87.384974341292093</v>
      </c>
      <c r="AJ2707">
        <v>87.879465965109603</v>
      </c>
      <c r="AK2707">
        <v>145.582120930814</v>
      </c>
      <c r="AL2707">
        <v>79.174405834806095</v>
      </c>
      <c r="AM2707">
        <v>89.902495392702093</v>
      </c>
      <c r="AN2707">
        <v>1.00000007454361</v>
      </c>
    </row>
    <row r="2708" spans="1:40" x14ac:dyDescent="0.25">
      <c r="A2708" t="str">
        <f>"20190312164525910"</f>
        <v>20190312164525910</v>
      </c>
      <c r="B2708" t="str">
        <f>"1552380325904767"</f>
        <v>1552380325904767</v>
      </c>
      <c r="C2708" t="s">
        <v>40</v>
      </c>
      <c r="D2708">
        <v>4.9238089999999897</v>
      </c>
      <c r="E2708">
        <v>0.51670450000000001</v>
      </c>
      <c r="F2708" t="s">
        <v>60</v>
      </c>
      <c r="G2708">
        <v>-168.4126</v>
      </c>
      <c r="H2708">
        <v>8.1085339999999899</v>
      </c>
      <c r="I2708">
        <v>208.05</v>
      </c>
      <c r="J2708">
        <v>-314.58420000000001</v>
      </c>
      <c r="K2708">
        <v>1.108822</v>
      </c>
      <c r="L2708">
        <v>213.8785</v>
      </c>
      <c r="M2708">
        <v>0.99989479999999997</v>
      </c>
      <c r="N2708">
        <v>0</v>
      </c>
      <c r="O2708">
        <v>-5.6597699999999995E-4</v>
      </c>
      <c r="P2708">
        <v>0.9846644</v>
      </c>
      <c r="Q2708">
        <v>0.17442249999999901</v>
      </c>
      <c r="R2708">
        <v>-3.601899E-3</v>
      </c>
      <c r="S2708">
        <v>3.0205690000000001</v>
      </c>
      <c r="T2708">
        <v>0.1442119</v>
      </c>
      <c r="U2708">
        <v>-0.1200867</v>
      </c>
      <c r="V2708">
        <v>3.0461170000000001E-3</v>
      </c>
      <c r="W2708">
        <v>0.18867429999999999</v>
      </c>
      <c r="X2708">
        <v>0.98203499999999999</v>
      </c>
      <c r="Y2708">
        <v>3.9115499999999997E-2</v>
      </c>
      <c r="Z2708">
        <v>9.0585350000000004E-4</v>
      </c>
      <c r="AA2708">
        <v>0.99923430000000002</v>
      </c>
      <c r="AB2708">
        <v>44</v>
      </c>
      <c r="AC2708">
        <v>146.17160000000001</v>
      </c>
      <c r="AD2708">
        <v>6.9997119999999899</v>
      </c>
      <c r="AE2708">
        <v>-5.8284999999999902</v>
      </c>
      <c r="AF2708">
        <v>5.73263562983038</v>
      </c>
      <c r="AG2708">
        <v>6.9997119999999899</v>
      </c>
      <c r="AH2708">
        <v>145.84096995933601</v>
      </c>
      <c r="AI2708">
        <v>87.254285482009294</v>
      </c>
      <c r="AJ2708">
        <v>87.749008246143404</v>
      </c>
      <c r="AK2708">
        <v>146.12134545653299</v>
      </c>
      <c r="AL2708">
        <v>79.124572094846798</v>
      </c>
      <c r="AM2708">
        <v>89.822278138492806</v>
      </c>
      <c r="AN2708">
        <v>1.0000000057671301</v>
      </c>
    </row>
    <row r="2709" spans="1:40" x14ac:dyDescent="0.25">
      <c r="A2709" t="str">
        <f>"20190312164525924"</f>
        <v>20190312164525924</v>
      </c>
      <c r="B2709" t="str">
        <f>"1552380325914526"</f>
        <v>1552380325914526</v>
      </c>
      <c r="C2709" t="s">
        <v>40</v>
      </c>
      <c r="D2709">
        <v>4.7447400000000002</v>
      </c>
      <c r="E2709">
        <v>0.51665539999999999</v>
      </c>
      <c r="F2709" t="s">
        <v>60</v>
      </c>
      <c r="G2709">
        <v>-168.4128</v>
      </c>
      <c r="H2709">
        <v>8.2892130000000002</v>
      </c>
      <c r="I2709">
        <v>207.83799999999999</v>
      </c>
      <c r="J2709">
        <v>-314.2998</v>
      </c>
      <c r="K2709">
        <v>1.1088229999999999</v>
      </c>
      <c r="L2709">
        <v>213.8784</v>
      </c>
      <c r="M2709">
        <v>0.99989490000000003</v>
      </c>
      <c r="N2709">
        <v>0</v>
      </c>
      <c r="O2709">
        <v>-5.598895E-4</v>
      </c>
      <c r="P2709">
        <v>0.98458299999999999</v>
      </c>
      <c r="Q2709">
        <v>0.17486209999999999</v>
      </c>
      <c r="R2709">
        <v>-4.432213E-3</v>
      </c>
      <c r="S2709">
        <v>3.0200200000000001</v>
      </c>
      <c r="T2709">
        <v>0.1483535</v>
      </c>
      <c r="U2709">
        <v>-0.1248016</v>
      </c>
      <c r="V2709">
        <v>3.8827100000000002E-3</v>
      </c>
      <c r="W2709">
        <v>0.18911120000000001</v>
      </c>
      <c r="X2709">
        <v>0.98194800000000004</v>
      </c>
      <c r="Y2709">
        <v>4.0681769999999999E-2</v>
      </c>
      <c r="Z2709">
        <v>9.7070689999999998E-4</v>
      </c>
      <c r="AA2709">
        <v>0.9991717</v>
      </c>
      <c r="AB2709">
        <v>44</v>
      </c>
      <c r="AC2709">
        <v>145.887</v>
      </c>
      <c r="AD2709">
        <v>7.1803899999999903</v>
      </c>
      <c r="AE2709">
        <v>-6.0404</v>
      </c>
      <c r="AF2709">
        <v>5.9443344052982496</v>
      </c>
      <c r="AG2709">
        <v>7.1803899999999903</v>
      </c>
      <c r="AH2709">
        <v>145.53839679536799</v>
      </c>
      <c r="AI2709">
        <v>87.177852450695596</v>
      </c>
      <c r="AJ2709">
        <v>87.661125305968099</v>
      </c>
      <c r="AK2709">
        <v>145.836614242927</v>
      </c>
      <c r="AL2709">
        <v>79.099080579810007</v>
      </c>
      <c r="AM2709">
        <v>89.773448556649697</v>
      </c>
      <c r="AN2709">
        <v>0.99999999805319195</v>
      </c>
    </row>
    <row r="2710" spans="1:40" x14ac:dyDescent="0.25">
      <c r="A2710" t="str">
        <f>"20190312164525943"</f>
        <v>20190312164525943</v>
      </c>
      <c r="B2710" t="str">
        <f>"1552380325934046"</f>
        <v>1552380325934046</v>
      </c>
      <c r="C2710" t="s">
        <v>40</v>
      </c>
      <c r="D2710">
        <v>4.9687070000000002</v>
      </c>
      <c r="E2710">
        <v>0.51640819999999998</v>
      </c>
      <c r="F2710" t="s">
        <v>60</v>
      </c>
      <c r="G2710">
        <v>-168.41290000000001</v>
      </c>
      <c r="H2710">
        <v>8.40984499999999</v>
      </c>
      <c r="I2710">
        <v>207.7433</v>
      </c>
      <c r="J2710">
        <v>-313.93419999999998</v>
      </c>
      <c r="K2710">
        <v>1.1088199999999999</v>
      </c>
      <c r="L2710">
        <v>213.87809999999999</v>
      </c>
      <c r="M2710">
        <v>0.99989499999999998</v>
      </c>
      <c r="N2710">
        <v>0</v>
      </c>
      <c r="O2710">
        <v>-5.5212849999999999E-4</v>
      </c>
      <c r="P2710">
        <v>0.98444050000000005</v>
      </c>
      <c r="Q2710">
        <v>0.17563399999999901</v>
      </c>
      <c r="R2710">
        <v>-5.4568709999999899E-3</v>
      </c>
      <c r="S2710">
        <v>3.0195620000000001</v>
      </c>
      <c r="T2710">
        <v>0.151117</v>
      </c>
      <c r="U2710">
        <v>-0.1269836</v>
      </c>
      <c r="V2710">
        <v>4.9150740000000002E-3</v>
      </c>
      <c r="W2710">
        <v>0.18987899999999999</v>
      </c>
      <c r="X2710">
        <v>0.98179519999999998</v>
      </c>
      <c r="Y2710">
        <v>4.1413779999999997E-2</v>
      </c>
      <c r="Z2710">
        <v>1.0075869999999999E-3</v>
      </c>
      <c r="AA2710">
        <v>0.99914159999999996</v>
      </c>
      <c r="AB2710">
        <v>44</v>
      </c>
      <c r="AC2710">
        <v>145.521299999999</v>
      </c>
      <c r="AD2710">
        <v>7.3010249999999903</v>
      </c>
      <c r="AE2710">
        <v>-6.1347999999999798</v>
      </c>
      <c r="AF2710">
        <v>6.0392692152471001</v>
      </c>
      <c r="AG2710">
        <v>7.3010249999999903</v>
      </c>
      <c r="AH2710">
        <v>145.15991973913299</v>
      </c>
      <c r="AI2710">
        <v>87.123138020429096</v>
      </c>
      <c r="AJ2710">
        <v>87.617626140486195</v>
      </c>
      <c r="AK2710">
        <v>145.46882840449399</v>
      </c>
      <c r="AL2710">
        <v>79.054277177065799</v>
      </c>
      <c r="AM2710">
        <v>89.713167630458003</v>
      </c>
      <c r="AN2710">
        <v>1.0000000036682299</v>
      </c>
    </row>
    <row r="2711" spans="1:40" x14ac:dyDescent="0.25">
      <c r="A2711" t="str">
        <f>"20190312164525964"</f>
        <v>20190312164525964</v>
      </c>
      <c r="B2711" t="str">
        <f>"1552380325954542"</f>
        <v>1552380325954542</v>
      </c>
      <c r="C2711" t="s">
        <v>40</v>
      </c>
      <c r="D2711">
        <v>4.9732089999999998</v>
      </c>
      <c r="E2711">
        <v>0.51615279999999997</v>
      </c>
      <c r="F2711" t="s">
        <v>60</v>
      </c>
      <c r="G2711">
        <v>-168.41290000000001</v>
      </c>
      <c r="H2711">
        <v>8.5906490000000009</v>
      </c>
      <c r="I2711">
        <v>207.69919999999999</v>
      </c>
      <c r="J2711">
        <v>-313.52229999999997</v>
      </c>
      <c r="K2711">
        <v>1.1088279999999999</v>
      </c>
      <c r="L2711">
        <v>213.87790000000001</v>
      </c>
      <c r="M2711">
        <v>0.99989490000000003</v>
      </c>
      <c r="N2711">
        <v>0</v>
      </c>
      <c r="O2711">
        <v>-5.4341600000000002E-4</v>
      </c>
      <c r="P2711">
        <v>0.98436670000000004</v>
      </c>
      <c r="Q2711">
        <v>0.17601889999999901</v>
      </c>
      <c r="R2711">
        <v>-6.2925469999999999E-3</v>
      </c>
      <c r="S2711">
        <v>3.019012</v>
      </c>
      <c r="T2711">
        <v>0.1552202</v>
      </c>
      <c r="U2711">
        <v>-0.1281891</v>
      </c>
      <c r="V2711">
        <v>5.7594619999999999E-3</v>
      </c>
      <c r="W2711">
        <v>0.1902606</v>
      </c>
      <c r="X2711">
        <v>0.98171679999999995</v>
      </c>
      <c r="Y2711">
        <v>4.1824970000000003E-2</v>
      </c>
      <c r="Z2711">
        <v>1.0460949999999999E-3</v>
      </c>
      <c r="AA2711">
        <v>0.99912440000000002</v>
      </c>
      <c r="AB2711">
        <v>43</v>
      </c>
      <c r="AC2711">
        <v>145.109399999999</v>
      </c>
      <c r="AD2711">
        <v>7.4818210000000001</v>
      </c>
      <c r="AE2711">
        <v>-6.1787000000000196</v>
      </c>
      <c r="AF2711">
        <v>6.0836923028880001</v>
      </c>
      <c r="AG2711">
        <v>7.4818210000000001</v>
      </c>
      <c r="AH2711">
        <v>144.728683251999</v>
      </c>
      <c r="AI2711">
        <v>87.043306955848806</v>
      </c>
      <c r="AJ2711">
        <v>87.592980188611705</v>
      </c>
      <c r="AK2711">
        <v>145.04958019025699</v>
      </c>
      <c r="AL2711">
        <v>79.0320078892547</v>
      </c>
      <c r="AM2711">
        <v>89.663865303113994</v>
      </c>
      <c r="AN2711">
        <v>1.0000000713585599</v>
      </c>
    </row>
    <row r="2712" spans="1:40" x14ac:dyDescent="0.25">
      <c r="A2712" t="str">
        <f>"20190312164525992"</f>
        <v>20190312164525992</v>
      </c>
      <c r="B2712" t="str">
        <f>"1552380325984799"</f>
        <v>1552380325984799</v>
      </c>
      <c r="C2712" t="s">
        <v>40</v>
      </c>
      <c r="D2712">
        <v>5.2353319999999997</v>
      </c>
      <c r="E2712">
        <v>0.5157195</v>
      </c>
      <c r="F2712" t="s">
        <v>60</v>
      </c>
      <c r="G2712">
        <v>-168.41299999999899</v>
      </c>
      <c r="H2712">
        <v>8.6762519999999999</v>
      </c>
      <c r="I2712">
        <v>207.68369999999999</v>
      </c>
      <c r="J2712">
        <v>-313.00659999999999</v>
      </c>
      <c r="K2712">
        <v>1.1088359999999999</v>
      </c>
      <c r="L2712">
        <v>213.8776</v>
      </c>
      <c r="M2712">
        <v>0.99989499999999998</v>
      </c>
      <c r="N2712">
        <v>0</v>
      </c>
      <c r="O2712">
        <v>-5.3339489999999995E-4</v>
      </c>
      <c r="P2712">
        <v>0.98429599999999995</v>
      </c>
      <c r="Q2712">
        <v>0.17639759999999999</v>
      </c>
      <c r="R2712">
        <v>-6.7319950000000002E-3</v>
      </c>
      <c r="S2712">
        <v>3.0187379999999999</v>
      </c>
      <c r="T2712">
        <v>0.15742729999999999</v>
      </c>
      <c r="U2712">
        <v>-0.12886049999999999</v>
      </c>
      <c r="V2712">
        <v>6.2092980000000002E-3</v>
      </c>
      <c r="W2712">
        <v>0.19063550000000001</v>
      </c>
      <c r="X2712">
        <v>0.98164119999999999</v>
      </c>
      <c r="Y2712">
        <v>4.2058749999999999E-2</v>
      </c>
      <c r="Z2712">
        <v>1.067653E-3</v>
      </c>
      <c r="AA2712">
        <v>0.99911459999999996</v>
      </c>
      <c r="AB2712">
        <v>43</v>
      </c>
      <c r="AC2712">
        <v>144.59360000000001</v>
      </c>
      <c r="AD2712">
        <v>7.5674159999999997</v>
      </c>
      <c r="AE2712">
        <v>-6.19390000000001</v>
      </c>
      <c r="AF2712">
        <v>6.1000878104879304</v>
      </c>
      <c r="AG2712">
        <v>7.5674159999999997</v>
      </c>
      <c r="AH2712">
        <v>144.20263141566099</v>
      </c>
      <c r="AI2712">
        <v>86.998686648045506</v>
      </c>
      <c r="AJ2712">
        <v>87.577706960893593</v>
      </c>
      <c r="AK2712">
        <v>144.52984385037499</v>
      </c>
      <c r="AL2712">
        <v>79.010125847866206</v>
      </c>
      <c r="AM2712">
        <v>89.637584664953195</v>
      </c>
      <c r="AN2712">
        <v>0.99999994738967002</v>
      </c>
    </row>
    <row r="2713" spans="1:40" x14ac:dyDescent="0.25">
      <c r="A2713" t="str">
        <f>"20190312164526010"</f>
        <v>20190312164526010</v>
      </c>
      <c r="B2713" t="str">
        <f>"1552380326004318"</f>
        <v>1552380326004318</v>
      </c>
      <c r="C2713" t="s">
        <v>40</v>
      </c>
      <c r="D2713">
        <v>5.0767220000000002</v>
      </c>
      <c r="E2713">
        <v>0.51548660000000002</v>
      </c>
      <c r="F2713" t="s">
        <v>60</v>
      </c>
      <c r="G2713">
        <v>-168.41290000000001</v>
      </c>
      <c r="H2713">
        <v>8.5928039999999992</v>
      </c>
      <c r="I2713">
        <v>207.81479999999999</v>
      </c>
      <c r="J2713">
        <v>-312.63529999999997</v>
      </c>
      <c r="K2713">
        <v>1.1088389999999999</v>
      </c>
      <c r="L2713">
        <v>213.8775</v>
      </c>
      <c r="M2713">
        <v>0.99989499999999998</v>
      </c>
      <c r="N2713">
        <v>0</v>
      </c>
      <c r="O2713">
        <v>-5.2659349999999996E-4</v>
      </c>
      <c r="P2713">
        <v>0.98422259999999995</v>
      </c>
      <c r="Q2713">
        <v>0.17678959999999999</v>
      </c>
      <c r="R2713">
        <v>-7.1732990000000002E-3</v>
      </c>
      <c r="S2713">
        <v>3.0189819999999998</v>
      </c>
      <c r="T2713">
        <v>0.15625910000000001</v>
      </c>
      <c r="U2713">
        <v>-0.1265869</v>
      </c>
      <c r="V2713">
        <v>6.6574099999999999E-3</v>
      </c>
      <c r="W2713">
        <v>0.19102450000000001</v>
      </c>
      <c r="X2713">
        <v>0.98156270000000001</v>
      </c>
      <c r="Y2713">
        <v>4.1312830000000002E-2</v>
      </c>
      <c r="Z2713">
        <v>1.040741E-3</v>
      </c>
      <c r="AA2713">
        <v>0.99914570000000003</v>
      </c>
      <c r="AB2713">
        <v>43</v>
      </c>
      <c r="AC2713">
        <v>144.222399999999</v>
      </c>
      <c r="AD2713">
        <v>7.4839649999999898</v>
      </c>
      <c r="AE2713">
        <v>-6.0627000000000004</v>
      </c>
      <c r="AF2713">
        <v>5.97069531248715</v>
      </c>
      <c r="AG2713">
        <v>7.4839649999999898</v>
      </c>
      <c r="AH2713">
        <v>143.83893206472899</v>
      </c>
      <c r="AI2713">
        <v>87.024134281571705</v>
      </c>
      <c r="AJ2713">
        <v>87.623040174603005</v>
      </c>
      <c r="AK2713">
        <v>144.15719653266601</v>
      </c>
      <c r="AL2713">
        <v>78.987421203791001</v>
      </c>
      <c r="AM2713">
        <v>89.611399611399904</v>
      </c>
      <c r="AN2713">
        <v>1.0000000073697199</v>
      </c>
    </row>
    <row r="2714" spans="1:40" x14ac:dyDescent="0.25">
      <c r="A2714" t="str">
        <f>"20190312164526032"</f>
        <v>20190312164526032</v>
      </c>
      <c r="B2714" t="str">
        <f>"1552380326024814"</f>
        <v>1552380326024814</v>
      </c>
      <c r="C2714" t="s">
        <v>40</v>
      </c>
      <c r="D2714">
        <v>5.1687379999999896</v>
      </c>
      <c r="E2714">
        <v>0.51533439999999997</v>
      </c>
      <c r="F2714" t="s">
        <v>60</v>
      </c>
      <c r="G2714">
        <v>-168.41290000000001</v>
      </c>
      <c r="H2714">
        <v>8.5787119999999994</v>
      </c>
      <c r="I2714">
        <v>207.88079999999999</v>
      </c>
      <c r="J2714">
        <v>-312.20440000000002</v>
      </c>
      <c r="K2714">
        <v>1.108841</v>
      </c>
      <c r="L2714">
        <v>213.87719999999999</v>
      </c>
      <c r="M2714">
        <v>0.99989510000000004</v>
      </c>
      <c r="N2714">
        <v>0</v>
      </c>
      <c r="O2714">
        <v>-5.1895589999999996E-4</v>
      </c>
      <c r="P2714">
        <v>0.98420469999999904</v>
      </c>
      <c r="Q2714">
        <v>0.17687620000000001</v>
      </c>
      <c r="R2714">
        <v>-7.4766779999999996E-3</v>
      </c>
      <c r="S2714">
        <v>3.0191349999999999</v>
      </c>
      <c r="T2714">
        <v>0.15637409999999999</v>
      </c>
      <c r="U2714">
        <v>-0.12553410000000001</v>
      </c>
      <c r="V2714">
        <v>6.9685650000000003E-3</v>
      </c>
      <c r="W2714">
        <v>0.19110830000000001</v>
      </c>
      <c r="X2714">
        <v>0.98154419999999998</v>
      </c>
      <c r="Y2714">
        <v>4.0970899999999998E-2</v>
      </c>
      <c r="Z2714">
        <v>1.0330109999999999E-3</v>
      </c>
      <c r="AA2714">
        <v>0.99915980000000004</v>
      </c>
      <c r="AB2714">
        <v>43</v>
      </c>
      <c r="AC2714">
        <v>143.79150000000001</v>
      </c>
      <c r="AD2714">
        <v>7.4698709999999897</v>
      </c>
      <c r="AE2714">
        <v>-5.9963999999999897</v>
      </c>
      <c r="AF2714">
        <v>5.9058592641285204</v>
      </c>
      <c r="AG2714">
        <v>7.4698709999999897</v>
      </c>
      <c r="AH2714">
        <v>143.40824427737601</v>
      </c>
      <c r="AI2714">
        <v>87.020783913065898</v>
      </c>
      <c r="AJ2714">
        <v>87.641769398357596</v>
      </c>
      <c r="AK2714">
        <v>143.72405043389199</v>
      </c>
      <c r="AL2714">
        <v>78.982529395380993</v>
      </c>
      <c r="AM2714">
        <v>89.593230080033905</v>
      </c>
      <c r="AN2714">
        <v>0.99999997989034395</v>
      </c>
    </row>
    <row r="2715" spans="1:40" x14ac:dyDescent="0.25">
      <c r="A2715" t="str">
        <f>"20190312164526047"</f>
        <v>20190312164526047</v>
      </c>
      <c r="B2715" t="str">
        <f>"1552380326034574"</f>
        <v>1552380326034574</v>
      </c>
      <c r="C2715" t="s">
        <v>40</v>
      </c>
      <c r="D2715">
        <v>4.8508300000000002</v>
      </c>
      <c r="E2715">
        <v>0.51533439999999997</v>
      </c>
      <c r="F2715" t="s">
        <v>60</v>
      </c>
      <c r="G2715">
        <v>-168.41290000000001</v>
      </c>
      <c r="H2715">
        <v>8.5853900000000003</v>
      </c>
      <c r="I2715">
        <v>207.90029999999999</v>
      </c>
      <c r="J2715">
        <v>-311.92790000000002</v>
      </c>
      <c r="K2715">
        <v>1.1088420000000001</v>
      </c>
      <c r="L2715">
        <v>213.87710000000001</v>
      </c>
      <c r="M2715">
        <v>0.99989519999999998</v>
      </c>
      <c r="N2715">
        <v>0</v>
      </c>
      <c r="O2715">
        <v>-5.1430050000000004E-4</v>
      </c>
      <c r="P2715">
        <v>0.98422739999999997</v>
      </c>
      <c r="Q2715">
        <v>0.17675289999999999</v>
      </c>
      <c r="R2715">
        <v>-7.4192340000000002E-3</v>
      </c>
      <c r="S2715">
        <v>3.0189819999999998</v>
      </c>
      <c r="T2715">
        <v>0.1569749</v>
      </c>
      <c r="U2715">
        <v>-0.1254883</v>
      </c>
      <c r="V2715">
        <v>6.9158709999999997E-3</v>
      </c>
      <c r="W2715">
        <v>0.19098370000000001</v>
      </c>
      <c r="X2715">
        <v>0.98156880000000002</v>
      </c>
      <c r="Y2715">
        <v>4.0962100000000001E-2</v>
      </c>
      <c r="Z2715">
        <v>1.0370399999999999E-3</v>
      </c>
      <c r="AA2715">
        <v>0.99916020000000005</v>
      </c>
      <c r="AB2715">
        <v>43</v>
      </c>
      <c r="AC2715">
        <v>143.51499999999999</v>
      </c>
      <c r="AD2715">
        <v>7.4765479999999904</v>
      </c>
      <c r="AE2715">
        <v>-5.9768000000000203</v>
      </c>
      <c r="AF2715">
        <v>5.8870319849753603</v>
      </c>
      <c r="AG2715">
        <v>7.4765479999999904</v>
      </c>
      <c r="AH2715">
        <v>143.13027415421601</v>
      </c>
      <c r="AI2715">
        <v>87.012338854322607</v>
      </c>
      <c r="AJ2715">
        <v>87.644718603671393</v>
      </c>
      <c r="AK2715">
        <v>143.44626622902899</v>
      </c>
      <c r="AL2715">
        <v>78.989802144786907</v>
      </c>
      <c r="AM2715">
        <v>89.596315955415093</v>
      </c>
      <c r="AN2715">
        <v>0.99999995603540803</v>
      </c>
    </row>
    <row r="2716" spans="1:40" x14ac:dyDescent="0.25">
      <c r="A2716" t="str">
        <f>"20190312164526066"</f>
        <v>20190312164526066</v>
      </c>
      <c r="B2716" t="str">
        <f>"1552380326054093"</f>
        <v>1552380326054093</v>
      </c>
      <c r="C2716" t="s">
        <v>40</v>
      </c>
      <c r="D2716">
        <v>4.8700020000000004</v>
      </c>
      <c r="E2716">
        <v>0.49217840000000002</v>
      </c>
      <c r="F2716" t="s">
        <v>60</v>
      </c>
      <c r="G2716">
        <v>-168.4128</v>
      </c>
      <c r="H2716">
        <v>8.5531480000000002</v>
      </c>
      <c r="I2716">
        <v>207.91679999999999</v>
      </c>
      <c r="J2716">
        <v>-311.56049999999999</v>
      </c>
      <c r="K2716">
        <v>1.1088439999999999</v>
      </c>
      <c r="L2716">
        <v>213.87690000000001</v>
      </c>
      <c r="M2716">
        <v>0.99989510000000004</v>
      </c>
      <c r="N2716">
        <v>0</v>
      </c>
      <c r="O2716">
        <v>-5.079727E-4</v>
      </c>
      <c r="P2716">
        <v>0.98418019999999995</v>
      </c>
      <c r="Q2716">
        <v>0.1770187</v>
      </c>
      <c r="R2716">
        <v>-7.3430709999999996E-3</v>
      </c>
      <c r="S2716">
        <v>3.019012</v>
      </c>
      <c r="T2716">
        <v>0.15660070000000001</v>
      </c>
      <c r="U2716">
        <v>-0.12538150000000001</v>
      </c>
      <c r="V2716">
        <v>6.84595E-3</v>
      </c>
      <c r="W2716">
        <v>0.19124679999999999</v>
      </c>
      <c r="X2716">
        <v>0.98151809999999995</v>
      </c>
      <c r="Y2716">
        <v>4.0933009999999999E-2</v>
      </c>
      <c r="Z2716">
        <v>1.034136E-3</v>
      </c>
      <c r="AA2716">
        <v>0.99916139999999998</v>
      </c>
      <c r="AB2716">
        <v>43</v>
      </c>
      <c r="AC2716">
        <v>143.14769999999999</v>
      </c>
      <c r="AD2716">
        <v>7.4443039999999998</v>
      </c>
      <c r="AE2716">
        <v>-5.9601000000000104</v>
      </c>
      <c r="AF2716">
        <v>5.8715247048986896</v>
      </c>
      <c r="AG2716">
        <v>7.4443039999999998</v>
      </c>
      <c r="AH2716">
        <v>142.76527559557101</v>
      </c>
      <c r="AI2716">
        <v>87.017608319829506</v>
      </c>
      <c r="AJ2716">
        <v>87.644916795863793</v>
      </c>
      <c r="AK2716">
        <v>143.07975531249701</v>
      </c>
      <c r="AL2716">
        <v>78.974444960743597</v>
      </c>
      <c r="AM2716">
        <v>89.600376517530805</v>
      </c>
      <c r="AN2716">
        <v>0.99999999308462595</v>
      </c>
    </row>
    <row r="2717" spans="1:40" x14ac:dyDescent="0.25">
      <c r="A2717" t="str">
        <f>"20190312164526088"</f>
        <v>20190312164526088</v>
      </c>
      <c r="B2717" t="str">
        <f>"1552380326084350"</f>
        <v>1552380326084350</v>
      </c>
      <c r="C2717" t="s">
        <v>40</v>
      </c>
      <c r="D2717">
        <v>4.9063840000000001</v>
      </c>
      <c r="E2717">
        <v>0.48334919999999998</v>
      </c>
      <c r="F2717" t="s">
        <v>61</v>
      </c>
      <c r="G2717">
        <v>-109.68</v>
      </c>
      <c r="H2717">
        <v>7.9946589999999897</v>
      </c>
      <c r="I2717">
        <v>218.05009999999999</v>
      </c>
      <c r="J2717">
        <v>-311.13249999999999</v>
      </c>
      <c r="K2717">
        <v>1.1088420000000001</v>
      </c>
      <c r="L2717">
        <v>213.8767</v>
      </c>
      <c r="M2717">
        <v>0.99989519999999998</v>
      </c>
      <c r="N2717">
        <v>0</v>
      </c>
      <c r="O2717">
        <v>-5.0104559999999997E-4</v>
      </c>
      <c r="P2717">
        <v>0.98413110000000004</v>
      </c>
      <c r="Q2717">
        <v>0.17729130000000001</v>
      </c>
      <c r="R2717">
        <v>-7.3503519999999897E-3</v>
      </c>
      <c r="S2717">
        <v>3.03009</v>
      </c>
      <c r="T2717">
        <v>0.10335220000000001</v>
      </c>
      <c r="U2717">
        <v>6.2637330000000005E-2</v>
      </c>
      <c r="V2717">
        <v>6.8601919999999898E-3</v>
      </c>
      <c r="W2717">
        <v>0.19151589999999999</v>
      </c>
      <c r="X2717">
        <v>0.98146549999999999</v>
      </c>
      <c r="Y2717">
        <v>-2.1155759999999999E-2</v>
      </c>
      <c r="Z2717">
        <v>-3.777384E-4</v>
      </c>
      <c r="AA2717">
        <v>0.99977609999999995</v>
      </c>
      <c r="AB2717">
        <v>43</v>
      </c>
      <c r="AC2717">
        <v>201.45249999999999</v>
      </c>
      <c r="AD2717">
        <v>6.8858169999999896</v>
      </c>
      <c r="AE2717">
        <v>4.1733999999999796</v>
      </c>
      <c r="AF2717">
        <v>-4.2693610474399399</v>
      </c>
      <c r="AG2717">
        <v>6.8858169999999896</v>
      </c>
      <c r="AH2717">
        <v>201.215398233505</v>
      </c>
      <c r="AI2717">
        <v>88.040479598650705</v>
      </c>
      <c r="AJ2717">
        <v>91.215511698975504</v>
      </c>
      <c r="AK2717">
        <v>201.37844573285099</v>
      </c>
      <c r="AL2717">
        <v>78.958735988986604</v>
      </c>
      <c r="AM2717">
        <v>89.599523725229304</v>
      </c>
      <c r="AN2717">
        <v>0.99999996493866705</v>
      </c>
    </row>
    <row r="2718" spans="1:40" x14ac:dyDescent="0.25">
      <c r="A2718" t="str">
        <f>"20190312164526111"</f>
        <v>20190312164526111</v>
      </c>
      <c r="B2718" t="str">
        <f>"1552380326104846"</f>
        <v>1552380326104846</v>
      </c>
      <c r="C2718" t="s">
        <v>40</v>
      </c>
      <c r="D2718">
        <v>4.8733630000000003</v>
      </c>
      <c r="E2718">
        <v>0.48096070000000002</v>
      </c>
      <c r="F2718" t="s">
        <v>62</v>
      </c>
      <c r="G2718">
        <v>-157.8382</v>
      </c>
      <c r="H2718">
        <v>8.9711949999999998</v>
      </c>
      <c r="I2718">
        <v>220.5044</v>
      </c>
      <c r="J2718">
        <v>-310.68920000000003</v>
      </c>
      <c r="K2718">
        <v>1.1088420000000001</v>
      </c>
      <c r="L2718">
        <v>213.87649999999999</v>
      </c>
      <c r="M2718">
        <v>0.99989530000000004</v>
      </c>
      <c r="N2718">
        <v>0</v>
      </c>
      <c r="O2718">
        <v>-4.9399719999999999E-4</v>
      </c>
      <c r="P2718">
        <v>0.98407029999999995</v>
      </c>
      <c r="Q2718">
        <v>0.1776442</v>
      </c>
      <c r="R2718">
        <v>-6.9567619999999896E-3</v>
      </c>
      <c r="S2718">
        <v>3.0213930000000002</v>
      </c>
      <c r="T2718">
        <v>0.1549661</v>
      </c>
      <c r="U2718">
        <v>0.13063050000000001</v>
      </c>
      <c r="V2718">
        <v>6.4737220000000003E-3</v>
      </c>
      <c r="W2718">
        <v>0.19186549999999999</v>
      </c>
      <c r="X2718">
        <v>0.98139989999999999</v>
      </c>
      <c r="Y2718">
        <v>-4.3630540000000002E-2</v>
      </c>
      <c r="Z2718">
        <v>-1.142952E-3</v>
      </c>
      <c r="AA2718">
        <v>0.99904709999999997</v>
      </c>
      <c r="AB2718">
        <v>43</v>
      </c>
      <c r="AC2718">
        <v>152.851</v>
      </c>
      <c r="AD2718">
        <v>7.8623529999999997</v>
      </c>
      <c r="AE2718">
        <v>6.6279000000000101</v>
      </c>
      <c r="AF2718">
        <v>-6.6857586045658604</v>
      </c>
      <c r="AG2718">
        <v>7.8623529999999997</v>
      </c>
      <c r="AH2718">
        <v>152.445113854824</v>
      </c>
      <c r="AI2718">
        <v>87.050417777500499</v>
      </c>
      <c r="AJ2718">
        <v>92.511201739036494</v>
      </c>
      <c r="AK2718">
        <v>152.79407285960201</v>
      </c>
      <c r="AL2718">
        <v>78.9383275379666</v>
      </c>
      <c r="AM2718">
        <v>89.622058685134306</v>
      </c>
      <c r="AN2718">
        <v>1.00000002144339</v>
      </c>
    </row>
    <row r="2719" spans="1:40" x14ac:dyDescent="0.25">
      <c r="A2719" t="str">
        <f>"20190312164526132"</f>
        <v>20190312164526132</v>
      </c>
      <c r="B2719" t="str">
        <f>"1552380326124369"</f>
        <v>1552380326124369</v>
      </c>
      <c r="C2719" t="s">
        <v>40</v>
      </c>
      <c r="D2719">
        <v>4.7814160000000001</v>
      </c>
      <c r="E2719">
        <v>0.47043220000000002</v>
      </c>
      <c r="F2719" t="s">
        <v>62</v>
      </c>
      <c r="G2719">
        <v>-157.8382</v>
      </c>
      <c r="H2719">
        <v>9.4709280000000007</v>
      </c>
      <c r="I2719">
        <v>221.49260000000001</v>
      </c>
      <c r="J2719">
        <v>-310.27080000000001</v>
      </c>
      <c r="K2719">
        <v>1.1088469999999999</v>
      </c>
      <c r="L2719">
        <v>213.87629999999999</v>
      </c>
      <c r="M2719">
        <v>0.99989519999999998</v>
      </c>
      <c r="N2719">
        <v>0</v>
      </c>
      <c r="O2719">
        <v>-4.8754460000000001E-4</v>
      </c>
      <c r="P2719">
        <v>0.98405909999999996</v>
      </c>
      <c r="Q2719">
        <v>0.1777125</v>
      </c>
      <c r="R2719">
        <v>-6.7626309999999999E-3</v>
      </c>
      <c r="S2719">
        <v>3.0197750000000001</v>
      </c>
      <c r="T2719">
        <v>0.16520509999999999</v>
      </c>
      <c r="U2719">
        <v>0.15046689999999999</v>
      </c>
      <c r="V2719">
        <v>6.2861870000000004E-3</v>
      </c>
      <c r="W2719">
        <v>0.1919315</v>
      </c>
      <c r="X2719">
        <v>0.98138820000000004</v>
      </c>
      <c r="Y2719">
        <v>-5.0176859999999997E-2</v>
      </c>
      <c r="Z2719">
        <v>-1.397297E-3</v>
      </c>
      <c r="AA2719">
        <v>0.99873940000000005</v>
      </c>
      <c r="AB2719">
        <v>43</v>
      </c>
      <c r="AC2719">
        <v>152.43260000000001</v>
      </c>
      <c r="AD2719">
        <v>8.3620809999999999</v>
      </c>
      <c r="AE2719">
        <v>7.6163000000000203</v>
      </c>
      <c r="AF2719">
        <v>-7.6676074964415601</v>
      </c>
      <c r="AG2719">
        <v>8.3620809999999999</v>
      </c>
      <c r="AH2719">
        <v>151.97266782162399</v>
      </c>
      <c r="AI2719">
        <v>86.854549581292602</v>
      </c>
      <c r="AJ2719">
        <v>92.888343972289704</v>
      </c>
      <c r="AK2719">
        <v>152.395565447922</v>
      </c>
      <c r="AL2719">
        <v>78.934474254293704</v>
      </c>
      <c r="AM2719">
        <v>89.633002456523798</v>
      </c>
      <c r="AN2719">
        <v>1.0000000079692399</v>
      </c>
    </row>
    <row r="2720" spans="1:40" x14ac:dyDescent="0.25">
      <c r="A2720" t="str">
        <f>"20190312164526154"</f>
        <v>20190312164526154</v>
      </c>
      <c r="B2720" t="str">
        <f>"1552380326144880"</f>
        <v>1552380326144880</v>
      </c>
      <c r="C2720" t="s">
        <v>40</v>
      </c>
      <c r="D2720">
        <v>4.9680030000000004</v>
      </c>
      <c r="E2720">
        <v>0.47246139999999998</v>
      </c>
      <c r="F2720" t="s">
        <v>51</v>
      </c>
      <c r="G2720">
        <v>-284.57130000000001</v>
      </c>
      <c r="H2720" s="1">
        <v>4.9026189999999998E-6</v>
      </c>
      <c r="I2720">
        <v>215.96780000000001</v>
      </c>
      <c r="J2720">
        <v>-309.85539999999997</v>
      </c>
      <c r="K2720">
        <v>1.1088499999999999</v>
      </c>
      <c r="L2720">
        <v>213.87610000000001</v>
      </c>
      <c r="M2720">
        <v>0.99989530000000004</v>
      </c>
      <c r="N2720">
        <v>0</v>
      </c>
      <c r="O2720">
        <v>-4.8109189999999999E-4</v>
      </c>
      <c r="P2720">
        <v>0.98404760000000002</v>
      </c>
      <c r="Q2720">
        <v>0.17778569999999999</v>
      </c>
      <c r="R2720">
        <v>-6.541898E-3</v>
      </c>
      <c r="S2720">
        <v>3.0742799999999999</v>
      </c>
      <c r="T2720">
        <v>-0.13264389999999901</v>
      </c>
      <c r="U2720">
        <v>0.25019839999999999</v>
      </c>
      <c r="V2720">
        <v>6.071679E-3</v>
      </c>
      <c r="W2720">
        <v>0.1920017</v>
      </c>
      <c r="X2720">
        <v>0.98137580000000002</v>
      </c>
      <c r="Y2720">
        <v>-8.1519960000000002E-2</v>
      </c>
      <c r="Z2720">
        <v>1.7756460000000001E-3</v>
      </c>
      <c r="AA2720">
        <v>0.9966701</v>
      </c>
      <c r="AB2720">
        <v>43</v>
      </c>
      <c r="AC2720">
        <v>25.284099999999899</v>
      </c>
      <c r="AD2720">
        <v>-1.10884509738099</v>
      </c>
      <c r="AE2720">
        <v>2.0916999999999999</v>
      </c>
      <c r="AF2720">
        <v>-2.0998538117754202</v>
      </c>
      <c r="AG2720">
        <v>-1.10884509738099</v>
      </c>
      <c r="AH2720">
        <v>25.2348863470169</v>
      </c>
      <c r="AI2720">
        <v>92.5073582496494</v>
      </c>
      <c r="AJ2720">
        <v>94.7567567292528</v>
      </c>
      <c r="AK2720">
        <v>25.3463688213455</v>
      </c>
      <c r="AL2720">
        <v>78.930375659064097</v>
      </c>
      <c r="AM2720">
        <v>89.645520968983703</v>
      </c>
      <c r="AN2720">
        <v>0.99999998945720403</v>
      </c>
    </row>
    <row r="2721" spans="1:40" x14ac:dyDescent="0.25">
      <c r="A2721" t="str">
        <f>"20190312164526177"</f>
        <v>20190312164526177</v>
      </c>
      <c r="B2721" t="str">
        <f>"1552380326164382"</f>
        <v>1552380326164382</v>
      </c>
      <c r="C2721" t="s">
        <v>40</v>
      </c>
      <c r="D2721">
        <v>4.780195</v>
      </c>
      <c r="E2721">
        <v>0.47315740000000001</v>
      </c>
      <c r="F2721" t="s">
        <v>62</v>
      </c>
      <c r="G2721">
        <v>-168.35059999999999</v>
      </c>
      <c r="H2721">
        <v>1.6152500000000001</v>
      </c>
      <c r="I2721">
        <v>224.42349999999999</v>
      </c>
      <c r="J2721">
        <v>-309.42619999999999</v>
      </c>
      <c r="K2721">
        <v>1.1088499999999999</v>
      </c>
      <c r="L2721">
        <v>213.8759</v>
      </c>
      <c r="M2721">
        <v>0.99989539999999999</v>
      </c>
      <c r="N2721">
        <v>0</v>
      </c>
      <c r="O2721">
        <v>-4.7439960000000001E-4</v>
      </c>
      <c r="P2721">
        <v>0.98403260000000004</v>
      </c>
      <c r="Q2721">
        <v>0.17787939999999999</v>
      </c>
      <c r="R2721">
        <v>-6.2315399999999998E-3</v>
      </c>
      <c r="S2721">
        <v>3.048187</v>
      </c>
      <c r="T2721">
        <v>1.090968E-2</v>
      </c>
      <c r="U2721">
        <v>0.2272034</v>
      </c>
      <c r="V2721">
        <v>5.7680589999999999E-3</v>
      </c>
      <c r="W2721">
        <v>0.1920925</v>
      </c>
      <c r="X2721">
        <v>0.98135989999999995</v>
      </c>
      <c r="Y2721">
        <v>-7.4803659999999994E-2</v>
      </c>
      <c r="Z2721">
        <v>-1.3537369999999999E-4</v>
      </c>
      <c r="AA2721">
        <v>0.99719829999999998</v>
      </c>
      <c r="AB2721">
        <v>43</v>
      </c>
      <c r="AC2721">
        <v>141.07560000000001</v>
      </c>
      <c r="AD2721">
        <v>0.50639999999999996</v>
      </c>
      <c r="AE2721">
        <v>10.5475999999999</v>
      </c>
      <c r="AF2721">
        <v>-10.614396008778</v>
      </c>
      <c r="AG2721">
        <v>0.50639999999999996</v>
      </c>
      <c r="AH2721">
        <v>141.06877225816501</v>
      </c>
      <c r="AI2721">
        <v>89.794903767197994</v>
      </c>
      <c r="AJ2721">
        <v>94.302981264047006</v>
      </c>
      <c r="AK2721">
        <v>141.468442947596</v>
      </c>
      <c r="AL2721">
        <v>78.925074937390704</v>
      </c>
      <c r="AM2721">
        <v>89.663241150298106</v>
      </c>
      <c r="AN2721">
        <v>1.00000002619444</v>
      </c>
    </row>
    <row r="2722" spans="1:40" x14ac:dyDescent="0.25">
      <c r="A2722" t="str">
        <f>"20190312164526199"</f>
        <v>20190312164526199</v>
      </c>
      <c r="B2722" t="str">
        <f>"1552380326194638"</f>
        <v>1552380326194638</v>
      </c>
      <c r="C2722" t="s">
        <v>40</v>
      </c>
      <c r="D2722">
        <v>5.0104930000000003</v>
      </c>
      <c r="E2722">
        <v>0.4738116</v>
      </c>
      <c r="F2722" t="s">
        <v>62</v>
      </c>
      <c r="G2722">
        <v>-168.35059999999999</v>
      </c>
      <c r="H2722">
        <v>4.2415620000000001</v>
      </c>
      <c r="I2722">
        <v>224.04929999999999</v>
      </c>
      <c r="J2722">
        <v>-308.98090000000002</v>
      </c>
      <c r="K2722">
        <v>1.1088450000000001</v>
      </c>
      <c r="L2722">
        <v>213.87569999999999</v>
      </c>
      <c r="M2722">
        <v>0.99989539999999999</v>
      </c>
      <c r="N2722">
        <v>0</v>
      </c>
      <c r="O2722">
        <v>-4.6746690000000002E-4</v>
      </c>
      <c r="P2722">
        <v>0.98402199999999995</v>
      </c>
      <c r="Q2722">
        <v>0.1779326</v>
      </c>
      <c r="R2722">
        <v>-6.3853829999999997E-3</v>
      </c>
      <c r="S2722">
        <v>3.0378720000000001</v>
      </c>
      <c r="T2722">
        <v>6.7459820000000004E-2</v>
      </c>
      <c r="U2722">
        <v>0.2190704</v>
      </c>
      <c r="V2722">
        <v>5.9287519999999998E-3</v>
      </c>
      <c r="W2722">
        <v>0.19214300000000001</v>
      </c>
      <c r="X2722">
        <v>0.98134909999999997</v>
      </c>
      <c r="Y2722">
        <v>-7.2374770000000005E-2</v>
      </c>
      <c r="Z2722">
        <v>-8.1281349999999997E-4</v>
      </c>
      <c r="AA2722">
        <v>0.99737719999999996</v>
      </c>
      <c r="AB2722">
        <v>43</v>
      </c>
      <c r="AC2722">
        <v>140.63030000000001</v>
      </c>
      <c r="AD2722">
        <v>3.132717</v>
      </c>
      <c r="AE2722">
        <v>10.173599999999899</v>
      </c>
      <c r="AF2722">
        <v>-10.234293627710199</v>
      </c>
      <c r="AG2722">
        <v>3.132717</v>
      </c>
      <c r="AH2722">
        <v>140.55614302368099</v>
      </c>
      <c r="AI2722">
        <v>88.726572466133703</v>
      </c>
      <c r="AJ2722">
        <v>94.164519791273406</v>
      </c>
      <c r="AK2722">
        <v>140.96305907419</v>
      </c>
      <c r="AL2722">
        <v>78.922127061891203</v>
      </c>
      <c r="AM2722">
        <v>89.653855763792606</v>
      </c>
      <c r="AN2722">
        <v>1.0000000693100399</v>
      </c>
    </row>
    <row r="2723" spans="1:40" x14ac:dyDescent="0.25">
      <c r="A2723" t="str">
        <f>"20190312164526222"</f>
        <v>20190312164526222</v>
      </c>
      <c r="B2723" t="str">
        <f>"1552380326214167"</f>
        <v>1552380326214167</v>
      </c>
      <c r="C2723" t="s">
        <v>40</v>
      </c>
      <c r="D2723">
        <v>4.941719</v>
      </c>
      <c r="E2723">
        <v>0.47389809999999999</v>
      </c>
      <c r="F2723" t="s">
        <v>62</v>
      </c>
      <c r="G2723">
        <v>-168.35059999999999</v>
      </c>
      <c r="H2723">
        <v>5.8647419999999997</v>
      </c>
      <c r="I2723">
        <v>223.68350000000001</v>
      </c>
      <c r="J2723">
        <v>-308.53899999999999</v>
      </c>
      <c r="K2723">
        <v>1.1088450000000001</v>
      </c>
      <c r="L2723">
        <v>213.87549999999999</v>
      </c>
      <c r="M2723">
        <v>0.99989550000000005</v>
      </c>
      <c r="N2723">
        <v>0</v>
      </c>
      <c r="O2723">
        <v>-4.6053549999999999E-4</v>
      </c>
      <c r="P2723">
        <v>0.98391779999999995</v>
      </c>
      <c r="Q2723">
        <v>0.17851710000000001</v>
      </c>
      <c r="R2723">
        <v>-6.1438109999999999E-3</v>
      </c>
      <c r="S2723">
        <v>3.031555</v>
      </c>
      <c r="T2723">
        <v>0.10252360000000001</v>
      </c>
      <c r="U2723">
        <v>0.2114258</v>
      </c>
      <c r="V2723">
        <v>5.69404E-3</v>
      </c>
      <c r="W2723">
        <v>0.19272320000000001</v>
      </c>
      <c r="X2723">
        <v>0.98123660000000001</v>
      </c>
      <c r="Y2723">
        <v>-6.9992079999999998E-2</v>
      </c>
      <c r="Z2723">
        <v>-1.1973050000000001E-3</v>
      </c>
      <c r="AA2723">
        <v>0.99754690000000001</v>
      </c>
      <c r="AB2723">
        <v>43</v>
      </c>
      <c r="AC2723">
        <v>140.1884</v>
      </c>
      <c r="AD2723">
        <v>4.7558969999999903</v>
      </c>
      <c r="AE2723">
        <v>9.8080000000000194</v>
      </c>
      <c r="AF2723">
        <v>-9.8612732966036702</v>
      </c>
      <c r="AG2723">
        <v>4.7558969999999903</v>
      </c>
      <c r="AH2723">
        <v>140.02349849837299</v>
      </c>
      <c r="AI2723">
        <v>88.059499732996102</v>
      </c>
      <c r="AJ2723">
        <v>94.028452406215806</v>
      </c>
      <c r="AK2723">
        <v>140.45085759449299</v>
      </c>
      <c r="AL2723">
        <v>78.888249675197898</v>
      </c>
      <c r="AM2723">
        <v>89.667520760561601</v>
      </c>
      <c r="AN2723">
        <v>0.99999995954465903</v>
      </c>
    </row>
    <row r="2724" spans="1:40" x14ac:dyDescent="0.25">
      <c r="A2724" t="str">
        <f>"20190312164526243"</f>
        <v>20190312164526243</v>
      </c>
      <c r="B2724" t="str">
        <f>"1552380326234658"</f>
        <v>1552380326234658</v>
      </c>
      <c r="C2724" t="s">
        <v>40</v>
      </c>
      <c r="D2724">
        <v>4.8596430000000002</v>
      </c>
      <c r="E2724">
        <v>0.47388560000000002</v>
      </c>
      <c r="F2724" t="s">
        <v>62</v>
      </c>
      <c r="G2724">
        <v>-168.35059999999999</v>
      </c>
      <c r="H2724">
        <v>5.9991949999999896</v>
      </c>
      <c r="I2724">
        <v>223.6439</v>
      </c>
      <c r="J2724">
        <v>-308.1343</v>
      </c>
      <c r="K2724">
        <v>1.108841</v>
      </c>
      <c r="L2724">
        <v>213.87530000000001</v>
      </c>
      <c r="M2724">
        <v>0.99989550000000005</v>
      </c>
      <c r="N2724">
        <v>0</v>
      </c>
      <c r="O2724">
        <v>-4.539654E-4</v>
      </c>
      <c r="P2724">
        <v>0.98389629999999995</v>
      </c>
      <c r="Q2724">
        <v>0.17866389999999999</v>
      </c>
      <c r="R2724">
        <v>-5.2541350000000001E-3</v>
      </c>
      <c r="S2724">
        <v>3.031158</v>
      </c>
      <c r="T2724">
        <v>0.1057404</v>
      </c>
      <c r="U2724">
        <v>0.21121219999999999</v>
      </c>
      <c r="V2724">
        <v>4.811109E-3</v>
      </c>
      <c r="W2724">
        <v>0.19286690000000001</v>
      </c>
      <c r="X2724">
        <v>0.98121320000000001</v>
      </c>
      <c r="Y2724">
        <v>-6.9922100000000001E-2</v>
      </c>
      <c r="Z2724">
        <v>-1.2335670000000001E-3</v>
      </c>
      <c r="AA2724">
        <v>0.99755170000000004</v>
      </c>
      <c r="AB2724">
        <v>43</v>
      </c>
      <c r="AC2724">
        <v>139.78370000000001</v>
      </c>
      <c r="AD2724">
        <v>4.8903539999999897</v>
      </c>
      <c r="AE2724">
        <v>9.7685999999999904</v>
      </c>
      <c r="AF2724">
        <v>-9.8201015761983008</v>
      </c>
      <c r="AG2724">
        <v>4.8903539999999897</v>
      </c>
      <c r="AH2724">
        <v>139.609204778351</v>
      </c>
      <c r="AI2724">
        <v>87.9987539691367</v>
      </c>
      <c r="AJ2724">
        <v>94.023554018535904</v>
      </c>
      <c r="AK2724">
        <v>140.039565894985</v>
      </c>
      <c r="AL2724">
        <v>78.879860048907801</v>
      </c>
      <c r="AM2724">
        <v>89.719068158239594</v>
      </c>
      <c r="AN2724">
        <v>1.00000006586982</v>
      </c>
    </row>
    <row r="2725" spans="1:40" x14ac:dyDescent="0.25">
      <c r="A2725" t="str">
        <f>"20190312164526266"</f>
        <v>20190312164526266</v>
      </c>
      <c r="B2725" t="str">
        <f>"1552380326254174"</f>
        <v>1552380326254174</v>
      </c>
      <c r="C2725" t="s">
        <v>40</v>
      </c>
      <c r="D2725">
        <v>4.7293770000000004</v>
      </c>
      <c r="E2725">
        <v>0.47366429999999998</v>
      </c>
      <c r="F2725" t="s">
        <v>62</v>
      </c>
      <c r="G2725">
        <v>-168.35059999999999</v>
      </c>
      <c r="H2725">
        <v>6.2768959999999998</v>
      </c>
      <c r="I2725">
        <v>223.72380000000001</v>
      </c>
      <c r="J2725">
        <v>-307.70280000000002</v>
      </c>
      <c r="K2725">
        <v>1.1088420000000001</v>
      </c>
      <c r="L2725">
        <v>213.8751</v>
      </c>
      <c r="M2725">
        <v>0.99989550000000005</v>
      </c>
      <c r="N2725">
        <v>0</v>
      </c>
      <c r="O2725">
        <v>-4.4703439999999999E-4</v>
      </c>
      <c r="P2725">
        <v>0.98392559999999996</v>
      </c>
      <c r="Q2725">
        <v>0.1785156</v>
      </c>
      <c r="R2725">
        <v>-4.801011E-3</v>
      </c>
      <c r="S2725">
        <v>3.0298769999999999</v>
      </c>
      <c r="T2725">
        <v>0.1120211</v>
      </c>
      <c r="U2725">
        <v>0.21347050000000001</v>
      </c>
      <c r="V2725">
        <v>4.3646379999999997E-3</v>
      </c>
      <c r="W2725">
        <v>0.19271669999999999</v>
      </c>
      <c r="X2725">
        <v>0.98124469999999997</v>
      </c>
      <c r="Y2725">
        <v>-7.0678550000000007E-2</v>
      </c>
      <c r="Z2725">
        <v>-1.321011E-3</v>
      </c>
      <c r="AA2725">
        <v>0.99749829999999995</v>
      </c>
      <c r="AB2725">
        <v>43</v>
      </c>
      <c r="AC2725">
        <v>139.35220000000001</v>
      </c>
      <c r="AD2725">
        <v>5.1680539999999997</v>
      </c>
      <c r="AE2725">
        <v>9.8486999999999991</v>
      </c>
      <c r="AF2725">
        <v>-9.8974555256376799</v>
      </c>
      <c r="AG2725">
        <v>5.1680539999999997</v>
      </c>
      <c r="AH2725">
        <v>139.15733830447601</v>
      </c>
      <c r="AI2725">
        <v>87.878469327172098</v>
      </c>
      <c r="AJ2725">
        <v>94.068266207874402</v>
      </c>
      <c r="AK2725">
        <v>139.60456014047401</v>
      </c>
      <c r="AL2725">
        <v>78.888629317949693</v>
      </c>
      <c r="AM2725">
        <v>89.745146458112501</v>
      </c>
      <c r="AN2725">
        <v>0.99999996890092502</v>
      </c>
    </row>
    <row r="2726" spans="1:40" x14ac:dyDescent="0.25">
      <c r="A2726" t="str">
        <f>"20190312164526291"</f>
        <v>20190312164526291</v>
      </c>
      <c r="B2726" t="str">
        <f>"1552380326284430"</f>
        <v>1552380326284430</v>
      </c>
      <c r="C2726" t="s">
        <v>40</v>
      </c>
      <c r="D2726">
        <v>5.2033550000000002</v>
      </c>
      <c r="E2726">
        <v>0.4737982</v>
      </c>
      <c r="F2726" t="s">
        <v>62</v>
      </c>
      <c r="G2726">
        <v>-168.35059999999999</v>
      </c>
      <c r="H2726">
        <v>5.7761680000000002</v>
      </c>
      <c r="I2726">
        <v>223.8732</v>
      </c>
      <c r="J2726">
        <v>-307.24680000000001</v>
      </c>
      <c r="K2726">
        <v>1.1088389999999999</v>
      </c>
      <c r="L2726">
        <v>213.8749</v>
      </c>
      <c r="M2726">
        <v>0.99989550000000005</v>
      </c>
      <c r="N2726">
        <v>0</v>
      </c>
      <c r="O2726">
        <v>-4.3986040000000001E-4</v>
      </c>
      <c r="P2726">
        <v>0.98394919999999997</v>
      </c>
      <c r="Q2726">
        <v>0.17839739999999901</v>
      </c>
      <c r="R2726">
        <v>-4.2914570000000003E-3</v>
      </c>
      <c r="S2726">
        <v>3.0316770000000002</v>
      </c>
      <c r="T2726">
        <v>0.1015412</v>
      </c>
      <c r="U2726">
        <v>0.21751400000000001</v>
      </c>
      <c r="V2726">
        <v>3.8622230000000001E-3</v>
      </c>
      <c r="W2726">
        <v>0.1925965</v>
      </c>
      <c r="X2726">
        <v>0.98127039999999999</v>
      </c>
      <c r="Y2726">
        <v>-7.1961520000000001E-2</v>
      </c>
      <c r="Z2726">
        <v>-1.2179459999999999E-3</v>
      </c>
      <c r="AA2726">
        <v>0.99740669999999998</v>
      </c>
      <c r="AB2726">
        <v>43</v>
      </c>
      <c r="AC2726">
        <v>138.89619999999999</v>
      </c>
      <c r="AD2726">
        <v>4.6673289999999996</v>
      </c>
      <c r="AE2726">
        <v>9.9983000000000004</v>
      </c>
      <c r="AF2726">
        <v>-10.0481128946781</v>
      </c>
      <c r="AG2726">
        <v>4.6673289999999996</v>
      </c>
      <c r="AH2726">
        <v>138.73594050291399</v>
      </c>
      <c r="AI2726">
        <v>88.0782226116945</v>
      </c>
      <c r="AJ2726">
        <v>94.142480808594996</v>
      </c>
      <c r="AK2726">
        <v>139.17761932137901</v>
      </c>
      <c r="AL2726">
        <v>78.8956476889649</v>
      </c>
      <c r="AM2726">
        <v>89.774488321731695</v>
      </c>
      <c r="AN2726">
        <v>0.99999996324745499</v>
      </c>
    </row>
    <row r="2727" spans="1:40" x14ac:dyDescent="0.25">
      <c r="A2727" t="str">
        <f>"20190312164526312"</f>
        <v>20190312164526312</v>
      </c>
      <c r="B2727" t="str">
        <f>"1552380326303950"</f>
        <v>1552380326303950</v>
      </c>
      <c r="C2727" t="s">
        <v>40</v>
      </c>
      <c r="D2727">
        <v>4.8737769999999996</v>
      </c>
      <c r="E2727">
        <v>0.47374480000000002</v>
      </c>
      <c r="F2727" t="s">
        <v>62</v>
      </c>
      <c r="G2727">
        <v>-168.35059999999999</v>
      </c>
      <c r="H2727">
        <v>6.174226</v>
      </c>
      <c r="I2727">
        <v>223.8485</v>
      </c>
      <c r="J2727">
        <v>-306.81639999999999</v>
      </c>
      <c r="K2727">
        <v>1.108846</v>
      </c>
      <c r="L2727">
        <v>213.87479999999999</v>
      </c>
      <c r="M2727">
        <v>0.99989570000000005</v>
      </c>
      <c r="N2727">
        <v>0</v>
      </c>
      <c r="O2727">
        <v>-4.3316589999999999E-4</v>
      </c>
      <c r="P2727">
        <v>0.98396790000000001</v>
      </c>
      <c r="Q2727">
        <v>0.178312</v>
      </c>
      <c r="R2727">
        <v>-3.5232340000000001E-3</v>
      </c>
      <c r="S2727">
        <v>3.029846</v>
      </c>
      <c r="T2727">
        <v>0.1104962</v>
      </c>
      <c r="U2727">
        <v>0.2175598</v>
      </c>
      <c r="V2727">
        <v>3.1005170000000001E-3</v>
      </c>
      <c r="W2727">
        <v>0.1925085</v>
      </c>
      <c r="X2727">
        <v>0.98129040000000001</v>
      </c>
      <c r="Y2727">
        <v>-7.2005360000000004E-2</v>
      </c>
      <c r="Z2727">
        <v>-1.3266409999999999E-3</v>
      </c>
      <c r="AA2727">
        <v>0.99740340000000005</v>
      </c>
      <c r="AB2727">
        <v>43</v>
      </c>
      <c r="AC2727">
        <v>138.4658</v>
      </c>
      <c r="AD2727">
        <v>5.0653800000000002</v>
      </c>
      <c r="AE2727">
        <v>9.9736999999999991</v>
      </c>
      <c r="AF2727">
        <v>-10.0203434137374</v>
      </c>
      <c r="AG2727">
        <v>5.0653800000000002</v>
      </c>
      <c r="AH2727">
        <v>138.27737099025799</v>
      </c>
      <c r="AI2727">
        <v>87.907559564731301</v>
      </c>
      <c r="AJ2727">
        <v>94.144724342807194</v>
      </c>
      <c r="AK2727">
        <v>138.73246442217899</v>
      </c>
      <c r="AL2727">
        <v>78.900786198520294</v>
      </c>
      <c r="AM2727">
        <v>89.818966997692797</v>
      </c>
      <c r="AN2727">
        <v>0.99999999245503801</v>
      </c>
    </row>
    <row r="2728" spans="1:40" x14ac:dyDescent="0.25">
      <c r="A2728" t="str">
        <f>"20190312164526333"</f>
        <v>20190312164526333</v>
      </c>
      <c r="B2728" t="str">
        <f>"1552380326324450"</f>
        <v>1552380326324450</v>
      </c>
      <c r="C2728" t="s">
        <v>40</v>
      </c>
      <c r="D2728">
        <v>4.9119960000000003</v>
      </c>
      <c r="E2728">
        <v>0.47385759999999999</v>
      </c>
      <c r="F2728" t="s">
        <v>62</v>
      </c>
      <c r="G2728">
        <v>-168.35059999999999</v>
      </c>
      <c r="H2728">
        <v>6.2493109999999996</v>
      </c>
      <c r="I2728">
        <v>223.9238</v>
      </c>
      <c r="J2728">
        <v>-306.42</v>
      </c>
      <c r="K2728">
        <v>1.108849</v>
      </c>
      <c r="L2728">
        <v>213.87459999999999</v>
      </c>
      <c r="M2728">
        <v>0.99989570000000005</v>
      </c>
      <c r="N2728">
        <v>0</v>
      </c>
      <c r="O2728">
        <v>-4.2706960000000001E-4</v>
      </c>
      <c r="P2728">
        <v>0.98400109999999996</v>
      </c>
      <c r="Q2728">
        <v>0.17813599999999999</v>
      </c>
      <c r="R2728">
        <v>-3.0948740000000001E-3</v>
      </c>
      <c r="S2728">
        <v>3.0292970000000001</v>
      </c>
      <c r="T2728">
        <v>0.11246200000000001</v>
      </c>
      <c r="U2728">
        <v>0.21984860000000001</v>
      </c>
      <c r="V2728">
        <v>2.6781719999999999E-3</v>
      </c>
      <c r="W2728">
        <v>0.19233020000000001</v>
      </c>
      <c r="X2728">
        <v>0.98132660000000005</v>
      </c>
      <c r="Y2728">
        <v>-7.2759610000000002E-2</v>
      </c>
      <c r="Z2728">
        <v>-1.364187E-3</v>
      </c>
      <c r="AA2728">
        <v>0.99734849999999997</v>
      </c>
      <c r="AB2728">
        <v>43</v>
      </c>
      <c r="AC2728">
        <v>138.0694</v>
      </c>
      <c r="AD2728">
        <v>5.1404619999999897</v>
      </c>
      <c r="AE2728">
        <v>10.049200000000001</v>
      </c>
      <c r="AF2728">
        <v>-10.0942520825275</v>
      </c>
      <c r="AG2728">
        <v>5.1404619999999897</v>
      </c>
      <c r="AH2728">
        <v>137.87498727918299</v>
      </c>
      <c r="AI2728">
        <v>87.870496164428104</v>
      </c>
      <c r="AJ2728">
        <v>94.187329412898904</v>
      </c>
      <c r="AK2728">
        <v>138.33954746172199</v>
      </c>
      <c r="AL2728">
        <v>78.911196517477293</v>
      </c>
      <c r="AM2728">
        <v>89.843632515981099</v>
      </c>
      <c r="AN2728">
        <v>0.99999998715242999</v>
      </c>
    </row>
    <row r="2729" spans="1:40" x14ac:dyDescent="0.25">
      <c r="A2729" t="str">
        <f>"20190312164526355"</f>
        <v>20190312164526355</v>
      </c>
      <c r="B2729" t="str">
        <f>"1552380326343966"</f>
        <v>1552380326343966</v>
      </c>
      <c r="C2729" t="s">
        <v>40</v>
      </c>
      <c r="D2729">
        <v>4.7994029999999999</v>
      </c>
      <c r="E2729">
        <v>0.47389500000000001</v>
      </c>
      <c r="F2729" t="s">
        <v>62</v>
      </c>
      <c r="G2729">
        <v>-168.35059999999999</v>
      </c>
      <c r="H2729">
        <v>6.0234779999999999</v>
      </c>
      <c r="I2729">
        <v>223.90610000000001</v>
      </c>
      <c r="J2729">
        <v>-305.99759999999998</v>
      </c>
      <c r="K2729">
        <v>1.1088499999999999</v>
      </c>
      <c r="L2729">
        <v>213.87440000000001</v>
      </c>
      <c r="M2729">
        <v>0.99989570000000005</v>
      </c>
      <c r="N2729">
        <v>0</v>
      </c>
      <c r="O2729">
        <v>-4.2014020000000001E-4</v>
      </c>
      <c r="P2729">
        <v>0.98406899999999997</v>
      </c>
      <c r="Q2729">
        <v>0.17776229999999901</v>
      </c>
      <c r="R2729">
        <v>-2.9481199999999998E-3</v>
      </c>
      <c r="S2729">
        <v>3.0299070000000001</v>
      </c>
      <c r="T2729">
        <v>0.10785169999999999</v>
      </c>
      <c r="U2729">
        <v>0.22013849999999999</v>
      </c>
      <c r="V2729">
        <v>2.5383089999999999E-3</v>
      </c>
      <c r="W2729">
        <v>0.1919553</v>
      </c>
      <c r="X2729">
        <v>0.98140039999999995</v>
      </c>
      <c r="Y2729">
        <v>-7.283713E-2</v>
      </c>
      <c r="Z2729">
        <v>-1.3091629999999999E-3</v>
      </c>
      <c r="AA2729">
        <v>0.99734299999999998</v>
      </c>
      <c r="AB2729">
        <v>43</v>
      </c>
      <c r="AC2729">
        <v>137.64699999999999</v>
      </c>
      <c r="AD2729">
        <v>4.9146279999999898</v>
      </c>
      <c r="AE2729">
        <v>10.031700000000001</v>
      </c>
      <c r="AF2729">
        <v>-10.076758029647699</v>
      </c>
      <c r="AG2729">
        <v>4.9146279999999898</v>
      </c>
      <c r="AH2729">
        <v>137.46845149237001</v>
      </c>
      <c r="AI2729">
        <v>87.957967521216403</v>
      </c>
      <c r="AJ2729">
        <v>94.192416022927404</v>
      </c>
      <c r="AK2729">
        <v>137.92487004335601</v>
      </c>
      <c r="AL2729">
        <v>78.933084831470197</v>
      </c>
      <c r="AM2729">
        <v>89.851809650266304</v>
      </c>
      <c r="AN2729">
        <v>1.0000000126654101</v>
      </c>
    </row>
    <row r="2730" spans="1:40" x14ac:dyDescent="0.25">
      <c r="A2730" t="str">
        <f>"20190312164526378"</f>
        <v>20190312164526378</v>
      </c>
      <c r="B2730" t="str">
        <f>"1552380326374223"</f>
        <v>1552380326374223</v>
      </c>
      <c r="C2730" t="s">
        <v>40</v>
      </c>
      <c r="D2730">
        <v>4.730677</v>
      </c>
      <c r="E2730">
        <v>0.47375469999999997</v>
      </c>
      <c r="F2730" t="s">
        <v>62</v>
      </c>
      <c r="G2730">
        <v>-168.35059999999999</v>
      </c>
      <c r="H2730">
        <v>6.1773319999999998</v>
      </c>
      <c r="I2730">
        <v>223.8586</v>
      </c>
      <c r="J2730">
        <v>-305.56479999999999</v>
      </c>
      <c r="K2730">
        <v>1.108846</v>
      </c>
      <c r="L2730">
        <v>213.87430000000001</v>
      </c>
      <c r="M2730">
        <v>0.9998958</v>
      </c>
      <c r="N2730">
        <v>0</v>
      </c>
      <c r="O2730">
        <v>-4.132087E-4</v>
      </c>
      <c r="P2730">
        <v>0.98402420000000002</v>
      </c>
      <c r="Q2730">
        <v>0.17802019999999999</v>
      </c>
      <c r="R2730">
        <v>-2.2760179999999999E-3</v>
      </c>
      <c r="S2730">
        <v>3.0290530000000002</v>
      </c>
      <c r="T2730">
        <v>0.1115379</v>
      </c>
      <c r="U2730">
        <v>0.2197113</v>
      </c>
      <c r="V2730">
        <v>1.87309E-3</v>
      </c>
      <c r="W2730">
        <v>0.19220989999999999</v>
      </c>
      <c r="X2730">
        <v>0.981352</v>
      </c>
      <c r="Y2730">
        <v>-7.2707460000000002E-2</v>
      </c>
      <c r="Z2730">
        <v>-1.3516279999999999E-3</v>
      </c>
      <c r="AA2730">
        <v>0.99735240000000003</v>
      </c>
      <c r="AB2730">
        <v>43</v>
      </c>
      <c r="AC2730">
        <v>137.21420000000001</v>
      </c>
      <c r="AD2730">
        <v>5.068486</v>
      </c>
      <c r="AE2730">
        <v>9.9842999999999904</v>
      </c>
      <c r="AF2730">
        <v>-10.027393310922299</v>
      </c>
      <c r="AG2730">
        <v>5.068486</v>
      </c>
      <c r="AH2730">
        <v>137.02408410402401</v>
      </c>
      <c r="AI2730">
        <v>87.887253981518001</v>
      </c>
      <c r="AJ2730">
        <v>94.185432201114097</v>
      </c>
      <c r="AK2730">
        <v>137.48395466923</v>
      </c>
      <c r="AL2730">
        <v>78.918219842688401</v>
      </c>
      <c r="AM2730">
        <v>89.890640645432498</v>
      </c>
      <c r="AN2730">
        <v>0.99999995101407702</v>
      </c>
    </row>
    <row r="2731" spans="1:40" x14ac:dyDescent="0.25">
      <c r="A2731" t="str">
        <f>"20190312164526400"</f>
        <v>20190312164526400</v>
      </c>
      <c r="B2731" t="str">
        <f>"1552380326394721"</f>
        <v>1552380326394721</v>
      </c>
      <c r="C2731" t="s">
        <v>40</v>
      </c>
      <c r="D2731">
        <v>4.8853239999999998</v>
      </c>
      <c r="E2731">
        <v>0.47372510000000001</v>
      </c>
      <c r="F2731" t="s">
        <v>62</v>
      </c>
      <c r="G2731">
        <v>-168.35059999999999</v>
      </c>
      <c r="H2731">
        <v>6.3229170000000003</v>
      </c>
      <c r="I2731">
        <v>223.9813</v>
      </c>
      <c r="J2731">
        <v>-305.1277</v>
      </c>
      <c r="K2731">
        <v>1.1088519999999999</v>
      </c>
      <c r="L2731">
        <v>213.8741</v>
      </c>
      <c r="M2731">
        <v>0.9998958</v>
      </c>
      <c r="N2731">
        <v>0</v>
      </c>
      <c r="O2731">
        <v>-4.0627449999999999E-4</v>
      </c>
      <c r="P2731">
        <v>0.98396950000000005</v>
      </c>
      <c r="Q2731">
        <v>0.17833309999999999</v>
      </c>
      <c r="R2731">
        <v>-1.3321079999999901E-3</v>
      </c>
      <c r="S2731">
        <v>3.0284119999999999</v>
      </c>
      <c r="T2731">
        <v>0.1150793</v>
      </c>
      <c r="U2731">
        <v>0.22306819999999999</v>
      </c>
      <c r="V2731">
        <v>9.3583200000000005E-4</v>
      </c>
      <c r="W2731">
        <v>0.19251969999999999</v>
      </c>
      <c r="X2731">
        <v>0.98129270000000002</v>
      </c>
      <c r="Y2731">
        <v>-7.3811409999999994E-2</v>
      </c>
      <c r="Z2731">
        <v>-1.4154250000000001E-3</v>
      </c>
      <c r="AA2731">
        <v>0.99727120000000002</v>
      </c>
      <c r="AB2731">
        <v>43</v>
      </c>
      <c r="AC2731">
        <v>136.77709999999999</v>
      </c>
      <c r="AD2731">
        <v>5.2140649999999997</v>
      </c>
      <c r="AE2731">
        <v>10.107200000000001</v>
      </c>
      <c r="AF2731">
        <v>-10.148106837457</v>
      </c>
      <c r="AG2731">
        <v>5.2140649999999997</v>
      </c>
      <c r="AH2731">
        <v>136.57558789230899</v>
      </c>
      <c r="AI2731">
        <v>87.819677675544</v>
      </c>
      <c r="AJ2731">
        <v>94.249494117082804</v>
      </c>
      <c r="AK2731">
        <v>137.05131066260699</v>
      </c>
      <c r="AL2731">
        <v>78.900132752497598</v>
      </c>
      <c r="AM2731">
        <v>89.945358599245793</v>
      </c>
      <c r="AN2731">
        <v>1.0000000368714499</v>
      </c>
    </row>
    <row r="2732" spans="1:40" x14ac:dyDescent="0.25">
      <c r="A2732" t="str">
        <f>"20190312164526423"</f>
        <v>20190312164526423</v>
      </c>
      <c r="B2732" t="str">
        <f>"1552380326414241"</f>
        <v>1552380326414241</v>
      </c>
      <c r="C2732" t="s">
        <v>40</v>
      </c>
      <c r="D2732">
        <v>4.6589769999999904</v>
      </c>
      <c r="E2732">
        <v>0.4737306</v>
      </c>
      <c r="F2732" t="s">
        <v>62</v>
      </c>
      <c r="G2732">
        <v>-168.35059999999999</v>
      </c>
      <c r="H2732">
        <v>6.1719569999999999</v>
      </c>
      <c r="I2732">
        <v>224.0899</v>
      </c>
      <c r="J2732">
        <v>-304.70299999999997</v>
      </c>
      <c r="K2732">
        <v>1.1088530000000001</v>
      </c>
      <c r="L2732">
        <v>213.87389999999999</v>
      </c>
      <c r="M2732">
        <v>0.9998958</v>
      </c>
      <c r="N2732">
        <v>0</v>
      </c>
      <c r="O2732">
        <v>-3.9946079999999998E-4</v>
      </c>
      <c r="P2732">
        <v>0.98405350000000003</v>
      </c>
      <c r="Q2732">
        <v>0.1778719</v>
      </c>
      <c r="R2732">
        <v>-6.6205769999999999E-4</v>
      </c>
      <c r="S2732">
        <v>3.0289000000000001</v>
      </c>
      <c r="T2732">
        <v>0.1121225</v>
      </c>
      <c r="U2732">
        <v>0.22622680000000001</v>
      </c>
      <c r="V2732">
        <v>2.7254690000000001E-4</v>
      </c>
      <c r="W2732">
        <v>0.1920569</v>
      </c>
      <c r="X2732">
        <v>0.98138369999999997</v>
      </c>
      <c r="Y2732">
        <v>-7.4829099999999996E-2</v>
      </c>
      <c r="Z2732">
        <v>-1.397361E-3</v>
      </c>
      <c r="AA2732">
        <v>0.99719539999999995</v>
      </c>
      <c r="AB2732">
        <v>43</v>
      </c>
      <c r="AC2732">
        <v>136.35239999999999</v>
      </c>
      <c r="AD2732">
        <v>5.063104</v>
      </c>
      <c r="AE2732">
        <v>10.215999999999999</v>
      </c>
      <c r="AF2732">
        <v>-10.256409476976</v>
      </c>
      <c r="AG2732">
        <v>5.063104</v>
      </c>
      <c r="AH2732">
        <v>136.161613225526</v>
      </c>
      <c r="AI2732">
        <v>87.876475446432494</v>
      </c>
      <c r="AJ2732">
        <v>94.307684896387201</v>
      </c>
      <c r="AK2732">
        <v>136.641186593398</v>
      </c>
      <c r="AL2732">
        <v>78.9271524773811</v>
      </c>
      <c r="AM2732">
        <v>89.984087990570899</v>
      </c>
      <c r="AN2732">
        <v>0.999999946872555</v>
      </c>
    </row>
    <row r="2733" spans="1:40" x14ac:dyDescent="0.25">
      <c r="A2733" t="str">
        <f>"20190312164526444"</f>
        <v>20190312164526444</v>
      </c>
      <c r="B2733" t="str">
        <f>"1552380326434734"</f>
        <v>1552380326434734</v>
      </c>
      <c r="C2733" t="s">
        <v>40</v>
      </c>
      <c r="D2733">
        <v>4.7895260000000004</v>
      </c>
      <c r="E2733">
        <v>0.46888360000000001</v>
      </c>
      <c r="F2733" t="s">
        <v>62</v>
      </c>
      <c r="G2733">
        <v>-168.35059999999999</v>
      </c>
      <c r="H2733">
        <v>6.1803129999999999</v>
      </c>
      <c r="I2733">
        <v>224.1558</v>
      </c>
      <c r="J2733">
        <v>-304.29300000000001</v>
      </c>
      <c r="K2733">
        <v>1.1088559999999901</v>
      </c>
      <c r="L2733">
        <v>213.87379999999999</v>
      </c>
      <c r="M2733">
        <v>0.9998958</v>
      </c>
      <c r="N2733">
        <v>0</v>
      </c>
      <c r="O2733">
        <v>-3.9324329999999998E-4</v>
      </c>
      <c r="P2733">
        <v>0.98411360000000003</v>
      </c>
      <c r="Q2733">
        <v>0.17753920000000001</v>
      </c>
      <c r="R2733">
        <v>-6.0785379999999897E-4</v>
      </c>
      <c r="S2733">
        <v>3.0284119999999999</v>
      </c>
      <c r="T2733">
        <v>0.11263919999999999</v>
      </c>
      <c r="U2733">
        <v>0.22836300000000001</v>
      </c>
      <c r="V2733">
        <v>2.244832E-4</v>
      </c>
      <c r="W2733">
        <v>0.1917228</v>
      </c>
      <c r="X2733">
        <v>0.98144909999999996</v>
      </c>
      <c r="Y2733">
        <v>-7.5533359999999994E-2</v>
      </c>
      <c r="Z2733">
        <v>-1.416828E-3</v>
      </c>
      <c r="AA2733">
        <v>0.99714230000000004</v>
      </c>
      <c r="AB2733">
        <v>43</v>
      </c>
      <c r="AC2733">
        <v>135.94239999999999</v>
      </c>
      <c r="AD2733">
        <v>5.0714569999999997</v>
      </c>
      <c r="AE2733">
        <v>10.282</v>
      </c>
      <c r="AF2733">
        <v>-10.3211805975958</v>
      </c>
      <c r="AG2733">
        <v>5.0714569999999997</v>
      </c>
      <c r="AH2733">
        <v>135.75049207216901</v>
      </c>
      <c r="AI2733">
        <v>87.866652665398504</v>
      </c>
      <c r="AJ2733">
        <v>94.347863015390502</v>
      </c>
      <c r="AK2733">
        <v>136.236715105976</v>
      </c>
      <c r="AL2733">
        <v>78.946658167287495</v>
      </c>
      <c r="AM2733">
        <v>89.986894949817199</v>
      </c>
      <c r="AN2733">
        <v>1.0000000091616701</v>
      </c>
    </row>
    <row r="2734" spans="1:40" x14ac:dyDescent="0.25">
      <c r="A2734" t="str">
        <f>"20190312164526468"</f>
        <v>20190312164526468</v>
      </c>
      <c r="B2734" t="str">
        <f>"1552380326464016"</f>
        <v>1552380326464016</v>
      </c>
      <c r="C2734" t="s">
        <v>40</v>
      </c>
      <c r="D2734">
        <v>4.6926500000000004</v>
      </c>
      <c r="E2734">
        <v>0.47401110000000002</v>
      </c>
      <c r="F2734" t="s">
        <v>51</v>
      </c>
      <c r="G2734">
        <v>-287.34730000000002</v>
      </c>
      <c r="H2734" s="1">
        <v>3.7360759999999999E-6</v>
      </c>
      <c r="I2734">
        <v>215.42670000000001</v>
      </c>
      <c r="J2734">
        <v>-303.83609999999999</v>
      </c>
      <c r="K2734">
        <v>1.1088519999999999</v>
      </c>
      <c r="L2734">
        <v>213.87360000000001</v>
      </c>
      <c r="M2734">
        <v>0.99989589999999995</v>
      </c>
      <c r="N2734">
        <v>0</v>
      </c>
      <c r="O2734">
        <v>-3.8583500000000001E-4</v>
      </c>
      <c r="P2734">
        <v>0.9841105</v>
      </c>
      <c r="Q2734">
        <v>0.17755470000000001</v>
      </c>
      <c r="R2734">
        <v>-9.1359480000000005E-4</v>
      </c>
      <c r="S2734">
        <v>3.0850520000000001</v>
      </c>
      <c r="T2734">
        <v>-0.20187269999999999</v>
      </c>
      <c r="U2734">
        <v>0.28271479999999999</v>
      </c>
      <c r="V2734">
        <v>5.3762089999999905E-4</v>
      </c>
      <c r="W2734">
        <v>0.1917354</v>
      </c>
      <c r="X2734">
        <v>0.9814465</v>
      </c>
      <c r="Y2734">
        <v>-9.1447310000000004E-2</v>
      </c>
      <c r="Z2734">
        <v>3.0077070000000001E-3</v>
      </c>
      <c r="AA2734">
        <v>0.99580539999999995</v>
      </c>
      <c r="AB2734">
        <v>43</v>
      </c>
      <c r="AC2734">
        <v>16.488799999999902</v>
      </c>
      <c r="AD2734">
        <v>-1.108848263924</v>
      </c>
      <c r="AE2734">
        <v>1.5530999999999999</v>
      </c>
      <c r="AF2734">
        <v>-1.55250324984586</v>
      </c>
      <c r="AG2734">
        <v>-1.108848263924</v>
      </c>
      <c r="AH2734">
        <v>16.414619281677101</v>
      </c>
      <c r="AI2734">
        <v>93.847482176040401</v>
      </c>
      <c r="AJ2734">
        <v>95.402992174368293</v>
      </c>
      <c r="AK2734">
        <v>16.525118364949599</v>
      </c>
      <c r="AL2734">
        <v>78.945922407599298</v>
      </c>
      <c r="AM2734">
        <v>89.968614279568996</v>
      </c>
      <c r="AN2734">
        <v>0.99999999250582094</v>
      </c>
    </row>
    <row r="2735" spans="1:40" x14ac:dyDescent="0.25">
      <c r="A2735" t="str">
        <f>"20190312164526491"</f>
        <v>20190312164526491</v>
      </c>
      <c r="B2735" t="str">
        <f>"1552380326484510"</f>
        <v>1552380326484510</v>
      </c>
      <c r="C2735" t="s">
        <v>40</v>
      </c>
      <c r="D2735">
        <v>4.8633230000000003</v>
      </c>
      <c r="E2735">
        <v>0.47623549999999998</v>
      </c>
      <c r="F2735" t="s">
        <v>62</v>
      </c>
      <c r="G2735">
        <v>-169.1439</v>
      </c>
      <c r="H2735">
        <v>7.0464659999999997</v>
      </c>
      <c r="I2735">
        <v>223.87049999999999</v>
      </c>
      <c r="J2735">
        <v>-303.4117</v>
      </c>
      <c r="K2735">
        <v>1.1088499999999999</v>
      </c>
      <c r="L2735">
        <v>213.8734</v>
      </c>
      <c r="M2735">
        <v>0.99989600000000001</v>
      </c>
      <c r="N2735">
        <v>0</v>
      </c>
      <c r="O2735">
        <v>-3.7890150000000002E-4</v>
      </c>
      <c r="P2735">
        <v>0.98410580000000003</v>
      </c>
      <c r="Q2735">
        <v>0.17757879999999901</v>
      </c>
      <c r="R2735">
        <v>-1.3476499999999999E-3</v>
      </c>
      <c r="S2735">
        <v>3.024597</v>
      </c>
      <c r="T2735">
        <v>0.13333399999999901</v>
      </c>
      <c r="U2735">
        <v>0.2244873</v>
      </c>
      <c r="V2735">
        <v>9.784708E-4</v>
      </c>
      <c r="W2735">
        <v>0.19175690000000001</v>
      </c>
      <c r="X2735">
        <v>0.98144200000000004</v>
      </c>
      <c r="Y2735">
        <v>-7.4322719999999995E-2</v>
      </c>
      <c r="Z2735">
        <v>-1.6518259999999999E-3</v>
      </c>
      <c r="AA2735">
        <v>0.99723289999999998</v>
      </c>
      <c r="AB2735">
        <v>43</v>
      </c>
      <c r="AC2735">
        <v>134.26779999999999</v>
      </c>
      <c r="AD2735">
        <v>5.9376160000000002</v>
      </c>
      <c r="AE2735">
        <v>9.9970999999999801</v>
      </c>
      <c r="AF2735">
        <v>-10.028475257945299</v>
      </c>
      <c r="AG2735">
        <v>5.9376160000000002</v>
      </c>
      <c r="AH2735">
        <v>134.00338952881401</v>
      </c>
      <c r="AI2735">
        <v>87.469980986905497</v>
      </c>
      <c r="AJ2735">
        <v>94.279893283343696</v>
      </c>
      <c r="AK2735">
        <v>134.50923390226299</v>
      </c>
      <c r="AL2735">
        <v>78.944667708810698</v>
      </c>
      <c r="AM2735">
        <v>89.9428776956332</v>
      </c>
      <c r="AN2735">
        <v>1.00000003273335</v>
      </c>
    </row>
    <row r="2736" spans="1:40" x14ac:dyDescent="0.25">
      <c r="A2736" t="str">
        <f>"20190312164526513"</f>
        <v>20190312164526513</v>
      </c>
      <c r="B2736" t="str">
        <f>"1552380326504031"</f>
        <v>1552380326504031</v>
      </c>
      <c r="C2736" t="s">
        <v>40</v>
      </c>
      <c r="D2736">
        <v>4.8874259999999996</v>
      </c>
      <c r="E2736">
        <v>0.47855740000000002</v>
      </c>
      <c r="F2736" t="s">
        <v>62</v>
      </c>
      <c r="G2736">
        <v>-168.35059999999999</v>
      </c>
      <c r="H2736">
        <v>5.2720099999999999</v>
      </c>
      <c r="I2736">
        <v>223.11099999999999</v>
      </c>
      <c r="J2736">
        <v>-302.98599999999999</v>
      </c>
      <c r="K2736">
        <v>1.1088519999999999</v>
      </c>
      <c r="L2736">
        <v>213.8733</v>
      </c>
      <c r="M2736">
        <v>0.99989600000000001</v>
      </c>
      <c r="N2736">
        <v>0</v>
      </c>
      <c r="O2736">
        <v>-3.7004630000000001E-4</v>
      </c>
      <c r="P2736">
        <v>0.98407160000000005</v>
      </c>
      <c r="Q2736">
        <v>0.1777667</v>
      </c>
      <c r="R2736">
        <v>-1.5914309999999999E-3</v>
      </c>
      <c r="S2736">
        <v>3.0318909999999999</v>
      </c>
      <c r="T2736">
        <v>9.3456979999999995E-2</v>
      </c>
      <c r="U2736">
        <v>0.20736689999999999</v>
      </c>
      <c r="V2736">
        <v>1.2306039999999999E-3</v>
      </c>
      <c r="W2736">
        <v>0.1919418</v>
      </c>
      <c r="X2736">
        <v>0.98140559999999999</v>
      </c>
      <c r="Y2736">
        <v>-6.8572480000000005E-2</v>
      </c>
      <c r="Z2736">
        <v>-1.0667700000000001E-3</v>
      </c>
      <c r="AA2736">
        <v>0.99764560000000002</v>
      </c>
      <c r="AB2736">
        <v>43</v>
      </c>
      <c r="AC2736">
        <v>134.6354</v>
      </c>
      <c r="AD2736">
        <v>4.1631580000000001</v>
      </c>
      <c r="AE2736">
        <v>9.2376999999999896</v>
      </c>
      <c r="AF2736">
        <v>-9.2786955980222707</v>
      </c>
      <c r="AG2736">
        <v>4.1631580000000001</v>
      </c>
      <c r="AH2736">
        <v>134.50396831879499</v>
      </c>
      <c r="AI2736">
        <v>88.231351499476304</v>
      </c>
      <c r="AJ2736">
        <v>93.946271507273707</v>
      </c>
      <c r="AK2736">
        <v>134.88789259988101</v>
      </c>
      <c r="AL2736">
        <v>78.933873514374895</v>
      </c>
      <c r="AM2736">
        <v>89.928155720226002</v>
      </c>
      <c r="AN2736">
        <v>1.0000000603424</v>
      </c>
    </row>
    <row r="2737" spans="1:40" x14ac:dyDescent="0.25">
      <c r="A2737" t="str">
        <f>"20190312164526533"</f>
        <v>20190312164526533</v>
      </c>
      <c r="B2737" t="str">
        <f>"1552380326524530"</f>
        <v>1552380326524530</v>
      </c>
      <c r="C2737" t="s">
        <v>40</v>
      </c>
      <c r="D2737">
        <v>4.8280240000000001</v>
      </c>
      <c r="E2737">
        <v>0.47771469999999999</v>
      </c>
      <c r="F2737" t="s">
        <v>62</v>
      </c>
      <c r="G2737">
        <v>-168.35059999999999</v>
      </c>
      <c r="H2737">
        <v>4.910183</v>
      </c>
      <c r="I2737">
        <v>222.2407</v>
      </c>
      <c r="J2737">
        <v>-302.59620000000001</v>
      </c>
      <c r="K2737">
        <v>1.10886</v>
      </c>
      <c r="L2737">
        <v>213.87309999999999</v>
      </c>
      <c r="M2737">
        <v>0.99989609999999995</v>
      </c>
      <c r="N2737">
        <v>0</v>
      </c>
      <c r="O2737">
        <v>-3.601093E-4</v>
      </c>
      <c r="P2737">
        <v>0.98407359999999999</v>
      </c>
      <c r="Q2737">
        <v>0.17775260000000001</v>
      </c>
      <c r="R2737">
        <v>-1.9512830000000001E-3</v>
      </c>
      <c r="S2737">
        <v>3.033417</v>
      </c>
      <c r="T2737">
        <v>8.5647459999999995E-2</v>
      </c>
      <c r="U2737">
        <v>0.1885223</v>
      </c>
      <c r="V2737">
        <v>1.599428E-3</v>
      </c>
      <c r="W2737">
        <v>0.1919254</v>
      </c>
      <c r="X2737">
        <v>0.98140819999999995</v>
      </c>
      <c r="Y2737">
        <v>-6.2363389999999998E-2</v>
      </c>
      <c r="Z2737">
        <v>-8.8953789999999904E-4</v>
      </c>
      <c r="AA2737">
        <v>0.99805310000000003</v>
      </c>
      <c r="AB2737">
        <v>43</v>
      </c>
      <c r="AC2737">
        <v>134.2456</v>
      </c>
      <c r="AD2737">
        <v>3.801323</v>
      </c>
      <c r="AE2737">
        <v>8.3676000000000101</v>
      </c>
      <c r="AF2737">
        <v>-8.4092310869087505</v>
      </c>
      <c r="AG2737">
        <v>3.801323</v>
      </c>
      <c r="AH2737">
        <v>134.13544332364</v>
      </c>
      <c r="AI2737">
        <v>88.3798832673818</v>
      </c>
      <c r="AJ2737">
        <v>93.587297281052699</v>
      </c>
      <c r="AK2737">
        <v>134.45252834979701</v>
      </c>
      <c r="AL2737">
        <v>78.9348301351624</v>
      </c>
      <c r="AM2737">
        <v>89.906623571208698</v>
      </c>
      <c r="AN2737">
        <v>0.99999998618116304</v>
      </c>
    </row>
    <row r="2738" spans="1:40" x14ac:dyDescent="0.25">
      <c r="A2738" t="str">
        <f>"20190312164526556"</f>
        <v>20190312164526556</v>
      </c>
      <c r="B2738" t="str">
        <f>"1552380326544046"</f>
        <v>1552380326544046</v>
      </c>
      <c r="C2738" t="s">
        <v>40</v>
      </c>
      <c r="D2738">
        <v>4.8959820000000001</v>
      </c>
      <c r="E2738">
        <v>0.47688970000000003</v>
      </c>
      <c r="F2738" t="s">
        <v>62</v>
      </c>
      <c r="G2738">
        <v>-168.35059999999999</v>
      </c>
      <c r="H2738">
        <v>4.5318110000000003</v>
      </c>
      <c r="I2738">
        <v>222.48070000000001</v>
      </c>
      <c r="J2738">
        <v>-302.1721</v>
      </c>
      <c r="K2738">
        <v>1.10886</v>
      </c>
      <c r="L2738">
        <v>213.87299999999999</v>
      </c>
      <c r="M2738">
        <v>0.99989589999999995</v>
      </c>
      <c r="N2738">
        <v>0</v>
      </c>
      <c r="O2738">
        <v>-3.4657919999999998E-4</v>
      </c>
      <c r="P2738">
        <v>0.98410699999999995</v>
      </c>
      <c r="Q2738">
        <v>0.17756939999999999</v>
      </c>
      <c r="R2738">
        <v>-1.58813799999999E-3</v>
      </c>
      <c r="S2738">
        <v>3.0349430000000002</v>
      </c>
      <c r="T2738">
        <v>7.7385190000000006E-2</v>
      </c>
      <c r="U2738">
        <v>0.1945953</v>
      </c>
      <c r="V2738">
        <v>1.2484880000000001E-3</v>
      </c>
      <c r="W2738">
        <v>0.1917401</v>
      </c>
      <c r="X2738">
        <v>0.98144500000000001</v>
      </c>
      <c r="Y2738">
        <v>-6.4311869999999993E-2</v>
      </c>
      <c r="Z2738">
        <v>-8.2776829999999999E-4</v>
      </c>
      <c r="AA2738">
        <v>0.99792950000000002</v>
      </c>
      <c r="AB2738">
        <v>42</v>
      </c>
      <c r="AC2738">
        <v>133.82149999999999</v>
      </c>
      <c r="AD2738">
        <v>3.4229509999999999</v>
      </c>
      <c r="AE2738">
        <v>8.6077000000000208</v>
      </c>
      <c r="AF2738">
        <v>-8.6484490472516296</v>
      </c>
      <c r="AG2738">
        <v>3.4229509999999999</v>
      </c>
      <c r="AH2738">
        <v>133.73137397760701</v>
      </c>
      <c r="AI2738">
        <v>88.536848427686195</v>
      </c>
      <c r="AJ2738">
        <v>93.700183045129606</v>
      </c>
      <c r="AK2738">
        <v>134.05443912981701</v>
      </c>
      <c r="AL2738">
        <v>78.945648741241598</v>
      </c>
      <c r="AM2738">
        <v>89.927114555999097</v>
      </c>
      <c r="AN2738">
        <v>1.0000000563476401</v>
      </c>
    </row>
    <row r="2739" spans="1:40" x14ac:dyDescent="0.25">
      <c r="A2739" t="str">
        <f>"20190312164526579"</f>
        <v>20190312164526579</v>
      </c>
      <c r="B2739" t="str">
        <f>"1552380326574303"</f>
        <v>1552380326574303</v>
      </c>
      <c r="C2739" t="s">
        <v>40</v>
      </c>
      <c r="D2739">
        <v>4.8260800000000001</v>
      </c>
      <c r="E2739">
        <v>0.47597250000000002</v>
      </c>
      <c r="F2739" t="s">
        <v>62</v>
      </c>
      <c r="G2739">
        <v>-168.35059999999999</v>
      </c>
      <c r="H2739">
        <v>4.964537</v>
      </c>
      <c r="I2739">
        <v>222.7765</v>
      </c>
      <c r="J2739">
        <v>-301.73599999999999</v>
      </c>
      <c r="K2739">
        <v>1.1088639999999901</v>
      </c>
      <c r="L2739">
        <v>213.87280000000001</v>
      </c>
      <c r="M2739">
        <v>0.99989609999999995</v>
      </c>
      <c r="N2739">
        <v>0</v>
      </c>
      <c r="O2739">
        <v>-3.302987E-4</v>
      </c>
      <c r="P2739">
        <v>0.98418399999999995</v>
      </c>
      <c r="Q2739">
        <v>0.17714389999999999</v>
      </c>
      <c r="R2739">
        <v>-1.5028750000000001E-3</v>
      </c>
      <c r="S2739">
        <v>3.0330509999999999</v>
      </c>
      <c r="T2739">
        <v>8.7389709999999995E-2</v>
      </c>
      <c r="U2739">
        <v>0.20179749999999999</v>
      </c>
      <c r="V2739">
        <v>1.177914E-3</v>
      </c>
      <c r="W2739">
        <v>0.19131329999999999</v>
      </c>
      <c r="X2739">
        <v>0.98152830000000002</v>
      </c>
      <c r="Y2739">
        <v>-6.6687990000000003E-2</v>
      </c>
      <c r="Z2739">
        <v>-9.6896929999999997E-4</v>
      </c>
      <c r="AA2739">
        <v>0.99777340000000003</v>
      </c>
      <c r="AB2739">
        <v>42</v>
      </c>
      <c r="AC2739">
        <v>133.3854</v>
      </c>
      <c r="AD2739">
        <v>3.8556729999999999</v>
      </c>
      <c r="AE2739">
        <v>8.9036999999999793</v>
      </c>
      <c r="AF2739">
        <v>-8.9403239693758003</v>
      </c>
      <c r="AG2739">
        <v>3.8556729999999999</v>
      </c>
      <c r="AH2739">
        <v>133.27158753672899</v>
      </c>
      <c r="AI2739">
        <v>88.346555350729503</v>
      </c>
      <c r="AJ2739">
        <v>93.837851044521898</v>
      </c>
      <c r="AK2739">
        <v>133.62676248237199</v>
      </c>
      <c r="AL2739">
        <v>78.970563024420699</v>
      </c>
      <c r="AM2739">
        <v>89.931240425334593</v>
      </c>
      <c r="AN2739">
        <v>0.99999998496958498</v>
      </c>
    </row>
    <row r="2740" spans="1:40" x14ac:dyDescent="0.25">
      <c r="A2740" t="str">
        <f>"20190312164526601"</f>
        <v>20190312164526601</v>
      </c>
      <c r="B2740" t="str">
        <f>"1552380326594800"</f>
        <v>1552380326594800</v>
      </c>
      <c r="C2740" t="s">
        <v>40</v>
      </c>
      <c r="D2740">
        <v>4.5586039999999999</v>
      </c>
      <c r="E2740">
        <v>0.47542050000000002</v>
      </c>
      <c r="F2740" t="s">
        <v>62</v>
      </c>
      <c r="G2740">
        <v>-168.35059999999999</v>
      </c>
      <c r="H2740">
        <v>5.2286199999999896</v>
      </c>
      <c r="I2740">
        <v>223.07509999999999</v>
      </c>
      <c r="J2740">
        <v>-301.30410000000001</v>
      </c>
      <c r="K2740">
        <v>1.10886</v>
      </c>
      <c r="L2740">
        <v>213.87270000000001</v>
      </c>
      <c r="M2740">
        <v>0.99989620000000001</v>
      </c>
      <c r="N2740">
        <v>0</v>
      </c>
      <c r="O2740">
        <v>-3.1128180000000001E-4</v>
      </c>
      <c r="P2740">
        <v>0.98424210000000001</v>
      </c>
      <c r="Q2740">
        <v>0.1768197</v>
      </c>
      <c r="R2740">
        <v>-1.6735859999999999E-3</v>
      </c>
      <c r="S2740">
        <v>3.031647</v>
      </c>
      <c r="T2740">
        <v>9.3636990000000003E-2</v>
      </c>
      <c r="U2740">
        <v>0.20915220000000001</v>
      </c>
      <c r="V2740">
        <v>1.3659709999999999E-3</v>
      </c>
      <c r="W2740">
        <v>0.1909875</v>
      </c>
      <c r="X2740">
        <v>0.98159149999999995</v>
      </c>
      <c r="Y2740">
        <v>-6.9103670000000006E-2</v>
      </c>
      <c r="Z2740">
        <v>-1.075267E-3</v>
      </c>
      <c r="AA2740">
        <v>0.99760890000000002</v>
      </c>
      <c r="AB2740">
        <v>42</v>
      </c>
      <c r="AC2740">
        <v>132.95349999999999</v>
      </c>
      <c r="AD2740">
        <v>4.1197599999999897</v>
      </c>
      <c r="AE2740">
        <v>9.2023999999999795</v>
      </c>
      <c r="AF2740">
        <v>-9.2349650725714199</v>
      </c>
      <c r="AG2740">
        <v>4.1197599999999897</v>
      </c>
      <c r="AH2740">
        <v>132.82370457484899</v>
      </c>
      <c r="AI2740">
        <v>88.227716367023106</v>
      </c>
      <c r="AJ2740">
        <v>93.977259691045504</v>
      </c>
      <c r="AK2740">
        <v>133.20808346093699</v>
      </c>
      <c r="AL2740">
        <v>78.989580626906005</v>
      </c>
      <c r="AM2740">
        <v>89.920267929462298</v>
      </c>
      <c r="AN2740">
        <v>0.99999998195263595</v>
      </c>
    </row>
    <row r="2741" spans="1:40" x14ac:dyDescent="0.25">
      <c r="A2741" t="str">
        <f>"20190312164526623"</f>
        <v>20190312164526623</v>
      </c>
      <c r="B2741" t="str">
        <f>"1552380326614322"</f>
        <v>1552380326614322</v>
      </c>
      <c r="C2741" t="s">
        <v>40</v>
      </c>
      <c r="D2741">
        <v>4.6705949999999996</v>
      </c>
      <c r="E2741">
        <v>0.47494530000000001</v>
      </c>
      <c r="F2741" t="s">
        <v>62</v>
      </c>
      <c r="G2741">
        <v>-168.35059999999999</v>
      </c>
      <c r="H2741">
        <v>5.2651770000000004</v>
      </c>
      <c r="I2741">
        <v>223.2166</v>
      </c>
      <c r="J2741">
        <v>-300.8965</v>
      </c>
      <c r="K2741">
        <v>1.1088629999999999</v>
      </c>
      <c r="L2741">
        <v>213.87260000000001</v>
      </c>
      <c r="M2741">
        <v>0.99989620000000001</v>
      </c>
      <c r="N2741">
        <v>0</v>
      </c>
      <c r="O2741">
        <v>-2.9167860000000001E-4</v>
      </c>
      <c r="P2741">
        <v>0.98426170000000002</v>
      </c>
      <c r="Q2741">
        <v>0.1767051</v>
      </c>
      <c r="R2741">
        <v>-2.1802549999999999E-3</v>
      </c>
      <c r="S2741">
        <v>3.0313720000000002</v>
      </c>
      <c r="T2741">
        <v>9.4766139999999999E-2</v>
      </c>
      <c r="U2741">
        <v>0.21304319999999999</v>
      </c>
      <c r="V2741">
        <v>1.891024E-3</v>
      </c>
      <c r="W2741">
        <v>0.19087000000000001</v>
      </c>
      <c r="X2741">
        <v>0.98161350000000003</v>
      </c>
      <c r="Y2741">
        <v>-7.0363190000000006E-2</v>
      </c>
      <c r="Z2741">
        <v>-1.107324E-3</v>
      </c>
      <c r="AA2741">
        <v>0.99752079999999999</v>
      </c>
      <c r="AB2741">
        <v>42</v>
      </c>
      <c r="AC2741">
        <v>132.54589999999999</v>
      </c>
      <c r="AD2741">
        <v>4.1563140000000001</v>
      </c>
      <c r="AE2741">
        <v>9.3439999999999905</v>
      </c>
      <c r="AF2741">
        <v>-9.37349308117658</v>
      </c>
      <c r="AG2741">
        <v>4.1563140000000001</v>
      </c>
      <c r="AH2741">
        <v>132.413610777739</v>
      </c>
      <c r="AI2741">
        <v>88.206625238372993</v>
      </c>
      <c r="AJ2741">
        <v>94.049184808848594</v>
      </c>
      <c r="AK2741">
        <v>132.81002084860901</v>
      </c>
      <c r="AL2741">
        <v>78.996439229565595</v>
      </c>
      <c r="AM2741">
        <v>89.889622993036099</v>
      </c>
      <c r="AN2741">
        <v>0.99999999812700902</v>
      </c>
    </row>
    <row r="2742" spans="1:40" x14ac:dyDescent="0.25">
      <c r="A2742" t="str">
        <f>"20190312164526636"</f>
        <v>20190312164526636</v>
      </c>
      <c r="B2742" t="str">
        <f>"1552380326624079"</f>
        <v>1552380326624079</v>
      </c>
      <c r="C2742" t="s">
        <v>40</v>
      </c>
      <c r="D2742">
        <v>4.8836339999999998</v>
      </c>
      <c r="E2742">
        <v>0.47516940000000002</v>
      </c>
      <c r="F2742" t="s">
        <v>62</v>
      </c>
      <c r="G2742">
        <v>-168.35059999999999</v>
      </c>
      <c r="H2742">
        <v>5.3296429999999999</v>
      </c>
      <c r="I2742">
        <v>223.2835</v>
      </c>
      <c r="J2742">
        <v>-300.64949999999999</v>
      </c>
      <c r="K2742">
        <v>1.1088690000000001</v>
      </c>
      <c r="L2742">
        <v>213.8725</v>
      </c>
      <c r="M2742">
        <v>0.99989620000000001</v>
      </c>
      <c r="N2742">
        <v>0</v>
      </c>
      <c r="O2742">
        <v>-2.7901580000000003E-4</v>
      </c>
      <c r="P2742">
        <v>0.98430770000000001</v>
      </c>
      <c r="Q2742">
        <v>0.17644969999999999</v>
      </c>
      <c r="R2742">
        <v>-1.985643E-3</v>
      </c>
      <c r="S2742">
        <v>3.0310670000000002</v>
      </c>
      <c r="T2742">
        <v>9.6522209999999997E-2</v>
      </c>
      <c r="U2742">
        <v>0.21521000000000001</v>
      </c>
      <c r="V2742">
        <v>1.708506E-3</v>
      </c>
      <c r="W2742">
        <v>0.19061449999999999</v>
      </c>
      <c r="X2742">
        <v>0.98166350000000002</v>
      </c>
      <c r="Y2742">
        <v>-7.1065459999999997E-2</v>
      </c>
      <c r="Z2742">
        <v>-1.13868E-3</v>
      </c>
      <c r="AA2742">
        <v>0.997471</v>
      </c>
      <c r="AB2742">
        <v>42</v>
      </c>
      <c r="AC2742">
        <v>132.2989</v>
      </c>
      <c r="AD2742">
        <v>4.2207739999999996</v>
      </c>
      <c r="AE2742">
        <v>9.4109999999999996</v>
      </c>
      <c r="AF2742">
        <v>-9.4383587461621392</v>
      </c>
      <c r="AG2742">
        <v>4.2207739999999996</v>
      </c>
      <c r="AH2742">
        <v>132.16242821048601</v>
      </c>
      <c r="AI2742">
        <v>88.175452254819405</v>
      </c>
      <c r="AJ2742">
        <v>94.084834055129306</v>
      </c>
      <c r="AK2742">
        <v>132.56622865372699</v>
      </c>
      <c r="AL2742">
        <v>79.011352308333898</v>
      </c>
      <c r="AM2742">
        <v>89.900281426135706</v>
      </c>
      <c r="AN2742">
        <v>1.00000001691762</v>
      </c>
    </row>
    <row r="2743" spans="1:40" x14ac:dyDescent="0.25">
      <c r="A2743" t="str">
        <f>"20190312164526648"</f>
        <v>20190312164526648</v>
      </c>
      <c r="B2743" t="str">
        <f>"1552380326644575"</f>
        <v>1552380326644575</v>
      </c>
      <c r="C2743" t="s">
        <v>40</v>
      </c>
      <c r="D2743">
        <v>4.624352</v>
      </c>
      <c r="E2743">
        <v>0.50104470000000001</v>
      </c>
      <c r="F2743" t="s">
        <v>62</v>
      </c>
      <c r="G2743">
        <v>-168.35059999999999</v>
      </c>
      <c r="H2743">
        <v>5.3759199999999998</v>
      </c>
      <c r="I2743">
        <v>223.21289999999999</v>
      </c>
      <c r="J2743">
        <v>-300.42540000000002</v>
      </c>
      <c r="K2743">
        <v>1.10887</v>
      </c>
      <c r="L2743">
        <v>213.8725</v>
      </c>
      <c r="M2743">
        <v>0.99989620000000001</v>
      </c>
      <c r="N2743">
        <v>0</v>
      </c>
      <c r="O2743">
        <v>-2.670735E-4</v>
      </c>
      <c r="P2743">
        <v>0.98429610000000001</v>
      </c>
      <c r="Q2743">
        <v>0.17650959999999999</v>
      </c>
      <c r="R2743">
        <v>-2.4201959999999999E-3</v>
      </c>
      <c r="S2743">
        <v>3.0307620000000002</v>
      </c>
      <c r="T2743">
        <v>9.7752690000000003E-2</v>
      </c>
      <c r="U2743">
        <v>0.213974</v>
      </c>
      <c r="V2743">
        <v>2.1545000000000002E-3</v>
      </c>
      <c r="W2743">
        <v>0.19067249999999999</v>
      </c>
      <c r="X2743">
        <v>0.98165139999999995</v>
      </c>
      <c r="Y2743">
        <v>-7.0655170000000003E-2</v>
      </c>
      <c r="Z2743">
        <v>-1.1463300000000001E-3</v>
      </c>
      <c r="AA2743">
        <v>0.9975001</v>
      </c>
      <c r="AB2743">
        <v>42</v>
      </c>
      <c r="AC2743">
        <v>132.07480000000001</v>
      </c>
      <c r="AD2743">
        <v>4.2670499999999896</v>
      </c>
      <c r="AE2743">
        <v>9.3403999999999794</v>
      </c>
      <c r="AF2743">
        <v>-9.3659495187721102</v>
      </c>
      <c r="AG2743">
        <v>4.2670499999999896</v>
      </c>
      <c r="AH2743">
        <v>131.93527230661201</v>
      </c>
      <c r="AI2743">
        <v>88.152232612039597</v>
      </c>
      <c r="AJ2743">
        <v>94.060556732753</v>
      </c>
      <c r="AK2743">
        <v>132.33610544636201</v>
      </c>
      <c r="AL2743">
        <v>79.007967518606804</v>
      </c>
      <c r="AM2743">
        <v>89.874249088066094</v>
      </c>
      <c r="AN2743">
        <v>1.0000000576242201</v>
      </c>
    </row>
    <row r="2744" spans="1:40" x14ac:dyDescent="0.25">
      <c r="A2744" t="str">
        <f>"20190312164526661"</f>
        <v>20190312164526661</v>
      </c>
      <c r="B2744" t="str">
        <f>"1552380326654335"</f>
        <v>1552380326654335</v>
      </c>
      <c r="C2744" t="s">
        <v>40</v>
      </c>
      <c r="D2744">
        <v>4.9654989999999897</v>
      </c>
      <c r="E2744">
        <v>0.50328070000000003</v>
      </c>
      <c r="F2744" t="s">
        <v>61</v>
      </c>
      <c r="G2744">
        <v>-109.68</v>
      </c>
      <c r="H2744">
        <v>8.1509280000000004</v>
      </c>
      <c r="I2744">
        <v>214.20410000000001</v>
      </c>
      <c r="J2744">
        <v>-300.18049999999999</v>
      </c>
      <c r="K2744">
        <v>1.1088709999999999</v>
      </c>
      <c r="L2744">
        <v>213.8724</v>
      </c>
      <c r="M2744">
        <v>0.99989629999999996</v>
      </c>
      <c r="N2744">
        <v>0</v>
      </c>
      <c r="O2744">
        <v>-2.538183E-4</v>
      </c>
      <c r="P2744">
        <v>0.9842862</v>
      </c>
      <c r="Q2744">
        <v>0.17655999999999999</v>
      </c>
      <c r="R2744">
        <v>-2.7222819999999999E-3</v>
      </c>
      <c r="S2744">
        <v>3.0278019999999999</v>
      </c>
      <c r="T2744">
        <v>0.11178299999999999</v>
      </c>
      <c r="U2744">
        <v>5.2642820000000003E-3</v>
      </c>
      <c r="V2744">
        <v>2.4694420000000001E-3</v>
      </c>
      <c r="W2744">
        <v>0.19072120000000001</v>
      </c>
      <c r="X2744">
        <v>0.98164119999999999</v>
      </c>
      <c r="Y2744">
        <v>-1.9909609999999999E-3</v>
      </c>
      <c r="Z2744" s="1">
        <v>-4.6107940000000002E-5</v>
      </c>
      <c r="AA2744">
        <v>0.99999800000000005</v>
      </c>
      <c r="AB2744">
        <v>42</v>
      </c>
      <c r="AC2744">
        <v>190.50049999999999</v>
      </c>
      <c r="AD2744">
        <v>7.0420569999999998</v>
      </c>
      <c r="AE2744">
        <v>0.33170000000001199</v>
      </c>
      <c r="AF2744">
        <v>-0.37953888053030499</v>
      </c>
      <c r="AG2744">
        <v>7.0420569999999998</v>
      </c>
      <c r="AH2744">
        <v>190.24044855557801</v>
      </c>
      <c r="AI2744">
        <v>87.880076445725294</v>
      </c>
      <c r="AJ2744">
        <v>90.114307694969398</v>
      </c>
      <c r="AK2744">
        <v>190.37111882630899</v>
      </c>
      <c r="AL2744">
        <v>79.005125077532597</v>
      </c>
      <c r="AM2744">
        <v>89.8558655587304</v>
      </c>
      <c r="AN2744">
        <v>1.00000005990533</v>
      </c>
    </row>
    <row r="2745" spans="1:40" x14ac:dyDescent="0.25">
      <c r="A2745" t="str">
        <f>"20190312164526680"</f>
        <v>20190312164526680</v>
      </c>
      <c r="B2745" t="str">
        <f>"1552380326674830"</f>
        <v>1552380326674830</v>
      </c>
      <c r="C2745" t="s">
        <v>40</v>
      </c>
      <c r="D2745">
        <v>4.6192260000000003</v>
      </c>
      <c r="E2745">
        <v>0.51082890000000003</v>
      </c>
      <c r="F2745" t="s">
        <v>61</v>
      </c>
      <c r="G2745">
        <v>-107.39749999999999</v>
      </c>
      <c r="H2745">
        <v>7.4173530000000003</v>
      </c>
      <c r="I2745">
        <v>213.04920000000001</v>
      </c>
      <c r="J2745">
        <v>-299.8211</v>
      </c>
      <c r="K2745">
        <v>1.1088769999999999</v>
      </c>
      <c r="L2745">
        <v>213.8723</v>
      </c>
      <c r="M2745">
        <v>0.99989629999999996</v>
      </c>
      <c r="N2745">
        <v>0</v>
      </c>
      <c r="O2745">
        <v>-2.3411809999999999E-4</v>
      </c>
      <c r="P2745">
        <v>0.9843383</v>
      </c>
      <c r="Q2745">
        <v>0.17626320000000001</v>
      </c>
      <c r="R2745">
        <v>-3.132269E-3</v>
      </c>
      <c r="S2745">
        <v>3.0300600000000002</v>
      </c>
      <c r="T2745">
        <v>9.9154110000000004E-2</v>
      </c>
      <c r="U2745">
        <v>-1.293945E-2</v>
      </c>
      <c r="V2745">
        <v>2.8982299999999999E-3</v>
      </c>
      <c r="W2745">
        <v>0.19042300000000001</v>
      </c>
      <c r="X2745">
        <v>0.98169790000000001</v>
      </c>
      <c r="Y2745">
        <v>4.0341489999999999E-3</v>
      </c>
      <c r="Z2745" s="1">
        <v>5.832788E-5</v>
      </c>
      <c r="AA2745">
        <v>0.99999179999999999</v>
      </c>
      <c r="AB2745">
        <v>42</v>
      </c>
      <c r="AC2745">
        <v>192.42359999999999</v>
      </c>
      <c r="AD2745">
        <v>6.3084759999999998</v>
      </c>
      <c r="AE2745">
        <v>-0.82309999999998196</v>
      </c>
      <c r="AF2745">
        <v>0.77721011992691502</v>
      </c>
      <c r="AG2745">
        <v>6.3084759999999998</v>
      </c>
      <c r="AH2745">
        <v>192.21719400850401</v>
      </c>
      <c r="AI2745">
        <v>88.120270096555998</v>
      </c>
      <c r="AJ2745">
        <v>89.768331770632102</v>
      </c>
      <c r="AK2745">
        <v>192.32225715583701</v>
      </c>
      <c r="AL2745">
        <v>79.022529457558804</v>
      </c>
      <c r="AM2745">
        <v>89.830848304127201</v>
      </c>
      <c r="AN2745">
        <v>1.00000004276527</v>
      </c>
    </row>
    <row r="2746" spans="1:40" x14ac:dyDescent="0.25">
      <c r="A2746" t="str">
        <f>"20190312164526702"</f>
        <v>20190312164526702</v>
      </c>
      <c r="B2746" t="str">
        <f>"1552380326694350"</f>
        <v>1552380326694350</v>
      </c>
      <c r="C2746" t="s">
        <v>40</v>
      </c>
      <c r="D2746">
        <v>4.5750840000000004</v>
      </c>
      <c r="E2746">
        <v>0.51505889999999999</v>
      </c>
      <c r="F2746" t="s">
        <v>60</v>
      </c>
      <c r="G2746">
        <v>-151.67019999999999</v>
      </c>
      <c r="H2746">
        <v>6.2585119999999996</v>
      </c>
      <c r="I2746">
        <v>210.2037</v>
      </c>
      <c r="J2746">
        <v>-299.40050000000002</v>
      </c>
      <c r="K2746">
        <v>1.108878</v>
      </c>
      <c r="L2746">
        <v>213.8723</v>
      </c>
      <c r="M2746">
        <v>0.99989629999999996</v>
      </c>
      <c r="N2746">
        <v>0</v>
      </c>
      <c r="O2746">
        <v>-2.104842E-4</v>
      </c>
      <c r="P2746">
        <v>0.98424889999999998</v>
      </c>
      <c r="Q2746">
        <v>0.17674210000000001</v>
      </c>
      <c r="R2746">
        <v>-4.0401300000000003E-3</v>
      </c>
      <c r="S2746">
        <v>3.0286249999999999</v>
      </c>
      <c r="T2746">
        <v>0.1052738</v>
      </c>
      <c r="U2746">
        <v>-7.4996950000000007E-2</v>
      </c>
      <c r="V2746">
        <v>3.8291950000000001E-3</v>
      </c>
      <c r="W2746">
        <v>0.1908986</v>
      </c>
      <c r="X2746">
        <v>0.98160230000000004</v>
      </c>
      <c r="Y2746">
        <v>2.4529990000000002E-2</v>
      </c>
      <c r="Z2746">
        <v>4.188188E-4</v>
      </c>
      <c r="AA2746">
        <v>0.999699</v>
      </c>
      <c r="AB2746">
        <v>42</v>
      </c>
      <c r="AC2746">
        <v>147.7303</v>
      </c>
      <c r="AD2746">
        <v>5.1496339999999998</v>
      </c>
      <c r="AE2746">
        <v>-3.6685999999999899</v>
      </c>
      <c r="AF2746">
        <v>3.6330899379327399</v>
      </c>
      <c r="AG2746">
        <v>5.1496339999999998</v>
      </c>
      <c r="AH2746">
        <v>147.55188854837499</v>
      </c>
      <c r="AI2746">
        <v>88.001765356049305</v>
      </c>
      <c r="AJ2746">
        <v>88.589522164031393</v>
      </c>
      <c r="AK2746">
        <v>147.68641740872201</v>
      </c>
      <c r="AL2746">
        <v>78.994769971621196</v>
      </c>
      <c r="AM2746">
        <v>89.776492374201197</v>
      </c>
      <c r="AN2746">
        <v>1.0000000067907899</v>
      </c>
    </row>
    <row r="2747" spans="1:40" x14ac:dyDescent="0.25">
      <c r="A2747" t="str">
        <f>"20190312164526723"</f>
        <v>20190312164526723</v>
      </c>
      <c r="B2747" t="str">
        <f>"1552380326714858"</f>
        <v>1552380326714858</v>
      </c>
      <c r="C2747" t="s">
        <v>40</v>
      </c>
      <c r="D2747">
        <v>4.3918489999999997</v>
      </c>
      <c r="E2747">
        <v>0.51715329999999904</v>
      </c>
      <c r="F2747" t="s">
        <v>60</v>
      </c>
      <c r="G2747">
        <v>-169.39429999999999</v>
      </c>
      <c r="H2747">
        <v>6.1073459999999997</v>
      </c>
      <c r="I2747">
        <v>209.07849999999999</v>
      </c>
      <c r="J2747">
        <v>-299.00380000000001</v>
      </c>
      <c r="K2747">
        <v>1.1088800000000001</v>
      </c>
      <c r="L2747">
        <v>213.87219999999999</v>
      </c>
      <c r="M2747">
        <v>0.99989629999999996</v>
      </c>
      <c r="N2747">
        <v>0</v>
      </c>
      <c r="O2747">
        <v>-1.881644E-4</v>
      </c>
      <c r="P2747">
        <v>0.98422330000000002</v>
      </c>
      <c r="Q2747">
        <v>0.1768718</v>
      </c>
      <c r="R2747">
        <v>-4.6052630000000001E-3</v>
      </c>
      <c r="S2747">
        <v>3.0266419999999998</v>
      </c>
      <c r="T2747">
        <v>0.116368899999999</v>
      </c>
      <c r="U2747">
        <v>-0.1116028</v>
      </c>
      <c r="V2747">
        <v>4.4157379999999998E-3</v>
      </c>
      <c r="W2747">
        <v>0.19102540000000001</v>
      </c>
      <c r="X2747">
        <v>0.98157510000000003</v>
      </c>
      <c r="Y2747">
        <v>3.6633480000000003E-2</v>
      </c>
      <c r="Z2747">
        <v>6.9651640000000003E-4</v>
      </c>
      <c r="AA2747">
        <v>0.99932860000000001</v>
      </c>
      <c r="AB2747">
        <v>42</v>
      </c>
      <c r="AC2747">
        <v>129.6095</v>
      </c>
      <c r="AD2747">
        <v>4.9984659999999996</v>
      </c>
      <c r="AE2747">
        <v>-4.7937000000000003</v>
      </c>
      <c r="AF2747">
        <v>4.7622362740502604</v>
      </c>
      <c r="AG2747">
        <v>4.9984659999999996</v>
      </c>
      <c r="AH2747">
        <v>129.418178545123</v>
      </c>
      <c r="AI2747">
        <v>87.789682057131103</v>
      </c>
      <c r="AJ2747">
        <v>87.892622273342297</v>
      </c>
      <c r="AK2747">
        <v>129.60219324772399</v>
      </c>
      <c r="AL2747">
        <v>78.987367914136101</v>
      </c>
      <c r="AM2747">
        <v>89.742249529222207</v>
      </c>
      <c r="AN2747">
        <v>0.99999993956362498</v>
      </c>
    </row>
    <row r="2748" spans="1:40" x14ac:dyDescent="0.25">
      <c r="A2748" t="str">
        <f>"20190312164526746"</f>
        <v>20190312164526746</v>
      </c>
      <c r="B2748" t="str">
        <f>"1552380326734370"</f>
        <v>1552380326734370</v>
      </c>
      <c r="C2748" t="s">
        <v>40</v>
      </c>
      <c r="D2748">
        <v>4.8182470000000004</v>
      </c>
      <c r="E2748">
        <v>0.51794629999999997</v>
      </c>
      <c r="F2748" t="s">
        <v>60</v>
      </c>
      <c r="G2748">
        <v>-169.3947</v>
      </c>
      <c r="H2748">
        <v>6.3861679999999996</v>
      </c>
      <c r="I2748">
        <v>208.29150000000001</v>
      </c>
      <c r="J2748">
        <v>-298.58819999999997</v>
      </c>
      <c r="K2748">
        <v>1.1088769999999999</v>
      </c>
      <c r="L2748">
        <v>213.87209999999999</v>
      </c>
      <c r="M2748">
        <v>0.99989640000000002</v>
      </c>
      <c r="N2748">
        <v>0</v>
      </c>
      <c r="O2748">
        <v>-1.651286E-4</v>
      </c>
      <c r="P2748">
        <v>0.98417560000000004</v>
      </c>
      <c r="Q2748">
        <v>0.177120899999999</v>
      </c>
      <c r="R2748">
        <v>-5.1797259999999999E-3</v>
      </c>
      <c r="S2748">
        <v>3.0253299999999999</v>
      </c>
      <c r="T2748">
        <v>0.123183</v>
      </c>
      <c r="U2748">
        <v>-0.1302643</v>
      </c>
      <c r="V2748">
        <v>5.012819E-3</v>
      </c>
      <c r="W2748">
        <v>0.1912711</v>
      </c>
      <c r="X2748">
        <v>0.98152450000000002</v>
      </c>
      <c r="Y2748">
        <v>4.2817760000000003E-2</v>
      </c>
      <c r="Z2748">
        <v>8.6422789999999897E-4</v>
      </c>
      <c r="AA2748">
        <v>0.99908249999999998</v>
      </c>
      <c r="AB2748">
        <v>42</v>
      </c>
      <c r="AC2748">
        <v>129.19349999999901</v>
      </c>
      <c r="AD2748">
        <v>5.277291</v>
      </c>
      <c r="AE2748">
        <v>-5.5805999999999703</v>
      </c>
      <c r="AF2748">
        <v>5.5500208986914297</v>
      </c>
      <c r="AG2748">
        <v>5.277291</v>
      </c>
      <c r="AH2748">
        <v>128.97961096585499</v>
      </c>
      <c r="AI2748">
        <v>87.659173705106994</v>
      </c>
      <c r="AJ2748">
        <v>87.5360700503999</v>
      </c>
      <c r="AK2748">
        <v>129.20678224140499</v>
      </c>
      <c r="AL2748">
        <v>78.973027157533394</v>
      </c>
      <c r="AM2748">
        <v>89.707382877300503</v>
      </c>
      <c r="AN2748">
        <v>1.00000005307489</v>
      </c>
    </row>
    <row r="2749" spans="1:40" x14ac:dyDescent="0.25">
      <c r="A2749" t="str">
        <f>"20190312164526759"</f>
        <v>20190312164526759</v>
      </c>
      <c r="B2749" t="str">
        <f>"1552380326754863"</f>
        <v>1552380326754863</v>
      </c>
      <c r="C2749" t="s">
        <v>40</v>
      </c>
      <c r="D2749">
        <v>5.0201469999999997</v>
      </c>
      <c r="E2749">
        <v>0.51858800000000005</v>
      </c>
      <c r="F2749" t="s">
        <v>60</v>
      </c>
      <c r="G2749">
        <v>-168.41220000000001</v>
      </c>
      <c r="H2749">
        <v>6.5524649999999998</v>
      </c>
      <c r="I2749">
        <v>207.9041</v>
      </c>
      <c r="J2749">
        <v>-298.31869999999998</v>
      </c>
      <c r="K2749">
        <v>1.1088769999999999</v>
      </c>
      <c r="L2749">
        <v>213.87209999999999</v>
      </c>
      <c r="M2749">
        <v>0.99989640000000002</v>
      </c>
      <c r="N2749">
        <v>0</v>
      </c>
      <c r="O2749">
        <v>-1.50092099999999E-4</v>
      </c>
      <c r="P2749">
        <v>0.98419710000000005</v>
      </c>
      <c r="Q2749">
        <v>0.17698720000000001</v>
      </c>
      <c r="R2749">
        <v>-5.6117469999999899E-3</v>
      </c>
      <c r="S2749">
        <v>3.02475</v>
      </c>
      <c r="T2749">
        <v>0.12648709999999999</v>
      </c>
      <c r="U2749">
        <v>-0.13867189999999999</v>
      </c>
      <c r="V2749">
        <v>5.4594819999999999E-3</v>
      </c>
      <c r="W2749">
        <v>0.19113630000000001</v>
      </c>
      <c r="X2749">
        <v>0.98154830000000004</v>
      </c>
      <c r="Y2749">
        <v>4.5608030000000001E-2</v>
      </c>
      <c r="Z2749">
        <v>9.4641720000000003E-4</v>
      </c>
      <c r="AA2749">
        <v>0.99895889999999998</v>
      </c>
      <c r="AB2749">
        <v>42</v>
      </c>
      <c r="AC2749">
        <v>129.906499999999</v>
      </c>
      <c r="AD2749">
        <v>5.4435880000000001</v>
      </c>
      <c r="AE2749">
        <v>-5.9679999999999804</v>
      </c>
      <c r="AF2749">
        <v>5.9380950175918104</v>
      </c>
      <c r="AG2749">
        <v>5.4435880000000001</v>
      </c>
      <c r="AH2749">
        <v>129.68016386641301</v>
      </c>
      <c r="AI2749">
        <v>87.598817640937199</v>
      </c>
      <c r="AJ2749">
        <v>87.3782398150516</v>
      </c>
      <c r="AK2749">
        <v>129.93012938949701</v>
      </c>
      <c r="AL2749">
        <v>78.980894966067297</v>
      </c>
      <c r="AM2749">
        <v>89.681317718928995</v>
      </c>
      <c r="AN2749">
        <v>0.99999997817714303</v>
      </c>
    </row>
    <row r="2750" spans="1:40" x14ac:dyDescent="0.25">
      <c r="A2750" t="str">
        <f>"20190312164526772"</f>
        <v>20190312164526772</v>
      </c>
      <c r="B2750" t="str">
        <f>"1552380326764622"</f>
        <v>1552380326764622</v>
      </c>
      <c r="C2750" t="s">
        <v>40</v>
      </c>
      <c r="D2750">
        <v>5.0545260000000001</v>
      </c>
      <c r="E2750">
        <v>0.51888780000000001</v>
      </c>
      <c r="F2750" t="s">
        <v>60</v>
      </c>
      <c r="G2750">
        <v>-168.41220000000001</v>
      </c>
      <c r="H2750">
        <v>6.4854599999999998</v>
      </c>
      <c r="I2750">
        <v>207.64080000000001</v>
      </c>
      <c r="J2750">
        <v>-298.08460000000002</v>
      </c>
      <c r="K2750">
        <v>1.1088849999999999</v>
      </c>
      <c r="L2750">
        <v>213.87209999999999</v>
      </c>
      <c r="M2750">
        <v>0.99989640000000002</v>
      </c>
      <c r="N2750">
        <v>0</v>
      </c>
      <c r="O2750">
        <v>-1.37084599999999E-4</v>
      </c>
      <c r="P2750">
        <v>0.98423740000000004</v>
      </c>
      <c r="Q2750">
        <v>0.1767475</v>
      </c>
      <c r="R2750">
        <v>-6.0877719999999896E-3</v>
      </c>
      <c r="S2750">
        <v>3.0248409999999999</v>
      </c>
      <c r="T2750">
        <v>0.1251932</v>
      </c>
      <c r="U2750">
        <v>-0.1450958</v>
      </c>
      <c r="V2750">
        <v>5.9482370000000003E-3</v>
      </c>
      <c r="W2750">
        <v>0.1908958</v>
      </c>
      <c r="X2750">
        <v>0.98159229999999997</v>
      </c>
      <c r="Y2750">
        <v>4.7735390000000003E-2</v>
      </c>
      <c r="Z2750">
        <v>9.811869999999999E-4</v>
      </c>
      <c r="AA2750">
        <v>0.99885950000000001</v>
      </c>
      <c r="AB2750">
        <v>42</v>
      </c>
      <c r="AC2750">
        <v>129.67240000000001</v>
      </c>
      <c r="AD2750">
        <v>5.3765749999999999</v>
      </c>
      <c r="AE2750">
        <v>-6.2312999999999699</v>
      </c>
      <c r="AF2750">
        <v>6.2028828301975496</v>
      </c>
      <c r="AG2750">
        <v>5.3765749999999999</v>
      </c>
      <c r="AH2750">
        <v>129.45121844082601</v>
      </c>
      <c r="AI2750">
        <v>87.624389540229004</v>
      </c>
      <c r="AJ2750">
        <v>87.256670236233703</v>
      </c>
      <c r="AK2750">
        <v>129.71122260602701</v>
      </c>
      <c r="AL2750">
        <v>78.994933504615304</v>
      </c>
      <c r="AM2750">
        <v>89.652804220118995</v>
      </c>
      <c r="AN2750">
        <v>1.0000000157001601</v>
      </c>
    </row>
    <row r="2751" spans="1:40" x14ac:dyDescent="0.25">
      <c r="A2751" t="str">
        <f>"20190312164526791"</f>
        <v>20190312164526791</v>
      </c>
      <c r="B2751" t="str">
        <f>"1552380326784143"</f>
        <v>1552380326784143</v>
      </c>
      <c r="C2751" t="s">
        <v>40</v>
      </c>
      <c r="D2751">
        <v>4.4498670000000002</v>
      </c>
      <c r="E2751">
        <v>0.51939729999999995</v>
      </c>
      <c r="F2751" t="s">
        <v>60</v>
      </c>
      <c r="G2751">
        <v>-168.41229999999999</v>
      </c>
      <c r="H2751">
        <v>6.4531900000000002</v>
      </c>
      <c r="I2751">
        <v>207.48759999999999</v>
      </c>
      <c r="J2751">
        <v>-297.70870000000002</v>
      </c>
      <c r="K2751">
        <v>1.108884</v>
      </c>
      <c r="L2751">
        <v>213.87209999999999</v>
      </c>
      <c r="M2751">
        <v>0.99989640000000002</v>
      </c>
      <c r="N2751">
        <v>0</v>
      </c>
      <c r="O2751">
        <v>-1.16439E-4</v>
      </c>
      <c r="P2751">
        <v>0.98420969999999997</v>
      </c>
      <c r="Q2751">
        <v>0.17688099999999901</v>
      </c>
      <c r="R2751">
        <v>-6.6635369999999998E-3</v>
      </c>
      <c r="S2751">
        <v>3.0247799999999998</v>
      </c>
      <c r="T2751">
        <v>0.12466380000000001</v>
      </c>
      <c r="U2751">
        <v>-0.148925799999999</v>
      </c>
      <c r="V2751">
        <v>6.5439859999999999E-3</v>
      </c>
      <c r="W2751">
        <v>0.19102640000000001</v>
      </c>
      <c r="X2751">
        <v>0.98156310000000002</v>
      </c>
      <c r="Y2751">
        <v>4.9017949999999998E-2</v>
      </c>
      <c r="Z2751">
        <v>1.004284E-3</v>
      </c>
      <c r="AA2751">
        <v>0.99879739999999995</v>
      </c>
      <c r="AB2751">
        <v>42</v>
      </c>
      <c r="AC2751">
        <v>129.29640000000001</v>
      </c>
      <c r="AD2751">
        <v>5.3443059999999996</v>
      </c>
      <c r="AE2751">
        <v>-6.3845000000000001</v>
      </c>
      <c r="AF2751">
        <v>6.3586061290979696</v>
      </c>
      <c r="AG2751">
        <v>5.3443059999999996</v>
      </c>
      <c r="AH2751">
        <v>129.07715332931201</v>
      </c>
      <c r="AI2751">
        <v>87.631950033847403</v>
      </c>
      <c r="AJ2751">
        <v>87.1797718794178</v>
      </c>
      <c r="AK2751">
        <v>129.34413396101601</v>
      </c>
      <c r="AL2751">
        <v>78.987310376410093</v>
      </c>
      <c r="AM2751">
        <v>89.618020253573903</v>
      </c>
      <c r="AN2751">
        <v>1.00000001426566</v>
      </c>
    </row>
    <row r="2752" spans="1:40" x14ac:dyDescent="0.25">
      <c r="A2752" t="str">
        <f>"20190312164526805"</f>
        <v>20190312164526805</v>
      </c>
      <c r="B2752" t="str">
        <f>"1552380326794879"</f>
        <v>1552380326794879</v>
      </c>
      <c r="C2752" t="s">
        <v>40</v>
      </c>
      <c r="D2752">
        <v>5.0023419999999996</v>
      </c>
      <c r="E2752">
        <v>0.51955039999999997</v>
      </c>
      <c r="F2752" t="s">
        <v>60</v>
      </c>
      <c r="G2752">
        <v>-168.41239999999999</v>
      </c>
      <c r="H2752">
        <v>6.3965379999999996</v>
      </c>
      <c r="I2752">
        <v>207.24860000000001</v>
      </c>
      <c r="J2752">
        <v>-297.45170000000002</v>
      </c>
      <c r="K2752">
        <v>1.108889</v>
      </c>
      <c r="L2752">
        <v>213.87200000000001</v>
      </c>
      <c r="M2752">
        <v>0.99989640000000002</v>
      </c>
      <c r="N2752">
        <v>0</v>
      </c>
      <c r="O2752">
        <v>-1.021194E-4</v>
      </c>
      <c r="P2752">
        <v>0.98424420000000001</v>
      </c>
      <c r="Q2752">
        <v>0.176679799999999</v>
      </c>
      <c r="R2752">
        <v>-6.8996659999999996E-3</v>
      </c>
      <c r="S2752">
        <v>3.0248110000000001</v>
      </c>
      <c r="T2752">
        <v>0.1237023</v>
      </c>
      <c r="U2752">
        <v>-0.15495300000000001</v>
      </c>
      <c r="V2752">
        <v>6.7941440000000002E-3</v>
      </c>
      <c r="W2752">
        <v>0.19082460000000001</v>
      </c>
      <c r="X2752">
        <v>0.98160060000000005</v>
      </c>
      <c r="Y2752">
        <v>5.1015810000000002E-2</v>
      </c>
      <c r="Z2752">
        <v>1.0378780000000001E-3</v>
      </c>
      <c r="AA2752">
        <v>0.99869730000000001</v>
      </c>
      <c r="AB2752">
        <v>42</v>
      </c>
      <c r="AC2752">
        <v>129.0393</v>
      </c>
      <c r="AD2752">
        <v>5.287649</v>
      </c>
      <c r="AE2752">
        <v>-6.6234000000000002</v>
      </c>
      <c r="AF2752">
        <v>6.5991695163550101</v>
      </c>
      <c r="AG2752">
        <v>5.287649</v>
      </c>
      <c r="AH2752">
        <v>128.82423307481</v>
      </c>
      <c r="AI2752">
        <v>87.652662498467095</v>
      </c>
      <c r="AJ2752">
        <v>87.067521056204995</v>
      </c>
      <c r="AK2752">
        <v>129.10147674432599</v>
      </c>
      <c r="AL2752">
        <v>78.999088774761802</v>
      </c>
      <c r="AM2752">
        <v>89.603433860548506</v>
      </c>
      <c r="AN2752">
        <v>0.999999963139105</v>
      </c>
    </row>
    <row r="2753" spans="1:40" x14ac:dyDescent="0.25">
      <c r="A2753" t="str">
        <f>"20190312164526824"</f>
        <v>20190312164526824</v>
      </c>
      <c r="B2753" t="str">
        <f>"1552380326814399"</f>
        <v>1552380326814399</v>
      </c>
      <c r="C2753" t="s">
        <v>40</v>
      </c>
      <c r="D2753">
        <v>4.8330270000000004</v>
      </c>
      <c r="E2753">
        <v>0.51977090000000004</v>
      </c>
      <c r="F2753" t="s">
        <v>60</v>
      </c>
      <c r="G2753">
        <v>-168.41239999999999</v>
      </c>
      <c r="H2753">
        <v>6.363537</v>
      </c>
      <c r="I2753">
        <v>207.1764</v>
      </c>
      <c r="J2753">
        <v>-297.11320000000001</v>
      </c>
      <c r="K2753">
        <v>1.1088929999999999</v>
      </c>
      <c r="L2753">
        <v>213.87200000000001</v>
      </c>
      <c r="M2753">
        <v>0.99989649999999997</v>
      </c>
      <c r="N2753">
        <v>0</v>
      </c>
      <c r="O2753" s="1">
        <v>-8.3268079999999995E-5</v>
      </c>
      <c r="P2753">
        <v>0.98415220000000003</v>
      </c>
      <c r="Q2753">
        <v>0.1771586</v>
      </c>
      <c r="R2753">
        <v>-7.7162239999999998E-3</v>
      </c>
      <c r="S2753">
        <v>3.0248110000000001</v>
      </c>
      <c r="T2753">
        <v>0.12317500000000001</v>
      </c>
      <c r="U2753">
        <v>-0.15695190000000001</v>
      </c>
      <c r="V2753">
        <v>7.6291809999999996E-3</v>
      </c>
      <c r="W2753">
        <v>0.1913002</v>
      </c>
      <c r="X2753">
        <v>0.98150190000000004</v>
      </c>
      <c r="Y2753">
        <v>5.1692639999999998E-2</v>
      </c>
      <c r="Z2753">
        <v>1.047973E-3</v>
      </c>
      <c r="AA2753">
        <v>0.99866250000000001</v>
      </c>
      <c r="AB2753">
        <v>42</v>
      </c>
      <c r="AC2753">
        <v>128.70079999999999</v>
      </c>
      <c r="AD2753">
        <v>5.2546439999999999</v>
      </c>
      <c r="AE2753">
        <v>-6.6956000000000104</v>
      </c>
      <c r="AF2753">
        <v>6.67378731893952</v>
      </c>
      <c r="AG2753">
        <v>5.2546439999999999</v>
      </c>
      <c r="AH2753">
        <v>128.48775186272701</v>
      </c>
      <c r="AI2753">
        <v>87.661281980266097</v>
      </c>
      <c r="AJ2753">
        <v>87.026669653730295</v>
      </c>
      <c r="AK2753">
        <v>128.76821463188401</v>
      </c>
      <c r="AL2753">
        <v>78.971327615064098</v>
      </c>
      <c r="AM2753">
        <v>89.554650816965605</v>
      </c>
      <c r="AN2753">
        <v>0.99999997531318996</v>
      </c>
    </row>
    <row r="2754" spans="1:40" x14ac:dyDescent="0.25">
      <c r="A2754" t="str">
        <f>"20190312164526846"</f>
        <v>20190312164526846</v>
      </c>
      <c r="B2754" t="str">
        <f>"1552380326834895"</f>
        <v>1552380326834895</v>
      </c>
      <c r="C2754" t="s">
        <v>40</v>
      </c>
      <c r="D2754">
        <v>4.7371780000000001</v>
      </c>
      <c r="E2754">
        <v>0.51996330000000002</v>
      </c>
      <c r="F2754" t="s">
        <v>60</v>
      </c>
      <c r="G2754">
        <v>-168.41239999999999</v>
      </c>
      <c r="H2754">
        <v>6.3878500000000003</v>
      </c>
      <c r="I2754">
        <v>207.01840000000001</v>
      </c>
      <c r="J2754">
        <v>-296.69600000000003</v>
      </c>
      <c r="K2754">
        <v>1.1089</v>
      </c>
      <c r="L2754">
        <v>213.87200000000001</v>
      </c>
      <c r="M2754">
        <v>0.99989660000000002</v>
      </c>
      <c r="N2754">
        <v>0</v>
      </c>
      <c r="O2754" s="1">
        <v>-6.012126E-5</v>
      </c>
      <c r="P2754">
        <v>0.98406709999999997</v>
      </c>
      <c r="Q2754">
        <v>0.17758889999999999</v>
      </c>
      <c r="R2754">
        <v>-8.6247130000000009E-3</v>
      </c>
      <c r="S2754">
        <v>3.0247190000000002</v>
      </c>
      <c r="T2754">
        <v>0.1240666</v>
      </c>
      <c r="U2754">
        <v>-0.16107179999999999</v>
      </c>
      <c r="V2754">
        <v>8.5603840000000007E-3</v>
      </c>
      <c r="W2754">
        <v>0.19172649999999999</v>
      </c>
      <c r="X2754">
        <v>0.98141100000000003</v>
      </c>
      <c r="Y2754">
        <v>5.3071979999999998E-2</v>
      </c>
      <c r="Z2754">
        <v>1.0847509999999999E-3</v>
      </c>
      <c r="AA2754">
        <v>0.99859010000000004</v>
      </c>
      <c r="AB2754">
        <v>42</v>
      </c>
      <c r="AC2754">
        <v>128.28359999999901</v>
      </c>
      <c r="AD2754">
        <v>5.27895</v>
      </c>
      <c r="AE2754">
        <v>-6.8536000000000001</v>
      </c>
      <c r="AF2754">
        <v>6.8343464543733203</v>
      </c>
      <c r="AG2754">
        <v>5.27895</v>
      </c>
      <c r="AH2754">
        <v>128.06776250682299</v>
      </c>
      <c r="AI2754">
        <v>87.642955675819294</v>
      </c>
      <c r="AJ2754">
        <v>86.945303669478704</v>
      </c>
      <c r="AK2754">
        <v>128.35858910904599</v>
      </c>
      <c r="AL2754">
        <v>78.946441402317603</v>
      </c>
      <c r="AM2754">
        <v>89.500248686883893</v>
      </c>
      <c r="AN2754">
        <v>0.99999994094873601</v>
      </c>
    </row>
    <row r="2755" spans="1:40" x14ac:dyDescent="0.25">
      <c r="A2755" t="str">
        <f>"20190312164526861"</f>
        <v>20190312164526861</v>
      </c>
      <c r="B2755" t="str">
        <f>"1552380326854415"</f>
        <v>1552380326854415</v>
      </c>
      <c r="C2755" t="s">
        <v>40</v>
      </c>
      <c r="D2755">
        <v>4.8815269999999904</v>
      </c>
      <c r="E2755">
        <v>0.52010489999999998</v>
      </c>
      <c r="F2755" t="s">
        <v>60</v>
      </c>
      <c r="G2755">
        <v>-168.41239999999999</v>
      </c>
      <c r="H2755">
        <v>6.1635669999999996</v>
      </c>
      <c r="I2755">
        <v>206.9023</v>
      </c>
      <c r="J2755">
        <v>-296.42750000000001</v>
      </c>
      <c r="K2755">
        <v>1.108903</v>
      </c>
      <c r="L2755">
        <v>213.87200000000001</v>
      </c>
      <c r="M2755">
        <v>0.99989660000000002</v>
      </c>
      <c r="N2755">
        <v>0</v>
      </c>
      <c r="O2755" s="1">
        <v>-4.5266850000000002E-5</v>
      </c>
      <c r="P2755">
        <v>0.98406769999999999</v>
      </c>
      <c r="Q2755">
        <v>0.17756259999999999</v>
      </c>
      <c r="R2755">
        <v>-9.0748170000000006E-3</v>
      </c>
      <c r="S2755">
        <v>3.025604</v>
      </c>
      <c r="T2755">
        <v>0.1192164</v>
      </c>
      <c r="U2755">
        <v>-0.1643829</v>
      </c>
      <c r="V2755">
        <v>9.0250820000000002E-3</v>
      </c>
      <c r="W2755">
        <v>0.19169839999999999</v>
      </c>
      <c r="X2755">
        <v>0.98141239999999996</v>
      </c>
      <c r="Y2755">
        <v>5.4163530000000001E-2</v>
      </c>
      <c r="Z2755">
        <v>1.0641089999999999E-3</v>
      </c>
      <c r="AA2755">
        <v>0.99853150000000002</v>
      </c>
      <c r="AB2755">
        <v>42</v>
      </c>
      <c r="AC2755">
        <v>128.01509999999999</v>
      </c>
      <c r="AD2755">
        <v>5.0546639999999998</v>
      </c>
      <c r="AE2755">
        <v>-6.9697000000000102</v>
      </c>
      <c r="AF2755">
        <v>6.9530963127068404</v>
      </c>
      <c r="AG2755">
        <v>5.0546639999999998</v>
      </c>
      <c r="AH2755">
        <v>127.81673068051001</v>
      </c>
      <c r="AI2755">
        <v>87.738690544090602</v>
      </c>
      <c r="AJ2755">
        <v>86.886238630635603</v>
      </c>
      <c r="AK2755">
        <v>128.10547146137301</v>
      </c>
      <c r="AL2755">
        <v>78.948082657067005</v>
      </c>
      <c r="AM2755">
        <v>89.473122071160802</v>
      </c>
      <c r="AN2755">
        <v>1.0000000137707099</v>
      </c>
    </row>
    <row r="2756" spans="1:40" x14ac:dyDescent="0.25">
      <c r="A2756" t="str">
        <f>"20190312164526882"</f>
        <v>20190312164526882</v>
      </c>
      <c r="B2756" t="str">
        <f>"1552380326874912"</f>
        <v>1552380326874912</v>
      </c>
      <c r="C2756" t="s">
        <v>40</v>
      </c>
      <c r="D2756">
        <v>4.9804180000000002</v>
      </c>
      <c r="E2756">
        <v>0.52026689999999998</v>
      </c>
      <c r="F2756" t="s">
        <v>60</v>
      </c>
      <c r="G2756">
        <v>-168.41239999999999</v>
      </c>
      <c r="H2756">
        <v>6.1187589999999998</v>
      </c>
      <c r="I2756">
        <v>206.8176</v>
      </c>
      <c r="J2756">
        <v>-296.0222</v>
      </c>
      <c r="K2756">
        <v>1.1089009999999999</v>
      </c>
      <c r="L2756">
        <v>213.87200000000001</v>
      </c>
      <c r="M2756">
        <v>0.99989669999999997</v>
      </c>
      <c r="N2756">
        <v>0</v>
      </c>
      <c r="O2756" s="1">
        <v>-2.2954019999999999E-5</v>
      </c>
      <c r="P2756">
        <v>0.9840776</v>
      </c>
      <c r="Q2756">
        <v>0.17749409999999999</v>
      </c>
      <c r="R2756">
        <v>-9.3477060000000008E-3</v>
      </c>
      <c r="S2756">
        <v>3.025665</v>
      </c>
      <c r="T2756">
        <v>0.1184099</v>
      </c>
      <c r="U2756">
        <v>-0.16673279999999999</v>
      </c>
      <c r="V2756">
        <v>9.3197680000000008E-3</v>
      </c>
      <c r="W2756">
        <v>0.19162779999999999</v>
      </c>
      <c r="X2756">
        <v>0.98142339999999995</v>
      </c>
      <c r="Y2756">
        <v>5.4957829999999999E-2</v>
      </c>
      <c r="Z2756">
        <v>1.073269E-3</v>
      </c>
      <c r="AA2756">
        <v>0.99848809999999999</v>
      </c>
      <c r="AB2756">
        <v>42</v>
      </c>
      <c r="AC2756">
        <v>127.60980000000001</v>
      </c>
      <c r="AD2756">
        <v>5.0098580000000004</v>
      </c>
      <c r="AE2756">
        <v>-7.05440000000001</v>
      </c>
      <c r="AF2756">
        <v>7.0406519522614701</v>
      </c>
      <c r="AG2756">
        <v>5.0098580000000004</v>
      </c>
      <c r="AH2756">
        <v>127.414178738321</v>
      </c>
      <c r="AI2756">
        <v>87.751746526168105</v>
      </c>
      <c r="AJ2756">
        <v>86.8371667099387</v>
      </c>
      <c r="AK2756">
        <v>127.706861212128</v>
      </c>
      <c r="AL2756">
        <v>78.952203780997493</v>
      </c>
      <c r="AM2756">
        <v>89.455925625734906</v>
      </c>
      <c r="AN2756">
        <v>0.99999998093798603</v>
      </c>
    </row>
    <row r="2757" spans="1:40" x14ac:dyDescent="0.25">
      <c r="A2757" t="str">
        <f>"20190312164526904"</f>
        <v>20190312164526904</v>
      </c>
      <c r="B2757" t="str">
        <f>"1552380326894431"</f>
        <v>1552380326894431</v>
      </c>
      <c r="C2757" t="s">
        <v>40</v>
      </c>
      <c r="D2757">
        <v>4.5101000000000004</v>
      </c>
      <c r="E2757">
        <v>0.5202869</v>
      </c>
      <c r="F2757" t="s">
        <v>60</v>
      </c>
      <c r="G2757">
        <v>-168.41239999999999</v>
      </c>
      <c r="H2757">
        <v>6.1110129999999998</v>
      </c>
      <c r="I2757">
        <v>206.7302</v>
      </c>
      <c r="J2757">
        <v>-295.61430000000001</v>
      </c>
      <c r="K2757">
        <v>1.1088929999999999</v>
      </c>
      <c r="L2757">
        <v>213.87200000000001</v>
      </c>
      <c r="M2757">
        <v>0.99989669999999997</v>
      </c>
      <c r="N2757">
        <v>0</v>
      </c>
      <c r="O2757" s="1">
        <v>-2.270353E-7</v>
      </c>
      <c r="P2757">
        <v>0.98418530000000004</v>
      </c>
      <c r="Q2757">
        <v>0.17688190000000001</v>
      </c>
      <c r="R2757">
        <v>-9.6004390000000005E-3</v>
      </c>
      <c r="S2757">
        <v>3.0255429999999999</v>
      </c>
      <c r="T2757">
        <v>0.11859749999999999</v>
      </c>
      <c r="U2757">
        <v>-0.169326799999999</v>
      </c>
      <c r="V2757">
        <v>9.5950270000000008E-3</v>
      </c>
      <c r="W2757">
        <v>0.19101460000000001</v>
      </c>
      <c r="X2757">
        <v>0.98154030000000003</v>
      </c>
      <c r="Y2757">
        <v>5.5835330000000002E-2</v>
      </c>
      <c r="Z2757">
        <v>1.0930549999999999E-3</v>
      </c>
      <c r="AA2757">
        <v>0.99843939999999998</v>
      </c>
      <c r="AB2757">
        <v>42</v>
      </c>
      <c r="AC2757">
        <v>127.20189999999999</v>
      </c>
      <c r="AD2757">
        <v>5.0021199999999997</v>
      </c>
      <c r="AE2757">
        <v>-7.1418000000000097</v>
      </c>
      <c r="AF2757">
        <v>7.1307787536672702</v>
      </c>
      <c r="AG2757">
        <v>5.0021199999999997</v>
      </c>
      <c r="AH2757">
        <v>127.00611690874101</v>
      </c>
      <c r="AI2757">
        <v>87.748121423167902</v>
      </c>
      <c r="AJ2757">
        <v>86.7864930821423</v>
      </c>
      <c r="AK2757">
        <v>127.304449813685</v>
      </c>
      <c r="AL2757">
        <v>78.987999004406603</v>
      </c>
      <c r="AM2757">
        <v>89.439924126494304</v>
      </c>
      <c r="AN2757">
        <v>1.00000000124019</v>
      </c>
    </row>
    <row r="2758" spans="1:40" x14ac:dyDescent="0.25">
      <c r="A2758" t="str">
        <f>"20190312164526924"</f>
        <v>20190312164526924</v>
      </c>
      <c r="B2758" t="str">
        <f>"1552380326913951"</f>
        <v>1552380326913951</v>
      </c>
      <c r="C2758" t="s">
        <v>40</v>
      </c>
      <c r="D2758">
        <v>4.4314660000000003</v>
      </c>
      <c r="E2758">
        <v>0.5166771</v>
      </c>
      <c r="F2758" t="s">
        <v>60</v>
      </c>
      <c r="G2758">
        <v>-168.41239999999999</v>
      </c>
      <c r="H2758">
        <v>6.0264280000000001</v>
      </c>
      <c r="I2758">
        <v>206.71190000000001</v>
      </c>
      <c r="J2758">
        <v>-295.23050000000001</v>
      </c>
      <c r="K2758">
        <v>1.1088899999999999</v>
      </c>
      <c r="L2758">
        <v>213.87200000000001</v>
      </c>
      <c r="M2758">
        <v>0.99989680000000003</v>
      </c>
      <c r="N2758">
        <v>0</v>
      </c>
      <c r="O2758" s="1">
        <v>2.106806E-5</v>
      </c>
      <c r="P2758">
        <v>0.98437459999999999</v>
      </c>
      <c r="Q2758">
        <v>0.175797799999999</v>
      </c>
      <c r="R2758">
        <v>-1.01008E-2</v>
      </c>
      <c r="S2758">
        <v>3.0255130000000001</v>
      </c>
      <c r="T2758">
        <v>0.1169651</v>
      </c>
      <c r="U2758">
        <v>-0.17030329999999999</v>
      </c>
      <c r="V2758">
        <v>1.011627E-2</v>
      </c>
      <c r="W2758">
        <v>0.18993099999999999</v>
      </c>
      <c r="X2758">
        <v>0.98174530000000004</v>
      </c>
      <c r="Y2758">
        <v>5.6179310000000003E-2</v>
      </c>
      <c r="Z2758">
        <v>1.085485E-3</v>
      </c>
      <c r="AA2758">
        <v>0.99842010000000003</v>
      </c>
      <c r="AB2758">
        <v>42</v>
      </c>
      <c r="AC2758">
        <v>126.8181</v>
      </c>
      <c r="AD2758">
        <v>4.9175379999999898</v>
      </c>
      <c r="AE2758">
        <v>-7.1600999999999999</v>
      </c>
      <c r="AF2758">
        <v>7.1520524144206599</v>
      </c>
      <c r="AG2758">
        <v>4.9175379999999898</v>
      </c>
      <c r="AH2758">
        <v>126.628155729895</v>
      </c>
      <c r="AI2758">
        <v>87.779601242085405</v>
      </c>
      <c r="AJ2758">
        <v>86.767326330273804</v>
      </c>
      <c r="AK2758">
        <v>126.92526878945201</v>
      </c>
      <c r="AL2758">
        <v>79.051242299469706</v>
      </c>
      <c r="AM2758">
        <v>89.409623797504295</v>
      </c>
      <c r="AN2758">
        <v>0.99999997887590097</v>
      </c>
    </row>
    <row r="2759" spans="1:40" x14ac:dyDescent="0.25">
      <c r="A2759" t="str">
        <f>"20190312164526938"</f>
        <v>20190312164526938</v>
      </c>
      <c r="B2759" t="str">
        <f>"1552380326934447"</f>
        <v>1552380326934447</v>
      </c>
      <c r="C2759" t="s">
        <v>40</v>
      </c>
      <c r="D2759">
        <v>5.050675</v>
      </c>
      <c r="E2759">
        <v>0.51672969999999996</v>
      </c>
      <c r="F2759" t="s">
        <v>47</v>
      </c>
      <c r="G2759">
        <v>-274.93169999999998</v>
      </c>
      <c r="H2759" s="1">
        <v>1.1573529999999999E-6</v>
      </c>
      <c r="I2759">
        <v>213.0206</v>
      </c>
      <c r="J2759">
        <v>-294.97379999999998</v>
      </c>
      <c r="K2759">
        <v>1.108892</v>
      </c>
      <c r="L2759">
        <v>213.87209999999999</v>
      </c>
      <c r="M2759">
        <v>0.99989680000000003</v>
      </c>
      <c r="N2759">
        <v>0</v>
      </c>
      <c r="O2759" s="1">
        <v>3.538402E-5</v>
      </c>
      <c r="P2759">
        <v>0.98438239999999999</v>
      </c>
      <c r="Q2759">
        <v>0.17575160000000001</v>
      </c>
      <c r="R2759">
        <v>-1.013434E-2</v>
      </c>
      <c r="S2759">
        <v>3.0762330000000002</v>
      </c>
      <c r="T2759">
        <v>-0.1680489</v>
      </c>
      <c r="U2759">
        <v>-0.12902830000000001</v>
      </c>
      <c r="V2759">
        <v>1.0164009999999999E-2</v>
      </c>
      <c r="W2759">
        <v>0.18988369999999999</v>
      </c>
      <c r="X2759">
        <v>0.98175400000000002</v>
      </c>
      <c r="Y2759">
        <v>4.1879739999999999E-2</v>
      </c>
      <c r="Z2759">
        <v>-1.1444840000000001E-3</v>
      </c>
      <c r="AA2759">
        <v>0.99912199999999995</v>
      </c>
      <c r="AB2759">
        <v>42</v>
      </c>
      <c r="AC2759">
        <v>20.042100000000001</v>
      </c>
      <c r="AD2759">
        <v>-1.1088908426470001</v>
      </c>
      <c r="AE2759">
        <v>-0.85149999999998705</v>
      </c>
      <c r="AF2759">
        <v>0.84961309657477402</v>
      </c>
      <c r="AG2759">
        <v>-1.1088908426470001</v>
      </c>
      <c r="AH2759">
        <v>19.9810142596513</v>
      </c>
      <c r="AI2759">
        <v>93.173636433112904</v>
      </c>
      <c r="AJ2759">
        <v>87.565191744226297</v>
      </c>
      <c r="AK2759">
        <v>20.0297881206758</v>
      </c>
      <c r="AL2759">
        <v>79.0540030953143</v>
      </c>
      <c r="AM2759">
        <v>89.406843189700695</v>
      </c>
      <c r="AN2759">
        <v>1.0000000215704801</v>
      </c>
    </row>
    <row r="2760" spans="1:40" x14ac:dyDescent="0.25">
      <c r="A2760" t="str">
        <f>"20190312164526952"</f>
        <v>20190312164526952</v>
      </c>
      <c r="B2760" t="str">
        <f>"1552380326944207"</f>
        <v>1552380326944207</v>
      </c>
      <c r="C2760" t="s">
        <v>40</v>
      </c>
      <c r="D2760">
        <v>4.823995</v>
      </c>
      <c r="E2760">
        <v>0.5178874</v>
      </c>
      <c r="F2760" t="s">
        <v>47</v>
      </c>
      <c r="G2760">
        <v>-272.37580000000003</v>
      </c>
      <c r="H2760" s="1">
        <v>-1.9798589999999999E-7</v>
      </c>
      <c r="I2760">
        <v>212.9117</v>
      </c>
      <c r="J2760">
        <v>-294.7158</v>
      </c>
      <c r="K2760">
        <v>1.108892</v>
      </c>
      <c r="L2760">
        <v>213.87209999999999</v>
      </c>
      <c r="M2760">
        <v>0.99989680000000003</v>
      </c>
      <c r="N2760">
        <v>0</v>
      </c>
      <c r="O2760" s="1">
        <v>4.958064E-5</v>
      </c>
      <c r="P2760">
        <v>0.9844212</v>
      </c>
      <c r="Q2760">
        <v>0.17552579999999901</v>
      </c>
      <c r="R2760">
        <v>-1.028826E-2</v>
      </c>
      <c r="S2760">
        <v>3.0731510000000002</v>
      </c>
      <c r="T2760">
        <v>-0.15080109999999999</v>
      </c>
      <c r="U2760">
        <v>-0.13059999999999999</v>
      </c>
      <c r="V2760">
        <v>1.0331689999999999E-2</v>
      </c>
      <c r="W2760">
        <v>0.18965660000000001</v>
      </c>
      <c r="X2760">
        <v>0.98179609999999995</v>
      </c>
      <c r="Y2760">
        <v>4.2457259999999997E-2</v>
      </c>
      <c r="Z2760">
        <v>-1.0430350000000001E-3</v>
      </c>
      <c r="AA2760">
        <v>0.99909780000000004</v>
      </c>
      <c r="AB2760">
        <v>42</v>
      </c>
      <c r="AC2760">
        <v>22.3399999999999</v>
      </c>
      <c r="AD2760">
        <v>-1.1088921979859001</v>
      </c>
      <c r="AE2760">
        <v>-0.96039999999999204</v>
      </c>
      <c r="AF2760">
        <v>0.95914891564638904</v>
      </c>
      <c r="AG2760">
        <v>-1.1088921979859001</v>
      </c>
      <c r="AH2760">
        <v>22.285146627279499</v>
      </c>
      <c r="AI2760">
        <v>92.846015081287007</v>
      </c>
      <c r="AJ2760">
        <v>87.535520412446601</v>
      </c>
      <c r="AK2760">
        <v>22.333324175959198</v>
      </c>
      <c r="AL2760">
        <v>79.0672552813773</v>
      </c>
      <c r="AM2760">
        <v>89.3970841984288</v>
      </c>
      <c r="AN2760">
        <v>0.99999997585851197</v>
      </c>
    </row>
    <row r="2761" spans="1:40" x14ac:dyDescent="0.25">
      <c r="A2761" t="str">
        <f>"20190312164526966"</f>
        <v>20190312164526966</v>
      </c>
      <c r="B2761" t="str">
        <f>"1552380326953967"</f>
        <v>1552380326953967</v>
      </c>
      <c r="C2761" t="s">
        <v>40</v>
      </c>
      <c r="D2761">
        <v>4.386107</v>
      </c>
      <c r="E2761">
        <v>0.51961210000000002</v>
      </c>
      <c r="F2761" t="s">
        <v>60</v>
      </c>
      <c r="G2761">
        <v>-168.41149999999999</v>
      </c>
      <c r="H2761">
        <v>4.1869829999999997</v>
      </c>
      <c r="I2761">
        <v>207.5641</v>
      </c>
      <c r="J2761">
        <v>-294.44670000000002</v>
      </c>
      <c r="K2761">
        <v>1.1088910000000001</v>
      </c>
      <c r="L2761">
        <v>213.87209999999999</v>
      </c>
      <c r="M2761">
        <v>0.99989680000000003</v>
      </c>
      <c r="N2761">
        <v>0</v>
      </c>
      <c r="O2761" s="1">
        <v>6.4552509999999996E-5</v>
      </c>
      <c r="P2761">
        <v>0.98443499999999995</v>
      </c>
      <c r="Q2761">
        <v>0.17543689999999901</v>
      </c>
      <c r="R2761">
        <v>-1.0484230000000001E-2</v>
      </c>
      <c r="S2761">
        <v>3.0326840000000002</v>
      </c>
      <c r="T2761">
        <v>7.3908689999999999E-2</v>
      </c>
      <c r="U2761">
        <v>-0.1514587</v>
      </c>
      <c r="V2761">
        <v>1.05425E-2</v>
      </c>
      <c r="W2761">
        <v>0.1895667</v>
      </c>
      <c r="X2761">
        <v>0.9818112</v>
      </c>
      <c r="Y2761">
        <v>4.9929639999999997E-2</v>
      </c>
      <c r="Z2761">
        <v>6.0951370000000003E-4</v>
      </c>
      <c r="AA2761">
        <v>0.99875250000000004</v>
      </c>
      <c r="AB2761">
        <v>42</v>
      </c>
      <c r="AC2761">
        <v>126.0352</v>
      </c>
      <c r="AD2761">
        <v>3.0780919999999998</v>
      </c>
      <c r="AE2761">
        <v>-6.3079999999999901</v>
      </c>
      <c r="AF2761">
        <v>6.3123810559685696</v>
      </c>
      <c r="AG2761">
        <v>3.0780919999999998</v>
      </c>
      <c r="AH2761">
        <v>125.959850530371</v>
      </c>
      <c r="AI2761">
        <v>88.601890413378698</v>
      </c>
      <c r="AJ2761">
        <v>87.131066174073595</v>
      </c>
      <c r="AK2761">
        <v>126.155478480285</v>
      </c>
      <c r="AL2761">
        <v>79.072501111996402</v>
      </c>
      <c r="AM2761">
        <v>89.384792573441004</v>
      </c>
      <c r="AN2761">
        <v>0.99999995525028895</v>
      </c>
    </row>
    <row r="2762" spans="1:40" x14ac:dyDescent="0.25">
      <c r="A2762" t="str">
        <f>"20190312164526982"</f>
        <v>20190312164526982</v>
      </c>
      <c r="B2762" t="str">
        <f>"1552380326974465"</f>
        <v>1552380326974465</v>
      </c>
      <c r="C2762" t="s">
        <v>40</v>
      </c>
      <c r="D2762">
        <v>4.3859209999999997</v>
      </c>
      <c r="E2762">
        <v>0.52138009999999901</v>
      </c>
      <c r="F2762" t="s">
        <v>60</v>
      </c>
      <c r="G2762">
        <v>-168.4118</v>
      </c>
      <c r="H2762">
        <v>4.440296</v>
      </c>
      <c r="I2762">
        <v>206.9545</v>
      </c>
      <c r="J2762">
        <v>-294.15719999999999</v>
      </c>
      <c r="K2762">
        <v>1.1088929999999999</v>
      </c>
      <c r="L2762">
        <v>213.87209999999999</v>
      </c>
      <c r="M2762">
        <v>0.99989689999999998</v>
      </c>
      <c r="N2762">
        <v>0</v>
      </c>
      <c r="O2762" s="1">
        <v>8.0597939999999999E-5</v>
      </c>
      <c r="P2762">
        <v>0.98438559999999997</v>
      </c>
      <c r="Q2762">
        <v>0.175675</v>
      </c>
      <c r="R2762">
        <v>-1.11205E-2</v>
      </c>
      <c r="S2762">
        <v>3.0313720000000002</v>
      </c>
      <c r="T2762">
        <v>8.0127240000000002E-2</v>
      </c>
      <c r="U2762">
        <v>-0.1663818</v>
      </c>
      <c r="V2762">
        <v>1.1194559999999999E-2</v>
      </c>
      <c r="W2762">
        <v>0.18980179999999999</v>
      </c>
      <c r="X2762">
        <v>0.98175860000000004</v>
      </c>
      <c r="Y2762">
        <v>5.4865509999999999E-2</v>
      </c>
      <c r="Z2762">
        <v>7.265781E-4</v>
      </c>
      <c r="AA2762">
        <v>0.99849350000000003</v>
      </c>
      <c r="AB2762">
        <v>42</v>
      </c>
      <c r="AC2762">
        <v>125.7454</v>
      </c>
      <c r="AD2762">
        <v>3.3314029999999999</v>
      </c>
      <c r="AE2762">
        <v>-6.9175999999999904</v>
      </c>
      <c r="AF2762">
        <v>6.9228913837098496</v>
      </c>
      <c r="AG2762">
        <v>3.3314029999999999</v>
      </c>
      <c r="AH2762">
        <v>125.656910558007</v>
      </c>
      <c r="AI2762">
        <v>88.483634469379098</v>
      </c>
      <c r="AJ2762">
        <v>86.846557300290897</v>
      </c>
      <c r="AK2762">
        <v>125.891555880615</v>
      </c>
      <c r="AL2762">
        <v>79.058782242453404</v>
      </c>
      <c r="AM2762">
        <v>89.346709826929597</v>
      </c>
      <c r="AN2762">
        <v>0.99999999506539605</v>
      </c>
    </row>
    <row r="2763" spans="1:40" x14ac:dyDescent="0.25">
      <c r="A2763" t="str">
        <f>"20190312164527002"</f>
        <v>20190312164527002</v>
      </c>
      <c r="B2763" t="str">
        <f>"1552380326993983"</f>
        <v>1552380326993983</v>
      </c>
      <c r="C2763" t="s">
        <v>40</v>
      </c>
      <c r="D2763">
        <v>5.0482089999999999</v>
      </c>
      <c r="E2763">
        <v>0.52166499999999905</v>
      </c>
      <c r="F2763" t="s">
        <v>60</v>
      </c>
      <c r="G2763">
        <v>-168.41220000000001</v>
      </c>
      <c r="H2763">
        <v>5.0331419999999998</v>
      </c>
      <c r="I2763">
        <v>206.27180000000001</v>
      </c>
      <c r="J2763">
        <v>-293.76159999999999</v>
      </c>
      <c r="K2763">
        <v>1.108886</v>
      </c>
      <c r="L2763">
        <v>213.87219999999999</v>
      </c>
      <c r="M2763">
        <v>0.99989680000000003</v>
      </c>
      <c r="N2763">
        <v>0</v>
      </c>
      <c r="O2763">
        <v>1.0255030000000001E-4</v>
      </c>
      <c r="P2763">
        <v>0.98441699999999999</v>
      </c>
      <c r="Q2763">
        <v>0.1754906</v>
      </c>
      <c r="R2763">
        <v>-1.125287E-2</v>
      </c>
      <c r="S2763">
        <v>3.0286559999999998</v>
      </c>
      <c r="T2763">
        <v>9.4519140000000001E-2</v>
      </c>
      <c r="U2763">
        <v>-0.18305969999999999</v>
      </c>
      <c r="V2763">
        <v>1.1348479999999999E-2</v>
      </c>
      <c r="W2763">
        <v>0.1896159</v>
      </c>
      <c r="X2763">
        <v>0.98179269999999996</v>
      </c>
      <c r="Y2763">
        <v>6.0405460000000001E-2</v>
      </c>
      <c r="Z2763">
        <v>9.4468429999999999E-4</v>
      </c>
      <c r="AA2763">
        <v>0.99817350000000005</v>
      </c>
      <c r="AB2763">
        <v>42</v>
      </c>
      <c r="AC2763">
        <v>125.34939999999899</v>
      </c>
      <c r="AD2763">
        <v>3.9242560000000002</v>
      </c>
      <c r="AE2763">
        <v>-7.6003999999999703</v>
      </c>
      <c r="AF2763">
        <v>7.6058287423194804</v>
      </c>
      <c r="AG2763">
        <v>3.9242560000000002</v>
      </c>
      <c r="AH2763">
        <v>125.226335148765</v>
      </c>
      <c r="AI2763">
        <v>88.208391382802503</v>
      </c>
      <c r="AJ2763">
        <v>86.524315663165595</v>
      </c>
      <c r="AK2763">
        <v>125.518458526233</v>
      </c>
      <c r="AL2763">
        <v>79.069629937564798</v>
      </c>
      <c r="AM2763">
        <v>89.337751185367907</v>
      </c>
      <c r="AN2763">
        <v>0.99999994165220296</v>
      </c>
    </row>
    <row r="2764" spans="1:40" x14ac:dyDescent="0.25">
      <c r="A2764" t="str">
        <f>"20190312164527017"</f>
        <v>20190312164527017</v>
      </c>
      <c r="B2764" t="str">
        <f>"1552380327014479"</f>
        <v>1552380327014479</v>
      </c>
      <c r="C2764" t="s">
        <v>40</v>
      </c>
      <c r="D2764">
        <v>4.5963599999999998</v>
      </c>
      <c r="E2764">
        <v>0.52195619999999998</v>
      </c>
      <c r="F2764" t="s">
        <v>60</v>
      </c>
      <c r="G2764">
        <v>-168.41229999999999</v>
      </c>
      <c r="H2764">
        <v>5.1450500000000003</v>
      </c>
      <c r="I2764">
        <v>206.1671</v>
      </c>
      <c r="J2764">
        <v>-293.49459999999999</v>
      </c>
      <c r="K2764">
        <v>1.108887</v>
      </c>
      <c r="L2764">
        <v>213.87219999999999</v>
      </c>
      <c r="M2764">
        <v>0.99989680000000003</v>
      </c>
      <c r="N2764">
        <v>0</v>
      </c>
      <c r="O2764">
        <v>1.175811E-4</v>
      </c>
      <c r="P2764">
        <v>0.98440930000000004</v>
      </c>
      <c r="Q2764">
        <v>0.175513</v>
      </c>
      <c r="R2764">
        <v>-1.155802E-2</v>
      </c>
      <c r="S2764">
        <v>3.0279850000000001</v>
      </c>
      <c r="T2764">
        <v>9.7499849999999999E-2</v>
      </c>
      <c r="U2764">
        <v>-0.18612670000000001</v>
      </c>
      <c r="V2764">
        <v>1.16685E-2</v>
      </c>
      <c r="W2764">
        <v>0.18963650000000001</v>
      </c>
      <c r="X2764">
        <v>0.98178509999999997</v>
      </c>
      <c r="Y2764">
        <v>6.1438630000000001E-2</v>
      </c>
      <c r="Z2764">
        <v>9.9174339999999993E-4</v>
      </c>
      <c r="AA2764">
        <v>0.99811039999999995</v>
      </c>
      <c r="AB2764">
        <v>42</v>
      </c>
      <c r="AC2764">
        <v>125.0823</v>
      </c>
      <c r="AD2764">
        <v>4.0361630000000002</v>
      </c>
      <c r="AE2764">
        <v>-7.7050999999999803</v>
      </c>
      <c r="AF2764">
        <v>7.7118093845449502</v>
      </c>
      <c r="AG2764">
        <v>4.0361630000000002</v>
      </c>
      <c r="AH2764">
        <v>124.951781644397</v>
      </c>
      <c r="AI2764">
        <v>88.153399729869804</v>
      </c>
      <c r="AJ2764">
        <v>86.468282612246099</v>
      </c>
      <c r="AK2764">
        <v>125.254582159118</v>
      </c>
      <c r="AL2764">
        <v>79.0684292465033</v>
      </c>
      <c r="AM2764">
        <v>89.319072648945806</v>
      </c>
      <c r="AN2764">
        <v>1.00000006930325</v>
      </c>
    </row>
    <row r="2765" spans="1:40" x14ac:dyDescent="0.25">
      <c r="A2765" t="str">
        <f>"20190312164527036"</f>
        <v>20190312164527036</v>
      </c>
      <c r="B2765" t="str">
        <f>"1552380327024239"</f>
        <v>1552380327024239</v>
      </c>
      <c r="C2765" t="s">
        <v>40</v>
      </c>
      <c r="D2765">
        <v>4.9530269999999996</v>
      </c>
      <c r="E2765">
        <v>0.52221579999999901</v>
      </c>
      <c r="F2765" t="s">
        <v>60</v>
      </c>
      <c r="G2765">
        <v>-168.41239999999999</v>
      </c>
      <c r="H2765">
        <v>5.2014709999999997</v>
      </c>
      <c r="I2765">
        <v>206.05090000000001</v>
      </c>
      <c r="J2765">
        <v>-293.14819999999997</v>
      </c>
      <c r="K2765">
        <v>1.1088910000000001</v>
      </c>
      <c r="L2765">
        <v>213.8723</v>
      </c>
      <c r="M2765">
        <v>0.99989700000000004</v>
      </c>
      <c r="N2765">
        <v>0</v>
      </c>
      <c r="O2765">
        <v>1.367873E-4</v>
      </c>
      <c r="P2765">
        <v>0.98438669999999995</v>
      </c>
      <c r="Q2765">
        <v>0.1756064</v>
      </c>
      <c r="R2765">
        <v>-1.2054260000000001E-2</v>
      </c>
      <c r="S2765">
        <v>3.0276489999999998</v>
      </c>
      <c r="T2765">
        <v>9.9062919999999999E-2</v>
      </c>
      <c r="U2765">
        <v>-0.18931580000000001</v>
      </c>
      <c r="V2765">
        <v>1.218371E-2</v>
      </c>
      <c r="W2765">
        <v>0.1897278</v>
      </c>
      <c r="X2765">
        <v>0.9817612</v>
      </c>
      <c r="Y2765">
        <v>6.2510239999999995E-2</v>
      </c>
      <c r="Z2765">
        <v>1.02585E-3</v>
      </c>
      <c r="AA2765">
        <v>0.99804380000000004</v>
      </c>
      <c r="AB2765">
        <v>42</v>
      </c>
      <c r="AC2765">
        <v>124.735799999999</v>
      </c>
      <c r="AD2765">
        <v>4.0925799999999999</v>
      </c>
      <c r="AE2765">
        <v>-7.8213999999999801</v>
      </c>
      <c r="AF2765">
        <v>7.8300679376453903</v>
      </c>
      <c r="AG2765">
        <v>4.0925799999999999</v>
      </c>
      <c r="AH2765">
        <v>124.601121648836</v>
      </c>
      <c r="AI2765">
        <v>88.122471477321099</v>
      </c>
      <c r="AJ2765">
        <v>86.404200146412904</v>
      </c>
      <c r="AK2765">
        <v>124.913965156473</v>
      </c>
      <c r="AL2765">
        <v>79.063101396829794</v>
      </c>
      <c r="AM2765">
        <v>89.288992752618498</v>
      </c>
      <c r="AN2765">
        <v>1.0000000673538101</v>
      </c>
    </row>
    <row r="2766" spans="1:40" x14ac:dyDescent="0.25">
      <c r="A2766" t="str">
        <f>"20190312164527050"</f>
        <v>20190312164527050</v>
      </c>
      <c r="B2766" t="str">
        <f>"1552380327044735"</f>
        <v>1552380327044735</v>
      </c>
      <c r="C2766" t="s">
        <v>40</v>
      </c>
      <c r="D2766">
        <v>4.8055890000000003</v>
      </c>
      <c r="E2766">
        <v>0.52242140000000004</v>
      </c>
      <c r="F2766" t="s">
        <v>60</v>
      </c>
      <c r="G2766">
        <v>-168.41239999999999</v>
      </c>
      <c r="H2766">
        <v>5.2586349999999999</v>
      </c>
      <c r="I2766">
        <v>205.92140000000001</v>
      </c>
      <c r="J2766">
        <v>-292.88459999999998</v>
      </c>
      <c r="K2766">
        <v>1.108892</v>
      </c>
      <c r="L2766">
        <v>213.8723</v>
      </c>
      <c r="M2766">
        <v>0.99989689999999998</v>
      </c>
      <c r="N2766">
        <v>0</v>
      </c>
      <c r="O2766">
        <v>1.5146229999999999E-4</v>
      </c>
      <c r="P2766">
        <v>0.98436590000000002</v>
      </c>
      <c r="Q2766">
        <v>0.175707</v>
      </c>
      <c r="R2766">
        <v>-1.228371E-2</v>
      </c>
      <c r="S2766">
        <v>3.0272830000000002</v>
      </c>
      <c r="T2766">
        <v>0.10071330000000001</v>
      </c>
      <c r="U2766">
        <v>-0.19296260000000001</v>
      </c>
      <c r="V2766">
        <v>1.242739E-2</v>
      </c>
      <c r="W2766">
        <v>0.1898261</v>
      </c>
      <c r="X2766">
        <v>0.98173900000000003</v>
      </c>
      <c r="Y2766">
        <v>6.3728090000000001E-2</v>
      </c>
      <c r="Z2766">
        <v>1.0637369999999999E-3</v>
      </c>
      <c r="AA2766">
        <v>0.99796669999999998</v>
      </c>
      <c r="AB2766">
        <v>42</v>
      </c>
      <c r="AC2766">
        <v>124.4722</v>
      </c>
      <c r="AD2766">
        <v>4.149743</v>
      </c>
      <c r="AE2766">
        <v>-7.9508999999999901</v>
      </c>
      <c r="AF2766">
        <v>7.96094230800096</v>
      </c>
      <c r="AG2766">
        <v>4.149743</v>
      </c>
      <c r="AH2766">
        <v>124.333362977996</v>
      </c>
      <c r="AI2766">
        <v>88.0923126260045</v>
      </c>
      <c r="AJ2766">
        <v>86.336408980937506</v>
      </c>
      <c r="AK2766">
        <v>124.65705803850599</v>
      </c>
      <c r="AL2766">
        <v>79.057363411687803</v>
      </c>
      <c r="AM2766">
        <v>89.274757375405002</v>
      </c>
      <c r="AN2766">
        <v>0.99999992619220801</v>
      </c>
    </row>
    <row r="2767" spans="1:40" x14ac:dyDescent="0.25">
      <c r="A2767" t="str">
        <f>"20190312164527063"</f>
        <v>20190312164527063</v>
      </c>
      <c r="B2767" t="str">
        <f>"1552380327054496"</f>
        <v>1552380327054496</v>
      </c>
      <c r="C2767" t="s">
        <v>40</v>
      </c>
      <c r="D2767">
        <v>4.8553189999999997</v>
      </c>
      <c r="E2767">
        <v>0.5224316</v>
      </c>
      <c r="F2767" t="s">
        <v>60</v>
      </c>
      <c r="G2767">
        <v>-168.41239999999999</v>
      </c>
      <c r="H2767">
        <v>5.2513069999999997</v>
      </c>
      <c r="I2767">
        <v>205.8383</v>
      </c>
      <c r="J2767">
        <v>-292.63920000000002</v>
      </c>
      <c r="K2767">
        <v>1.108892</v>
      </c>
      <c r="L2767">
        <v>213.8724</v>
      </c>
      <c r="M2767">
        <v>0.99989700000000004</v>
      </c>
      <c r="N2767">
        <v>0</v>
      </c>
      <c r="O2767">
        <v>1.6494289999999999E-4</v>
      </c>
      <c r="P2767">
        <v>0.9843035</v>
      </c>
      <c r="Q2767">
        <v>0.17604429999999999</v>
      </c>
      <c r="R2767">
        <v>-1.2464080000000001E-2</v>
      </c>
      <c r="S2767">
        <v>3.0271910000000002</v>
      </c>
      <c r="T2767">
        <v>0.10074519999999999</v>
      </c>
      <c r="U2767">
        <v>-0.1953888</v>
      </c>
      <c r="V2767">
        <v>1.262107E-2</v>
      </c>
      <c r="W2767">
        <v>0.19016130000000001</v>
      </c>
      <c r="X2767">
        <v>0.98167179999999998</v>
      </c>
      <c r="Y2767">
        <v>6.4539509999999994E-2</v>
      </c>
      <c r="Z2767">
        <v>1.078011E-3</v>
      </c>
      <c r="AA2767">
        <v>0.99791459999999998</v>
      </c>
      <c r="AB2767">
        <v>42</v>
      </c>
      <c r="AC2767">
        <v>124.2268</v>
      </c>
      <c r="AD2767">
        <v>4.1424149999999997</v>
      </c>
      <c r="AE2767">
        <v>-8.0340999999999898</v>
      </c>
      <c r="AF2767">
        <v>8.0456833726156098</v>
      </c>
      <c r="AG2767">
        <v>4.1424149999999997</v>
      </c>
      <c r="AH2767">
        <v>124.088070717189</v>
      </c>
      <c r="AI2767">
        <v>88.092016343718598</v>
      </c>
      <c r="AJ2767">
        <v>86.290220920967002</v>
      </c>
      <c r="AK2767">
        <v>124.41761096114401</v>
      </c>
      <c r="AL2767">
        <v>79.037803116162195</v>
      </c>
      <c r="AM2767">
        <v>89.263405341368298</v>
      </c>
      <c r="AN2767">
        <v>1.0000000671704301</v>
      </c>
    </row>
    <row r="2768" spans="1:40" x14ac:dyDescent="0.25">
      <c r="A2768" t="str">
        <f>"20190312164527076"</f>
        <v>20190312164527076</v>
      </c>
      <c r="B2768" t="str">
        <f>"1552380327064255"</f>
        <v>1552380327064255</v>
      </c>
      <c r="C2768" t="s">
        <v>40</v>
      </c>
      <c r="D2768">
        <v>4.8380979999999996</v>
      </c>
      <c r="E2768">
        <v>0.52248809999999901</v>
      </c>
      <c r="F2768" t="s">
        <v>60</v>
      </c>
      <c r="G2768">
        <v>-168.41249999999999</v>
      </c>
      <c r="H2768">
        <v>5.3190169999999997</v>
      </c>
      <c r="I2768">
        <v>205.81549999999999</v>
      </c>
      <c r="J2768">
        <v>-292.40309999999999</v>
      </c>
      <c r="K2768">
        <v>1.1088960000000001</v>
      </c>
      <c r="L2768">
        <v>213.8724</v>
      </c>
      <c r="M2768">
        <v>0.99989689999999998</v>
      </c>
      <c r="N2768">
        <v>0</v>
      </c>
      <c r="O2768">
        <v>1.7812500000000001E-4</v>
      </c>
      <c r="P2768">
        <v>0.98429690000000003</v>
      </c>
      <c r="Q2768">
        <v>0.1760796</v>
      </c>
      <c r="R2768">
        <v>-1.246331E-2</v>
      </c>
      <c r="S2768">
        <v>3.0270079999999999</v>
      </c>
      <c r="T2768">
        <v>0.1025881</v>
      </c>
      <c r="U2768">
        <v>-0.19631960000000001</v>
      </c>
      <c r="V2768">
        <v>1.2633439999999999E-2</v>
      </c>
      <c r="W2768">
        <v>0.19019449999999999</v>
      </c>
      <c r="X2768">
        <v>0.98166509999999996</v>
      </c>
      <c r="Y2768">
        <v>6.4860589999999996E-2</v>
      </c>
      <c r="Z2768">
        <v>1.1036539999999999E-3</v>
      </c>
      <c r="AA2768">
        <v>0.99789380000000005</v>
      </c>
      <c r="AB2768">
        <v>42</v>
      </c>
      <c r="AC2768">
        <v>123.9906</v>
      </c>
      <c r="AD2768">
        <v>4.210121</v>
      </c>
      <c r="AE2768">
        <v>-8.0569000000000095</v>
      </c>
      <c r="AF2768">
        <v>8.0697230826587099</v>
      </c>
      <c r="AG2768">
        <v>4.210121</v>
      </c>
      <c r="AH2768">
        <v>123.846973379476</v>
      </c>
      <c r="AI2768">
        <v>88.057122924188803</v>
      </c>
      <c r="AJ2768">
        <v>86.271944487742104</v>
      </c>
      <c r="AK2768">
        <v>124.18099035167199</v>
      </c>
      <c r="AL2768">
        <v>79.035864346361706</v>
      </c>
      <c r="AM2768">
        <v>89.2626784476615</v>
      </c>
      <c r="AN2768">
        <v>0.99999996009724501</v>
      </c>
    </row>
    <row r="2769" spans="1:40" x14ac:dyDescent="0.25">
      <c r="A2769" t="str">
        <f>"20190312164527093"</f>
        <v>20190312164527093</v>
      </c>
      <c r="B2769" t="str">
        <f>"1552380327084441"</f>
        <v>1552380327084441</v>
      </c>
      <c r="C2769" t="s">
        <v>40</v>
      </c>
      <c r="D2769">
        <v>4.4487779999999999</v>
      </c>
      <c r="E2769">
        <v>0.5226324</v>
      </c>
      <c r="F2769" t="s">
        <v>60</v>
      </c>
      <c r="G2769">
        <v>-168.41249999999999</v>
      </c>
      <c r="H2769">
        <v>5.3078310000000002</v>
      </c>
      <c r="I2769">
        <v>205.81970000000001</v>
      </c>
      <c r="J2769">
        <v>-292.08420000000001</v>
      </c>
      <c r="K2769">
        <v>1.1089009999999999</v>
      </c>
      <c r="L2769">
        <v>213.8725</v>
      </c>
      <c r="M2769">
        <v>0.99989700000000004</v>
      </c>
      <c r="N2769">
        <v>0</v>
      </c>
      <c r="O2769">
        <v>1.956614E-4</v>
      </c>
      <c r="P2769">
        <v>0.98419710000000005</v>
      </c>
      <c r="Q2769">
        <v>0.17660970000000001</v>
      </c>
      <c r="R2769">
        <v>-1.284734E-2</v>
      </c>
      <c r="S2769">
        <v>3.0270389999999998</v>
      </c>
      <c r="T2769">
        <v>0.1025113</v>
      </c>
      <c r="U2769">
        <v>-0.1965942</v>
      </c>
      <c r="V2769">
        <v>1.30347E-2</v>
      </c>
      <c r="W2769">
        <v>0.19072159999999999</v>
      </c>
      <c r="X2769">
        <v>0.98155760000000003</v>
      </c>
      <c r="Y2769">
        <v>6.4967590000000006E-2</v>
      </c>
      <c r="Z2769">
        <v>1.1052169999999999E-3</v>
      </c>
      <c r="AA2769">
        <v>0.99788679999999996</v>
      </c>
      <c r="AB2769">
        <v>42</v>
      </c>
      <c r="AC2769">
        <v>123.6717</v>
      </c>
      <c r="AD2769">
        <v>4.1989299999999998</v>
      </c>
      <c r="AE2769">
        <v>-8.0527999999999906</v>
      </c>
      <c r="AF2769">
        <v>8.0677392627571898</v>
      </c>
      <c r="AG2769">
        <v>4.1989299999999998</v>
      </c>
      <c r="AH2769">
        <v>123.52832528642701</v>
      </c>
      <c r="AI2769">
        <v>88.057307927669697</v>
      </c>
      <c r="AJ2769">
        <v>86.263271228686904</v>
      </c>
      <c r="AK2769">
        <v>123.862692438143</v>
      </c>
      <c r="AL2769">
        <v>79.005100809051399</v>
      </c>
      <c r="AM2769">
        <v>89.239179238167097</v>
      </c>
      <c r="AN2769">
        <v>0.99999997711420396</v>
      </c>
    </row>
    <row r="2770" spans="1:40" x14ac:dyDescent="0.25">
      <c r="A2770" t="str">
        <f>"20190312164527115"</f>
        <v>20190312164527115</v>
      </c>
      <c r="B2770" t="str">
        <f>"1552380327104939"</f>
        <v>1552380327104939</v>
      </c>
      <c r="C2770" t="s">
        <v>40</v>
      </c>
      <c r="D2770">
        <v>4.2177680000000004</v>
      </c>
      <c r="E2770">
        <v>0.50856080000000004</v>
      </c>
      <c r="F2770" t="s">
        <v>60</v>
      </c>
      <c r="G2770">
        <v>-168.41249999999999</v>
      </c>
      <c r="H2770">
        <v>5.3429529999999996</v>
      </c>
      <c r="I2770">
        <v>205.73859999999999</v>
      </c>
      <c r="J2770">
        <v>-291.67500000000001</v>
      </c>
      <c r="K2770">
        <v>1.1089059999999999</v>
      </c>
      <c r="L2770">
        <v>213.87260000000001</v>
      </c>
      <c r="M2770">
        <v>0.99989689999999998</v>
      </c>
      <c r="N2770">
        <v>0</v>
      </c>
      <c r="O2770">
        <v>2.184469E-4</v>
      </c>
      <c r="P2770">
        <v>0.984178</v>
      </c>
      <c r="Q2770">
        <v>0.17667729999999901</v>
      </c>
      <c r="R2770">
        <v>-1.3373990000000001E-2</v>
      </c>
      <c r="S2770">
        <v>3.0269469999999998</v>
      </c>
      <c r="T2770">
        <v>0.103632</v>
      </c>
      <c r="U2770">
        <v>-0.19908139999999999</v>
      </c>
      <c r="V2770">
        <v>1.3583680000000001E-2</v>
      </c>
      <c r="W2770">
        <v>0.1907867</v>
      </c>
      <c r="X2770">
        <v>0.98153749999999995</v>
      </c>
      <c r="Y2770">
        <v>6.5807400000000002E-2</v>
      </c>
      <c r="Z2770">
        <v>1.1324320000000001E-3</v>
      </c>
      <c r="AA2770">
        <v>0.99783169999999999</v>
      </c>
      <c r="AB2770">
        <v>42</v>
      </c>
      <c r="AC2770">
        <v>123.2625</v>
      </c>
      <c r="AD2770">
        <v>4.2340470000000003</v>
      </c>
      <c r="AE2770">
        <v>-8.1340000000000092</v>
      </c>
      <c r="AF2770">
        <v>8.1513527186874892</v>
      </c>
      <c r="AG2770">
        <v>4.2340470000000003</v>
      </c>
      <c r="AH2770">
        <v>123.116083784837</v>
      </c>
      <c r="AI2770">
        <v>88.034634498205193</v>
      </c>
      <c r="AJ2770">
        <v>86.2120508647902</v>
      </c>
      <c r="AK2770">
        <v>123.4582593092</v>
      </c>
      <c r="AL2770">
        <v>79.001301032078402</v>
      </c>
      <c r="AM2770">
        <v>89.207123667416695</v>
      </c>
      <c r="AN2770">
        <v>0.99999997258273998</v>
      </c>
    </row>
    <row r="2771" spans="1:40" x14ac:dyDescent="0.25">
      <c r="A2771" t="str">
        <f>"20190312164527137"</f>
        <v>20190312164527137</v>
      </c>
      <c r="B2771" t="str">
        <f>"1552380327124458"</f>
        <v>1552380327124458</v>
      </c>
      <c r="C2771" t="s">
        <v>40</v>
      </c>
      <c r="D2771">
        <v>4.6015519999999999</v>
      </c>
      <c r="E2771">
        <v>0.51334190000000002</v>
      </c>
      <c r="F2771" t="s">
        <v>47</v>
      </c>
      <c r="G2771">
        <v>-268.2971</v>
      </c>
      <c r="H2771" s="1">
        <v>2.936324E-6</v>
      </c>
      <c r="I2771">
        <v>213.29390000000001</v>
      </c>
      <c r="J2771">
        <v>-291.27460000000002</v>
      </c>
      <c r="K2771">
        <v>1.108903</v>
      </c>
      <c r="L2771">
        <v>213.87270000000001</v>
      </c>
      <c r="M2771">
        <v>0.99989709999999998</v>
      </c>
      <c r="N2771">
        <v>0</v>
      </c>
      <c r="O2771">
        <v>2.4051669999999999E-4</v>
      </c>
      <c r="P2771">
        <v>0.98417659999999996</v>
      </c>
      <c r="Q2771">
        <v>0.17667439999999901</v>
      </c>
      <c r="R2771">
        <v>-1.352167E-2</v>
      </c>
      <c r="S2771">
        <v>3.0733640000000002</v>
      </c>
      <c r="T2771">
        <v>-0.14578179999999999</v>
      </c>
      <c r="U2771">
        <v>-7.6080320000000007E-2</v>
      </c>
      <c r="V2771">
        <v>1.3753049999999999E-2</v>
      </c>
      <c r="W2771">
        <v>0.19078059999999999</v>
      </c>
      <c r="X2771">
        <v>0.98153630000000003</v>
      </c>
      <c r="Y2771">
        <v>2.4959309999999998E-2</v>
      </c>
      <c r="Z2771">
        <v>-6.0293769999999905E-4</v>
      </c>
      <c r="AA2771">
        <v>0.99968829999999997</v>
      </c>
      <c r="AB2771">
        <v>42</v>
      </c>
      <c r="AC2771">
        <v>22.977499999999999</v>
      </c>
      <c r="AD2771">
        <v>-1.108900063676</v>
      </c>
      <c r="AE2771">
        <v>-0.57880000000000098</v>
      </c>
      <c r="AF2771">
        <v>0.58297011732409998</v>
      </c>
      <c r="AG2771">
        <v>-1.108900063676</v>
      </c>
      <c r="AH2771">
        <v>22.924002762060699</v>
      </c>
      <c r="AI2771">
        <v>92.768509532520397</v>
      </c>
      <c r="AJ2771">
        <v>88.543250496043996</v>
      </c>
      <c r="AK2771">
        <v>22.958210212119798</v>
      </c>
      <c r="AL2771">
        <v>79.001656779767202</v>
      </c>
      <c r="AM2771">
        <v>89.197237883242593</v>
      </c>
      <c r="AN2771">
        <v>0.99999994596917396</v>
      </c>
    </row>
    <row r="2772" spans="1:40" x14ac:dyDescent="0.25">
      <c r="A2772" t="str">
        <f>"20190312164527152"</f>
        <v>20190312164527152</v>
      </c>
      <c r="B2772" t="str">
        <f>"1552380327143978"</f>
        <v>1552380327143978</v>
      </c>
      <c r="C2772" t="s">
        <v>40</v>
      </c>
      <c r="D2772">
        <v>4.7020720000000003</v>
      </c>
      <c r="E2772">
        <v>0.51380519999999996</v>
      </c>
      <c r="F2772" t="s">
        <v>47</v>
      </c>
      <c r="G2772">
        <v>-241.56489999999999</v>
      </c>
      <c r="H2772" s="1">
        <v>-5.8713869999999899E-7</v>
      </c>
      <c r="I2772">
        <v>211.9425</v>
      </c>
      <c r="J2772">
        <v>-290.98099999999999</v>
      </c>
      <c r="K2772">
        <v>1.108903</v>
      </c>
      <c r="L2772">
        <v>213.87280000000001</v>
      </c>
      <c r="M2772">
        <v>0.99989709999999998</v>
      </c>
      <c r="N2772">
        <v>0</v>
      </c>
      <c r="O2772">
        <v>2.5691800000000002E-4</v>
      </c>
      <c r="P2772">
        <v>0.98416890000000001</v>
      </c>
      <c r="Q2772">
        <v>0.17670820000000001</v>
      </c>
      <c r="R2772">
        <v>-1.364099E-2</v>
      </c>
      <c r="S2772">
        <v>3.0588069999999998</v>
      </c>
      <c r="T2772">
        <v>-6.8234680000000006E-2</v>
      </c>
      <c r="U2772">
        <v>-0.1187744</v>
      </c>
      <c r="V2772">
        <v>1.3888579999999999E-2</v>
      </c>
      <c r="W2772">
        <v>0.19081339999999999</v>
      </c>
      <c r="X2772">
        <v>0.98152810000000001</v>
      </c>
      <c r="Y2772">
        <v>3.9048050000000001E-2</v>
      </c>
      <c r="Z2772">
        <v>-4.410452E-4</v>
      </c>
      <c r="AA2772">
        <v>0.99923720000000005</v>
      </c>
      <c r="AB2772">
        <v>42</v>
      </c>
      <c r="AC2772">
        <v>49.4161</v>
      </c>
      <c r="AD2772">
        <v>-1.1089035871386901</v>
      </c>
      <c r="AE2772">
        <v>-1.9303000000000099</v>
      </c>
      <c r="AF2772">
        <v>1.9420206952453201</v>
      </c>
      <c r="AG2772">
        <v>-1.1089035871386901</v>
      </c>
      <c r="AH2772">
        <v>49.390769098551097</v>
      </c>
      <c r="AI2772">
        <v>91.285175188131802</v>
      </c>
      <c r="AJ2772">
        <v>87.748318098267802</v>
      </c>
      <c r="AK2772">
        <v>49.441371175289198</v>
      </c>
      <c r="AL2772">
        <v>78.999743229531504</v>
      </c>
      <c r="AM2772">
        <v>89.189321309651206</v>
      </c>
      <c r="AN2772">
        <v>1.0000000286817901</v>
      </c>
    </row>
    <row r="2773" spans="1:40" x14ac:dyDescent="0.25">
      <c r="A2773" t="str">
        <f>"20190312164527164"</f>
        <v>20190312164527164</v>
      </c>
      <c r="B2773" t="str">
        <f>"1552380327154714"</f>
        <v>1552380327154714</v>
      </c>
      <c r="C2773" t="s">
        <v>40</v>
      </c>
      <c r="D2773">
        <v>4.707967</v>
      </c>
      <c r="E2773">
        <v>0.51432739999999999</v>
      </c>
      <c r="F2773" t="s">
        <v>46</v>
      </c>
      <c r="G2773">
        <v>-176.13669999999999</v>
      </c>
      <c r="H2773">
        <v>8.0004720000000001E-2</v>
      </c>
      <c r="I2773">
        <v>209.16820000000001</v>
      </c>
      <c r="J2773">
        <v>-290.7475</v>
      </c>
      <c r="K2773">
        <v>1.1089039999999999</v>
      </c>
      <c r="L2773">
        <v>213.87289999999999</v>
      </c>
      <c r="M2773">
        <v>0.99989700000000004</v>
      </c>
      <c r="N2773">
        <v>0</v>
      </c>
      <c r="O2773">
        <v>2.6986240000000003E-4</v>
      </c>
      <c r="P2773">
        <v>0.98420819999999998</v>
      </c>
      <c r="Q2773">
        <v>0.17649879999999901</v>
      </c>
      <c r="R2773">
        <v>-1.3514160000000001E-2</v>
      </c>
      <c r="S2773">
        <v>3.0514220000000001</v>
      </c>
      <c r="T2773">
        <v>-2.733791E-2</v>
      </c>
      <c r="U2773">
        <v>-0.125</v>
      </c>
      <c r="V2773">
        <v>1.377455E-2</v>
      </c>
      <c r="W2773">
        <v>0.19060270000000001</v>
      </c>
      <c r="X2773">
        <v>0.98157059999999996</v>
      </c>
      <c r="Y2773">
        <v>4.1198180000000001E-2</v>
      </c>
      <c r="Z2773">
        <v>-1.8688449999999999E-4</v>
      </c>
      <c r="AA2773">
        <v>0.99915100000000001</v>
      </c>
      <c r="AB2773">
        <v>42</v>
      </c>
      <c r="AC2773">
        <v>114.6108</v>
      </c>
      <c r="AD2773">
        <v>-1.0288992800000001</v>
      </c>
      <c r="AE2773">
        <v>-4.7046999999999697</v>
      </c>
      <c r="AF2773">
        <v>4.7352511753474902</v>
      </c>
      <c r="AG2773">
        <v>-1.0288992800000001</v>
      </c>
      <c r="AH2773">
        <v>114.600305684912</v>
      </c>
      <c r="AI2773">
        <v>90.513958020208094</v>
      </c>
      <c r="AJ2773">
        <v>87.633901065814698</v>
      </c>
      <c r="AK2773">
        <v>114.702708339853</v>
      </c>
      <c r="AL2773">
        <v>79.012040671748693</v>
      </c>
      <c r="AM2773">
        <v>89.196011190065207</v>
      </c>
      <c r="AN2773">
        <v>0.99999998512967603</v>
      </c>
    </row>
    <row r="2774" spans="1:40" x14ac:dyDescent="0.25">
      <c r="A2774" t="str">
        <f>"20190312164527177"</f>
        <v>20190312164527177</v>
      </c>
      <c r="B2774" t="str">
        <f>"1552380327174234"</f>
        <v>1552380327174234</v>
      </c>
      <c r="C2774" t="s">
        <v>40</v>
      </c>
      <c r="D2774">
        <v>4.590541</v>
      </c>
      <c r="E2774">
        <v>0.5151076</v>
      </c>
      <c r="F2774" t="s">
        <v>60</v>
      </c>
      <c r="G2774">
        <v>-169.39259999999999</v>
      </c>
      <c r="H2774">
        <v>0.56337550000000003</v>
      </c>
      <c r="I2774">
        <v>208.72069999999999</v>
      </c>
      <c r="J2774">
        <v>-290.51760000000002</v>
      </c>
      <c r="K2774">
        <v>1.1089089999999999</v>
      </c>
      <c r="L2774">
        <v>213.87289999999999</v>
      </c>
      <c r="M2774">
        <v>0.99989720000000004</v>
      </c>
      <c r="N2774">
        <v>0</v>
      </c>
      <c r="O2774">
        <v>2.8268629999999998E-4</v>
      </c>
      <c r="P2774">
        <v>0.98421910000000001</v>
      </c>
      <c r="Q2774">
        <v>0.17644199999999999</v>
      </c>
      <c r="R2774">
        <v>-1.3473779999999999E-2</v>
      </c>
      <c r="S2774">
        <v>3.0488590000000002</v>
      </c>
      <c r="T2774">
        <v>-1.370466E-2</v>
      </c>
      <c r="U2774">
        <v>-0.12944030000000001</v>
      </c>
      <c r="V2774">
        <v>1.374672E-2</v>
      </c>
      <c r="W2774">
        <v>0.19054470000000001</v>
      </c>
      <c r="X2774">
        <v>0.98158230000000002</v>
      </c>
      <c r="Y2774">
        <v>4.2699149999999998E-2</v>
      </c>
      <c r="Z2774" s="1">
        <v>-9.7193129999999998E-5</v>
      </c>
      <c r="AA2774">
        <v>0.99908799999999998</v>
      </c>
      <c r="AB2774">
        <v>42</v>
      </c>
      <c r="AC2774">
        <v>121.125</v>
      </c>
      <c r="AD2774">
        <v>-0.54553349999999901</v>
      </c>
      <c r="AE2774">
        <v>-5.1521999999999899</v>
      </c>
      <c r="AF2774">
        <v>5.1863386761535599</v>
      </c>
      <c r="AG2774">
        <v>-0.54553349999999901</v>
      </c>
      <c r="AH2774">
        <v>121.121086048031</v>
      </c>
      <c r="AI2774">
        <v>90.257824149273205</v>
      </c>
      <c r="AJ2774">
        <v>87.5481238278756</v>
      </c>
      <c r="AK2774">
        <v>121.233300710316</v>
      </c>
      <c r="AL2774">
        <v>79.015426404037399</v>
      </c>
      <c r="AM2774">
        <v>89.197644913155202</v>
      </c>
      <c r="AN2774">
        <v>1.0000000333410599</v>
      </c>
    </row>
    <row r="2775" spans="1:40" x14ac:dyDescent="0.25">
      <c r="A2775" t="str">
        <f>"20190312164527193"</f>
        <v>20190312164527193</v>
      </c>
      <c r="B2775" t="str">
        <f>"1552380327184635"</f>
        <v>1552380327184635</v>
      </c>
      <c r="C2775" t="s">
        <v>40</v>
      </c>
      <c r="D2775">
        <v>4.7182740000000001</v>
      </c>
      <c r="E2775">
        <v>0.51537840000000001</v>
      </c>
      <c r="F2775" t="s">
        <v>60</v>
      </c>
      <c r="G2775">
        <v>-169.393</v>
      </c>
      <c r="H2775">
        <v>1.407845</v>
      </c>
      <c r="I2775">
        <v>208.4392</v>
      </c>
      <c r="J2775">
        <v>-290.23</v>
      </c>
      <c r="K2775">
        <v>1.1089100000000001</v>
      </c>
      <c r="L2775">
        <v>213.87299999999999</v>
      </c>
      <c r="M2775">
        <v>0.99989720000000004</v>
      </c>
      <c r="N2775">
        <v>0</v>
      </c>
      <c r="O2775">
        <v>2.9855220000000001E-4</v>
      </c>
      <c r="P2775">
        <v>0.98420260000000004</v>
      </c>
      <c r="Q2775">
        <v>0.17652039999999999</v>
      </c>
      <c r="R2775">
        <v>-1.364639E-2</v>
      </c>
      <c r="S2775">
        <v>3.0448909999999998</v>
      </c>
      <c r="T2775">
        <v>7.515669E-3</v>
      </c>
      <c r="U2775">
        <v>-0.13659669999999999</v>
      </c>
      <c r="V2775">
        <v>1.393497E-2</v>
      </c>
      <c r="W2775">
        <v>0.1906215</v>
      </c>
      <c r="X2775">
        <v>0.98156469999999996</v>
      </c>
      <c r="Y2775">
        <v>4.5114019999999998E-2</v>
      </c>
      <c r="Z2775" s="1">
        <v>5.6385760000000002E-5</v>
      </c>
      <c r="AA2775">
        <v>0.99898180000000003</v>
      </c>
      <c r="AB2775">
        <v>41</v>
      </c>
      <c r="AC2775">
        <v>120.837</v>
      </c>
      <c r="AD2775">
        <v>0.29893499999999901</v>
      </c>
      <c r="AE2775">
        <v>-5.43379999999999</v>
      </c>
      <c r="AF2775">
        <v>5.4698462093001403</v>
      </c>
      <c r="AG2775">
        <v>0.29893499999999901</v>
      </c>
      <c r="AH2775">
        <v>120.834634154515</v>
      </c>
      <c r="AI2775">
        <v>89.858400220374307</v>
      </c>
      <c r="AJ2775">
        <v>87.408149548680001</v>
      </c>
      <c r="AK2775">
        <v>120.95874251555</v>
      </c>
      <c r="AL2775">
        <v>79.010943558043607</v>
      </c>
      <c r="AM2775">
        <v>89.186644205920601</v>
      </c>
      <c r="AN2775">
        <v>0.99999999996861999</v>
      </c>
    </row>
    <row r="2776" spans="1:40" x14ac:dyDescent="0.25">
      <c r="A2776" t="str">
        <f>"20190312164527209"</f>
        <v>20190312164527209</v>
      </c>
      <c r="B2776" t="str">
        <f>"1552380327204156"</f>
        <v>1552380327204156</v>
      </c>
      <c r="C2776" t="s">
        <v>40</v>
      </c>
      <c r="D2776">
        <v>4.783588</v>
      </c>
      <c r="E2776">
        <v>0.51570579999999999</v>
      </c>
      <c r="F2776" t="s">
        <v>60</v>
      </c>
      <c r="G2776">
        <v>-169.3931</v>
      </c>
      <c r="H2776">
        <v>1.70835299999999</v>
      </c>
      <c r="I2776">
        <v>208.3322</v>
      </c>
      <c r="J2776">
        <v>-289.9391</v>
      </c>
      <c r="K2776">
        <v>1.1089150000000001</v>
      </c>
      <c r="L2776">
        <v>213.87309999999999</v>
      </c>
      <c r="M2776">
        <v>0.99989720000000004</v>
      </c>
      <c r="N2776">
        <v>0</v>
      </c>
      <c r="O2776">
        <v>3.1489570000000001E-4</v>
      </c>
      <c r="P2776">
        <v>0.98418119999999998</v>
      </c>
      <c r="Q2776">
        <v>0.1766395</v>
      </c>
      <c r="R2776">
        <v>-1.3643580000000001E-2</v>
      </c>
      <c r="S2776">
        <v>3.0435180000000002</v>
      </c>
      <c r="T2776">
        <v>1.5099049999999999E-2</v>
      </c>
      <c r="U2776">
        <v>-0.13955689999999901</v>
      </c>
      <c r="V2776">
        <v>1.394833E-2</v>
      </c>
      <c r="W2776">
        <v>0.19073799999999999</v>
      </c>
      <c r="X2776">
        <v>0.98154189999999997</v>
      </c>
      <c r="Y2776">
        <v>4.6119689999999998E-2</v>
      </c>
      <c r="Z2776">
        <v>1.159019E-4</v>
      </c>
      <c r="AA2776">
        <v>0.99893589999999999</v>
      </c>
      <c r="AB2776">
        <v>41</v>
      </c>
      <c r="AC2776">
        <v>120.54600000000001</v>
      </c>
      <c r="AD2776">
        <v>0.59943799999999903</v>
      </c>
      <c r="AE2776">
        <v>-5.5408999999999899</v>
      </c>
      <c r="AF2776">
        <v>5.5787253850712197</v>
      </c>
      <c r="AG2776">
        <v>0.59943799999999903</v>
      </c>
      <c r="AH2776">
        <v>120.54127461851</v>
      </c>
      <c r="AI2776">
        <v>89.715381620369698</v>
      </c>
      <c r="AJ2776">
        <v>87.350206363592307</v>
      </c>
      <c r="AK2776">
        <v>120.671787877253</v>
      </c>
      <c r="AL2776">
        <v>79.004144074722902</v>
      </c>
      <c r="AM2776">
        <v>89.185845606051004</v>
      </c>
      <c r="AN2776">
        <v>1.00000002100469</v>
      </c>
    </row>
    <row r="2777" spans="1:40" x14ac:dyDescent="0.25">
      <c r="A2777" t="str">
        <f>"20190312164527226"</f>
        <v>20190312164527226</v>
      </c>
      <c r="B2777" t="str">
        <f>"1552380327214893"</f>
        <v>1552380327214893</v>
      </c>
      <c r="C2777" t="s">
        <v>40</v>
      </c>
      <c r="D2777">
        <v>4.7570410000000001</v>
      </c>
      <c r="E2777">
        <v>0.51583159999999995</v>
      </c>
      <c r="F2777" t="s">
        <v>60</v>
      </c>
      <c r="G2777">
        <v>-169.39330000000001</v>
      </c>
      <c r="H2777">
        <v>2.094347</v>
      </c>
      <c r="I2777">
        <v>208.21780000000001</v>
      </c>
      <c r="J2777">
        <v>-289.6191</v>
      </c>
      <c r="K2777">
        <v>1.108916</v>
      </c>
      <c r="L2777">
        <v>213.8732</v>
      </c>
      <c r="M2777">
        <v>0.99989709999999998</v>
      </c>
      <c r="N2777">
        <v>0</v>
      </c>
      <c r="O2777">
        <v>3.3296919999999998E-4</v>
      </c>
      <c r="P2777">
        <v>0.9841702</v>
      </c>
      <c r="Q2777">
        <v>0.17671429999999999</v>
      </c>
      <c r="R2777">
        <v>-1.3469790000000001E-2</v>
      </c>
      <c r="S2777">
        <v>3.0417179999999999</v>
      </c>
      <c r="T2777">
        <v>2.4866220000000001E-2</v>
      </c>
      <c r="U2777">
        <v>-0.1427002</v>
      </c>
      <c r="V2777">
        <v>1.3792169999999999E-2</v>
      </c>
      <c r="W2777">
        <v>0.1908106</v>
      </c>
      <c r="X2777">
        <v>0.98153000000000001</v>
      </c>
      <c r="Y2777">
        <v>4.7193859999999997E-2</v>
      </c>
      <c r="Z2777">
        <v>1.9551780000000001E-4</v>
      </c>
      <c r="AA2777">
        <v>0.99888580000000005</v>
      </c>
      <c r="AB2777">
        <v>41</v>
      </c>
      <c r="AC2777">
        <v>120.22580000000001</v>
      </c>
      <c r="AD2777">
        <v>0.98543099999999995</v>
      </c>
      <c r="AE2777">
        <v>-5.6553999999999798</v>
      </c>
      <c r="AF2777">
        <v>5.69505352831679</v>
      </c>
      <c r="AG2777">
        <v>0.98543099999999995</v>
      </c>
      <c r="AH2777">
        <v>120.215851479189</v>
      </c>
      <c r="AI2777">
        <v>89.530872790394895</v>
      </c>
      <c r="AJ2777">
        <v>87.287722430666705</v>
      </c>
      <c r="AK2777">
        <v>120.354707659537</v>
      </c>
      <c r="AL2777">
        <v>78.999906619072803</v>
      </c>
      <c r="AM2777">
        <v>89.194949592097601</v>
      </c>
      <c r="AN2777">
        <v>1.00000002496283</v>
      </c>
    </row>
    <row r="2778" spans="1:40" x14ac:dyDescent="0.25">
      <c r="A2778" t="str">
        <f>"20190312164527241"</f>
        <v>20190312164527241</v>
      </c>
      <c r="B2778" t="str">
        <f>"1552380327234412"</f>
        <v>1552380327234412</v>
      </c>
      <c r="C2778" t="s">
        <v>40</v>
      </c>
      <c r="D2778">
        <v>4.3282619999999996</v>
      </c>
      <c r="E2778">
        <v>0.51598659999999996</v>
      </c>
      <c r="F2778" t="s">
        <v>60</v>
      </c>
      <c r="G2778">
        <v>-169.39330000000001</v>
      </c>
      <c r="H2778">
        <v>2.2566109999999999</v>
      </c>
      <c r="I2778">
        <v>208.2251</v>
      </c>
      <c r="J2778">
        <v>-289.33350000000002</v>
      </c>
      <c r="K2778">
        <v>1.1089180000000001</v>
      </c>
      <c r="L2778">
        <v>213.8733</v>
      </c>
      <c r="M2778">
        <v>0.99989720000000004</v>
      </c>
      <c r="N2778">
        <v>0</v>
      </c>
      <c r="O2778">
        <v>3.4865900000000002E-4</v>
      </c>
      <c r="P2778">
        <v>0.9841588</v>
      </c>
      <c r="Q2778">
        <v>0.1767744</v>
      </c>
      <c r="R2778">
        <v>-1.350675E-2</v>
      </c>
      <c r="S2778">
        <v>3.041077</v>
      </c>
      <c r="T2778">
        <v>2.9031520000000002E-2</v>
      </c>
      <c r="U2778">
        <v>-0.14286799999999999</v>
      </c>
      <c r="V2778">
        <v>1.384473E-2</v>
      </c>
      <c r="W2778">
        <v>0.1908686</v>
      </c>
      <c r="X2778">
        <v>0.981518</v>
      </c>
      <c r="Y2778">
        <v>4.7273809999999999E-2</v>
      </c>
      <c r="Z2778">
        <v>2.288461E-4</v>
      </c>
      <c r="AA2778">
        <v>0.99888189999999999</v>
      </c>
      <c r="AB2778">
        <v>41</v>
      </c>
      <c r="AC2778">
        <v>119.9402</v>
      </c>
      <c r="AD2778">
        <v>1.1476930000000001</v>
      </c>
      <c r="AE2778">
        <v>-5.6482000000000001</v>
      </c>
      <c r="AF2778">
        <v>5.68950238614722</v>
      </c>
      <c r="AG2778">
        <v>1.1476930000000001</v>
      </c>
      <c r="AH2778">
        <v>119.927266559405</v>
      </c>
      <c r="AI2778">
        <v>89.452317298826998</v>
      </c>
      <c r="AJ2778">
        <v>87.283851690475601</v>
      </c>
      <c r="AK2778">
        <v>120.067634694096</v>
      </c>
      <c r="AL2778">
        <v>78.996521431071599</v>
      </c>
      <c r="AM2778">
        <v>89.191872186768094</v>
      </c>
      <c r="AN2778">
        <v>1.00000004166936</v>
      </c>
    </row>
    <row r="2779" spans="1:40" x14ac:dyDescent="0.25">
      <c r="A2779" t="str">
        <f>"20190312164527253"</f>
        <v>20190312164527253</v>
      </c>
      <c r="B2779" t="str">
        <f>"1552380327244172"</f>
        <v>1552380327244172</v>
      </c>
      <c r="C2779" t="s">
        <v>40</v>
      </c>
      <c r="D2779">
        <v>4.7729189999999999</v>
      </c>
      <c r="E2779">
        <v>0.51604680000000003</v>
      </c>
      <c r="F2779" t="s">
        <v>60</v>
      </c>
      <c r="G2779">
        <v>-168.41079999999999</v>
      </c>
      <c r="H2779">
        <v>2.5185469999999999</v>
      </c>
      <c r="I2779">
        <v>208.1266</v>
      </c>
      <c r="J2779">
        <v>-289.1035</v>
      </c>
      <c r="K2779">
        <v>1.1089180000000001</v>
      </c>
      <c r="L2779">
        <v>213.8734</v>
      </c>
      <c r="M2779">
        <v>0.99989720000000004</v>
      </c>
      <c r="N2779">
        <v>0</v>
      </c>
      <c r="O2779">
        <v>3.6148400000000002E-4</v>
      </c>
      <c r="P2779">
        <v>0.98418119999999998</v>
      </c>
      <c r="Q2779">
        <v>0.1766626</v>
      </c>
      <c r="R2779">
        <v>-1.3334250000000001E-2</v>
      </c>
      <c r="S2779">
        <v>3.0399479999999999</v>
      </c>
      <c r="T2779">
        <v>3.5438299999999999E-2</v>
      </c>
      <c r="U2779">
        <v>-0.14447019999999999</v>
      </c>
      <c r="V2779">
        <v>1.3684740000000001E-2</v>
      </c>
      <c r="W2779">
        <v>0.1907558</v>
      </c>
      <c r="X2779">
        <v>0.98154209999999997</v>
      </c>
      <c r="Y2779">
        <v>4.7828179999999998E-2</v>
      </c>
      <c r="Z2779">
        <v>2.8282459999999998E-4</v>
      </c>
      <c r="AA2779">
        <v>0.99885550000000001</v>
      </c>
      <c r="AB2779">
        <v>41</v>
      </c>
      <c r="AC2779">
        <v>120.6927</v>
      </c>
      <c r="AD2779">
        <v>1.409629</v>
      </c>
      <c r="AE2779">
        <v>-5.7468000000000004</v>
      </c>
      <c r="AF2779">
        <v>5.7896446055175499</v>
      </c>
      <c r="AG2779">
        <v>1.409629</v>
      </c>
      <c r="AH2779">
        <v>120.674190538883</v>
      </c>
      <c r="AI2779">
        <v>89.331511264900499</v>
      </c>
      <c r="AJ2779">
        <v>87.253198662466701</v>
      </c>
      <c r="AK2779">
        <v>120.821220407635</v>
      </c>
      <c r="AL2779">
        <v>79.003104574136202</v>
      </c>
      <c r="AM2779">
        <v>89.201229322498804</v>
      </c>
      <c r="AN2779">
        <v>0.99999997070745805</v>
      </c>
    </row>
    <row r="2780" spans="1:40" x14ac:dyDescent="0.25">
      <c r="A2780" t="str">
        <f>"20190312164527266"</f>
        <v>20190312164527266</v>
      </c>
      <c r="B2780" t="str">
        <f>"1552380327254909"</f>
        <v>1552380327254909</v>
      </c>
      <c r="C2780" t="s">
        <v>40</v>
      </c>
      <c r="D2780">
        <v>4.3283399999999999</v>
      </c>
      <c r="E2780">
        <v>0.51610429999999996</v>
      </c>
      <c r="F2780" t="s">
        <v>60</v>
      </c>
      <c r="G2780">
        <v>-168.41079999999999</v>
      </c>
      <c r="H2780">
        <v>2.6030449999999998</v>
      </c>
      <c r="I2780">
        <v>208.1326</v>
      </c>
      <c r="J2780">
        <v>-288.87240000000003</v>
      </c>
      <c r="K2780">
        <v>1.1089180000000001</v>
      </c>
      <c r="L2780">
        <v>213.87350000000001</v>
      </c>
      <c r="M2780">
        <v>0.99989720000000004</v>
      </c>
      <c r="N2780">
        <v>0</v>
      </c>
      <c r="O2780">
        <v>3.7448610000000003E-4</v>
      </c>
      <c r="P2780">
        <v>0.98417750000000004</v>
      </c>
      <c r="Q2780">
        <v>0.17668410000000001</v>
      </c>
      <c r="R2780">
        <v>-1.332329E-2</v>
      </c>
      <c r="S2780">
        <v>3.0395509999999999</v>
      </c>
      <c r="T2780">
        <v>3.7629250000000003E-2</v>
      </c>
      <c r="U2780">
        <v>-0.14457700000000001</v>
      </c>
      <c r="V2780">
        <v>1.368667E-2</v>
      </c>
      <c r="W2780">
        <v>0.19077549999999999</v>
      </c>
      <c r="X2780">
        <v>0.98153829999999997</v>
      </c>
      <c r="Y2780">
        <v>4.788195E-2</v>
      </c>
      <c r="Z2780">
        <v>3.008412E-4</v>
      </c>
      <c r="AA2780">
        <v>0.99885299999999999</v>
      </c>
      <c r="AB2780">
        <v>41</v>
      </c>
      <c r="AC2780">
        <v>120.4616</v>
      </c>
      <c r="AD2780">
        <v>1.494127</v>
      </c>
      <c r="AE2780">
        <v>-5.7409000000000097</v>
      </c>
      <c r="AF2780">
        <v>5.7851274422891299</v>
      </c>
      <c r="AG2780">
        <v>1.494127</v>
      </c>
      <c r="AH2780">
        <v>120.440954432624</v>
      </c>
      <c r="AI2780">
        <v>89.2900736176029</v>
      </c>
      <c r="AJ2780">
        <v>87.250031541552104</v>
      </c>
      <c r="AK2780">
        <v>120.589069237876</v>
      </c>
      <c r="AL2780">
        <v>79.001955339544907</v>
      </c>
      <c r="AM2780">
        <v>89.201113591614103</v>
      </c>
      <c r="AN2780">
        <v>1.0000000253514101</v>
      </c>
    </row>
    <row r="2781" spans="1:40" x14ac:dyDescent="0.25">
      <c r="A2781" t="str">
        <f>"20190312164527283"</f>
        <v>20190312164527283</v>
      </c>
      <c r="B2781" t="str">
        <f>"1552380327274428"</f>
        <v>1552380327274428</v>
      </c>
      <c r="C2781" t="s">
        <v>40</v>
      </c>
      <c r="D2781">
        <v>4.5333750000000004</v>
      </c>
      <c r="E2781">
        <v>0.5162118</v>
      </c>
      <c r="F2781" t="s">
        <v>60</v>
      </c>
      <c r="G2781">
        <v>-168.41079999999999</v>
      </c>
      <c r="H2781">
        <v>2.7276129999999998</v>
      </c>
      <c r="I2781">
        <v>208.11670000000001</v>
      </c>
      <c r="J2781">
        <v>-288.56130000000002</v>
      </c>
      <c r="K2781">
        <v>1.108908</v>
      </c>
      <c r="L2781">
        <v>213.87370000000001</v>
      </c>
      <c r="M2781">
        <v>0.99989729999999999</v>
      </c>
      <c r="N2781">
        <v>0</v>
      </c>
      <c r="O2781">
        <v>3.9166560000000001E-4</v>
      </c>
      <c r="P2781">
        <v>0.98422690000000002</v>
      </c>
      <c r="Q2781">
        <v>0.176427799999999</v>
      </c>
      <c r="R2781">
        <v>-1.307754E-2</v>
      </c>
      <c r="S2781">
        <v>3.0390009999999998</v>
      </c>
      <c r="T2781">
        <v>4.0837289999999998E-2</v>
      </c>
      <c r="U2781">
        <v>-0.14523320000000001</v>
      </c>
      <c r="V2781">
        <v>1.345785E-2</v>
      </c>
      <c r="W2781">
        <v>0.19051850000000001</v>
      </c>
      <c r="X2781">
        <v>0.98159130000000006</v>
      </c>
      <c r="Y2781">
        <v>4.8122169999999999E-2</v>
      </c>
      <c r="Z2781">
        <v>3.2838790000000001E-4</v>
      </c>
      <c r="AA2781">
        <v>0.99884139999999999</v>
      </c>
      <c r="AB2781">
        <v>41</v>
      </c>
      <c r="AC2781">
        <v>120.15049999999999</v>
      </c>
      <c r="AD2781">
        <v>1.6187050000000001</v>
      </c>
      <c r="AE2781">
        <v>-5.7569999999999997</v>
      </c>
      <c r="AF2781">
        <v>5.8030123532013</v>
      </c>
      <c r="AG2781">
        <v>1.6187050000000001</v>
      </c>
      <c r="AH2781">
        <v>120.126482335245</v>
      </c>
      <c r="AI2781">
        <v>89.228884895237499</v>
      </c>
      <c r="AJ2781">
        <v>87.234333028584203</v>
      </c>
      <c r="AK2781">
        <v>120.277458056314</v>
      </c>
      <c r="AL2781">
        <v>79.016954599308505</v>
      </c>
      <c r="AM2781">
        <v>89.214510460277793</v>
      </c>
      <c r="AN2781">
        <v>0.99999994640227896</v>
      </c>
    </row>
    <row r="2782" spans="1:40" x14ac:dyDescent="0.25">
      <c r="A2782" t="str">
        <f>"20190312164527306"</f>
        <v>20190312164527306</v>
      </c>
      <c r="B2782" t="str">
        <f>"1552380327294471"</f>
        <v>1552380327294471</v>
      </c>
      <c r="C2782" t="s">
        <v>40</v>
      </c>
      <c r="D2782">
        <v>4.57585</v>
      </c>
      <c r="E2782">
        <v>0.51627970000000001</v>
      </c>
      <c r="F2782" t="s">
        <v>60</v>
      </c>
      <c r="G2782">
        <v>-168.4109</v>
      </c>
      <c r="H2782">
        <v>2.865866</v>
      </c>
      <c r="I2782">
        <v>208.11449999999999</v>
      </c>
      <c r="J2782">
        <v>-288.1644</v>
      </c>
      <c r="K2782">
        <v>1.1089119999999999</v>
      </c>
      <c r="L2782">
        <v>213.87379999999999</v>
      </c>
      <c r="M2782">
        <v>0.99989729999999999</v>
      </c>
      <c r="N2782">
        <v>0</v>
      </c>
      <c r="O2782">
        <v>4.1373560000000002E-4</v>
      </c>
      <c r="P2782">
        <v>0.98426420000000003</v>
      </c>
      <c r="Q2782">
        <v>0.17621239999999999</v>
      </c>
      <c r="R2782">
        <v>-1.315616E-2</v>
      </c>
      <c r="S2782">
        <v>3.0381770000000001</v>
      </c>
      <c r="T2782">
        <v>4.442811E-2</v>
      </c>
      <c r="U2782">
        <v>-0.14562990000000001</v>
      </c>
      <c r="V2782">
        <v>1.3558539999999999E-2</v>
      </c>
      <c r="W2782">
        <v>0.19030079999999999</v>
      </c>
      <c r="X2782">
        <v>0.98163219999999995</v>
      </c>
      <c r="Y2782">
        <v>4.8286429999999998E-2</v>
      </c>
      <c r="Z2782">
        <v>3.5887860000000002E-4</v>
      </c>
      <c r="AA2782">
        <v>0.99883350000000004</v>
      </c>
      <c r="AB2782">
        <v>41</v>
      </c>
      <c r="AC2782">
        <v>119.7535</v>
      </c>
      <c r="AD2782">
        <v>1.7569539999999999</v>
      </c>
      <c r="AE2782">
        <v>-5.7592999999999899</v>
      </c>
      <c r="AF2782">
        <v>5.8076036724093001</v>
      </c>
      <c r="AG2782">
        <v>1.7569539999999999</v>
      </c>
      <c r="AH2782">
        <v>119.725395183318</v>
      </c>
      <c r="AI2782">
        <v>89.160239779202698</v>
      </c>
      <c r="AJ2782">
        <v>87.222890270415505</v>
      </c>
      <c r="AK2782">
        <v>119.879044872636</v>
      </c>
      <c r="AL2782">
        <v>79.029660967004105</v>
      </c>
      <c r="AM2782">
        <v>89.208667235817003</v>
      </c>
      <c r="AN2782">
        <v>1.0000000022822</v>
      </c>
    </row>
    <row r="2783" spans="1:40" x14ac:dyDescent="0.25">
      <c r="A2783" t="str">
        <f>"20190312164527326"</f>
        <v>20190312164527326</v>
      </c>
      <c r="B2783" t="str">
        <f>"1552380327313991"</f>
        <v>1552380327313991</v>
      </c>
      <c r="C2783" t="s">
        <v>40</v>
      </c>
      <c r="D2783">
        <v>4.3244350000000003</v>
      </c>
      <c r="E2783">
        <v>0.51636870000000001</v>
      </c>
      <c r="F2783" t="s">
        <v>60</v>
      </c>
      <c r="G2783">
        <v>-168.4109</v>
      </c>
      <c r="H2783">
        <v>2.9709469999999998</v>
      </c>
      <c r="I2783">
        <v>208.08670000000001</v>
      </c>
      <c r="J2783">
        <v>-287.76490000000001</v>
      </c>
      <c r="K2783">
        <v>1.108914</v>
      </c>
      <c r="L2783">
        <v>213.874</v>
      </c>
      <c r="M2783">
        <v>0.99989720000000004</v>
      </c>
      <c r="N2783">
        <v>0</v>
      </c>
      <c r="O2783">
        <v>4.3622220000000001E-4</v>
      </c>
      <c r="P2783">
        <v>0.98423559999999999</v>
      </c>
      <c r="Q2783">
        <v>0.1763728</v>
      </c>
      <c r="R2783">
        <v>-1.3142259999999999E-2</v>
      </c>
      <c r="S2783">
        <v>3.037506</v>
      </c>
      <c r="T2783">
        <v>4.7230840000000003E-2</v>
      </c>
      <c r="U2783">
        <v>-0.14678959999999999</v>
      </c>
      <c r="V2783">
        <v>1.356651E-2</v>
      </c>
      <c r="W2783">
        <v>0.19045809999999999</v>
      </c>
      <c r="X2783">
        <v>0.98160159999999996</v>
      </c>
      <c r="Y2783">
        <v>4.8699190000000003E-2</v>
      </c>
      <c r="Z2783">
        <v>3.8515270000000001E-4</v>
      </c>
      <c r="AA2783">
        <v>0.99881339999999996</v>
      </c>
      <c r="AB2783">
        <v>41</v>
      </c>
      <c r="AC2783">
        <v>119.354</v>
      </c>
      <c r="AD2783">
        <v>1.862033</v>
      </c>
      <c r="AE2783">
        <v>-5.7873000000000099</v>
      </c>
      <c r="AF2783">
        <v>5.8379521016417897</v>
      </c>
      <c r="AG2783">
        <v>1.862033</v>
      </c>
      <c r="AH2783">
        <v>119.322490183607</v>
      </c>
      <c r="AI2783">
        <v>89.107037213148999</v>
      </c>
      <c r="AJ2783">
        <v>87.198989856261093</v>
      </c>
      <c r="AK2783">
        <v>119.479728469942</v>
      </c>
      <c r="AL2783">
        <v>79.020480626634793</v>
      </c>
      <c r="AM2783">
        <v>89.208177452683401</v>
      </c>
      <c r="AN2783">
        <v>1.00000001958587</v>
      </c>
    </row>
    <row r="2784" spans="1:40" x14ac:dyDescent="0.25">
      <c r="A2784" t="str">
        <f>"20190312164527342"</f>
        <v>20190312164527342</v>
      </c>
      <c r="B2784" t="str">
        <f>"1552380327334487"</f>
        <v>1552380327334487</v>
      </c>
      <c r="C2784" t="s">
        <v>40</v>
      </c>
      <c r="D2784">
        <v>4.3240509999999999</v>
      </c>
      <c r="E2784">
        <v>0.51651689999999995</v>
      </c>
      <c r="F2784" t="s">
        <v>60</v>
      </c>
      <c r="G2784">
        <v>-168.41099999999901</v>
      </c>
      <c r="H2784">
        <v>3.1477659999999998</v>
      </c>
      <c r="I2784">
        <v>208.08080000000001</v>
      </c>
      <c r="J2784">
        <v>-287.48090000000002</v>
      </c>
      <c r="K2784">
        <v>1.10891299999999</v>
      </c>
      <c r="L2784">
        <v>213.8742</v>
      </c>
      <c r="M2784">
        <v>0.99989720000000004</v>
      </c>
      <c r="N2784">
        <v>0</v>
      </c>
      <c r="O2784">
        <v>4.5202840000000002E-4</v>
      </c>
      <c r="P2784">
        <v>0.98422909999999997</v>
      </c>
      <c r="Q2784">
        <v>0.1764107</v>
      </c>
      <c r="R2784">
        <v>-1.313811E-2</v>
      </c>
      <c r="S2784">
        <v>3.0367739999999999</v>
      </c>
      <c r="T2784">
        <v>5.1876310000000002E-2</v>
      </c>
      <c r="U2784">
        <v>-0.1473999</v>
      </c>
      <c r="V2784">
        <v>1.357789E-2</v>
      </c>
      <c r="W2784">
        <v>0.1904941</v>
      </c>
      <c r="X2784">
        <v>0.98159439999999998</v>
      </c>
      <c r="Y2784">
        <v>4.89256E-2</v>
      </c>
      <c r="Z2784">
        <v>4.2533209999999998E-4</v>
      </c>
      <c r="AA2784">
        <v>0.99880239999999998</v>
      </c>
      <c r="AB2784">
        <v>41</v>
      </c>
      <c r="AC2784">
        <v>119.0699</v>
      </c>
      <c r="AD2784">
        <v>2.038853</v>
      </c>
      <c r="AE2784">
        <v>-5.7933999999999903</v>
      </c>
      <c r="AF2784">
        <v>5.8455180391037898</v>
      </c>
      <c r="AG2784">
        <v>2.038853</v>
      </c>
      <c r="AH2784">
        <v>119.032450582672</v>
      </c>
      <c r="AI2784">
        <v>89.019883379745494</v>
      </c>
      <c r="AJ2784">
        <v>87.188542620515705</v>
      </c>
      <c r="AK2784">
        <v>119.193335780224</v>
      </c>
      <c r="AL2784">
        <v>79.0183788893779</v>
      </c>
      <c r="AM2784">
        <v>89.207507520439904</v>
      </c>
      <c r="AN2784">
        <v>0.99999996367151001</v>
      </c>
    </row>
    <row r="2785" spans="1:40" x14ac:dyDescent="0.25">
      <c r="A2785" t="str">
        <f>"20190312164527354"</f>
        <v>20190312164527354</v>
      </c>
      <c r="B2785" t="str">
        <f>"1552380327344248"</f>
        <v>1552380327344248</v>
      </c>
      <c r="C2785" t="s">
        <v>40</v>
      </c>
      <c r="D2785">
        <v>4.77088</v>
      </c>
      <c r="E2785">
        <v>0.51656480000000005</v>
      </c>
      <c r="F2785" t="s">
        <v>60</v>
      </c>
      <c r="G2785">
        <v>-168.41099999999901</v>
      </c>
      <c r="H2785">
        <v>3.266918</v>
      </c>
      <c r="I2785">
        <v>208.03870000000001</v>
      </c>
      <c r="J2785">
        <v>-287.26429999999999</v>
      </c>
      <c r="K2785">
        <v>1.108916</v>
      </c>
      <c r="L2785">
        <v>213.87430000000001</v>
      </c>
      <c r="M2785">
        <v>0.99989740000000005</v>
      </c>
      <c r="N2785">
        <v>0</v>
      </c>
      <c r="O2785">
        <v>4.6383919999999998E-4</v>
      </c>
      <c r="P2785">
        <v>0.98421990000000004</v>
      </c>
      <c r="Q2785">
        <v>0.17647589999999999</v>
      </c>
      <c r="R2785">
        <v>-1.294652E-2</v>
      </c>
      <c r="S2785">
        <v>3.0362550000000001</v>
      </c>
      <c r="T2785">
        <v>5.5029509999999997E-2</v>
      </c>
      <c r="U2785">
        <v>-0.14880370000000001</v>
      </c>
      <c r="V2785">
        <v>1.339796E-2</v>
      </c>
      <c r="W2785">
        <v>0.19055830000000001</v>
      </c>
      <c r="X2785">
        <v>0.98158440000000002</v>
      </c>
      <c r="Y2785">
        <v>4.9405369999999997E-2</v>
      </c>
      <c r="Z2785">
        <v>4.5581160000000002E-4</v>
      </c>
      <c r="AA2785">
        <v>0.99877870000000002</v>
      </c>
      <c r="AB2785">
        <v>41</v>
      </c>
      <c r="AC2785">
        <v>118.8533</v>
      </c>
      <c r="AD2785">
        <v>2.1580020000000002</v>
      </c>
      <c r="AE2785">
        <v>-5.8356000000000003</v>
      </c>
      <c r="AF2785">
        <v>5.8887971437681896</v>
      </c>
      <c r="AG2785">
        <v>2.1580020000000002</v>
      </c>
      <c r="AH2785">
        <v>118.81150560407001</v>
      </c>
      <c r="AI2785">
        <v>88.960712869589699</v>
      </c>
      <c r="AJ2785">
        <v>87.162502585924202</v>
      </c>
      <c r="AK2785">
        <v>118.976925360922</v>
      </c>
      <c r="AL2785">
        <v>79.014631740294206</v>
      </c>
      <c r="AM2785">
        <v>89.218000107223006</v>
      </c>
      <c r="AN2785">
        <v>0.99999995267720398</v>
      </c>
    </row>
    <row r="2786" spans="1:40" x14ac:dyDescent="0.25">
      <c r="A2786" t="str">
        <f>"20190312164527365"</f>
        <v>20190312164527365</v>
      </c>
      <c r="B2786" t="str">
        <f>"1552380327354007"</f>
        <v>1552380327354007</v>
      </c>
      <c r="C2786" t="s">
        <v>40</v>
      </c>
      <c r="D2786">
        <v>4.4916280000000004</v>
      </c>
      <c r="E2786">
        <v>0.51664880000000002</v>
      </c>
      <c r="F2786" t="s">
        <v>60</v>
      </c>
      <c r="G2786">
        <v>-168.4111</v>
      </c>
      <c r="H2786">
        <v>3.3230400000000002</v>
      </c>
      <c r="I2786">
        <v>208.0513</v>
      </c>
      <c r="J2786">
        <v>-287.04039999999998</v>
      </c>
      <c r="K2786">
        <v>1.1089169999999999</v>
      </c>
      <c r="L2786">
        <v>213.87440000000001</v>
      </c>
      <c r="M2786">
        <v>0.99989740000000005</v>
      </c>
      <c r="N2786">
        <v>0</v>
      </c>
      <c r="O2786">
        <v>4.7636659999999997E-4</v>
      </c>
      <c r="P2786">
        <v>0.98423210000000005</v>
      </c>
      <c r="Q2786">
        <v>0.1764231</v>
      </c>
      <c r="R2786">
        <v>-1.273781E-2</v>
      </c>
      <c r="S2786">
        <v>3.0360109999999998</v>
      </c>
      <c r="T2786">
        <v>5.655897E-2</v>
      </c>
      <c r="U2786">
        <v>-0.14874270000000001</v>
      </c>
      <c r="V2786">
        <v>1.3201499999999901E-2</v>
      </c>
      <c r="W2786">
        <v>0.19050439999999999</v>
      </c>
      <c r="X2786">
        <v>0.98159750000000001</v>
      </c>
      <c r="Y2786">
        <v>4.9401319999999999E-2</v>
      </c>
      <c r="Z2786">
        <v>4.6871139999999999E-4</v>
      </c>
      <c r="AA2786">
        <v>0.99877890000000003</v>
      </c>
      <c r="AB2786">
        <v>41</v>
      </c>
      <c r="AC2786">
        <v>118.62929999999901</v>
      </c>
      <c r="AD2786">
        <v>2.2141229999999998</v>
      </c>
      <c r="AE2786">
        <v>-5.8231000000000099</v>
      </c>
      <c r="AF2786">
        <v>5.87757361878535</v>
      </c>
      <c r="AG2786">
        <v>2.2141229999999998</v>
      </c>
      <c r="AH2786">
        <v>118.585302072773</v>
      </c>
      <c r="AI2786">
        <v>88.931657793042604</v>
      </c>
      <c r="AJ2786">
        <v>87.162508334979606</v>
      </c>
      <c r="AK2786">
        <v>118.751514011376</v>
      </c>
      <c r="AL2786">
        <v>79.017777348726497</v>
      </c>
      <c r="AM2786">
        <v>89.229475794259599</v>
      </c>
      <c r="AN2786">
        <v>0.99999992901392698</v>
      </c>
    </row>
    <row r="2787" spans="1:40" x14ac:dyDescent="0.25">
      <c r="A2787" t="str">
        <f>"20190312164527379"</f>
        <v>20190312164527379</v>
      </c>
      <c r="B2787" t="str">
        <f>"1552380327374503"</f>
        <v>1552380327374503</v>
      </c>
      <c r="C2787" t="s">
        <v>40</v>
      </c>
      <c r="D2787">
        <v>4.6233950000000004</v>
      </c>
      <c r="E2787">
        <v>0.51659049999999995</v>
      </c>
      <c r="F2787" t="s">
        <v>60</v>
      </c>
      <c r="G2787">
        <v>-168.4111</v>
      </c>
      <c r="H2787">
        <v>3.3526060000000002</v>
      </c>
      <c r="I2787">
        <v>208.0609</v>
      </c>
      <c r="J2787">
        <v>-286.80520000000001</v>
      </c>
      <c r="K2787">
        <v>1.1089199999999999</v>
      </c>
      <c r="L2787">
        <v>213.87450000000001</v>
      </c>
      <c r="M2787">
        <v>0.99989720000000004</v>
      </c>
      <c r="N2787">
        <v>0</v>
      </c>
      <c r="O2787">
        <v>4.8948939999999999E-4</v>
      </c>
      <c r="P2787">
        <v>0.98424540000000005</v>
      </c>
      <c r="Q2787">
        <v>0.17635719999999999</v>
      </c>
      <c r="R2787">
        <v>-1.26123E-2</v>
      </c>
      <c r="S2787">
        <v>3.0358580000000002</v>
      </c>
      <c r="T2787">
        <v>5.7419419999999999E-2</v>
      </c>
      <c r="U2787">
        <v>-0.14877319999999999</v>
      </c>
      <c r="V2787">
        <v>1.3089079999999999E-2</v>
      </c>
      <c r="W2787">
        <v>0.19043750000000001</v>
      </c>
      <c r="X2787">
        <v>0.98161209999999999</v>
      </c>
      <c r="Y2787">
        <v>4.9426629999999999E-2</v>
      </c>
      <c r="Z2787">
        <v>4.763519E-4</v>
      </c>
      <c r="AA2787">
        <v>0.99877760000000004</v>
      </c>
      <c r="AB2787">
        <v>41</v>
      </c>
      <c r="AC2787">
        <v>118.39409999999999</v>
      </c>
      <c r="AD2787">
        <v>2.2436859999999901</v>
      </c>
      <c r="AE2787">
        <v>-5.8136000000000001</v>
      </c>
      <c r="AF2787">
        <v>5.8694550246821198</v>
      </c>
      <c r="AG2787">
        <v>2.2436859999999901</v>
      </c>
      <c r="AH2787">
        <v>118.348838236765</v>
      </c>
      <c r="AI2787">
        <v>88.915235727081495</v>
      </c>
      <c r="AJ2787">
        <v>87.160769018668105</v>
      </c>
      <c r="AK2787">
        <v>118.51553544217499</v>
      </c>
      <c r="AL2787">
        <v>79.021683153441799</v>
      </c>
      <c r="AM2787">
        <v>89.236047926888205</v>
      </c>
      <c r="AN2787">
        <v>1.0000000401439499</v>
      </c>
    </row>
    <row r="2788" spans="1:40" x14ac:dyDescent="0.25">
      <c r="A2788" t="str">
        <f>"20190312164527393"</f>
        <v>20190312164527393</v>
      </c>
      <c r="B2788" t="str">
        <f>"1552380327384050"</f>
        <v>1552380327384050</v>
      </c>
      <c r="C2788" t="s">
        <v>40</v>
      </c>
      <c r="D2788">
        <v>4.573188</v>
      </c>
      <c r="E2788">
        <v>0.49690620000000002</v>
      </c>
      <c r="F2788" t="s">
        <v>60</v>
      </c>
      <c r="G2788">
        <v>-168.4111</v>
      </c>
      <c r="H2788">
        <v>3.3734839999999902</v>
      </c>
      <c r="I2788">
        <v>208.11099999999999</v>
      </c>
      <c r="J2788">
        <v>-286.53399999999999</v>
      </c>
      <c r="K2788">
        <v>1.1089230000000001</v>
      </c>
      <c r="L2788">
        <v>213.87469999999999</v>
      </c>
      <c r="M2788">
        <v>0.99989740000000005</v>
      </c>
      <c r="N2788">
        <v>0</v>
      </c>
      <c r="O2788">
        <v>5.0469869999999995E-4</v>
      </c>
      <c r="P2788">
        <v>0.98425510000000005</v>
      </c>
      <c r="Q2788">
        <v>0.17632310000000001</v>
      </c>
      <c r="R2788">
        <v>-1.234174E-2</v>
      </c>
      <c r="S2788">
        <v>3.035736</v>
      </c>
      <c r="T2788">
        <v>5.8066369999999999E-2</v>
      </c>
      <c r="U2788">
        <v>-0.14778139999999901</v>
      </c>
      <c r="V2788">
        <v>1.283343E-2</v>
      </c>
      <c r="W2788">
        <v>0.19040099999999999</v>
      </c>
      <c r="X2788">
        <v>0.98162249999999995</v>
      </c>
      <c r="Y2788">
        <v>4.9118090000000003E-2</v>
      </c>
      <c r="Z2788">
        <v>4.7908309999999997E-4</v>
      </c>
      <c r="AA2788">
        <v>0.99879289999999998</v>
      </c>
      <c r="AB2788">
        <v>41</v>
      </c>
      <c r="AC2788">
        <v>118.1229</v>
      </c>
      <c r="AD2788">
        <v>2.264561</v>
      </c>
      <c r="AE2788">
        <v>-5.7637</v>
      </c>
      <c r="AF2788">
        <v>5.8211874355282802</v>
      </c>
      <c r="AG2788">
        <v>2.264561</v>
      </c>
      <c r="AH2788">
        <v>118.07668137334301</v>
      </c>
      <c r="AI2788">
        <v>88.902606781575102</v>
      </c>
      <c r="AJ2788">
        <v>87.177599782605199</v>
      </c>
      <c r="AK2788">
        <v>118.24177410638001</v>
      </c>
      <c r="AL2788">
        <v>79.023812815729002</v>
      </c>
      <c r="AM2788">
        <v>89.250975311736696</v>
      </c>
      <c r="AN2788">
        <v>0.99999998511640698</v>
      </c>
    </row>
    <row r="2789" spans="1:40" x14ac:dyDescent="0.25">
      <c r="A2789" t="str">
        <f>"20190312164527407"</f>
        <v>20190312164527407</v>
      </c>
      <c r="B2789" t="str">
        <f>"1552380327394786"</f>
        <v>1552380327394786</v>
      </c>
      <c r="C2789" t="s">
        <v>40</v>
      </c>
      <c r="D2789">
        <v>4.7236019999999996</v>
      </c>
      <c r="E2789">
        <v>0.48972310000000002</v>
      </c>
      <c r="F2789" t="s">
        <v>61</v>
      </c>
      <c r="G2789">
        <v>-107.39749999999999</v>
      </c>
      <c r="H2789">
        <v>6.246823</v>
      </c>
      <c r="I2789">
        <v>214.38749999999999</v>
      </c>
      <c r="J2789">
        <v>-286.27379999999999</v>
      </c>
      <c r="K2789">
        <v>1.108927</v>
      </c>
      <c r="L2789">
        <v>213.87479999999999</v>
      </c>
      <c r="M2789">
        <v>0.99989749999999999</v>
      </c>
      <c r="N2789">
        <v>0</v>
      </c>
      <c r="O2789">
        <v>5.1919119999999997E-4</v>
      </c>
      <c r="P2789">
        <v>0.98427169999999997</v>
      </c>
      <c r="Q2789">
        <v>0.17625109999999999</v>
      </c>
      <c r="R2789">
        <v>-1.204329E-2</v>
      </c>
      <c r="S2789">
        <v>3.0325009999999999</v>
      </c>
      <c r="T2789">
        <v>8.6977479999999996E-2</v>
      </c>
      <c r="U2789">
        <v>8.6822510000000002E-3</v>
      </c>
      <c r="V2789">
        <v>1.2549309999999999E-2</v>
      </c>
      <c r="W2789">
        <v>0.190328</v>
      </c>
      <c r="X2789">
        <v>0.98164030000000002</v>
      </c>
      <c r="Y2789">
        <v>-2.3430619999999999E-3</v>
      </c>
      <c r="Z2789" s="1">
        <v>-1.8704850000000001E-5</v>
      </c>
      <c r="AA2789">
        <v>0.99999729999999998</v>
      </c>
      <c r="AB2789">
        <v>41</v>
      </c>
      <c r="AC2789">
        <v>178.87629999999999</v>
      </c>
      <c r="AD2789">
        <v>5.1378959999999996</v>
      </c>
      <c r="AE2789">
        <v>0.51269999999999505</v>
      </c>
      <c r="AF2789">
        <v>-0.419473350815804</v>
      </c>
      <c r="AG2789">
        <v>5.1378959999999996</v>
      </c>
      <c r="AH2789">
        <v>178.72908806009701</v>
      </c>
      <c r="AI2789">
        <v>88.353385563880906</v>
      </c>
      <c r="AJ2789">
        <v>90.134471723388501</v>
      </c>
      <c r="AK2789">
        <v>178.803413983046</v>
      </c>
      <c r="AL2789">
        <v>79.028072990409498</v>
      </c>
      <c r="AM2789">
        <v>89.267569462655203</v>
      </c>
      <c r="AN2789">
        <v>0.99999995567478195</v>
      </c>
    </row>
    <row r="2790" spans="1:40" x14ac:dyDescent="0.25">
      <c r="A2790" t="str">
        <f>"20190312164527427"</f>
        <v>20190312164527427</v>
      </c>
      <c r="B2790" t="str">
        <f>"1552380327424066"</f>
        <v>1552380327424066</v>
      </c>
      <c r="C2790" t="s">
        <v>40</v>
      </c>
      <c r="D2790">
        <v>4.76816</v>
      </c>
      <c r="E2790">
        <v>0.47911490000000001</v>
      </c>
      <c r="F2790" t="s">
        <v>61</v>
      </c>
      <c r="G2790">
        <v>-107.39749999999999</v>
      </c>
      <c r="H2790">
        <v>7.3545379999999998</v>
      </c>
      <c r="I2790">
        <v>217.7764</v>
      </c>
      <c r="J2790">
        <v>-285.91809999999998</v>
      </c>
      <c r="K2790">
        <v>1.10893</v>
      </c>
      <c r="L2790">
        <v>213.875</v>
      </c>
      <c r="M2790">
        <v>0.99989740000000005</v>
      </c>
      <c r="N2790">
        <v>0</v>
      </c>
      <c r="O2790">
        <v>5.3923160000000003E-4</v>
      </c>
      <c r="P2790">
        <v>0.98426380000000002</v>
      </c>
      <c r="Q2790">
        <v>0.17630390000000001</v>
      </c>
      <c r="R2790">
        <v>-1.190692E-2</v>
      </c>
      <c r="S2790">
        <v>3.0298159999999998</v>
      </c>
      <c r="T2790">
        <v>0.1057893</v>
      </c>
      <c r="U2790">
        <v>6.6085820000000003E-2</v>
      </c>
      <c r="V2790">
        <v>1.243271E-2</v>
      </c>
      <c r="W2790">
        <v>0.19037850000000001</v>
      </c>
      <c r="X2790">
        <v>0.98163210000000001</v>
      </c>
      <c r="Y2790">
        <v>-2.125486E-2</v>
      </c>
      <c r="Z2790">
        <v>-3.5208949999999999E-4</v>
      </c>
      <c r="AA2790">
        <v>0.99977400000000005</v>
      </c>
      <c r="AB2790">
        <v>41</v>
      </c>
      <c r="AC2790">
        <v>178.5206</v>
      </c>
      <c r="AD2790">
        <v>6.2456079999999998</v>
      </c>
      <c r="AE2790">
        <v>3.90139999999999</v>
      </c>
      <c r="AF2790">
        <v>-3.8004761506200402</v>
      </c>
      <c r="AG2790">
        <v>6.2456079999999998</v>
      </c>
      <c r="AH2790">
        <v>178.30454178272399</v>
      </c>
      <c r="AI2790">
        <v>87.994332780427399</v>
      </c>
      <c r="AJ2790">
        <v>91.221047287631706</v>
      </c>
      <c r="AK2790">
        <v>178.45436631982</v>
      </c>
      <c r="AL2790">
        <v>79.025126852047705</v>
      </c>
      <c r="AM2790">
        <v>89.274367937412293</v>
      </c>
      <c r="AN2790">
        <v>1.0000000626453001</v>
      </c>
    </row>
    <row r="2791" spans="1:40" x14ac:dyDescent="0.25">
      <c r="A2791" t="str">
        <f>"20190312164527443"</f>
        <v>20190312164527443</v>
      </c>
      <c r="B2791" t="str">
        <f>"1552380327434803"</f>
        <v>1552380327434803</v>
      </c>
      <c r="C2791" t="s">
        <v>40</v>
      </c>
      <c r="D2791">
        <v>4.5840930000000002</v>
      </c>
      <c r="E2791">
        <v>0.4776087</v>
      </c>
      <c r="F2791" t="s">
        <v>62</v>
      </c>
      <c r="G2791">
        <v>-157.8382</v>
      </c>
      <c r="H2791">
        <v>5.3624470000000004</v>
      </c>
      <c r="I2791">
        <v>220.28059999999999</v>
      </c>
      <c r="J2791">
        <v>-285.62729999999999</v>
      </c>
      <c r="K2791">
        <v>1.1089279999999999</v>
      </c>
      <c r="L2791">
        <v>213.87520000000001</v>
      </c>
      <c r="M2791">
        <v>0.99989740000000005</v>
      </c>
      <c r="N2791">
        <v>0</v>
      </c>
      <c r="O2791">
        <v>5.5563469999999997E-4</v>
      </c>
      <c r="P2791">
        <v>0.98429979999999995</v>
      </c>
      <c r="Q2791">
        <v>0.1760919</v>
      </c>
      <c r="R2791">
        <v>-1.20719E-2</v>
      </c>
      <c r="S2791">
        <v>3.0317690000000002</v>
      </c>
      <c r="T2791">
        <v>0.100686</v>
      </c>
      <c r="U2791">
        <v>0.1516266</v>
      </c>
      <c r="V2791">
        <v>1.261374E-2</v>
      </c>
      <c r="W2791">
        <v>0.19016549999999999</v>
      </c>
      <c r="X2791">
        <v>0.98167099999999996</v>
      </c>
      <c r="Y2791">
        <v>-4.9368299999999997E-2</v>
      </c>
      <c r="Z2791">
        <v>-8.0059289999999904E-4</v>
      </c>
      <c r="AA2791">
        <v>0.99878029999999995</v>
      </c>
      <c r="AB2791">
        <v>41</v>
      </c>
      <c r="AC2791">
        <v>127.7891</v>
      </c>
      <c r="AD2791">
        <v>4.2535189999999998</v>
      </c>
      <c r="AE2791">
        <v>6.4053999999999798</v>
      </c>
      <c r="AF2791">
        <v>-6.3273949878506004</v>
      </c>
      <c r="AG2791">
        <v>4.2535189999999998</v>
      </c>
      <c r="AH2791">
        <v>127.651566182598</v>
      </c>
      <c r="AI2791">
        <v>88.093873445170999</v>
      </c>
      <c r="AJ2791">
        <v>92.837697699262804</v>
      </c>
      <c r="AK2791">
        <v>127.879047150367</v>
      </c>
      <c r="AL2791">
        <v>79.037557122886</v>
      </c>
      <c r="AM2791">
        <v>89.263832490061105</v>
      </c>
      <c r="AN2791">
        <v>0.99999998803401802</v>
      </c>
    </row>
    <row r="2792" spans="1:40" x14ac:dyDescent="0.25">
      <c r="A2792" t="str">
        <f>"20190312164527462"</f>
        <v>20190312164527462</v>
      </c>
      <c r="B2792" t="str">
        <f>"1552380327454323"</f>
        <v>1552380327454323</v>
      </c>
      <c r="C2792" t="s">
        <v>40</v>
      </c>
      <c r="D2792">
        <v>4.6758050000000004</v>
      </c>
      <c r="E2792">
        <v>0.47554109999999999</v>
      </c>
      <c r="F2792" t="s">
        <v>62</v>
      </c>
      <c r="G2792">
        <v>-157.8382</v>
      </c>
      <c r="H2792">
        <v>4.5711040000000001</v>
      </c>
      <c r="I2792">
        <v>220.77940000000001</v>
      </c>
      <c r="J2792">
        <v>-285.27460000000002</v>
      </c>
      <c r="K2792">
        <v>1.108927</v>
      </c>
      <c r="L2792">
        <v>213.87540000000001</v>
      </c>
      <c r="M2792">
        <v>0.99989760000000005</v>
      </c>
      <c r="N2792">
        <v>0</v>
      </c>
      <c r="O2792">
        <v>5.7531650000000004E-4</v>
      </c>
      <c r="P2792">
        <v>0.98424420000000001</v>
      </c>
      <c r="Q2792">
        <v>0.17640220000000001</v>
      </c>
      <c r="R2792">
        <v>-1.2086039999999999E-2</v>
      </c>
      <c r="S2792">
        <v>3.0351870000000001</v>
      </c>
      <c r="T2792">
        <v>8.2233310000000004E-2</v>
      </c>
      <c r="U2792">
        <v>0.1639862</v>
      </c>
      <c r="V2792">
        <v>1.26474E-2</v>
      </c>
      <c r="W2792">
        <v>0.19047210000000001</v>
      </c>
      <c r="X2792">
        <v>0.98161109999999896</v>
      </c>
      <c r="Y2792">
        <v>-5.3355840000000002E-2</v>
      </c>
      <c r="Z2792">
        <v>-7.0655999999999996E-4</v>
      </c>
      <c r="AA2792">
        <v>0.99857530000000005</v>
      </c>
      <c r="AB2792">
        <v>41</v>
      </c>
      <c r="AC2792">
        <v>127.43640000000001</v>
      </c>
      <c r="AD2792">
        <v>3.4621769999999898</v>
      </c>
      <c r="AE2792">
        <v>6.9039999999999901</v>
      </c>
      <c r="AF2792">
        <v>-6.8256518695633597</v>
      </c>
      <c r="AG2792">
        <v>3.4621769999999898</v>
      </c>
      <c r="AH2792">
        <v>127.346632608004</v>
      </c>
      <c r="AI2792">
        <v>88.444912479976196</v>
      </c>
      <c r="AJ2792">
        <v>93.068060573800096</v>
      </c>
      <c r="AK2792">
        <v>127.576412512744</v>
      </c>
      <c r="AL2792">
        <v>79.019662916905702</v>
      </c>
      <c r="AM2792">
        <v>89.261823193030907</v>
      </c>
      <c r="AN2792">
        <v>0.99999996462418905</v>
      </c>
    </row>
    <row r="2793" spans="1:40" x14ac:dyDescent="0.25">
      <c r="A2793" t="str">
        <f>"20190312164527485"</f>
        <v>20190312164527485</v>
      </c>
      <c r="B2793" t="str">
        <f>"1552380327474818"</f>
        <v>1552380327474818</v>
      </c>
      <c r="C2793" t="s">
        <v>40</v>
      </c>
      <c r="D2793">
        <v>4.7232659999999997</v>
      </c>
      <c r="E2793">
        <v>0.47450350000000002</v>
      </c>
      <c r="F2793" t="s">
        <v>62</v>
      </c>
      <c r="G2793">
        <v>-157.8382</v>
      </c>
      <c r="H2793">
        <v>3.941621</v>
      </c>
      <c r="I2793">
        <v>221.4879</v>
      </c>
      <c r="J2793">
        <v>-284.86309999999997</v>
      </c>
      <c r="K2793">
        <v>1.10893</v>
      </c>
      <c r="L2793">
        <v>213.87569999999999</v>
      </c>
      <c r="M2793">
        <v>0.99989740000000005</v>
      </c>
      <c r="N2793">
        <v>0</v>
      </c>
      <c r="O2793">
        <v>5.9875670000000001E-4</v>
      </c>
      <c r="P2793">
        <v>0.98427560000000003</v>
      </c>
      <c r="Q2793">
        <v>0.1762087</v>
      </c>
      <c r="R2793">
        <v>-1.2347500000000001E-2</v>
      </c>
      <c r="S2793">
        <v>3.0381770000000001</v>
      </c>
      <c r="T2793">
        <v>6.7534800000000006E-2</v>
      </c>
      <c r="U2793">
        <v>0.18148800000000001</v>
      </c>
      <c r="V2793">
        <v>1.293181E-2</v>
      </c>
      <c r="W2793">
        <v>0.19027740000000001</v>
      </c>
      <c r="X2793">
        <v>0.9816452</v>
      </c>
      <c r="Y2793">
        <v>-5.9017390000000003E-2</v>
      </c>
      <c r="Z2793">
        <v>-6.4197850000000003E-4</v>
      </c>
      <c r="AA2793">
        <v>0.9982567</v>
      </c>
      <c r="AB2793">
        <v>41</v>
      </c>
      <c r="AC2793">
        <v>127.02489999999899</v>
      </c>
      <c r="AD2793">
        <v>2.8326910000000001</v>
      </c>
      <c r="AE2793">
        <v>7.6121999999999996</v>
      </c>
      <c r="AF2793">
        <v>-7.5324013564463499</v>
      </c>
      <c r="AG2793">
        <v>2.8326910000000001</v>
      </c>
      <c r="AH2793">
        <v>126.966520715548</v>
      </c>
      <c r="AI2793">
        <v>88.724155031320805</v>
      </c>
      <c r="AJ2793">
        <v>93.395143487452202</v>
      </c>
      <c r="AK2793">
        <v>127.221297710358</v>
      </c>
      <c r="AL2793">
        <v>79.031026723777799</v>
      </c>
      <c r="AM2793">
        <v>89.245251464434304</v>
      </c>
      <c r="AN2793">
        <v>1.00000000967183</v>
      </c>
    </row>
    <row r="2794" spans="1:40" x14ac:dyDescent="0.25">
      <c r="A2794" t="str">
        <f>"20190312164527507"</f>
        <v>20190312164527507</v>
      </c>
      <c r="B2794" t="str">
        <f>"1552380327494337"</f>
        <v>1552380327494337</v>
      </c>
      <c r="C2794" t="s">
        <v>40</v>
      </c>
      <c r="D2794">
        <v>4.5337889999999996</v>
      </c>
      <c r="E2794">
        <v>0.4737963</v>
      </c>
      <c r="F2794" t="s">
        <v>62</v>
      </c>
      <c r="G2794">
        <v>-157.8382</v>
      </c>
      <c r="H2794">
        <v>3.5446849999999999</v>
      </c>
      <c r="I2794">
        <v>221.78200000000001</v>
      </c>
      <c r="J2794">
        <v>-284.46699999999998</v>
      </c>
      <c r="K2794">
        <v>1.10893</v>
      </c>
      <c r="L2794">
        <v>213.8759</v>
      </c>
      <c r="M2794">
        <v>0.99989740000000005</v>
      </c>
      <c r="N2794">
        <v>0</v>
      </c>
      <c r="O2794">
        <v>6.2106460000000004E-4</v>
      </c>
      <c r="P2794">
        <v>0.98427089999999995</v>
      </c>
      <c r="Q2794">
        <v>0.1762309</v>
      </c>
      <c r="R2794">
        <v>-1.240108E-2</v>
      </c>
      <c r="S2794">
        <v>3.0398559999999999</v>
      </c>
      <c r="T2794">
        <v>5.8291790000000003E-2</v>
      </c>
      <c r="U2794">
        <v>0.18920899999999999</v>
      </c>
      <c r="V2794">
        <v>1.300745E-2</v>
      </c>
      <c r="W2794">
        <v>0.19029660000000001</v>
      </c>
      <c r="X2794">
        <v>0.98164050000000003</v>
      </c>
      <c r="Y2794">
        <v>-6.1491440000000001E-2</v>
      </c>
      <c r="Z2794">
        <v>-5.7705309999999896E-4</v>
      </c>
      <c r="AA2794">
        <v>0.99810739999999998</v>
      </c>
      <c r="AB2794">
        <v>41</v>
      </c>
      <c r="AC2794">
        <v>126.628799999999</v>
      </c>
      <c r="AD2794">
        <v>2.4357549999999999</v>
      </c>
      <c r="AE2794">
        <v>7.9061000000000003</v>
      </c>
      <c r="AF2794">
        <v>-7.8245619057689897</v>
      </c>
      <c r="AG2794">
        <v>2.4357549999999999</v>
      </c>
      <c r="AH2794">
        <v>126.587030889929</v>
      </c>
      <c r="AI2794">
        <v>88.899764725695803</v>
      </c>
      <c r="AJ2794">
        <v>93.537050512756693</v>
      </c>
      <c r="AK2794">
        <v>126.852012443497</v>
      </c>
      <c r="AL2794">
        <v>79.029906401780096</v>
      </c>
      <c r="AM2794">
        <v>89.240833713462195</v>
      </c>
      <c r="AN2794">
        <v>1.00000003048365</v>
      </c>
    </row>
    <row r="2795" spans="1:40" x14ac:dyDescent="0.25">
      <c r="A2795" t="str">
        <f>"20190312164527528"</f>
        <v>20190312164527528</v>
      </c>
      <c r="B2795" t="str">
        <f>"1552380327524595"</f>
        <v>1552380327524595</v>
      </c>
      <c r="C2795" t="s">
        <v>40</v>
      </c>
      <c r="D2795">
        <v>4.4912070000000002</v>
      </c>
      <c r="E2795">
        <v>0.4730124</v>
      </c>
      <c r="F2795" t="s">
        <v>62</v>
      </c>
      <c r="G2795">
        <v>-157.25</v>
      </c>
      <c r="H2795">
        <v>3.744297</v>
      </c>
      <c r="I2795">
        <v>222.0198</v>
      </c>
      <c r="J2795">
        <v>-284.06330000000003</v>
      </c>
      <c r="K2795">
        <v>1.1089310000000001</v>
      </c>
      <c r="L2795">
        <v>213.87620000000001</v>
      </c>
      <c r="M2795">
        <v>0.99989749999999999</v>
      </c>
      <c r="N2795">
        <v>0</v>
      </c>
      <c r="O2795">
        <v>6.4378790000000003E-4</v>
      </c>
      <c r="P2795">
        <v>0.98426800000000003</v>
      </c>
      <c r="Q2795">
        <v>0.1762311</v>
      </c>
      <c r="R2795">
        <v>-1.2620620000000001E-2</v>
      </c>
      <c r="S2795">
        <v>3.0390929999999998</v>
      </c>
      <c r="T2795">
        <v>6.2957760000000001E-2</v>
      </c>
      <c r="U2795">
        <v>0.19454959999999999</v>
      </c>
      <c r="V2795">
        <v>1.3249459999999999E-2</v>
      </c>
      <c r="W2795">
        <v>0.19029470000000001</v>
      </c>
      <c r="X2795">
        <v>0.9816376</v>
      </c>
      <c r="Y2795">
        <v>-6.3228960000000001E-2</v>
      </c>
      <c r="Z2795">
        <v>-6.4086220000000003E-4</v>
      </c>
      <c r="AA2795">
        <v>0.99799879999999996</v>
      </c>
      <c r="AB2795">
        <v>41</v>
      </c>
      <c r="AC2795">
        <v>126.8133</v>
      </c>
      <c r="AD2795">
        <v>2.6353659999999999</v>
      </c>
      <c r="AE2795">
        <v>8.1435999999999904</v>
      </c>
      <c r="AF2795">
        <v>-8.0584831737854294</v>
      </c>
      <c r="AG2795">
        <v>2.6353659999999999</v>
      </c>
      <c r="AH2795">
        <v>126.763996367201</v>
      </c>
      <c r="AI2795">
        <v>88.811416852912203</v>
      </c>
      <c r="AJ2795">
        <v>93.637441403865196</v>
      </c>
      <c r="AK2795">
        <v>127.047215947458</v>
      </c>
      <c r="AL2795">
        <v>79.030016944667395</v>
      </c>
      <c r="AM2795">
        <v>89.226708466903304</v>
      </c>
      <c r="AN2795">
        <v>0.99999999938606998</v>
      </c>
    </row>
    <row r="2796" spans="1:40" x14ac:dyDescent="0.25">
      <c r="A2796" t="str">
        <f>"20190312164527543"</f>
        <v>20190312164527543</v>
      </c>
      <c r="B2796" t="str">
        <f>"1552380327534355"</f>
        <v>1552380327534355</v>
      </c>
      <c r="C2796" t="s">
        <v>40</v>
      </c>
      <c r="D2796">
        <v>4.5751569999999999</v>
      </c>
      <c r="E2796">
        <v>0.4727055</v>
      </c>
      <c r="F2796" t="s">
        <v>62</v>
      </c>
      <c r="G2796">
        <v>-165.4742</v>
      </c>
      <c r="H2796">
        <v>3.5176159999999999</v>
      </c>
      <c r="I2796">
        <v>221.6901</v>
      </c>
      <c r="J2796">
        <v>-283.79070000000002</v>
      </c>
      <c r="K2796">
        <v>1.1089249999999999</v>
      </c>
      <c r="L2796">
        <v>213.87639999999999</v>
      </c>
      <c r="M2796">
        <v>0.99989749999999999</v>
      </c>
      <c r="N2796">
        <v>0</v>
      </c>
      <c r="O2796">
        <v>6.5881899999999897E-4</v>
      </c>
      <c r="P2796">
        <v>0.98430910000000005</v>
      </c>
      <c r="Q2796">
        <v>0.17599389999999901</v>
      </c>
      <c r="R2796">
        <v>-1.272389E-2</v>
      </c>
      <c r="S2796">
        <v>3.0394589999999999</v>
      </c>
      <c r="T2796">
        <v>6.173646E-2</v>
      </c>
      <c r="U2796">
        <v>0.20027159999999999</v>
      </c>
      <c r="V2796">
        <v>1.336763E-2</v>
      </c>
      <c r="W2796">
        <v>0.19005649999999999</v>
      </c>
      <c r="X2796">
        <v>0.98168219999999995</v>
      </c>
      <c r="Y2796">
        <v>-6.5077250000000003E-2</v>
      </c>
      <c r="Z2796">
        <v>-6.467628E-4</v>
      </c>
      <c r="AA2796">
        <v>0.99787999999999999</v>
      </c>
      <c r="AB2796">
        <v>41</v>
      </c>
      <c r="AC2796">
        <v>118.3165</v>
      </c>
      <c r="AD2796">
        <v>2.4086910000000001</v>
      </c>
      <c r="AE2796">
        <v>7.8137000000000096</v>
      </c>
      <c r="AF2796">
        <v>-7.7325503373049997</v>
      </c>
      <c r="AG2796">
        <v>2.4086910000000001</v>
      </c>
      <c r="AH2796">
        <v>118.272817413505</v>
      </c>
      <c r="AI2796">
        <v>88.835786028013004</v>
      </c>
      <c r="AJ2796">
        <v>93.7406132300179</v>
      </c>
      <c r="AK2796">
        <v>118.549793192484</v>
      </c>
      <c r="AL2796">
        <v>79.043919110185996</v>
      </c>
      <c r="AM2796">
        <v>89.219847882590003</v>
      </c>
      <c r="AN2796">
        <v>1.0000000542604499</v>
      </c>
    </row>
    <row r="2797" spans="1:40" x14ac:dyDescent="0.25">
      <c r="A2797" t="str">
        <f>"20190312164527555"</f>
        <v>20190312164527555</v>
      </c>
      <c r="B2797" t="str">
        <f>"1552380327545090"</f>
        <v>1552380327545090</v>
      </c>
      <c r="C2797" t="s">
        <v>40</v>
      </c>
      <c r="D2797">
        <v>4.5182390000000003</v>
      </c>
      <c r="E2797">
        <v>0.47249400000000003</v>
      </c>
      <c r="F2797" t="s">
        <v>62</v>
      </c>
      <c r="G2797">
        <v>-166.44550000000001</v>
      </c>
      <c r="H2797">
        <v>3.514923</v>
      </c>
      <c r="I2797">
        <v>221.6901</v>
      </c>
      <c r="J2797">
        <v>-283.56779999999998</v>
      </c>
      <c r="K2797">
        <v>1.1089249999999999</v>
      </c>
      <c r="L2797">
        <v>213.87649999999999</v>
      </c>
      <c r="M2797">
        <v>0.99989749999999999</v>
      </c>
      <c r="N2797">
        <v>0</v>
      </c>
      <c r="O2797">
        <v>6.7128539999999903E-4</v>
      </c>
      <c r="P2797">
        <v>0.9843229</v>
      </c>
      <c r="Q2797">
        <v>0.17591870000000001</v>
      </c>
      <c r="R2797">
        <v>-1.269815E-2</v>
      </c>
      <c r="S2797">
        <v>3.0392760000000001</v>
      </c>
      <c r="T2797">
        <v>6.2317490000000003E-2</v>
      </c>
      <c r="U2797">
        <v>0.20237730000000001</v>
      </c>
      <c r="V2797">
        <v>1.335414E-2</v>
      </c>
      <c r="W2797">
        <v>0.18998010000000001</v>
      </c>
      <c r="X2797">
        <v>0.98169709999999999</v>
      </c>
      <c r="Y2797">
        <v>-6.5756709999999996E-2</v>
      </c>
      <c r="Z2797">
        <v>-6.5957470000000003E-4</v>
      </c>
      <c r="AA2797">
        <v>0.99783549999999999</v>
      </c>
      <c r="AB2797">
        <v>41</v>
      </c>
      <c r="AC2797">
        <v>117.122299999999</v>
      </c>
      <c r="AD2797">
        <v>2.4059979999999999</v>
      </c>
      <c r="AE2797">
        <v>7.8136000000000001</v>
      </c>
      <c r="AF2797">
        <v>-7.7317193871219896</v>
      </c>
      <c r="AG2797">
        <v>2.4059979999999999</v>
      </c>
      <c r="AH2797">
        <v>117.078331286769</v>
      </c>
      <c r="AI2797">
        <v>88.825276755992505</v>
      </c>
      <c r="AJ2797">
        <v>93.778261767521499</v>
      </c>
      <c r="AK2797">
        <v>117.358016206613</v>
      </c>
      <c r="AL2797">
        <v>79.048376960112904</v>
      </c>
      <c r="AM2797">
        <v>89.220646906802997</v>
      </c>
      <c r="AN2797">
        <v>0.99999998379977895</v>
      </c>
    </row>
    <row r="2798" spans="1:40" x14ac:dyDescent="0.25">
      <c r="A2798" t="str">
        <f>"20190312164527568"</f>
        <v>20190312164527568</v>
      </c>
      <c r="B2798" t="str">
        <f>"1552380327564610"</f>
        <v>1552380327564610</v>
      </c>
      <c r="C2798" t="s">
        <v>40</v>
      </c>
      <c r="D2798">
        <v>4.3460830000000001</v>
      </c>
      <c r="E2798">
        <v>0.47249550000000001</v>
      </c>
      <c r="F2798" t="s">
        <v>62</v>
      </c>
      <c r="G2798">
        <v>-167.51679999999999</v>
      </c>
      <c r="H2798">
        <v>3.2370649999999999</v>
      </c>
      <c r="I2798">
        <v>221.6901</v>
      </c>
      <c r="J2798">
        <v>-283.3306</v>
      </c>
      <c r="K2798">
        <v>1.1089249999999999</v>
      </c>
      <c r="L2798">
        <v>213.8767</v>
      </c>
      <c r="M2798">
        <v>0.99989749999999999</v>
      </c>
      <c r="N2798">
        <v>0</v>
      </c>
      <c r="O2798">
        <v>6.847658E-4</v>
      </c>
      <c r="P2798">
        <v>0.98433959999999998</v>
      </c>
      <c r="Q2798">
        <v>0.17580850000000001</v>
      </c>
      <c r="R2798">
        <v>-1.290786E-2</v>
      </c>
      <c r="S2798">
        <v>3.0404969999999998</v>
      </c>
      <c r="T2798">
        <v>5.5758000000000002E-2</v>
      </c>
      <c r="U2798">
        <v>0.2047119</v>
      </c>
      <c r="V2798">
        <v>1.3577209999999999E-2</v>
      </c>
      <c r="W2798">
        <v>0.1898687</v>
      </c>
      <c r="X2798">
        <v>0.98171560000000002</v>
      </c>
      <c r="Y2798">
        <v>-6.6482040000000006E-2</v>
      </c>
      <c r="Z2798">
        <v>-5.9630510000000002E-4</v>
      </c>
      <c r="AA2798">
        <v>0.99778739999999999</v>
      </c>
      <c r="AB2798">
        <v>41</v>
      </c>
      <c r="AC2798">
        <v>115.8138</v>
      </c>
      <c r="AD2798">
        <v>2.1281400000000001</v>
      </c>
      <c r="AE2798">
        <v>7.8133999999999997</v>
      </c>
      <c r="AF2798">
        <v>-7.7314859413825303</v>
      </c>
      <c r="AG2798">
        <v>2.1281400000000001</v>
      </c>
      <c r="AH2798">
        <v>115.780206513694</v>
      </c>
      <c r="AI2798">
        <v>88.949312245841298</v>
      </c>
      <c r="AJ2798">
        <v>93.820383768291094</v>
      </c>
      <c r="AK2798">
        <v>116.057576551792</v>
      </c>
      <c r="AL2798">
        <v>79.054878124191006</v>
      </c>
      <c r="AM2798">
        <v>89.207645026169502</v>
      </c>
      <c r="AN2798">
        <v>0.99999999157721697</v>
      </c>
    </row>
    <row r="2799" spans="1:40" x14ac:dyDescent="0.25">
      <c r="A2799" t="str">
        <f>"20190312164527583"</f>
        <v>20190312164527583</v>
      </c>
      <c r="B2799" t="str">
        <f>"1552380327574370"</f>
        <v>1552380327574370</v>
      </c>
      <c r="C2799" t="s">
        <v>40</v>
      </c>
      <c r="D2799">
        <v>4.7720789999999997</v>
      </c>
      <c r="E2799">
        <v>0.4723406</v>
      </c>
      <c r="F2799" t="s">
        <v>62</v>
      </c>
      <c r="G2799">
        <v>-166.95070000000001</v>
      </c>
      <c r="H2799">
        <v>3.1742889999999999</v>
      </c>
      <c r="I2799">
        <v>221.6901</v>
      </c>
      <c r="J2799">
        <v>-283.05470000000003</v>
      </c>
      <c r="K2799">
        <v>1.1089260000000001</v>
      </c>
      <c r="L2799">
        <v>213.87690000000001</v>
      </c>
      <c r="M2799">
        <v>0.99989760000000005</v>
      </c>
      <c r="N2799">
        <v>0</v>
      </c>
      <c r="O2799">
        <v>7.0015279999999995E-4</v>
      </c>
      <c r="P2799">
        <v>0.98439500000000002</v>
      </c>
      <c r="Q2799">
        <v>0.17549699999999999</v>
      </c>
      <c r="R2799">
        <v>-1.2946040000000001E-2</v>
      </c>
      <c r="S2799">
        <v>3.0407709999999999</v>
      </c>
      <c r="T2799">
        <v>5.396521E-2</v>
      </c>
      <c r="U2799">
        <v>0.2041473</v>
      </c>
      <c r="V2799">
        <v>1.3630629999999999E-2</v>
      </c>
      <c r="W2799">
        <v>0.189556</v>
      </c>
      <c r="X2799">
        <v>0.98177530000000002</v>
      </c>
      <c r="Y2799">
        <v>-6.6276950000000001E-2</v>
      </c>
      <c r="Z2799">
        <v>-5.749962E-4</v>
      </c>
      <c r="AA2799">
        <v>0.9978011</v>
      </c>
      <c r="AB2799">
        <v>41</v>
      </c>
      <c r="AC2799">
        <v>116.104</v>
      </c>
      <c r="AD2799">
        <v>2.0653630000000001</v>
      </c>
      <c r="AE2799">
        <v>7.8131999999999904</v>
      </c>
      <c r="AF2799">
        <v>-7.7294643141990802</v>
      </c>
      <c r="AG2799">
        <v>2.0653630000000001</v>
      </c>
      <c r="AH2799">
        <v>116.072877420464</v>
      </c>
      <c r="AI2799">
        <v>88.982857376535506</v>
      </c>
      <c r="AJ2799">
        <v>93.809785808348394</v>
      </c>
      <c r="AK2799">
        <v>116.34828411099301</v>
      </c>
      <c r="AL2799">
        <v>79.073126052954095</v>
      </c>
      <c r="AM2799">
        <v>89.204576243092404</v>
      </c>
      <c r="AN2799">
        <v>1.0000000054501399</v>
      </c>
    </row>
    <row r="2800" spans="1:40" x14ac:dyDescent="0.25">
      <c r="A2800" t="str">
        <f>"20190312164527598"</f>
        <v>20190312164527598</v>
      </c>
      <c r="B2800" t="str">
        <f>"1552380327594866"</f>
        <v>1552380327594866</v>
      </c>
      <c r="C2800" t="s">
        <v>40</v>
      </c>
      <c r="D2800">
        <v>4.669435</v>
      </c>
      <c r="E2800">
        <v>0.47211710000000001</v>
      </c>
      <c r="F2800" t="s">
        <v>62</v>
      </c>
      <c r="G2800">
        <v>-167.37860000000001</v>
      </c>
      <c r="H2800">
        <v>3.1857899999999999</v>
      </c>
      <c r="I2800">
        <v>221.6901</v>
      </c>
      <c r="J2800">
        <v>-282.77760000000001</v>
      </c>
      <c r="K2800">
        <v>1.108927</v>
      </c>
      <c r="L2800">
        <v>213.87710000000001</v>
      </c>
      <c r="M2800">
        <v>0.99989749999999999</v>
      </c>
      <c r="N2800">
        <v>0</v>
      </c>
      <c r="O2800">
        <v>7.1583910000000005E-4</v>
      </c>
      <c r="P2800">
        <v>0.98438329999999996</v>
      </c>
      <c r="Q2800">
        <v>0.17555889999999999</v>
      </c>
      <c r="R2800">
        <v>-1.2988359999999999E-2</v>
      </c>
      <c r="S2800">
        <v>3.040527</v>
      </c>
      <c r="T2800">
        <v>5.4591540000000001E-2</v>
      </c>
      <c r="U2800">
        <v>0.20536799999999999</v>
      </c>
      <c r="V2800">
        <v>1.3688219999999999E-2</v>
      </c>
      <c r="W2800">
        <v>0.18961639999999999</v>
      </c>
      <c r="X2800">
        <v>0.98176280000000005</v>
      </c>
      <c r="Y2800">
        <v>-6.6665139999999998E-2</v>
      </c>
      <c r="Z2800">
        <v>-5.8490669999999997E-4</v>
      </c>
      <c r="AA2800">
        <v>0.99777530000000003</v>
      </c>
      <c r="AB2800">
        <v>41</v>
      </c>
      <c r="AC2800">
        <v>115.399</v>
      </c>
      <c r="AD2800">
        <v>2.0768629999999999</v>
      </c>
      <c r="AE2800">
        <v>7.8129999999999802</v>
      </c>
      <c r="AF2800">
        <v>-7.7278907883072803</v>
      </c>
      <c r="AG2800">
        <v>2.0768629999999999</v>
      </c>
      <c r="AH2800">
        <v>115.367366809263</v>
      </c>
      <c r="AI2800">
        <v>88.970968563767897</v>
      </c>
      <c r="AJ2800">
        <v>93.832236720475294</v>
      </c>
      <c r="AK2800">
        <v>115.644554478193</v>
      </c>
      <c r="AL2800">
        <v>79.069601084967999</v>
      </c>
      <c r="AM2800">
        <v>89.201205808962797</v>
      </c>
      <c r="AN2800">
        <v>0.99999997098978299</v>
      </c>
    </row>
    <row r="2801" spans="1:40" x14ac:dyDescent="0.25">
      <c r="A2801" t="str">
        <f>"20190312164527612"</f>
        <v>20190312164527612</v>
      </c>
      <c r="B2801" t="str">
        <f>"1552380327604627"</f>
        <v>1552380327604627</v>
      </c>
      <c r="C2801" t="s">
        <v>40</v>
      </c>
      <c r="D2801">
        <v>4.7600530000000001</v>
      </c>
      <c r="E2801">
        <v>0.47194530000000001</v>
      </c>
      <c r="F2801" t="s">
        <v>62</v>
      </c>
      <c r="G2801">
        <v>-167.9545</v>
      </c>
      <c r="H2801">
        <v>3.2659760000000002</v>
      </c>
      <c r="I2801">
        <v>221.6901</v>
      </c>
      <c r="J2801">
        <v>-282.53919999999999</v>
      </c>
      <c r="K2801">
        <v>1.1089290000000001</v>
      </c>
      <c r="L2801">
        <v>213.87729999999999</v>
      </c>
      <c r="M2801">
        <v>0.9998977</v>
      </c>
      <c r="N2801">
        <v>0</v>
      </c>
      <c r="O2801">
        <v>7.2896189999999996E-4</v>
      </c>
      <c r="P2801">
        <v>0.98439169999999998</v>
      </c>
      <c r="Q2801">
        <v>0.17550859999999999</v>
      </c>
      <c r="R2801">
        <v>-1.304232E-2</v>
      </c>
      <c r="S2801">
        <v>3.0401609999999999</v>
      </c>
      <c r="T2801">
        <v>5.7113530000000003E-2</v>
      </c>
      <c r="U2801">
        <v>0.2068634</v>
      </c>
      <c r="V2801">
        <v>1.375522E-2</v>
      </c>
      <c r="W2801">
        <v>0.18956490000000001</v>
      </c>
      <c r="X2801">
        <v>0.98177179999999997</v>
      </c>
      <c r="Y2801">
        <v>-6.7147570000000004E-2</v>
      </c>
      <c r="Z2801">
        <v>-6.1626629999999996E-4</v>
      </c>
      <c r="AA2801">
        <v>0.99774289999999999</v>
      </c>
      <c r="AB2801">
        <v>41</v>
      </c>
      <c r="AC2801">
        <v>114.5847</v>
      </c>
      <c r="AD2801">
        <v>2.1570469999999902</v>
      </c>
      <c r="AE2801">
        <v>7.81280000000001</v>
      </c>
      <c r="AF2801">
        <v>-7.7265360807997103</v>
      </c>
      <c r="AG2801">
        <v>2.1570469999999902</v>
      </c>
      <c r="AH2801">
        <v>114.54995930157401</v>
      </c>
      <c r="AI2801">
        <v>88.923657468658007</v>
      </c>
      <c r="AJ2801">
        <v>93.858825973082403</v>
      </c>
      <c r="AK2801">
        <v>114.830507216334</v>
      </c>
      <c r="AL2801">
        <v>79.072606227271507</v>
      </c>
      <c r="AM2801">
        <v>89.197303803147094</v>
      </c>
      <c r="AN2801">
        <v>0.99999996233224797</v>
      </c>
    </row>
    <row r="2802" spans="1:40" x14ac:dyDescent="0.25">
      <c r="A2802" t="str">
        <f>"20190312164527623"</f>
        <v>20190312164527623</v>
      </c>
      <c r="B2802" t="str">
        <f>"1552380327614386"</f>
        <v>1552380327614386</v>
      </c>
      <c r="C2802" t="s">
        <v>40</v>
      </c>
      <c r="D2802">
        <v>4.6467499999999999</v>
      </c>
      <c r="E2802">
        <v>0.47179460000000001</v>
      </c>
      <c r="F2802" t="s">
        <v>62</v>
      </c>
      <c r="G2802">
        <v>-168.35059999999999</v>
      </c>
      <c r="H2802">
        <v>3.278219</v>
      </c>
      <c r="I2802">
        <v>221.69450000000001</v>
      </c>
      <c r="J2802">
        <v>-282.31799999999998</v>
      </c>
      <c r="K2802">
        <v>1.108932</v>
      </c>
      <c r="L2802">
        <v>213.8775</v>
      </c>
      <c r="M2802">
        <v>0.9998977</v>
      </c>
      <c r="N2802">
        <v>0</v>
      </c>
      <c r="O2802">
        <v>7.4131009999999897E-4</v>
      </c>
      <c r="P2802">
        <v>0.98443119999999995</v>
      </c>
      <c r="Q2802">
        <v>0.175291</v>
      </c>
      <c r="R2802">
        <v>-1.298654E-2</v>
      </c>
      <c r="S2802">
        <v>3.040009</v>
      </c>
      <c r="T2802">
        <v>5.7753800000000001E-2</v>
      </c>
      <c r="U2802">
        <v>0.20811460000000001</v>
      </c>
      <c r="V2802">
        <v>1.371139E-2</v>
      </c>
      <c r="W2802">
        <v>0.18934619999999999</v>
      </c>
      <c r="X2802">
        <v>0.98181459999999998</v>
      </c>
      <c r="Y2802">
        <v>-6.7547049999999997E-2</v>
      </c>
      <c r="Z2802">
        <v>-6.2675179999999999E-4</v>
      </c>
      <c r="AA2802">
        <v>0.99771589999999999</v>
      </c>
      <c r="AB2802">
        <v>41</v>
      </c>
      <c r="AC2802">
        <v>113.9674</v>
      </c>
      <c r="AD2802">
        <v>2.1692870000000002</v>
      </c>
      <c r="AE2802">
        <v>7.8170000000000002</v>
      </c>
      <c r="AF2802">
        <v>-7.7297166551464098</v>
      </c>
      <c r="AG2802">
        <v>2.1692870000000002</v>
      </c>
      <c r="AH2802">
        <v>113.932079364901</v>
      </c>
      <c r="AI2802">
        <v>88.911711179993006</v>
      </c>
      <c r="AJ2802">
        <v>93.881281703790805</v>
      </c>
      <c r="AK2802">
        <v>114.21459203651401</v>
      </c>
      <c r="AL2802">
        <v>79.085367771357397</v>
      </c>
      <c r="AM2802">
        <v>89.199896078379695</v>
      </c>
      <c r="AN2802">
        <v>0.99999994722166397</v>
      </c>
    </row>
    <row r="2803" spans="1:40" x14ac:dyDescent="0.25">
      <c r="A2803" t="str">
        <f>"20190312164527640"</f>
        <v>20190312164527640</v>
      </c>
      <c r="B2803" t="str">
        <f>"1552380327634821"</f>
        <v>1552380327634821</v>
      </c>
      <c r="C2803" t="s">
        <v>40</v>
      </c>
      <c r="D2803">
        <v>4.5382449999999999</v>
      </c>
      <c r="E2803">
        <v>0.4714565</v>
      </c>
      <c r="F2803" t="s">
        <v>62</v>
      </c>
      <c r="G2803">
        <v>-168.35059999999999</v>
      </c>
      <c r="H2803">
        <v>3.2871169999999998</v>
      </c>
      <c r="I2803">
        <v>221.72280000000001</v>
      </c>
      <c r="J2803">
        <v>-282.02620000000002</v>
      </c>
      <c r="K2803">
        <v>1.1089340000000001</v>
      </c>
      <c r="L2803">
        <v>213.8777</v>
      </c>
      <c r="M2803">
        <v>0.99989760000000005</v>
      </c>
      <c r="N2803">
        <v>0</v>
      </c>
      <c r="O2803">
        <v>7.5783130000000004E-4</v>
      </c>
      <c r="P2803">
        <v>0.9844562</v>
      </c>
      <c r="Q2803">
        <v>0.17513979999999901</v>
      </c>
      <c r="R2803">
        <v>-1.311902E-2</v>
      </c>
      <c r="S2803">
        <v>3.0398559999999999</v>
      </c>
      <c r="T2803">
        <v>5.8100220000000001E-2</v>
      </c>
      <c r="U2803">
        <v>0.209259</v>
      </c>
      <c r="V2803">
        <v>1.3860340000000001E-2</v>
      </c>
      <c r="W2803">
        <v>0.1891941</v>
      </c>
      <c r="X2803">
        <v>0.98184190000000005</v>
      </c>
      <c r="Y2803">
        <v>-6.7907599999999999E-2</v>
      </c>
      <c r="Z2803">
        <v>-6.3365969999999998E-4</v>
      </c>
      <c r="AA2803">
        <v>0.99769140000000001</v>
      </c>
      <c r="AB2803">
        <v>41</v>
      </c>
      <c r="AC2803">
        <v>113.6756</v>
      </c>
      <c r="AD2803">
        <v>2.1781830000000002</v>
      </c>
      <c r="AE2803">
        <v>7.8451000000000004</v>
      </c>
      <c r="AF2803">
        <v>-7.7561077952700597</v>
      </c>
      <c r="AG2803">
        <v>2.1781830000000002</v>
      </c>
      <c r="AH2803">
        <v>113.63998705344601</v>
      </c>
      <c r="AI2803">
        <v>88.904471430573807</v>
      </c>
      <c r="AJ2803">
        <v>93.904471848142705</v>
      </c>
      <c r="AK2803">
        <v>113.92518749960701</v>
      </c>
      <c r="AL2803">
        <v>79.094243642286202</v>
      </c>
      <c r="AM2803">
        <v>89.191227998311703</v>
      </c>
      <c r="AN2803">
        <v>1.0000000165476599</v>
      </c>
    </row>
    <row r="2804" spans="1:40" x14ac:dyDescent="0.25">
      <c r="A2804" t="str">
        <f>"20190312164527655"</f>
        <v>20190312164527655</v>
      </c>
      <c r="B2804" t="str">
        <f>"1552380327644582"</f>
        <v>1552380327644582</v>
      </c>
      <c r="C2804" t="s">
        <v>40</v>
      </c>
      <c r="D2804">
        <v>4.6485789999999998</v>
      </c>
      <c r="E2804">
        <v>0.47129090000000001</v>
      </c>
      <c r="F2804" t="s">
        <v>62</v>
      </c>
      <c r="G2804">
        <v>-168.35059999999999</v>
      </c>
      <c r="H2804">
        <v>3.3097530000000002</v>
      </c>
      <c r="I2804">
        <v>221.77979999999999</v>
      </c>
      <c r="J2804">
        <v>-281.75810000000001</v>
      </c>
      <c r="K2804">
        <v>1.1089340000000001</v>
      </c>
      <c r="L2804">
        <v>213.87790000000001</v>
      </c>
      <c r="M2804">
        <v>0.9998977</v>
      </c>
      <c r="N2804">
        <v>0</v>
      </c>
      <c r="O2804">
        <v>7.7262369999999997E-4</v>
      </c>
      <c r="P2804">
        <v>0.9844619</v>
      </c>
      <c r="Q2804">
        <v>0.17511099999999999</v>
      </c>
      <c r="R2804">
        <v>-1.3091E-2</v>
      </c>
      <c r="S2804">
        <v>3.0397029999999998</v>
      </c>
      <c r="T2804">
        <v>5.8851720000000003E-2</v>
      </c>
      <c r="U2804">
        <v>0.21130370000000001</v>
      </c>
      <c r="V2804">
        <v>1.384694E-2</v>
      </c>
      <c r="W2804">
        <v>0.1891641</v>
      </c>
      <c r="X2804">
        <v>0.9818479</v>
      </c>
      <c r="Y2804">
        <v>-6.8563719999999995E-2</v>
      </c>
      <c r="Z2804">
        <v>-6.4792879999999895E-4</v>
      </c>
      <c r="AA2804">
        <v>0.99764649999999999</v>
      </c>
      <c r="AB2804">
        <v>41</v>
      </c>
      <c r="AC2804">
        <v>113.4075</v>
      </c>
      <c r="AD2804">
        <v>2.2008190000000001</v>
      </c>
      <c r="AE2804">
        <v>7.9018999999999799</v>
      </c>
      <c r="AF2804">
        <v>-7.8113398103882403</v>
      </c>
      <c r="AG2804">
        <v>2.2008190000000001</v>
      </c>
      <c r="AH2804">
        <v>113.37108222509799</v>
      </c>
      <c r="AI2804">
        <v>88.890513669498105</v>
      </c>
      <c r="AJ2804">
        <v>93.941486459483599</v>
      </c>
      <c r="AK2804">
        <v>113.66117595201101</v>
      </c>
      <c r="AL2804">
        <v>79.095994456570097</v>
      </c>
      <c r="AM2804">
        <v>89.192014741974205</v>
      </c>
      <c r="AN2804">
        <v>1.0000000466052901</v>
      </c>
    </row>
    <row r="2805" spans="1:40" x14ac:dyDescent="0.25">
      <c r="A2805" t="str">
        <f>"20190312164527668"</f>
        <v>20190312164527668</v>
      </c>
      <c r="B2805" t="str">
        <f>"1552380327664103"</f>
        <v>1552380327664103</v>
      </c>
      <c r="C2805" t="s">
        <v>40</v>
      </c>
      <c r="D2805">
        <v>4.3084360000000004</v>
      </c>
      <c r="E2805">
        <v>0.47043839999999998</v>
      </c>
      <c r="F2805" t="s">
        <v>62</v>
      </c>
      <c r="G2805">
        <v>-168.35059999999999</v>
      </c>
      <c r="H2805">
        <v>3.3236829999999999</v>
      </c>
      <c r="I2805">
        <v>221.80430000000001</v>
      </c>
      <c r="J2805">
        <v>-281.5154</v>
      </c>
      <c r="K2805">
        <v>1.1089359999999999</v>
      </c>
      <c r="L2805">
        <v>213.87809999999999</v>
      </c>
      <c r="M2805">
        <v>0.9998977</v>
      </c>
      <c r="N2805">
        <v>0</v>
      </c>
      <c r="O2805">
        <v>7.8616539999999896E-4</v>
      </c>
      <c r="P2805">
        <v>0.98447320000000005</v>
      </c>
      <c r="Q2805">
        <v>0.17506269999999999</v>
      </c>
      <c r="R2805">
        <v>-1.289116E-2</v>
      </c>
      <c r="S2805">
        <v>3.039612</v>
      </c>
      <c r="T2805">
        <v>5.9362409999999997E-2</v>
      </c>
      <c r="U2805">
        <v>0.2124481</v>
      </c>
      <c r="V2805">
        <v>1.366033E-2</v>
      </c>
      <c r="W2805">
        <v>0.18911439999999999</v>
      </c>
      <c r="X2805">
        <v>0.98185999999999996</v>
      </c>
      <c r="Y2805">
        <v>-6.8925799999999995E-2</v>
      </c>
      <c r="Z2805">
        <v>-6.5682809999999996E-4</v>
      </c>
      <c r="AA2805">
        <v>0.9976216</v>
      </c>
      <c r="AB2805">
        <v>41</v>
      </c>
      <c r="AC2805">
        <v>113.1648</v>
      </c>
      <c r="AD2805">
        <v>2.214747</v>
      </c>
      <c r="AE2805">
        <v>7.9262000000000201</v>
      </c>
      <c r="AF2805">
        <v>-7.8342361767450504</v>
      </c>
      <c r="AG2805">
        <v>2.214747</v>
      </c>
      <c r="AH2805">
        <v>113.12787784806299</v>
      </c>
      <c r="AI2805">
        <v>88.881121278114705</v>
      </c>
      <c r="AJ2805">
        <v>93.9614742622975</v>
      </c>
      <c r="AK2805">
        <v>113.420443955899</v>
      </c>
      <c r="AL2805">
        <v>79.098893446974003</v>
      </c>
      <c r="AM2805">
        <v>89.202912062547696</v>
      </c>
      <c r="AN2805">
        <v>0.99999996025153304</v>
      </c>
    </row>
    <row r="2806" spans="1:40" x14ac:dyDescent="0.25">
      <c r="A2806" t="str">
        <f>"20190312164527683"</f>
        <v>20190312164527683</v>
      </c>
      <c r="B2806" t="str">
        <f>"1552380327674842"</f>
        <v>1552380327674842</v>
      </c>
      <c r="C2806" t="s">
        <v>40</v>
      </c>
      <c r="D2806">
        <v>4.4209209999999999</v>
      </c>
      <c r="E2806">
        <v>0.47004230000000002</v>
      </c>
      <c r="F2806" t="s">
        <v>62</v>
      </c>
      <c r="G2806">
        <v>-168.35059999999999</v>
      </c>
      <c r="H2806">
        <v>3.3541059999999998</v>
      </c>
      <c r="I2806">
        <v>222.059</v>
      </c>
      <c r="J2806">
        <v>-281.23099999999999</v>
      </c>
      <c r="K2806">
        <v>1.1089389999999999</v>
      </c>
      <c r="L2806">
        <v>213.8783</v>
      </c>
      <c r="M2806">
        <v>0.9998977</v>
      </c>
      <c r="N2806">
        <v>0</v>
      </c>
      <c r="O2806">
        <v>8.0197220000000004E-4</v>
      </c>
      <c r="P2806">
        <v>0.98446230000000001</v>
      </c>
      <c r="Q2806">
        <v>0.1751344</v>
      </c>
      <c r="R2806">
        <v>-1.2733619999999999E-2</v>
      </c>
      <c r="S2806">
        <v>3.0394290000000002</v>
      </c>
      <c r="T2806">
        <v>6.0303210000000003E-2</v>
      </c>
      <c r="U2806">
        <v>0.21972659999999999</v>
      </c>
      <c r="V2806">
        <v>1.3518550000000001E-2</v>
      </c>
      <c r="W2806">
        <v>0.1891842</v>
      </c>
      <c r="X2806">
        <v>0.98184850000000001</v>
      </c>
      <c r="Y2806">
        <v>-7.129009E-2</v>
      </c>
      <c r="Z2806">
        <v>-6.9032740000000005E-4</v>
      </c>
      <c r="AA2806">
        <v>0.99745539999999999</v>
      </c>
      <c r="AB2806">
        <v>41</v>
      </c>
      <c r="AC2806">
        <v>112.88039999999999</v>
      </c>
      <c r="AD2806">
        <v>2.2451669999999999</v>
      </c>
      <c r="AE2806">
        <v>8.1807000000000301</v>
      </c>
      <c r="AF2806">
        <v>-8.0869786708297795</v>
      </c>
      <c r="AG2806">
        <v>2.2451669999999999</v>
      </c>
      <c r="AH2806">
        <v>112.842517390296</v>
      </c>
      <c r="AI2806">
        <v>88.863082132435906</v>
      </c>
      <c r="AJ2806">
        <v>94.099154597274307</v>
      </c>
      <c r="AK2806">
        <v>113.15420332386999</v>
      </c>
      <c r="AL2806">
        <v>79.094820511068306</v>
      </c>
      <c r="AM2806">
        <v>89.211174716535197</v>
      </c>
      <c r="AN2806">
        <v>0.99999994483799404</v>
      </c>
    </row>
    <row r="2807" spans="1:40" x14ac:dyDescent="0.25">
      <c r="A2807" t="str">
        <f>"20190312164527702"</f>
        <v>20190312164527702</v>
      </c>
      <c r="B2807" t="str">
        <f>"1552380327694358"</f>
        <v>1552380327694358</v>
      </c>
      <c r="C2807" t="s">
        <v>40</v>
      </c>
      <c r="D2807">
        <v>4.4559309999999996</v>
      </c>
      <c r="E2807">
        <v>0.46924460000000001</v>
      </c>
      <c r="F2807" t="s">
        <v>62</v>
      </c>
      <c r="G2807">
        <v>-168.35059999999999</v>
      </c>
      <c r="H2807">
        <v>3.361208</v>
      </c>
      <c r="I2807">
        <v>222.1814</v>
      </c>
      <c r="J2807">
        <v>-280.90859999999998</v>
      </c>
      <c r="K2807">
        <v>1.1089420000000001</v>
      </c>
      <c r="L2807">
        <v>213.87860000000001</v>
      </c>
      <c r="M2807">
        <v>0.99989760000000005</v>
      </c>
      <c r="N2807">
        <v>0</v>
      </c>
      <c r="O2807">
        <v>8.2022449999999999E-4</v>
      </c>
      <c r="P2807">
        <v>0.98448749999999996</v>
      </c>
      <c r="Q2807">
        <v>0.17500499999999999</v>
      </c>
      <c r="R2807">
        <v>-1.2551130000000001E-2</v>
      </c>
      <c r="S2807">
        <v>3.0394589999999999</v>
      </c>
      <c r="T2807">
        <v>6.0646890000000002E-2</v>
      </c>
      <c r="U2807">
        <v>0.22357179999999999</v>
      </c>
      <c r="V2807">
        <v>1.335388E-2</v>
      </c>
      <c r="W2807">
        <v>0.1890531</v>
      </c>
      <c r="X2807">
        <v>0.98187610000000003</v>
      </c>
      <c r="Y2807">
        <v>-7.2525930000000002E-2</v>
      </c>
      <c r="Z2807">
        <v>-7.0617E-4</v>
      </c>
      <c r="AA2807">
        <v>0.99736619999999998</v>
      </c>
      <c r="AB2807">
        <v>41</v>
      </c>
      <c r="AC2807">
        <v>112.55800000000001</v>
      </c>
      <c r="AD2807">
        <v>2.2522660000000001</v>
      </c>
      <c r="AE2807">
        <v>8.3027999999999906</v>
      </c>
      <c r="AF2807">
        <v>-8.2071966319132894</v>
      </c>
      <c r="AG2807">
        <v>2.2522660000000001</v>
      </c>
      <c r="AH2807">
        <v>112.519964575401</v>
      </c>
      <c r="AI2807">
        <v>88.856324467258105</v>
      </c>
      <c r="AJ2807">
        <v>94.171761499105898</v>
      </c>
      <c r="AK2807">
        <v>112.841363013476</v>
      </c>
      <c r="AL2807">
        <v>79.102471059861898</v>
      </c>
      <c r="AM2807">
        <v>89.220804137587095</v>
      </c>
      <c r="AN2807">
        <v>1.00000003824093</v>
      </c>
    </row>
    <row r="2808" spans="1:40" x14ac:dyDescent="0.25">
      <c r="A2808" t="str">
        <f>"20190312164527718"</f>
        <v>20190312164527718</v>
      </c>
      <c r="B2808" t="str">
        <f>"1552380327713878"</f>
        <v>1552380327713878</v>
      </c>
      <c r="C2808" t="s">
        <v>40</v>
      </c>
      <c r="D2808">
        <v>4.366606</v>
      </c>
      <c r="E2808">
        <v>0.46867589999999998</v>
      </c>
      <c r="F2808" t="s">
        <v>62</v>
      </c>
      <c r="G2808">
        <v>-168.35059999999999</v>
      </c>
      <c r="H2808">
        <v>3.3383159999999998</v>
      </c>
      <c r="I2808">
        <v>222.42740000000001</v>
      </c>
      <c r="J2808">
        <v>-280.60910000000001</v>
      </c>
      <c r="K2808">
        <v>1.1089439999999999</v>
      </c>
      <c r="L2808">
        <v>213.87889999999999</v>
      </c>
      <c r="M2808">
        <v>0.9998977</v>
      </c>
      <c r="N2808">
        <v>0</v>
      </c>
      <c r="O2808">
        <v>8.3692550000000004E-4</v>
      </c>
      <c r="P2808">
        <v>0.9845235</v>
      </c>
      <c r="Q2808">
        <v>0.17482230000000001</v>
      </c>
      <c r="R2808">
        <v>-1.227963E-2</v>
      </c>
      <c r="S2808">
        <v>3.03952</v>
      </c>
      <c r="T2808">
        <v>6.0203550000000002E-2</v>
      </c>
      <c r="U2808">
        <v>0.23085020000000001</v>
      </c>
      <c r="V2808">
        <v>1.3099E-2</v>
      </c>
      <c r="W2808">
        <v>0.18886910000000001</v>
      </c>
      <c r="X2808">
        <v>0.98191490000000003</v>
      </c>
      <c r="Y2808">
        <v>-7.4882370000000004E-2</v>
      </c>
      <c r="Z2808">
        <v>-7.2390300000000002E-4</v>
      </c>
      <c r="AA2808">
        <v>0.99719210000000003</v>
      </c>
      <c r="AB2808">
        <v>41</v>
      </c>
      <c r="AC2808">
        <v>112.2585</v>
      </c>
      <c r="AD2808">
        <v>2.2293720000000001</v>
      </c>
      <c r="AE2808">
        <v>8.5485000000000095</v>
      </c>
      <c r="AF2808">
        <v>-8.4512215587069299</v>
      </c>
      <c r="AG2808">
        <v>2.2293720000000001</v>
      </c>
      <c r="AH2808">
        <v>112.221611880959</v>
      </c>
      <c r="AI2808">
        <v>88.865135959443293</v>
      </c>
      <c r="AJ2808">
        <v>94.306719800799399</v>
      </c>
      <c r="AK2808">
        <v>112.561465069131</v>
      </c>
      <c r="AL2808">
        <v>79.113206425702899</v>
      </c>
      <c r="AM2808">
        <v>89.235704744608896</v>
      </c>
      <c r="AN2808">
        <v>0.99999999578890997</v>
      </c>
    </row>
    <row r="2809" spans="1:40" x14ac:dyDescent="0.25">
      <c r="A2809" t="str">
        <f>"20190312164527741"</f>
        <v>20190312164527741</v>
      </c>
      <c r="B2809" t="str">
        <f>"1552380327734374"</f>
        <v>1552380327734374</v>
      </c>
      <c r="C2809" t="s">
        <v>40</v>
      </c>
      <c r="D2809">
        <v>4.2438690000000001</v>
      </c>
      <c r="E2809">
        <v>0.46805530000000001</v>
      </c>
      <c r="F2809" t="s">
        <v>62</v>
      </c>
      <c r="G2809">
        <v>-168.35059999999999</v>
      </c>
      <c r="H2809">
        <v>3.2220360000000001</v>
      </c>
      <c r="I2809">
        <v>222.61449999999999</v>
      </c>
      <c r="J2809">
        <v>-280.1841</v>
      </c>
      <c r="K2809">
        <v>1.1089420000000001</v>
      </c>
      <c r="L2809">
        <v>213.8792</v>
      </c>
      <c r="M2809">
        <v>0.99989760000000005</v>
      </c>
      <c r="N2809">
        <v>0</v>
      </c>
      <c r="O2809">
        <v>8.6066460000000001E-4</v>
      </c>
      <c r="P2809">
        <v>0.98456679999999996</v>
      </c>
      <c r="Q2809">
        <v>0.1745765</v>
      </c>
      <c r="R2809">
        <v>-1.229736E-2</v>
      </c>
      <c r="S2809">
        <v>3.039917</v>
      </c>
      <c r="T2809">
        <v>5.7223200000000002E-2</v>
      </c>
      <c r="U2809">
        <v>0.23655699999999999</v>
      </c>
      <c r="V2809">
        <v>1.31401E-2</v>
      </c>
      <c r="W2809">
        <v>0.18862139999999999</v>
      </c>
      <c r="X2809">
        <v>0.981962</v>
      </c>
      <c r="Y2809">
        <v>-7.6710849999999997E-2</v>
      </c>
      <c r="Z2809">
        <v>-7.0467019999999997E-4</v>
      </c>
      <c r="AA2809">
        <v>0.99705310000000003</v>
      </c>
      <c r="AB2809">
        <v>41</v>
      </c>
      <c r="AC2809">
        <v>111.8335</v>
      </c>
      <c r="AD2809">
        <v>2.1130939999999998</v>
      </c>
      <c r="AE2809">
        <v>8.7352999999999899</v>
      </c>
      <c r="AF2809">
        <v>-8.6359712817896099</v>
      </c>
      <c r="AG2809">
        <v>2.1130939999999998</v>
      </c>
      <c r="AH2809">
        <v>111.80130413854501</v>
      </c>
      <c r="AI2809">
        <v>88.920428540480899</v>
      </c>
      <c r="AJ2809">
        <v>94.416979872418196</v>
      </c>
      <c r="AK2809">
        <v>112.154254370096</v>
      </c>
      <c r="AL2809">
        <v>79.127658747672101</v>
      </c>
      <c r="AM2809">
        <v>89.2333437141166</v>
      </c>
      <c r="AN2809">
        <v>1.00000003210498</v>
      </c>
    </row>
    <row r="2810" spans="1:40" x14ac:dyDescent="0.25">
      <c r="A2810" t="str">
        <f>"20190312164527755"</f>
        <v>20190312164527755</v>
      </c>
      <c r="B2810" t="str">
        <f>"1552380327744134"</f>
        <v>1552380327744134</v>
      </c>
      <c r="C2810" t="s">
        <v>40</v>
      </c>
      <c r="D2810">
        <v>4.4148529999999999</v>
      </c>
      <c r="E2810">
        <v>0.46777390000000002</v>
      </c>
      <c r="F2810" t="s">
        <v>62</v>
      </c>
      <c r="G2810">
        <v>-168.35059999999999</v>
      </c>
      <c r="H2810">
        <v>3.1934369999999999</v>
      </c>
      <c r="I2810">
        <v>222.74719999999999</v>
      </c>
      <c r="J2810">
        <v>-279.92529999999999</v>
      </c>
      <c r="K2810">
        <v>1.10894</v>
      </c>
      <c r="L2810">
        <v>213.87950000000001</v>
      </c>
      <c r="M2810">
        <v>0.9998977</v>
      </c>
      <c r="N2810">
        <v>0</v>
      </c>
      <c r="O2810">
        <v>8.7503799999999997E-4</v>
      </c>
      <c r="P2810">
        <v>0.98461900000000002</v>
      </c>
      <c r="Q2810">
        <v>0.17428979999999999</v>
      </c>
      <c r="R2810">
        <v>-1.22034E-2</v>
      </c>
      <c r="S2810">
        <v>3.0399780000000001</v>
      </c>
      <c r="T2810">
        <v>5.6664470000000002E-2</v>
      </c>
      <c r="U2810">
        <v>0.2410583</v>
      </c>
      <c r="V2810">
        <v>1.306032E-2</v>
      </c>
      <c r="W2810">
        <v>0.18833430000000001</v>
      </c>
      <c r="X2810">
        <v>0.9820181</v>
      </c>
      <c r="Y2810">
        <v>-7.8162190000000006E-2</v>
      </c>
      <c r="Z2810">
        <v>-7.1097279999999998E-4</v>
      </c>
      <c r="AA2810">
        <v>0.99694039999999995</v>
      </c>
      <c r="AB2810">
        <v>41</v>
      </c>
      <c r="AC2810">
        <v>111.57470000000001</v>
      </c>
      <c r="AD2810">
        <v>2.0844969999999998</v>
      </c>
      <c r="AE2810">
        <v>8.8676999999999797</v>
      </c>
      <c r="AF2810">
        <v>-8.7670137489120599</v>
      </c>
      <c r="AG2810">
        <v>2.0844969999999998</v>
      </c>
      <c r="AH2810">
        <v>111.543729169317</v>
      </c>
      <c r="AI2810">
        <v>88.932688455558505</v>
      </c>
      <c r="AJ2810">
        <v>94.494043374568705</v>
      </c>
      <c r="AK2810">
        <v>111.907145325106</v>
      </c>
      <c r="AL2810">
        <v>79.144407823610194</v>
      </c>
      <c r="AM2810">
        <v>89.238041436348198</v>
      </c>
      <c r="AN2810">
        <v>0.99999996462130003</v>
      </c>
    </row>
    <row r="2811" spans="1:40" x14ac:dyDescent="0.25">
      <c r="A2811" t="str">
        <f>"20190312164527769"</f>
        <v>20190312164527769</v>
      </c>
      <c r="B2811" t="str">
        <f>"1552380327764630"</f>
        <v>1552380327764630</v>
      </c>
      <c r="C2811" t="s">
        <v>40</v>
      </c>
      <c r="D2811">
        <v>4.2565280000000003</v>
      </c>
      <c r="E2811">
        <v>0.46751730000000002</v>
      </c>
      <c r="F2811" t="s">
        <v>62</v>
      </c>
      <c r="G2811">
        <v>-168.35059999999999</v>
      </c>
      <c r="H2811">
        <v>3.1670630000000002</v>
      </c>
      <c r="I2811">
        <v>222.81819999999999</v>
      </c>
      <c r="J2811">
        <v>-279.68540000000002</v>
      </c>
      <c r="K2811">
        <v>1.108938</v>
      </c>
      <c r="L2811">
        <v>213.87970000000001</v>
      </c>
      <c r="M2811">
        <v>0.9998977</v>
      </c>
      <c r="N2811">
        <v>0</v>
      </c>
      <c r="O2811">
        <v>8.8851519999999995E-4</v>
      </c>
      <c r="P2811">
        <v>0.98466799999999999</v>
      </c>
      <c r="Q2811">
        <v>0.17400389999999999</v>
      </c>
      <c r="R2811">
        <v>-1.2311920000000001E-2</v>
      </c>
      <c r="S2811">
        <v>3.0399780000000001</v>
      </c>
      <c r="T2811">
        <v>5.607736E-2</v>
      </c>
      <c r="U2811">
        <v>0.2435455</v>
      </c>
      <c r="V2811">
        <v>1.31822999999999E-2</v>
      </c>
      <c r="W2811">
        <v>0.18804770000000001</v>
      </c>
      <c r="X2811">
        <v>0.98207149999999999</v>
      </c>
      <c r="Y2811">
        <v>-7.8959379999999996E-2</v>
      </c>
      <c r="Z2811">
        <v>-7.1067690000000002E-4</v>
      </c>
      <c r="AA2811">
        <v>0.99687760000000003</v>
      </c>
      <c r="AB2811">
        <v>41</v>
      </c>
      <c r="AC2811">
        <v>111.3348</v>
      </c>
      <c r="AD2811">
        <v>2.058125</v>
      </c>
      <c r="AE2811">
        <v>8.9384999999999692</v>
      </c>
      <c r="AF2811">
        <v>-8.8365633579710199</v>
      </c>
      <c r="AG2811">
        <v>2.058125</v>
      </c>
      <c r="AH2811">
        <v>111.30490634774701</v>
      </c>
      <c r="AI2811">
        <v>88.943993631893207</v>
      </c>
      <c r="AJ2811">
        <v>94.539225607752996</v>
      </c>
      <c r="AK2811">
        <v>111.674092374086</v>
      </c>
      <c r="AL2811">
        <v>79.161128699879498</v>
      </c>
      <c r="AM2811">
        <v>89.230967605169397</v>
      </c>
      <c r="AN2811">
        <v>1.00000007081041</v>
      </c>
    </row>
    <row r="2812" spans="1:40" x14ac:dyDescent="0.25">
      <c r="A2812" t="str">
        <f>"20190312164527784"</f>
        <v>20190312164527784</v>
      </c>
      <c r="B2812" t="str">
        <f>"1552380327774390"</f>
        <v>1552380327774390</v>
      </c>
      <c r="C2812" t="s">
        <v>40</v>
      </c>
      <c r="D2812">
        <v>4.2112179999999997</v>
      </c>
      <c r="E2812">
        <v>0.45328950000000001</v>
      </c>
      <c r="F2812" t="s">
        <v>62</v>
      </c>
      <c r="G2812">
        <v>-168.35059999999999</v>
      </c>
      <c r="H2812">
        <v>3.1405219999999998</v>
      </c>
      <c r="I2812">
        <v>222.8579</v>
      </c>
      <c r="J2812">
        <v>-279.40069999999997</v>
      </c>
      <c r="K2812">
        <v>1.1089359999999999</v>
      </c>
      <c r="L2812">
        <v>213.88</v>
      </c>
      <c r="M2812">
        <v>0.9998977</v>
      </c>
      <c r="N2812">
        <v>0</v>
      </c>
      <c r="O2812">
        <v>9.0450049999999998E-4</v>
      </c>
      <c r="P2812">
        <v>0.98479079999999997</v>
      </c>
      <c r="Q2812">
        <v>0.1732987</v>
      </c>
      <c r="R2812">
        <v>-1.243173E-2</v>
      </c>
      <c r="S2812">
        <v>3.0399780000000001</v>
      </c>
      <c r="T2812">
        <v>5.547357E-2</v>
      </c>
      <c r="U2812">
        <v>0.2451477</v>
      </c>
      <c r="V2812">
        <v>1.3317890000000001E-2</v>
      </c>
      <c r="W2812">
        <v>0.1873428</v>
      </c>
      <c r="X2812">
        <v>0.98220430000000003</v>
      </c>
      <c r="Y2812">
        <v>-7.9465640000000004E-2</v>
      </c>
      <c r="Z2812">
        <v>-7.0733160000000005E-4</v>
      </c>
      <c r="AA2812">
        <v>0.99683739999999998</v>
      </c>
      <c r="AB2812">
        <v>41</v>
      </c>
      <c r="AC2812">
        <v>111.0501</v>
      </c>
      <c r="AD2812">
        <v>2.0315859999999999</v>
      </c>
      <c r="AE2812">
        <v>8.9779</v>
      </c>
      <c r="AF2812">
        <v>-8.8744903737478698</v>
      </c>
      <c r="AG2812">
        <v>2.0315859999999999</v>
      </c>
      <c r="AH2812">
        <v>111.02126035577</v>
      </c>
      <c r="AI2812">
        <v>88.9549899743906</v>
      </c>
      <c r="AJ2812">
        <v>94.570223738076294</v>
      </c>
      <c r="AK2812">
        <v>111.393914430066</v>
      </c>
      <c r="AL2812">
        <v>79.202246385718894</v>
      </c>
      <c r="AM2812">
        <v>89.223163520051003</v>
      </c>
      <c r="AN2812">
        <v>0.99999998892219</v>
      </c>
    </row>
    <row r="2813" spans="1:40" x14ac:dyDescent="0.25">
      <c r="A2813" t="str">
        <f>"20190312164527807"</f>
        <v>20190312164527807</v>
      </c>
      <c r="B2813" t="str">
        <f>"1552380327804646"</f>
        <v>1552380327804646</v>
      </c>
      <c r="C2813" t="s">
        <v>40</v>
      </c>
      <c r="D2813">
        <v>4.2548879999999896</v>
      </c>
      <c r="E2813">
        <v>0.4537969</v>
      </c>
      <c r="F2813" t="s">
        <v>47</v>
      </c>
      <c r="G2813">
        <v>-250.80029999999999</v>
      </c>
      <c r="H2813" s="1">
        <v>-1.227917E-6</v>
      </c>
      <c r="I2813">
        <v>217.29339999999999</v>
      </c>
      <c r="J2813">
        <v>-278.9941</v>
      </c>
      <c r="K2813">
        <v>1.10893</v>
      </c>
      <c r="L2813">
        <v>213.88040000000001</v>
      </c>
      <c r="M2813">
        <v>0.9998977</v>
      </c>
      <c r="N2813">
        <v>0</v>
      </c>
      <c r="O2813">
        <v>9.2728280000000003E-4</v>
      </c>
      <c r="P2813">
        <v>0.98492299999999999</v>
      </c>
      <c r="Q2813">
        <v>0.17253850000000001</v>
      </c>
      <c r="R2813">
        <v>-1.254311E-2</v>
      </c>
      <c r="S2813">
        <v>3.07193</v>
      </c>
      <c r="T2813">
        <v>-0.1191094</v>
      </c>
      <c r="U2813">
        <v>0.36663820000000003</v>
      </c>
      <c r="V2813">
        <v>1.345178E-2</v>
      </c>
      <c r="W2813">
        <v>0.18658259999999999</v>
      </c>
      <c r="X2813">
        <v>0.98234719999999998</v>
      </c>
      <c r="Y2813">
        <v>-0.1175027</v>
      </c>
      <c r="Z2813">
        <v>2.2332789999999999E-3</v>
      </c>
      <c r="AA2813">
        <v>0.99307009999999996</v>
      </c>
      <c r="AB2813">
        <v>41</v>
      </c>
      <c r="AC2813">
        <v>28.1938</v>
      </c>
      <c r="AD2813">
        <v>-1.1089312279170001</v>
      </c>
      <c r="AE2813">
        <v>3.4129999999999798</v>
      </c>
      <c r="AF2813">
        <v>-3.3816961768843501</v>
      </c>
      <c r="AG2813">
        <v>-1.1089312279170001</v>
      </c>
      <c r="AH2813">
        <v>28.154026620572399</v>
      </c>
      <c r="AI2813">
        <v>92.239520247877394</v>
      </c>
      <c r="AJ2813">
        <v>96.849219190853205</v>
      </c>
      <c r="AK2813">
        <v>28.3780692164373</v>
      </c>
      <c r="AL2813">
        <v>79.246584780761495</v>
      </c>
      <c r="AM2813">
        <v>89.215468774595095</v>
      </c>
      <c r="AN2813">
        <v>1.00000001917788</v>
      </c>
    </row>
    <row r="2814" spans="1:40" x14ac:dyDescent="0.25">
      <c r="A2814" t="str">
        <f>"20190312164527822"</f>
        <v>20190312164527822</v>
      </c>
      <c r="B2814" t="str">
        <f>"1552380327814407"</f>
        <v>1552380327814407</v>
      </c>
      <c r="C2814" t="s">
        <v>40</v>
      </c>
      <c r="D2814">
        <v>4.3785080000000001</v>
      </c>
      <c r="E2814">
        <v>0.45425789999999999</v>
      </c>
      <c r="F2814" t="s">
        <v>47</v>
      </c>
      <c r="G2814">
        <v>-232.9402</v>
      </c>
      <c r="H2814" s="1">
        <v>-1.7632389999999999E-7</v>
      </c>
      <c r="I2814">
        <v>219.28739999999999</v>
      </c>
      <c r="J2814">
        <v>-278.72280000000001</v>
      </c>
      <c r="K2814">
        <v>1.108927</v>
      </c>
      <c r="L2814">
        <v>213.88059999999999</v>
      </c>
      <c r="M2814">
        <v>0.9998977</v>
      </c>
      <c r="N2814">
        <v>0</v>
      </c>
      <c r="O2814">
        <v>9.4260809999999998E-4</v>
      </c>
      <c r="P2814">
        <v>0.98495549999999998</v>
      </c>
      <c r="Q2814">
        <v>0.17234839999999901</v>
      </c>
      <c r="R2814">
        <v>-1.260199E-2</v>
      </c>
      <c r="S2814">
        <v>3.0633849999999998</v>
      </c>
      <c r="T2814">
        <v>-7.3763129999999996E-2</v>
      </c>
      <c r="U2814">
        <v>0.35966490000000001</v>
      </c>
      <c r="V2814">
        <v>1.3525819999999999E-2</v>
      </c>
      <c r="W2814">
        <v>0.1863919</v>
      </c>
      <c r="X2814">
        <v>0.98238239999999999</v>
      </c>
      <c r="Y2814">
        <v>-0.11563759999999999</v>
      </c>
      <c r="Z2814">
        <v>1.3646349999999999E-3</v>
      </c>
      <c r="AA2814">
        <v>0.99329049999999997</v>
      </c>
      <c r="AB2814">
        <v>41</v>
      </c>
      <c r="AC2814">
        <v>45.782600000000002</v>
      </c>
      <c r="AD2814">
        <v>-1.1089271763238999</v>
      </c>
      <c r="AE2814">
        <v>5.4067999999999996</v>
      </c>
      <c r="AF2814">
        <v>-5.36053646349598</v>
      </c>
      <c r="AG2814">
        <v>-1.1089271763238999</v>
      </c>
      <c r="AH2814">
        <v>45.761198539992598</v>
      </c>
      <c r="AI2814">
        <v>91.378748219053406</v>
      </c>
      <c r="AJ2814">
        <v>96.681265458216799</v>
      </c>
      <c r="AK2814">
        <v>46.087442568181999</v>
      </c>
      <c r="AL2814">
        <v>79.257706345495905</v>
      </c>
      <c r="AM2814">
        <v>89.211179438966894</v>
      </c>
      <c r="AN2814">
        <v>1.00000003401102</v>
      </c>
    </row>
    <row r="2815" spans="1:40" x14ac:dyDescent="0.25">
      <c r="A2815" t="str">
        <f>"20190312164527834"</f>
        <v>20190312164527834</v>
      </c>
      <c r="B2815" t="str">
        <f>"1552380327824166"</f>
        <v>1552380327824166</v>
      </c>
      <c r="C2815" t="s">
        <v>40</v>
      </c>
      <c r="D2815">
        <v>4.2472250000000003</v>
      </c>
      <c r="E2815">
        <v>0.45471450000000002</v>
      </c>
      <c r="F2815" t="s">
        <v>47</v>
      </c>
      <c r="G2815">
        <v>-218.86840000000001</v>
      </c>
      <c r="H2815">
        <v>8.0000879999999996E-2</v>
      </c>
      <c r="I2815">
        <v>220.81909999999999</v>
      </c>
      <c r="J2815">
        <v>-278.49669999999998</v>
      </c>
      <c r="K2815">
        <v>1.108927</v>
      </c>
      <c r="L2815">
        <v>213.8809</v>
      </c>
      <c r="M2815">
        <v>0.9998977</v>
      </c>
      <c r="N2815">
        <v>0</v>
      </c>
      <c r="O2815">
        <v>9.5525060000000003E-4</v>
      </c>
      <c r="P2815">
        <v>0.98497190000000001</v>
      </c>
      <c r="Q2815">
        <v>0.1722688</v>
      </c>
      <c r="R2815">
        <v>-1.24151E-2</v>
      </c>
      <c r="S2815">
        <v>3.0595699999999999</v>
      </c>
      <c r="T2815">
        <v>-5.2595500000000003E-2</v>
      </c>
      <c r="U2815">
        <v>0.35467530000000003</v>
      </c>
      <c r="V2815">
        <v>1.335137E-2</v>
      </c>
      <c r="W2815">
        <v>0.18631130000000001</v>
      </c>
      <c r="X2815">
        <v>0.9824001</v>
      </c>
      <c r="Y2815">
        <v>-0.1141866</v>
      </c>
      <c r="Z2815">
        <v>9.6174770000000001E-4</v>
      </c>
      <c r="AA2815">
        <v>0.99345890000000003</v>
      </c>
      <c r="AB2815">
        <v>40</v>
      </c>
      <c r="AC2815">
        <v>59.628299999999903</v>
      </c>
      <c r="AD2815">
        <v>-1.0289261199999999</v>
      </c>
      <c r="AE2815">
        <v>6.9381999999999904</v>
      </c>
      <c r="AF2815">
        <v>-6.8792100847294497</v>
      </c>
      <c r="AG2815">
        <v>-1.0289261199999999</v>
      </c>
      <c r="AH2815">
        <v>59.617386755212799</v>
      </c>
      <c r="AI2815">
        <v>90.982243514168005</v>
      </c>
      <c r="AJ2815">
        <v>96.582211015997004</v>
      </c>
      <c r="AK2815">
        <v>60.021787909648999</v>
      </c>
      <c r="AL2815">
        <v>79.262406982093097</v>
      </c>
      <c r="AM2815">
        <v>89.221366061568403</v>
      </c>
      <c r="AN2815">
        <v>1.00000005803428</v>
      </c>
    </row>
    <row r="2816" spans="1:40" x14ac:dyDescent="0.25">
      <c r="A2816" t="str">
        <f>"20190312164527846"</f>
        <v>20190312164527846</v>
      </c>
      <c r="B2816" t="str">
        <f>"1552380327833927"</f>
        <v>1552380327833927</v>
      </c>
      <c r="C2816" t="s">
        <v>40</v>
      </c>
      <c r="D2816">
        <v>4.2868050000000002</v>
      </c>
      <c r="E2816">
        <v>0.45509630000000001</v>
      </c>
      <c r="F2816" t="s">
        <v>46</v>
      </c>
      <c r="G2816">
        <v>-188.89699999999999</v>
      </c>
      <c r="H2816" s="1">
        <v>1.8340379999999999E-6</v>
      </c>
      <c r="I2816">
        <v>224.1619</v>
      </c>
      <c r="J2816">
        <v>-278.27100000000002</v>
      </c>
      <c r="K2816">
        <v>1.1089310000000001</v>
      </c>
      <c r="L2816">
        <v>213.8811</v>
      </c>
      <c r="M2816">
        <v>0.99989779999999995</v>
      </c>
      <c r="N2816">
        <v>0</v>
      </c>
      <c r="O2816">
        <v>9.6789390000000003E-4</v>
      </c>
      <c r="P2816">
        <v>0.98498319999999995</v>
      </c>
      <c r="Q2816">
        <v>0.17219479999999901</v>
      </c>
      <c r="R2816">
        <v>-1.2551700000000001E-2</v>
      </c>
      <c r="S2816">
        <v>3.0568240000000002</v>
      </c>
      <c r="T2816">
        <v>-3.7832619999999997E-2</v>
      </c>
      <c r="U2816">
        <v>0.3507538</v>
      </c>
      <c r="V2816">
        <v>1.350058E-2</v>
      </c>
      <c r="W2816">
        <v>0.1862364</v>
      </c>
      <c r="X2816">
        <v>0.98241219999999996</v>
      </c>
      <c r="Y2816">
        <v>-0.1130263</v>
      </c>
      <c r="Z2816">
        <v>6.8517789999999904E-4</v>
      </c>
      <c r="AA2816">
        <v>0.99359180000000002</v>
      </c>
      <c r="AB2816">
        <v>40</v>
      </c>
      <c r="AC2816">
        <v>89.373999999999896</v>
      </c>
      <c r="AD2816">
        <v>-1.108929165962</v>
      </c>
      <c r="AE2816">
        <v>10.280799999999999</v>
      </c>
      <c r="AF2816">
        <v>-10.1927331342625</v>
      </c>
      <c r="AG2816">
        <v>-1.108929165962</v>
      </c>
      <c r="AH2816">
        <v>89.3703308068621</v>
      </c>
      <c r="AI2816">
        <v>90.706325257987999</v>
      </c>
      <c r="AJ2816">
        <v>96.506499772266096</v>
      </c>
      <c r="AK2816">
        <v>89.956531509220497</v>
      </c>
      <c r="AL2816">
        <v>79.266774215319899</v>
      </c>
      <c r="AM2816">
        <v>89.212675120508194</v>
      </c>
      <c r="AN2816">
        <v>0.99999999652706795</v>
      </c>
    </row>
    <row r="2817" spans="1:40" x14ac:dyDescent="0.25">
      <c r="A2817" t="str">
        <f>"20190312164527863"</f>
        <v>20190312164527863</v>
      </c>
      <c r="B2817" t="str">
        <f>"1552380327854425"</f>
        <v>1552380327854425</v>
      </c>
      <c r="C2817" t="s">
        <v>40</v>
      </c>
      <c r="D2817">
        <v>4.3920560000000002</v>
      </c>
      <c r="E2817">
        <v>0.45550639999999998</v>
      </c>
      <c r="F2817" t="s">
        <v>62</v>
      </c>
      <c r="G2817">
        <v>-157.25</v>
      </c>
      <c r="H2817">
        <v>6.8904880000000002E-2</v>
      </c>
      <c r="I2817">
        <v>227.62649999999999</v>
      </c>
      <c r="J2817">
        <v>-277.983</v>
      </c>
      <c r="K2817">
        <v>1.108932</v>
      </c>
      <c r="L2817">
        <v>213.88140000000001</v>
      </c>
      <c r="M2817">
        <v>0.99989779999999995</v>
      </c>
      <c r="N2817">
        <v>0</v>
      </c>
      <c r="O2817">
        <v>9.8411690000000003E-4</v>
      </c>
      <c r="P2817">
        <v>0.98499270000000005</v>
      </c>
      <c r="Q2817">
        <v>0.1721627</v>
      </c>
      <c r="R2817">
        <v>-1.224251E-2</v>
      </c>
      <c r="S2817">
        <v>3.0547490000000002</v>
      </c>
      <c r="T2817">
        <v>-2.625036E-2</v>
      </c>
      <c r="U2817">
        <v>0.34695429999999999</v>
      </c>
      <c r="V2817">
        <v>1.320734E-2</v>
      </c>
      <c r="W2817">
        <v>0.18620220000000001</v>
      </c>
      <c r="X2817">
        <v>0.98242269999999998</v>
      </c>
      <c r="Y2817">
        <v>-0.1118711</v>
      </c>
      <c r="Z2817">
        <v>4.7069169999999999E-4</v>
      </c>
      <c r="AA2817">
        <v>0.99372260000000001</v>
      </c>
      <c r="AB2817">
        <v>40</v>
      </c>
      <c r="AC2817">
        <v>120.732999999999</v>
      </c>
      <c r="AD2817">
        <v>-1.04002712</v>
      </c>
      <c r="AE2817">
        <v>13.7450999999999</v>
      </c>
      <c r="AF2817">
        <v>-13.625267734651301</v>
      </c>
      <c r="AG2817">
        <v>-1.04002712</v>
      </c>
      <c r="AH2817">
        <v>120.737624902262</v>
      </c>
      <c r="AI2817">
        <v>90.490417676538996</v>
      </c>
      <c r="AJ2817">
        <v>96.438601393246202</v>
      </c>
      <c r="AK2817">
        <v>121.508450917171</v>
      </c>
      <c r="AL2817">
        <v>79.268768950739698</v>
      </c>
      <c r="AM2817">
        <v>89.229782396596605</v>
      </c>
      <c r="AN2817">
        <v>1.000000027295</v>
      </c>
    </row>
    <row r="2818" spans="1:40" x14ac:dyDescent="0.25">
      <c r="A2818" t="str">
        <f>"20190312164527877"</f>
        <v>20190312164527877</v>
      </c>
      <c r="B2818" t="str">
        <f>"1552380327874918"</f>
        <v>1552380327874918</v>
      </c>
      <c r="C2818" t="s">
        <v>40</v>
      </c>
      <c r="D2818">
        <v>4.3373660000000003</v>
      </c>
      <c r="E2818">
        <v>0.45577620000000002</v>
      </c>
      <c r="F2818" t="s">
        <v>62</v>
      </c>
      <c r="G2818">
        <v>-157.25</v>
      </c>
      <c r="H2818">
        <v>0.74336619999999998</v>
      </c>
      <c r="I2818">
        <v>227.48929999999999</v>
      </c>
      <c r="J2818">
        <v>-277.72269999999997</v>
      </c>
      <c r="K2818">
        <v>1.1089329999999999</v>
      </c>
      <c r="L2818">
        <v>213.8817</v>
      </c>
      <c r="M2818">
        <v>0.9998977</v>
      </c>
      <c r="N2818">
        <v>0</v>
      </c>
      <c r="O2818">
        <v>9.9908630000000004E-4</v>
      </c>
      <c r="P2818">
        <v>0.98501119999999998</v>
      </c>
      <c r="Q2818">
        <v>0.17205670000000001</v>
      </c>
      <c r="R2818">
        <v>-1.223277E-2</v>
      </c>
      <c r="S2818">
        <v>3.0516049999999999</v>
      </c>
      <c r="T2818">
        <v>-9.2384819999999993E-3</v>
      </c>
      <c r="U2818">
        <v>0.34394839999999999</v>
      </c>
      <c r="V2818">
        <v>1.321256E-2</v>
      </c>
      <c r="W2818">
        <v>0.18609490000000001</v>
      </c>
      <c r="X2818">
        <v>0.98244290000000001</v>
      </c>
      <c r="Y2818">
        <v>-0.111008</v>
      </c>
      <c r="Z2818">
        <v>1.6448769999999999E-4</v>
      </c>
      <c r="AA2818">
        <v>0.99381949999999997</v>
      </c>
      <c r="AB2818">
        <v>40</v>
      </c>
      <c r="AC2818">
        <v>120.47269999999899</v>
      </c>
      <c r="AD2818">
        <v>-0.36556680000000003</v>
      </c>
      <c r="AE2818">
        <v>13.6075999999999</v>
      </c>
      <c r="AF2818">
        <v>-13.487095706733299</v>
      </c>
      <c r="AG2818">
        <v>-0.36556680000000003</v>
      </c>
      <c r="AH2818">
        <v>120.485140983948</v>
      </c>
      <c r="AI2818">
        <v>90.172762908491194</v>
      </c>
      <c r="AJ2818">
        <v>96.3870949797154</v>
      </c>
      <c r="AK2818">
        <v>121.23821422146401</v>
      </c>
      <c r="AL2818">
        <v>79.275025506307202</v>
      </c>
      <c r="AM2818">
        <v>89.229493857298905</v>
      </c>
      <c r="AN2818">
        <v>0.99999996765408605</v>
      </c>
    </row>
    <row r="2819" spans="1:40" x14ac:dyDescent="0.25">
      <c r="A2819" t="str">
        <f>"20190312164527892"</f>
        <v>20190312164527892</v>
      </c>
      <c r="B2819" t="str">
        <f>"1552380327884678"</f>
        <v>1552380327884678</v>
      </c>
      <c r="C2819" t="s">
        <v>40</v>
      </c>
      <c r="D2819">
        <v>4.4800420000000001</v>
      </c>
      <c r="E2819">
        <v>0.45592470000000002</v>
      </c>
      <c r="F2819" t="s">
        <v>62</v>
      </c>
      <c r="G2819">
        <v>-157.25</v>
      </c>
      <c r="H2819">
        <v>1.177589</v>
      </c>
      <c r="I2819">
        <v>227.35769999999999</v>
      </c>
      <c r="J2819">
        <v>-277.45249999999999</v>
      </c>
      <c r="K2819">
        <v>1.108935</v>
      </c>
      <c r="L2819">
        <v>213.8819</v>
      </c>
      <c r="M2819">
        <v>0.99989779999999995</v>
      </c>
      <c r="N2819">
        <v>0</v>
      </c>
      <c r="O2819">
        <v>1.014413E-3</v>
      </c>
      <c r="P2819">
        <v>0.98499639999999999</v>
      </c>
      <c r="Q2819">
        <v>0.172157</v>
      </c>
      <c r="R2819">
        <v>-1.201437E-2</v>
      </c>
      <c r="S2819">
        <v>3.0495909999999999</v>
      </c>
      <c r="T2819">
        <v>1.7393829999999999E-3</v>
      </c>
      <c r="U2819">
        <v>0.34112550000000003</v>
      </c>
      <c r="V2819">
        <v>1.300922E-2</v>
      </c>
      <c r="W2819">
        <v>0.18619369999999999</v>
      </c>
      <c r="X2819">
        <v>0.98242689999999999</v>
      </c>
      <c r="Y2819">
        <v>-0.1101578</v>
      </c>
      <c r="Z2819" s="1">
        <v>-3.0740620000000003E-5</v>
      </c>
      <c r="AA2819">
        <v>0.99391410000000002</v>
      </c>
      <c r="AB2819">
        <v>40</v>
      </c>
      <c r="AC2819">
        <v>120.2025</v>
      </c>
      <c r="AD2819">
        <v>6.8653999999999896E-2</v>
      </c>
      <c r="AE2819">
        <v>13.4757999999999</v>
      </c>
      <c r="AF2819">
        <v>-13.3538413839977</v>
      </c>
      <c r="AG2819">
        <v>6.8653999999999896E-2</v>
      </c>
      <c r="AH2819">
        <v>120.216070828496</v>
      </c>
      <c r="AI2819">
        <v>89.967479076264198</v>
      </c>
      <c r="AJ2819">
        <v>96.338544045450902</v>
      </c>
      <c r="AK2819">
        <v>120.95550205973601</v>
      </c>
      <c r="AL2819">
        <v>79.269264052202601</v>
      </c>
      <c r="AM2819">
        <v>89.241338120280901</v>
      </c>
      <c r="AN2819">
        <v>0.99999997378415295</v>
      </c>
    </row>
    <row r="2820" spans="1:40" x14ac:dyDescent="0.25">
      <c r="A2820" t="str">
        <f>"20190312164527908"</f>
        <v>20190312164527908</v>
      </c>
      <c r="B2820" t="str">
        <f>"1552380327904198"</f>
        <v>1552380327904198</v>
      </c>
      <c r="C2820" t="s">
        <v>40</v>
      </c>
      <c r="D2820">
        <v>4.4853480000000001</v>
      </c>
      <c r="E2820">
        <v>0.45607900000000001</v>
      </c>
      <c r="F2820" t="s">
        <v>62</v>
      </c>
      <c r="G2820">
        <v>-157.25</v>
      </c>
      <c r="H2820">
        <v>1.3908929999999999</v>
      </c>
      <c r="I2820">
        <v>227.30850000000001</v>
      </c>
      <c r="J2820">
        <v>-277.17489999999998</v>
      </c>
      <c r="K2820">
        <v>1.1089340000000001</v>
      </c>
      <c r="L2820">
        <v>213.88220000000001</v>
      </c>
      <c r="M2820">
        <v>0.9998977</v>
      </c>
      <c r="N2820">
        <v>0</v>
      </c>
      <c r="O2820">
        <v>1.0300999999999999E-3</v>
      </c>
      <c r="P2820">
        <v>0.98499859999999995</v>
      </c>
      <c r="Q2820">
        <v>0.17214599999999999</v>
      </c>
      <c r="R2820">
        <v>-1.1994009999999999E-2</v>
      </c>
      <c r="S2820">
        <v>3.0486149999999999</v>
      </c>
      <c r="T2820">
        <v>7.1525570000000004E-3</v>
      </c>
      <c r="U2820">
        <v>0.34053040000000001</v>
      </c>
      <c r="V2820">
        <v>1.300425E-2</v>
      </c>
      <c r="W2820">
        <v>0.1861815</v>
      </c>
      <c r="X2820">
        <v>0.98242929999999995</v>
      </c>
      <c r="Y2820">
        <v>-0.1099855</v>
      </c>
      <c r="Z2820">
        <v>-1.2621250000000001E-4</v>
      </c>
      <c r="AA2820">
        <v>0.99393319999999996</v>
      </c>
      <c r="AB2820">
        <v>40</v>
      </c>
      <c r="AC2820">
        <v>119.924899999999</v>
      </c>
      <c r="AD2820">
        <v>0.28195899999999902</v>
      </c>
      <c r="AE2820">
        <v>13.4262999999999</v>
      </c>
      <c r="AF2820">
        <v>-13.302673037988599</v>
      </c>
      <c r="AG2820">
        <v>0.28195899999999902</v>
      </c>
      <c r="AH2820">
        <v>119.938013412308</v>
      </c>
      <c r="AI2820">
        <v>89.866126081458006</v>
      </c>
      <c r="AJ2820">
        <v>96.328973408609897</v>
      </c>
      <c r="AK2820">
        <v>120.673806901598</v>
      </c>
      <c r="AL2820">
        <v>79.269975736524401</v>
      </c>
      <c r="AM2820">
        <v>89.241629775563993</v>
      </c>
      <c r="AN2820">
        <v>0.99999999547940099</v>
      </c>
    </row>
    <row r="2821" spans="1:40" x14ac:dyDescent="0.25">
      <c r="A2821" t="str">
        <f>"20190312164527931"</f>
        <v>20190312164527931</v>
      </c>
      <c r="B2821" t="str">
        <f>"1552380327924694"</f>
        <v>1552380327924694</v>
      </c>
      <c r="C2821" t="s">
        <v>40</v>
      </c>
      <c r="D2821">
        <v>4.3013370000000002</v>
      </c>
      <c r="E2821">
        <v>0.45611980000000002</v>
      </c>
      <c r="F2821" t="s">
        <v>62</v>
      </c>
      <c r="G2821">
        <v>-157.25</v>
      </c>
      <c r="H2821">
        <v>1.6654340000000001</v>
      </c>
      <c r="I2821">
        <v>227.2234</v>
      </c>
      <c r="J2821">
        <v>-276.75869999999998</v>
      </c>
      <c r="K2821">
        <v>1.108935</v>
      </c>
      <c r="L2821">
        <v>213.8827</v>
      </c>
      <c r="M2821">
        <v>0.99989779999999995</v>
      </c>
      <c r="N2821">
        <v>0</v>
      </c>
      <c r="O2821">
        <v>1.053067E-3</v>
      </c>
      <c r="P2821">
        <v>0.98494809999999999</v>
      </c>
      <c r="Q2821">
        <v>0.17242099999999999</v>
      </c>
      <c r="R2821">
        <v>-1.217331E-2</v>
      </c>
      <c r="S2821">
        <v>3.0473330000000001</v>
      </c>
      <c r="T2821">
        <v>1.414227E-2</v>
      </c>
      <c r="U2821">
        <v>0.33900449999999999</v>
      </c>
      <c r="V2821">
        <v>1.3206249999999999E-2</v>
      </c>
      <c r="W2821">
        <v>0.1864528</v>
      </c>
      <c r="X2821">
        <v>0.98237509999999995</v>
      </c>
      <c r="Y2821">
        <v>-0.1095163</v>
      </c>
      <c r="Z2821">
        <v>-2.4847029999999998E-4</v>
      </c>
      <c r="AA2821">
        <v>0.99398489999999995</v>
      </c>
      <c r="AB2821">
        <v>40</v>
      </c>
      <c r="AC2821">
        <v>119.508699999999</v>
      </c>
      <c r="AD2821">
        <v>0.55649899999999997</v>
      </c>
      <c r="AE2821">
        <v>13.340699999999901</v>
      </c>
      <c r="AF2821">
        <v>-13.214546128580199</v>
      </c>
      <c r="AG2821">
        <v>0.55649899999999997</v>
      </c>
      <c r="AH2821">
        <v>119.52012408133901</v>
      </c>
      <c r="AI2821">
        <v>89.734842134197194</v>
      </c>
      <c r="AJ2821">
        <v>96.309188609007194</v>
      </c>
      <c r="AK2821">
        <v>120.249715097126</v>
      </c>
      <c r="AL2821">
        <v>79.254153797920594</v>
      </c>
      <c r="AM2821">
        <v>89.2298086423489</v>
      </c>
      <c r="AN2821">
        <v>0.99999994438345396</v>
      </c>
    </row>
    <row r="2822" spans="1:40" x14ac:dyDescent="0.25">
      <c r="A2822" t="str">
        <f>"20190312164527946"</f>
        <v>20190312164527946</v>
      </c>
      <c r="B2822" t="str">
        <f>"1552380327934454"</f>
        <v>1552380327934454</v>
      </c>
      <c r="C2822" t="s">
        <v>40</v>
      </c>
      <c r="D2822">
        <v>4.4310600000000004</v>
      </c>
      <c r="E2822">
        <v>0.45614640000000001</v>
      </c>
      <c r="F2822" t="s">
        <v>62</v>
      </c>
      <c r="G2822">
        <v>-157.25</v>
      </c>
      <c r="H2822">
        <v>1.9642980000000001</v>
      </c>
      <c r="I2822">
        <v>227.1369</v>
      </c>
      <c r="J2822">
        <v>-276.4855</v>
      </c>
      <c r="K2822">
        <v>1.1089310000000001</v>
      </c>
      <c r="L2822">
        <v>213.88290000000001</v>
      </c>
      <c r="M2822">
        <v>0.99989779999999995</v>
      </c>
      <c r="N2822">
        <v>0</v>
      </c>
      <c r="O2822">
        <v>1.068573E-3</v>
      </c>
      <c r="P2822">
        <v>0.98494110000000001</v>
      </c>
      <c r="Q2822">
        <v>0.1724736</v>
      </c>
      <c r="R2822">
        <v>-1.1994970000000001E-2</v>
      </c>
      <c r="S2822">
        <v>3.0462340000000001</v>
      </c>
      <c r="T2822">
        <v>2.180433E-2</v>
      </c>
      <c r="U2822">
        <v>0.3378448</v>
      </c>
      <c r="V2822">
        <v>1.3043330000000001E-2</v>
      </c>
      <c r="W2822">
        <v>0.1865038</v>
      </c>
      <c r="X2822">
        <v>0.98236760000000001</v>
      </c>
      <c r="Y2822">
        <v>-0.1091649</v>
      </c>
      <c r="Z2822">
        <v>-3.8186550000000001E-4</v>
      </c>
      <c r="AA2822">
        <v>0.99402360000000001</v>
      </c>
      <c r="AB2822">
        <v>40</v>
      </c>
      <c r="AC2822">
        <v>119.2355</v>
      </c>
      <c r="AD2822">
        <v>0.85536699999999999</v>
      </c>
      <c r="AE2822">
        <v>13.2539999999999</v>
      </c>
      <c r="AF2822">
        <v>-13.125900393852699</v>
      </c>
      <c r="AG2822">
        <v>0.85536699999999999</v>
      </c>
      <c r="AH2822">
        <v>119.243534505078</v>
      </c>
      <c r="AI2822">
        <v>89.591475974159394</v>
      </c>
      <c r="AJ2822">
        <v>96.281624178915905</v>
      </c>
      <c r="AK2822">
        <v>119.966834729928</v>
      </c>
      <c r="AL2822">
        <v>79.251179588766902</v>
      </c>
      <c r="AM2822">
        <v>89.239303241631006</v>
      </c>
      <c r="AN2822">
        <v>0.99999994870084297</v>
      </c>
    </row>
    <row r="2823" spans="1:40" x14ac:dyDescent="0.25">
      <c r="A2823" t="str">
        <f>"20190312164527958"</f>
        <v>20190312164527958</v>
      </c>
      <c r="B2823" t="str">
        <f>"1552380327954092"</f>
        <v>1552380327954092</v>
      </c>
      <c r="C2823" t="s">
        <v>40</v>
      </c>
      <c r="D2823">
        <v>4.4446519999999996</v>
      </c>
      <c r="E2823">
        <v>0.45604</v>
      </c>
      <c r="F2823" t="s">
        <v>62</v>
      </c>
      <c r="G2823">
        <v>-157.25</v>
      </c>
      <c r="H2823">
        <v>2.045264</v>
      </c>
      <c r="I2823">
        <v>227.107</v>
      </c>
      <c r="J2823">
        <v>-276.26339999999999</v>
      </c>
      <c r="K2823">
        <v>1.108932</v>
      </c>
      <c r="L2823">
        <v>213.88319999999999</v>
      </c>
      <c r="M2823">
        <v>0.99989779999999995</v>
      </c>
      <c r="N2823">
        <v>0</v>
      </c>
      <c r="O2823">
        <v>1.0808619999999999E-3</v>
      </c>
      <c r="P2823">
        <v>0.98491870000000004</v>
      </c>
      <c r="Q2823">
        <v>0.1726017</v>
      </c>
      <c r="R2823">
        <v>-1.199451E-2</v>
      </c>
      <c r="S2823">
        <v>3.045776</v>
      </c>
      <c r="T2823">
        <v>2.3919340000000001E-2</v>
      </c>
      <c r="U2823">
        <v>0.33779910000000002</v>
      </c>
      <c r="V2823">
        <v>1.30548E-2</v>
      </c>
      <c r="W2823">
        <v>0.1866303</v>
      </c>
      <c r="X2823">
        <v>0.98234350000000004</v>
      </c>
      <c r="Y2823">
        <v>-0.1091538</v>
      </c>
      <c r="Z2823">
        <v>-4.1882820000000001E-4</v>
      </c>
      <c r="AA2823">
        <v>0.99402480000000004</v>
      </c>
      <c r="AB2823">
        <v>40</v>
      </c>
      <c r="AC2823">
        <v>119.0134</v>
      </c>
      <c r="AD2823">
        <v>0.93633200000000005</v>
      </c>
      <c r="AE2823">
        <v>13.223800000000001</v>
      </c>
      <c r="AF2823">
        <v>-13.0943415263158</v>
      </c>
      <c r="AG2823">
        <v>0.93633200000000005</v>
      </c>
      <c r="AH2823">
        <v>119.02034788876701</v>
      </c>
      <c r="AI2823">
        <v>89.551967122563099</v>
      </c>
      <c r="AJ2823">
        <v>96.278298880702195</v>
      </c>
      <c r="AK2823">
        <v>119.742146753702</v>
      </c>
      <c r="AL2823">
        <v>79.243802963982205</v>
      </c>
      <c r="AM2823">
        <v>89.238615704851497</v>
      </c>
      <c r="AN2823">
        <v>1.00000002433668</v>
      </c>
    </row>
    <row r="2824" spans="1:40" x14ac:dyDescent="0.25">
      <c r="A2824" t="str">
        <f>"20190312164527974"</f>
        <v>20190312164527974</v>
      </c>
      <c r="B2824" t="str">
        <f>"1552380327964828"</f>
        <v>1552380327964828</v>
      </c>
      <c r="C2824" t="s">
        <v>40</v>
      </c>
      <c r="D2824">
        <v>4.3910499999999999</v>
      </c>
      <c r="E2824">
        <v>0.45597680000000002</v>
      </c>
      <c r="F2824" t="s">
        <v>62</v>
      </c>
      <c r="G2824">
        <v>-157.25</v>
      </c>
      <c r="H2824">
        <v>2.0187330000000001</v>
      </c>
      <c r="I2824">
        <v>227.11330000000001</v>
      </c>
      <c r="J2824">
        <v>-275.98110000000003</v>
      </c>
      <c r="K2824">
        <v>1.1089370000000001</v>
      </c>
      <c r="L2824">
        <v>213.8835</v>
      </c>
      <c r="M2824">
        <v>0.99989779999999995</v>
      </c>
      <c r="N2824">
        <v>0</v>
      </c>
      <c r="O2824">
        <v>1.09655E-3</v>
      </c>
      <c r="P2824">
        <v>0.98488249999999999</v>
      </c>
      <c r="Q2824">
        <v>0.1728055</v>
      </c>
      <c r="R2824">
        <v>-1.204352E-2</v>
      </c>
      <c r="S2824">
        <v>3.0459900000000002</v>
      </c>
      <c r="T2824">
        <v>2.3286580000000001E-2</v>
      </c>
      <c r="U2824">
        <v>0.33860780000000001</v>
      </c>
      <c r="V2824">
        <v>1.311901E-2</v>
      </c>
      <c r="W2824">
        <v>0.18683179999999999</v>
      </c>
      <c r="X2824">
        <v>0.98230430000000002</v>
      </c>
      <c r="Y2824">
        <v>-0.1093914</v>
      </c>
      <c r="Z2824">
        <v>-4.0850039999999998E-4</v>
      </c>
      <c r="AA2824">
        <v>0.99399859999999896</v>
      </c>
      <c r="AB2824">
        <v>40</v>
      </c>
      <c r="AC2824">
        <v>118.7311</v>
      </c>
      <c r="AD2824">
        <v>0.90979599999999905</v>
      </c>
      <c r="AE2824">
        <v>13.229799999999999</v>
      </c>
      <c r="AF2824">
        <v>-13.098824544772899</v>
      </c>
      <c r="AG2824">
        <v>0.90979599999999905</v>
      </c>
      <c r="AH2824">
        <v>118.73865081462</v>
      </c>
      <c r="AI2824">
        <v>89.563645479442201</v>
      </c>
      <c r="AJ2824">
        <v>96.295211455612801</v>
      </c>
      <c r="AK2824">
        <v>119.462438157325</v>
      </c>
      <c r="AL2824">
        <v>79.232050722009504</v>
      </c>
      <c r="AM2824">
        <v>89.234840752551193</v>
      </c>
      <c r="AN2824">
        <v>0.99999998385655398</v>
      </c>
    </row>
    <row r="2825" spans="1:40" x14ac:dyDescent="0.25">
      <c r="A2825" t="str">
        <f>"20190312164527993"</f>
        <v>20190312164527993</v>
      </c>
      <c r="B2825" t="str">
        <f>"1552380327984347"</f>
        <v>1552380327984347</v>
      </c>
      <c r="C2825" t="s">
        <v>40</v>
      </c>
      <c r="D2825">
        <v>4.3500120000000004</v>
      </c>
      <c r="E2825">
        <v>0.45552330000000002</v>
      </c>
      <c r="F2825" t="s">
        <v>62</v>
      </c>
      <c r="G2825">
        <v>-157.25</v>
      </c>
      <c r="H2825">
        <v>1.8438330000000001</v>
      </c>
      <c r="I2825">
        <v>227.11179999999999</v>
      </c>
      <c r="J2825">
        <v>-275.65300000000002</v>
      </c>
      <c r="K2825">
        <v>1.108938</v>
      </c>
      <c r="L2825">
        <v>213.88390000000001</v>
      </c>
      <c r="M2825">
        <v>0.99989779999999995</v>
      </c>
      <c r="N2825">
        <v>0</v>
      </c>
      <c r="O2825">
        <v>1.1150999999999999E-3</v>
      </c>
      <c r="P2825">
        <v>0.98490730000000004</v>
      </c>
      <c r="Q2825">
        <v>0.17267349999999901</v>
      </c>
      <c r="R2825">
        <v>-1.191005E-2</v>
      </c>
      <c r="S2825">
        <v>3.046875</v>
      </c>
      <c r="T2825">
        <v>1.886034E-2</v>
      </c>
      <c r="U2825">
        <v>0.33946229999999999</v>
      </c>
      <c r="V2825">
        <v>1.3003839999999999E-2</v>
      </c>
      <c r="W2825">
        <v>0.18669830000000001</v>
      </c>
      <c r="X2825">
        <v>0.98233119999999996</v>
      </c>
      <c r="Y2825">
        <v>-0.109617699999999</v>
      </c>
      <c r="Z2825">
        <v>-3.3133879999999998E-4</v>
      </c>
      <c r="AA2825">
        <v>0.99397380000000002</v>
      </c>
      <c r="AB2825">
        <v>40</v>
      </c>
      <c r="AC2825">
        <v>118.40300000000001</v>
      </c>
      <c r="AD2825">
        <v>0.73489499999999996</v>
      </c>
      <c r="AE2825">
        <v>13.227899999999901</v>
      </c>
      <c r="AF2825">
        <v>-13.095348916924101</v>
      </c>
      <c r="AG2825">
        <v>0.73489499999999996</v>
      </c>
      <c r="AH2825">
        <v>118.413172850302</v>
      </c>
      <c r="AI2825">
        <v>89.646570537725296</v>
      </c>
      <c r="AJ2825">
        <v>96.3107139811015</v>
      </c>
      <c r="AK2825">
        <v>119.137348209503</v>
      </c>
      <c r="AL2825">
        <v>79.239836563819395</v>
      </c>
      <c r="AM2825">
        <v>89.241577959765806</v>
      </c>
      <c r="AN2825">
        <v>0.99999997078553704</v>
      </c>
    </row>
    <row r="2826" spans="1:40" x14ac:dyDescent="0.25">
      <c r="A2826" t="str">
        <f>"20190312164528008"</f>
        <v>20190312164528008</v>
      </c>
      <c r="B2826" t="str">
        <f>"1552380328004843"</f>
        <v>1552380328004843</v>
      </c>
      <c r="C2826" t="s">
        <v>40</v>
      </c>
      <c r="D2826">
        <v>4.473039</v>
      </c>
      <c r="E2826">
        <v>0.45581470000000002</v>
      </c>
      <c r="F2826" t="s">
        <v>62</v>
      </c>
      <c r="G2826">
        <v>-157.25</v>
      </c>
      <c r="H2826">
        <v>1.3399270000000001</v>
      </c>
      <c r="I2826">
        <v>227.2466</v>
      </c>
      <c r="J2826">
        <v>-275.36610000000002</v>
      </c>
      <c r="K2826">
        <v>1.108941</v>
      </c>
      <c r="L2826">
        <v>213.88419999999999</v>
      </c>
      <c r="M2826">
        <v>0.99989779999999995</v>
      </c>
      <c r="N2826">
        <v>0</v>
      </c>
      <c r="O2826">
        <v>1.131443E-3</v>
      </c>
      <c r="P2826">
        <v>0.98498229999999998</v>
      </c>
      <c r="Q2826">
        <v>0.1722436</v>
      </c>
      <c r="R2826">
        <v>-1.193288E-2</v>
      </c>
      <c r="S2826">
        <v>3.0491030000000001</v>
      </c>
      <c r="T2826">
        <v>5.9498550000000004E-3</v>
      </c>
      <c r="U2826">
        <v>0.34411619999999998</v>
      </c>
      <c r="V2826">
        <v>1.3042979999999999E-2</v>
      </c>
      <c r="W2826">
        <v>0.18626770000000001</v>
      </c>
      <c r="X2826">
        <v>0.98241250000000002</v>
      </c>
      <c r="Y2826">
        <v>-0.1110216</v>
      </c>
      <c r="Z2826">
        <v>-1.0577689999999999E-4</v>
      </c>
      <c r="AA2826">
        <v>0.99381799999999998</v>
      </c>
      <c r="AB2826">
        <v>40</v>
      </c>
      <c r="AC2826">
        <v>118.1161</v>
      </c>
      <c r="AD2826">
        <v>0.230986</v>
      </c>
      <c r="AE2826">
        <v>13.362399999999999</v>
      </c>
      <c r="AF2826">
        <v>-13.2286862853861</v>
      </c>
      <c r="AG2826">
        <v>0.230986</v>
      </c>
      <c r="AH2826">
        <v>118.130698650574</v>
      </c>
      <c r="AI2826">
        <v>89.888663179966699</v>
      </c>
      <c r="AJ2826">
        <v>96.389560299951199</v>
      </c>
      <c r="AK2826">
        <v>118.869312520272</v>
      </c>
      <c r="AL2826">
        <v>79.264949475023897</v>
      </c>
      <c r="AM2826">
        <v>89.239358413221098</v>
      </c>
      <c r="AN2826">
        <v>1.0000000477733999</v>
      </c>
    </row>
    <row r="2827" spans="1:40" x14ac:dyDescent="0.25">
      <c r="A2827" t="str">
        <f>"20190312164528031"</f>
        <v>20190312164528031</v>
      </c>
      <c r="B2827" t="str">
        <f>"1552380328024367"</f>
        <v>1552380328024367</v>
      </c>
      <c r="C2827" t="s">
        <v>40</v>
      </c>
      <c r="D2827">
        <v>4.3601519999999896</v>
      </c>
      <c r="E2827">
        <v>0.45571529999999999</v>
      </c>
      <c r="F2827" t="s">
        <v>62</v>
      </c>
      <c r="G2827">
        <v>-157.25</v>
      </c>
      <c r="H2827">
        <v>1.2856459999999901</v>
      </c>
      <c r="I2827">
        <v>227.13380000000001</v>
      </c>
      <c r="J2827">
        <v>-274.96539999999999</v>
      </c>
      <c r="K2827">
        <v>1.108938</v>
      </c>
      <c r="L2827">
        <v>213.88470000000001</v>
      </c>
      <c r="M2827">
        <v>0.99989779999999995</v>
      </c>
      <c r="N2827">
        <v>0</v>
      </c>
      <c r="O2827">
        <v>1.1536910000000001E-3</v>
      </c>
      <c r="P2827">
        <v>0.98496530000000004</v>
      </c>
      <c r="Q2827">
        <v>0.1723392</v>
      </c>
      <c r="R2827">
        <v>-1.194252E-2</v>
      </c>
      <c r="S2827">
        <v>3.0490719999999998</v>
      </c>
      <c r="T2827">
        <v>4.562974E-3</v>
      </c>
      <c r="U2827">
        <v>0.34202579999999999</v>
      </c>
      <c r="V2827">
        <v>1.3074560000000001E-2</v>
      </c>
      <c r="W2827">
        <v>0.186361</v>
      </c>
      <c r="X2827">
        <v>0.98239430000000005</v>
      </c>
      <c r="Y2827">
        <v>-0.1103278</v>
      </c>
      <c r="Z2827" s="1">
        <v>-8.0574059999999995E-5</v>
      </c>
      <c r="AA2827">
        <v>0.99389519999999998</v>
      </c>
      <c r="AB2827">
        <v>40</v>
      </c>
      <c r="AC2827">
        <v>117.7154</v>
      </c>
      <c r="AD2827">
        <v>0.176707999999999</v>
      </c>
      <c r="AE2827">
        <v>13.2491</v>
      </c>
      <c r="AF2827">
        <v>-13.113241012624201</v>
      </c>
      <c r="AG2827">
        <v>0.176707999999999</v>
      </c>
      <c r="AH2827">
        <v>117.730346584424</v>
      </c>
      <c r="AI2827">
        <v>89.9145302027284</v>
      </c>
      <c r="AJ2827">
        <v>96.3556187263993</v>
      </c>
      <c r="AK2827">
        <v>118.458527858745</v>
      </c>
      <c r="AL2827">
        <v>79.259507593463894</v>
      </c>
      <c r="AM2827">
        <v>89.237502821117999</v>
      </c>
      <c r="AN2827">
        <v>0.99999996355634102</v>
      </c>
    </row>
    <row r="2828" spans="1:40" x14ac:dyDescent="0.25">
      <c r="A2828" t="str">
        <f>"20190312164528045"</f>
        <v>20190312164528045</v>
      </c>
      <c r="B2828" t="str">
        <f>"1552380328034123"</f>
        <v>1552380328034123</v>
      </c>
      <c r="C2828" t="s">
        <v>40</v>
      </c>
      <c r="D2828">
        <v>4.3656940000000004</v>
      </c>
      <c r="E2828">
        <v>0.45571529999999999</v>
      </c>
      <c r="F2828" t="s">
        <v>62</v>
      </c>
      <c r="G2828">
        <v>-157.25</v>
      </c>
      <c r="H2828">
        <v>1.2052400000000001</v>
      </c>
      <c r="I2828">
        <v>227.11160000000001</v>
      </c>
      <c r="J2828">
        <v>-274.68599999999998</v>
      </c>
      <c r="K2828">
        <v>1.1089340000000001</v>
      </c>
      <c r="L2828">
        <v>213.88499999999999</v>
      </c>
      <c r="M2828">
        <v>0.99989779999999995</v>
      </c>
      <c r="N2828">
        <v>0</v>
      </c>
      <c r="O2828">
        <v>1.16938E-3</v>
      </c>
      <c r="P2828">
        <v>0.9849985</v>
      </c>
      <c r="Q2828">
        <v>0.1721472</v>
      </c>
      <c r="R2828">
        <v>-1.1968940000000001E-2</v>
      </c>
      <c r="S2828">
        <v>3.0495000000000001</v>
      </c>
      <c r="T2828">
        <v>2.496243E-3</v>
      </c>
      <c r="U2828">
        <v>0.34265139999999999</v>
      </c>
      <c r="V2828">
        <v>1.311649E-2</v>
      </c>
      <c r="W2828">
        <v>0.186168</v>
      </c>
      <c r="X2828">
        <v>0.98243040000000004</v>
      </c>
      <c r="Y2828">
        <v>-0.1104982</v>
      </c>
      <c r="Z2828" s="1">
        <v>-4.412933E-5</v>
      </c>
      <c r="AA2828">
        <v>0.99387630000000005</v>
      </c>
      <c r="AB2828">
        <v>40</v>
      </c>
      <c r="AC2828">
        <v>117.435999999999</v>
      </c>
      <c r="AD2828">
        <v>9.6305999999999697E-2</v>
      </c>
      <c r="AE2828">
        <v>13.226599999999999</v>
      </c>
      <c r="AF2828">
        <v>-13.089241010272699</v>
      </c>
      <c r="AG2828">
        <v>9.6305999999999697E-2</v>
      </c>
      <c r="AH2828">
        <v>117.451310182825</v>
      </c>
      <c r="AI2828">
        <v>89.953308512576598</v>
      </c>
      <c r="AJ2828">
        <v>96.3590302361455</v>
      </c>
      <c r="AK2828">
        <v>118.178457295451</v>
      </c>
      <c r="AL2828">
        <v>79.270763353980001</v>
      </c>
      <c r="AM2828">
        <v>89.235085894333295</v>
      </c>
      <c r="AN2828">
        <v>1.00000002868903</v>
      </c>
    </row>
    <row r="2829" spans="1:40" x14ac:dyDescent="0.25">
      <c r="A2829" t="str">
        <f>"20190312164528059"</f>
        <v>20190312164528059</v>
      </c>
      <c r="B2829" t="str">
        <f>"1552380328054620"</f>
        <v>1552380328054620</v>
      </c>
      <c r="C2829" t="s">
        <v>40</v>
      </c>
      <c r="D2829">
        <v>4.5892350000000004</v>
      </c>
      <c r="E2829">
        <v>0.45361590000000002</v>
      </c>
      <c r="F2829" t="s">
        <v>62</v>
      </c>
      <c r="G2829">
        <v>-157.25</v>
      </c>
      <c r="H2829">
        <v>1.1847559999999999</v>
      </c>
      <c r="I2829">
        <v>227.0874</v>
      </c>
      <c r="J2829">
        <v>-274.4624</v>
      </c>
      <c r="K2829">
        <v>1.1089340000000001</v>
      </c>
      <c r="L2829">
        <v>213.8853</v>
      </c>
      <c r="M2829">
        <v>0.99989779999999995</v>
      </c>
      <c r="N2829">
        <v>0</v>
      </c>
      <c r="O2829">
        <v>1.1820239999999901E-3</v>
      </c>
      <c r="P2829">
        <v>0.98500220000000005</v>
      </c>
      <c r="Q2829">
        <v>0.17213310000000001</v>
      </c>
      <c r="R2829">
        <v>-1.187247E-2</v>
      </c>
      <c r="S2829">
        <v>3.0495299999999999</v>
      </c>
      <c r="T2829">
        <v>1.9704100000000001E-3</v>
      </c>
      <c r="U2829">
        <v>0.34283449999999999</v>
      </c>
      <c r="V2829">
        <v>1.303254E-2</v>
      </c>
      <c r="W2829">
        <v>0.18615200000000001</v>
      </c>
      <c r="X2829">
        <v>0.98243449999999999</v>
      </c>
      <c r="Y2829">
        <v>-0.1105435</v>
      </c>
      <c r="Z2829" s="1">
        <v>-3.4839499999999997E-5</v>
      </c>
      <c r="AA2829">
        <v>0.99387130000000001</v>
      </c>
      <c r="AB2829">
        <v>40</v>
      </c>
      <c r="AC2829">
        <v>117.2124</v>
      </c>
      <c r="AD2829">
        <v>7.5821999999999806E-2</v>
      </c>
      <c r="AE2829">
        <v>13.2021</v>
      </c>
      <c r="AF2829">
        <v>-13.0635234431969</v>
      </c>
      <c r="AG2829">
        <v>7.5821999999999806E-2</v>
      </c>
      <c r="AH2829">
        <v>117.22787644359499</v>
      </c>
      <c r="AI2829">
        <v>89.963169557445198</v>
      </c>
      <c r="AJ2829">
        <v>96.358635713520499</v>
      </c>
      <c r="AK2829">
        <v>117.95353495848001</v>
      </c>
      <c r="AL2829">
        <v>79.271695873377098</v>
      </c>
      <c r="AM2829">
        <v>89.239984200241594</v>
      </c>
      <c r="AN2829">
        <v>0.99999998049655003</v>
      </c>
    </row>
    <row r="2830" spans="1:40" x14ac:dyDescent="0.25">
      <c r="A2830" t="str">
        <f>"20190312164528074"</f>
        <v>20190312164528074</v>
      </c>
      <c r="B2830" t="str">
        <f>"1552380328064380"</f>
        <v>1552380328064380</v>
      </c>
      <c r="C2830" t="s">
        <v>40</v>
      </c>
      <c r="D2830">
        <v>4.5328559999999998</v>
      </c>
      <c r="E2830">
        <v>0.45595580000000002</v>
      </c>
      <c r="F2830" t="s">
        <v>47</v>
      </c>
      <c r="G2830">
        <v>-246.57470000000001</v>
      </c>
      <c r="H2830" s="1">
        <v>1.848708E-6</v>
      </c>
      <c r="I2830">
        <v>217.2071</v>
      </c>
      <c r="J2830">
        <v>-274.18200000000002</v>
      </c>
      <c r="K2830">
        <v>1.1089359999999999</v>
      </c>
      <c r="L2830">
        <v>213.88570000000001</v>
      </c>
      <c r="M2830">
        <v>0.99989779999999995</v>
      </c>
      <c r="N2830">
        <v>0</v>
      </c>
      <c r="O2830">
        <v>1.1980669999999999E-3</v>
      </c>
      <c r="P2830">
        <v>0.98494999999999999</v>
      </c>
      <c r="Q2830">
        <v>0.17241960000000001</v>
      </c>
      <c r="R2830">
        <v>-1.205383E-2</v>
      </c>
      <c r="S2830">
        <v>3.0714109999999999</v>
      </c>
      <c r="T2830">
        <v>-0.1221323</v>
      </c>
      <c r="U2830">
        <v>0.36584470000000002</v>
      </c>
      <c r="V2830">
        <v>1.3229599999999999E-2</v>
      </c>
      <c r="W2830">
        <v>0.1864364</v>
      </c>
      <c r="X2830">
        <v>0.98237790000000003</v>
      </c>
      <c r="Y2830">
        <v>-0.116996699999999</v>
      </c>
      <c r="Z2830">
        <v>2.2695860000000001E-3</v>
      </c>
      <c r="AA2830">
        <v>0.9931297</v>
      </c>
      <c r="AB2830">
        <v>40</v>
      </c>
      <c r="AC2830">
        <v>27.607299999999999</v>
      </c>
      <c r="AD2830">
        <v>-1.1089341512919999</v>
      </c>
      <c r="AE2830">
        <v>3.3213999999999801</v>
      </c>
      <c r="AF2830">
        <v>-3.2830972302995098</v>
      </c>
      <c r="AG2830">
        <v>-1.1089341512919999</v>
      </c>
      <c r="AH2830">
        <v>27.567414986461898</v>
      </c>
      <c r="AI2830">
        <v>92.287406319199903</v>
      </c>
      <c r="AJ2830">
        <v>96.791561063747295</v>
      </c>
      <c r="AK2830">
        <v>27.784363073702199</v>
      </c>
      <c r="AL2830">
        <v>79.255110236560498</v>
      </c>
      <c r="AM2830">
        <v>89.228449228607303</v>
      </c>
      <c r="AN2830">
        <v>0.99999994598476305</v>
      </c>
    </row>
    <row r="2831" spans="1:40" x14ac:dyDescent="0.25">
      <c r="A2831" t="str">
        <f>"20190312164528091"</f>
        <v>20190312164528091</v>
      </c>
      <c r="B2831" t="str">
        <f>"1552380328084876"</f>
        <v>1552380328084876</v>
      </c>
      <c r="C2831" t="s">
        <v>40</v>
      </c>
      <c r="D2831">
        <v>4.7068329999999996</v>
      </c>
      <c r="E2831">
        <v>0.45690570000000003</v>
      </c>
      <c r="F2831" t="s">
        <v>62</v>
      </c>
      <c r="G2831">
        <v>-157.25</v>
      </c>
      <c r="H2831">
        <v>4.4135280000000003</v>
      </c>
      <c r="I2831">
        <v>226.85300000000001</v>
      </c>
      <c r="J2831">
        <v>-273.88369999999998</v>
      </c>
      <c r="K2831">
        <v>1.1089370000000001</v>
      </c>
      <c r="L2831">
        <v>213.886</v>
      </c>
      <c r="M2831">
        <v>0.99989790000000001</v>
      </c>
      <c r="N2831">
        <v>0</v>
      </c>
      <c r="O2831">
        <v>1.215065E-3</v>
      </c>
      <c r="P2831">
        <v>0.98500279999999996</v>
      </c>
      <c r="Q2831">
        <v>0.17210790000000001</v>
      </c>
      <c r="R2831">
        <v>-1.218208E-2</v>
      </c>
      <c r="S2831">
        <v>3.0349430000000002</v>
      </c>
      <c r="T2831">
        <v>8.5771319999999998E-2</v>
      </c>
      <c r="U2831">
        <v>0.3365631</v>
      </c>
      <c r="V2831">
        <v>1.33747E-2</v>
      </c>
      <c r="W2831">
        <v>0.18612339999999999</v>
      </c>
      <c r="X2831">
        <v>0.98243530000000001</v>
      </c>
      <c r="Y2831">
        <v>-0.10897</v>
      </c>
      <c r="Z2831">
        <v>-1.500576E-3</v>
      </c>
      <c r="AA2831">
        <v>0.99404389999999998</v>
      </c>
      <c r="AB2831">
        <v>40</v>
      </c>
      <c r="AC2831">
        <v>116.633699999999</v>
      </c>
      <c r="AD2831">
        <v>3.3045909999999901</v>
      </c>
      <c r="AE2831">
        <v>12.966999999999899</v>
      </c>
      <c r="AF2831">
        <v>-12.8150966525742</v>
      </c>
      <c r="AG2831">
        <v>3.3045909999999901</v>
      </c>
      <c r="AH2831">
        <v>116.556946038711</v>
      </c>
      <c r="AI2831">
        <v>88.3857230804349</v>
      </c>
      <c r="AJ2831">
        <v>96.274303009184294</v>
      </c>
      <c r="AK2831">
        <v>117.305876637802</v>
      </c>
      <c r="AL2831">
        <v>79.273363464510496</v>
      </c>
      <c r="AM2831">
        <v>89.220033598522306</v>
      </c>
      <c r="AN2831">
        <v>0.99999996065686902</v>
      </c>
    </row>
    <row r="2832" spans="1:40" x14ac:dyDescent="0.25">
      <c r="A2832" t="str">
        <f>"20190312164528107"</f>
        <v>20190312164528107</v>
      </c>
      <c r="B2832" t="str">
        <f>"1552380328094636"</f>
        <v>1552380328094636</v>
      </c>
      <c r="C2832" t="s">
        <v>40</v>
      </c>
      <c r="D2832">
        <v>4.8518179999999997</v>
      </c>
      <c r="E2832">
        <v>0.45690570000000003</v>
      </c>
      <c r="F2832" t="s">
        <v>62</v>
      </c>
      <c r="G2832">
        <v>-157.25</v>
      </c>
      <c r="H2832">
        <v>4.3868790000000004</v>
      </c>
      <c r="I2832">
        <v>226.51679999999999</v>
      </c>
      <c r="J2832">
        <v>-273.5985</v>
      </c>
      <c r="K2832">
        <v>1.1089370000000001</v>
      </c>
      <c r="L2832">
        <v>213.88640000000001</v>
      </c>
      <c r="M2832">
        <v>0.99989779999999995</v>
      </c>
      <c r="N2832">
        <v>0</v>
      </c>
      <c r="O2832">
        <v>1.231289E-3</v>
      </c>
      <c r="P2832">
        <v>0.98502679999999998</v>
      </c>
      <c r="Q2832">
        <v>0.17197509999999999</v>
      </c>
      <c r="R2832">
        <v>-1.2117670000000001E-2</v>
      </c>
      <c r="S2832">
        <v>3.0348510000000002</v>
      </c>
      <c r="T2832">
        <v>8.5294720000000004E-2</v>
      </c>
      <c r="U2832">
        <v>0.32865909999999998</v>
      </c>
      <c r="V2832">
        <v>1.332613E-2</v>
      </c>
      <c r="W2832">
        <v>0.1859895</v>
      </c>
      <c r="X2832">
        <v>0.98246140000000004</v>
      </c>
      <c r="Y2832">
        <v>-0.1064001</v>
      </c>
      <c r="Z2832">
        <v>-1.45604E-3</v>
      </c>
      <c r="AA2832">
        <v>0.99432240000000005</v>
      </c>
      <c r="AB2832">
        <v>40</v>
      </c>
      <c r="AC2832">
        <v>116.3485</v>
      </c>
      <c r="AD2832">
        <v>3.2779419999999999</v>
      </c>
      <c r="AE2832">
        <v>12.6303999999999</v>
      </c>
      <c r="AF2832">
        <v>-12.4773287979703</v>
      </c>
      <c r="AG2832">
        <v>3.2779419999999999</v>
      </c>
      <c r="AH2832">
        <v>116.272749071612</v>
      </c>
      <c r="AI2832">
        <v>88.394368232818096</v>
      </c>
      <c r="AJ2832">
        <v>96.125020053704304</v>
      </c>
      <c r="AK2832">
        <v>116.986241987501</v>
      </c>
      <c r="AL2832">
        <v>79.281172582246001</v>
      </c>
      <c r="AM2832">
        <v>89.222886328256294</v>
      </c>
      <c r="AN2832">
        <v>1.0000000411704899</v>
      </c>
    </row>
    <row r="2833" spans="1:40" x14ac:dyDescent="0.25">
      <c r="A2833" t="str">
        <f>"20190312164528121"</f>
        <v>20190312164528121</v>
      </c>
      <c r="B2833" t="str">
        <f>"1552380328114156"</f>
        <v>1552380328114156</v>
      </c>
      <c r="C2833" t="s">
        <v>40</v>
      </c>
      <c r="D2833">
        <v>4.5709809999999997</v>
      </c>
      <c r="E2833">
        <v>0.49653639999999999</v>
      </c>
      <c r="F2833" t="s">
        <v>62</v>
      </c>
      <c r="G2833">
        <v>-157.25</v>
      </c>
      <c r="H2833">
        <v>4.3674860000000004</v>
      </c>
      <c r="I2833">
        <v>226.5016</v>
      </c>
      <c r="J2833">
        <v>-273.33640000000003</v>
      </c>
      <c r="K2833">
        <v>1.108935</v>
      </c>
      <c r="L2833">
        <v>213.88669999999999</v>
      </c>
      <c r="M2833">
        <v>0.99989779999999995</v>
      </c>
      <c r="N2833">
        <v>0</v>
      </c>
      <c r="O2833">
        <v>1.2462580000000001E-3</v>
      </c>
      <c r="P2833">
        <v>0.98518839999999996</v>
      </c>
      <c r="Q2833">
        <v>0.1710151</v>
      </c>
      <c r="R2833">
        <v>-1.2565160000000001E-2</v>
      </c>
      <c r="S2833">
        <v>3.0348510000000002</v>
      </c>
      <c r="T2833">
        <v>8.4997890000000006E-2</v>
      </c>
      <c r="U2833">
        <v>0.32905580000000001</v>
      </c>
      <c r="V2833">
        <v>1.37888E-2</v>
      </c>
      <c r="W2833">
        <v>0.18502979999999999</v>
      </c>
      <c r="X2833">
        <v>0.98263619999999996</v>
      </c>
      <c r="Y2833">
        <v>-0.10651389999999999</v>
      </c>
      <c r="Z2833">
        <v>-1.4521359999999999E-3</v>
      </c>
      <c r="AA2833">
        <v>0.99431009999999997</v>
      </c>
      <c r="AB2833">
        <v>40</v>
      </c>
      <c r="AC2833">
        <v>116.0864</v>
      </c>
      <c r="AD2833">
        <v>3.2585510000000002</v>
      </c>
      <c r="AE2833">
        <v>12.6149</v>
      </c>
      <c r="AF2833">
        <v>-12.460498535484801</v>
      </c>
      <c r="AG2833">
        <v>3.2585510000000002</v>
      </c>
      <c r="AH2833">
        <v>116.01169085196101</v>
      </c>
      <c r="AI2833">
        <v>88.400288056778805</v>
      </c>
      <c r="AJ2833">
        <v>96.130480720148995</v>
      </c>
      <c r="AK2833">
        <v>116.724438712308</v>
      </c>
      <c r="AL2833">
        <v>79.337130513571495</v>
      </c>
      <c r="AM2833">
        <v>89.1960522163523</v>
      </c>
      <c r="AN2833">
        <v>1.00000002972195</v>
      </c>
    </row>
    <row r="2834" spans="1:40" x14ac:dyDescent="0.25">
      <c r="A2834" t="str">
        <f>"20190312164528142"</f>
        <v>20190312164528142</v>
      </c>
      <c r="B2834" t="str">
        <f>"1552380328134652"</f>
        <v>1552380328134652</v>
      </c>
      <c r="C2834" t="s">
        <v>40</v>
      </c>
      <c r="D2834">
        <v>4.8270030000000004</v>
      </c>
      <c r="E2834">
        <v>0.51099459999999997</v>
      </c>
      <c r="F2834" t="s">
        <v>61</v>
      </c>
      <c r="G2834">
        <v>-107.39749999999999</v>
      </c>
      <c r="H2834">
        <v>5.4862989999999998</v>
      </c>
      <c r="I2834">
        <v>214.53399999999999</v>
      </c>
      <c r="J2834">
        <v>-272.96230000000003</v>
      </c>
      <c r="K2834">
        <v>1.1089310000000001</v>
      </c>
      <c r="L2834">
        <v>213.88720000000001</v>
      </c>
      <c r="M2834">
        <v>0.99989799999999995</v>
      </c>
      <c r="N2834">
        <v>0</v>
      </c>
      <c r="O2834">
        <v>1.2673739999999999E-3</v>
      </c>
      <c r="P2834">
        <v>0.98528179999999999</v>
      </c>
      <c r="Q2834">
        <v>0.17041709999999999</v>
      </c>
      <c r="R2834">
        <v>-1.3352610000000001E-2</v>
      </c>
      <c r="S2834">
        <v>3.0314329999999998</v>
      </c>
      <c r="T2834">
        <v>7.9968209999999998E-2</v>
      </c>
      <c r="U2834">
        <v>1.1825560000000001E-2</v>
      </c>
      <c r="V2834">
        <v>1.459714E-2</v>
      </c>
      <c r="W2834">
        <v>0.18443090000000001</v>
      </c>
      <c r="X2834">
        <v>0.98273710000000003</v>
      </c>
      <c r="Y2834">
        <v>-2.63298E-3</v>
      </c>
      <c r="Z2834" s="1">
        <v>-1.292075E-6</v>
      </c>
      <c r="AA2834">
        <v>0.99999649999999995</v>
      </c>
      <c r="AB2834">
        <v>40</v>
      </c>
      <c r="AC2834">
        <v>165.56479999999999</v>
      </c>
      <c r="AD2834">
        <v>4.3773679999999997</v>
      </c>
      <c r="AE2834">
        <v>0.64680000000001303</v>
      </c>
      <c r="AF2834">
        <v>-0.436640504935842</v>
      </c>
      <c r="AG2834">
        <v>4.3773679999999997</v>
      </c>
      <c r="AH2834">
        <v>165.44983571358301</v>
      </c>
      <c r="AI2834">
        <v>88.484463027837094</v>
      </c>
      <c r="AJ2834">
        <v>90.151209579071093</v>
      </c>
      <c r="AK2834">
        <v>165.50830838114999</v>
      </c>
      <c r="AL2834">
        <v>79.372045776548703</v>
      </c>
      <c r="AM2834">
        <v>89.149016542337904</v>
      </c>
      <c r="AN2834">
        <v>1.0000000205436901</v>
      </c>
    </row>
    <row r="2835" spans="1:40" x14ac:dyDescent="0.25">
      <c r="A2835" t="str">
        <f>"20190312164528163"</f>
        <v>20190312164528163</v>
      </c>
      <c r="B2835" t="str">
        <f>"1552380328154172"</f>
        <v>1552380328154172</v>
      </c>
      <c r="C2835" t="s">
        <v>40</v>
      </c>
      <c r="D2835">
        <v>4.7380459999999998</v>
      </c>
      <c r="E2835">
        <v>0.51705069999999997</v>
      </c>
      <c r="F2835" t="s">
        <v>60</v>
      </c>
      <c r="G2835">
        <v>-168.83629999999999</v>
      </c>
      <c r="H2835">
        <v>4.0897459999999999</v>
      </c>
      <c r="I2835">
        <v>210.23560000000001</v>
      </c>
      <c r="J2835">
        <v>-272.57990000000001</v>
      </c>
      <c r="K2835">
        <v>1.1089290000000001</v>
      </c>
      <c r="L2835">
        <v>213.8877</v>
      </c>
      <c r="M2835">
        <v>0.99989790000000001</v>
      </c>
      <c r="N2835">
        <v>0</v>
      </c>
      <c r="O2835">
        <v>1.289087E-3</v>
      </c>
      <c r="P2835">
        <v>0.9853383</v>
      </c>
      <c r="Q2835">
        <v>0.17000090000000001</v>
      </c>
      <c r="R2835">
        <v>-1.442247E-2</v>
      </c>
      <c r="S2835">
        <v>3.028381</v>
      </c>
      <c r="T2835">
        <v>8.6694359999999998E-2</v>
      </c>
      <c r="U2835">
        <v>-0.1062012</v>
      </c>
      <c r="V2835">
        <v>1.568866E-2</v>
      </c>
      <c r="W2835">
        <v>0.18401329999999999</v>
      </c>
      <c r="X2835">
        <v>0.98279850000000002</v>
      </c>
      <c r="Y2835">
        <v>3.6320089999999999E-2</v>
      </c>
      <c r="Z2835">
        <v>5.5649499999999995E-4</v>
      </c>
      <c r="AA2835">
        <v>0.99934009999999995</v>
      </c>
      <c r="AB2835">
        <v>40</v>
      </c>
      <c r="AC2835">
        <v>103.7436</v>
      </c>
      <c r="AD2835">
        <v>2.9808169999999898</v>
      </c>
      <c r="AE2835">
        <v>-3.6520999999999901</v>
      </c>
      <c r="AF2835">
        <v>3.7827260381476799</v>
      </c>
      <c r="AG2835">
        <v>2.9808169999999898</v>
      </c>
      <c r="AH2835">
        <v>103.653339423666</v>
      </c>
      <c r="AI2835">
        <v>88.353862444275094</v>
      </c>
      <c r="AJ2835">
        <v>87.909974742919303</v>
      </c>
      <c r="AK2835">
        <v>103.76516303627599</v>
      </c>
      <c r="AL2835">
        <v>79.396388490979106</v>
      </c>
      <c r="AM2835">
        <v>89.085450718321297</v>
      </c>
      <c r="AN2835">
        <v>0.999999960115867</v>
      </c>
    </row>
    <row r="2836" spans="1:40" x14ac:dyDescent="0.25">
      <c r="A2836" t="str">
        <f>"20190312164528180"</f>
        <v>20190312164528180</v>
      </c>
      <c r="B2836" t="str">
        <f>"1552380328174668"</f>
        <v>1552380328174668</v>
      </c>
      <c r="C2836" t="s">
        <v>40</v>
      </c>
      <c r="D2836">
        <v>4.5266929999999999</v>
      </c>
      <c r="E2836">
        <v>0.51895009999999997</v>
      </c>
      <c r="F2836" t="s">
        <v>60</v>
      </c>
      <c r="G2836">
        <v>-169.39400000000001</v>
      </c>
      <c r="H2836">
        <v>4.4302409999999997</v>
      </c>
      <c r="I2836">
        <v>208.47810000000001</v>
      </c>
      <c r="J2836">
        <v>-272.28840000000002</v>
      </c>
      <c r="K2836">
        <v>1.108924</v>
      </c>
      <c r="L2836">
        <v>213.88810000000001</v>
      </c>
      <c r="M2836">
        <v>0.99989790000000001</v>
      </c>
      <c r="N2836">
        <v>0</v>
      </c>
      <c r="O2836">
        <v>1.307292E-3</v>
      </c>
      <c r="P2836">
        <v>0.98538429999999999</v>
      </c>
      <c r="Q2836">
        <v>0.16970189999999999</v>
      </c>
      <c r="R2836">
        <v>-1.4815790000000001E-2</v>
      </c>
      <c r="S2836">
        <v>3.0255429999999999</v>
      </c>
      <c r="T2836">
        <v>9.7386120000000007E-2</v>
      </c>
      <c r="U2836">
        <v>-0.15861510000000001</v>
      </c>
      <c r="V2836">
        <v>1.6099410000000001E-2</v>
      </c>
      <c r="W2836">
        <v>0.1837134</v>
      </c>
      <c r="X2836">
        <v>0.98284800000000005</v>
      </c>
      <c r="Y2836">
        <v>5.3630659999999997E-2</v>
      </c>
      <c r="Z2836">
        <v>9.0436029999999999E-4</v>
      </c>
      <c r="AA2836">
        <v>0.99856040000000001</v>
      </c>
      <c r="AB2836">
        <v>40</v>
      </c>
      <c r="AC2836">
        <v>102.8944</v>
      </c>
      <c r="AD2836">
        <v>3.3213170000000001</v>
      </c>
      <c r="AE2836">
        <v>-5.4099999999999904</v>
      </c>
      <c r="AF2836">
        <v>5.5387669427522104</v>
      </c>
      <c r="AG2836">
        <v>3.3213170000000001</v>
      </c>
      <c r="AH2836">
        <v>102.78044442980899</v>
      </c>
      <c r="AI2836">
        <v>88.151829167183806</v>
      </c>
      <c r="AJ2836">
        <v>86.915353824925106</v>
      </c>
      <c r="AK2836">
        <v>102.983148345007</v>
      </c>
      <c r="AL2836">
        <v>79.413869918508198</v>
      </c>
      <c r="AM2836">
        <v>89.061558086237895</v>
      </c>
      <c r="AN2836">
        <v>0.999999997722954</v>
      </c>
    </row>
    <row r="2837" spans="1:40" x14ac:dyDescent="0.25">
      <c r="A2837" t="str">
        <f>"20190312164528193"</f>
        <v>20190312164528193</v>
      </c>
      <c r="B2837" t="str">
        <f>"1552380328184429"</f>
        <v>1552380328184429</v>
      </c>
      <c r="C2837" t="s">
        <v>40</v>
      </c>
      <c r="D2837">
        <v>4.6384239999999997</v>
      </c>
      <c r="E2837">
        <v>0.52025809999999995</v>
      </c>
      <c r="F2837" t="s">
        <v>60</v>
      </c>
      <c r="G2837">
        <v>-168.41149999999999</v>
      </c>
      <c r="H2837">
        <v>4.5456849999999998</v>
      </c>
      <c r="I2837">
        <v>207.86779999999999</v>
      </c>
      <c r="J2837">
        <v>-272.05799999999999</v>
      </c>
      <c r="K2837">
        <v>1.108924</v>
      </c>
      <c r="L2837">
        <v>213.88839999999999</v>
      </c>
      <c r="M2837">
        <v>0.99989779999999995</v>
      </c>
      <c r="N2837">
        <v>0</v>
      </c>
      <c r="O2837">
        <v>1.3231779999999999E-3</v>
      </c>
      <c r="P2837">
        <v>0.98543219999999998</v>
      </c>
      <c r="Q2837">
        <v>0.1693587</v>
      </c>
      <c r="R2837">
        <v>-1.5539539999999999E-2</v>
      </c>
      <c r="S2837">
        <v>3.0246279999999999</v>
      </c>
      <c r="T2837">
        <v>0.1000707</v>
      </c>
      <c r="U2837">
        <v>-0.175293</v>
      </c>
      <c r="V2837">
        <v>1.683813E-2</v>
      </c>
      <c r="W2837">
        <v>0.1833698</v>
      </c>
      <c r="X2837">
        <v>0.98289979999999999</v>
      </c>
      <c r="Y2837">
        <v>5.9146209999999998E-2</v>
      </c>
      <c r="Z2837">
        <v>1.021082E-3</v>
      </c>
      <c r="AA2837">
        <v>0.99824880000000005</v>
      </c>
      <c r="AB2837">
        <v>40</v>
      </c>
      <c r="AC2837">
        <v>103.6465</v>
      </c>
      <c r="AD2837">
        <v>3.4367610000000002</v>
      </c>
      <c r="AE2837">
        <v>-6.0206</v>
      </c>
      <c r="AF2837">
        <v>6.1510111915123398</v>
      </c>
      <c r="AG2837">
        <v>3.4367610000000002</v>
      </c>
      <c r="AH2837">
        <v>103.525000686105</v>
      </c>
      <c r="AI2837">
        <v>88.101972113326298</v>
      </c>
      <c r="AJ2837">
        <v>86.599728189095899</v>
      </c>
      <c r="AK2837">
        <v>103.764502754589</v>
      </c>
      <c r="AL2837">
        <v>79.433897116491494</v>
      </c>
      <c r="AM2837">
        <v>89.0185577167898</v>
      </c>
      <c r="AN2837">
        <v>1.00000001150698</v>
      </c>
    </row>
    <row r="2838" spans="1:40" x14ac:dyDescent="0.25">
      <c r="A2838" t="str">
        <f>"20190312164528209"</f>
        <v>20190312164528209</v>
      </c>
      <c r="B2838" t="str">
        <f>"1552380328204924"</f>
        <v>1552380328204924</v>
      </c>
      <c r="C2838" t="s">
        <v>40</v>
      </c>
      <c r="D2838">
        <v>4.5553689999999998</v>
      </c>
      <c r="E2838">
        <v>0.52133569999999996</v>
      </c>
      <c r="F2838" t="s">
        <v>60</v>
      </c>
      <c r="G2838">
        <v>-168.4117</v>
      </c>
      <c r="H2838">
        <v>4.6017669999999997</v>
      </c>
      <c r="I2838">
        <v>207.44489999999999</v>
      </c>
      <c r="J2838">
        <v>-271.77159999999998</v>
      </c>
      <c r="K2838">
        <v>1.1089209999999901</v>
      </c>
      <c r="L2838">
        <v>213.8888</v>
      </c>
      <c r="M2838">
        <v>0.99989779999999995</v>
      </c>
      <c r="N2838">
        <v>0</v>
      </c>
      <c r="O2838">
        <v>1.3454649999999999E-3</v>
      </c>
      <c r="P2838">
        <v>0.98551900000000003</v>
      </c>
      <c r="Q2838">
        <v>0.16879140000000001</v>
      </c>
      <c r="R2838">
        <v>-1.6181129999999998E-2</v>
      </c>
      <c r="S2838">
        <v>3.0238649999999998</v>
      </c>
      <c r="T2838">
        <v>0.10190399999999999</v>
      </c>
      <c r="U2838">
        <v>-0.1879883</v>
      </c>
      <c r="V2838">
        <v>1.7501059999999999E-2</v>
      </c>
      <c r="W2838">
        <v>0.1828021</v>
      </c>
      <c r="X2838">
        <v>0.98299400000000003</v>
      </c>
      <c r="Y2838">
        <v>6.3354800000000003E-2</v>
      </c>
      <c r="Z2838">
        <v>1.1114849999999999E-3</v>
      </c>
      <c r="AA2838">
        <v>0.99799040000000006</v>
      </c>
      <c r="AB2838">
        <v>40</v>
      </c>
      <c r="AC2838">
        <v>103.359899999999</v>
      </c>
      <c r="AD2838">
        <v>3.4928460000000001</v>
      </c>
      <c r="AE2838">
        <v>-6.44390000000001</v>
      </c>
      <c r="AF2838">
        <v>6.5754954365156904</v>
      </c>
      <c r="AG2838">
        <v>3.4928460000000001</v>
      </c>
      <c r="AH2838">
        <v>103.233702150773</v>
      </c>
      <c r="AI2838">
        <v>88.066089392438499</v>
      </c>
      <c r="AJ2838">
        <v>86.355454992066996</v>
      </c>
      <c r="AK2838">
        <v>103.50185685856</v>
      </c>
      <c r="AL2838">
        <v>79.466983591686699</v>
      </c>
      <c r="AM2838">
        <v>88.980023329578103</v>
      </c>
      <c r="AN2838">
        <v>1.0000000494507599</v>
      </c>
    </row>
    <row r="2839" spans="1:40" x14ac:dyDescent="0.25">
      <c r="A2839" t="str">
        <f>"20190312164528224"</f>
        <v>20190312164528224</v>
      </c>
      <c r="B2839" t="str">
        <f>"1552380328214684"</f>
        <v>1552380328214684</v>
      </c>
      <c r="C2839" t="s">
        <v>40</v>
      </c>
      <c r="D2839">
        <v>4.6985609999999998</v>
      </c>
      <c r="E2839">
        <v>0.5228912</v>
      </c>
      <c r="F2839" t="s">
        <v>60</v>
      </c>
      <c r="G2839">
        <v>-168.4118</v>
      </c>
      <c r="H2839">
        <v>4.6026759999999998</v>
      </c>
      <c r="I2839">
        <v>207.10149999999999</v>
      </c>
      <c r="J2839">
        <v>-271.50279999999998</v>
      </c>
      <c r="K2839">
        <v>1.1089230000000001</v>
      </c>
      <c r="L2839">
        <v>213.88910000000001</v>
      </c>
      <c r="M2839">
        <v>0.99989779999999995</v>
      </c>
      <c r="N2839">
        <v>0</v>
      </c>
      <c r="O2839">
        <v>1.3705130000000001E-3</v>
      </c>
      <c r="P2839">
        <v>0.98555110000000001</v>
      </c>
      <c r="Q2839">
        <v>0.16857179999999999</v>
      </c>
      <c r="R2839">
        <v>-1.65113E-2</v>
      </c>
      <c r="S2839">
        <v>3.0233460000000001</v>
      </c>
      <c r="T2839">
        <v>0.1021957</v>
      </c>
      <c r="U2839">
        <v>-0.19853209999999999</v>
      </c>
      <c r="V2839">
        <v>1.7854149999999999E-2</v>
      </c>
      <c r="W2839">
        <v>0.1825812</v>
      </c>
      <c r="X2839">
        <v>0.98302869999999998</v>
      </c>
      <c r="Y2839">
        <v>6.6854090000000005E-2</v>
      </c>
      <c r="Z2839">
        <v>1.17464E-3</v>
      </c>
      <c r="AA2839">
        <v>0.99776209999999999</v>
      </c>
      <c r="AB2839">
        <v>40</v>
      </c>
      <c r="AC2839">
        <v>103.090999999999</v>
      </c>
      <c r="AD2839">
        <v>3.4937529999999999</v>
      </c>
      <c r="AE2839">
        <v>-6.7876000000000198</v>
      </c>
      <c r="AF2839">
        <v>6.92098083415378</v>
      </c>
      <c r="AG2839">
        <v>3.4937529999999999</v>
      </c>
      <c r="AH2839">
        <v>102.96385293733</v>
      </c>
      <c r="AI2839">
        <v>88.060966583265298</v>
      </c>
      <c r="AJ2839">
        <v>86.154501081207997</v>
      </c>
      <c r="AK2839">
        <v>103.25532091583401</v>
      </c>
      <c r="AL2839">
        <v>79.479856837084697</v>
      </c>
      <c r="AM2839">
        <v>88.959486146083705</v>
      </c>
      <c r="AN2839">
        <v>1.00000004514467</v>
      </c>
    </row>
    <row r="2840" spans="1:40" x14ac:dyDescent="0.25">
      <c r="A2840" t="str">
        <f>"20190312164528242"</f>
        <v>20190312164528242</v>
      </c>
      <c r="B2840" t="str">
        <f>"1552380328234207"</f>
        <v>1552380328234207</v>
      </c>
      <c r="C2840" t="s">
        <v>40</v>
      </c>
      <c r="D2840">
        <v>4.5897629999999996</v>
      </c>
      <c r="E2840">
        <v>0.52374920000000003</v>
      </c>
      <c r="F2840" t="s">
        <v>47</v>
      </c>
      <c r="G2840">
        <v>-244.92930000000001</v>
      </c>
      <c r="H2840" s="1">
        <v>1.194079E-6</v>
      </c>
      <c r="I2840">
        <v>212.1515</v>
      </c>
      <c r="J2840">
        <v>-271.18079999999998</v>
      </c>
      <c r="K2840">
        <v>1.1089340000000001</v>
      </c>
      <c r="L2840">
        <v>213.8896</v>
      </c>
      <c r="M2840">
        <v>0.99989790000000001</v>
      </c>
      <c r="N2840">
        <v>0</v>
      </c>
      <c r="O2840">
        <v>1.4049469999999999E-3</v>
      </c>
      <c r="P2840">
        <v>0.98563800000000001</v>
      </c>
      <c r="Q2840">
        <v>0.1679976</v>
      </c>
      <c r="R2840">
        <v>-1.7162119999999999E-2</v>
      </c>
      <c r="S2840">
        <v>3.0625</v>
      </c>
      <c r="T2840">
        <v>-0.12779939999999901</v>
      </c>
      <c r="U2840">
        <v>-0.2002563</v>
      </c>
      <c r="V2840">
        <v>1.8536810000000001E-2</v>
      </c>
      <c r="W2840">
        <v>0.1820069</v>
      </c>
      <c r="X2840">
        <v>0.98312250000000001</v>
      </c>
      <c r="Y2840">
        <v>6.6593589999999994E-2</v>
      </c>
      <c r="Z2840">
        <v>-1.4459529999999901E-3</v>
      </c>
      <c r="AA2840">
        <v>0.99777910000000003</v>
      </c>
      <c r="AB2840">
        <v>40</v>
      </c>
      <c r="AC2840">
        <v>26.251499999999901</v>
      </c>
      <c r="AD2840">
        <v>-1.108932805921</v>
      </c>
      <c r="AE2840">
        <v>-1.7381</v>
      </c>
      <c r="AF2840">
        <v>1.7718360426339901</v>
      </c>
      <c r="AG2840">
        <v>-1.108932805921</v>
      </c>
      <c r="AH2840">
        <v>26.202479193577901</v>
      </c>
      <c r="AI2840">
        <v>92.4178920352864</v>
      </c>
      <c r="AJ2840">
        <v>86.131495225809303</v>
      </c>
      <c r="AK2840">
        <v>26.285719522583101</v>
      </c>
      <c r="AL2840">
        <v>79.513321940328197</v>
      </c>
      <c r="AM2840">
        <v>88.919814016566406</v>
      </c>
      <c r="AN2840">
        <v>0.99999998748941799</v>
      </c>
    </row>
    <row r="2841" spans="1:40" x14ac:dyDescent="0.25">
      <c r="A2841" t="str">
        <f>"20190312164528258"</f>
        <v>20190312164528258</v>
      </c>
      <c r="B2841" t="str">
        <f>"1552380328254700"</f>
        <v>1552380328254700</v>
      </c>
      <c r="C2841" t="s">
        <v>40</v>
      </c>
      <c r="D2841">
        <v>4.835629</v>
      </c>
      <c r="E2841">
        <v>0.52644880000000005</v>
      </c>
      <c r="F2841" t="s">
        <v>47</v>
      </c>
      <c r="G2841">
        <v>-232.9563</v>
      </c>
      <c r="H2841" s="1">
        <v>1.834262E-7</v>
      </c>
      <c r="I2841">
        <v>211.25309999999999</v>
      </c>
      <c r="J2841">
        <v>-270.91079999999999</v>
      </c>
      <c r="K2841">
        <v>1.108938</v>
      </c>
      <c r="L2841">
        <v>213.89</v>
      </c>
      <c r="M2841">
        <v>0.99989779999999995</v>
      </c>
      <c r="N2841">
        <v>0</v>
      </c>
      <c r="O2841">
        <v>1.4404559999999999E-3</v>
      </c>
      <c r="P2841">
        <v>0.98567070000000001</v>
      </c>
      <c r="Q2841">
        <v>0.16776930000000001</v>
      </c>
      <c r="R2841">
        <v>-1.7523759999999999E-2</v>
      </c>
      <c r="S2841">
        <v>3.0551149999999998</v>
      </c>
      <c r="T2841">
        <v>-8.863211E-2</v>
      </c>
      <c r="U2841">
        <v>-0.21072389999999999</v>
      </c>
      <c r="V2841">
        <v>1.8931E-2</v>
      </c>
      <c r="W2841">
        <v>0.18177769999999999</v>
      </c>
      <c r="X2841">
        <v>0.98315739999999996</v>
      </c>
      <c r="Y2841">
        <v>7.0217760000000004E-2</v>
      </c>
      <c r="Z2841">
        <v>-1.05886E-3</v>
      </c>
      <c r="AA2841">
        <v>0.9975311</v>
      </c>
      <c r="AB2841">
        <v>40</v>
      </c>
      <c r="AC2841">
        <v>37.954500000000003</v>
      </c>
      <c r="AD2841">
        <v>-1.1089378165738</v>
      </c>
      <c r="AE2841">
        <v>-2.63689999999999</v>
      </c>
      <c r="AF2841">
        <v>2.6892898557311802</v>
      </c>
      <c r="AG2841">
        <v>-1.1089378165738</v>
      </c>
      <c r="AH2841">
        <v>37.918447706404898</v>
      </c>
      <c r="AI2841">
        <v>91.670962091466507</v>
      </c>
      <c r="AJ2841">
        <v>85.943204638198296</v>
      </c>
      <c r="AK2841">
        <v>38.029865888174299</v>
      </c>
      <c r="AL2841">
        <v>79.526676984520606</v>
      </c>
      <c r="AM2841">
        <v>88.896888352810706</v>
      </c>
      <c r="AN2841">
        <v>0.99999999407652396</v>
      </c>
    </row>
    <row r="2842" spans="1:40" x14ac:dyDescent="0.25">
      <c r="A2842" t="str">
        <f>"20190312164528272"</f>
        <v>20190312164528272</v>
      </c>
      <c r="B2842" t="str">
        <f>"1552380328264460"</f>
        <v>1552380328264460</v>
      </c>
      <c r="C2842" t="s">
        <v>40</v>
      </c>
      <c r="D2842">
        <v>4.5739850000000004</v>
      </c>
      <c r="E2842">
        <v>0.5271574</v>
      </c>
      <c r="F2842" t="s">
        <v>60</v>
      </c>
      <c r="G2842">
        <v>-168.41079999999999</v>
      </c>
      <c r="H2842">
        <v>0.43179319999999999</v>
      </c>
      <c r="I2842">
        <v>205.91419999999999</v>
      </c>
      <c r="J2842">
        <v>-270.66390000000001</v>
      </c>
      <c r="K2842">
        <v>1.1089450000000001</v>
      </c>
      <c r="L2842">
        <v>213.8904</v>
      </c>
      <c r="M2842">
        <v>0.9998977</v>
      </c>
      <c r="N2842">
        <v>0</v>
      </c>
      <c r="O2842">
        <v>1.4774600000000001E-3</v>
      </c>
      <c r="P2842">
        <v>0.98572000000000004</v>
      </c>
      <c r="Q2842">
        <v>0.16745979999999999</v>
      </c>
      <c r="R2842">
        <v>-1.7701660000000001E-2</v>
      </c>
      <c r="S2842">
        <v>3.0428470000000001</v>
      </c>
      <c r="T2842">
        <v>-2.0100949999999999E-2</v>
      </c>
      <c r="U2842">
        <v>-0.2367706</v>
      </c>
      <c r="V2842">
        <v>1.9142869999999999E-2</v>
      </c>
      <c r="W2842">
        <v>0.18146770000000001</v>
      </c>
      <c r="X2842">
        <v>0.98321060000000005</v>
      </c>
      <c r="Y2842">
        <v>7.9049049999999996E-2</v>
      </c>
      <c r="Z2842">
        <v>-2.7044729999999999E-4</v>
      </c>
      <c r="AA2842">
        <v>0.9968707</v>
      </c>
      <c r="AB2842">
        <v>40</v>
      </c>
      <c r="AC2842">
        <v>102.2531</v>
      </c>
      <c r="AD2842">
        <v>-0.67715179999999997</v>
      </c>
      <c r="AE2842">
        <v>-7.9762000000000004</v>
      </c>
      <c r="AF2842">
        <v>8.1269271985066798</v>
      </c>
      <c r="AG2842">
        <v>-0.67715179999999997</v>
      </c>
      <c r="AH2842">
        <v>102.236746188434</v>
      </c>
      <c r="AI2842">
        <v>90.378292328257899</v>
      </c>
      <c r="AJ2842">
        <v>85.455043518616804</v>
      </c>
      <c r="AK2842">
        <v>102.56148278690399</v>
      </c>
      <c r="AL2842">
        <v>79.544739457409705</v>
      </c>
      <c r="AM2842">
        <v>88.884606104664897</v>
      </c>
      <c r="AN2842">
        <v>1.0000000297837399</v>
      </c>
    </row>
    <row r="2843" spans="1:40" x14ac:dyDescent="0.25">
      <c r="A2843" t="str">
        <f>"20190312164528283"</f>
        <v>20190312164528283</v>
      </c>
      <c r="B2843" t="str">
        <f>"1552380328274220"</f>
        <v>1552380328274220</v>
      </c>
      <c r="C2843" t="s">
        <v>40</v>
      </c>
      <c r="D2843">
        <v>5.0023070000000001</v>
      </c>
      <c r="E2843">
        <v>0.5277096</v>
      </c>
      <c r="F2843" t="s">
        <v>60</v>
      </c>
      <c r="G2843">
        <v>-168.4111</v>
      </c>
      <c r="H2843">
        <v>1.118916</v>
      </c>
      <c r="I2843">
        <v>205.68729999999999</v>
      </c>
      <c r="J2843">
        <v>-270.43630000000002</v>
      </c>
      <c r="K2843">
        <v>1.1089500000000001</v>
      </c>
      <c r="L2843">
        <v>213.89080000000001</v>
      </c>
      <c r="M2843">
        <v>0.9998977</v>
      </c>
      <c r="N2843">
        <v>0</v>
      </c>
      <c r="O2843">
        <v>1.5176359999999999E-3</v>
      </c>
      <c r="P2843">
        <v>0.98580840000000003</v>
      </c>
      <c r="Q2843">
        <v>0.16689399999999999</v>
      </c>
      <c r="R2843">
        <v>-1.8124270000000001E-2</v>
      </c>
      <c r="S2843">
        <v>3.0390630000000001</v>
      </c>
      <c r="T2843">
        <v>2.9730799999999998E-4</v>
      </c>
      <c r="U2843">
        <v>-0.24380489999999999</v>
      </c>
      <c r="V2843">
        <v>1.9602390000000001E-2</v>
      </c>
      <c r="W2843">
        <v>0.1809026</v>
      </c>
      <c r="X2843">
        <v>0.9833056</v>
      </c>
      <c r="Y2843">
        <v>8.1479659999999995E-2</v>
      </c>
      <c r="Z2843" s="1">
        <v>4.1273869999999999E-6</v>
      </c>
      <c r="AA2843">
        <v>0.99667499999999998</v>
      </c>
      <c r="AB2843">
        <v>40</v>
      </c>
      <c r="AC2843">
        <v>102.0252</v>
      </c>
      <c r="AD2843">
        <v>9.9659999999999194E-3</v>
      </c>
      <c r="AE2843">
        <v>-8.2035000000000196</v>
      </c>
      <c r="AF2843">
        <v>8.3583432511322702</v>
      </c>
      <c r="AG2843">
        <v>9.9659999999999194E-3</v>
      </c>
      <c r="AH2843">
        <v>102.012630329503</v>
      </c>
      <c r="AI2843">
        <v>89.994421252864498</v>
      </c>
      <c r="AJ2843">
        <v>85.315967898660901</v>
      </c>
      <c r="AK2843">
        <v>102.354475954737</v>
      </c>
      <c r="AL2843">
        <v>79.577661404241994</v>
      </c>
      <c r="AM2843">
        <v>88.857948669791995</v>
      </c>
      <c r="AN2843">
        <v>0.99999995368591499</v>
      </c>
    </row>
    <row r="2844" spans="1:40" x14ac:dyDescent="0.25">
      <c r="A2844" t="str">
        <f>"20190312164528299"</f>
        <v>20190312164528299</v>
      </c>
      <c r="B2844" t="str">
        <f>"1552380328294716"</f>
        <v>1552380328294716</v>
      </c>
      <c r="C2844" t="s">
        <v>40</v>
      </c>
      <c r="D2844">
        <v>5.0535740000000002</v>
      </c>
      <c r="E2844">
        <v>0.52859339999999999</v>
      </c>
      <c r="F2844" t="s">
        <v>60</v>
      </c>
      <c r="G2844">
        <v>-168.41130000000001</v>
      </c>
      <c r="H2844">
        <v>1.51539</v>
      </c>
      <c r="I2844">
        <v>205.48390000000001</v>
      </c>
      <c r="J2844">
        <v>-270.18369999999999</v>
      </c>
      <c r="K2844">
        <v>1.1089549999999999</v>
      </c>
      <c r="L2844">
        <v>213.8912</v>
      </c>
      <c r="M2844">
        <v>0.9998977</v>
      </c>
      <c r="N2844">
        <v>0</v>
      </c>
      <c r="O2844">
        <v>1.569162E-3</v>
      </c>
      <c r="P2844">
        <v>0.98601000000000005</v>
      </c>
      <c r="Q2844">
        <v>0.16562839999999901</v>
      </c>
      <c r="R2844">
        <v>-1.8761679999999999E-2</v>
      </c>
      <c r="S2844">
        <v>3.0365600000000001</v>
      </c>
      <c r="T2844">
        <v>1.209784E-2</v>
      </c>
      <c r="U2844">
        <v>-0.25021359999999998</v>
      </c>
      <c r="V2844">
        <v>2.028756E-2</v>
      </c>
      <c r="W2844">
        <v>0.1796391</v>
      </c>
      <c r="X2844">
        <v>0.98352340000000005</v>
      </c>
      <c r="Y2844">
        <v>8.3685270000000006E-2</v>
      </c>
      <c r="Z2844">
        <v>1.7266259999999901E-4</v>
      </c>
      <c r="AA2844">
        <v>0.99649219999999905</v>
      </c>
      <c r="AB2844">
        <v>40</v>
      </c>
      <c r="AC2844">
        <v>101.772399999999</v>
      </c>
      <c r="AD2844">
        <v>0.40643499999999999</v>
      </c>
      <c r="AE2844">
        <v>-8.4072999999999904</v>
      </c>
      <c r="AF2844">
        <v>8.5668674688082493</v>
      </c>
      <c r="AG2844">
        <v>0.40643499999999999</v>
      </c>
      <c r="AH2844">
        <v>101.75746904209601</v>
      </c>
      <c r="AI2844">
        <v>89.771959767504896</v>
      </c>
      <c r="AJ2844">
        <v>85.187669369665898</v>
      </c>
      <c r="AK2844">
        <v>102.118259451924</v>
      </c>
      <c r="AL2844">
        <v>79.651261251448105</v>
      </c>
      <c r="AM2844">
        <v>88.818302905285805</v>
      </c>
      <c r="AN2844">
        <v>1.00000003484356</v>
      </c>
    </row>
    <row r="2845" spans="1:40" x14ac:dyDescent="0.25">
      <c r="A2845" t="str">
        <f>"20190312164528322"</f>
        <v>20190312164528322</v>
      </c>
      <c r="B2845" t="str">
        <f>"1552380328314235"</f>
        <v>1552380328314235</v>
      </c>
      <c r="C2845" t="s">
        <v>40</v>
      </c>
      <c r="D2845">
        <v>4.5687870000000004</v>
      </c>
      <c r="E2845">
        <v>0.52919640000000001</v>
      </c>
      <c r="F2845" t="s">
        <v>60</v>
      </c>
      <c r="G2845">
        <v>-168.4117</v>
      </c>
      <c r="H2845">
        <v>2.1747019999999999</v>
      </c>
      <c r="I2845">
        <v>205.1583</v>
      </c>
      <c r="J2845">
        <v>-269.7697</v>
      </c>
      <c r="K2845">
        <v>1.1089690000000001</v>
      </c>
      <c r="L2845">
        <v>213.89189999999999</v>
      </c>
      <c r="M2845">
        <v>0.99989749999999999</v>
      </c>
      <c r="N2845">
        <v>0</v>
      </c>
      <c r="O2845">
        <v>1.6705379999999901E-3</v>
      </c>
      <c r="P2845">
        <v>0.98620289999999999</v>
      </c>
      <c r="Q2845">
        <v>0.16435900000000001</v>
      </c>
      <c r="R2845">
        <v>-1.9755700000000001E-2</v>
      </c>
      <c r="S2845">
        <v>3.032257</v>
      </c>
      <c r="T2845">
        <v>3.1754490000000003E-2</v>
      </c>
      <c r="U2845">
        <v>-0.2601929</v>
      </c>
      <c r="V2845">
        <v>2.137501E-2</v>
      </c>
      <c r="W2845">
        <v>0.1783701</v>
      </c>
      <c r="X2845">
        <v>0.98373129999999998</v>
      </c>
      <c r="Y2845">
        <v>8.715378E-2</v>
      </c>
      <c r="Z2845">
        <v>4.7296159999999997E-4</v>
      </c>
      <c r="AA2845">
        <v>0.99619480000000005</v>
      </c>
      <c r="AB2845">
        <v>40</v>
      </c>
      <c r="AC2845">
        <v>101.357999999999</v>
      </c>
      <c r="AD2845">
        <v>1.06573299999999</v>
      </c>
      <c r="AE2845">
        <v>-8.7335999999999903</v>
      </c>
      <c r="AF2845">
        <v>8.9019504152998099</v>
      </c>
      <c r="AG2845">
        <v>1.06573299999999</v>
      </c>
      <c r="AH2845">
        <v>101.332146981995</v>
      </c>
      <c r="AI2845">
        <v>89.399741228400998</v>
      </c>
      <c r="AJ2845">
        <v>84.979499009999401</v>
      </c>
      <c r="AK2845">
        <v>101.727992804363</v>
      </c>
      <c r="AL2845">
        <v>79.725163165794598</v>
      </c>
      <c r="AM2845">
        <v>88.755244265769903</v>
      </c>
      <c r="AN2845">
        <v>1.00000002711309</v>
      </c>
    </row>
    <row r="2846" spans="1:40" x14ac:dyDescent="0.25">
      <c r="A2846" t="str">
        <f>"20190312164528343"</f>
        <v>20190312164528343</v>
      </c>
      <c r="B2846" t="str">
        <f>"1552380328334732"</f>
        <v>1552380328334732</v>
      </c>
      <c r="C2846" t="s">
        <v>40</v>
      </c>
      <c r="D2846">
        <v>4.5210839999999903</v>
      </c>
      <c r="E2846">
        <v>0.52971080000000004</v>
      </c>
      <c r="F2846" t="s">
        <v>48</v>
      </c>
      <c r="G2846">
        <v>-177.6035</v>
      </c>
      <c r="H2846">
        <v>2.3702930000000002</v>
      </c>
      <c r="I2846">
        <v>205.7133</v>
      </c>
      <c r="J2846">
        <v>-269.39769999999999</v>
      </c>
      <c r="K2846">
        <v>1.108975</v>
      </c>
      <c r="L2846">
        <v>213.89259999999999</v>
      </c>
      <c r="M2846">
        <v>0.99989740000000005</v>
      </c>
      <c r="N2846">
        <v>0</v>
      </c>
      <c r="O2846">
        <v>1.7838610000000001E-3</v>
      </c>
      <c r="P2846">
        <v>0.98634429999999995</v>
      </c>
      <c r="Q2846">
        <v>0.16334189999999901</v>
      </c>
      <c r="R2846">
        <v>-2.1083350000000001E-2</v>
      </c>
      <c r="S2846">
        <v>3.0296630000000002</v>
      </c>
      <c r="T2846">
        <v>4.1461940000000003E-2</v>
      </c>
      <c r="U2846">
        <v>-0.26884459999999999</v>
      </c>
      <c r="V2846">
        <v>2.2807439999999998E-2</v>
      </c>
      <c r="W2846">
        <v>0.1773546</v>
      </c>
      <c r="X2846">
        <v>0.9838827</v>
      </c>
      <c r="Y2846">
        <v>9.0158520000000006E-2</v>
      </c>
      <c r="Z2846">
        <v>6.4005289999999999E-4</v>
      </c>
      <c r="AA2846">
        <v>0.99592720000000001</v>
      </c>
      <c r="AB2846">
        <v>40</v>
      </c>
      <c r="AC2846">
        <v>91.794200000000004</v>
      </c>
      <c r="AD2846">
        <v>1.2613179999999999</v>
      </c>
      <c r="AE2846">
        <v>-8.17929999999998</v>
      </c>
      <c r="AF2846">
        <v>8.3414890906911694</v>
      </c>
      <c r="AG2846">
        <v>1.2613179999999999</v>
      </c>
      <c r="AH2846">
        <v>91.762272800413797</v>
      </c>
      <c r="AI2846">
        <v>89.215723978202504</v>
      </c>
      <c r="AJ2846">
        <v>84.8059028441984</v>
      </c>
      <c r="AK2846">
        <v>92.149259752017599</v>
      </c>
      <c r="AL2846">
        <v>79.784289507008495</v>
      </c>
      <c r="AM2846">
        <v>88.672061151504195</v>
      </c>
      <c r="AN2846">
        <v>1.0000000004098999</v>
      </c>
    </row>
    <row r="2847" spans="1:40" x14ac:dyDescent="0.25">
      <c r="A2847" t="str">
        <f>"20190312164528359"</f>
        <v>20190312164528359</v>
      </c>
      <c r="B2847" t="str">
        <f>"1552380328354251"</f>
        <v>1552380328354251</v>
      </c>
      <c r="C2847" t="s">
        <v>40</v>
      </c>
      <c r="D2847">
        <v>4.7105639999999998</v>
      </c>
      <c r="E2847">
        <v>0.53008750000000004</v>
      </c>
      <c r="F2847" t="s">
        <v>60</v>
      </c>
      <c r="G2847">
        <v>-168.41200000000001</v>
      </c>
      <c r="H2847">
        <v>2.760939</v>
      </c>
      <c r="I2847">
        <v>204.6454</v>
      </c>
      <c r="J2847">
        <v>-269.11579999999998</v>
      </c>
      <c r="K2847">
        <v>1.1089910000000001</v>
      </c>
      <c r="L2847">
        <v>213.89320000000001</v>
      </c>
      <c r="M2847">
        <v>0.99989720000000004</v>
      </c>
      <c r="N2847">
        <v>0</v>
      </c>
      <c r="O2847">
        <v>1.886237E-3</v>
      </c>
      <c r="P2847">
        <v>0.98638190000000003</v>
      </c>
      <c r="Q2847">
        <v>0.1630289</v>
      </c>
      <c r="R2847">
        <v>-2.1733329999999999E-2</v>
      </c>
      <c r="S2847">
        <v>3.0274350000000001</v>
      </c>
      <c r="T2847">
        <v>4.9525020000000003E-2</v>
      </c>
      <c r="U2847">
        <v>-0.27722170000000002</v>
      </c>
      <c r="V2847">
        <v>2.3551809999999999E-2</v>
      </c>
      <c r="W2847">
        <v>0.17704120000000001</v>
      </c>
      <c r="X2847">
        <v>0.98392159999999995</v>
      </c>
      <c r="Y2847">
        <v>9.3054120000000004E-2</v>
      </c>
      <c r="Z2847">
        <v>7.9027839999999997E-4</v>
      </c>
      <c r="AA2847">
        <v>0.99566069999999995</v>
      </c>
      <c r="AB2847">
        <v>40</v>
      </c>
      <c r="AC2847">
        <v>100.70379999999901</v>
      </c>
      <c r="AD2847">
        <v>1.651948</v>
      </c>
      <c r="AE2847">
        <v>-9.2478000000000105</v>
      </c>
      <c r="AF2847">
        <v>9.4352362539565995</v>
      </c>
      <c r="AG2847">
        <v>1.651948</v>
      </c>
      <c r="AH2847">
        <v>100.659315393686</v>
      </c>
      <c r="AI2847">
        <v>89.063890104936803</v>
      </c>
      <c r="AJ2847">
        <v>84.645063399592203</v>
      </c>
      <c r="AK2847">
        <v>101.1140464569</v>
      </c>
      <c r="AL2847">
        <v>79.802534670769006</v>
      </c>
      <c r="AM2847">
        <v>88.628791482561695</v>
      </c>
      <c r="AN2847">
        <v>0.99999999459913702</v>
      </c>
    </row>
    <row r="2848" spans="1:40" x14ac:dyDescent="0.25">
      <c r="A2848" t="str">
        <f>"20190312164528376"</f>
        <v>20190312164528376</v>
      </c>
      <c r="B2848" t="str">
        <f>"1552380328364012"</f>
        <v>1552380328364012</v>
      </c>
      <c r="C2848" t="s">
        <v>40</v>
      </c>
      <c r="D2848">
        <v>4.7290979999999996</v>
      </c>
      <c r="E2848">
        <v>0.53020089999999997</v>
      </c>
      <c r="F2848" t="s">
        <v>60</v>
      </c>
      <c r="G2848">
        <v>-168.41210000000001</v>
      </c>
      <c r="H2848">
        <v>2.9403380000000001</v>
      </c>
      <c r="I2848">
        <v>204.49189999999999</v>
      </c>
      <c r="J2848">
        <v>-268.8082</v>
      </c>
      <c r="K2848">
        <v>1.1090100000000001</v>
      </c>
      <c r="L2848">
        <v>213.8939</v>
      </c>
      <c r="M2848">
        <v>0.99989709999999998</v>
      </c>
      <c r="N2848">
        <v>0</v>
      </c>
      <c r="O2848">
        <v>2.0131609999999999E-3</v>
      </c>
      <c r="P2848">
        <v>0.98651739999999999</v>
      </c>
      <c r="Q2848">
        <v>0.162023</v>
      </c>
      <c r="R2848">
        <v>-2.3073750000000001E-2</v>
      </c>
      <c r="S2848">
        <v>3.026062</v>
      </c>
      <c r="T2848">
        <v>5.5031419999999998E-2</v>
      </c>
      <c r="U2848">
        <v>-0.28250120000000001</v>
      </c>
      <c r="V2848">
        <v>2.500989E-2</v>
      </c>
      <c r="W2848">
        <v>0.17603629999999901</v>
      </c>
      <c r="X2848">
        <v>0.98406590000000005</v>
      </c>
      <c r="Y2848">
        <v>9.4940449999999996E-2</v>
      </c>
      <c r="Z2848">
        <v>8.9787459999999999E-4</v>
      </c>
      <c r="AA2848">
        <v>0.9954826</v>
      </c>
      <c r="AB2848">
        <v>40</v>
      </c>
      <c r="AC2848">
        <v>100.3961</v>
      </c>
      <c r="AD2848">
        <v>1.8313279999999901</v>
      </c>
      <c r="AE2848">
        <v>-9.4020000000000099</v>
      </c>
      <c r="AF2848">
        <v>9.6009480479490801</v>
      </c>
      <c r="AG2848">
        <v>1.8313279999999901</v>
      </c>
      <c r="AH2848">
        <v>100.343869212237</v>
      </c>
      <c r="AI2848">
        <v>88.959190456160997</v>
      </c>
      <c r="AJ2848">
        <v>84.534550937724802</v>
      </c>
      <c r="AK2848">
        <v>100.81876836257</v>
      </c>
      <c r="AL2848">
        <v>79.861029844390202</v>
      </c>
      <c r="AM2848">
        <v>88.544149595039201</v>
      </c>
      <c r="AN2848">
        <v>0.99999998452915595</v>
      </c>
    </row>
    <row r="2849" spans="1:40" x14ac:dyDescent="0.25">
      <c r="A2849" t="str">
        <f>"20190312164528392"</f>
        <v>20190312164528392</v>
      </c>
      <c r="B2849" t="str">
        <f>"1552380328384509"</f>
        <v>1552380328384509</v>
      </c>
      <c r="C2849" t="s">
        <v>40</v>
      </c>
      <c r="D2849">
        <v>4.492915</v>
      </c>
      <c r="E2849">
        <v>0.5260281</v>
      </c>
      <c r="F2849" t="s">
        <v>60</v>
      </c>
      <c r="G2849">
        <v>-168.41220000000001</v>
      </c>
      <c r="H2849">
        <v>2.900099</v>
      </c>
      <c r="I2849">
        <v>204.36080000000001</v>
      </c>
      <c r="J2849">
        <v>-268.52370000000002</v>
      </c>
      <c r="K2849">
        <v>1.1090249999999999</v>
      </c>
      <c r="L2849">
        <v>213.8946</v>
      </c>
      <c r="M2849">
        <v>0.99989680000000003</v>
      </c>
      <c r="N2849">
        <v>0</v>
      </c>
      <c r="O2849">
        <v>2.145021E-3</v>
      </c>
      <c r="P2849">
        <v>0.98654149999999996</v>
      </c>
      <c r="Q2849">
        <v>0.16179089999999999</v>
      </c>
      <c r="R2849">
        <v>-2.3659610000000001E-2</v>
      </c>
      <c r="S2849">
        <v>3.0254210000000001</v>
      </c>
      <c r="T2849">
        <v>5.3975219999999997E-2</v>
      </c>
      <c r="U2849">
        <v>-0.28727720000000001</v>
      </c>
      <c r="V2849">
        <v>2.571818E-2</v>
      </c>
      <c r="W2849">
        <v>0.1758044</v>
      </c>
      <c r="X2849">
        <v>0.98408910000000005</v>
      </c>
      <c r="Y2849">
        <v>9.6649079999999998E-2</v>
      </c>
      <c r="Z2849">
        <v>8.983188E-4</v>
      </c>
      <c r="AA2849">
        <v>0.99531809999999998</v>
      </c>
      <c r="AB2849">
        <v>40</v>
      </c>
      <c r="AC2849">
        <v>100.11150000000001</v>
      </c>
      <c r="AD2849">
        <v>1.7910740000000001</v>
      </c>
      <c r="AE2849">
        <v>-9.5337999999999798</v>
      </c>
      <c r="AF2849">
        <v>9.7454497092476799</v>
      </c>
      <c r="AG2849">
        <v>1.7910740000000001</v>
      </c>
      <c r="AH2849">
        <v>100.05907826846</v>
      </c>
      <c r="AI2849">
        <v>88.979334265140196</v>
      </c>
      <c r="AJ2849">
        <v>84.437111332967305</v>
      </c>
      <c r="AK2849">
        <v>100.548500138205</v>
      </c>
      <c r="AL2849">
        <v>79.874527233325594</v>
      </c>
      <c r="AM2849">
        <v>88.502973116440302</v>
      </c>
      <c r="AN2849">
        <v>0.99999998429034098</v>
      </c>
    </row>
    <row r="2850" spans="1:40" x14ac:dyDescent="0.25">
      <c r="A2850" t="str">
        <f>"20190312164528404"</f>
        <v>20190312164528404</v>
      </c>
      <c r="B2850" t="str">
        <f>"1552380328394269"</f>
        <v>1552380328394269</v>
      </c>
      <c r="C2850" t="s">
        <v>40</v>
      </c>
      <c r="D2850">
        <v>4.639608</v>
      </c>
      <c r="E2850">
        <v>0.5260281</v>
      </c>
      <c r="F2850" t="s">
        <v>41</v>
      </c>
      <c r="G2850">
        <v>-267.5034</v>
      </c>
      <c r="H2850">
        <v>1.0458750000000001</v>
      </c>
      <c r="I2850">
        <v>213.8135</v>
      </c>
      <c r="J2850">
        <v>-268.30149999999998</v>
      </c>
      <c r="K2850">
        <v>1.1090310000000001</v>
      </c>
      <c r="L2850">
        <v>213.89510000000001</v>
      </c>
      <c r="M2850">
        <v>0.99989649999999997</v>
      </c>
      <c r="N2850">
        <v>0</v>
      </c>
      <c r="O2850">
        <v>2.2585729999999998E-3</v>
      </c>
      <c r="P2850">
        <v>0.98660369999999997</v>
      </c>
      <c r="Q2850">
        <v>0.16133620000000001</v>
      </c>
      <c r="R2850">
        <v>-2.4168930000000002E-2</v>
      </c>
      <c r="S2850">
        <v>3.0662539999999998</v>
      </c>
      <c r="T2850">
        <v>-0.1899189</v>
      </c>
      <c r="U2850">
        <v>-0.24279790000000001</v>
      </c>
      <c r="V2850">
        <v>2.6333700000000002E-2</v>
      </c>
      <c r="W2850">
        <v>0.17535000000000001</v>
      </c>
      <c r="X2850">
        <v>0.98415390000000003</v>
      </c>
      <c r="Y2850">
        <v>8.1029740000000003E-2</v>
      </c>
      <c r="Z2850">
        <v>-2.6426760000000001E-3</v>
      </c>
      <c r="AA2850">
        <v>0.99670820000000004</v>
      </c>
      <c r="AB2850">
        <v>40</v>
      </c>
      <c r="AC2850">
        <v>0.79809999999997605</v>
      </c>
      <c r="AD2850">
        <v>-6.3155999999999698E-2</v>
      </c>
      <c r="AE2850">
        <v>-8.1600000000008693E-2</v>
      </c>
      <c r="AF2850">
        <v>8.28888588691193E-2</v>
      </c>
      <c r="AG2850">
        <v>-6.3155999999999698E-2</v>
      </c>
      <c r="AH2850">
        <v>0.79299924008553602</v>
      </c>
      <c r="AI2850">
        <v>94.528965744853906</v>
      </c>
      <c r="AJ2850">
        <v>84.032783260137805</v>
      </c>
      <c r="AK2850">
        <v>0.79981687781445399</v>
      </c>
      <c r="AL2850">
        <v>79.900973342092698</v>
      </c>
      <c r="AM2850">
        <v>88.467262149110994</v>
      </c>
      <c r="AN2850">
        <v>0.99999999257045002</v>
      </c>
    </row>
    <row r="2851" spans="1:40" x14ac:dyDescent="0.25">
      <c r="A2851" t="str">
        <f>"20190312164528417"</f>
        <v>20190312164528417</v>
      </c>
      <c r="B2851" t="str">
        <f>"1552380328414764"</f>
        <v>1552380328414764</v>
      </c>
      <c r="C2851" t="s">
        <v>40</v>
      </c>
      <c r="D2851">
        <v>4.6238099999999998</v>
      </c>
      <c r="E2851">
        <v>0.52503759999999999</v>
      </c>
      <c r="F2851" t="s">
        <v>47</v>
      </c>
      <c r="G2851">
        <v>-250.5282</v>
      </c>
      <c r="H2851" s="1">
        <v>-1.1622779999999999E-6</v>
      </c>
      <c r="I2851">
        <v>212.47919999999999</v>
      </c>
      <c r="J2851">
        <v>-268.08580000000001</v>
      </c>
      <c r="K2851">
        <v>1.109043</v>
      </c>
      <c r="L2851">
        <v>213.89570000000001</v>
      </c>
      <c r="M2851">
        <v>0.99989629999999996</v>
      </c>
      <c r="N2851">
        <v>0</v>
      </c>
      <c r="O2851">
        <v>2.3765230000000002E-3</v>
      </c>
      <c r="P2851">
        <v>0.98667289999999996</v>
      </c>
      <c r="Q2851">
        <v>0.1608272</v>
      </c>
      <c r="R2851">
        <v>-2.473531E-2</v>
      </c>
      <c r="S2851">
        <v>3.0660400000000001</v>
      </c>
      <c r="T2851">
        <v>-0.19131790000000001</v>
      </c>
      <c r="U2851">
        <v>-0.2442474</v>
      </c>
      <c r="V2851">
        <v>2.7010909999999999E-2</v>
      </c>
      <c r="W2851">
        <v>0.174842</v>
      </c>
      <c r="X2851">
        <v>0.98422589999999999</v>
      </c>
      <c r="Y2851">
        <v>8.1617300000000004E-2</v>
      </c>
      <c r="Z2851">
        <v>-2.6878679999999999E-3</v>
      </c>
      <c r="AA2851">
        <v>0.99666010000000005</v>
      </c>
      <c r="AB2851">
        <v>40</v>
      </c>
      <c r="AC2851">
        <v>17.557600000000001</v>
      </c>
      <c r="AD2851">
        <v>-1.1090441622780001</v>
      </c>
      <c r="AE2851">
        <v>-1.4165000000000101</v>
      </c>
      <c r="AF2851">
        <v>1.45246844991415</v>
      </c>
      <c r="AG2851">
        <v>-1.1090441622780001</v>
      </c>
      <c r="AH2851">
        <v>17.484871118345598</v>
      </c>
      <c r="AI2851">
        <v>93.616914999751103</v>
      </c>
      <c r="AJ2851">
        <v>85.251341798905599</v>
      </c>
      <c r="AK2851">
        <v>17.5801126724783</v>
      </c>
      <c r="AL2851">
        <v>79.930536058413793</v>
      </c>
      <c r="AM2851">
        <v>88.427980014631004</v>
      </c>
      <c r="AN2851">
        <v>0.99999996822691795</v>
      </c>
    </row>
    <row r="2852" spans="1:40" x14ac:dyDescent="0.25">
      <c r="A2852" t="str">
        <f>"20190312164528432"</f>
        <v>20190312164528432</v>
      </c>
      <c r="B2852" t="str">
        <f>"1552380328424524"</f>
        <v>1552380328424524</v>
      </c>
      <c r="C2852" t="s">
        <v>40</v>
      </c>
      <c r="D2852">
        <v>4.7712770000000004</v>
      </c>
      <c r="E2852">
        <v>0.51331870000000002</v>
      </c>
      <c r="F2852" t="s">
        <v>60</v>
      </c>
      <c r="G2852">
        <v>-168.41120000000001</v>
      </c>
      <c r="H2852">
        <v>1.365623</v>
      </c>
      <c r="I2852">
        <v>205.72190000000001</v>
      </c>
      <c r="J2852">
        <v>-267.81360000000001</v>
      </c>
      <c r="K2852">
        <v>1.1090610000000001</v>
      </c>
      <c r="L2852">
        <v>213.8965</v>
      </c>
      <c r="M2852">
        <v>0.99989600000000001</v>
      </c>
      <c r="N2852">
        <v>0</v>
      </c>
      <c r="O2852">
        <v>2.5332029999999999E-3</v>
      </c>
      <c r="P2852">
        <v>0.98672490000000002</v>
      </c>
      <c r="Q2852">
        <v>0.1603222</v>
      </c>
      <c r="R2852">
        <v>-2.5917450000000002E-2</v>
      </c>
      <c r="S2852">
        <v>3.0329899999999999</v>
      </c>
      <c r="T2852">
        <v>7.8084469999999996E-3</v>
      </c>
      <c r="U2852">
        <v>-0.2487183</v>
      </c>
      <c r="V2852">
        <v>2.8341020000000001E-2</v>
      </c>
      <c r="W2852">
        <v>0.17433779999999999</v>
      </c>
      <c r="X2852">
        <v>0.98427799999999999</v>
      </c>
      <c r="Y2852">
        <v>8.4254419999999997E-2</v>
      </c>
      <c r="Z2852">
        <v>1.147865E-4</v>
      </c>
      <c r="AA2852">
        <v>0.99644429999999995</v>
      </c>
      <c r="AB2852">
        <v>40</v>
      </c>
      <c r="AC2852">
        <v>99.4024</v>
      </c>
      <c r="AD2852">
        <v>0.25656200000000001</v>
      </c>
      <c r="AE2852">
        <v>-8.1745999999999892</v>
      </c>
      <c r="AF2852">
        <v>8.4263498488007595</v>
      </c>
      <c r="AG2852">
        <v>0.25656200000000001</v>
      </c>
      <c r="AH2852">
        <v>99.380713382087293</v>
      </c>
      <c r="AI2852">
        <v>89.852613947325906</v>
      </c>
      <c r="AJ2852">
        <v>85.153563715745406</v>
      </c>
      <c r="AK2852">
        <v>99.737632757985693</v>
      </c>
      <c r="AL2852">
        <v>79.959875847618093</v>
      </c>
      <c r="AM2852">
        <v>88.350697365837505</v>
      </c>
      <c r="AN2852">
        <v>1.0000000316037301</v>
      </c>
    </row>
    <row r="2853" spans="1:40" x14ac:dyDescent="0.25">
      <c r="A2853" t="str">
        <f>"20190312164528454"</f>
        <v>20190312164528454</v>
      </c>
      <c r="B2853" t="str">
        <f>"1552380328444044"</f>
        <v>1552380328444044</v>
      </c>
      <c r="C2853" t="s">
        <v>40</v>
      </c>
      <c r="D2853">
        <v>4.4135910000000003</v>
      </c>
      <c r="E2853">
        <v>0.51239749999999995</v>
      </c>
      <c r="F2853" t="s">
        <v>60</v>
      </c>
      <c r="G2853">
        <v>-169.39330000000001</v>
      </c>
      <c r="H2853">
        <v>2.5724809999999998</v>
      </c>
      <c r="I2853">
        <v>208.66489999999999</v>
      </c>
      <c r="J2853">
        <v>-267.42899999999997</v>
      </c>
      <c r="K2853">
        <v>1.1090770000000001</v>
      </c>
      <c r="L2853">
        <v>213.89769999999999</v>
      </c>
      <c r="M2853">
        <v>0.99989530000000004</v>
      </c>
      <c r="N2853">
        <v>0</v>
      </c>
      <c r="O2853">
        <v>2.7711229999999999E-3</v>
      </c>
      <c r="P2853">
        <v>0.98678140000000003</v>
      </c>
      <c r="Q2853">
        <v>0.15980620000000001</v>
      </c>
      <c r="R2853">
        <v>-2.6922310000000001E-2</v>
      </c>
      <c r="S2853">
        <v>3.028778</v>
      </c>
      <c r="T2853">
        <v>4.5036199999999998E-2</v>
      </c>
      <c r="U2853">
        <v>-0.16099550000000001</v>
      </c>
      <c r="V2853">
        <v>2.9572910000000001E-2</v>
      </c>
      <c r="W2853">
        <v>0.17382220000000001</v>
      </c>
      <c r="X2853">
        <v>0.98433289999999996</v>
      </c>
      <c r="Y2853">
        <v>5.5841160000000001E-2</v>
      </c>
      <c r="Z2853">
        <v>4.5602579999999999E-4</v>
      </c>
      <c r="AA2853">
        <v>0.99843959999999998</v>
      </c>
      <c r="AB2853">
        <v>40</v>
      </c>
      <c r="AC2853">
        <v>98.035700000000006</v>
      </c>
      <c r="AD2853">
        <v>1.4634039999999999</v>
      </c>
      <c r="AE2853">
        <v>-5.2327999999999903</v>
      </c>
      <c r="AF2853">
        <v>5.5032535230564701</v>
      </c>
      <c r="AG2853">
        <v>1.4634039999999999</v>
      </c>
      <c r="AH2853">
        <v>97.999046911320605</v>
      </c>
      <c r="AI2853">
        <v>89.1458205056868</v>
      </c>
      <c r="AJ2853">
        <v>86.785862847827005</v>
      </c>
      <c r="AK2853">
        <v>98.164354763495794</v>
      </c>
      <c r="AL2853">
        <v>79.989875141802102</v>
      </c>
      <c r="AM2853">
        <v>88.279145797978501</v>
      </c>
      <c r="AN2853">
        <v>0.99999998612055896</v>
      </c>
    </row>
    <row r="2854" spans="1:40" x14ac:dyDescent="0.25">
      <c r="A2854" t="str">
        <f>"20190312164528478"</f>
        <v>20190312164528478</v>
      </c>
      <c r="B2854" t="str">
        <f>"1552380328474300"</f>
        <v>1552380328474300</v>
      </c>
      <c r="C2854" t="s">
        <v>40</v>
      </c>
      <c r="D2854">
        <v>4.8276450000000004</v>
      </c>
      <c r="E2854">
        <v>0.51217619999999997</v>
      </c>
      <c r="F2854" t="s">
        <v>60</v>
      </c>
      <c r="G2854">
        <v>-169.3931</v>
      </c>
      <c r="H2854">
        <v>2.3223210000000001</v>
      </c>
      <c r="I2854">
        <v>208.8434</v>
      </c>
      <c r="J2854">
        <v>-267.02589999999998</v>
      </c>
      <c r="K2854">
        <v>1.1090960000000001</v>
      </c>
      <c r="L2854">
        <v>213.899</v>
      </c>
      <c r="M2854">
        <v>0.99989459999999997</v>
      </c>
      <c r="N2854">
        <v>0</v>
      </c>
      <c r="O2854">
        <v>3.0336619999999999E-3</v>
      </c>
      <c r="P2854">
        <v>0.98696950000000006</v>
      </c>
      <c r="Q2854">
        <v>0.15845670000000001</v>
      </c>
      <c r="R2854">
        <v>-2.7978050000000001E-2</v>
      </c>
      <c r="S2854">
        <v>3.029846</v>
      </c>
      <c r="T2854">
        <v>3.7497040000000002E-2</v>
      </c>
      <c r="U2854">
        <v>-0.15620419999999999</v>
      </c>
      <c r="V2854">
        <v>3.088188E-2</v>
      </c>
      <c r="W2854">
        <v>0.17247479999999901</v>
      </c>
      <c r="X2854">
        <v>0.98452969999999895</v>
      </c>
      <c r="Y2854">
        <v>5.4512100000000001E-2</v>
      </c>
      <c r="Z2854">
        <v>3.7460359999999998E-4</v>
      </c>
      <c r="AA2854">
        <v>0.99851299999999998</v>
      </c>
      <c r="AB2854">
        <v>39</v>
      </c>
      <c r="AC2854">
        <v>97.632799999999904</v>
      </c>
      <c r="AD2854">
        <v>1.213225</v>
      </c>
      <c r="AE2854">
        <v>-5.0555999999999903</v>
      </c>
      <c r="AF2854">
        <v>5.3509674414903303</v>
      </c>
      <c r="AG2854">
        <v>1.213225</v>
      </c>
      <c r="AH2854">
        <v>97.601981151694602</v>
      </c>
      <c r="AI2854">
        <v>89.288898904894396</v>
      </c>
      <c r="AJ2854">
        <v>86.861936322535499</v>
      </c>
      <c r="AK2854">
        <v>97.7560816123287</v>
      </c>
      <c r="AL2854">
        <v>80.068259445710495</v>
      </c>
      <c r="AM2854">
        <v>88.203384390927596</v>
      </c>
      <c r="AN2854">
        <v>0.99999998866473105</v>
      </c>
    </row>
    <row r="2855" spans="1:40" x14ac:dyDescent="0.25">
      <c r="A2855" t="str">
        <f>"20190312164528500"</f>
        <v>20190312164528500</v>
      </c>
      <c r="B2855" t="str">
        <f>"1552380328494797"</f>
        <v>1552380328494797</v>
      </c>
      <c r="C2855" t="s">
        <v>40</v>
      </c>
      <c r="D2855">
        <v>4.7701570000000002</v>
      </c>
      <c r="E2855">
        <v>0.51196839999999999</v>
      </c>
      <c r="F2855" t="s">
        <v>60</v>
      </c>
      <c r="G2855">
        <v>-169.393</v>
      </c>
      <c r="H2855">
        <v>1.9656960000000001</v>
      </c>
      <c r="I2855">
        <v>208.82980000000001</v>
      </c>
      <c r="J2855">
        <v>-266.62419999999997</v>
      </c>
      <c r="K2855">
        <v>1.1091059999999999</v>
      </c>
      <c r="L2855">
        <v>213.90049999999999</v>
      </c>
      <c r="M2855">
        <v>0.99989380000000005</v>
      </c>
      <c r="N2855">
        <v>0</v>
      </c>
      <c r="O2855">
        <v>3.3035289999999999E-3</v>
      </c>
      <c r="P2855">
        <v>0.98710750000000003</v>
      </c>
      <c r="Q2855">
        <v>0.1574007</v>
      </c>
      <c r="R2855">
        <v>-2.9054900000000002E-2</v>
      </c>
      <c r="S2855">
        <v>3.0308229999999998</v>
      </c>
      <c r="T2855">
        <v>2.6592609999999999E-2</v>
      </c>
      <c r="U2855">
        <v>-0.1573639</v>
      </c>
      <c r="V2855">
        <v>3.2220749999999999E-2</v>
      </c>
      <c r="W2855">
        <v>0.1714203</v>
      </c>
      <c r="X2855">
        <v>0.98467090000000002</v>
      </c>
      <c r="Y2855">
        <v>5.5148229999999999E-2</v>
      </c>
      <c r="Z2855">
        <v>2.7073819999999998E-4</v>
      </c>
      <c r="AA2855">
        <v>0.99847810000000004</v>
      </c>
      <c r="AB2855">
        <v>39</v>
      </c>
      <c r="AC2855">
        <v>97.231199999999902</v>
      </c>
      <c r="AD2855">
        <v>0.85658999999999996</v>
      </c>
      <c r="AE2855">
        <v>-5.07069999999998</v>
      </c>
      <c r="AF2855">
        <v>5.3914934614344796</v>
      </c>
      <c r="AG2855">
        <v>0.85658999999999996</v>
      </c>
      <c r="AH2855">
        <v>97.206392421964694</v>
      </c>
      <c r="AI2855">
        <v>89.495893130209495</v>
      </c>
      <c r="AJ2855">
        <v>86.825377117487093</v>
      </c>
      <c r="AK2855">
        <v>97.359563864397998</v>
      </c>
      <c r="AL2855">
        <v>80.129590820828099</v>
      </c>
      <c r="AM2855">
        <v>88.125815944465899</v>
      </c>
      <c r="AN2855">
        <v>0.99999993864472903</v>
      </c>
    </row>
    <row r="2856" spans="1:40" x14ac:dyDescent="0.25">
      <c r="A2856" t="str">
        <f>"20190312164528522"</f>
        <v>20190312164528522</v>
      </c>
      <c r="B2856" t="str">
        <f>"1552380328514316"</f>
        <v>1552380328514316</v>
      </c>
      <c r="C2856" t="s">
        <v>40</v>
      </c>
      <c r="D2856">
        <v>4.6781139999999999</v>
      </c>
      <c r="E2856">
        <v>0.51196799999999998</v>
      </c>
      <c r="F2856" t="s">
        <v>60</v>
      </c>
      <c r="G2856">
        <v>-169.3929</v>
      </c>
      <c r="H2856">
        <v>1.696688</v>
      </c>
      <c r="I2856">
        <v>208.81809999999999</v>
      </c>
      <c r="J2856">
        <v>-266.23270000000002</v>
      </c>
      <c r="K2856">
        <v>1.109113</v>
      </c>
      <c r="L2856">
        <v>213.90199999999999</v>
      </c>
      <c r="M2856">
        <v>0.99989289999999997</v>
      </c>
      <c r="N2856">
        <v>0</v>
      </c>
      <c r="O2856">
        <v>3.5709589999999999E-3</v>
      </c>
      <c r="P2856">
        <v>0.98730309999999999</v>
      </c>
      <c r="Q2856">
        <v>0.1559902</v>
      </c>
      <c r="R2856">
        <v>-2.999715E-2</v>
      </c>
      <c r="S2856">
        <v>3.0315859999999999</v>
      </c>
      <c r="T2856">
        <v>1.832139E-2</v>
      </c>
      <c r="U2856">
        <v>-0.15846250000000001</v>
      </c>
      <c r="V2856">
        <v>3.3424570000000001E-2</v>
      </c>
      <c r="W2856">
        <v>0.17001169999999999</v>
      </c>
      <c r="X2856">
        <v>0.98487499999999994</v>
      </c>
      <c r="Y2856">
        <v>5.5764279999999999E-2</v>
      </c>
      <c r="Z2856">
        <v>1.8995810000000001E-4</v>
      </c>
      <c r="AA2856">
        <v>0.998444</v>
      </c>
      <c r="AB2856">
        <v>39</v>
      </c>
      <c r="AC2856">
        <v>96.839799999999997</v>
      </c>
      <c r="AD2856">
        <v>0.58757499999999996</v>
      </c>
      <c r="AE2856">
        <v>-5.0839000000000203</v>
      </c>
      <c r="AF2856">
        <v>5.4295140337721204</v>
      </c>
      <c r="AG2856">
        <v>0.58757499999999996</v>
      </c>
      <c r="AH2856">
        <v>96.8174717180177</v>
      </c>
      <c r="AI2856">
        <v>89.652827719253494</v>
      </c>
      <c r="AJ2856">
        <v>86.790220526150605</v>
      </c>
      <c r="AK2856">
        <v>96.971375657421206</v>
      </c>
      <c r="AL2856">
        <v>80.211500411448199</v>
      </c>
      <c r="AM2856">
        <v>88.056248713780207</v>
      </c>
      <c r="AN2856">
        <v>0.99999997282078701</v>
      </c>
    </row>
    <row r="2857" spans="1:40" x14ac:dyDescent="0.25">
      <c r="A2857" t="str">
        <f>"20190312164528544"</f>
        <v>20190312164528544</v>
      </c>
      <c r="B2857" t="str">
        <f>"1552380328534813"</f>
        <v>1552380328534813</v>
      </c>
      <c r="C2857" t="s">
        <v>40</v>
      </c>
      <c r="D2857">
        <v>4.7201370000000002</v>
      </c>
      <c r="E2857">
        <v>0.51203359999999998</v>
      </c>
      <c r="F2857" t="s">
        <v>60</v>
      </c>
      <c r="G2857">
        <v>-169.3929</v>
      </c>
      <c r="H2857">
        <v>1.5086059999999999</v>
      </c>
      <c r="I2857">
        <v>208.75360000000001</v>
      </c>
      <c r="J2857">
        <v>-265.84440000000001</v>
      </c>
      <c r="K2857">
        <v>1.1091120000000001</v>
      </c>
      <c r="L2857">
        <v>213.90360000000001</v>
      </c>
      <c r="M2857">
        <v>0.9998918</v>
      </c>
      <c r="N2857">
        <v>0</v>
      </c>
      <c r="O2857">
        <v>3.838111E-3</v>
      </c>
      <c r="P2857">
        <v>0.9874465</v>
      </c>
      <c r="Q2857">
        <v>0.154827399999999</v>
      </c>
      <c r="R2857">
        <v>-3.1269150000000002E-2</v>
      </c>
      <c r="S2857">
        <v>3.0317080000000001</v>
      </c>
      <c r="T2857">
        <v>1.2507799999999999E-2</v>
      </c>
      <c r="U2857">
        <v>-0.16117860000000001</v>
      </c>
      <c r="V2857">
        <v>3.4958530000000002E-2</v>
      </c>
      <c r="W2857">
        <v>0.16885</v>
      </c>
      <c r="X2857">
        <v>0.98502160000000005</v>
      </c>
      <c r="Y2857">
        <v>5.69215E-2</v>
      </c>
      <c r="Z2857">
        <v>1.331615E-4</v>
      </c>
      <c r="AA2857">
        <v>0.9983786</v>
      </c>
      <c r="AB2857">
        <v>39</v>
      </c>
      <c r="AC2857">
        <v>96.451499999999996</v>
      </c>
      <c r="AD2857">
        <v>0.39949399999999902</v>
      </c>
      <c r="AE2857">
        <v>-5.15</v>
      </c>
      <c r="AF2857">
        <v>5.5200965236825397</v>
      </c>
      <c r="AG2857">
        <v>0.39949399999999902</v>
      </c>
      <c r="AH2857">
        <v>96.429371583026594</v>
      </c>
      <c r="AI2857">
        <v>89.763020567472296</v>
      </c>
      <c r="AJ2857">
        <v>86.723680493080707</v>
      </c>
      <c r="AK2857">
        <v>96.588067404748401</v>
      </c>
      <c r="AL2857">
        <v>80.279037506765306</v>
      </c>
      <c r="AM2857">
        <v>87.967419279411004</v>
      </c>
      <c r="AN2857">
        <v>0.99999998689316005</v>
      </c>
    </row>
    <row r="2858" spans="1:40" x14ac:dyDescent="0.25">
      <c r="A2858" t="str">
        <f>"20190312164528566"</f>
        <v>20190312164528566</v>
      </c>
      <c r="B2858" t="str">
        <f>"1552380328554332"</f>
        <v>1552380328554332</v>
      </c>
      <c r="C2858" t="s">
        <v>40</v>
      </c>
      <c r="D2858">
        <v>4.3425390000000004</v>
      </c>
      <c r="E2858">
        <v>0.51206419999999997</v>
      </c>
      <c r="F2858" t="s">
        <v>60</v>
      </c>
      <c r="G2858">
        <v>-169.3929</v>
      </c>
      <c r="H2858">
        <v>1.341988</v>
      </c>
      <c r="I2858">
        <v>208.62729999999999</v>
      </c>
      <c r="J2858">
        <v>-265.46690000000001</v>
      </c>
      <c r="K2858">
        <v>1.109116</v>
      </c>
      <c r="L2858">
        <v>213.90530000000001</v>
      </c>
      <c r="M2858">
        <v>0.99989090000000003</v>
      </c>
      <c r="N2858">
        <v>0</v>
      </c>
      <c r="O2858">
        <v>4.0971310000000004E-3</v>
      </c>
      <c r="P2858">
        <v>0.987653</v>
      </c>
      <c r="Q2858">
        <v>0.1533022</v>
      </c>
      <c r="R2858">
        <v>-3.2256819999999999E-2</v>
      </c>
      <c r="S2858">
        <v>3.0317080000000001</v>
      </c>
      <c r="T2858">
        <v>7.3209999999999898E-3</v>
      </c>
      <c r="U2858">
        <v>-0.16584779999999999</v>
      </c>
      <c r="V2858">
        <v>3.6201249999999997E-2</v>
      </c>
      <c r="W2858">
        <v>0.16732659999999999</v>
      </c>
      <c r="X2858">
        <v>0.98523660000000002</v>
      </c>
      <c r="Y2858">
        <v>5.8713540000000002E-2</v>
      </c>
      <c r="Z2858" s="1">
        <v>8.0725640000000001E-5</v>
      </c>
      <c r="AA2858">
        <v>0.99827489999999997</v>
      </c>
      <c r="AB2858">
        <v>39</v>
      </c>
      <c r="AC2858">
        <v>96.073999999999998</v>
      </c>
      <c r="AD2858">
        <v>0.232872</v>
      </c>
      <c r="AE2858">
        <v>-5.27800000000002</v>
      </c>
      <c r="AF2858">
        <v>5.6715898782073699</v>
      </c>
      <c r="AG2858">
        <v>0.232872</v>
      </c>
      <c r="AH2858">
        <v>96.051004005526096</v>
      </c>
      <c r="AI2858">
        <v>89.861330371037894</v>
      </c>
      <c r="AJ2858">
        <v>86.620740355236904</v>
      </c>
      <c r="AK2858">
        <v>96.218587245836005</v>
      </c>
      <c r="AL2858">
        <v>80.367581261825194</v>
      </c>
      <c r="AM2858">
        <v>87.895687042441594</v>
      </c>
      <c r="AN2858">
        <v>0.99999993977433899</v>
      </c>
    </row>
    <row r="2859" spans="1:40" x14ac:dyDescent="0.25">
      <c r="A2859" t="str">
        <f>"20190312164528581"</f>
        <v>20190312164528581</v>
      </c>
      <c r="B2859" t="str">
        <f>"1552380328574828"</f>
        <v>1552380328574828</v>
      </c>
      <c r="C2859" t="s">
        <v>40</v>
      </c>
      <c r="D2859">
        <v>4.3576180000000004</v>
      </c>
      <c r="E2859">
        <v>0.51346959999999997</v>
      </c>
      <c r="F2859" t="s">
        <v>60</v>
      </c>
      <c r="G2859">
        <v>-169.39279999999999</v>
      </c>
      <c r="H2859">
        <v>1.0862689999999999</v>
      </c>
      <c r="I2859">
        <v>208.5521</v>
      </c>
      <c r="J2859">
        <v>-265.18009999999998</v>
      </c>
      <c r="K2859">
        <v>1.109118</v>
      </c>
      <c r="L2859">
        <v>213.9066</v>
      </c>
      <c r="M2859">
        <v>0.99989019999999995</v>
      </c>
      <c r="N2859">
        <v>0</v>
      </c>
      <c r="O2859">
        <v>4.2938840000000004E-3</v>
      </c>
      <c r="P2859">
        <v>0.98777899999999996</v>
      </c>
      <c r="Q2859">
        <v>0.15235290000000001</v>
      </c>
      <c r="R2859">
        <v>-3.2888550000000003E-2</v>
      </c>
      <c r="S2859">
        <v>3.0321039999999999</v>
      </c>
      <c r="T2859">
        <v>-7.1990490000000003E-4</v>
      </c>
      <c r="U2859">
        <v>-0.16894529999999999</v>
      </c>
      <c r="V2859">
        <v>3.7026940000000001E-2</v>
      </c>
      <c r="W2859">
        <v>0.1663782</v>
      </c>
      <c r="X2859">
        <v>0.98536659999999998</v>
      </c>
      <c r="Y2859">
        <v>5.9919689999999998E-2</v>
      </c>
      <c r="Z2859" s="1">
        <v>-8.1266040000000004E-6</v>
      </c>
      <c r="AA2859">
        <v>0.99820319999999996</v>
      </c>
      <c r="AB2859">
        <v>39</v>
      </c>
      <c r="AC2859">
        <v>95.787300000000002</v>
      </c>
      <c r="AD2859">
        <v>-2.28489999999998E-2</v>
      </c>
      <c r="AE2859">
        <v>-5.3544999999999998</v>
      </c>
      <c r="AF2859">
        <v>5.7657912288206097</v>
      </c>
      <c r="AG2859">
        <v>-2.28489999999998E-2</v>
      </c>
      <c r="AH2859">
        <v>95.763417435324101</v>
      </c>
      <c r="AI2859">
        <v>90.013645970602795</v>
      </c>
      <c r="AJ2859">
        <v>86.554454837134998</v>
      </c>
      <c r="AK2859">
        <v>95.936838542153694</v>
      </c>
      <c r="AL2859">
        <v>80.422693906373993</v>
      </c>
      <c r="AM2859">
        <v>87.848019498661301</v>
      </c>
      <c r="AN2859">
        <v>1.00000001805828</v>
      </c>
    </row>
    <row r="2860" spans="1:40" x14ac:dyDescent="0.25">
      <c r="A2860" t="str">
        <f>"20190312164528594"</f>
        <v>20190312164528594</v>
      </c>
      <c r="B2860" t="str">
        <f>"1552380328584589"</f>
        <v>1552380328584589</v>
      </c>
      <c r="C2860" t="s">
        <v>40</v>
      </c>
      <c r="D2860">
        <v>4.621442</v>
      </c>
      <c r="E2860">
        <v>0.51531340000000003</v>
      </c>
      <c r="F2860" t="s">
        <v>41</v>
      </c>
      <c r="G2860">
        <v>-264.31849999999997</v>
      </c>
      <c r="H2860">
        <v>1.0523469999999999</v>
      </c>
      <c r="I2860">
        <v>213.85810000000001</v>
      </c>
      <c r="J2860">
        <v>-264.96199999999999</v>
      </c>
      <c r="K2860">
        <v>1.109118</v>
      </c>
      <c r="L2860">
        <v>213.90770000000001</v>
      </c>
      <c r="M2860">
        <v>0.99988949999999999</v>
      </c>
      <c r="N2860">
        <v>0</v>
      </c>
      <c r="O2860">
        <v>4.4431130000000003E-3</v>
      </c>
      <c r="P2860">
        <v>0.98792389999999997</v>
      </c>
      <c r="Q2860">
        <v>0.15129029999999999</v>
      </c>
      <c r="R2860">
        <v>-3.3437519999999998E-2</v>
      </c>
      <c r="S2860">
        <v>3.0625610000000001</v>
      </c>
      <c r="T2860">
        <v>-0.20193150000000001</v>
      </c>
      <c r="U2860">
        <v>-0.1716461</v>
      </c>
      <c r="V2860">
        <v>3.7724000000000001E-2</v>
      </c>
      <c r="W2860">
        <v>0.16531689999999999</v>
      </c>
      <c r="X2860">
        <v>0.98551880000000003</v>
      </c>
      <c r="Y2860">
        <v>6.0254769999999999E-2</v>
      </c>
      <c r="Z2860">
        <v>-2.2752100000000002E-3</v>
      </c>
      <c r="AA2860">
        <v>0.99818039999999997</v>
      </c>
      <c r="AB2860">
        <v>39</v>
      </c>
      <c r="AC2860">
        <v>0.64350000000001695</v>
      </c>
      <c r="AD2860">
        <v>-5.6771000000000099E-2</v>
      </c>
      <c r="AE2860">
        <v>-4.9599999999998E-2</v>
      </c>
      <c r="AF2860">
        <v>5.20561726106172E-2</v>
      </c>
      <c r="AG2860">
        <v>-5.6771000000000099E-2</v>
      </c>
      <c r="AH2860">
        <v>0.63833433036905196</v>
      </c>
      <c r="AI2860">
        <v>95.065566487155706</v>
      </c>
      <c r="AJ2860">
        <v>85.337845272005694</v>
      </c>
      <c r="AK2860">
        <v>0.642964624902158</v>
      </c>
      <c r="AL2860">
        <v>80.484356074586003</v>
      </c>
      <c r="AM2860">
        <v>87.807884282098101</v>
      </c>
      <c r="AN2860">
        <v>1.0000000413775201</v>
      </c>
    </row>
    <row r="2861" spans="1:40" x14ac:dyDescent="0.25">
      <c r="A2861" t="str">
        <f>"20190312164528611"</f>
        <v>20190312164528611</v>
      </c>
      <c r="B2861" t="str">
        <f>"1552380328604114"</f>
        <v>1552380328604114</v>
      </c>
      <c r="C2861" t="s">
        <v>40</v>
      </c>
      <c r="D2861">
        <v>4.8583449999999999</v>
      </c>
      <c r="E2861">
        <v>0.51780939999999998</v>
      </c>
      <c r="F2861" t="s">
        <v>41</v>
      </c>
      <c r="G2861">
        <v>-263.99130000000002</v>
      </c>
      <c r="H2861">
        <v>1.03031299999999</v>
      </c>
      <c r="I2861">
        <v>213.84899999999999</v>
      </c>
      <c r="J2861">
        <v>-264.66669999999999</v>
      </c>
      <c r="K2861">
        <v>1.1091150000000001</v>
      </c>
      <c r="L2861">
        <v>213.9092</v>
      </c>
      <c r="M2861">
        <v>0.99988860000000002</v>
      </c>
      <c r="N2861">
        <v>0</v>
      </c>
      <c r="O2861">
        <v>4.6449780000000001E-3</v>
      </c>
      <c r="P2861">
        <v>0.98816139999999997</v>
      </c>
      <c r="Q2861">
        <v>0.14941309999999999</v>
      </c>
      <c r="R2861">
        <v>-3.4830720000000003E-2</v>
      </c>
      <c r="S2861">
        <v>3.0685730000000002</v>
      </c>
      <c r="T2861">
        <v>-0.2492076</v>
      </c>
      <c r="U2861">
        <v>-0.18531800000000001</v>
      </c>
      <c r="V2861">
        <v>3.9317659999999997E-2</v>
      </c>
      <c r="W2861">
        <v>0.16344310000000001</v>
      </c>
      <c r="X2861">
        <v>0.98576900000000001</v>
      </c>
      <c r="Y2861">
        <v>6.4691299999999993E-2</v>
      </c>
      <c r="Z2861">
        <v>-2.9965119999999998E-3</v>
      </c>
      <c r="AA2861">
        <v>0.99790080000000003</v>
      </c>
      <c r="AB2861">
        <v>39</v>
      </c>
      <c r="AC2861">
        <v>0.67539999999996703</v>
      </c>
      <c r="AD2861">
        <v>-7.8802000000000205E-2</v>
      </c>
      <c r="AE2861">
        <v>-6.0199999999980401E-2</v>
      </c>
      <c r="AF2861">
        <v>6.2492876888021999E-2</v>
      </c>
      <c r="AG2861">
        <v>-7.8802000000000205E-2</v>
      </c>
      <c r="AH2861">
        <v>0.66611671271775297</v>
      </c>
      <c r="AI2861">
        <v>96.717541008791798</v>
      </c>
      <c r="AJ2861">
        <v>84.640386214378097</v>
      </c>
      <c r="AK2861">
        <v>0.67366652716878195</v>
      </c>
      <c r="AL2861">
        <v>80.593197308001294</v>
      </c>
      <c r="AM2861">
        <v>87.715953189312998</v>
      </c>
      <c r="AN2861">
        <v>1.00000002334324</v>
      </c>
    </row>
    <row r="2862" spans="1:40" x14ac:dyDescent="0.25">
      <c r="A2862" t="str">
        <f>"20190312164528626"</f>
        <v>20190312164528626</v>
      </c>
      <c r="B2862" t="str">
        <f>"1552380328614844"</f>
        <v>1552380328614844</v>
      </c>
      <c r="C2862" t="s">
        <v>40</v>
      </c>
      <c r="D2862">
        <v>4.5843819999999997</v>
      </c>
      <c r="E2862">
        <v>0.51873190000000002</v>
      </c>
      <c r="F2862" t="s">
        <v>41</v>
      </c>
      <c r="G2862">
        <v>-263.65010000000001</v>
      </c>
      <c r="H2862">
        <v>1.0112460000000001</v>
      </c>
      <c r="I2862">
        <v>213.84020000000001</v>
      </c>
      <c r="J2862">
        <v>-264.40499999999997</v>
      </c>
      <c r="K2862">
        <v>1.1091139999999999</v>
      </c>
      <c r="L2862">
        <v>213.91059999999999</v>
      </c>
      <c r="M2862">
        <v>0.99988790000000005</v>
      </c>
      <c r="N2862">
        <v>0</v>
      </c>
      <c r="O2862">
        <v>4.8238220000000002E-3</v>
      </c>
      <c r="P2862">
        <v>0.98825010000000002</v>
      </c>
      <c r="Q2862">
        <v>0.1487327</v>
      </c>
      <c r="R2862">
        <v>-3.5220439999999999E-2</v>
      </c>
      <c r="S2862">
        <v>3.0733950000000001</v>
      </c>
      <c r="T2862">
        <v>-0.296008099999999</v>
      </c>
      <c r="U2862">
        <v>-0.20773320000000001</v>
      </c>
      <c r="V2862">
        <v>3.988448E-2</v>
      </c>
      <c r="W2862">
        <v>0.16276280000000001</v>
      </c>
      <c r="X2862">
        <v>0.98585869999999998</v>
      </c>
      <c r="Y2862">
        <v>7.1896020000000005E-2</v>
      </c>
      <c r="Z2862">
        <v>-3.9134259999999898E-3</v>
      </c>
      <c r="AA2862">
        <v>0.99740450000000003</v>
      </c>
      <c r="AB2862">
        <v>39</v>
      </c>
      <c r="AC2862">
        <v>0.75489999999996305</v>
      </c>
      <c r="AD2862">
        <v>-9.7867999999999997E-2</v>
      </c>
      <c r="AE2862">
        <v>-7.0399999999977994E-2</v>
      </c>
      <c r="AF2862">
        <v>7.2827555928629398E-2</v>
      </c>
      <c r="AG2862">
        <v>-9.7867999999999997E-2</v>
      </c>
      <c r="AH2862">
        <v>0.74218487975661096</v>
      </c>
      <c r="AI2862">
        <v>97.476452972492694</v>
      </c>
      <c r="AJ2862">
        <v>84.395741600155901</v>
      </c>
      <c r="AK2862">
        <v>0.75214386527171295</v>
      </c>
      <c r="AL2862">
        <v>80.632703866493102</v>
      </c>
      <c r="AM2862">
        <v>87.683271616690604</v>
      </c>
      <c r="AN2862">
        <v>0.99999993858719805</v>
      </c>
    </row>
    <row r="2863" spans="1:40" x14ac:dyDescent="0.25">
      <c r="A2863" t="str">
        <f>"20190312164528644"</f>
        <v>20190312164528644</v>
      </c>
      <c r="B2863" t="str">
        <f>"1552380328634365"</f>
        <v>1552380328634365</v>
      </c>
      <c r="C2863" t="s">
        <v>40</v>
      </c>
      <c r="D2863">
        <v>4.563491</v>
      </c>
      <c r="E2863">
        <v>0.51763369999999997</v>
      </c>
      <c r="F2863" t="s">
        <v>41</v>
      </c>
      <c r="G2863">
        <v>-263.63979999999998</v>
      </c>
      <c r="H2863">
        <v>1.0321389999999999</v>
      </c>
      <c r="I2863">
        <v>213.85659999999999</v>
      </c>
      <c r="J2863">
        <v>-264.09519999999998</v>
      </c>
      <c r="K2863">
        <v>1.109108</v>
      </c>
      <c r="L2863">
        <v>213.91220000000001</v>
      </c>
      <c r="M2863">
        <v>0.99988679999999996</v>
      </c>
      <c r="N2863">
        <v>0</v>
      </c>
      <c r="O2863">
        <v>5.0352069999999999E-3</v>
      </c>
      <c r="P2863">
        <v>0.98843029999999998</v>
      </c>
      <c r="Q2863">
        <v>0.14724949999999901</v>
      </c>
      <c r="R2863">
        <v>-3.6378939999999999E-2</v>
      </c>
      <c r="S2863">
        <v>3.0745849999999999</v>
      </c>
      <c r="T2863">
        <v>-0.30951079999999997</v>
      </c>
      <c r="U2863">
        <v>-0.2158813</v>
      </c>
      <c r="V2863">
        <v>4.1252949999999997E-2</v>
      </c>
      <c r="W2863">
        <v>0.16128100000000001</v>
      </c>
      <c r="X2863">
        <v>0.98604599999999998</v>
      </c>
      <c r="Y2863">
        <v>7.4663930000000003E-2</v>
      </c>
      <c r="Z2863">
        <v>-4.2491270000000001E-3</v>
      </c>
      <c r="AA2863">
        <v>0.99719970000000002</v>
      </c>
      <c r="AB2863">
        <v>39</v>
      </c>
      <c r="AC2863">
        <v>0.45539999999999697</v>
      </c>
      <c r="AD2863">
        <v>-7.6968999999999996E-2</v>
      </c>
      <c r="AE2863">
        <v>-5.5600000000026698E-2</v>
      </c>
      <c r="AF2863">
        <v>5.6307710696414298E-2</v>
      </c>
      <c r="AG2863">
        <v>-7.6968999999999996E-2</v>
      </c>
      <c r="AH2863">
        <v>0.44265517869617799</v>
      </c>
      <c r="AI2863">
        <v>99.786665890662405</v>
      </c>
      <c r="AJ2863">
        <v>82.750654787971101</v>
      </c>
      <c r="AK2863">
        <v>0.45281165231408999</v>
      </c>
      <c r="AL2863">
        <v>80.718742522793704</v>
      </c>
      <c r="AM2863">
        <v>87.604328450040995</v>
      </c>
      <c r="AN2863">
        <v>1.00000004048035</v>
      </c>
    </row>
    <row r="2864" spans="1:40" x14ac:dyDescent="0.25">
      <c r="A2864" t="str">
        <f>"20190312164528660"</f>
        <v>20190312164528660</v>
      </c>
      <c r="B2864" t="str">
        <f>"1552380328654860"</f>
        <v>1552380328654860</v>
      </c>
      <c r="C2864" t="s">
        <v>40</v>
      </c>
      <c r="D2864">
        <v>4.3638890000000004</v>
      </c>
      <c r="E2864">
        <v>0.5182426</v>
      </c>
      <c r="F2864" t="s">
        <v>41</v>
      </c>
      <c r="G2864">
        <v>-263.29360000000003</v>
      </c>
      <c r="H2864">
        <v>1.0237229999999999</v>
      </c>
      <c r="I2864">
        <v>213.85740000000001</v>
      </c>
      <c r="J2864">
        <v>-263.81639999999999</v>
      </c>
      <c r="K2864">
        <v>1.1091059999999999</v>
      </c>
      <c r="L2864">
        <v>213.91380000000001</v>
      </c>
      <c r="M2864">
        <v>0.99988569999999999</v>
      </c>
      <c r="N2864">
        <v>0</v>
      </c>
      <c r="O2864">
        <v>5.225721E-3</v>
      </c>
      <c r="P2864">
        <v>0.9884984</v>
      </c>
      <c r="Q2864">
        <v>0.14665719999999999</v>
      </c>
      <c r="R2864">
        <v>-3.6909169999999998E-2</v>
      </c>
      <c r="S2864">
        <v>3.0762019999999999</v>
      </c>
      <c r="T2864">
        <v>-0.32774160000000002</v>
      </c>
      <c r="U2864">
        <v>-0.20986940000000001</v>
      </c>
      <c r="V2864">
        <v>4.1972000000000002E-2</v>
      </c>
      <c r="W2864">
        <v>0.160689</v>
      </c>
      <c r="X2864">
        <v>0.98611219999999999</v>
      </c>
      <c r="Y2864">
        <v>7.2838699999999895E-2</v>
      </c>
      <c r="Z2864">
        <v>-4.4193720000000004E-3</v>
      </c>
      <c r="AA2864">
        <v>0.9973339</v>
      </c>
      <c r="AB2864">
        <v>39</v>
      </c>
      <c r="AC2864">
        <v>0.52279999999996096</v>
      </c>
      <c r="AD2864">
        <v>-8.5382999999999903E-2</v>
      </c>
      <c r="AE2864">
        <v>-5.6399999999996397E-2</v>
      </c>
      <c r="AF2864">
        <v>5.7612493060098802E-2</v>
      </c>
      <c r="AG2864">
        <v>-8.5382999999999903E-2</v>
      </c>
      <c r="AH2864">
        <v>0.50907574145295598</v>
      </c>
      <c r="AI2864">
        <v>99.461825397320794</v>
      </c>
      <c r="AJ2864">
        <v>83.543264208091401</v>
      </c>
      <c r="AK2864">
        <v>0.51939153495362</v>
      </c>
      <c r="AL2864">
        <v>80.753108918956997</v>
      </c>
      <c r="AM2864">
        <v>87.562784610182604</v>
      </c>
      <c r="AN2864">
        <v>0.99999993724691705</v>
      </c>
    </row>
    <row r="2865" spans="1:40" x14ac:dyDescent="0.25">
      <c r="A2865" t="str">
        <f>"20190312164528673"</f>
        <v>20190312164528673</v>
      </c>
      <c r="B2865" t="str">
        <f>"1552380328664620"</f>
        <v>1552380328664620</v>
      </c>
      <c r="C2865" t="s">
        <v>40</v>
      </c>
      <c r="D2865">
        <v>4.5955589999999997</v>
      </c>
      <c r="E2865">
        <v>0.51845540000000001</v>
      </c>
      <c r="F2865" t="s">
        <v>41</v>
      </c>
      <c r="G2865">
        <v>-262.94819999999999</v>
      </c>
      <c r="H2865">
        <v>1.0143249999999999</v>
      </c>
      <c r="I2865">
        <v>213.85249999999999</v>
      </c>
      <c r="J2865">
        <v>-263.58199999999999</v>
      </c>
      <c r="K2865">
        <v>1.1090960000000001</v>
      </c>
      <c r="L2865">
        <v>213.9152</v>
      </c>
      <c r="M2865">
        <v>0.99988489999999997</v>
      </c>
      <c r="N2865">
        <v>0</v>
      </c>
      <c r="O2865">
        <v>5.3856520000000003E-3</v>
      </c>
      <c r="P2865">
        <v>0.98860320000000002</v>
      </c>
      <c r="Q2865">
        <v>0.14583279999999901</v>
      </c>
      <c r="R2865">
        <v>-3.7373839999999998E-2</v>
      </c>
      <c r="S2865">
        <v>3.0766909999999998</v>
      </c>
      <c r="T2865">
        <v>-0.3360571</v>
      </c>
      <c r="U2865">
        <v>-0.21641540000000001</v>
      </c>
      <c r="V2865">
        <v>4.2595309999999997E-2</v>
      </c>
      <c r="W2865">
        <v>0.15986529999999999</v>
      </c>
      <c r="X2865">
        <v>0.98621939999999997</v>
      </c>
      <c r="Y2865">
        <v>7.5062680000000007E-2</v>
      </c>
      <c r="Z2865">
        <v>-4.6681539999999999E-3</v>
      </c>
      <c r="AA2865">
        <v>0.9971679</v>
      </c>
      <c r="AB2865">
        <v>39</v>
      </c>
      <c r="AC2865">
        <v>0.63380000000000702</v>
      </c>
      <c r="AD2865">
        <v>-9.4770999999999897E-2</v>
      </c>
      <c r="AE2865">
        <v>-6.2700000000006598E-2</v>
      </c>
      <c r="AF2865">
        <v>6.4680700022165694E-2</v>
      </c>
      <c r="AG2865">
        <v>-9.4770999999999897E-2</v>
      </c>
      <c r="AH2865">
        <v>0.61973100740394105</v>
      </c>
      <c r="AI2865">
        <v>98.648215447108001</v>
      </c>
      <c r="AJ2865">
        <v>84.041669281462902</v>
      </c>
      <c r="AK2865">
        <v>0.63026316482423494</v>
      </c>
      <c r="AL2865">
        <v>80.800922063867503</v>
      </c>
      <c r="AM2865">
        <v>87.526903599692105</v>
      </c>
      <c r="AN2865">
        <v>0.99999998975722204</v>
      </c>
    </row>
    <row r="2866" spans="1:40" x14ac:dyDescent="0.25">
      <c r="A2866" t="str">
        <f>"20190312164528689"</f>
        <v>20190312164528689</v>
      </c>
      <c r="B2866" t="str">
        <f>"1552380328684144"</f>
        <v>1552380328684144</v>
      </c>
      <c r="C2866" t="s">
        <v>40</v>
      </c>
      <c r="D2866">
        <v>4.3864000000000001</v>
      </c>
      <c r="E2866">
        <v>0.51867680000000005</v>
      </c>
      <c r="F2866" t="s">
        <v>41</v>
      </c>
      <c r="G2866">
        <v>-262.60500000000002</v>
      </c>
      <c r="H2866">
        <v>1.0008969999999999</v>
      </c>
      <c r="I2866">
        <v>213.84530000000001</v>
      </c>
      <c r="J2866">
        <v>-263.30070000000001</v>
      </c>
      <c r="K2866">
        <v>1.1090899999999999</v>
      </c>
      <c r="L2866">
        <v>213.9169</v>
      </c>
      <c r="M2866">
        <v>0.99988390000000005</v>
      </c>
      <c r="N2866">
        <v>0</v>
      </c>
      <c r="O2866">
        <v>5.5778260000000001E-3</v>
      </c>
      <c r="P2866">
        <v>0.98871699999999996</v>
      </c>
      <c r="Q2866">
        <v>0.14480709999999999</v>
      </c>
      <c r="R2866">
        <v>-3.8341430000000003E-2</v>
      </c>
      <c r="S2866">
        <v>3.0765690000000001</v>
      </c>
      <c r="T2866">
        <v>-0.34082760000000001</v>
      </c>
      <c r="U2866">
        <v>-0.21920780000000001</v>
      </c>
      <c r="V2866">
        <v>4.3754010000000003E-2</v>
      </c>
      <c r="W2866">
        <v>0.1588405</v>
      </c>
      <c r="X2866">
        <v>0.9863343</v>
      </c>
      <c r="Y2866">
        <v>7.6136309999999999E-2</v>
      </c>
      <c r="Z2866">
        <v>-4.8144759999999998E-3</v>
      </c>
      <c r="AA2866">
        <v>0.99708580000000002</v>
      </c>
      <c r="AB2866">
        <v>39</v>
      </c>
      <c r="AC2866">
        <v>0.695699999999987</v>
      </c>
      <c r="AD2866">
        <v>-0.108192999999999</v>
      </c>
      <c r="AE2866">
        <v>-7.1599999999989394E-2</v>
      </c>
      <c r="AF2866">
        <v>7.3715610042125998E-2</v>
      </c>
      <c r="AG2866">
        <v>-0.108192999999999</v>
      </c>
      <c r="AH2866">
        <v>0.67903902244132397</v>
      </c>
      <c r="AI2866">
        <v>99.000974381570899</v>
      </c>
      <c r="AJ2866">
        <v>83.804305991322593</v>
      </c>
      <c r="AK2866">
        <v>0.69154443849325498</v>
      </c>
      <c r="AL2866">
        <v>80.860399207936297</v>
      </c>
      <c r="AM2866">
        <v>87.460011629396206</v>
      </c>
      <c r="AN2866">
        <v>1.0000000345939</v>
      </c>
    </row>
    <row r="2867" spans="1:40" x14ac:dyDescent="0.25">
      <c r="A2867" t="str">
        <f>"20190312164528705"</f>
        <v>20190312164528705</v>
      </c>
      <c r="B2867" t="str">
        <f>"1552380328694876"</f>
        <v>1552380328694876</v>
      </c>
      <c r="C2867" t="s">
        <v>40</v>
      </c>
      <c r="D2867">
        <v>4.6588900000000004</v>
      </c>
      <c r="E2867">
        <v>0.5186598</v>
      </c>
      <c r="F2867" t="s">
        <v>41</v>
      </c>
      <c r="G2867">
        <v>-262.26029999999997</v>
      </c>
      <c r="H2867">
        <v>0.9910291</v>
      </c>
      <c r="I2867">
        <v>213.8409</v>
      </c>
      <c r="J2867">
        <v>-263.01949999999999</v>
      </c>
      <c r="K2867">
        <v>1.1090930000000001</v>
      </c>
      <c r="L2867">
        <v>213.9186</v>
      </c>
      <c r="M2867">
        <v>0.99988299999999997</v>
      </c>
      <c r="N2867">
        <v>0</v>
      </c>
      <c r="O2867">
        <v>5.7699980000000001E-3</v>
      </c>
      <c r="P2867">
        <v>0.98878889999999997</v>
      </c>
      <c r="Q2867">
        <v>0.14426069999999999</v>
      </c>
      <c r="R2867">
        <v>-3.854486E-2</v>
      </c>
      <c r="S2867">
        <v>3.0766909999999998</v>
      </c>
      <c r="T2867">
        <v>-0.349228599999999</v>
      </c>
      <c r="U2867">
        <v>-0.22387699999999999</v>
      </c>
      <c r="V2867">
        <v>4.4148090000000001E-2</v>
      </c>
      <c r="W2867">
        <v>0.1582935</v>
      </c>
      <c r="X2867">
        <v>0.98640470000000002</v>
      </c>
      <c r="Y2867">
        <v>7.7793950000000001E-2</v>
      </c>
      <c r="Z2867">
        <v>-5.0473150000000001E-3</v>
      </c>
      <c r="AA2867">
        <v>0.99695670000000003</v>
      </c>
      <c r="AB2867">
        <v>39</v>
      </c>
      <c r="AC2867">
        <v>0.75920000000002097</v>
      </c>
      <c r="AD2867">
        <v>-0.1180639</v>
      </c>
      <c r="AE2867">
        <v>-7.7699999999992997E-2</v>
      </c>
      <c r="AF2867">
        <v>8.0161232345596398E-2</v>
      </c>
      <c r="AG2867">
        <v>-0.1180639</v>
      </c>
      <c r="AH2867">
        <v>0.74100454857640197</v>
      </c>
      <c r="AI2867">
        <v>99.001167610902897</v>
      </c>
      <c r="AJ2867">
        <v>83.825802311620805</v>
      </c>
      <c r="AK2867">
        <v>0.75462086418630903</v>
      </c>
      <c r="AL2867">
        <v>80.892141821363595</v>
      </c>
      <c r="AM2867">
        <v>87.437347704795997</v>
      </c>
      <c r="AN2867">
        <v>1.00000005908749</v>
      </c>
    </row>
    <row r="2868" spans="1:40" x14ac:dyDescent="0.25">
      <c r="A2868" t="str">
        <f>"20190312164528720"</f>
        <v>20190312164528720</v>
      </c>
      <c r="B2868" t="str">
        <f>"1552380328714398"</f>
        <v>1552380328714398</v>
      </c>
      <c r="C2868" t="s">
        <v>40</v>
      </c>
      <c r="D2868">
        <v>4.4424270000000003</v>
      </c>
      <c r="E2868">
        <v>0.51859069999999996</v>
      </c>
      <c r="F2868" t="s">
        <v>41</v>
      </c>
      <c r="G2868">
        <v>-262.24579999999997</v>
      </c>
      <c r="H2868">
        <v>1.020492</v>
      </c>
      <c r="I2868">
        <v>213.86199999999999</v>
      </c>
      <c r="J2868">
        <v>-262.76389999999998</v>
      </c>
      <c r="K2868">
        <v>1.109092</v>
      </c>
      <c r="L2868">
        <v>213.92019999999999</v>
      </c>
      <c r="M2868">
        <v>0.99988180000000004</v>
      </c>
      <c r="N2868">
        <v>0</v>
      </c>
      <c r="O2868">
        <v>5.9449409999999996E-3</v>
      </c>
      <c r="P2868">
        <v>0.98883569999999998</v>
      </c>
      <c r="Q2868">
        <v>0.1438509</v>
      </c>
      <c r="R2868">
        <v>-3.8869750000000002E-2</v>
      </c>
      <c r="S2868">
        <v>3.0766909999999998</v>
      </c>
      <c r="T2868">
        <v>-0.35247230000000002</v>
      </c>
      <c r="U2868">
        <v>-0.2244873</v>
      </c>
      <c r="V2868">
        <v>4.4646400000000003E-2</v>
      </c>
      <c r="W2868">
        <v>0.15788339999999901</v>
      </c>
      <c r="X2868">
        <v>0.98644790000000004</v>
      </c>
      <c r="Y2868">
        <v>7.8151699999999893E-2</v>
      </c>
      <c r="Z2868">
        <v>-5.1342100000000002E-3</v>
      </c>
      <c r="AA2868">
        <v>0.99692829999999999</v>
      </c>
      <c r="AB2868">
        <v>39</v>
      </c>
      <c r="AC2868">
        <v>0.518100000000004</v>
      </c>
      <c r="AD2868">
        <v>-8.8599999999999998E-2</v>
      </c>
      <c r="AE2868">
        <v>-5.8199999999999301E-2</v>
      </c>
      <c r="AF2868">
        <v>5.9559294087068497E-2</v>
      </c>
      <c r="AG2868">
        <v>-8.8599999999999998E-2</v>
      </c>
      <c r="AH2868">
        <v>0.503212143469002</v>
      </c>
      <c r="AI2868">
        <v>99.917819875488405</v>
      </c>
      <c r="AJ2868">
        <v>83.249976191365604</v>
      </c>
      <c r="AK2868">
        <v>0.51441202439952505</v>
      </c>
      <c r="AL2868">
        <v>80.915937188981204</v>
      </c>
      <c r="AM2868">
        <v>87.408574991269305</v>
      </c>
      <c r="AN2868">
        <v>0.99999996422146398</v>
      </c>
    </row>
    <row r="2869" spans="1:40" x14ac:dyDescent="0.25">
      <c r="A2869" t="str">
        <f>"20190312164528734"</f>
        <v>20190312164528734</v>
      </c>
      <c r="B2869" t="str">
        <f>"1552380328724156"</f>
        <v>1552380328724156</v>
      </c>
      <c r="C2869" t="s">
        <v>40</v>
      </c>
      <c r="D2869">
        <v>4.6050170000000001</v>
      </c>
      <c r="E2869">
        <v>0.5184377</v>
      </c>
      <c r="F2869" t="s">
        <v>41</v>
      </c>
      <c r="G2869">
        <v>-261.90230000000003</v>
      </c>
      <c r="H2869">
        <v>1.0087950000000001</v>
      </c>
      <c r="I2869">
        <v>213.8571</v>
      </c>
      <c r="J2869">
        <v>-262.51330000000002</v>
      </c>
      <c r="K2869">
        <v>1.109092</v>
      </c>
      <c r="L2869">
        <v>213.92189999999999</v>
      </c>
      <c r="M2869">
        <v>0.99988089999999996</v>
      </c>
      <c r="N2869">
        <v>0</v>
      </c>
      <c r="O2869">
        <v>6.1162469999999896E-3</v>
      </c>
      <c r="P2869">
        <v>0.98888750000000003</v>
      </c>
      <c r="Q2869">
        <v>0.1432967</v>
      </c>
      <c r="R2869">
        <v>-3.9596689999999997E-2</v>
      </c>
      <c r="S2869">
        <v>3.0771480000000002</v>
      </c>
      <c r="T2869">
        <v>-0.35824299999999998</v>
      </c>
      <c r="U2869">
        <v>-0.22518920000000001</v>
      </c>
      <c r="V2869">
        <v>4.5543300000000002E-2</v>
      </c>
      <c r="W2869">
        <v>0.15732869999999999</v>
      </c>
      <c r="X2869">
        <v>0.98649560000000003</v>
      </c>
      <c r="Y2869">
        <v>7.851648E-2</v>
      </c>
      <c r="Z2869">
        <v>-5.2578869999999897E-3</v>
      </c>
      <c r="AA2869">
        <v>0.99689890000000003</v>
      </c>
      <c r="AB2869">
        <v>39</v>
      </c>
      <c r="AC2869">
        <v>0.61099999999999</v>
      </c>
      <c r="AD2869">
        <v>-0.100296999999999</v>
      </c>
      <c r="AE2869">
        <v>-6.4799999999991004E-2</v>
      </c>
      <c r="AF2869">
        <v>6.6757357513494306E-2</v>
      </c>
      <c r="AG2869">
        <v>-0.100296999999999</v>
      </c>
      <c r="AH2869">
        <v>0.594744494350811</v>
      </c>
      <c r="AI2869">
        <v>99.513586833379506</v>
      </c>
      <c r="AJ2869">
        <v>83.595616597906997</v>
      </c>
      <c r="AK2869">
        <v>0.60682538390527696</v>
      </c>
      <c r="AL2869">
        <v>80.948122091065997</v>
      </c>
      <c r="AM2869">
        <v>87.356716695198898</v>
      </c>
      <c r="AN2869">
        <v>1.00000004041896</v>
      </c>
    </row>
    <row r="2870" spans="1:40" x14ac:dyDescent="0.25">
      <c r="A2870" t="str">
        <f>"20190312164528757"</f>
        <v>20190312164528757</v>
      </c>
      <c r="B2870" t="str">
        <f>"1552380328744652"</f>
        <v>1552380328744652</v>
      </c>
      <c r="C2870" t="s">
        <v>40</v>
      </c>
      <c r="D2870">
        <v>4.4761319999999998</v>
      </c>
      <c r="E2870">
        <v>0.51876739999999999</v>
      </c>
      <c r="F2870" t="s">
        <v>41</v>
      </c>
      <c r="G2870">
        <v>-261.55919999999998</v>
      </c>
      <c r="H2870">
        <v>0.9966488</v>
      </c>
      <c r="I2870">
        <v>213.85140000000001</v>
      </c>
      <c r="J2870">
        <v>-262.13139999999999</v>
      </c>
      <c r="K2870">
        <v>1.109094</v>
      </c>
      <c r="L2870">
        <v>213.92449999999999</v>
      </c>
      <c r="M2870">
        <v>0.99987919999999997</v>
      </c>
      <c r="N2870">
        <v>0</v>
      </c>
      <c r="O2870">
        <v>6.377733E-3</v>
      </c>
      <c r="P2870">
        <v>0.98896070000000003</v>
      </c>
      <c r="Q2870">
        <v>0.1427187</v>
      </c>
      <c r="R2870">
        <v>-3.985789E-2</v>
      </c>
      <c r="S2870">
        <v>3.0771790000000001</v>
      </c>
      <c r="T2870">
        <v>-0.3628055</v>
      </c>
      <c r="U2870">
        <v>-0.22642519999999999</v>
      </c>
      <c r="V2870">
        <v>4.6063800000000002E-2</v>
      </c>
      <c r="W2870">
        <v>0.15675039999999901</v>
      </c>
      <c r="X2870">
        <v>0.98656339999999998</v>
      </c>
      <c r="Y2870">
        <v>7.915403E-2</v>
      </c>
      <c r="Z2870">
        <v>-5.3923570000000004E-3</v>
      </c>
      <c r="AA2870">
        <v>0.99684779999999995</v>
      </c>
      <c r="AB2870">
        <v>39</v>
      </c>
      <c r="AC2870">
        <v>0.57220000000000903</v>
      </c>
      <c r="AD2870">
        <v>-0.112445199999999</v>
      </c>
      <c r="AE2870">
        <v>-7.3099999999982401E-2</v>
      </c>
      <c r="AF2870">
        <v>7.3938729421948193E-2</v>
      </c>
      <c r="AG2870">
        <v>-0.112445199999999</v>
      </c>
      <c r="AH2870">
        <v>0.55079331593222403</v>
      </c>
      <c r="AI2870">
        <v>101.438591140003</v>
      </c>
      <c r="AJ2870">
        <v>82.354297943534803</v>
      </c>
      <c r="AK2870">
        <v>0.56699571037811802</v>
      </c>
      <c r="AL2870">
        <v>80.981671717701104</v>
      </c>
      <c r="AM2870">
        <v>87.326734488251304</v>
      </c>
      <c r="AN2870">
        <v>0.99999995189507795</v>
      </c>
    </row>
    <row r="2871" spans="1:40" x14ac:dyDescent="0.25">
      <c r="A2871" t="str">
        <f>"20190312164528772"</f>
        <v>20190312164528772</v>
      </c>
      <c r="B2871" t="str">
        <f>"1552380328764172"</f>
        <v>1552380328764172</v>
      </c>
      <c r="C2871" t="s">
        <v>40</v>
      </c>
      <c r="D2871">
        <v>4.919187</v>
      </c>
      <c r="E2871">
        <v>0.54019439999999996</v>
      </c>
      <c r="F2871" t="s">
        <v>41</v>
      </c>
      <c r="G2871">
        <v>-261.2088</v>
      </c>
      <c r="H2871">
        <v>1.000035</v>
      </c>
      <c r="I2871">
        <v>213.85550000000001</v>
      </c>
      <c r="J2871">
        <v>-261.84460000000001</v>
      </c>
      <c r="K2871">
        <v>1.109094</v>
      </c>
      <c r="L2871">
        <v>213.9265</v>
      </c>
      <c r="M2871">
        <v>0.99987800000000004</v>
      </c>
      <c r="N2871">
        <v>0</v>
      </c>
      <c r="O2871">
        <v>6.5740109999999899E-3</v>
      </c>
      <c r="P2871">
        <v>0.9889848</v>
      </c>
      <c r="Q2871">
        <v>0.14254559999999999</v>
      </c>
      <c r="R2871">
        <v>-3.9879810000000002E-2</v>
      </c>
      <c r="S2871">
        <v>3.076721</v>
      </c>
      <c r="T2871">
        <v>-0.36376849999999999</v>
      </c>
      <c r="U2871">
        <v>-0.22993469999999999</v>
      </c>
      <c r="V2871">
        <v>4.6280109999999999E-2</v>
      </c>
      <c r="W2871">
        <v>0.1565761</v>
      </c>
      <c r="X2871">
        <v>0.98658100000000004</v>
      </c>
      <c r="Y2871">
        <v>8.0477580000000007E-2</v>
      </c>
      <c r="Z2871">
        <v>-5.5081069999999999E-3</v>
      </c>
      <c r="AA2871">
        <v>0.99674119999999999</v>
      </c>
      <c r="AB2871">
        <v>39</v>
      </c>
      <c r="AC2871">
        <v>0.63580000000001702</v>
      </c>
      <c r="AD2871">
        <v>-0.109059</v>
      </c>
      <c r="AE2871">
        <v>-7.0999999999997898E-2</v>
      </c>
      <c r="AF2871">
        <v>7.3055624843465797E-2</v>
      </c>
      <c r="AG2871">
        <v>-0.109059</v>
      </c>
      <c r="AH2871">
        <v>0.61737827500780895</v>
      </c>
      <c r="AI2871">
        <v>99.949852440022596</v>
      </c>
      <c r="AJ2871">
        <v>83.251456072261107</v>
      </c>
      <c r="AK2871">
        <v>0.63117899541563205</v>
      </c>
      <c r="AL2871">
        <v>80.991783634948305</v>
      </c>
      <c r="AM2871">
        <v>87.314247340118101</v>
      </c>
      <c r="AN2871">
        <v>0.99999999661691097</v>
      </c>
    </row>
    <row r="2872" spans="1:40" x14ac:dyDescent="0.25">
      <c r="A2872" t="str">
        <f>"20190312164528784"</f>
        <v>20190312164528784</v>
      </c>
      <c r="B2872" t="str">
        <f>"1552380328774909"</f>
        <v>1552380328774909</v>
      </c>
      <c r="C2872" t="s">
        <v>40</v>
      </c>
      <c r="D2872">
        <v>4.6938309999999897</v>
      </c>
      <c r="E2872">
        <v>0.54124459999999996</v>
      </c>
      <c r="F2872" t="s">
        <v>41</v>
      </c>
      <c r="G2872">
        <v>-260.85410000000002</v>
      </c>
      <c r="H2872">
        <v>1.0100519999999999</v>
      </c>
      <c r="I2872">
        <v>213.79560000000001</v>
      </c>
      <c r="J2872">
        <v>-261.62490000000003</v>
      </c>
      <c r="K2872">
        <v>1.109094</v>
      </c>
      <c r="L2872">
        <v>213.9281</v>
      </c>
      <c r="M2872">
        <v>0.99987700000000002</v>
      </c>
      <c r="N2872">
        <v>0</v>
      </c>
      <c r="O2872">
        <v>6.7245109999999999E-3</v>
      </c>
      <c r="P2872">
        <v>0.98901810000000001</v>
      </c>
      <c r="Q2872">
        <v>0.14229169999999999</v>
      </c>
      <c r="R2872">
        <v>-3.9952700000000001E-2</v>
      </c>
      <c r="S2872">
        <v>3.0612490000000001</v>
      </c>
      <c r="T2872">
        <v>-0.30617739999999999</v>
      </c>
      <c r="U2872">
        <v>-0.40411380000000002</v>
      </c>
      <c r="V2872">
        <v>4.6502500000000002E-2</v>
      </c>
      <c r="W2872">
        <v>0.1563213</v>
      </c>
      <c r="X2872">
        <v>0.98661089999999996</v>
      </c>
      <c r="Y2872">
        <v>0.13683419999999999</v>
      </c>
      <c r="Z2872">
        <v>-7.4647469999999999E-3</v>
      </c>
      <c r="AA2872">
        <v>0.99056580000000005</v>
      </c>
      <c r="AB2872">
        <v>39</v>
      </c>
      <c r="AC2872">
        <v>0.77080000000000803</v>
      </c>
      <c r="AD2872">
        <v>-9.9042000000000005E-2</v>
      </c>
      <c r="AE2872">
        <v>-0.13249999999999301</v>
      </c>
      <c r="AF2872">
        <v>0.13550771450034499</v>
      </c>
      <c r="AG2872">
        <v>-9.9042000000000005E-2</v>
      </c>
      <c r="AH2872">
        <v>0.75774002240207206</v>
      </c>
      <c r="AI2872">
        <v>97.331730240588499</v>
      </c>
      <c r="AJ2872">
        <v>79.860893627408302</v>
      </c>
      <c r="AK2872">
        <v>0.77610669369810303</v>
      </c>
      <c r="AL2872">
        <v>81.006564185614295</v>
      </c>
      <c r="AM2872">
        <v>87.301442178556101</v>
      </c>
      <c r="AN2872">
        <v>0.999999949669373</v>
      </c>
    </row>
    <row r="2873" spans="1:40" x14ac:dyDescent="0.25">
      <c r="A2873" t="str">
        <f>"20190312164528802"</f>
        <v>20190312164528802</v>
      </c>
      <c r="B2873" t="str">
        <f>"1552380328794431"</f>
        <v>1552380328794431</v>
      </c>
      <c r="C2873" t="s">
        <v>40</v>
      </c>
      <c r="D2873">
        <v>4.6322859999999997</v>
      </c>
      <c r="E2873">
        <v>0.53979089999999996</v>
      </c>
      <c r="F2873" t="s">
        <v>41</v>
      </c>
      <c r="G2873">
        <v>-260.84379999999999</v>
      </c>
      <c r="H2873">
        <v>1.0322739999999999</v>
      </c>
      <c r="I2873">
        <v>213.82249999999999</v>
      </c>
      <c r="J2873">
        <v>-261.34530000000001</v>
      </c>
      <c r="K2873">
        <v>1.109089</v>
      </c>
      <c r="L2873">
        <v>213.93010000000001</v>
      </c>
      <c r="M2873">
        <v>0.99987570000000003</v>
      </c>
      <c r="N2873">
        <v>0</v>
      </c>
      <c r="O2873">
        <v>6.9160819999999996E-3</v>
      </c>
      <c r="P2873">
        <v>0.98904590000000003</v>
      </c>
      <c r="Q2873">
        <v>0.1420428</v>
      </c>
      <c r="R2873">
        <v>-4.0150150000000003E-2</v>
      </c>
      <c r="S2873">
        <v>3.060028</v>
      </c>
      <c r="T2873">
        <v>-0.30109580000000002</v>
      </c>
      <c r="U2873">
        <v>-0.41281129999999999</v>
      </c>
      <c r="V2873">
        <v>4.688962E-2</v>
      </c>
      <c r="W2873">
        <v>0.15607170000000001</v>
      </c>
      <c r="X2873">
        <v>0.98663219999999996</v>
      </c>
      <c r="Y2873">
        <v>0.13984849999999999</v>
      </c>
      <c r="Z2873">
        <v>-7.5089800000000002E-3</v>
      </c>
      <c r="AA2873">
        <v>0.99014440000000004</v>
      </c>
      <c r="AB2873">
        <v>39</v>
      </c>
      <c r="AC2873">
        <v>0.50150000000002104</v>
      </c>
      <c r="AD2873">
        <v>-7.6814999999999994E-2</v>
      </c>
      <c r="AE2873">
        <v>-0.107600000000019</v>
      </c>
      <c r="AF2873">
        <v>0.10862976434421399</v>
      </c>
      <c r="AG2873">
        <v>-7.6814999999999994E-2</v>
      </c>
      <c r="AH2873">
        <v>0.48975909558067099</v>
      </c>
      <c r="AI2873">
        <v>98.705577896858401</v>
      </c>
      <c r="AJ2873">
        <v>77.494114014430806</v>
      </c>
      <c r="AK2873">
        <v>0.50750856311049297</v>
      </c>
      <c r="AL2873">
        <v>81.021043878936496</v>
      </c>
      <c r="AM2873">
        <v>87.279069733760593</v>
      </c>
      <c r="AN2873">
        <v>1.00000005504073</v>
      </c>
    </row>
    <row r="2874" spans="1:40" x14ac:dyDescent="0.25">
      <c r="A2874" t="str">
        <f>"20190312164528817"</f>
        <v>20190312164528817</v>
      </c>
      <c r="B2874" t="str">
        <f>"1552380328814924"</f>
        <v>1552380328814924</v>
      </c>
      <c r="C2874" t="s">
        <v>40</v>
      </c>
      <c r="D2874">
        <v>4.3049030000000004</v>
      </c>
      <c r="E2874">
        <v>0.53842959999999995</v>
      </c>
      <c r="F2874" t="s">
        <v>41</v>
      </c>
      <c r="G2874">
        <v>-260.50119999999998</v>
      </c>
      <c r="H2874">
        <v>1.020845</v>
      </c>
      <c r="I2874">
        <v>213.81950000000001</v>
      </c>
      <c r="J2874">
        <v>-261.0729</v>
      </c>
      <c r="K2874">
        <v>1.109089</v>
      </c>
      <c r="L2874">
        <v>213.93219999999999</v>
      </c>
      <c r="M2874">
        <v>0.99987440000000005</v>
      </c>
      <c r="N2874">
        <v>0</v>
      </c>
      <c r="O2874">
        <v>7.1035430000000004E-3</v>
      </c>
      <c r="P2874">
        <v>0.98903750000000001</v>
      </c>
      <c r="Q2874">
        <v>0.1421441</v>
      </c>
      <c r="R2874">
        <v>-3.9999479999999997E-2</v>
      </c>
      <c r="S2874">
        <v>3.0629270000000002</v>
      </c>
      <c r="T2874">
        <v>-0.32020179999999998</v>
      </c>
      <c r="U2874">
        <v>-0.401001</v>
      </c>
      <c r="V2874">
        <v>4.6924100000000003E-2</v>
      </c>
      <c r="W2874">
        <v>0.15617149999999999</v>
      </c>
      <c r="X2874">
        <v>0.98661469999999996</v>
      </c>
      <c r="Y2874">
        <v>0.1360866</v>
      </c>
      <c r="Z2874">
        <v>-7.8017190000000004E-3</v>
      </c>
      <c r="AA2874">
        <v>0.99066620000000005</v>
      </c>
      <c r="AB2874">
        <v>39</v>
      </c>
      <c r="AC2874">
        <v>0.57170000000002097</v>
      </c>
      <c r="AD2874">
        <v>-8.8243999999999906E-2</v>
      </c>
      <c r="AE2874">
        <v>-0.112699999999989</v>
      </c>
      <c r="AF2874">
        <v>0.11414096924014799</v>
      </c>
      <c r="AG2874">
        <v>-8.8243999999999906E-2</v>
      </c>
      <c r="AH2874">
        <v>0.55808587511591801</v>
      </c>
      <c r="AI2874">
        <v>98.805825179513306</v>
      </c>
      <c r="AJ2874">
        <v>78.441146291427003</v>
      </c>
      <c r="AK2874">
        <v>0.57643300425893396</v>
      </c>
      <c r="AL2874">
        <v>81.015254160906693</v>
      </c>
      <c r="AM2874">
        <v>87.277023699178599</v>
      </c>
      <c r="AN2874">
        <v>0.99999998741457496</v>
      </c>
    </row>
    <row r="2875" spans="1:40" x14ac:dyDescent="0.25">
      <c r="A2875" t="str">
        <f>"20190312164528834"</f>
        <v>20190312164528834</v>
      </c>
      <c r="B2875" t="str">
        <f>"1552380328824685"</f>
        <v>1552380328824685</v>
      </c>
      <c r="C2875" t="s">
        <v>40</v>
      </c>
      <c r="D2875">
        <v>4.6436260000000003</v>
      </c>
      <c r="E2875">
        <v>0.53598639999999997</v>
      </c>
      <c r="F2875" t="s">
        <v>41</v>
      </c>
      <c r="G2875">
        <v>-260.1857</v>
      </c>
      <c r="H2875">
        <v>0.95443310000000003</v>
      </c>
      <c r="I2875">
        <v>213.82320000000001</v>
      </c>
      <c r="J2875">
        <v>-260.77870000000001</v>
      </c>
      <c r="K2875">
        <v>1.109092</v>
      </c>
      <c r="L2875">
        <v>213.93440000000001</v>
      </c>
      <c r="M2875">
        <v>0.99987300000000001</v>
      </c>
      <c r="N2875">
        <v>0</v>
      </c>
      <c r="O2875">
        <v>7.3069839999999999E-3</v>
      </c>
      <c r="P2875">
        <v>0.98900359999999998</v>
      </c>
      <c r="Q2875">
        <v>0.1424521</v>
      </c>
      <c r="R2875">
        <v>-3.9746530000000002E-2</v>
      </c>
      <c r="S2875">
        <v>3.0954899999999999</v>
      </c>
      <c r="T2875">
        <v>-0.53967619999999905</v>
      </c>
      <c r="U2875">
        <v>-0.37919619999999998</v>
      </c>
      <c r="V2875">
        <v>4.6871599999999999E-2</v>
      </c>
      <c r="W2875">
        <v>0.15647720000000001</v>
      </c>
      <c r="X2875">
        <v>0.98656869999999997</v>
      </c>
      <c r="Y2875">
        <v>0.1268466</v>
      </c>
      <c r="Z2875">
        <v>-1.2194699999999999E-2</v>
      </c>
      <c r="AA2875">
        <v>0.99184740000000005</v>
      </c>
      <c r="AB2875">
        <v>39</v>
      </c>
      <c r="AC2875">
        <v>0.59300000000001696</v>
      </c>
      <c r="AD2875">
        <v>-0.15465889999999899</v>
      </c>
      <c r="AE2875">
        <v>-0.111199999999996</v>
      </c>
      <c r="AF2875">
        <v>0.108407081620618</v>
      </c>
      <c r="AG2875">
        <v>-0.15465889999999899</v>
      </c>
      <c r="AH2875">
        <v>0.55565920218922804</v>
      </c>
      <c r="AI2875">
        <v>105.279451864373</v>
      </c>
      <c r="AJ2875">
        <v>78.960472926754207</v>
      </c>
      <c r="AK2875">
        <v>0.58688041343384301</v>
      </c>
      <c r="AL2875">
        <v>80.997520305740693</v>
      </c>
      <c r="AM2875">
        <v>87.279939034039302</v>
      </c>
      <c r="AN2875">
        <v>0.99999993041304203</v>
      </c>
    </row>
    <row r="2876" spans="1:40" x14ac:dyDescent="0.25">
      <c r="A2876" t="str">
        <f>"20190312164528850"</f>
        <v>20190312164528850</v>
      </c>
      <c r="B2876" t="str">
        <f>"1552380328844205"</f>
        <v>1552380328844205</v>
      </c>
      <c r="C2876" t="s">
        <v>40</v>
      </c>
      <c r="D2876">
        <v>6.9298469999999996</v>
      </c>
      <c r="E2876">
        <v>0.53502859999999997</v>
      </c>
      <c r="F2876" t="s">
        <v>41</v>
      </c>
      <c r="G2876">
        <v>-259.83780000000002</v>
      </c>
      <c r="H2876">
        <v>0.95474820000000005</v>
      </c>
      <c r="I2876">
        <v>213.8244</v>
      </c>
      <c r="J2876">
        <v>-260.50900000000001</v>
      </c>
      <c r="K2876">
        <v>1.1090930000000001</v>
      </c>
      <c r="L2876">
        <v>213.9366</v>
      </c>
      <c r="M2876">
        <v>0.99987159999999997</v>
      </c>
      <c r="N2876">
        <v>0</v>
      </c>
      <c r="O2876">
        <v>7.4949350000000003E-3</v>
      </c>
      <c r="P2876">
        <v>0.98901079999999997</v>
      </c>
      <c r="Q2876">
        <v>0.1424501</v>
      </c>
      <c r="R2876">
        <v>-3.9570609999999999E-2</v>
      </c>
      <c r="S2876">
        <v>3.0919189999999999</v>
      </c>
      <c r="T2876">
        <v>-0.50725629999999999</v>
      </c>
      <c r="U2876">
        <v>-0.36116029999999999</v>
      </c>
      <c r="V2876">
        <v>4.6881180000000001E-2</v>
      </c>
      <c r="W2876">
        <v>0.1564739</v>
      </c>
      <c r="X2876">
        <v>0.98656880000000002</v>
      </c>
      <c r="Y2876">
        <v>0.12175569999999999</v>
      </c>
      <c r="Z2876">
        <v>-1.110591E-2</v>
      </c>
      <c r="AA2876">
        <v>0.99249799999999999</v>
      </c>
      <c r="AB2876">
        <v>39</v>
      </c>
      <c r="AC2876">
        <v>0.67119999999999802</v>
      </c>
      <c r="AD2876">
        <v>-0.1543448</v>
      </c>
      <c r="AE2876">
        <v>-0.11220000000000099</v>
      </c>
      <c r="AF2876">
        <v>0.11149264110976</v>
      </c>
      <c r="AG2876">
        <v>-0.1543448</v>
      </c>
      <c r="AH2876">
        <v>0.63754411286381796</v>
      </c>
      <c r="AI2876">
        <v>103.41301416936</v>
      </c>
      <c r="AJ2876">
        <v>80.080519416396299</v>
      </c>
      <c r="AK2876">
        <v>0.665368636288173</v>
      </c>
      <c r="AL2876">
        <v>80.997712024633898</v>
      </c>
      <c r="AM2876">
        <v>87.279384196342605</v>
      </c>
      <c r="AN2876">
        <v>0.99999996177642003</v>
      </c>
    </row>
    <row r="2877" spans="1:40" x14ac:dyDescent="0.25">
      <c r="A2877" t="str">
        <f>"20190312164528867"</f>
        <v>20190312164528867</v>
      </c>
      <c r="B2877" t="str">
        <f>"1552380328864701"</f>
        <v>1552380328864701</v>
      </c>
      <c r="C2877" t="s">
        <v>40</v>
      </c>
      <c r="D2877">
        <v>4.8337110000000001</v>
      </c>
      <c r="E2877">
        <v>0.53564849999999997</v>
      </c>
      <c r="F2877" t="s">
        <v>41</v>
      </c>
      <c r="G2877">
        <v>-259.48450000000003</v>
      </c>
      <c r="H2877">
        <v>0.96623159999999997</v>
      </c>
      <c r="I2877">
        <v>213.81780000000001</v>
      </c>
      <c r="J2877">
        <v>-260.19290000000001</v>
      </c>
      <c r="K2877">
        <v>1.109102</v>
      </c>
      <c r="L2877">
        <v>213.9392</v>
      </c>
      <c r="M2877">
        <v>0.99986989999999998</v>
      </c>
      <c r="N2877">
        <v>0</v>
      </c>
      <c r="O2877">
        <v>7.7181899999999998E-3</v>
      </c>
      <c r="P2877">
        <v>0.98903719999999995</v>
      </c>
      <c r="Q2877">
        <v>0.14229269999999999</v>
      </c>
      <c r="R2877">
        <v>-3.9483339999999999E-2</v>
      </c>
      <c r="S2877">
        <v>3.080994</v>
      </c>
      <c r="T2877">
        <v>-0.42982110000000001</v>
      </c>
      <c r="U2877">
        <v>-0.35638429999999999</v>
      </c>
      <c r="V2877">
        <v>4.701412E-2</v>
      </c>
      <c r="W2877">
        <v>0.15631519999999999</v>
      </c>
      <c r="X2877">
        <v>0.98658760000000001</v>
      </c>
      <c r="Y2877">
        <v>0.1213365</v>
      </c>
      <c r="Z2877">
        <v>-9.4635529999999995E-3</v>
      </c>
      <c r="AA2877">
        <v>0.99256630000000001</v>
      </c>
      <c r="AB2877">
        <v>39</v>
      </c>
      <c r="AC2877">
        <v>0.70839999999998304</v>
      </c>
      <c r="AD2877">
        <v>-0.14287040000000001</v>
      </c>
      <c r="AE2877">
        <v>-0.121399999999994</v>
      </c>
      <c r="AF2877">
        <v>0.122042065369178</v>
      </c>
      <c r="AG2877">
        <v>-0.14287040000000001</v>
      </c>
      <c r="AH2877">
        <v>0.68055020638642705</v>
      </c>
      <c r="AI2877">
        <v>101.675127530452</v>
      </c>
      <c r="AJ2877">
        <v>79.833295869862596</v>
      </c>
      <c r="AK2877">
        <v>0.70601331455457905</v>
      </c>
      <c r="AL2877">
        <v>81.006917869281196</v>
      </c>
      <c r="AM2877">
        <v>87.271732953500305</v>
      </c>
      <c r="AN2877">
        <v>0.99999993085208405</v>
      </c>
    </row>
    <row r="2878" spans="1:40" x14ac:dyDescent="0.25">
      <c r="A2878" t="str">
        <f>"20190312164528891"</f>
        <v>20190312164528891</v>
      </c>
      <c r="B2878" t="str">
        <f>"1552380328884220"</f>
        <v>1552380328884220</v>
      </c>
      <c r="C2878" t="s">
        <v>40</v>
      </c>
      <c r="D2878">
        <v>4.5862569999999998</v>
      </c>
      <c r="E2878">
        <v>0.53492240000000002</v>
      </c>
      <c r="F2878" t="s">
        <v>41</v>
      </c>
      <c r="G2878">
        <v>-259.45999999999998</v>
      </c>
      <c r="H2878">
        <v>1.018187</v>
      </c>
      <c r="I2878">
        <v>213.85220000000001</v>
      </c>
      <c r="J2878">
        <v>-259.78800000000001</v>
      </c>
      <c r="K2878">
        <v>1.1091059999999999</v>
      </c>
      <c r="L2878">
        <v>213.9426</v>
      </c>
      <c r="M2878">
        <v>0.99986759999999997</v>
      </c>
      <c r="N2878">
        <v>0</v>
      </c>
      <c r="O2878">
        <v>8.0104389999999994E-3</v>
      </c>
      <c r="P2878">
        <v>0.98904789999999998</v>
      </c>
      <c r="Q2878">
        <v>0.14229549999999999</v>
      </c>
      <c r="R2878">
        <v>-3.9195569999999999E-2</v>
      </c>
      <c r="S2878">
        <v>3.073639</v>
      </c>
      <c r="T2878">
        <v>-0.38148860000000001</v>
      </c>
      <c r="U2878">
        <v>-0.36344910000000002</v>
      </c>
      <c r="V2878">
        <v>4.7013920000000001E-2</v>
      </c>
      <c r="W2878">
        <v>0.15631619999999999</v>
      </c>
      <c r="X2878">
        <v>0.98658749999999995</v>
      </c>
      <c r="Y2878">
        <v>0.124379</v>
      </c>
      <c r="Z2878">
        <v>-8.6500699999999993E-3</v>
      </c>
      <c r="AA2878">
        <v>0.99219710000000005</v>
      </c>
      <c r="AB2878">
        <v>39</v>
      </c>
      <c r="AC2878">
        <v>0.32800000000003099</v>
      </c>
      <c r="AD2878">
        <v>-9.0918999999999695E-2</v>
      </c>
      <c r="AE2878">
        <v>-9.0399999999988198E-2</v>
      </c>
      <c r="AF2878">
        <v>8.6824557088712603E-2</v>
      </c>
      <c r="AG2878">
        <v>-9.0918999999999695E-2</v>
      </c>
      <c r="AH2878">
        <v>0.30545258003794101</v>
      </c>
      <c r="AI2878">
        <v>105.977023082871</v>
      </c>
      <c r="AJ2878">
        <v>74.132258375653805</v>
      </c>
      <c r="AK2878">
        <v>0.33031204477960802</v>
      </c>
      <c r="AL2878">
        <v>81.006860297958298</v>
      </c>
      <c r="AM2878">
        <v>87.271744266008</v>
      </c>
      <c r="AN2878">
        <v>0.99999997910622795</v>
      </c>
    </row>
    <row r="2879" spans="1:40" x14ac:dyDescent="0.25">
      <c r="A2879" t="str">
        <f>"20190312164528905"</f>
        <v>20190312164528905</v>
      </c>
      <c r="B2879" t="str">
        <f>"1552380328894956"</f>
        <v>1552380328894956</v>
      </c>
      <c r="C2879" t="s">
        <v>40</v>
      </c>
      <c r="D2879">
        <v>4.4631259999999999</v>
      </c>
      <c r="E2879">
        <v>0.53429729999999998</v>
      </c>
      <c r="F2879" t="s">
        <v>41</v>
      </c>
      <c r="G2879">
        <v>-258.77929999999998</v>
      </c>
      <c r="H2879">
        <v>0.98953999999999998</v>
      </c>
      <c r="I2879">
        <v>213.82490000000001</v>
      </c>
      <c r="J2879">
        <v>-259.53399999999999</v>
      </c>
      <c r="K2879">
        <v>1.1091120000000001</v>
      </c>
      <c r="L2879">
        <v>213.94479999999999</v>
      </c>
      <c r="M2879">
        <v>0.99986620000000004</v>
      </c>
      <c r="N2879">
        <v>0</v>
      </c>
      <c r="O2879">
        <v>8.2000549999999995E-3</v>
      </c>
      <c r="P2879">
        <v>0.98905730000000003</v>
      </c>
      <c r="Q2879">
        <v>0.14229530000000001</v>
      </c>
      <c r="R2879">
        <v>-3.89609E-2</v>
      </c>
      <c r="S2879">
        <v>3.0714109999999999</v>
      </c>
      <c r="T2879">
        <v>-0.36411890000000002</v>
      </c>
      <c r="U2879">
        <v>-0.35791020000000001</v>
      </c>
      <c r="V2879">
        <v>4.6965319999999998E-2</v>
      </c>
      <c r="W2879">
        <v>0.1563147</v>
      </c>
      <c r="X2879">
        <v>0.98659010000000003</v>
      </c>
      <c r="Y2879">
        <v>0.1229816</v>
      </c>
      <c r="Z2879">
        <v>-8.2058249999999999E-3</v>
      </c>
      <c r="AA2879">
        <v>0.99237500000000001</v>
      </c>
      <c r="AB2879">
        <v>39</v>
      </c>
      <c r="AC2879">
        <v>0.75470000000001303</v>
      </c>
      <c r="AD2879">
        <v>-0.119572</v>
      </c>
      <c r="AE2879">
        <v>-0.119899999999972</v>
      </c>
      <c r="AF2879">
        <v>0.123071861668015</v>
      </c>
      <c r="AG2879">
        <v>-0.119572</v>
      </c>
      <c r="AH2879">
        <v>0.73567887628613504</v>
      </c>
      <c r="AI2879">
        <v>99.1073261929794</v>
      </c>
      <c r="AJ2879">
        <v>80.502921399847494</v>
      </c>
      <c r="AK2879">
        <v>0.75542541348041903</v>
      </c>
      <c r="AL2879">
        <v>81.006947737103999</v>
      </c>
      <c r="AM2879">
        <v>87.274567480271202</v>
      </c>
      <c r="AN2879">
        <v>1.0000000260684001</v>
      </c>
    </row>
    <row r="2880" spans="1:40" x14ac:dyDescent="0.25">
      <c r="A2880" t="str">
        <f>"20190312164528919"</f>
        <v>20190312164528919</v>
      </c>
      <c r="B2880" t="str">
        <f>"1552380328914477"</f>
        <v>1552380328914477</v>
      </c>
      <c r="C2880" t="s">
        <v>40</v>
      </c>
      <c r="D2880">
        <v>4.7888390000000003</v>
      </c>
      <c r="E2880">
        <v>0.53223799999999999</v>
      </c>
      <c r="F2880" t="s">
        <v>41</v>
      </c>
      <c r="G2880">
        <v>-258.76510000000002</v>
      </c>
      <c r="H2880">
        <v>1.0198969999999901</v>
      </c>
      <c r="I2880">
        <v>213.85640000000001</v>
      </c>
      <c r="J2880">
        <v>-259.31459999999998</v>
      </c>
      <c r="K2880">
        <v>1.1091169999999999</v>
      </c>
      <c r="L2880">
        <v>213.94669999999999</v>
      </c>
      <c r="M2880">
        <v>0.99986470000000005</v>
      </c>
      <c r="N2880">
        <v>0</v>
      </c>
      <c r="O2880">
        <v>8.3688730000000006E-3</v>
      </c>
      <c r="P2880">
        <v>0.98908160000000001</v>
      </c>
      <c r="Q2880">
        <v>0.14213100000000001</v>
      </c>
      <c r="R2880">
        <v>-3.8940910000000002E-2</v>
      </c>
      <c r="S2880">
        <v>3.070557</v>
      </c>
      <c r="T2880">
        <v>-0.3563849</v>
      </c>
      <c r="U2880">
        <v>-0.35260010000000003</v>
      </c>
      <c r="V2880">
        <v>4.7110689999999997E-2</v>
      </c>
      <c r="W2880">
        <v>0.15615039999999999</v>
      </c>
      <c r="X2880">
        <v>0.98660919999999996</v>
      </c>
      <c r="Y2880">
        <v>0.12153310000000001</v>
      </c>
      <c r="Z2880">
        <v>-7.9716449999999994E-3</v>
      </c>
      <c r="AA2880">
        <v>0.99255539999999998</v>
      </c>
      <c r="AB2880">
        <v>39</v>
      </c>
      <c r="AC2880">
        <v>0.54949999999996602</v>
      </c>
      <c r="AD2880">
        <v>-8.9219999999999994E-2</v>
      </c>
      <c r="AE2880">
        <v>-9.0299999999984906E-2</v>
      </c>
      <c r="AF2880">
        <v>9.2521029881055303E-2</v>
      </c>
      <c r="AG2880">
        <v>-8.9219999999999994E-2</v>
      </c>
      <c r="AH2880">
        <v>0.53499201607795499</v>
      </c>
      <c r="AI2880">
        <v>99.331986309302494</v>
      </c>
      <c r="AJ2880">
        <v>80.188367369437501</v>
      </c>
      <c r="AK2880">
        <v>0.55021523664599303</v>
      </c>
      <c r="AL2880">
        <v>81.016478585348494</v>
      </c>
      <c r="AM2880">
        <v>87.266197174430999</v>
      </c>
      <c r="AN2880">
        <v>1.00000003902853</v>
      </c>
    </row>
    <row r="2881" spans="1:40" x14ac:dyDescent="0.25">
      <c r="A2881" t="str">
        <f>"20190312164528934"</f>
        <v>20190312164528934</v>
      </c>
      <c r="B2881" t="str">
        <f>"1552380328924237"</f>
        <v>1552380328924237</v>
      </c>
      <c r="C2881" t="s">
        <v>40</v>
      </c>
      <c r="D2881">
        <v>4.442977</v>
      </c>
      <c r="E2881">
        <v>0.53136070000000002</v>
      </c>
      <c r="F2881" t="s">
        <v>41</v>
      </c>
      <c r="G2881">
        <v>-258.42430000000002</v>
      </c>
      <c r="H2881">
        <v>1.0076929999999999</v>
      </c>
      <c r="I2881">
        <v>213.84909999999999</v>
      </c>
      <c r="J2881">
        <v>-259.0299</v>
      </c>
      <c r="K2881">
        <v>1.1091260000000001</v>
      </c>
      <c r="L2881">
        <v>213.94929999999999</v>
      </c>
      <c r="M2881">
        <v>0.99986280000000005</v>
      </c>
      <c r="N2881">
        <v>0</v>
      </c>
      <c r="O2881">
        <v>8.5939450000000004E-3</v>
      </c>
      <c r="P2881">
        <v>0.98907849999999997</v>
      </c>
      <c r="Q2881">
        <v>0.14221600000000001</v>
      </c>
      <c r="R2881">
        <v>-3.8713940000000002E-2</v>
      </c>
      <c r="S2881">
        <v>3.0700989999999999</v>
      </c>
      <c r="T2881">
        <v>-0.34975659999999997</v>
      </c>
      <c r="U2881">
        <v>-0.3364258</v>
      </c>
      <c r="V2881">
        <v>4.7103199999999998E-2</v>
      </c>
      <c r="W2881">
        <v>0.15623419999999999</v>
      </c>
      <c r="X2881">
        <v>0.98659620000000003</v>
      </c>
      <c r="Y2881">
        <v>0.1166681</v>
      </c>
      <c r="Z2881">
        <v>-7.5778369999999996E-3</v>
      </c>
      <c r="AA2881">
        <v>0.99314210000000003</v>
      </c>
      <c r="AB2881">
        <v>39</v>
      </c>
      <c r="AC2881">
        <v>0.60559999999998104</v>
      </c>
      <c r="AD2881">
        <v>-0.101433</v>
      </c>
      <c r="AE2881">
        <v>-0.1002</v>
      </c>
      <c r="AF2881">
        <v>0.102599729189009</v>
      </c>
      <c r="AG2881">
        <v>-0.101433</v>
      </c>
      <c r="AH2881">
        <v>0.58864296654970205</v>
      </c>
      <c r="AI2881">
        <v>99.634532527894294</v>
      </c>
      <c r="AJ2881">
        <v>80.112744272202704</v>
      </c>
      <c r="AK2881">
        <v>0.60606592049635299</v>
      </c>
      <c r="AL2881">
        <v>81.011616724550905</v>
      </c>
      <c r="AM2881">
        <v>87.266595193134805</v>
      </c>
      <c r="AN2881">
        <v>0.99999994927715796</v>
      </c>
    </row>
    <row r="2882" spans="1:40" x14ac:dyDescent="0.25">
      <c r="A2882" t="str">
        <f>"20190312164528958"</f>
        <v>20190312164528958</v>
      </c>
      <c r="B2882" t="str">
        <f>"1552380328954493"</f>
        <v>1552380328954493</v>
      </c>
      <c r="C2882" t="s">
        <v>40</v>
      </c>
      <c r="D2882">
        <v>4.856681</v>
      </c>
      <c r="E2882">
        <v>0.53224799999999906</v>
      </c>
      <c r="F2882" t="s">
        <v>41</v>
      </c>
      <c r="G2882">
        <v>-258.08120000000002</v>
      </c>
      <c r="H2882">
        <v>1.000988</v>
      </c>
      <c r="I2882">
        <v>213.8476</v>
      </c>
      <c r="J2882">
        <v>-258.6361</v>
      </c>
      <c r="K2882">
        <v>1.109138</v>
      </c>
      <c r="L2882">
        <v>213.953</v>
      </c>
      <c r="M2882">
        <v>0.99985999999999997</v>
      </c>
      <c r="N2882">
        <v>0</v>
      </c>
      <c r="O2882">
        <v>8.9224159999999903E-3</v>
      </c>
      <c r="P2882">
        <v>0.98903830000000004</v>
      </c>
      <c r="Q2882">
        <v>0.1424752</v>
      </c>
      <c r="R2882">
        <v>-3.878417E-2</v>
      </c>
      <c r="S2882">
        <v>3.070541</v>
      </c>
      <c r="T2882">
        <v>-0.35011330000000002</v>
      </c>
      <c r="U2882">
        <v>-0.32865909999999998</v>
      </c>
      <c r="V2882">
        <v>4.749271E-2</v>
      </c>
      <c r="W2882">
        <v>0.156492299999999</v>
      </c>
      <c r="X2882">
        <v>0.98653670000000004</v>
      </c>
      <c r="Y2882">
        <v>0.1145057</v>
      </c>
      <c r="Z2882">
        <v>-7.5001529999999999E-3</v>
      </c>
      <c r="AA2882">
        <v>0.99339429999999995</v>
      </c>
      <c r="AB2882">
        <v>39</v>
      </c>
      <c r="AC2882">
        <v>0.55489999999997497</v>
      </c>
      <c r="AD2882">
        <v>-0.108149999999999</v>
      </c>
      <c r="AE2882">
        <v>-0.10540000000000301</v>
      </c>
      <c r="AF2882">
        <v>0.10644473954068</v>
      </c>
      <c r="AG2882">
        <v>-0.108149999999999</v>
      </c>
      <c r="AH2882">
        <v>0.53434651692212298</v>
      </c>
      <c r="AI2882">
        <v>101.22708404208301</v>
      </c>
      <c r="AJ2882">
        <v>78.733847509774705</v>
      </c>
      <c r="AK2882">
        <v>0.55547556671980403</v>
      </c>
      <c r="AL2882">
        <v>80.996645242517104</v>
      </c>
      <c r="AM2882">
        <v>87.243860621321701</v>
      </c>
      <c r="AN2882">
        <v>1.00000002895466</v>
      </c>
    </row>
    <row r="2883" spans="1:40" x14ac:dyDescent="0.25">
      <c r="A2883" t="str">
        <f>"20190312164528979"</f>
        <v>20190312164528979</v>
      </c>
      <c r="B2883" t="str">
        <f>"1552380328974012"</f>
        <v>1552380328974012</v>
      </c>
      <c r="C2883" t="s">
        <v>40</v>
      </c>
      <c r="D2883">
        <v>4.6028500000000001</v>
      </c>
      <c r="E2883">
        <v>0.53348890000000004</v>
      </c>
      <c r="F2883" t="s">
        <v>41</v>
      </c>
      <c r="G2883">
        <v>-257.73070000000001</v>
      </c>
      <c r="H2883">
        <v>1.0102249999999999</v>
      </c>
      <c r="I2883">
        <v>213.8536</v>
      </c>
      <c r="J2883">
        <v>-258.2561</v>
      </c>
      <c r="K2883">
        <v>1.109154</v>
      </c>
      <c r="L2883">
        <v>213.95670000000001</v>
      </c>
      <c r="M2883">
        <v>0.99985710000000005</v>
      </c>
      <c r="N2883">
        <v>0</v>
      </c>
      <c r="O2883">
        <v>9.2598630000000001E-3</v>
      </c>
      <c r="P2883">
        <v>0.98901050000000001</v>
      </c>
      <c r="Q2883">
        <v>0.1426904</v>
      </c>
      <c r="R2883">
        <v>-3.8704240000000001E-2</v>
      </c>
      <c r="S2883">
        <v>3.0683750000000001</v>
      </c>
      <c r="T2883">
        <v>-0.3353622</v>
      </c>
      <c r="U2883">
        <v>-0.33636470000000002</v>
      </c>
      <c r="V2883">
        <v>4.773964E-2</v>
      </c>
      <c r="W2883">
        <v>0.15670700000000001</v>
      </c>
      <c r="X2883">
        <v>0.98649070000000005</v>
      </c>
      <c r="Y2883">
        <v>0.1174256</v>
      </c>
      <c r="Z2883">
        <v>-7.3854009999999998E-3</v>
      </c>
      <c r="AA2883">
        <v>0.9930542</v>
      </c>
      <c r="AB2883">
        <v>39</v>
      </c>
      <c r="AC2883">
        <v>0.52539999999998999</v>
      </c>
      <c r="AD2883">
        <v>-9.8929000000000197E-2</v>
      </c>
      <c r="AE2883">
        <v>-0.103100000000011</v>
      </c>
      <c r="AF2883">
        <v>0.104397126841246</v>
      </c>
      <c r="AG2883">
        <v>-9.8929000000000197E-2</v>
      </c>
      <c r="AH2883">
        <v>0.50711017045412499</v>
      </c>
      <c r="AI2883">
        <v>100.817503485759</v>
      </c>
      <c r="AJ2883">
        <v>78.367223182876799</v>
      </c>
      <c r="AK2883">
        <v>0.52711140389078903</v>
      </c>
      <c r="AL2883">
        <v>80.984190171960194</v>
      </c>
      <c r="AM2883">
        <v>87.229423842711697</v>
      </c>
      <c r="AN2883">
        <v>1.0000000291314</v>
      </c>
    </row>
    <row r="2884" spans="1:40" x14ac:dyDescent="0.25">
      <c r="A2884" t="str">
        <f>"20190312164529002"</f>
        <v>20190312164529002</v>
      </c>
      <c r="B2884" t="str">
        <f>"1552380328994262"</f>
        <v>1552380328994262</v>
      </c>
      <c r="C2884" t="s">
        <v>40</v>
      </c>
      <c r="D2884">
        <v>4.070843</v>
      </c>
      <c r="E2884">
        <v>0.53393729999999995</v>
      </c>
      <c r="F2884" t="s">
        <v>41</v>
      </c>
      <c r="G2884">
        <v>-257.38339999999999</v>
      </c>
      <c r="H2884">
        <v>1.0133449999999999</v>
      </c>
      <c r="I2884">
        <v>213.85830000000001</v>
      </c>
      <c r="J2884">
        <v>-257.86970000000002</v>
      </c>
      <c r="K2884">
        <v>1.1091759999999999</v>
      </c>
      <c r="L2884">
        <v>213.9606</v>
      </c>
      <c r="M2884">
        <v>0.99985360000000001</v>
      </c>
      <c r="N2884">
        <v>0</v>
      </c>
      <c r="O2884">
        <v>9.6259009999999992E-3</v>
      </c>
      <c r="P2884">
        <v>0.98900940000000004</v>
      </c>
      <c r="Q2884">
        <v>0.14265510000000001</v>
      </c>
      <c r="R2884">
        <v>-3.8860430000000001E-2</v>
      </c>
      <c r="S2884">
        <v>3.0684200000000001</v>
      </c>
      <c r="T2884">
        <v>-0.33693420000000002</v>
      </c>
      <c r="U2884">
        <v>-0.34564210000000001</v>
      </c>
      <c r="V2884">
        <v>4.8250540000000001E-2</v>
      </c>
      <c r="W2884">
        <v>0.1566717</v>
      </c>
      <c r="X2884">
        <v>0.9864714</v>
      </c>
      <c r="Y2884">
        <v>0.12072430000000001</v>
      </c>
      <c r="Z2884">
        <v>-7.6384479999999999E-3</v>
      </c>
      <c r="AA2884">
        <v>0.99265669999999995</v>
      </c>
      <c r="AB2884">
        <v>39</v>
      </c>
      <c r="AC2884">
        <v>0.48630000000002799</v>
      </c>
      <c r="AD2884">
        <v>-9.5830999999999694E-2</v>
      </c>
      <c r="AE2884">
        <v>-0.102299999999985</v>
      </c>
      <c r="AF2884">
        <v>0.10314123209399</v>
      </c>
      <c r="AG2884">
        <v>-9.5830999999999694E-2</v>
      </c>
      <c r="AH2884">
        <v>0.46789284047423702</v>
      </c>
      <c r="AI2884">
        <v>101.31059698176701</v>
      </c>
      <c r="AJ2884">
        <v>77.568661840047696</v>
      </c>
      <c r="AK2884">
        <v>0.48861580458056803</v>
      </c>
      <c r="AL2884">
        <v>80.986237557772398</v>
      </c>
      <c r="AM2884">
        <v>87.199765939262505</v>
      </c>
      <c r="AN2884">
        <v>0.99999997960456999</v>
      </c>
    </row>
    <row r="2885" spans="1:40" x14ac:dyDescent="0.25">
      <c r="A2885" t="str">
        <f>"20190312164529019"</f>
        <v>20190312164529019</v>
      </c>
      <c r="B2885" t="str">
        <f>"1552380329014759"</f>
        <v>1552380329014759</v>
      </c>
      <c r="C2885" t="s">
        <v>40</v>
      </c>
      <c r="D2885">
        <v>4.1579199999999998</v>
      </c>
      <c r="E2885">
        <v>0.53484790000000004</v>
      </c>
      <c r="F2885" t="s">
        <v>41</v>
      </c>
      <c r="G2885">
        <v>-257.03559999999999</v>
      </c>
      <c r="H2885">
        <v>1.0184070000000001</v>
      </c>
      <c r="I2885">
        <v>213.8656</v>
      </c>
      <c r="J2885">
        <v>-257.57819999999998</v>
      </c>
      <c r="K2885">
        <v>1.1091930000000001</v>
      </c>
      <c r="L2885">
        <v>213.96369999999999</v>
      </c>
      <c r="M2885">
        <v>0.99985069999999998</v>
      </c>
      <c r="N2885">
        <v>0</v>
      </c>
      <c r="O2885">
        <v>9.9195840000000004E-3</v>
      </c>
      <c r="P2885">
        <v>0.9890139</v>
      </c>
      <c r="Q2885">
        <v>0.1426376</v>
      </c>
      <c r="R2885">
        <v>-3.8815080000000002E-2</v>
      </c>
      <c r="S2885">
        <v>3.0677490000000001</v>
      </c>
      <c r="T2885">
        <v>-0.33383439999999998</v>
      </c>
      <c r="U2885">
        <v>-0.34973140000000003</v>
      </c>
      <c r="V2885">
        <v>4.848968E-2</v>
      </c>
      <c r="W2885">
        <v>0.1566543</v>
      </c>
      <c r="X2885">
        <v>0.98646250000000002</v>
      </c>
      <c r="Y2885">
        <v>0.122349</v>
      </c>
      <c r="Z2885">
        <v>-7.6892969999999899E-3</v>
      </c>
      <c r="AA2885">
        <v>0.99245729999999999</v>
      </c>
      <c r="AB2885">
        <v>39</v>
      </c>
      <c r="AC2885">
        <v>0.54259999999999298</v>
      </c>
      <c r="AD2885">
        <v>-9.0786000000000006E-2</v>
      </c>
      <c r="AE2885">
        <v>-9.8099999999988002E-2</v>
      </c>
      <c r="AF2885">
        <v>0.100746954350422</v>
      </c>
      <c r="AG2885">
        <v>-9.0786000000000006E-2</v>
      </c>
      <c r="AH2885">
        <v>0.52730550107966601</v>
      </c>
      <c r="AI2885">
        <v>99.598516584181397</v>
      </c>
      <c r="AJ2885">
        <v>79.183430523390498</v>
      </c>
      <c r="AK2885">
        <v>0.54446592003151395</v>
      </c>
      <c r="AL2885">
        <v>80.987247529488499</v>
      </c>
      <c r="AM2885">
        <v>87.185884285654595</v>
      </c>
      <c r="AN2885">
        <v>1.00000004134062</v>
      </c>
    </row>
    <row r="2886" spans="1:40" x14ac:dyDescent="0.25">
      <c r="A2886" t="str">
        <f>"20190312164529035"</f>
        <v>20190312164529035</v>
      </c>
      <c r="B2886" t="str">
        <f>"1552380329024519"</f>
        <v>1552380329024519</v>
      </c>
      <c r="C2886" t="s">
        <v>40</v>
      </c>
      <c r="D2886">
        <v>4.4744419999999998</v>
      </c>
      <c r="E2886">
        <v>0.53484790000000004</v>
      </c>
      <c r="F2886" t="s">
        <v>41</v>
      </c>
      <c r="G2886">
        <v>-256.69299999999998</v>
      </c>
      <c r="H2886">
        <v>1.012529</v>
      </c>
      <c r="I2886">
        <v>213.86070000000001</v>
      </c>
      <c r="J2886">
        <v>-257.30009999999999</v>
      </c>
      <c r="K2886">
        <v>1.1092070000000001</v>
      </c>
      <c r="L2886">
        <v>213.9667</v>
      </c>
      <c r="M2886">
        <v>0.99984779999999995</v>
      </c>
      <c r="N2886">
        <v>0</v>
      </c>
      <c r="O2886">
        <v>1.0212850000000001E-2</v>
      </c>
      <c r="P2886">
        <v>0.98899570000000003</v>
      </c>
      <c r="Q2886">
        <v>0.14269399999999999</v>
      </c>
      <c r="R2886">
        <v>-3.9068579999999999E-2</v>
      </c>
      <c r="S2886">
        <v>3.067688</v>
      </c>
      <c r="T2886">
        <v>-0.33503230000000001</v>
      </c>
      <c r="U2886">
        <v>-0.35653689999999999</v>
      </c>
      <c r="V2886">
        <v>4.902695E-2</v>
      </c>
      <c r="W2886">
        <v>0.156711299999999</v>
      </c>
      <c r="X2886">
        <v>0.98642680000000005</v>
      </c>
      <c r="Y2886">
        <v>0.1247935</v>
      </c>
      <c r="Z2886">
        <v>-7.8803989999999997E-3</v>
      </c>
      <c r="AA2886">
        <v>0.99215140000000002</v>
      </c>
      <c r="AB2886">
        <v>39</v>
      </c>
      <c r="AC2886">
        <v>0.60710000000000197</v>
      </c>
      <c r="AD2886">
        <v>-9.6678E-2</v>
      </c>
      <c r="AE2886">
        <v>-0.105999999999994</v>
      </c>
      <c r="AF2886">
        <v>0.109500617454692</v>
      </c>
      <c r="AG2886">
        <v>-9.6678E-2</v>
      </c>
      <c r="AH2886">
        <v>0.59143116350619096</v>
      </c>
      <c r="AI2886">
        <v>99.131213576133405</v>
      </c>
      <c r="AJ2886">
        <v>79.510740235333998</v>
      </c>
      <c r="AK2886">
        <v>0.60920262809121695</v>
      </c>
      <c r="AL2886">
        <v>80.983940021989596</v>
      </c>
      <c r="AM2886">
        <v>87.154651783465397</v>
      </c>
      <c r="AN2886">
        <v>0.99999995256611496</v>
      </c>
    </row>
    <row r="2887" spans="1:40" x14ac:dyDescent="0.25">
      <c r="A2887" t="str">
        <f>"20190312164529051"</f>
        <v>20190312164529051</v>
      </c>
      <c r="B2887" t="str">
        <f>"1552380329044038"</f>
        <v>1552380329044038</v>
      </c>
      <c r="C2887" t="s">
        <v>40</v>
      </c>
      <c r="D2887">
        <v>4.4092349999999998</v>
      </c>
      <c r="E2887">
        <v>0.49848559999999997</v>
      </c>
      <c r="F2887" t="s">
        <v>41</v>
      </c>
      <c r="G2887">
        <v>-256.35120000000001</v>
      </c>
      <c r="H2887">
        <v>1.0056320000000001</v>
      </c>
      <c r="I2887">
        <v>213.8561</v>
      </c>
      <c r="J2887">
        <v>-257.00349999999997</v>
      </c>
      <c r="K2887">
        <v>1.109224</v>
      </c>
      <c r="L2887">
        <v>213.9701</v>
      </c>
      <c r="M2887">
        <v>0.99984439999999997</v>
      </c>
      <c r="N2887">
        <v>0</v>
      </c>
      <c r="O2887">
        <v>1.0539629999999999E-2</v>
      </c>
      <c r="P2887">
        <v>0.98895279999999997</v>
      </c>
      <c r="Q2887">
        <v>0.14300189999999999</v>
      </c>
      <c r="R2887">
        <v>-3.9025749999999998E-2</v>
      </c>
      <c r="S2887">
        <v>3.0675810000000001</v>
      </c>
      <c r="T2887">
        <v>-0.33491189999999998</v>
      </c>
      <c r="U2887">
        <v>-0.35739140000000003</v>
      </c>
      <c r="V2887">
        <v>4.9300089999999998E-2</v>
      </c>
      <c r="W2887">
        <v>0.15701879999999999</v>
      </c>
      <c r="X2887">
        <v>0.98636429999999997</v>
      </c>
      <c r="Y2887">
        <v>0.12538940000000001</v>
      </c>
      <c r="Z2887">
        <v>-7.9455240000000007E-3</v>
      </c>
      <c r="AA2887">
        <v>0.99207579999999995</v>
      </c>
      <c r="AB2887">
        <v>39</v>
      </c>
      <c r="AC2887">
        <v>0.65229999999996802</v>
      </c>
      <c r="AD2887">
        <v>-0.103591999999999</v>
      </c>
      <c r="AE2887">
        <v>-0.114000000000004</v>
      </c>
      <c r="AF2887">
        <v>0.11798195468675</v>
      </c>
      <c r="AG2887">
        <v>-0.103591999999999</v>
      </c>
      <c r="AH2887">
        <v>0.63550915578945799</v>
      </c>
      <c r="AI2887">
        <v>99.105238666209402</v>
      </c>
      <c r="AJ2887">
        <v>79.482804122999099</v>
      </c>
      <c r="AK2887">
        <v>0.65461662917156005</v>
      </c>
      <c r="AL2887">
        <v>80.966100853979398</v>
      </c>
      <c r="AM2887">
        <v>87.138644991553505</v>
      </c>
      <c r="AN2887">
        <v>0.99999996737096797</v>
      </c>
    </row>
    <row r="2888" spans="1:40" x14ac:dyDescent="0.25">
      <c r="A2888" t="str">
        <f>"20190312164529064"</f>
        <v>20190312164529064</v>
      </c>
      <c r="B2888" t="str">
        <f>"1552380329054775"</f>
        <v>1552380329054775</v>
      </c>
      <c r="C2888" t="s">
        <v>40</v>
      </c>
      <c r="D2888">
        <v>5.3146570000000004</v>
      </c>
      <c r="E2888">
        <v>0.49662489999999998</v>
      </c>
      <c r="F2888" t="s">
        <v>47</v>
      </c>
      <c r="G2888">
        <v>-225.3211</v>
      </c>
      <c r="H2888" s="1">
        <v>1.3587030000000001E-6</v>
      </c>
      <c r="I2888">
        <v>213.15549999999999</v>
      </c>
      <c r="J2888">
        <v>-256.78699999999998</v>
      </c>
      <c r="K2888">
        <v>1.1092360000000001</v>
      </c>
      <c r="L2888">
        <v>213.9726</v>
      </c>
      <c r="M2888">
        <v>0.99984170000000006</v>
      </c>
      <c r="N2888">
        <v>0</v>
      </c>
      <c r="O2888">
        <v>1.078783E-2</v>
      </c>
      <c r="P2888">
        <v>0.98892029999999997</v>
      </c>
      <c r="Q2888">
        <v>0.1432215</v>
      </c>
      <c r="R2888">
        <v>-3.9044589999999997E-2</v>
      </c>
      <c r="S2888">
        <v>3.0458069999999999</v>
      </c>
      <c r="T2888">
        <v>-0.10663590000000001</v>
      </c>
      <c r="U2888">
        <v>-7.830811E-2</v>
      </c>
      <c r="V2888">
        <v>4.9559060000000002E-2</v>
      </c>
      <c r="W2888">
        <v>0.157238299999999</v>
      </c>
      <c r="X2888">
        <v>0.98631639999999998</v>
      </c>
      <c r="Y2888">
        <v>3.6456559999999999E-2</v>
      </c>
      <c r="Z2888">
        <v>-1.0154420000000001E-3</v>
      </c>
      <c r="AA2888">
        <v>0.99933470000000002</v>
      </c>
      <c r="AB2888">
        <v>39</v>
      </c>
      <c r="AC2888">
        <v>31.465900000000001</v>
      </c>
      <c r="AD2888">
        <v>-1.109234641297</v>
      </c>
      <c r="AE2888">
        <v>-0.81710000000001004</v>
      </c>
      <c r="AF2888">
        <v>1.1551007295425799</v>
      </c>
      <c r="AG2888">
        <v>-1.109234641297</v>
      </c>
      <c r="AH2888">
        <v>31.416238332085801</v>
      </c>
      <c r="AI2888">
        <v>92.020777006557196</v>
      </c>
      <c r="AJ2888">
        <v>87.894318310923595</v>
      </c>
      <c r="AK2888">
        <v>31.457029264112901</v>
      </c>
      <c r="AL2888">
        <v>80.953366651210203</v>
      </c>
      <c r="AM2888">
        <v>87.123500210053606</v>
      </c>
      <c r="AN2888">
        <v>1.0000000121619601</v>
      </c>
    </row>
    <row r="2889" spans="1:40" x14ac:dyDescent="0.25">
      <c r="A2889" t="str">
        <f>"20190312164529081"</f>
        <v>20190312164529081</v>
      </c>
      <c r="B2889" t="str">
        <f>"1552380329074298"</f>
        <v>1552380329074298</v>
      </c>
      <c r="C2889" t="s">
        <v>40</v>
      </c>
      <c r="D2889">
        <v>4.8784720000000004</v>
      </c>
      <c r="E2889">
        <v>0.4989981</v>
      </c>
      <c r="F2889" t="s">
        <v>46</v>
      </c>
      <c r="G2889">
        <v>-200.9967</v>
      </c>
      <c r="H2889" s="1">
        <v>2.8210409999999998E-6</v>
      </c>
      <c r="I2889">
        <v>212.7628</v>
      </c>
      <c r="J2889">
        <v>-256.51960000000003</v>
      </c>
      <c r="K2889">
        <v>1.1092550000000001</v>
      </c>
      <c r="L2889">
        <v>213.97569999999999</v>
      </c>
      <c r="M2889">
        <v>0.99983840000000002</v>
      </c>
      <c r="N2889">
        <v>0</v>
      </c>
      <c r="O2889">
        <v>1.110294E-2</v>
      </c>
      <c r="P2889">
        <v>0.98885820000000002</v>
      </c>
      <c r="Q2889">
        <v>0.1436064</v>
      </c>
      <c r="R2889">
        <v>-3.9202010000000002E-2</v>
      </c>
      <c r="S2889">
        <v>3.0397949999999998</v>
      </c>
      <c r="T2889">
        <v>-6.04378E-2</v>
      </c>
      <c r="U2889">
        <v>-6.5917970000000006E-2</v>
      </c>
      <c r="V2889">
        <v>5.0021580000000003E-2</v>
      </c>
      <c r="W2889">
        <v>0.15762300000000001</v>
      </c>
      <c r="X2889">
        <v>0.98623159999999999</v>
      </c>
      <c r="Y2889">
        <v>3.2771349999999998E-2</v>
      </c>
      <c r="Z2889">
        <v>-5.4644120000000001E-4</v>
      </c>
      <c r="AA2889">
        <v>0.99946270000000004</v>
      </c>
      <c r="AB2889">
        <v>39</v>
      </c>
      <c r="AC2889">
        <v>55.5229</v>
      </c>
      <c r="AD2889">
        <v>-1.109252178959</v>
      </c>
      <c r="AE2889">
        <v>-1.2128999999999901</v>
      </c>
      <c r="AF2889">
        <v>1.82862476040293</v>
      </c>
      <c r="AG2889">
        <v>-1.109252178959</v>
      </c>
      <c r="AH2889">
        <v>55.483873993715299</v>
      </c>
      <c r="AI2889">
        <v>91.144702461963007</v>
      </c>
      <c r="AJ2889">
        <v>88.112342143462698</v>
      </c>
      <c r="AK2889">
        <v>55.525080659656503</v>
      </c>
      <c r="AL2889">
        <v>80.931046238043294</v>
      </c>
      <c r="AM2889">
        <v>87.096451199567198</v>
      </c>
      <c r="AN2889">
        <v>0.999999968716627</v>
      </c>
    </row>
    <row r="2890" spans="1:40" x14ac:dyDescent="0.25">
      <c r="A2890" t="str">
        <f>"20190312164529096"</f>
        <v>20190312164529096</v>
      </c>
      <c r="B2890" t="str">
        <f>"1552380329084054"</f>
        <v>1552380329084054</v>
      </c>
      <c r="C2890" t="s">
        <v>40</v>
      </c>
      <c r="D2890">
        <v>4.4014449999999998</v>
      </c>
      <c r="E2890">
        <v>0.50016850000000002</v>
      </c>
      <c r="F2890" t="s">
        <v>60</v>
      </c>
      <c r="G2890">
        <v>-121.2527</v>
      </c>
      <c r="H2890">
        <v>9.7412109999999996E-2</v>
      </c>
      <c r="I2890">
        <v>210.08529999999999</v>
      </c>
      <c r="J2890">
        <v>-256.24009999999998</v>
      </c>
      <c r="K2890">
        <v>1.1092709999999999</v>
      </c>
      <c r="L2890">
        <v>213.97909999999999</v>
      </c>
      <c r="M2890">
        <v>0.99983460000000002</v>
      </c>
      <c r="N2890">
        <v>0</v>
      </c>
      <c r="O2890">
        <v>1.144039E-2</v>
      </c>
      <c r="P2890">
        <v>0.98884740000000004</v>
      </c>
      <c r="Q2890">
        <v>0.1437602</v>
      </c>
      <c r="R2890">
        <v>-3.8908930000000001E-2</v>
      </c>
      <c r="S2890">
        <v>3.0336150000000002</v>
      </c>
      <c r="T2890">
        <v>-2.269185E-2</v>
      </c>
      <c r="U2890">
        <v>-8.7249759999999996E-2</v>
      </c>
      <c r="V2890">
        <v>5.0056629999999998E-2</v>
      </c>
      <c r="W2890">
        <v>0.15777649999999999</v>
      </c>
      <c r="X2890">
        <v>0.98620529999999995</v>
      </c>
      <c r="Y2890">
        <v>4.0182580000000002E-2</v>
      </c>
      <c r="Z2890">
        <v>-2.3581979999999999E-4</v>
      </c>
      <c r="AA2890">
        <v>0.99919230000000003</v>
      </c>
      <c r="AB2890">
        <v>39</v>
      </c>
      <c r="AC2890">
        <v>134.98739999999901</v>
      </c>
      <c r="AD2890">
        <v>-1.0118588899999901</v>
      </c>
      <c r="AE2890">
        <v>-3.8937999999999899</v>
      </c>
      <c r="AF2890">
        <v>5.4377027092033696</v>
      </c>
      <c r="AG2890">
        <v>-1.0118588899999901</v>
      </c>
      <c r="AH2890">
        <v>134.92643803959601</v>
      </c>
      <c r="AI2890">
        <v>90.429323833103794</v>
      </c>
      <c r="AJ2890">
        <v>87.692157978391805</v>
      </c>
      <c r="AK2890">
        <v>135.03975766869499</v>
      </c>
      <c r="AL2890">
        <v>80.922140104170396</v>
      </c>
      <c r="AM2890">
        <v>87.094342822184004</v>
      </c>
      <c r="AN2890">
        <v>0.99999999195364797</v>
      </c>
    </row>
    <row r="2891" spans="1:40" x14ac:dyDescent="0.25">
      <c r="A2891" t="str">
        <f>"20190312164529113"</f>
        <v>20190312164529113</v>
      </c>
      <c r="B2891" t="str">
        <f>"1552380329104275"</f>
        <v>1552380329104275</v>
      </c>
      <c r="C2891" t="s">
        <v>40</v>
      </c>
      <c r="D2891">
        <v>4.3946379999999996</v>
      </c>
      <c r="E2891">
        <v>0.50105409999999995</v>
      </c>
      <c r="F2891" t="s">
        <v>60</v>
      </c>
      <c r="G2891">
        <v>-137.6653</v>
      </c>
      <c r="H2891">
        <v>0.52800749999999996</v>
      </c>
      <c r="I2891">
        <v>210.22649999999999</v>
      </c>
      <c r="J2891">
        <v>-255.94980000000001</v>
      </c>
      <c r="K2891">
        <v>1.109283</v>
      </c>
      <c r="L2891">
        <v>213.9828</v>
      </c>
      <c r="M2891">
        <v>0.99983049999999996</v>
      </c>
      <c r="N2891">
        <v>0</v>
      </c>
      <c r="O2891">
        <v>1.179929E-2</v>
      </c>
      <c r="P2891">
        <v>0.98877910000000002</v>
      </c>
      <c r="Q2891">
        <v>0.1441779</v>
      </c>
      <c r="R2891">
        <v>-3.9099979999999999E-2</v>
      </c>
      <c r="S2891">
        <v>3.0321959999999999</v>
      </c>
      <c r="T2891">
        <v>-1.486325E-2</v>
      </c>
      <c r="U2891">
        <v>-9.5962519999999996E-2</v>
      </c>
      <c r="V2891">
        <v>5.0596460000000003E-2</v>
      </c>
      <c r="W2891">
        <v>0.15819269999999999</v>
      </c>
      <c r="X2891">
        <v>0.98611110000000002</v>
      </c>
      <c r="Y2891">
        <v>4.3423719999999999E-2</v>
      </c>
      <c r="Z2891">
        <v>-1.6423070000000001E-4</v>
      </c>
      <c r="AA2891">
        <v>0.99905679999999997</v>
      </c>
      <c r="AB2891">
        <v>39</v>
      </c>
      <c r="AC2891">
        <v>118.28449999999999</v>
      </c>
      <c r="AD2891">
        <v>-0.58127549999999995</v>
      </c>
      <c r="AE2891">
        <v>-3.7563</v>
      </c>
      <c r="AF2891">
        <v>5.1517267005360496</v>
      </c>
      <c r="AG2891">
        <v>-0.58127549999999995</v>
      </c>
      <c r="AH2891">
        <v>118.22908569376099</v>
      </c>
      <c r="AI2891">
        <v>90.281426454940402</v>
      </c>
      <c r="AJ2891">
        <v>87.504965946407395</v>
      </c>
      <c r="AK2891">
        <v>118.342700971317</v>
      </c>
      <c r="AL2891">
        <v>80.897990545348193</v>
      </c>
      <c r="AM2891">
        <v>87.062781599056905</v>
      </c>
      <c r="AN2891">
        <v>1.0000000168205101</v>
      </c>
    </row>
    <row r="2892" spans="1:40" x14ac:dyDescent="0.25">
      <c r="A2892" t="str">
        <f>"20190312164529131"</f>
        <v>20190312164529131</v>
      </c>
      <c r="B2892" t="str">
        <f>"1552380329124771"</f>
        <v>1552380329124771</v>
      </c>
      <c r="C2892" t="s">
        <v>40</v>
      </c>
      <c r="D2892">
        <v>4.6911559999999897</v>
      </c>
      <c r="E2892">
        <v>0.5025231</v>
      </c>
      <c r="F2892" t="s">
        <v>43</v>
      </c>
      <c r="G2892">
        <v>-139.3185</v>
      </c>
      <c r="H2892">
        <v>-0.05</v>
      </c>
      <c r="I2892">
        <v>210.03389999999999</v>
      </c>
      <c r="J2892">
        <v>-255.6532</v>
      </c>
      <c r="K2892">
        <v>1.1092959999999901</v>
      </c>
      <c r="L2892">
        <v>213.98660000000001</v>
      </c>
      <c r="M2892">
        <v>0.99982599999999999</v>
      </c>
      <c r="N2892">
        <v>0</v>
      </c>
      <c r="O2892">
        <v>1.217295E-2</v>
      </c>
      <c r="P2892">
        <v>0.98876160000000002</v>
      </c>
      <c r="Q2892">
        <v>0.14436399999999999</v>
      </c>
      <c r="R2892">
        <v>-3.8854760000000002E-2</v>
      </c>
      <c r="S2892">
        <v>3.0343930000000001</v>
      </c>
      <c r="T2892">
        <v>-3.016102E-2</v>
      </c>
      <c r="U2892">
        <v>-0.10273740000000001</v>
      </c>
      <c r="V2892">
        <v>5.0715639999999999E-2</v>
      </c>
      <c r="W2892">
        <v>0.15837870000000001</v>
      </c>
      <c r="X2892">
        <v>0.98607509999999998</v>
      </c>
      <c r="Y2892">
        <v>4.6000079999999999E-2</v>
      </c>
      <c r="Z2892">
        <v>-3.4951710000000002E-4</v>
      </c>
      <c r="AA2892">
        <v>0.99894139999999998</v>
      </c>
      <c r="AB2892">
        <v>39</v>
      </c>
      <c r="AC2892">
        <v>116.3347</v>
      </c>
      <c r="AD2892">
        <v>-1.1592960000000001</v>
      </c>
      <c r="AE2892">
        <v>-3.9527000000000201</v>
      </c>
      <c r="AF2892">
        <v>5.3681525770184297</v>
      </c>
      <c r="AG2892">
        <v>-1.1592960000000001</v>
      </c>
      <c r="AH2892">
        <v>116.26642535457501</v>
      </c>
      <c r="AI2892">
        <v>90.570671090290205</v>
      </c>
      <c r="AJ2892">
        <v>87.356466354410998</v>
      </c>
      <c r="AK2892">
        <v>116.396059615593</v>
      </c>
      <c r="AL2892">
        <v>80.887197272790502</v>
      </c>
      <c r="AM2892">
        <v>87.055767840630097</v>
      </c>
      <c r="AN2892">
        <v>0.99999999579715404</v>
      </c>
    </row>
    <row r="2893" spans="1:40" x14ac:dyDescent="0.25">
      <c r="A2893" t="str">
        <f>"20190312164529147"</f>
        <v>20190312164529147</v>
      </c>
      <c r="B2893" t="str">
        <f>"1552380329134532"</f>
        <v>1552380329134532</v>
      </c>
      <c r="C2893" t="s">
        <v>40</v>
      </c>
      <c r="D2893">
        <v>4.4226470000000004</v>
      </c>
      <c r="E2893">
        <v>0.5027298</v>
      </c>
      <c r="F2893" t="s">
        <v>60</v>
      </c>
      <c r="G2893">
        <v>-151.66810000000001</v>
      </c>
      <c r="H2893">
        <v>-3.4257889999999999E-2</v>
      </c>
      <c r="I2893">
        <v>210.09370000000001</v>
      </c>
      <c r="J2893">
        <v>-255.37280000000001</v>
      </c>
      <c r="K2893">
        <v>1.109305</v>
      </c>
      <c r="L2893">
        <v>213.99029999999999</v>
      </c>
      <c r="M2893">
        <v>0.99982159999999998</v>
      </c>
      <c r="N2893">
        <v>0</v>
      </c>
      <c r="O2893">
        <v>1.2530950000000001E-2</v>
      </c>
      <c r="P2893">
        <v>0.98873129999999998</v>
      </c>
      <c r="Q2893">
        <v>0.14456640000000001</v>
      </c>
      <c r="R2893">
        <v>-3.8875930000000003E-2</v>
      </c>
      <c r="S2893">
        <v>3.0345149999999999</v>
      </c>
      <c r="T2893">
        <v>-3.3370379999999998E-2</v>
      </c>
      <c r="U2893">
        <v>-0.1136017</v>
      </c>
      <c r="V2893">
        <v>5.1086560000000003E-2</v>
      </c>
      <c r="W2893">
        <v>0.1585802</v>
      </c>
      <c r="X2893">
        <v>0.9860236</v>
      </c>
      <c r="Y2893">
        <v>4.9927029999999997E-2</v>
      </c>
      <c r="Z2893">
        <v>-4.1218649999999999E-4</v>
      </c>
      <c r="AA2893">
        <v>0.9987528</v>
      </c>
      <c r="AB2893">
        <v>38</v>
      </c>
      <c r="AC2893">
        <v>103.7047</v>
      </c>
      <c r="AD2893">
        <v>-1.1435628900000001</v>
      </c>
      <c r="AE2893">
        <v>-3.8965999999999701</v>
      </c>
      <c r="AF2893">
        <v>5.1953113665104897</v>
      </c>
      <c r="AG2893">
        <v>-1.1435628900000001</v>
      </c>
      <c r="AH2893">
        <v>103.63513900984201</v>
      </c>
      <c r="AI2893">
        <v>90.631412307393802</v>
      </c>
      <c r="AJ2893">
        <v>87.130119808389495</v>
      </c>
      <c r="AK2893">
        <v>103.771581051209</v>
      </c>
      <c r="AL2893">
        <v>80.875504699142894</v>
      </c>
      <c r="AM2893">
        <v>87.0341182297405</v>
      </c>
      <c r="AN2893">
        <v>1.0000000281008099</v>
      </c>
    </row>
    <row r="2894" spans="1:40" x14ac:dyDescent="0.25">
      <c r="A2894" t="str">
        <f>"20190312164529170"</f>
        <v>20190312164529170</v>
      </c>
      <c r="B2894" t="str">
        <f>"1552380329164787"</f>
        <v>1552380329164787</v>
      </c>
      <c r="C2894" t="s">
        <v>40</v>
      </c>
      <c r="D2894">
        <v>4.6674069999999999</v>
      </c>
      <c r="E2894">
        <v>0.50315829999999995</v>
      </c>
      <c r="F2894" t="s">
        <v>60</v>
      </c>
      <c r="G2894">
        <v>-151.66820000000001</v>
      </c>
      <c r="H2894">
        <v>0.13595769999999999</v>
      </c>
      <c r="I2894">
        <v>210.03720000000001</v>
      </c>
      <c r="J2894">
        <v>-254.9742</v>
      </c>
      <c r="K2894">
        <v>1.109318</v>
      </c>
      <c r="L2894">
        <v>213.9958</v>
      </c>
      <c r="M2894">
        <v>0.99981500000000001</v>
      </c>
      <c r="N2894">
        <v>0</v>
      </c>
      <c r="O2894">
        <v>1.304465E-2</v>
      </c>
      <c r="P2894">
        <v>0.98872530000000003</v>
      </c>
      <c r="Q2894">
        <v>0.14462149999999999</v>
      </c>
      <c r="R2894">
        <v>-3.8821069999999999E-2</v>
      </c>
      <c r="S2894">
        <v>3.0338289999999999</v>
      </c>
      <c r="T2894">
        <v>-2.8473729999999999E-2</v>
      </c>
      <c r="U2894">
        <v>-0.1156464</v>
      </c>
      <c r="V2894">
        <v>5.153551E-2</v>
      </c>
      <c r="W2894">
        <v>0.15863429999999901</v>
      </c>
      <c r="X2894">
        <v>0.98599150000000002</v>
      </c>
      <c r="Y2894">
        <v>5.1121699999999999E-2</v>
      </c>
      <c r="Z2894">
        <v>-3.622063E-4</v>
      </c>
      <c r="AA2894">
        <v>0.99869240000000004</v>
      </c>
      <c r="AB2894">
        <v>38</v>
      </c>
      <c r="AC2894">
        <v>103.305999999999</v>
      </c>
      <c r="AD2894">
        <v>-0.97336029999999996</v>
      </c>
      <c r="AE2894">
        <v>-3.9585999999999899</v>
      </c>
      <c r="AF2894">
        <v>5.3055180615366799</v>
      </c>
      <c r="AG2894">
        <v>-0.97336029999999996</v>
      </c>
      <c r="AH2894">
        <v>103.236413243774</v>
      </c>
      <c r="AI2894">
        <v>90.539482996725596</v>
      </c>
      <c r="AJ2894">
        <v>87.058047770476506</v>
      </c>
      <c r="AK2894">
        <v>103.37723623513099</v>
      </c>
      <c r="AL2894">
        <v>80.872364943818894</v>
      </c>
      <c r="AM2894">
        <v>87.008003906484902</v>
      </c>
      <c r="AN2894">
        <v>0.99999999399984996</v>
      </c>
    </row>
    <row r="2895" spans="1:40" x14ac:dyDescent="0.25">
      <c r="A2895" t="str">
        <f>"20190312164529191"</f>
        <v>20190312164529191</v>
      </c>
      <c r="B2895" t="str">
        <f>"1552380329184307"</f>
        <v>1552380329184307</v>
      </c>
      <c r="C2895" t="s">
        <v>40</v>
      </c>
      <c r="D2895">
        <v>4.6514629999999997</v>
      </c>
      <c r="E2895">
        <v>0.50331150000000002</v>
      </c>
      <c r="F2895" t="s">
        <v>60</v>
      </c>
      <c r="G2895">
        <v>-151.66829999999999</v>
      </c>
      <c r="H2895">
        <v>0.37368770000000001</v>
      </c>
      <c r="I2895">
        <v>209.93629999999999</v>
      </c>
      <c r="J2895">
        <v>-254.60079999999999</v>
      </c>
      <c r="K2895">
        <v>1.109324</v>
      </c>
      <c r="L2895">
        <v>214.00110000000001</v>
      </c>
      <c r="M2895">
        <v>0.99980849999999999</v>
      </c>
      <c r="N2895">
        <v>0</v>
      </c>
      <c r="O2895">
        <v>1.35294E-2</v>
      </c>
      <c r="P2895">
        <v>0.98869260000000003</v>
      </c>
      <c r="Q2895">
        <v>0.14489250000000001</v>
      </c>
      <c r="R2895">
        <v>-3.8641790000000002E-2</v>
      </c>
      <c r="S2895">
        <v>3.0326689999999998</v>
      </c>
      <c r="T2895">
        <v>-2.1594289999999999E-2</v>
      </c>
      <c r="U2895">
        <v>-0.1191711</v>
      </c>
      <c r="V2895">
        <v>5.1831660000000002E-2</v>
      </c>
      <c r="W2895">
        <v>0.15890360000000001</v>
      </c>
      <c r="X2895">
        <v>0.98593260000000005</v>
      </c>
      <c r="Y2895">
        <v>5.2780540000000001E-2</v>
      </c>
      <c r="Z2895">
        <v>-2.841508E-4</v>
      </c>
      <c r="AA2895">
        <v>0.99860610000000005</v>
      </c>
      <c r="AB2895">
        <v>38</v>
      </c>
      <c r="AC2895">
        <v>102.9325</v>
      </c>
      <c r="AD2895">
        <v>-0.73563629999999902</v>
      </c>
      <c r="AE2895">
        <v>-4.0648000000000204</v>
      </c>
      <c r="AF2895">
        <v>5.4569037941837397</v>
      </c>
      <c r="AG2895">
        <v>-0.73563629999999902</v>
      </c>
      <c r="AH2895">
        <v>102.862831564789</v>
      </c>
      <c r="AI2895">
        <v>90.409175534941099</v>
      </c>
      <c r="AJ2895">
        <v>86.9632885022897</v>
      </c>
      <c r="AK2895">
        <v>103.010101821671</v>
      </c>
      <c r="AL2895">
        <v>80.856736863568102</v>
      </c>
      <c r="AM2895">
        <v>86.990662403354506</v>
      </c>
      <c r="AN2895">
        <v>0.999999983407037</v>
      </c>
    </row>
    <row r="2896" spans="1:40" x14ac:dyDescent="0.25">
      <c r="A2896" t="str">
        <f>"20190312164529208"</f>
        <v>20190312164529208</v>
      </c>
      <c r="B2896" t="str">
        <f>"1552380329204397"</f>
        <v>1552380329204397</v>
      </c>
      <c r="C2896" t="s">
        <v>40</v>
      </c>
      <c r="D2896">
        <v>4.7160060000000001</v>
      </c>
      <c r="E2896">
        <v>0.50361</v>
      </c>
      <c r="F2896" t="s">
        <v>60</v>
      </c>
      <c r="G2896">
        <v>-151.66829999999999</v>
      </c>
      <c r="H2896">
        <v>0.40578649999999999</v>
      </c>
      <c r="I2896">
        <v>209.94280000000001</v>
      </c>
      <c r="J2896">
        <v>-254.32050000000001</v>
      </c>
      <c r="K2896">
        <v>1.109332</v>
      </c>
      <c r="L2896">
        <v>214.0052</v>
      </c>
      <c r="M2896">
        <v>0.99980369999999996</v>
      </c>
      <c r="N2896">
        <v>0</v>
      </c>
      <c r="O2896">
        <v>1.389376E-2</v>
      </c>
      <c r="P2896">
        <v>0.98867210000000005</v>
      </c>
      <c r="Q2896">
        <v>0.1450497</v>
      </c>
      <c r="R2896">
        <v>-3.8578010000000003E-2</v>
      </c>
      <c r="S2896">
        <v>3.032654</v>
      </c>
      <c r="T2896">
        <v>-2.0727039999999999E-2</v>
      </c>
      <c r="U2896">
        <v>-0.1195679</v>
      </c>
      <c r="V2896">
        <v>5.2125949999999997E-2</v>
      </c>
      <c r="W2896">
        <v>0.15905939999999999</v>
      </c>
      <c r="X2896">
        <v>0.98589199999999999</v>
      </c>
      <c r="Y2896">
        <v>5.3275210000000003E-2</v>
      </c>
      <c r="Z2896">
        <v>-2.7691940000000001E-4</v>
      </c>
      <c r="AA2896">
        <v>0.99857980000000002</v>
      </c>
      <c r="AB2896">
        <v>38</v>
      </c>
      <c r="AC2896">
        <v>102.65219999999999</v>
      </c>
      <c r="AD2896">
        <v>-0.70354549999999905</v>
      </c>
      <c r="AE2896">
        <v>-4.0623999999999896</v>
      </c>
      <c r="AF2896">
        <v>5.4881177522294902</v>
      </c>
      <c r="AG2896">
        <v>-0.70354549999999905</v>
      </c>
      <c r="AH2896">
        <v>102.58103108876701</v>
      </c>
      <c r="AI2896">
        <v>90.392392161070802</v>
      </c>
      <c r="AJ2896">
        <v>86.937577208159297</v>
      </c>
      <c r="AK2896">
        <v>102.730143346378</v>
      </c>
      <c r="AL2896">
        <v>80.847695536820495</v>
      </c>
      <c r="AM2896">
        <v>86.973483250279799</v>
      </c>
      <c r="AN2896">
        <v>1.0000000215278799</v>
      </c>
    </row>
    <row r="2897" spans="1:40" x14ac:dyDescent="0.25">
      <c r="A2897" t="str">
        <f>"20190312164529225"</f>
        <v>20190312164529225</v>
      </c>
      <c r="B2897" t="str">
        <f>"1552380329214156"</f>
        <v>1552380329214156</v>
      </c>
      <c r="C2897" t="s">
        <v>40</v>
      </c>
      <c r="D2897">
        <v>4.946434</v>
      </c>
      <c r="E2897">
        <v>0.50374079999999999</v>
      </c>
      <c r="F2897" t="s">
        <v>60</v>
      </c>
      <c r="G2897">
        <v>-151.66829999999999</v>
      </c>
      <c r="H2897">
        <v>0.14921379999999901</v>
      </c>
      <c r="I2897">
        <v>209.89959999999999</v>
      </c>
      <c r="J2897">
        <v>-254.0317</v>
      </c>
      <c r="K2897">
        <v>1.109337</v>
      </c>
      <c r="L2897">
        <v>214.00960000000001</v>
      </c>
      <c r="M2897">
        <v>0.99979839999999998</v>
      </c>
      <c r="N2897">
        <v>0</v>
      </c>
      <c r="O2897">
        <v>1.426961E-2</v>
      </c>
      <c r="P2897">
        <v>0.98866220000000005</v>
      </c>
      <c r="Q2897">
        <v>0.14512849999999999</v>
      </c>
      <c r="R2897">
        <v>-3.853608E-2</v>
      </c>
      <c r="S2897">
        <v>3.033798</v>
      </c>
      <c r="T2897">
        <v>-2.8374429999999999E-2</v>
      </c>
      <c r="U2897">
        <v>-0.121337899999999</v>
      </c>
      <c r="V2897">
        <v>5.2453949999999999E-2</v>
      </c>
      <c r="W2897">
        <v>0.1591371</v>
      </c>
      <c r="X2897">
        <v>0.98586200000000002</v>
      </c>
      <c r="Y2897">
        <v>5.4215999999999903E-2</v>
      </c>
      <c r="Z2897">
        <v>-3.868519E-4</v>
      </c>
      <c r="AA2897">
        <v>0.99852909999999995</v>
      </c>
      <c r="AB2897">
        <v>38</v>
      </c>
      <c r="AC2897">
        <v>102.3634</v>
      </c>
      <c r="AD2897">
        <v>-0.96012319999999995</v>
      </c>
      <c r="AE2897">
        <v>-4.1100000000000101</v>
      </c>
      <c r="AF2897">
        <v>5.5699237701167696</v>
      </c>
      <c r="AG2897">
        <v>-0.96012319999999995</v>
      </c>
      <c r="AH2897">
        <v>102.28533755390001</v>
      </c>
      <c r="AI2897">
        <v>90.537007730979695</v>
      </c>
      <c r="AJ2897">
        <v>86.883050417175099</v>
      </c>
      <c r="AK2897">
        <v>102.441379168183</v>
      </c>
      <c r="AL2897">
        <v>80.843185634199699</v>
      </c>
      <c r="AM2897">
        <v>86.954382279179299</v>
      </c>
      <c r="AN2897">
        <v>0.99999995825550503</v>
      </c>
    </row>
    <row r="2898" spans="1:40" x14ac:dyDescent="0.25">
      <c r="A2898" t="str">
        <f>"20190312164529247"</f>
        <v>20190312164529247</v>
      </c>
      <c r="B2898" t="str">
        <f>"1552380329244413"</f>
        <v>1552380329244413</v>
      </c>
      <c r="C2898" t="s">
        <v>40</v>
      </c>
      <c r="D2898">
        <v>4.9219900000000001</v>
      </c>
      <c r="E2898">
        <v>0.50399700000000003</v>
      </c>
      <c r="F2898" t="s">
        <v>60</v>
      </c>
      <c r="G2898">
        <v>-151.66829999999999</v>
      </c>
      <c r="H2898">
        <v>0.15452769999999999</v>
      </c>
      <c r="I2898">
        <v>209.87530000000001</v>
      </c>
      <c r="J2898">
        <v>-253.65610000000001</v>
      </c>
      <c r="K2898">
        <v>1.1093360000000001</v>
      </c>
      <c r="L2898">
        <v>214.0154</v>
      </c>
      <c r="M2898">
        <v>0.9997914</v>
      </c>
      <c r="N2898">
        <v>0</v>
      </c>
      <c r="O2898">
        <v>1.4758E-2</v>
      </c>
      <c r="P2898">
        <v>0.98864759999999996</v>
      </c>
      <c r="Q2898">
        <v>0.1452242</v>
      </c>
      <c r="R2898">
        <v>-3.8552660000000002E-2</v>
      </c>
      <c r="S2898">
        <v>3.0337679999999998</v>
      </c>
      <c r="T2898">
        <v>-2.8296950000000001E-2</v>
      </c>
      <c r="U2898">
        <v>-0.1225281</v>
      </c>
      <c r="V2898">
        <v>5.2951360000000003E-2</v>
      </c>
      <c r="W2898">
        <v>0.15923080000000001</v>
      </c>
      <c r="X2898">
        <v>0.98582029999999998</v>
      </c>
      <c r="Y2898">
        <v>5.5095199999999997E-2</v>
      </c>
      <c r="Z2898">
        <v>-3.9444909999999998E-4</v>
      </c>
      <c r="AA2898">
        <v>0.99848099999999995</v>
      </c>
      <c r="AB2898">
        <v>38</v>
      </c>
      <c r="AC2898">
        <v>101.98779999999999</v>
      </c>
      <c r="AD2898">
        <v>-0.95480830000000005</v>
      </c>
      <c r="AE2898">
        <v>-4.1400999999999897</v>
      </c>
      <c r="AF2898">
        <v>5.6444411336954596</v>
      </c>
      <c r="AG2898">
        <v>-0.95480830000000005</v>
      </c>
      <c r="AH2898">
        <v>101.90666799895</v>
      </c>
      <c r="AI2898">
        <v>90.535992098926897</v>
      </c>
      <c r="AJ2898">
        <v>86.829721258261202</v>
      </c>
      <c r="AK2898">
        <v>102.067332468571</v>
      </c>
      <c r="AL2898">
        <v>80.837747871848293</v>
      </c>
      <c r="AM2898">
        <v>86.925426661754003</v>
      </c>
      <c r="AN2898">
        <v>0.99999997904328897</v>
      </c>
    </row>
    <row r="2899" spans="1:40" x14ac:dyDescent="0.25">
      <c r="A2899" t="str">
        <f>"20190312164529263"</f>
        <v>20190312164529263</v>
      </c>
      <c r="B2899" t="str">
        <f>"1552380329255149"</f>
        <v>1552380329255149</v>
      </c>
      <c r="C2899" t="s">
        <v>40</v>
      </c>
      <c r="D2899">
        <v>5.0594299999999999</v>
      </c>
      <c r="E2899">
        <v>0.50414599999999998</v>
      </c>
      <c r="F2899" t="s">
        <v>60</v>
      </c>
      <c r="G2899">
        <v>-151.66829999999999</v>
      </c>
      <c r="H2899">
        <v>0.23653979999999999</v>
      </c>
      <c r="I2899">
        <v>209.82140000000001</v>
      </c>
      <c r="J2899">
        <v>-253.37370000000001</v>
      </c>
      <c r="K2899">
        <v>1.1093379999999999</v>
      </c>
      <c r="L2899">
        <v>214.01990000000001</v>
      </c>
      <c r="M2899">
        <v>0.99978579999999995</v>
      </c>
      <c r="N2899">
        <v>0</v>
      </c>
      <c r="O2899">
        <v>1.5125309999999999E-2</v>
      </c>
      <c r="P2899">
        <v>0.98866609999999999</v>
      </c>
      <c r="Q2899">
        <v>0.1451865</v>
      </c>
      <c r="R2899">
        <v>-3.8213909999999997E-2</v>
      </c>
      <c r="S2899">
        <v>3.033401</v>
      </c>
      <c r="T2899">
        <v>-2.5958419999999999E-2</v>
      </c>
      <c r="U2899">
        <v>-0.12474059999999999</v>
      </c>
      <c r="V2899">
        <v>5.2975389999999997E-2</v>
      </c>
      <c r="W2899">
        <v>0.15919220000000001</v>
      </c>
      <c r="X2899">
        <v>0.98582519999999996</v>
      </c>
      <c r="Y2899">
        <v>5.6194359999999999E-2</v>
      </c>
      <c r="Z2899">
        <v>-3.6973399999999998E-4</v>
      </c>
      <c r="AA2899">
        <v>0.99841979999999997</v>
      </c>
      <c r="AB2899">
        <v>38</v>
      </c>
      <c r="AC2899">
        <v>101.7054</v>
      </c>
      <c r="AD2899">
        <v>-0.87279819999999997</v>
      </c>
      <c r="AE2899">
        <v>-4.1984999999999904</v>
      </c>
      <c r="AF2899">
        <v>5.7360771449773402</v>
      </c>
      <c r="AG2899">
        <v>-0.87279819999999997</v>
      </c>
      <c r="AH2899">
        <v>101.622782017616</v>
      </c>
      <c r="AI2899">
        <v>90.491296890684197</v>
      </c>
      <c r="AJ2899">
        <v>86.769379469713797</v>
      </c>
      <c r="AK2899">
        <v>101.78828116591301</v>
      </c>
      <c r="AL2899">
        <v>80.839987672746403</v>
      </c>
      <c r="AM2899">
        <v>86.924049319692003</v>
      </c>
      <c r="AN2899">
        <v>0.99999993672076404</v>
      </c>
    </row>
    <row r="2900" spans="1:40" x14ac:dyDescent="0.25">
      <c r="A2900" t="str">
        <f>"20190312164529276"</f>
        <v>20190312164529276</v>
      </c>
      <c r="B2900" t="str">
        <f>"1552380329264908"</f>
        <v>1552380329264908</v>
      </c>
      <c r="C2900" t="s">
        <v>40</v>
      </c>
      <c r="D2900">
        <v>4.724628</v>
      </c>
      <c r="E2900">
        <v>0.50424029999999997</v>
      </c>
      <c r="F2900" t="s">
        <v>60</v>
      </c>
      <c r="G2900">
        <v>-151.66829999999999</v>
      </c>
      <c r="H2900">
        <v>0.24782560000000001</v>
      </c>
      <c r="I2900">
        <v>209.8365</v>
      </c>
      <c r="J2900">
        <v>-253.1634</v>
      </c>
      <c r="K2900">
        <v>1.109343</v>
      </c>
      <c r="L2900">
        <v>214.02340000000001</v>
      </c>
      <c r="M2900">
        <v>0.99978180000000005</v>
      </c>
      <c r="N2900">
        <v>0</v>
      </c>
      <c r="O2900">
        <v>1.539867E-2</v>
      </c>
      <c r="P2900">
        <v>0.98868480000000003</v>
      </c>
      <c r="Q2900">
        <v>0.145034</v>
      </c>
      <c r="R2900">
        <v>-3.831027E-2</v>
      </c>
      <c r="S2900">
        <v>3.0333709999999998</v>
      </c>
      <c r="T2900">
        <v>-2.569366E-2</v>
      </c>
      <c r="U2900">
        <v>-0.1247711</v>
      </c>
      <c r="V2900">
        <v>5.3341739999999999E-2</v>
      </c>
      <c r="W2900">
        <v>0.15903919999999999</v>
      </c>
      <c r="X2900">
        <v>0.98583019999999999</v>
      </c>
      <c r="Y2900">
        <v>5.6477819999999998E-2</v>
      </c>
      <c r="Z2900">
        <v>-3.694813E-4</v>
      </c>
      <c r="AA2900">
        <v>0.99840379999999995</v>
      </c>
      <c r="AB2900">
        <v>38</v>
      </c>
      <c r="AC2900">
        <v>101.49509999999999</v>
      </c>
      <c r="AD2900">
        <v>-0.86151739999999999</v>
      </c>
      <c r="AE2900">
        <v>-4.1868999999999996</v>
      </c>
      <c r="AF2900">
        <v>5.7490352213656504</v>
      </c>
      <c r="AG2900">
        <v>-0.86151739999999999</v>
      </c>
      <c r="AH2900">
        <v>101.41129022611401</v>
      </c>
      <c r="AI2900">
        <v>90.4859518248509</v>
      </c>
      <c r="AJ2900">
        <v>86.755358664104804</v>
      </c>
      <c r="AK2900">
        <v>101.57777022327301</v>
      </c>
      <c r="AL2900">
        <v>80.848867596648105</v>
      </c>
      <c r="AM2900">
        <v>86.902834608655397</v>
      </c>
      <c r="AN2900">
        <v>0.99999999579745302</v>
      </c>
    </row>
    <row r="2901" spans="1:40" x14ac:dyDescent="0.25">
      <c r="A2901" t="str">
        <f>"20190312164529290"</f>
        <v>20190312164529290</v>
      </c>
      <c r="B2901" t="str">
        <f>"1552380329284429"</f>
        <v>1552380329284429</v>
      </c>
      <c r="C2901" t="s">
        <v>40</v>
      </c>
      <c r="D2901">
        <v>4.7001210000000002</v>
      </c>
      <c r="E2901">
        <v>0.50427529999999998</v>
      </c>
      <c r="F2901" t="s">
        <v>60</v>
      </c>
      <c r="G2901">
        <v>-151.66829999999999</v>
      </c>
      <c r="H2901">
        <v>0.24398230000000001</v>
      </c>
      <c r="I2901">
        <v>209.80959999999999</v>
      </c>
      <c r="J2901">
        <v>-252.9272</v>
      </c>
      <c r="K2901">
        <v>1.109343</v>
      </c>
      <c r="L2901">
        <v>214.0273</v>
      </c>
      <c r="M2901">
        <v>0.99977700000000003</v>
      </c>
      <c r="N2901">
        <v>0</v>
      </c>
      <c r="O2901">
        <v>1.5705770000000001E-2</v>
      </c>
      <c r="P2901">
        <v>0.98868730000000005</v>
      </c>
      <c r="Q2901">
        <v>0.145093</v>
      </c>
      <c r="R2901">
        <v>-3.8021810000000003E-2</v>
      </c>
      <c r="S2901">
        <v>3.033264</v>
      </c>
      <c r="T2901">
        <v>-2.5861019999999998E-2</v>
      </c>
      <c r="U2901">
        <v>-0.12593080000000001</v>
      </c>
      <c r="V2901">
        <v>5.3356260000000003E-2</v>
      </c>
      <c r="W2901">
        <v>0.1590966</v>
      </c>
      <c r="X2901">
        <v>0.98582020000000004</v>
      </c>
      <c r="Y2901">
        <v>5.7166920000000003E-2</v>
      </c>
      <c r="Z2901">
        <v>-3.7745200000000002E-4</v>
      </c>
      <c r="AA2901">
        <v>0.99836460000000005</v>
      </c>
      <c r="AB2901">
        <v>38</v>
      </c>
      <c r="AC2901">
        <v>101.2589</v>
      </c>
      <c r="AD2901">
        <v>-0.86536069999999998</v>
      </c>
      <c r="AE2901">
        <v>-4.2176999999999998</v>
      </c>
      <c r="AF2901">
        <v>5.8072637548969102</v>
      </c>
      <c r="AG2901">
        <v>-0.86536069999999998</v>
      </c>
      <c r="AH2901">
        <v>101.17278278111201</v>
      </c>
      <c r="AI2901">
        <v>90.489250513794502</v>
      </c>
      <c r="AJ2901">
        <v>86.714857511117799</v>
      </c>
      <c r="AK2901">
        <v>101.343007342066</v>
      </c>
      <c r="AL2901">
        <v>80.845536837760605</v>
      </c>
      <c r="AM2901">
        <v>86.901961815827505</v>
      </c>
      <c r="AN2901">
        <v>1.0000000426703901</v>
      </c>
    </row>
    <row r="2902" spans="1:40" x14ac:dyDescent="0.25">
      <c r="A2902" t="str">
        <f>"20190312164529302"</f>
        <v>20190312164529302</v>
      </c>
      <c r="B2902" t="str">
        <f>"1552380329294188"</f>
        <v>1552380329294188</v>
      </c>
      <c r="C2902" t="s">
        <v>40</v>
      </c>
      <c r="D2902">
        <v>4.7569220000000003</v>
      </c>
      <c r="E2902">
        <v>0.5042875</v>
      </c>
      <c r="F2902" t="s">
        <v>60</v>
      </c>
      <c r="G2902">
        <v>-151.66829999999999</v>
      </c>
      <c r="H2902">
        <v>0.29105379999999997</v>
      </c>
      <c r="I2902">
        <v>209.84549999999999</v>
      </c>
      <c r="J2902">
        <v>-252.70009999999999</v>
      </c>
      <c r="K2902">
        <v>1.109345</v>
      </c>
      <c r="L2902">
        <v>214.03110000000001</v>
      </c>
      <c r="M2902">
        <v>0.99977229999999995</v>
      </c>
      <c r="N2902">
        <v>0</v>
      </c>
      <c r="O2902">
        <v>1.600213E-2</v>
      </c>
      <c r="P2902">
        <v>0.98876529999999996</v>
      </c>
      <c r="Q2902">
        <v>0.14450289999999999</v>
      </c>
      <c r="R2902">
        <v>-3.8245250000000001E-2</v>
      </c>
      <c r="S2902">
        <v>3.033096</v>
      </c>
      <c r="T2902">
        <v>-2.4509909999999999E-2</v>
      </c>
      <c r="U2902">
        <v>-0.12525939999999999</v>
      </c>
      <c r="V2902">
        <v>5.3873860000000003E-2</v>
      </c>
      <c r="W2902">
        <v>0.1585068</v>
      </c>
      <c r="X2902">
        <v>0.98588710000000002</v>
      </c>
      <c r="Y2902">
        <v>5.7244789999999997E-2</v>
      </c>
      <c r="Z2902">
        <v>-3.604627E-4</v>
      </c>
      <c r="AA2902">
        <v>0.99836009999999997</v>
      </c>
      <c r="AB2902">
        <v>38</v>
      </c>
      <c r="AC2902">
        <v>101.0318</v>
      </c>
      <c r="AD2902">
        <v>-0.818291199999999</v>
      </c>
      <c r="AE2902">
        <v>-4.1856000000000204</v>
      </c>
      <c r="AF2902">
        <v>5.8015691444636497</v>
      </c>
      <c r="AG2902">
        <v>-0.818291199999999</v>
      </c>
      <c r="AH2902">
        <v>100.945265290774</v>
      </c>
      <c r="AI2902">
        <v>90.463680685238003</v>
      </c>
      <c r="AJ2902">
        <v>86.710691066036304</v>
      </c>
      <c r="AK2902">
        <v>101.11515410486599</v>
      </c>
      <c r="AL2902">
        <v>80.879764616266797</v>
      </c>
      <c r="AM2902">
        <v>86.872179510130493</v>
      </c>
      <c r="AN2902">
        <v>1.00000008619197</v>
      </c>
    </row>
    <row r="2903" spans="1:40" x14ac:dyDescent="0.25">
      <c r="A2903" t="str">
        <f>"20190312164529319"</f>
        <v>20190312164529319</v>
      </c>
      <c r="B2903" t="str">
        <f>"1552380329314684"</f>
        <v>1552380329314684</v>
      </c>
      <c r="C2903" t="s">
        <v>40</v>
      </c>
      <c r="D2903">
        <v>4.8188589999999998</v>
      </c>
      <c r="E2903">
        <v>0.50425109999999995</v>
      </c>
      <c r="F2903" t="s">
        <v>60</v>
      </c>
      <c r="G2903">
        <v>-151.66829999999999</v>
      </c>
      <c r="H2903">
        <v>0.2476006</v>
      </c>
      <c r="I2903">
        <v>209.8383</v>
      </c>
      <c r="J2903">
        <v>-252.42400000000001</v>
      </c>
      <c r="K2903">
        <v>1.109348</v>
      </c>
      <c r="L2903">
        <v>214.0359</v>
      </c>
      <c r="M2903">
        <v>0.99976640000000006</v>
      </c>
      <c r="N2903">
        <v>0</v>
      </c>
      <c r="O2903">
        <v>1.6363539999999999E-2</v>
      </c>
      <c r="P2903">
        <v>0.98877329999999997</v>
      </c>
      <c r="Q2903">
        <v>0.14447760000000001</v>
      </c>
      <c r="R2903">
        <v>-3.8127479999999998E-2</v>
      </c>
      <c r="S2903">
        <v>3.0330050000000002</v>
      </c>
      <c r="T2903">
        <v>-2.5868769999999999E-2</v>
      </c>
      <c r="U2903">
        <v>-0.1258698</v>
      </c>
      <c r="V2903">
        <v>5.4112960000000002E-2</v>
      </c>
      <c r="W2903">
        <v>0.15847990000000001</v>
      </c>
      <c r="X2903">
        <v>0.98587820000000004</v>
      </c>
      <c r="Y2903">
        <v>5.780718E-2</v>
      </c>
      <c r="Z2903">
        <v>-3.8593550000000002E-4</v>
      </c>
      <c r="AA2903">
        <v>0.99832770000000004</v>
      </c>
      <c r="AB2903">
        <v>38</v>
      </c>
      <c r="AC2903">
        <v>100.7557</v>
      </c>
      <c r="AD2903">
        <v>-0.86174740000000005</v>
      </c>
      <c r="AE2903">
        <v>-4.1975999999999898</v>
      </c>
      <c r="AF2903">
        <v>5.8454953134403</v>
      </c>
      <c r="AG2903">
        <v>-0.86174740000000005</v>
      </c>
      <c r="AH2903">
        <v>100.666161436191</v>
      </c>
      <c r="AI2903">
        <v>90.489640761140706</v>
      </c>
      <c r="AJ2903">
        <v>86.676673438110001</v>
      </c>
      <c r="AK2903">
        <v>100.839419287985</v>
      </c>
      <c r="AL2903">
        <v>80.881324426239402</v>
      </c>
      <c r="AM2903">
        <v>86.8582972314465</v>
      </c>
      <c r="AN2903">
        <v>0.99999995818960496</v>
      </c>
    </row>
    <row r="2904" spans="1:40" x14ac:dyDescent="0.25">
      <c r="A2904" t="str">
        <f>"20190312164529337"</f>
        <v>20190312164529337</v>
      </c>
      <c r="B2904" t="str">
        <f>"1552380329334204"</f>
        <v>1552380329334204</v>
      </c>
      <c r="C2904" t="s">
        <v>40</v>
      </c>
      <c r="D2904">
        <v>4.8589570000000002</v>
      </c>
      <c r="E2904">
        <v>0.50429269999999904</v>
      </c>
      <c r="F2904" t="s">
        <v>60</v>
      </c>
      <c r="G2904">
        <v>-151.66829999999999</v>
      </c>
      <c r="H2904">
        <v>0.34019280000000002</v>
      </c>
      <c r="I2904">
        <v>209.8758</v>
      </c>
      <c r="J2904">
        <v>-252.12010000000001</v>
      </c>
      <c r="K2904">
        <v>1.1093470000000001</v>
      </c>
      <c r="L2904">
        <v>214.0412</v>
      </c>
      <c r="M2904">
        <v>0.99975970000000003</v>
      </c>
      <c r="N2904">
        <v>0</v>
      </c>
      <c r="O2904">
        <v>1.6762610000000001E-2</v>
      </c>
      <c r="P2904">
        <v>0.98874169999999995</v>
      </c>
      <c r="Q2904">
        <v>0.1446479</v>
      </c>
      <c r="R2904">
        <v>-3.8301479999999999E-2</v>
      </c>
      <c r="S2904">
        <v>3.0326390000000001</v>
      </c>
      <c r="T2904">
        <v>-2.314973E-2</v>
      </c>
      <c r="U2904">
        <v>-0.12521360000000001</v>
      </c>
      <c r="V2904">
        <v>5.4679810000000002E-2</v>
      </c>
      <c r="W2904">
        <v>0.15864890000000001</v>
      </c>
      <c r="X2904">
        <v>0.98581980000000002</v>
      </c>
      <c r="Y2904">
        <v>5.7995570000000003E-2</v>
      </c>
      <c r="Z2904">
        <v>-3.4917880000000001E-4</v>
      </c>
      <c r="AA2904">
        <v>0.9983168</v>
      </c>
      <c r="AB2904">
        <v>38</v>
      </c>
      <c r="AC2904">
        <v>100.45180000000001</v>
      </c>
      <c r="AD2904">
        <v>-0.76915419999999901</v>
      </c>
      <c r="AE2904">
        <v>-4.1654</v>
      </c>
      <c r="AF2904">
        <v>5.8484747165839304</v>
      </c>
      <c r="AG2904">
        <v>-0.76915419999999901</v>
      </c>
      <c r="AH2904">
        <v>100.36197951111799</v>
      </c>
      <c r="AI2904">
        <v>90.4383512089871</v>
      </c>
      <c r="AJ2904">
        <v>86.664928456900995</v>
      </c>
      <c r="AK2904">
        <v>100.535183821804</v>
      </c>
      <c r="AL2904">
        <v>80.871517903994402</v>
      </c>
      <c r="AM2904">
        <v>86.825266211431298</v>
      </c>
      <c r="AN2904">
        <v>1.0000000165824401</v>
      </c>
    </row>
    <row r="2905" spans="1:40" x14ac:dyDescent="0.25">
      <c r="A2905" t="str">
        <f>"20190312164529360"</f>
        <v>20190312164529360</v>
      </c>
      <c r="B2905" t="str">
        <f>"1552380329354700"</f>
        <v>1552380329354700</v>
      </c>
      <c r="C2905" t="s">
        <v>40</v>
      </c>
      <c r="D2905">
        <v>4.8591610000000003</v>
      </c>
      <c r="E2905">
        <v>0.50430889999999995</v>
      </c>
      <c r="F2905" t="s">
        <v>60</v>
      </c>
      <c r="G2905">
        <v>-151.66839999999999</v>
      </c>
      <c r="H2905">
        <v>0.46964260000000002</v>
      </c>
      <c r="I2905">
        <v>209.85599999999999</v>
      </c>
      <c r="J2905">
        <v>-251.7296</v>
      </c>
      <c r="K2905">
        <v>1.1093500000000001</v>
      </c>
      <c r="L2905">
        <v>214.04820000000001</v>
      </c>
      <c r="M2905">
        <v>0.99975119999999895</v>
      </c>
      <c r="N2905">
        <v>0</v>
      </c>
      <c r="O2905">
        <v>1.7277629999999999E-2</v>
      </c>
      <c r="P2905">
        <v>0.98870639999999999</v>
      </c>
      <c r="Q2905">
        <v>0.14481449999999901</v>
      </c>
      <c r="R2905">
        <v>-3.8582680000000001E-2</v>
      </c>
      <c r="S2905">
        <v>3.0320740000000002</v>
      </c>
      <c r="T2905">
        <v>-1.930809E-2</v>
      </c>
      <c r="U2905">
        <v>-0.12632750000000001</v>
      </c>
      <c r="V2905">
        <v>5.5468030000000002E-2</v>
      </c>
      <c r="W2905">
        <v>0.1588137</v>
      </c>
      <c r="X2905">
        <v>0.98574919999999999</v>
      </c>
      <c r="Y2905">
        <v>5.8884239999999997E-2</v>
      </c>
      <c r="Z2905">
        <v>-2.9739369999999998E-4</v>
      </c>
      <c r="AA2905">
        <v>0.99826479999999995</v>
      </c>
      <c r="AB2905">
        <v>38</v>
      </c>
      <c r="AC2905">
        <v>100.0612</v>
      </c>
      <c r="AD2905">
        <v>-0.63970740000000004</v>
      </c>
      <c r="AE2905">
        <v>-4.1922000000000104</v>
      </c>
      <c r="AF2905">
        <v>5.9203250066723001</v>
      </c>
      <c r="AG2905">
        <v>-0.63970740000000004</v>
      </c>
      <c r="AH2905">
        <v>99.969743608092301</v>
      </c>
      <c r="AI2905">
        <v>90.365990056998498</v>
      </c>
      <c r="AJ2905">
        <v>86.610835401632499</v>
      </c>
      <c r="AK2905">
        <v>100.146937600757</v>
      </c>
      <c r="AL2905">
        <v>80.861954060930501</v>
      </c>
      <c r="AM2905">
        <v>86.779367292622993</v>
      </c>
      <c r="AN2905">
        <v>0.99999998948020496</v>
      </c>
    </row>
    <row r="2906" spans="1:40" x14ac:dyDescent="0.25">
      <c r="A2906" t="str">
        <f>"20190312164529383"</f>
        <v>20190312164529383</v>
      </c>
      <c r="B2906" t="str">
        <f>"1552380329374220"</f>
        <v>1552380329374220</v>
      </c>
      <c r="C2906" t="s">
        <v>40</v>
      </c>
      <c r="D2906">
        <v>4.749187</v>
      </c>
      <c r="E2906">
        <v>0.50437469999999995</v>
      </c>
      <c r="F2906" t="s">
        <v>60</v>
      </c>
      <c r="G2906">
        <v>-151.66839999999999</v>
      </c>
      <c r="H2906">
        <v>0.50966449999999996</v>
      </c>
      <c r="I2906">
        <v>209.85749999999999</v>
      </c>
      <c r="J2906">
        <v>-251.34739999999999</v>
      </c>
      <c r="K2906">
        <v>1.109359</v>
      </c>
      <c r="L2906">
        <v>214.05529999999999</v>
      </c>
      <c r="M2906">
        <v>0.99974220000000003</v>
      </c>
      <c r="N2906">
        <v>0</v>
      </c>
      <c r="O2906">
        <v>1.7784290000000001E-2</v>
      </c>
      <c r="P2906">
        <v>0.98870590000000003</v>
      </c>
      <c r="Q2906">
        <v>0.1447695</v>
      </c>
      <c r="R2906">
        <v>-3.8764340000000001E-2</v>
      </c>
      <c r="S2906">
        <v>3.0319669999999999</v>
      </c>
      <c r="T2906">
        <v>-1.8170120000000001E-2</v>
      </c>
      <c r="U2906">
        <v>-0.1269836</v>
      </c>
      <c r="V2906">
        <v>5.6149539999999998E-2</v>
      </c>
      <c r="W2906">
        <v>0.15876660000000001</v>
      </c>
      <c r="X2906">
        <v>0.98571819999999999</v>
      </c>
      <c r="Y2906">
        <v>5.9607390000000003E-2</v>
      </c>
      <c r="Z2906">
        <v>-2.8507640000000002E-4</v>
      </c>
      <c r="AA2906">
        <v>0.9982219</v>
      </c>
      <c r="AB2906">
        <v>38</v>
      </c>
      <c r="AC2906">
        <v>99.679000000000002</v>
      </c>
      <c r="AD2906">
        <v>-0.59969449999999902</v>
      </c>
      <c r="AE2906">
        <v>-4.1978</v>
      </c>
      <c r="AF2906">
        <v>5.9698171548085304</v>
      </c>
      <c r="AG2906">
        <v>-0.59969449999999902</v>
      </c>
      <c r="AH2906">
        <v>99.584971863086096</v>
      </c>
      <c r="AI2906">
        <v>90.344409174928202</v>
      </c>
      <c r="AJ2906">
        <v>86.5693972384651</v>
      </c>
      <c r="AK2906">
        <v>99.765550022674802</v>
      </c>
      <c r="AL2906">
        <v>80.864687348267296</v>
      </c>
      <c r="AM2906">
        <v>86.739779400035303</v>
      </c>
      <c r="AN2906">
        <v>0.99999998696450498</v>
      </c>
    </row>
    <row r="2907" spans="1:40" x14ac:dyDescent="0.25">
      <c r="A2907" t="str">
        <f>"20190312164529403"</f>
        <v>20190312164529403</v>
      </c>
      <c r="B2907" t="str">
        <f>"1552380329394716"</f>
        <v>1552380329394716</v>
      </c>
      <c r="C2907" t="s">
        <v>40</v>
      </c>
      <c r="D2907">
        <v>4.7355090000000004</v>
      </c>
      <c r="E2907">
        <v>0.50446859999999905</v>
      </c>
      <c r="F2907" t="s">
        <v>60</v>
      </c>
      <c r="G2907">
        <v>-151.66839999999999</v>
      </c>
      <c r="H2907">
        <v>0.58812330000000002</v>
      </c>
      <c r="I2907">
        <v>209.8329</v>
      </c>
      <c r="J2907">
        <v>-250.99260000000001</v>
      </c>
      <c r="K2907">
        <v>1.109362</v>
      </c>
      <c r="L2907">
        <v>214.06209999999999</v>
      </c>
      <c r="M2907">
        <v>0.99973369999999995</v>
      </c>
      <c r="N2907">
        <v>0</v>
      </c>
      <c r="O2907">
        <v>1.8256910000000001E-2</v>
      </c>
      <c r="P2907">
        <v>0.98867309999999997</v>
      </c>
      <c r="Q2907">
        <v>0.14498339999999901</v>
      </c>
      <c r="R2907">
        <v>-3.8800500000000002E-2</v>
      </c>
      <c r="S2907">
        <v>3.031555</v>
      </c>
      <c r="T2907">
        <v>-1.5851380000000002E-2</v>
      </c>
      <c r="U2907">
        <v>-0.128418</v>
      </c>
      <c r="V2907">
        <v>5.665125E-2</v>
      </c>
      <c r="W2907">
        <v>0.15897890000000001</v>
      </c>
      <c r="X2907">
        <v>0.98565530000000001</v>
      </c>
      <c r="Y2907">
        <v>6.0556720000000001E-2</v>
      </c>
      <c r="Z2907">
        <v>-2.5368020000000001E-4</v>
      </c>
      <c r="AA2907">
        <v>0.99816470000000002</v>
      </c>
      <c r="AB2907">
        <v>38</v>
      </c>
      <c r="AC2907">
        <v>99.324200000000005</v>
      </c>
      <c r="AD2907">
        <v>-0.52123870000000005</v>
      </c>
      <c r="AE2907">
        <v>-4.2291999999999899</v>
      </c>
      <c r="AF2907">
        <v>6.04186251208833</v>
      </c>
      <c r="AG2907">
        <v>-0.52123870000000005</v>
      </c>
      <c r="AH2907">
        <v>99.227694614486495</v>
      </c>
      <c r="AI2907">
        <v>90.300413074021705</v>
      </c>
      <c r="AJ2907">
        <v>86.515626351931502</v>
      </c>
      <c r="AK2907">
        <v>99.412832023351697</v>
      </c>
      <c r="AL2907">
        <v>80.852367210319201</v>
      </c>
      <c r="AM2907">
        <v>86.710502759484996</v>
      </c>
      <c r="AN2907">
        <v>1.00000001259493</v>
      </c>
    </row>
    <row r="2908" spans="1:40" x14ac:dyDescent="0.25">
      <c r="A2908" t="str">
        <f>"20190312164529420"</f>
        <v>20190312164529420</v>
      </c>
      <c r="B2908" t="str">
        <f>"1552380329414236"</f>
        <v>1552380329414236</v>
      </c>
      <c r="C2908" t="s">
        <v>40</v>
      </c>
      <c r="D2908">
        <v>4.5071079999999997</v>
      </c>
      <c r="E2908">
        <v>0.50453950000000003</v>
      </c>
      <c r="F2908" t="s">
        <v>60</v>
      </c>
      <c r="G2908">
        <v>-151.66849999999999</v>
      </c>
      <c r="H2908">
        <v>0.67931750000000002</v>
      </c>
      <c r="I2908">
        <v>209.80109999999999</v>
      </c>
      <c r="J2908">
        <v>-250.7123</v>
      </c>
      <c r="K2908">
        <v>1.109364</v>
      </c>
      <c r="L2908">
        <v>214.0676</v>
      </c>
      <c r="M2908">
        <v>0.99972689999999997</v>
      </c>
      <c r="N2908">
        <v>0</v>
      </c>
      <c r="O2908">
        <v>1.8631890000000002E-2</v>
      </c>
      <c r="P2908">
        <v>0.9886585</v>
      </c>
      <c r="Q2908">
        <v>0.1451219</v>
      </c>
      <c r="R2908">
        <v>-3.8653409999999999E-2</v>
      </c>
      <c r="S2908">
        <v>3.031158</v>
      </c>
      <c r="T2908">
        <v>-1.3123040000000001E-2</v>
      </c>
      <c r="U2908">
        <v>-0.1300354</v>
      </c>
      <c r="V2908">
        <v>5.687391E-2</v>
      </c>
      <c r="W2908">
        <v>0.15911600000000001</v>
      </c>
      <c r="X2908">
        <v>0.9856203</v>
      </c>
      <c r="Y2908">
        <v>6.1468580000000002E-2</v>
      </c>
      <c r="Z2908">
        <v>-2.1363830000000001E-4</v>
      </c>
      <c r="AA2908">
        <v>0.99810900000000002</v>
      </c>
      <c r="AB2908">
        <v>38</v>
      </c>
      <c r="AC2908">
        <v>99.043800000000005</v>
      </c>
      <c r="AD2908">
        <v>-0.4300465</v>
      </c>
      <c r="AE2908">
        <v>-4.2664999999999997</v>
      </c>
      <c r="AF2908">
        <v>6.1112010449242797</v>
      </c>
      <c r="AG2908">
        <v>-0.4300465</v>
      </c>
      <c r="AH2908">
        <v>98.945240880673396</v>
      </c>
      <c r="AI2908">
        <v>90.248549923768806</v>
      </c>
      <c r="AJ2908">
        <v>86.465703617483499</v>
      </c>
      <c r="AK2908">
        <v>99.134718495278506</v>
      </c>
      <c r="AL2908">
        <v>80.844410188977307</v>
      </c>
      <c r="AM2908">
        <v>86.697485388561901</v>
      </c>
      <c r="AN2908">
        <v>0.99999995943338804</v>
      </c>
    </row>
    <row r="2909" spans="1:40" x14ac:dyDescent="0.25">
      <c r="A2909" t="str">
        <f>"20190312164529432"</f>
        <v>20190312164529432</v>
      </c>
      <c r="B2909" t="str">
        <f>"1552380329424972"</f>
        <v>1552380329424972</v>
      </c>
      <c r="C2909" t="s">
        <v>40</v>
      </c>
      <c r="D2909">
        <v>4.7074470000000002</v>
      </c>
      <c r="E2909">
        <v>0.50458409999999998</v>
      </c>
      <c r="F2909" t="s">
        <v>60</v>
      </c>
      <c r="G2909">
        <v>-151.66849999999999</v>
      </c>
      <c r="H2909">
        <v>0.73919299999999999</v>
      </c>
      <c r="I2909">
        <v>209.81489999999999</v>
      </c>
      <c r="J2909">
        <v>-250.4906</v>
      </c>
      <c r="K2909">
        <v>1.1093660000000001</v>
      </c>
      <c r="L2909">
        <v>214.072</v>
      </c>
      <c r="M2909">
        <v>0.99972130000000003</v>
      </c>
      <c r="N2909">
        <v>0</v>
      </c>
      <c r="O2909">
        <v>1.8928779999999999E-2</v>
      </c>
      <c r="P2909">
        <v>0.9886298</v>
      </c>
      <c r="Q2909">
        <v>0.14524189999999901</v>
      </c>
      <c r="R2909">
        <v>-3.8939769999999999E-2</v>
      </c>
      <c r="S2909">
        <v>3.0309750000000002</v>
      </c>
      <c r="T2909">
        <v>-1.1327149999999999E-2</v>
      </c>
      <c r="U2909">
        <v>-0.13014220000000001</v>
      </c>
      <c r="V2909">
        <v>5.7452589999999998E-2</v>
      </c>
      <c r="W2909">
        <v>0.1592346</v>
      </c>
      <c r="X2909">
        <v>0.98556759999999999</v>
      </c>
      <c r="Y2909">
        <v>6.1802860000000001E-2</v>
      </c>
      <c r="Z2909">
        <v>-1.861466E-4</v>
      </c>
      <c r="AA2909">
        <v>0.99808839999999999</v>
      </c>
      <c r="AB2909">
        <v>38</v>
      </c>
      <c r="AC2909">
        <v>98.822100000000006</v>
      </c>
      <c r="AD2909">
        <v>-0.37017299999999997</v>
      </c>
      <c r="AE2909">
        <v>-4.2571000000000003</v>
      </c>
      <c r="AF2909">
        <v>6.12701927443113</v>
      </c>
      <c r="AG2909">
        <v>-0.37017299999999997</v>
      </c>
      <c r="AH2909">
        <v>98.722418595211593</v>
      </c>
      <c r="AI2909">
        <v>90.214424669702595</v>
      </c>
      <c r="AJ2909">
        <v>86.448601461398695</v>
      </c>
      <c r="AK2909">
        <v>98.913059433663094</v>
      </c>
      <c r="AL2909">
        <v>80.837527306416405</v>
      </c>
      <c r="AM2909">
        <v>86.663780532427296</v>
      </c>
      <c r="AN2909">
        <v>0.99999997605231306</v>
      </c>
    </row>
    <row r="2910" spans="1:40" x14ac:dyDescent="0.25">
      <c r="A2910" t="str">
        <f>"20190312164529448"</f>
        <v>20190312164529448</v>
      </c>
      <c r="B2910" t="str">
        <f>"1552380329444493"</f>
        <v>1552380329444493</v>
      </c>
      <c r="C2910" t="s">
        <v>40</v>
      </c>
      <c r="D2910">
        <v>4.6975800000000003</v>
      </c>
      <c r="E2910">
        <v>0.50462439999999997</v>
      </c>
      <c r="F2910" t="s">
        <v>60</v>
      </c>
      <c r="G2910">
        <v>-151.66849999999999</v>
      </c>
      <c r="H2910">
        <v>0.77926249999999997</v>
      </c>
      <c r="I2910">
        <v>209.7867</v>
      </c>
      <c r="J2910">
        <v>-250.22460000000001</v>
      </c>
      <c r="K2910">
        <v>1.1093649999999999</v>
      </c>
      <c r="L2910">
        <v>214.07730000000001</v>
      </c>
      <c r="M2910">
        <v>0.99971460000000001</v>
      </c>
      <c r="N2910">
        <v>0</v>
      </c>
      <c r="O2910">
        <v>1.9285750000000001E-2</v>
      </c>
      <c r="P2910">
        <v>0.98858480000000004</v>
      </c>
      <c r="Q2910">
        <v>0.14534859999999999</v>
      </c>
      <c r="R2910">
        <v>-3.9675630000000003E-2</v>
      </c>
      <c r="S2910">
        <v>3.0308069999999998</v>
      </c>
      <c r="T2910">
        <v>-1.012301E-2</v>
      </c>
      <c r="U2910">
        <v>-0.13142400000000001</v>
      </c>
      <c r="V2910">
        <v>5.8539969999999997E-2</v>
      </c>
      <c r="W2910">
        <v>0.15934000000000001</v>
      </c>
      <c r="X2910">
        <v>0.98548659999999999</v>
      </c>
      <c r="Y2910">
        <v>6.2583029999999998E-2</v>
      </c>
      <c r="Z2910">
        <v>-1.6886040000000001E-4</v>
      </c>
      <c r="AA2910">
        <v>0.99803969999999997</v>
      </c>
      <c r="AB2910">
        <v>38</v>
      </c>
      <c r="AC2910">
        <v>98.556100000000001</v>
      </c>
      <c r="AD2910">
        <v>-0.33010250000000002</v>
      </c>
      <c r="AE2910">
        <v>-4.2906000000000102</v>
      </c>
      <c r="AF2910">
        <v>6.1906497717530797</v>
      </c>
      <c r="AG2910">
        <v>-0.33010250000000002</v>
      </c>
      <c r="AH2910">
        <v>98.453908095681001</v>
      </c>
      <c r="AI2910">
        <v>90.191725560888898</v>
      </c>
      <c r="AJ2910">
        <v>86.402054958170098</v>
      </c>
      <c r="AK2910">
        <v>98.6488982785404</v>
      </c>
      <c r="AL2910">
        <v>80.831410462794494</v>
      </c>
      <c r="AM2910">
        <v>86.600505323274504</v>
      </c>
      <c r="AN2910">
        <v>1.0000000012335799</v>
      </c>
    </row>
    <row r="2911" spans="1:40" x14ac:dyDescent="0.25">
      <c r="A2911" t="str">
        <f>"20190312164529472"</f>
        <v>20190312164529472</v>
      </c>
      <c r="B2911" t="str">
        <f>"1552380329464988"</f>
        <v>1552380329464988</v>
      </c>
      <c r="C2911" t="s">
        <v>40</v>
      </c>
      <c r="D2911">
        <v>4.7001470000000003</v>
      </c>
      <c r="E2911">
        <v>0.50470209999999904</v>
      </c>
      <c r="F2911" t="s">
        <v>60</v>
      </c>
      <c r="G2911">
        <v>-151.66849999999999</v>
      </c>
      <c r="H2911">
        <v>0.81905559999999999</v>
      </c>
      <c r="I2911">
        <v>209.74039999999999</v>
      </c>
      <c r="J2911">
        <v>-249.83539999999999</v>
      </c>
      <c r="K2911">
        <v>1.1093679999999999</v>
      </c>
      <c r="L2911">
        <v>214.08529999999999</v>
      </c>
      <c r="M2911">
        <v>0.99970440000000005</v>
      </c>
      <c r="N2911">
        <v>0</v>
      </c>
      <c r="O2911">
        <v>1.980842E-2</v>
      </c>
      <c r="P2911">
        <v>0.98864750000000001</v>
      </c>
      <c r="Q2911">
        <v>0.1449201</v>
      </c>
      <c r="R2911">
        <v>-3.9679810000000003E-2</v>
      </c>
      <c r="S2911">
        <v>3.0306090000000001</v>
      </c>
      <c r="T2911">
        <v>-8.9260339999999994E-3</v>
      </c>
      <c r="U2911">
        <v>-0.1333618</v>
      </c>
      <c r="V2911">
        <v>5.9062120000000003E-2</v>
      </c>
      <c r="W2911">
        <v>0.15890969999999999</v>
      </c>
      <c r="X2911">
        <v>0.98552490000000004</v>
      </c>
      <c r="Y2911">
        <v>6.3744659999999995E-2</v>
      </c>
      <c r="Z2911">
        <v>-1.5215030000000001E-4</v>
      </c>
      <c r="AA2911">
        <v>0.99796620000000003</v>
      </c>
      <c r="AB2911">
        <v>38</v>
      </c>
      <c r="AC2911">
        <v>98.166899999999998</v>
      </c>
      <c r="AD2911">
        <v>-0.29031240000000003</v>
      </c>
      <c r="AE2911">
        <v>-4.3448999999999902</v>
      </c>
      <c r="AF2911">
        <v>6.2887168838729801</v>
      </c>
      <c r="AG2911">
        <v>-0.29031240000000003</v>
      </c>
      <c r="AH2911">
        <v>98.060705133107504</v>
      </c>
      <c r="AI2911">
        <v>90.169278069902902</v>
      </c>
      <c r="AJ2911">
        <v>86.330597619133499</v>
      </c>
      <c r="AK2911">
        <v>98.262577477579796</v>
      </c>
      <c r="AL2911">
        <v>80.856382808091993</v>
      </c>
      <c r="AM2911">
        <v>86.5703884056026</v>
      </c>
      <c r="AN2911">
        <v>0.99999997764649695</v>
      </c>
    </row>
    <row r="2912" spans="1:40" x14ac:dyDescent="0.25">
      <c r="A2912" t="str">
        <f>"20190312164529494"</f>
        <v>20190312164529494</v>
      </c>
      <c r="B2912" t="str">
        <f>"1552380329484509"</f>
        <v>1552380329484509</v>
      </c>
      <c r="C2912" t="s">
        <v>40</v>
      </c>
      <c r="D2912">
        <v>4.6347040000000002</v>
      </c>
      <c r="E2912">
        <v>0.50479700000000005</v>
      </c>
      <c r="F2912" t="s">
        <v>60</v>
      </c>
      <c r="G2912">
        <v>-151.66849999999999</v>
      </c>
      <c r="H2912">
        <v>0.81844329999999998</v>
      </c>
      <c r="I2912">
        <v>209.73599999999999</v>
      </c>
      <c r="J2912">
        <v>-249.45849999999999</v>
      </c>
      <c r="K2912">
        <v>1.1093679999999999</v>
      </c>
      <c r="L2912">
        <v>214.0933</v>
      </c>
      <c r="M2912">
        <v>0.99969419999999998</v>
      </c>
      <c r="N2912">
        <v>0</v>
      </c>
      <c r="O2912">
        <v>2.0314869999999999E-2</v>
      </c>
      <c r="P2912">
        <v>0.98866980000000004</v>
      </c>
      <c r="Q2912">
        <v>0.14470469999999999</v>
      </c>
      <c r="R2912">
        <v>-3.9909979999999998E-2</v>
      </c>
      <c r="S2912">
        <v>3.0303800000000001</v>
      </c>
      <c r="T2912">
        <v>-8.9796779999999996E-3</v>
      </c>
      <c r="U2912">
        <v>-0.1342621</v>
      </c>
      <c r="V2912">
        <v>5.9793329999999999E-2</v>
      </c>
      <c r="W2912">
        <v>0.15869320000000001</v>
      </c>
      <c r="X2912">
        <v>0.98551569999999999</v>
      </c>
      <c r="Y2912">
        <v>6.4549410000000002E-2</v>
      </c>
      <c r="Z2912">
        <v>-1.5576730000000001E-4</v>
      </c>
      <c r="AA2912">
        <v>0.99791450000000004</v>
      </c>
      <c r="AB2912">
        <v>38</v>
      </c>
      <c r="AC2912">
        <v>97.79</v>
      </c>
      <c r="AD2912">
        <v>-0.29092469999999998</v>
      </c>
      <c r="AE2912">
        <v>-4.3573000000000004</v>
      </c>
      <c r="AF2912">
        <v>6.3431332298566803</v>
      </c>
      <c r="AG2912">
        <v>-0.29092469999999998</v>
      </c>
      <c r="AH2912">
        <v>97.680425633792794</v>
      </c>
      <c r="AI2912">
        <v>90.1702866665687</v>
      </c>
      <c r="AJ2912">
        <v>86.2845657756923</v>
      </c>
      <c r="AK2912">
        <v>97.886595243433206</v>
      </c>
      <c r="AL2912">
        <v>80.868946837684206</v>
      </c>
      <c r="AM2912">
        <v>86.527999498521297</v>
      </c>
      <c r="AN2912">
        <v>0.99999998449260896</v>
      </c>
    </row>
    <row r="2913" spans="1:40" x14ac:dyDescent="0.25">
      <c r="A2913" t="str">
        <f>"20190312164529514"</f>
        <v>20190312164529514</v>
      </c>
      <c r="B2913" t="str">
        <f>"1552380329505005"</f>
        <v>1552380329505005</v>
      </c>
      <c r="C2913" t="s">
        <v>40</v>
      </c>
      <c r="D2913">
        <v>4.744758</v>
      </c>
      <c r="E2913">
        <v>0.50490930000000001</v>
      </c>
      <c r="F2913" t="s">
        <v>60</v>
      </c>
      <c r="G2913">
        <v>-151.66849999999999</v>
      </c>
      <c r="H2913">
        <v>0.82751459999999999</v>
      </c>
      <c r="I2913">
        <v>209.71260000000001</v>
      </c>
      <c r="J2913">
        <v>-249.0992</v>
      </c>
      <c r="K2913">
        <v>1.109364</v>
      </c>
      <c r="L2913">
        <v>214.1011</v>
      </c>
      <c r="M2913">
        <v>0.99968429999999997</v>
      </c>
      <c r="N2913">
        <v>0</v>
      </c>
      <c r="O2913">
        <v>2.079802E-2</v>
      </c>
      <c r="P2913">
        <v>0.98874019999999996</v>
      </c>
      <c r="Q2913">
        <v>0.1442745</v>
      </c>
      <c r="R2913">
        <v>-3.9721949999999999E-2</v>
      </c>
      <c r="S2913">
        <v>3.0301670000000001</v>
      </c>
      <c r="T2913">
        <v>-8.7325570000000002E-3</v>
      </c>
      <c r="U2913">
        <v>-0.13574220000000001</v>
      </c>
      <c r="V2913">
        <v>6.0084699999999998E-2</v>
      </c>
      <c r="W2913">
        <v>0.1582614</v>
      </c>
      <c r="X2913">
        <v>0.98556750000000004</v>
      </c>
      <c r="Y2913">
        <v>6.5521259999999998E-2</v>
      </c>
      <c r="Z2913">
        <v>-1.542812E-4</v>
      </c>
      <c r="AA2913">
        <v>0.99785109999999999</v>
      </c>
      <c r="AB2913">
        <v>38</v>
      </c>
      <c r="AC2913">
        <v>97.430700000000002</v>
      </c>
      <c r="AD2913">
        <v>-0.28184939999999897</v>
      </c>
      <c r="AE2913">
        <v>-4.3884999999999899</v>
      </c>
      <c r="AF2913">
        <v>6.4140640421581203</v>
      </c>
      <c r="AG2913">
        <v>-0.28184939999999897</v>
      </c>
      <c r="AH2913">
        <v>97.317527409119904</v>
      </c>
      <c r="AI2913">
        <v>90.165579374954405</v>
      </c>
      <c r="AJ2913">
        <v>86.229167963197398</v>
      </c>
      <c r="AK2913">
        <v>97.529076677911704</v>
      </c>
      <c r="AL2913">
        <v>80.894004590821993</v>
      </c>
      <c r="AM2913">
        <v>86.511305216015899</v>
      </c>
      <c r="AN2913">
        <v>1.0000000694801401</v>
      </c>
    </row>
    <row r="2914" spans="1:40" x14ac:dyDescent="0.25">
      <c r="A2914" t="str">
        <f>"20190312164529531"</f>
        <v>20190312164529531</v>
      </c>
      <c r="B2914" t="str">
        <f>"1552380329524526"</f>
        <v>1552380329524526</v>
      </c>
      <c r="C2914" t="s">
        <v>40</v>
      </c>
      <c r="D2914">
        <v>4.6594899999999999</v>
      </c>
      <c r="E2914">
        <v>0.5049787</v>
      </c>
      <c r="F2914" t="s">
        <v>60</v>
      </c>
      <c r="G2914">
        <v>-151.66849999999999</v>
      </c>
      <c r="H2914">
        <v>0.80574419999999902</v>
      </c>
      <c r="I2914">
        <v>209.7294</v>
      </c>
      <c r="J2914">
        <v>-248.81710000000001</v>
      </c>
      <c r="K2914">
        <v>1.109362</v>
      </c>
      <c r="L2914">
        <v>214.10730000000001</v>
      </c>
      <c r="M2914">
        <v>0.99967640000000002</v>
      </c>
      <c r="N2914">
        <v>0</v>
      </c>
      <c r="O2914">
        <v>2.1177209999999998E-2</v>
      </c>
      <c r="P2914">
        <v>0.98874030000000002</v>
      </c>
      <c r="Q2914">
        <v>0.1442899</v>
      </c>
      <c r="R2914">
        <v>-3.9665779999999998E-2</v>
      </c>
      <c r="S2914">
        <v>3.0300750000000001</v>
      </c>
      <c r="T2914">
        <v>-9.4413759999999996E-3</v>
      </c>
      <c r="U2914">
        <v>-0.13595579999999999</v>
      </c>
      <c r="V2914">
        <v>6.0403169999999999E-2</v>
      </c>
      <c r="W2914">
        <v>0.1582751</v>
      </c>
      <c r="X2914">
        <v>0.98554580000000003</v>
      </c>
      <c r="Y2914">
        <v>6.5971249999999995E-2</v>
      </c>
      <c r="Z2914">
        <v>-1.6869079999999999E-4</v>
      </c>
      <c r="AA2914">
        <v>0.99782150000000003</v>
      </c>
      <c r="AB2914">
        <v>38</v>
      </c>
      <c r="AC2914">
        <v>97.148600000000002</v>
      </c>
      <c r="AD2914">
        <v>-0.30361779999999999</v>
      </c>
      <c r="AE2914">
        <v>-4.3779000000000101</v>
      </c>
      <c r="AF2914">
        <v>6.4343959359025202</v>
      </c>
      <c r="AG2914">
        <v>-0.30361779999999999</v>
      </c>
      <c r="AH2914">
        <v>97.033142144675395</v>
      </c>
      <c r="AI2914">
        <v>90.178885694132106</v>
      </c>
      <c r="AJ2914">
        <v>86.206195303761007</v>
      </c>
      <c r="AK2914">
        <v>97.246718758512401</v>
      </c>
      <c r="AL2914">
        <v>80.893209321256407</v>
      </c>
      <c r="AM2914">
        <v>86.492782913832301</v>
      </c>
      <c r="AN2914">
        <v>1.00000003706184</v>
      </c>
    </row>
    <row r="2915" spans="1:40" x14ac:dyDescent="0.25">
      <c r="A2915" t="str">
        <f>"20190312164529549"</f>
        <v>20190312164529549</v>
      </c>
      <c r="B2915" t="str">
        <f>"1552380329545020"</f>
        <v>1552380329545020</v>
      </c>
      <c r="C2915" t="s">
        <v>40</v>
      </c>
      <c r="D2915">
        <v>4.7272639999999999</v>
      </c>
      <c r="E2915">
        <v>0.50507619999999998</v>
      </c>
      <c r="F2915" t="s">
        <v>60</v>
      </c>
      <c r="G2915">
        <v>-151.66849999999999</v>
      </c>
      <c r="H2915">
        <v>0.84061239999999904</v>
      </c>
      <c r="I2915">
        <v>209.73589999999999</v>
      </c>
      <c r="J2915">
        <v>-248.51589999999999</v>
      </c>
      <c r="K2915">
        <v>1.109361</v>
      </c>
      <c r="L2915">
        <v>214.114</v>
      </c>
      <c r="M2915">
        <v>0.9996678</v>
      </c>
      <c r="N2915">
        <v>0</v>
      </c>
      <c r="O2915">
        <v>2.1582090000000002E-2</v>
      </c>
      <c r="P2915">
        <v>0.9888036</v>
      </c>
      <c r="Q2915">
        <v>0.14387520000000001</v>
      </c>
      <c r="R2915">
        <v>-3.9590199999999999E-2</v>
      </c>
      <c r="S2915">
        <v>3.029922</v>
      </c>
      <c r="T2915">
        <v>-8.3808900000000002E-3</v>
      </c>
      <c r="U2915">
        <v>-0.13633729999999999</v>
      </c>
      <c r="V2915">
        <v>6.0729890000000002E-2</v>
      </c>
      <c r="W2915">
        <v>0.15785929999999901</v>
      </c>
      <c r="X2915">
        <v>0.98559240000000004</v>
      </c>
      <c r="Y2915">
        <v>6.6503080000000006E-2</v>
      </c>
      <c r="Z2915">
        <v>-1.5160480000000001E-4</v>
      </c>
      <c r="AA2915">
        <v>0.99778619999999996</v>
      </c>
      <c r="AB2915">
        <v>38</v>
      </c>
      <c r="AC2915">
        <v>96.847399999999993</v>
      </c>
      <c r="AD2915">
        <v>-0.2687486</v>
      </c>
      <c r="AE2915">
        <v>-4.3781000000000097</v>
      </c>
      <c r="AF2915">
        <v>6.4674071345858497</v>
      </c>
      <c r="AG2915">
        <v>-0.2687486</v>
      </c>
      <c r="AH2915">
        <v>96.729596511980702</v>
      </c>
      <c r="AI2915">
        <v>90.158832654124694</v>
      </c>
      <c r="AJ2915">
        <v>86.1748580337878</v>
      </c>
      <c r="AK2915">
        <v>96.945935563204898</v>
      </c>
      <c r="AL2915">
        <v>80.917336142338996</v>
      </c>
      <c r="AM2915">
        <v>86.474026455609504</v>
      </c>
      <c r="AN2915">
        <v>1.00000002853683</v>
      </c>
    </row>
    <row r="2916" spans="1:40" x14ac:dyDescent="0.25">
      <c r="A2916" t="str">
        <f>"20190312164529572"</f>
        <v>20190312164529572</v>
      </c>
      <c r="B2916" t="str">
        <f>"1552380329564540"</f>
        <v>1552380329564540</v>
      </c>
      <c r="C2916" t="s">
        <v>40</v>
      </c>
      <c r="D2916">
        <v>4.446593</v>
      </c>
      <c r="E2916">
        <v>0.50518450000000004</v>
      </c>
      <c r="F2916" t="s">
        <v>60</v>
      </c>
      <c r="G2916">
        <v>-151.66849999999999</v>
      </c>
      <c r="H2916">
        <v>0.8209419</v>
      </c>
      <c r="I2916">
        <v>209.74870000000001</v>
      </c>
      <c r="J2916">
        <v>-248.1317</v>
      </c>
      <c r="K2916">
        <v>1.109356</v>
      </c>
      <c r="L2916">
        <v>214.12280000000001</v>
      </c>
      <c r="M2916">
        <v>0.99965649999999995</v>
      </c>
      <c r="N2916">
        <v>0</v>
      </c>
      <c r="O2916">
        <v>2.209825E-2</v>
      </c>
      <c r="P2916">
        <v>0.98891249999999997</v>
      </c>
      <c r="Q2916">
        <v>0.14322499999999999</v>
      </c>
      <c r="R2916">
        <v>-3.9226980000000002E-2</v>
      </c>
      <c r="S2916">
        <v>3.0298159999999998</v>
      </c>
      <c r="T2916">
        <v>-9.0219970000000003E-3</v>
      </c>
      <c r="U2916">
        <v>-0.1365662</v>
      </c>
      <c r="V2916">
        <v>6.0879950000000002E-2</v>
      </c>
      <c r="W2916">
        <v>0.15720809999999999</v>
      </c>
      <c r="X2916">
        <v>0.98568719999999999</v>
      </c>
      <c r="Y2916">
        <v>6.7095009999999997E-2</v>
      </c>
      <c r="Z2916">
        <v>-1.6562479999999999E-4</v>
      </c>
      <c r="AA2916">
        <v>0.99774660000000004</v>
      </c>
      <c r="AB2916">
        <v>38</v>
      </c>
      <c r="AC2916">
        <v>96.463200000000001</v>
      </c>
      <c r="AD2916">
        <v>-0.28841409999999901</v>
      </c>
      <c r="AE2916">
        <v>-4.3740999999999897</v>
      </c>
      <c r="AF2916">
        <v>6.5048531807326802</v>
      </c>
      <c r="AG2916">
        <v>-0.28841409999999901</v>
      </c>
      <c r="AH2916">
        <v>96.342110351534004</v>
      </c>
      <c r="AI2916">
        <v>90.171133097328095</v>
      </c>
      <c r="AJ2916">
        <v>86.137350213032093</v>
      </c>
      <c r="AK2916">
        <v>96.561889607562705</v>
      </c>
      <c r="AL2916">
        <v>80.955118715154796</v>
      </c>
      <c r="AM2916">
        <v>86.465675133232395</v>
      </c>
      <c r="AN2916">
        <v>1.0000000056307199</v>
      </c>
    </row>
    <row r="2917" spans="1:40" x14ac:dyDescent="0.25">
      <c r="A2917" t="str">
        <f>"20190312164529592"</f>
        <v>20190312164529592</v>
      </c>
      <c r="B2917" t="str">
        <f>"1552380329585036"</f>
        <v>1552380329585036</v>
      </c>
      <c r="C2917" t="s">
        <v>40</v>
      </c>
      <c r="D2917">
        <v>4.7443809999999997</v>
      </c>
      <c r="E2917">
        <v>0.50527939999999905</v>
      </c>
      <c r="F2917" t="s">
        <v>60</v>
      </c>
      <c r="G2917">
        <v>-151.66849999999999</v>
      </c>
      <c r="H2917">
        <v>0.78244209999999903</v>
      </c>
      <c r="I2917">
        <v>209.76929999999999</v>
      </c>
      <c r="J2917">
        <v>-247.7739</v>
      </c>
      <c r="K2917">
        <v>1.1093569999999999</v>
      </c>
      <c r="L2917">
        <v>214.13120000000001</v>
      </c>
      <c r="M2917">
        <v>0.99964569999999997</v>
      </c>
      <c r="N2917">
        <v>0</v>
      </c>
      <c r="O2917">
        <v>2.2579490000000001E-2</v>
      </c>
      <c r="P2917">
        <v>0.9888825</v>
      </c>
      <c r="Q2917">
        <v>0.14343889999999901</v>
      </c>
      <c r="R2917">
        <v>-3.9201060000000003E-2</v>
      </c>
      <c r="S2917">
        <v>3.029709</v>
      </c>
      <c r="T2917">
        <v>-1.026666E-2</v>
      </c>
      <c r="U2917">
        <v>-0.13673399999999999</v>
      </c>
      <c r="V2917">
        <v>6.132866E-2</v>
      </c>
      <c r="W2917">
        <v>0.15741949999999999</v>
      </c>
      <c r="X2917">
        <v>0.98562559999999999</v>
      </c>
      <c r="Y2917">
        <v>6.7631949999999996E-2</v>
      </c>
      <c r="Z2917">
        <v>-1.9101989999999999E-4</v>
      </c>
      <c r="AA2917">
        <v>0.99771030000000005</v>
      </c>
      <c r="AB2917">
        <v>38</v>
      </c>
      <c r="AC2917">
        <v>96.105400000000003</v>
      </c>
      <c r="AD2917">
        <v>-0.32691490000000001</v>
      </c>
      <c r="AE2917">
        <v>-4.3619000000000199</v>
      </c>
      <c r="AF2917">
        <v>6.5309387785663304</v>
      </c>
      <c r="AG2917">
        <v>-0.32691490000000001</v>
      </c>
      <c r="AH2917">
        <v>95.981285553169997</v>
      </c>
      <c r="AI2917">
        <v>90.194700043543307</v>
      </c>
      <c r="AJ2917">
        <v>86.107373213423998</v>
      </c>
      <c r="AK2917">
        <v>96.203779609329203</v>
      </c>
      <c r="AL2917">
        <v>80.9428532859732</v>
      </c>
      <c r="AM2917">
        <v>86.439470539944693</v>
      </c>
      <c r="AN2917">
        <v>0.99999996344650199</v>
      </c>
    </row>
    <row r="2918" spans="1:40" x14ac:dyDescent="0.25">
      <c r="A2918" t="str">
        <f>"20190312164529615"</f>
        <v>20190312164529615</v>
      </c>
      <c r="B2918" t="str">
        <f>"1552380329604557"</f>
        <v>1552380329604557</v>
      </c>
      <c r="C2918" t="s">
        <v>40</v>
      </c>
      <c r="D2918">
        <v>4.4327480000000001</v>
      </c>
      <c r="E2918">
        <v>0.505384099999999</v>
      </c>
      <c r="F2918" t="s">
        <v>60</v>
      </c>
      <c r="G2918">
        <v>-151.66849999999999</v>
      </c>
      <c r="H2918">
        <v>0.8249474</v>
      </c>
      <c r="I2918">
        <v>209.7628</v>
      </c>
      <c r="J2918">
        <v>-247.39920000000001</v>
      </c>
      <c r="K2918">
        <v>1.1093580000000001</v>
      </c>
      <c r="L2918">
        <v>214.14019999999999</v>
      </c>
      <c r="M2918">
        <v>0.99963429999999998</v>
      </c>
      <c r="N2918">
        <v>0</v>
      </c>
      <c r="O2918">
        <v>2.308342E-2</v>
      </c>
      <c r="P2918">
        <v>0.98881940000000002</v>
      </c>
      <c r="Q2918">
        <v>0.1438905</v>
      </c>
      <c r="R2918">
        <v>-3.9141500000000003E-2</v>
      </c>
      <c r="S2918">
        <v>3.0296020000000001</v>
      </c>
      <c r="T2918">
        <v>-8.9646580000000003E-3</v>
      </c>
      <c r="U2918">
        <v>-0.13771059999999999</v>
      </c>
      <c r="V2918">
        <v>6.1765380000000002E-2</v>
      </c>
      <c r="W2918">
        <v>0.15786829999999999</v>
      </c>
      <c r="X2918">
        <v>0.98552660000000003</v>
      </c>
      <c r="Y2918">
        <v>6.8457509999999999E-2</v>
      </c>
      <c r="Z2918">
        <v>-1.695113E-4</v>
      </c>
      <c r="AA2918">
        <v>0.99765400000000004</v>
      </c>
      <c r="AB2918">
        <v>38</v>
      </c>
      <c r="AC2918">
        <v>95.730699999999999</v>
      </c>
      <c r="AD2918">
        <v>-0.28441060000000001</v>
      </c>
      <c r="AE2918">
        <v>-4.37739999999999</v>
      </c>
      <c r="AF2918">
        <v>6.5861865883378297</v>
      </c>
      <c r="AG2918">
        <v>-0.28441060000000001</v>
      </c>
      <c r="AH2918">
        <v>95.603289288769901</v>
      </c>
      <c r="AI2918">
        <v>90.170045902248603</v>
      </c>
      <c r="AJ2918">
        <v>86.059074804687199</v>
      </c>
      <c r="AK2918">
        <v>95.830306615381403</v>
      </c>
      <c r="AL2918">
        <v>80.916813861509496</v>
      </c>
      <c r="AM2918">
        <v>86.413822741544394</v>
      </c>
      <c r="AN2918">
        <v>1.0000000208094899</v>
      </c>
    </row>
    <row r="2919" spans="1:40" x14ac:dyDescent="0.25">
      <c r="A2919" t="str">
        <f>"20190312164529631"</f>
        <v>20190312164529631</v>
      </c>
      <c r="B2919" t="str">
        <f>"1552380329625053"</f>
        <v>1552380329625053</v>
      </c>
      <c r="C2919" t="s">
        <v>40</v>
      </c>
      <c r="D2919">
        <v>4.5434489999999998</v>
      </c>
      <c r="E2919">
        <v>0.50547370000000003</v>
      </c>
      <c r="F2919" t="s">
        <v>60</v>
      </c>
      <c r="G2919">
        <v>-151.66849999999999</v>
      </c>
      <c r="H2919">
        <v>0.87357899999999999</v>
      </c>
      <c r="I2919">
        <v>209.7766</v>
      </c>
      <c r="J2919">
        <v>-247.1165</v>
      </c>
      <c r="K2919">
        <v>1.109359</v>
      </c>
      <c r="L2919">
        <v>214.14709999999999</v>
      </c>
      <c r="M2919">
        <v>0.99962549999999994</v>
      </c>
      <c r="N2919">
        <v>0</v>
      </c>
      <c r="O2919">
        <v>2.3463919999999999E-2</v>
      </c>
      <c r="P2919">
        <v>0.98878080000000002</v>
      </c>
      <c r="Q2919">
        <v>0.14419479999999901</v>
      </c>
      <c r="R2919">
        <v>-3.8992400000000003E-2</v>
      </c>
      <c r="S2919">
        <v>3.0295559999999999</v>
      </c>
      <c r="T2919">
        <v>-7.4604750000000003E-3</v>
      </c>
      <c r="U2919">
        <v>-0.13809199999999999</v>
      </c>
      <c r="V2919">
        <v>6.1991379999999999E-2</v>
      </c>
      <c r="W2919">
        <v>0.15817010000000001</v>
      </c>
      <c r="X2919">
        <v>0.98546400000000001</v>
      </c>
      <c r="Y2919">
        <v>6.8963410000000003E-2</v>
      </c>
      <c r="Z2919">
        <v>-1.4263000000000001E-4</v>
      </c>
      <c r="AA2919">
        <v>0.99761920000000004</v>
      </c>
      <c r="AB2919">
        <v>38</v>
      </c>
      <c r="AC2919">
        <v>95.447999999999993</v>
      </c>
      <c r="AD2919">
        <v>-0.23577999999999899</v>
      </c>
      <c r="AE2919">
        <v>-4.3704999999999901</v>
      </c>
      <c r="AF2919">
        <v>6.6090625779828898</v>
      </c>
      <c r="AG2919">
        <v>-0.23577999999999899</v>
      </c>
      <c r="AH2919">
        <v>95.3185767974378</v>
      </c>
      <c r="AI2919">
        <v>90.141387077687398</v>
      </c>
      <c r="AJ2919">
        <v>86.033655547266207</v>
      </c>
      <c r="AK2919">
        <v>95.547717832804096</v>
      </c>
      <c r="AL2919">
        <v>80.8993018181705</v>
      </c>
      <c r="AM2919">
        <v>86.400507286414296</v>
      </c>
      <c r="AN2919">
        <v>1.0000000035121499</v>
      </c>
    </row>
    <row r="2920" spans="1:40" x14ac:dyDescent="0.25">
      <c r="A2920" t="str">
        <f>"20190312164529644"</f>
        <v>20190312164529644</v>
      </c>
      <c r="B2920" t="str">
        <f>"1552380329634813"</f>
        <v>1552380329634813</v>
      </c>
      <c r="C2920" t="s">
        <v>40</v>
      </c>
      <c r="D2920">
        <v>4.6956239999999996</v>
      </c>
      <c r="E2920">
        <v>0.50552619999999904</v>
      </c>
      <c r="F2920" t="s">
        <v>60</v>
      </c>
      <c r="G2920">
        <v>-151.66849999999999</v>
      </c>
      <c r="H2920">
        <v>0.91148189999999996</v>
      </c>
      <c r="I2920">
        <v>209.7877</v>
      </c>
      <c r="J2920">
        <v>-246.89609999999999</v>
      </c>
      <c r="K2920">
        <v>1.1093630000000001</v>
      </c>
      <c r="L2920">
        <v>214.1525</v>
      </c>
      <c r="M2920">
        <v>0.99961849999999997</v>
      </c>
      <c r="N2920">
        <v>0</v>
      </c>
      <c r="O2920">
        <v>2.3760440000000001E-2</v>
      </c>
      <c r="P2920">
        <v>0.98871399999999998</v>
      </c>
      <c r="Q2920">
        <v>0.14459810000000001</v>
      </c>
      <c r="R2920">
        <v>-3.9197269999999999E-2</v>
      </c>
      <c r="S2920">
        <v>3.0295100000000001</v>
      </c>
      <c r="T2920">
        <v>-6.279588E-3</v>
      </c>
      <c r="U2920">
        <v>-0.13836670000000001</v>
      </c>
      <c r="V2920">
        <v>6.2487040000000001E-2</v>
      </c>
      <c r="W2920">
        <v>0.15857170000000001</v>
      </c>
      <c r="X2920">
        <v>0.98536809999999997</v>
      </c>
      <c r="Y2920">
        <v>6.935036E-2</v>
      </c>
      <c r="Z2920">
        <v>-1.2107060000000001E-4</v>
      </c>
      <c r="AA2920">
        <v>0.99759229999999999</v>
      </c>
      <c r="AB2920">
        <v>38</v>
      </c>
      <c r="AC2920">
        <v>95.227599999999995</v>
      </c>
      <c r="AD2920">
        <v>-0.19788109999999901</v>
      </c>
      <c r="AE2920">
        <v>-4.3647999999999998</v>
      </c>
      <c r="AF2920">
        <v>6.6264129828872296</v>
      </c>
      <c r="AG2920">
        <v>-0.19788109999999901</v>
      </c>
      <c r="AH2920">
        <v>95.096580477044</v>
      </c>
      <c r="AI2920">
        <v>90.118934988033701</v>
      </c>
      <c r="AJ2920">
        <v>86.014022794123903</v>
      </c>
      <c r="AK2920">
        <v>95.327373426400598</v>
      </c>
      <c r="AL2920">
        <v>80.875997266701404</v>
      </c>
      <c r="AM2920">
        <v>86.371451487480698</v>
      </c>
      <c r="AN2920">
        <v>0.999999953353229</v>
      </c>
    </row>
    <row r="2921" spans="1:40" x14ac:dyDescent="0.25">
      <c r="A2921" t="str">
        <f>"20190312164529661"</f>
        <v>20190312164529661</v>
      </c>
      <c r="B2921" t="str">
        <f>"1552380329654336"</f>
        <v>1552380329654336</v>
      </c>
      <c r="C2921" t="s">
        <v>40</v>
      </c>
      <c r="D2921">
        <v>4.7933029999999999</v>
      </c>
      <c r="E2921">
        <v>0.5056541</v>
      </c>
      <c r="F2921" t="s">
        <v>60</v>
      </c>
      <c r="G2921">
        <v>-151.6686</v>
      </c>
      <c r="H2921">
        <v>0.95685580000000003</v>
      </c>
      <c r="I2921">
        <v>209.78</v>
      </c>
      <c r="J2921">
        <v>-246.63210000000001</v>
      </c>
      <c r="K2921">
        <v>1.1093630000000001</v>
      </c>
      <c r="L2921">
        <v>214.1591</v>
      </c>
      <c r="M2921">
        <v>0.99961</v>
      </c>
      <c r="N2921">
        <v>0</v>
      </c>
      <c r="O2921">
        <v>2.4115850000000001E-2</v>
      </c>
      <c r="P2921">
        <v>0.98861200000000005</v>
      </c>
      <c r="Q2921">
        <v>0.1451885</v>
      </c>
      <c r="R2921">
        <v>-3.9584540000000001E-2</v>
      </c>
      <c r="S2921">
        <v>3.0294189999999999</v>
      </c>
      <c r="T2921">
        <v>-4.8505070000000004E-3</v>
      </c>
      <c r="U2921">
        <v>-0.1390991</v>
      </c>
      <c r="V2921">
        <v>6.3222280000000006E-2</v>
      </c>
      <c r="W2921">
        <v>0.15915969999999999</v>
      </c>
      <c r="X2921">
        <v>0.98522650000000001</v>
      </c>
      <c r="Y2921">
        <v>6.9947179999999998E-2</v>
      </c>
      <c r="Z2921" s="1">
        <v>-9.4566630000000006E-5</v>
      </c>
      <c r="AA2921">
        <v>0.99755070000000001</v>
      </c>
      <c r="AB2921">
        <v>38</v>
      </c>
      <c r="AC2921">
        <v>94.963499999999996</v>
      </c>
      <c r="AD2921">
        <v>-0.15250719999999901</v>
      </c>
      <c r="AE2921">
        <v>-4.3790999999999896</v>
      </c>
      <c r="AF2921">
        <v>6.6681616060868301</v>
      </c>
      <c r="AG2921">
        <v>-0.15250719999999901</v>
      </c>
      <c r="AH2921">
        <v>94.830016097976994</v>
      </c>
      <c r="AI2921">
        <v>90.091916980398693</v>
      </c>
      <c r="AJ2921">
        <v>85.977753642760902</v>
      </c>
      <c r="AK2921">
        <v>95.064291880776807</v>
      </c>
      <c r="AL2921">
        <v>80.841874986834895</v>
      </c>
      <c r="AM2921">
        <v>86.328346866595695</v>
      </c>
      <c r="AN2921">
        <v>1.0000000615473601</v>
      </c>
    </row>
    <row r="2922" spans="1:40" x14ac:dyDescent="0.25">
      <c r="A2922" t="str">
        <f>"20190312164529678"</f>
        <v>20190312164529678</v>
      </c>
      <c r="B2922" t="str">
        <f>"1552380329674830"</f>
        <v>1552380329674830</v>
      </c>
      <c r="C2922" t="s">
        <v>40</v>
      </c>
      <c r="D2922">
        <v>4.8831179999999996</v>
      </c>
      <c r="E2922">
        <v>0.50579169999999996</v>
      </c>
      <c r="F2922" t="s">
        <v>60</v>
      </c>
      <c r="G2922">
        <v>-151.6686</v>
      </c>
      <c r="H2922">
        <v>1.019871</v>
      </c>
      <c r="I2922">
        <v>209.74080000000001</v>
      </c>
      <c r="J2922">
        <v>-246.34100000000001</v>
      </c>
      <c r="K2922">
        <v>1.1093649999999999</v>
      </c>
      <c r="L2922">
        <v>214.16650000000001</v>
      </c>
      <c r="M2922">
        <v>0.99960039999999994</v>
      </c>
      <c r="N2922">
        <v>0</v>
      </c>
      <c r="O2922">
        <v>2.4507669999999999E-2</v>
      </c>
      <c r="P2922">
        <v>0.98863590000000001</v>
      </c>
      <c r="Q2922">
        <v>0.145056399999999</v>
      </c>
      <c r="R2922">
        <v>-3.9466599999999998E-2</v>
      </c>
      <c r="S2922">
        <v>3.0293269999999999</v>
      </c>
      <c r="T2922">
        <v>-2.853632E-3</v>
      </c>
      <c r="U2922">
        <v>-0.1409454</v>
      </c>
      <c r="V2922">
        <v>6.3492640000000003E-2</v>
      </c>
      <c r="W2922">
        <v>0.159026</v>
      </c>
      <c r="X2922">
        <v>0.98523059999999996</v>
      </c>
      <c r="Y2922">
        <v>7.0946309999999999E-2</v>
      </c>
      <c r="Z2922" s="1">
        <v>-5.647533E-5</v>
      </c>
      <c r="AA2922">
        <v>0.99748020000000004</v>
      </c>
      <c r="AB2922">
        <v>38</v>
      </c>
      <c r="AC2922">
        <v>94.672399999999897</v>
      </c>
      <c r="AD2922">
        <v>-8.9493999999999893E-2</v>
      </c>
      <c r="AE2922">
        <v>-4.4257</v>
      </c>
      <c r="AF2922">
        <v>6.7447945796919004</v>
      </c>
      <c r="AG2922">
        <v>-8.9493999999999893E-2</v>
      </c>
      <c r="AH2922">
        <v>94.535400089051805</v>
      </c>
      <c r="AI2922">
        <v>90.054102757727506</v>
      </c>
      <c r="AJ2922">
        <v>85.919046855486997</v>
      </c>
      <c r="AK2922">
        <v>94.775746544648101</v>
      </c>
      <c r="AL2922">
        <v>80.8496333161237</v>
      </c>
      <c r="AM2922">
        <v>86.312704154734703</v>
      </c>
      <c r="AN2922">
        <v>0.99999995959326304</v>
      </c>
    </row>
    <row r="2923" spans="1:40" x14ac:dyDescent="0.25">
      <c r="A2923" t="str">
        <f>"20190312164529694"</f>
        <v>20190312164529694</v>
      </c>
      <c r="B2923" t="str">
        <f>"1552380329684589"</f>
        <v>1552380329684589</v>
      </c>
      <c r="C2923" t="s">
        <v>40</v>
      </c>
      <c r="D2923">
        <v>4.8290329999999999</v>
      </c>
      <c r="E2923">
        <v>0.50584890000000005</v>
      </c>
      <c r="F2923" t="s">
        <v>60</v>
      </c>
      <c r="G2923">
        <v>-151.6686</v>
      </c>
      <c r="H2923">
        <v>1.009125</v>
      </c>
      <c r="I2923">
        <v>209.73159999999999</v>
      </c>
      <c r="J2923">
        <v>-246.07980000000001</v>
      </c>
      <c r="K2923">
        <v>1.1093660000000001</v>
      </c>
      <c r="L2923">
        <v>214.17320000000001</v>
      </c>
      <c r="M2923">
        <v>0.99959189999999998</v>
      </c>
      <c r="N2923">
        <v>0</v>
      </c>
      <c r="O2923">
        <v>2.4858970000000001E-2</v>
      </c>
      <c r="P2923">
        <v>0.98855139999999997</v>
      </c>
      <c r="Q2923">
        <v>0.14549579999999901</v>
      </c>
      <c r="R2923">
        <v>-3.9968410000000003E-2</v>
      </c>
      <c r="S2923">
        <v>3.0292659999999998</v>
      </c>
      <c r="T2923">
        <v>-3.2063719999999999E-3</v>
      </c>
      <c r="U2923">
        <v>-0.1419067</v>
      </c>
      <c r="V2923">
        <v>6.4338430000000002E-2</v>
      </c>
      <c r="W2923">
        <v>0.15946289999999999</v>
      </c>
      <c r="X2923">
        <v>0.98510520000000001</v>
      </c>
      <c r="Y2923">
        <v>7.1613599999999999E-2</v>
      </c>
      <c r="Z2923" s="1">
        <v>-6.4181780000000001E-5</v>
      </c>
      <c r="AA2923">
        <v>0.99743250000000006</v>
      </c>
      <c r="AB2923">
        <v>38</v>
      </c>
      <c r="AC2923">
        <v>94.411199999999994</v>
      </c>
      <c r="AD2923">
        <v>-0.100241</v>
      </c>
      <c r="AE2923">
        <v>-4.4416000000000198</v>
      </c>
      <c r="AF2923">
        <v>6.7874171460232802</v>
      </c>
      <c r="AG2923">
        <v>-0.100241</v>
      </c>
      <c r="AH2923">
        <v>94.271487566515106</v>
      </c>
      <c r="AI2923">
        <v>90.060766575068399</v>
      </c>
      <c r="AJ2923">
        <v>85.881888874256404</v>
      </c>
      <c r="AK2923">
        <v>94.515567224536198</v>
      </c>
      <c r="AL2923">
        <v>80.824278084755804</v>
      </c>
      <c r="AM2923">
        <v>86.263249376289394</v>
      </c>
      <c r="AN2923">
        <v>1.0000000525591499</v>
      </c>
    </row>
    <row r="2924" spans="1:40" x14ac:dyDescent="0.25">
      <c r="A2924" t="str">
        <f>"20190312164529715"</f>
        <v>20190312164529715</v>
      </c>
      <c r="B2924" t="str">
        <f>"1552380329704109"</f>
        <v>1552380329704109</v>
      </c>
      <c r="C2924" t="s">
        <v>40</v>
      </c>
      <c r="D2924">
        <v>4.8448789999999997</v>
      </c>
      <c r="E2924">
        <v>0.50596209999999997</v>
      </c>
      <c r="F2924" t="s">
        <v>60</v>
      </c>
      <c r="G2924">
        <v>-151.6686</v>
      </c>
      <c r="H2924">
        <v>1.0503290000000001</v>
      </c>
      <c r="I2924">
        <v>209.68340000000001</v>
      </c>
      <c r="J2924">
        <v>-245.7099</v>
      </c>
      <c r="K2924">
        <v>1.109361</v>
      </c>
      <c r="L2924">
        <v>214.18289999999999</v>
      </c>
      <c r="M2924">
        <v>0.99957940000000001</v>
      </c>
      <c r="N2924">
        <v>0</v>
      </c>
      <c r="O2924">
        <v>2.5356099999999999E-2</v>
      </c>
      <c r="P2924">
        <v>0.98842289999999999</v>
      </c>
      <c r="Q2924">
        <v>0.14619179999999901</v>
      </c>
      <c r="R2924">
        <v>-4.0600690000000002E-2</v>
      </c>
      <c r="S2924">
        <v>3.0292050000000001</v>
      </c>
      <c r="T2924">
        <v>-1.893044E-3</v>
      </c>
      <c r="U2924">
        <v>-0.1440582</v>
      </c>
      <c r="V2924">
        <v>6.5458039999999995E-2</v>
      </c>
      <c r="W2924">
        <v>0.16015579999999999</v>
      </c>
      <c r="X2924">
        <v>0.98491899999999999</v>
      </c>
      <c r="Y2924">
        <v>7.2817450000000006E-2</v>
      </c>
      <c r="Z2924" s="1">
        <v>-3.857962E-5</v>
      </c>
      <c r="AA2924">
        <v>0.99734529999999999</v>
      </c>
      <c r="AB2924">
        <v>38</v>
      </c>
      <c r="AC2924">
        <v>94.041300000000007</v>
      </c>
      <c r="AD2924">
        <v>-5.9031999999999897E-2</v>
      </c>
      <c r="AE2924">
        <v>-4.4994999999999798</v>
      </c>
      <c r="AF2924">
        <v>6.8828071574396796</v>
      </c>
      <c r="AG2924">
        <v>-5.9031999999999897E-2</v>
      </c>
      <c r="AH2924">
        <v>93.896920088060099</v>
      </c>
      <c r="AI2924">
        <v>90.035924860099797</v>
      </c>
      <c r="AJ2924">
        <v>85.807617980450104</v>
      </c>
      <c r="AK2924">
        <v>94.148861496924496</v>
      </c>
      <c r="AL2924">
        <v>80.784060811157801</v>
      </c>
      <c r="AM2924">
        <v>86.197695338307994</v>
      </c>
      <c r="AN2924">
        <v>1.00000003591764</v>
      </c>
    </row>
    <row r="2925" spans="1:40" x14ac:dyDescent="0.25">
      <c r="A2925" t="str">
        <f>"20190312164529733"</f>
        <v>20190312164529733</v>
      </c>
      <c r="B2925" t="str">
        <f>"1552380329724605"</f>
        <v>1552380329724605</v>
      </c>
      <c r="C2925" t="s">
        <v>40</v>
      </c>
      <c r="D2925">
        <v>4.5536799999999999</v>
      </c>
      <c r="E2925">
        <v>0.50585159999999996</v>
      </c>
      <c r="F2925" t="s">
        <v>60</v>
      </c>
      <c r="G2925">
        <v>-151.6687</v>
      </c>
      <c r="H2925">
        <v>1.129011</v>
      </c>
      <c r="I2925">
        <v>209.63409999999999</v>
      </c>
      <c r="J2925">
        <v>-245.41579999999999</v>
      </c>
      <c r="K2925">
        <v>1.109361</v>
      </c>
      <c r="L2925">
        <v>214.1908</v>
      </c>
      <c r="M2925">
        <v>0.99956920000000005</v>
      </c>
      <c r="N2925">
        <v>0</v>
      </c>
      <c r="O2925">
        <v>2.5748500000000001E-2</v>
      </c>
      <c r="P2925">
        <v>0.98839310000000002</v>
      </c>
      <c r="Q2925">
        <v>0.14633860000000001</v>
      </c>
      <c r="R2925">
        <v>-4.0791880000000003E-2</v>
      </c>
      <c r="S2925">
        <v>3.0290219999999999</v>
      </c>
      <c r="T2925">
        <v>6.3395499999999996E-4</v>
      </c>
      <c r="U2925">
        <v>-0.146514899999999</v>
      </c>
      <c r="V2925">
        <v>6.6036490000000003E-2</v>
      </c>
      <c r="W2925">
        <v>0.16030030000000001</v>
      </c>
      <c r="X2925">
        <v>0.98485679999999998</v>
      </c>
      <c r="Y2925">
        <v>7.4018829999999994E-2</v>
      </c>
      <c r="Z2925" s="1">
        <v>1.3128079999999999E-5</v>
      </c>
      <c r="AA2925">
        <v>0.99725680000000005</v>
      </c>
      <c r="AB2925">
        <v>38</v>
      </c>
      <c r="AC2925">
        <v>93.747100000000003</v>
      </c>
      <c r="AD2925">
        <v>1.96499999999999E-2</v>
      </c>
      <c r="AE2925">
        <v>-4.5567000000000002</v>
      </c>
      <c r="AF2925">
        <v>6.9692753605769999</v>
      </c>
      <c r="AG2925">
        <v>1.96499999999999E-2</v>
      </c>
      <c r="AH2925">
        <v>93.598668270459399</v>
      </c>
      <c r="AI2925">
        <v>89.988004594416793</v>
      </c>
      <c r="AJ2925">
        <v>85.741664167544201</v>
      </c>
      <c r="AK2925">
        <v>93.8577747827933</v>
      </c>
      <c r="AL2925">
        <v>80.7756725004635</v>
      </c>
      <c r="AM2925">
        <v>86.163952867559104</v>
      </c>
      <c r="AN2925">
        <v>0.99999996034892402</v>
      </c>
    </row>
    <row r="2926" spans="1:40" x14ac:dyDescent="0.25">
      <c r="A2926" t="str">
        <f>"20190312164529746"</f>
        <v>20190312164529746</v>
      </c>
      <c r="B2926" t="str">
        <f>"1552380329734366"</f>
        <v>1552380329734366</v>
      </c>
      <c r="C2926" t="s">
        <v>40</v>
      </c>
      <c r="D2926">
        <v>4.9170800000000003</v>
      </c>
      <c r="E2926">
        <v>0.50585159999999996</v>
      </c>
      <c r="F2926" t="s">
        <v>60</v>
      </c>
      <c r="G2926">
        <v>-151.6687</v>
      </c>
      <c r="H2926">
        <v>1.171856</v>
      </c>
      <c r="I2926">
        <v>209.6688</v>
      </c>
      <c r="J2926">
        <v>-245.20249999999999</v>
      </c>
      <c r="K2926">
        <v>1.109361</v>
      </c>
      <c r="L2926">
        <v>214.19649999999999</v>
      </c>
      <c r="M2926">
        <v>0.99956210000000001</v>
      </c>
      <c r="N2926">
        <v>0</v>
      </c>
      <c r="O2926">
        <v>2.603014E-2</v>
      </c>
      <c r="P2926">
        <v>0.98835919999999999</v>
      </c>
      <c r="Q2926">
        <v>0.1465236</v>
      </c>
      <c r="R2926">
        <v>-4.0955709999999999E-2</v>
      </c>
      <c r="S2926">
        <v>3.028915</v>
      </c>
      <c r="T2926">
        <v>2.02024E-3</v>
      </c>
      <c r="U2926">
        <v>-0.14610290000000001</v>
      </c>
      <c r="V2926">
        <v>6.6478220000000005E-2</v>
      </c>
      <c r="W2926">
        <v>0.1604833</v>
      </c>
      <c r="X2926">
        <v>0.98479729999999999</v>
      </c>
      <c r="Y2926">
        <v>7.4166159999999995E-2</v>
      </c>
      <c r="Z2926" s="1">
        <v>4.2074050000000001E-5</v>
      </c>
      <c r="AA2926">
        <v>0.99724590000000002</v>
      </c>
      <c r="AB2926">
        <v>38</v>
      </c>
      <c r="AC2926">
        <v>93.533799999999999</v>
      </c>
      <c r="AD2926">
        <v>6.2494999999999898E-2</v>
      </c>
      <c r="AE2926">
        <v>-4.5276999999999799</v>
      </c>
      <c r="AF2926">
        <v>6.9611014514171199</v>
      </c>
      <c r="AG2926">
        <v>6.2494999999999898E-2</v>
      </c>
      <c r="AH2926">
        <v>93.384190659170102</v>
      </c>
      <c r="AI2926">
        <v>89.961762347637205</v>
      </c>
      <c r="AJ2926">
        <v>85.736907398208402</v>
      </c>
      <c r="AK2926">
        <v>93.643301437477007</v>
      </c>
      <c r="AL2926">
        <v>80.765050053625103</v>
      </c>
      <c r="AM2926">
        <v>86.138137627950599</v>
      </c>
      <c r="AN2926">
        <v>0.99999998270027401</v>
      </c>
    </row>
    <row r="2927" spans="1:40" x14ac:dyDescent="0.25">
      <c r="A2927" t="str">
        <f>"20190312164529762"</f>
        <v>20190312164529762</v>
      </c>
      <c r="B2927" t="str">
        <f>"1552380329754861"</f>
        <v>1552380329754861</v>
      </c>
      <c r="C2927" t="s">
        <v>40</v>
      </c>
      <c r="D2927">
        <v>4.4157849999999996</v>
      </c>
      <c r="E2927">
        <v>0.48405399999999998</v>
      </c>
      <c r="F2927" t="s">
        <v>60</v>
      </c>
      <c r="G2927">
        <v>-151.6687</v>
      </c>
      <c r="H2927">
        <v>1.1892259999999999</v>
      </c>
      <c r="I2927">
        <v>209.68289999999999</v>
      </c>
      <c r="J2927">
        <v>-244.94059999999999</v>
      </c>
      <c r="K2927">
        <v>1.1093599999999999</v>
      </c>
      <c r="L2927">
        <v>214.2037</v>
      </c>
      <c r="M2927">
        <v>0.99955329999999998</v>
      </c>
      <c r="N2927">
        <v>0</v>
      </c>
      <c r="O2927">
        <v>2.6367390000000001E-2</v>
      </c>
      <c r="P2927">
        <v>0.98840340000000004</v>
      </c>
      <c r="Q2927">
        <v>0.1461623</v>
      </c>
      <c r="R2927">
        <v>-4.1174910000000002E-2</v>
      </c>
      <c r="S2927">
        <v>3.028915</v>
      </c>
      <c r="T2927">
        <v>2.5874380000000001E-3</v>
      </c>
      <c r="U2927">
        <v>-0.14616390000000001</v>
      </c>
      <c r="V2927">
        <v>6.7034590000000005E-2</v>
      </c>
      <c r="W2927">
        <v>0.1601205</v>
      </c>
      <c r="X2927">
        <v>0.98481859999999999</v>
      </c>
      <c r="Y2927">
        <v>7.4522690000000003E-2</v>
      </c>
      <c r="Z2927" s="1">
        <v>5.4326809999999997E-5</v>
      </c>
      <c r="AA2927">
        <v>0.99721930000000003</v>
      </c>
      <c r="AB2927">
        <v>38</v>
      </c>
      <c r="AC2927">
        <v>93.271900000000002</v>
      </c>
      <c r="AD2927">
        <v>7.9865999999999895E-2</v>
      </c>
      <c r="AE2927">
        <v>-4.5208000000000004</v>
      </c>
      <c r="AF2927">
        <v>6.9788028179161596</v>
      </c>
      <c r="AG2927">
        <v>7.9865999999999895E-2</v>
      </c>
      <c r="AH2927">
        <v>93.120183184617503</v>
      </c>
      <c r="AI2927">
        <v>89.950996802412405</v>
      </c>
      <c r="AJ2927">
        <v>85.714034970193595</v>
      </c>
      <c r="AK2927">
        <v>93.381361007890803</v>
      </c>
      <c r="AL2927">
        <v>80.786108929967298</v>
      </c>
      <c r="AM2927">
        <v>86.105999892659398</v>
      </c>
      <c r="AN2927">
        <v>0.99999994284133698</v>
      </c>
    </row>
    <row r="2928" spans="1:40" x14ac:dyDescent="0.25">
      <c r="A2928" t="str">
        <f>"20190312164529784"</f>
        <v>20190312164529784</v>
      </c>
      <c r="B2928" t="str">
        <f>"1552380329774380"</f>
        <v>1552380329774380</v>
      </c>
      <c r="C2928" t="s">
        <v>40</v>
      </c>
      <c r="D2928">
        <v>4.6103249999999996</v>
      </c>
      <c r="E2928">
        <v>0.44953340000000003</v>
      </c>
      <c r="F2928" t="s">
        <v>61</v>
      </c>
      <c r="G2928">
        <v>-107.39749999999999</v>
      </c>
      <c r="H2928">
        <v>4.6659750000000004</v>
      </c>
      <c r="I2928">
        <v>215.22989999999999</v>
      </c>
      <c r="J2928">
        <v>-244.57149999999999</v>
      </c>
      <c r="K2928">
        <v>1.109348</v>
      </c>
      <c r="L2928">
        <v>214.2139</v>
      </c>
      <c r="M2928">
        <v>0.99954120000000002</v>
      </c>
      <c r="N2928">
        <v>0</v>
      </c>
      <c r="O2928">
        <v>2.68224E-2</v>
      </c>
      <c r="P2928">
        <v>0.98844869999999996</v>
      </c>
      <c r="Q2928">
        <v>0.145847799999999</v>
      </c>
      <c r="R2928">
        <v>-4.1204459999999998E-2</v>
      </c>
      <c r="S2928">
        <v>3.0245820000000001</v>
      </c>
      <c r="T2928">
        <v>7.8211310000000006E-2</v>
      </c>
      <c r="U2928">
        <v>2.2567750000000001E-2</v>
      </c>
      <c r="V2928">
        <v>6.7521129999999999E-2</v>
      </c>
      <c r="W2928">
        <v>0.15980229999999901</v>
      </c>
      <c r="X2928">
        <v>0.98483710000000002</v>
      </c>
      <c r="Y2928">
        <v>1.9350320000000001E-2</v>
      </c>
      <c r="Z2928">
        <v>9.4359209999999997E-4</v>
      </c>
      <c r="AA2928">
        <v>0.99981229999999999</v>
      </c>
      <c r="AB2928">
        <v>38</v>
      </c>
      <c r="AC2928">
        <v>137.17399999999901</v>
      </c>
      <c r="AD2928">
        <v>3.5566270000000002</v>
      </c>
      <c r="AE2928">
        <v>1.01599999999999</v>
      </c>
      <c r="AF2928">
        <v>2.6622760990685199</v>
      </c>
      <c r="AG2928">
        <v>3.5566270000000002</v>
      </c>
      <c r="AH2928">
        <v>137.05975745526601</v>
      </c>
      <c r="AI2928">
        <v>88.513819137260597</v>
      </c>
      <c r="AJ2928">
        <v>88.8872152739862</v>
      </c>
      <c r="AK2928">
        <v>137.13174112269201</v>
      </c>
      <c r="AL2928">
        <v>80.804578764188193</v>
      </c>
      <c r="AM2928">
        <v>86.077898411620495</v>
      </c>
      <c r="AN2928">
        <v>0.99999999580908805</v>
      </c>
    </row>
    <row r="2929" spans="1:40" x14ac:dyDescent="0.25">
      <c r="A2929" t="str">
        <f>"20190312164529806"</f>
        <v>20190312164529806</v>
      </c>
      <c r="B2929" t="str">
        <f>"1552380329794877"</f>
        <v>1552380329794877</v>
      </c>
      <c r="C2929" t="s">
        <v>40</v>
      </c>
      <c r="D2929">
        <v>4.3899999999999997</v>
      </c>
      <c r="E2929">
        <v>0.44884960000000002</v>
      </c>
      <c r="F2929" t="s">
        <v>62</v>
      </c>
      <c r="G2929">
        <v>-168.04949999999999</v>
      </c>
      <c r="H2929">
        <v>3.9492080000000001</v>
      </c>
      <c r="I2929">
        <v>221.6901</v>
      </c>
      <c r="J2929">
        <v>-244.20310000000001</v>
      </c>
      <c r="K2929">
        <v>1.109321</v>
      </c>
      <c r="L2929">
        <v>214.22409999999999</v>
      </c>
      <c r="M2929">
        <v>0.99952980000000002</v>
      </c>
      <c r="N2929">
        <v>0</v>
      </c>
      <c r="O2929">
        <v>2.724352E-2</v>
      </c>
      <c r="P2929">
        <v>0.98846109999999998</v>
      </c>
      <c r="Q2929">
        <v>0.14577850000000001</v>
      </c>
      <c r="R2929">
        <v>-4.1149850000000002E-2</v>
      </c>
      <c r="S2929">
        <v>3.0308229999999998</v>
      </c>
      <c r="T2929">
        <v>0.1124811</v>
      </c>
      <c r="U2929">
        <v>0.29611209999999999</v>
      </c>
      <c r="V2929">
        <v>6.7892519999999998E-2</v>
      </c>
      <c r="W2929">
        <v>0.15972700000000001</v>
      </c>
      <c r="X2929">
        <v>0.98482380000000003</v>
      </c>
      <c r="Y2929">
        <v>-7.0054870000000005E-2</v>
      </c>
      <c r="Z2929">
        <v>-2.8842339999999997E-4</v>
      </c>
      <c r="AA2929">
        <v>0.99754310000000002</v>
      </c>
      <c r="AB2929">
        <v>38</v>
      </c>
      <c r="AC2929">
        <v>76.153599999999997</v>
      </c>
      <c r="AD2929">
        <v>2.8398870000000001</v>
      </c>
      <c r="AE2929">
        <v>7.4660000000000002</v>
      </c>
      <c r="AF2929">
        <v>-5.3809189567191904</v>
      </c>
      <c r="AG2929">
        <v>2.8398870000000001</v>
      </c>
      <c r="AH2929">
        <v>76.223756200015899</v>
      </c>
      <c r="AI2929">
        <v>87.871596064883093</v>
      </c>
      <c r="AJ2929">
        <v>94.038023653012999</v>
      </c>
      <c r="AK2929">
        <v>76.466203359595497</v>
      </c>
      <c r="AL2929">
        <v>80.808949433700306</v>
      </c>
      <c r="AM2929">
        <v>86.056340264727595</v>
      </c>
      <c r="AN2929">
        <v>1.0000000129236899</v>
      </c>
    </row>
    <row r="2930" spans="1:40" x14ac:dyDescent="0.25">
      <c r="A2930" t="str">
        <f>"20190312164529829"</f>
        <v>20190312164529829</v>
      </c>
      <c r="B2930" t="str">
        <f>"1552380329824157"</f>
        <v>1552380329824157</v>
      </c>
      <c r="C2930" t="s">
        <v>40</v>
      </c>
      <c r="D2930">
        <v>4.4136959999999998</v>
      </c>
      <c r="E2930">
        <v>0.4495382</v>
      </c>
      <c r="F2930" t="s">
        <v>62</v>
      </c>
      <c r="G2930">
        <v>-168.35059999999999</v>
      </c>
      <c r="H2930">
        <v>3.9738250000000002</v>
      </c>
      <c r="I2930">
        <v>221.77430000000001</v>
      </c>
      <c r="J2930">
        <v>-243.8288</v>
      </c>
      <c r="K2930">
        <v>1.109286</v>
      </c>
      <c r="L2930">
        <v>214.23480000000001</v>
      </c>
      <c r="M2930">
        <v>0.9995193</v>
      </c>
      <c r="N2930">
        <v>0</v>
      </c>
      <c r="O2930">
        <v>2.7628489999999999E-2</v>
      </c>
      <c r="P2930">
        <v>0.98843769999999997</v>
      </c>
      <c r="Q2930">
        <v>0.14599970000000001</v>
      </c>
      <c r="R2930">
        <v>-4.0927489999999997E-2</v>
      </c>
      <c r="S2930">
        <v>3.0307010000000001</v>
      </c>
      <c r="T2930">
        <v>0.11445379999999999</v>
      </c>
      <c r="U2930">
        <v>0.3016663</v>
      </c>
      <c r="V2930">
        <v>6.8062830000000005E-2</v>
      </c>
      <c r="W2930">
        <v>0.15993969999999999</v>
      </c>
      <c r="X2930">
        <v>0.98477749999999997</v>
      </c>
      <c r="Y2930">
        <v>-7.1483260000000007E-2</v>
      </c>
      <c r="Z2930">
        <v>-3.0588060000000001E-4</v>
      </c>
      <c r="AA2930">
        <v>0.99744180000000005</v>
      </c>
      <c r="AB2930">
        <v>38</v>
      </c>
      <c r="AC2930">
        <v>75.478200000000001</v>
      </c>
      <c r="AD2930">
        <v>2.86453899999999</v>
      </c>
      <c r="AE2930">
        <v>7.5395000000000003</v>
      </c>
      <c r="AF2930">
        <v>-5.44330352608866</v>
      </c>
      <c r="AG2930">
        <v>2.86453899999999</v>
      </c>
      <c r="AH2930">
        <v>75.5499639611254</v>
      </c>
      <c r="AI2930">
        <v>87.834232222608094</v>
      </c>
      <c r="AJ2930">
        <v>94.120985856519894</v>
      </c>
      <c r="AK2930">
        <v>75.799948492640695</v>
      </c>
      <c r="AL2930">
        <v>80.796603699290301</v>
      </c>
      <c r="AM2930">
        <v>86.046293544970595</v>
      </c>
      <c r="AN2930">
        <v>0.99999999048497401</v>
      </c>
    </row>
    <row r="2931" spans="1:40" x14ac:dyDescent="0.25">
      <c r="A2931" t="str">
        <f>"20190312164529846"</f>
        <v>20190312164529846</v>
      </c>
      <c r="B2931" t="str">
        <f>"1552380329834893"</f>
        <v>1552380329834893</v>
      </c>
      <c r="C2931" t="s">
        <v>40</v>
      </c>
      <c r="D2931">
        <v>4.4005570000000001</v>
      </c>
      <c r="E2931">
        <v>0.44945380000000001</v>
      </c>
      <c r="F2931" t="s">
        <v>62</v>
      </c>
      <c r="G2931">
        <v>-167.84739999999999</v>
      </c>
      <c r="H2931">
        <v>3.8512569999999999</v>
      </c>
      <c r="I2931">
        <v>221.6901</v>
      </c>
      <c r="J2931">
        <v>-243.52869999999999</v>
      </c>
      <c r="K2931">
        <v>1.1092569999999999</v>
      </c>
      <c r="L2931">
        <v>214.2433</v>
      </c>
      <c r="M2931">
        <v>0.99951190000000001</v>
      </c>
      <c r="N2931">
        <v>0</v>
      </c>
      <c r="O2931">
        <v>2.7896420000000002E-2</v>
      </c>
      <c r="P2931">
        <v>0.98847810000000003</v>
      </c>
      <c r="Q2931">
        <v>0.1457842</v>
      </c>
      <c r="R2931">
        <v>-4.0726140000000001E-2</v>
      </c>
      <c r="S2931">
        <v>3.0312350000000001</v>
      </c>
      <c r="T2931">
        <v>0.1093915</v>
      </c>
      <c r="U2931">
        <v>0.29742429999999997</v>
      </c>
      <c r="V2931">
        <v>6.8140210000000007E-2</v>
      </c>
      <c r="W2931">
        <v>0.15971749999999901</v>
      </c>
      <c r="X2931">
        <v>0.98480820000000002</v>
      </c>
      <c r="Y2931">
        <v>-6.9820049999999995E-2</v>
      </c>
      <c r="Z2931">
        <v>-2.5276010000000002E-4</v>
      </c>
      <c r="AA2931">
        <v>0.99755950000000004</v>
      </c>
      <c r="AB2931">
        <v>37</v>
      </c>
      <c r="AC2931">
        <v>75.681299999999993</v>
      </c>
      <c r="AD2931">
        <v>2.742</v>
      </c>
      <c r="AE2931">
        <v>7.4467999999999899</v>
      </c>
      <c r="AF2931">
        <v>-5.3255314966381802</v>
      </c>
      <c r="AG2931">
        <v>2.742</v>
      </c>
      <c r="AH2931">
        <v>75.761103871773699</v>
      </c>
      <c r="AI2931">
        <v>87.932312650740002</v>
      </c>
      <c r="AJ2931">
        <v>94.0209207142655</v>
      </c>
      <c r="AK2931">
        <v>75.9975309440469</v>
      </c>
      <c r="AL2931">
        <v>80.809500511616605</v>
      </c>
      <c r="AM2931">
        <v>86.041935891164698</v>
      </c>
      <c r="AN2931">
        <v>0.99999997940616603</v>
      </c>
    </row>
    <row r="2932" spans="1:40" x14ac:dyDescent="0.25">
      <c r="A2932" t="str">
        <f>"20190312164529862"</f>
        <v>20190312164529862</v>
      </c>
      <c r="B2932" t="str">
        <f>"1552380329854413"</f>
        <v>1552380329854413</v>
      </c>
      <c r="C2932" t="s">
        <v>40</v>
      </c>
      <c r="D2932">
        <v>4.3901529999999998</v>
      </c>
      <c r="E2932">
        <v>0.44941989999999998</v>
      </c>
      <c r="F2932" t="s">
        <v>62</v>
      </c>
      <c r="G2932">
        <v>-168.04079999999999</v>
      </c>
      <c r="H2932">
        <v>3.8174950000000001</v>
      </c>
      <c r="I2932">
        <v>221.6901</v>
      </c>
      <c r="J2932">
        <v>-243.26589999999999</v>
      </c>
      <c r="K2932">
        <v>1.1092249999999999</v>
      </c>
      <c r="L2932">
        <v>214.2509</v>
      </c>
      <c r="M2932">
        <v>0.99950629999999996</v>
      </c>
      <c r="N2932">
        <v>0</v>
      </c>
      <c r="O2932">
        <v>2.810054E-2</v>
      </c>
      <c r="P2932">
        <v>0.98861290000000002</v>
      </c>
      <c r="Q2932">
        <v>0.14501989999999901</v>
      </c>
      <c r="R2932">
        <v>-4.0177659999999997E-2</v>
      </c>
      <c r="S2932">
        <v>3.0312350000000001</v>
      </c>
      <c r="T2932">
        <v>0.1087521</v>
      </c>
      <c r="U2932">
        <v>0.29902649999999997</v>
      </c>
      <c r="V2932">
        <v>6.7810250000000002E-2</v>
      </c>
      <c r="W2932">
        <v>0.15894829999999999</v>
      </c>
      <c r="X2932">
        <v>0.98495540000000004</v>
      </c>
      <c r="Y2932">
        <v>-7.0138800000000001E-2</v>
      </c>
      <c r="Z2932">
        <v>-2.4968549999999999E-4</v>
      </c>
      <c r="AA2932">
        <v>0.99753720000000001</v>
      </c>
      <c r="AB2932">
        <v>37</v>
      </c>
      <c r="AC2932">
        <v>75.225099999999998</v>
      </c>
      <c r="AD2932">
        <v>2.7082700000000002</v>
      </c>
      <c r="AE2932">
        <v>7.4391999999999996</v>
      </c>
      <c r="AF2932">
        <v>-5.3153641366389897</v>
      </c>
      <c r="AG2932">
        <v>2.7082700000000002</v>
      </c>
      <c r="AH2932">
        <v>75.307788537386998</v>
      </c>
      <c r="AI2932">
        <v>87.945484585113803</v>
      </c>
      <c r="AJ2932">
        <v>94.0373474187613</v>
      </c>
      <c r="AK2932">
        <v>75.543701502440001</v>
      </c>
      <c r="AL2932">
        <v>80.854142612336503</v>
      </c>
      <c r="AM2932">
        <v>86.061628634828494</v>
      </c>
      <c r="AN2932">
        <v>0.99999996603355501</v>
      </c>
    </row>
    <row r="2933" spans="1:40" x14ac:dyDescent="0.25">
      <c r="A2933" t="str">
        <f>"20190312164529878"</f>
        <v>20190312164529878</v>
      </c>
      <c r="B2933" t="str">
        <f>"1552380329874909"</f>
        <v>1552380329874909</v>
      </c>
      <c r="C2933" t="s">
        <v>40</v>
      </c>
      <c r="D2933">
        <v>4.5556390000000002</v>
      </c>
      <c r="E2933">
        <v>0.4491136</v>
      </c>
      <c r="F2933" t="s">
        <v>62</v>
      </c>
      <c r="G2933">
        <v>-168.35059999999999</v>
      </c>
      <c r="H2933">
        <v>3.5593129999999999</v>
      </c>
      <c r="I2933">
        <v>221.69450000000001</v>
      </c>
      <c r="J2933">
        <v>-242.99270000000001</v>
      </c>
      <c r="K2933">
        <v>1.1091850000000001</v>
      </c>
      <c r="L2933">
        <v>214.2587</v>
      </c>
      <c r="M2933">
        <v>0.99950090000000003</v>
      </c>
      <c r="N2933">
        <v>0</v>
      </c>
      <c r="O2933">
        <v>2.8285299999999999E-2</v>
      </c>
      <c r="P2933">
        <v>0.98866799999999999</v>
      </c>
      <c r="Q2933">
        <v>0.1447011</v>
      </c>
      <c r="R2933">
        <v>-3.9966519999999998E-2</v>
      </c>
      <c r="S2933">
        <v>3.0322420000000001</v>
      </c>
      <c r="T2933">
        <v>9.9170919999999996E-2</v>
      </c>
      <c r="U2933">
        <v>0.30128480000000002</v>
      </c>
      <c r="V2933">
        <v>6.7796789999999996E-2</v>
      </c>
      <c r="W2933">
        <v>0.1586225</v>
      </c>
      <c r="X2933">
        <v>0.98500889999999997</v>
      </c>
      <c r="Y2933">
        <v>-7.0662069999999993E-2</v>
      </c>
      <c r="Z2933">
        <v>-2.301316E-4</v>
      </c>
      <c r="AA2933">
        <v>0.99750030000000001</v>
      </c>
      <c r="AB2933">
        <v>37</v>
      </c>
      <c r="AC2933">
        <v>74.642099999999999</v>
      </c>
      <c r="AD2933">
        <v>2.4501279999999999</v>
      </c>
      <c r="AE2933">
        <v>7.4358000000000004</v>
      </c>
      <c r="AF2933">
        <v>-5.31566989977118</v>
      </c>
      <c r="AG2933">
        <v>2.4501279999999999</v>
      </c>
      <c r="AH2933">
        <v>74.742831093914106</v>
      </c>
      <c r="AI2933">
        <v>88.127199151070897</v>
      </c>
      <c r="AJ2933">
        <v>94.067995602188802</v>
      </c>
      <c r="AK2933">
        <v>74.971663137702194</v>
      </c>
      <c r="AL2933">
        <v>80.873049922002394</v>
      </c>
      <c r="AM2933">
        <v>86.062621117317505</v>
      </c>
      <c r="AN2933">
        <v>1.00000001765988</v>
      </c>
    </row>
    <row r="2934" spans="1:40" x14ac:dyDescent="0.25">
      <c r="A2934" t="str">
        <f>"20190312164529892"</f>
        <v>20190312164529892</v>
      </c>
      <c r="B2934" t="str">
        <f>"1552380329884669"</f>
        <v>1552380329884669</v>
      </c>
      <c r="C2934" t="s">
        <v>40</v>
      </c>
      <c r="D2934">
        <v>4.4005960000000002</v>
      </c>
      <c r="E2934">
        <v>0.4490326</v>
      </c>
      <c r="F2934" t="s">
        <v>62</v>
      </c>
      <c r="G2934">
        <v>-168.35059999999999</v>
      </c>
      <c r="H2934">
        <v>3.5736690000000002</v>
      </c>
      <c r="I2934">
        <v>221.7516</v>
      </c>
      <c r="J2934">
        <v>-242.75559999999999</v>
      </c>
      <c r="K2934">
        <v>1.1091530000000001</v>
      </c>
      <c r="L2934">
        <v>214.26560000000001</v>
      </c>
      <c r="M2934">
        <v>0.99949710000000003</v>
      </c>
      <c r="N2934">
        <v>0</v>
      </c>
      <c r="O2934">
        <v>2.8424230000000002E-2</v>
      </c>
      <c r="P2934">
        <v>0.98870650000000004</v>
      </c>
      <c r="Q2934">
        <v>0.14449779999999901</v>
      </c>
      <c r="R2934">
        <v>-3.9749060000000003E-2</v>
      </c>
      <c r="S2934">
        <v>3.0320130000000001</v>
      </c>
      <c r="T2934">
        <v>0.1001112</v>
      </c>
      <c r="U2934">
        <v>0.3043671</v>
      </c>
      <c r="V2934">
        <v>6.7729360000000002E-2</v>
      </c>
      <c r="W2934">
        <v>0.15841350000000001</v>
      </c>
      <c r="X2934">
        <v>0.98504720000000001</v>
      </c>
      <c r="Y2934">
        <v>-7.1534E-2</v>
      </c>
      <c r="Z2934">
        <v>-2.421058E-4</v>
      </c>
      <c r="AA2934">
        <v>0.99743809999999999</v>
      </c>
      <c r="AB2934">
        <v>37</v>
      </c>
      <c r="AC2934">
        <v>74.405000000000001</v>
      </c>
      <c r="AD2934">
        <v>2.4645160000000002</v>
      </c>
      <c r="AE2934">
        <v>7.48599999999999</v>
      </c>
      <c r="AF2934">
        <v>-5.3620369448836298</v>
      </c>
      <c r="AG2934">
        <v>2.4645160000000002</v>
      </c>
      <c r="AH2934">
        <v>74.506810863365601</v>
      </c>
      <c r="AI2934">
        <v>88.110360152840101</v>
      </c>
      <c r="AJ2934">
        <v>94.116312735097097</v>
      </c>
      <c r="AK2934">
        <v>74.740150818297707</v>
      </c>
      <c r="AL2934">
        <v>80.885178335826495</v>
      </c>
      <c r="AM2934">
        <v>86.066677354238095</v>
      </c>
      <c r="AN2934">
        <v>1.0000000447080399</v>
      </c>
    </row>
    <row r="2935" spans="1:40" x14ac:dyDescent="0.25">
      <c r="A2935" t="str">
        <f>"20190312164529906"</f>
        <v>20190312164529906</v>
      </c>
      <c r="B2935" t="str">
        <f>"1552380329894429"</f>
        <v>1552380329894429</v>
      </c>
      <c r="C2935" t="s">
        <v>40</v>
      </c>
      <c r="D2935">
        <v>4.4612990000000003</v>
      </c>
      <c r="E2935">
        <v>0.44892969999999999</v>
      </c>
      <c r="F2935" t="s">
        <v>62</v>
      </c>
      <c r="G2935">
        <v>-168.35059999999999</v>
      </c>
      <c r="H2935">
        <v>3.5524429999999998</v>
      </c>
      <c r="I2935">
        <v>221.767</v>
      </c>
      <c r="J2935">
        <v>-242.53</v>
      </c>
      <c r="K2935">
        <v>1.109124</v>
      </c>
      <c r="L2935">
        <v>214.27209999999999</v>
      </c>
      <c r="M2935">
        <v>0.99949399999999999</v>
      </c>
      <c r="N2935">
        <v>0</v>
      </c>
      <c r="O2935">
        <v>2.8536249999999999E-2</v>
      </c>
      <c r="P2935">
        <v>0.98867539999999998</v>
      </c>
      <c r="Q2935">
        <v>0.14463010000000001</v>
      </c>
      <c r="R2935">
        <v>-4.0046640000000001E-2</v>
      </c>
      <c r="S2935">
        <v>3.0319820000000002</v>
      </c>
      <c r="T2935">
        <v>9.9565509999999996E-2</v>
      </c>
      <c r="U2935">
        <v>0.30567929999999999</v>
      </c>
      <c r="V2935">
        <v>6.8147330000000006E-2</v>
      </c>
      <c r="W2935">
        <v>0.15853970000000001</v>
      </c>
      <c r="X2935">
        <v>0.98499800000000004</v>
      </c>
      <c r="Y2935">
        <v>-7.1850730000000002E-2</v>
      </c>
      <c r="Z2935">
        <v>-2.4230629999999999E-4</v>
      </c>
      <c r="AA2935">
        <v>0.99741539999999995</v>
      </c>
      <c r="AB2935">
        <v>37</v>
      </c>
      <c r="AC2935">
        <v>74.179400000000001</v>
      </c>
      <c r="AD2935">
        <v>2.4433189999999998</v>
      </c>
      <c r="AE2935">
        <v>7.4949000000000003</v>
      </c>
      <c r="AF2935">
        <v>-5.3690701765024302</v>
      </c>
      <c r="AG2935">
        <v>2.4433189999999998</v>
      </c>
      <c r="AH2935">
        <v>74.283306244383397</v>
      </c>
      <c r="AI2935">
        <v>88.1210103363413</v>
      </c>
      <c r="AJ2935">
        <v>94.134051864289702</v>
      </c>
      <c r="AK2935">
        <v>74.517154460518796</v>
      </c>
      <c r="AL2935">
        <v>80.877854444611899</v>
      </c>
      <c r="AM2935">
        <v>86.042283963646199</v>
      </c>
      <c r="AN2935">
        <v>0.99999997753310899</v>
      </c>
    </row>
    <row r="2936" spans="1:40" x14ac:dyDescent="0.25">
      <c r="A2936" t="str">
        <f>"20190312164529923"</f>
        <v>20190312164529923</v>
      </c>
      <c r="B2936" t="str">
        <f>"1552380329914925"</f>
        <v>1552380329914925</v>
      </c>
      <c r="C2936" t="s">
        <v>40</v>
      </c>
      <c r="D2936">
        <v>4.5369780000000004</v>
      </c>
      <c r="E2936">
        <v>0.448797</v>
      </c>
      <c r="F2936" t="s">
        <v>62</v>
      </c>
      <c r="G2936">
        <v>-168.35059999999999</v>
      </c>
      <c r="H2936">
        <v>3.5589409999999999</v>
      </c>
      <c r="I2936">
        <v>221.7561</v>
      </c>
      <c r="J2936">
        <v>-242.24189999999999</v>
      </c>
      <c r="K2936">
        <v>1.109089</v>
      </c>
      <c r="L2936">
        <v>214.28049999999999</v>
      </c>
      <c r="M2936">
        <v>0.99949069999999995</v>
      </c>
      <c r="N2936">
        <v>0</v>
      </c>
      <c r="O2936">
        <v>2.8652529999999999E-2</v>
      </c>
      <c r="P2936">
        <v>0.98860939999999997</v>
      </c>
      <c r="Q2936">
        <v>0.14501539999999999</v>
      </c>
      <c r="R2936">
        <v>-4.0276619999999999E-2</v>
      </c>
      <c r="S2936">
        <v>3.0321039999999999</v>
      </c>
      <c r="T2936">
        <v>0.10013909999999999</v>
      </c>
      <c r="U2936">
        <v>0.30590820000000002</v>
      </c>
      <c r="V2936">
        <v>6.8502850000000004E-2</v>
      </c>
      <c r="W2936">
        <v>0.1589168</v>
      </c>
      <c r="X2936">
        <v>0.98491260000000003</v>
      </c>
      <c r="Y2936">
        <v>-7.1805030000000006E-2</v>
      </c>
      <c r="Z2936">
        <v>-2.3911280000000001E-4</v>
      </c>
      <c r="AA2936">
        <v>0.99741860000000004</v>
      </c>
      <c r="AB2936">
        <v>37</v>
      </c>
      <c r="AC2936">
        <v>73.891300000000001</v>
      </c>
      <c r="AD2936">
        <v>2.4498519999999999</v>
      </c>
      <c r="AE2936">
        <v>7.4756000000000098</v>
      </c>
      <c r="AF2936">
        <v>-5.3493278680363296</v>
      </c>
      <c r="AG2936">
        <v>2.4498519999999999</v>
      </c>
      <c r="AH2936">
        <v>73.994658699468303</v>
      </c>
      <c r="AI2936">
        <v>88.108647873731897</v>
      </c>
      <c r="AJ2936">
        <v>94.134915092645002</v>
      </c>
      <c r="AK2936">
        <v>74.228206225884605</v>
      </c>
      <c r="AL2936">
        <v>80.855971067821997</v>
      </c>
      <c r="AM2936">
        <v>86.0213591108419</v>
      </c>
      <c r="AN2936">
        <v>1.00000000970956</v>
      </c>
    </row>
    <row r="2937" spans="1:40" x14ac:dyDescent="0.25">
      <c r="A2937" t="str">
        <f>"20190312164529941"</f>
        <v>20190312164529941</v>
      </c>
      <c r="B2937" t="str">
        <f>"1552380329934448"</f>
        <v>1552380329934448</v>
      </c>
      <c r="C2937" t="s">
        <v>40</v>
      </c>
      <c r="D2937">
        <v>4.5739029999999996</v>
      </c>
      <c r="E2937">
        <v>0.44833420000000002</v>
      </c>
      <c r="F2937" t="s">
        <v>62</v>
      </c>
      <c r="G2937">
        <v>-168.35059999999999</v>
      </c>
      <c r="H2937">
        <v>3.3607999999999998</v>
      </c>
      <c r="I2937">
        <v>221.74760000000001</v>
      </c>
      <c r="J2937">
        <v>-241.9562</v>
      </c>
      <c r="K2937">
        <v>1.1090549999999999</v>
      </c>
      <c r="L2937">
        <v>214.28880000000001</v>
      </c>
      <c r="M2937">
        <v>0.99948820000000005</v>
      </c>
      <c r="N2937">
        <v>0</v>
      </c>
      <c r="O2937">
        <v>2.874357E-2</v>
      </c>
      <c r="P2937">
        <v>0.98857260000000002</v>
      </c>
      <c r="Q2937">
        <v>0.1452543</v>
      </c>
      <c r="R2937">
        <v>-4.0322249999999997E-2</v>
      </c>
      <c r="S2937">
        <v>3.033493</v>
      </c>
      <c r="T2937">
        <v>9.2442750000000004E-2</v>
      </c>
      <c r="U2937">
        <v>0.30654910000000002</v>
      </c>
      <c r="V2937">
        <v>6.8649440000000006E-2</v>
      </c>
      <c r="W2937">
        <v>0.1591475</v>
      </c>
      <c r="X2937">
        <v>0.98486510000000005</v>
      </c>
      <c r="Y2937">
        <v>-7.1880650000000004E-2</v>
      </c>
      <c r="Z2937">
        <v>-2.1902679999999999E-4</v>
      </c>
      <c r="AA2937">
        <v>0.9974132</v>
      </c>
      <c r="AB2937">
        <v>37</v>
      </c>
      <c r="AC2937">
        <v>73.605599999999995</v>
      </c>
      <c r="AD2937">
        <v>2.2517450000000001</v>
      </c>
      <c r="AE2937">
        <v>7.4587999999999903</v>
      </c>
      <c r="AF2937">
        <v>-5.33487923756444</v>
      </c>
      <c r="AG2937">
        <v>2.2517450000000001</v>
      </c>
      <c r="AH2937">
        <v>73.721302720245106</v>
      </c>
      <c r="AI2937">
        <v>88.255060566078896</v>
      </c>
      <c r="AJ2937">
        <v>94.139022999898103</v>
      </c>
      <c r="AK2937">
        <v>73.948372306592603</v>
      </c>
      <c r="AL2937">
        <v>80.842582163222303</v>
      </c>
      <c r="AM2937">
        <v>86.012680925237603</v>
      </c>
      <c r="AN2937">
        <v>0.99999996878328601</v>
      </c>
    </row>
    <row r="2938" spans="1:40" x14ac:dyDescent="0.25">
      <c r="A2938" t="str">
        <f>"20190312164529962"</f>
        <v>20190312164529962</v>
      </c>
      <c r="B2938" t="str">
        <f>"1552380329954941"</f>
        <v>1552380329954941</v>
      </c>
      <c r="C2938" t="s">
        <v>40</v>
      </c>
      <c r="D2938">
        <v>4.597969</v>
      </c>
      <c r="E2938">
        <v>0.44785979999999997</v>
      </c>
      <c r="F2938" t="s">
        <v>62</v>
      </c>
      <c r="G2938">
        <v>-168.35059999999999</v>
      </c>
      <c r="H2938">
        <v>3.0945309999999999</v>
      </c>
      <c r="I2938">
        <v>221.82499999999999</v>
      </c>
      <c r="J2938">
        <v>-241.58459999999999</v>
      </c>
      <c r="K2938">
        <v>1.1090199999999999</v>
      </c>
      <c r="L2938">
        <v>214.2996</v>
      </c>
      <c r="M2938">
        <v>0.99948559999999997</v>
      </c>
      <c r="N2938">
        <v>0</v>
      </c>
      <c r="O2938">
        <v>2.883032E-2</v>
      </c>
      <c r="P2938">
        <v>0.98862550000000005</v>
      </c>
      <c r="Q2938">
        <v>0.14486379999999999</v>
      </c>
      <c r="R2938">
        <v>-4.0428579999999999E-2</v>
      </c>
      <c r="S2938">
        <v>3.035339</v>
      </c>
      <c r="T2938">
        <v>8.1879019999999997E-2</v>
      </c>
      <c r="U2938">
        <v>0.31077579999999999</v>
      </c>
      <c r="V2938">
        <v>6.8857909999999994E-2</v>
      </c>
      <c r="W2938">
        <v>0.15874920000000001</v>
      </c>
      <c r="X2938">
        <v>0.98491479999999998</v>
      </c>
      <c r="Y2938">
        <v>-7.3111880000000004E-2</v>
      </c>
      <c r="Z2938">
        <v>-2.0810880000000001E-4</v>
      </c>
      <c r="AA2938">
        <v>0.99732379999999998</v>
      </c>
      <c r="AB2938">
        <v>37</v>
      </c>
      <c r="AC2938">
        <v>73.233999999999995</v>
      </c>
      <c r="AD2938">
        <v>1.985511</v>
      </c>
      <c r="AE2938">
        <v>7.5253999999999897</v>
      </c>
      <c r="AF2938">
        <v>-5.4067704616093204</v>
      </c>
      <c r="AG2938">
        <v>1.985511</v>
      </c>
      <c r="AH2938">
        <v>73.367167865520301</v>
      </c>
      <c r="AI2938">
        <v>88.4539923394792</v>
      </c>
      <c r="AJ2938">
        <v>94.214775530570506</v>
      </c>
      <c r="AK2938">
        <v>73.592912303856295</v>
      </c>
      <c r="AL2938">
        <v>80.865696684587306</v>
      </c>
      <c r="AM2938">
        <v>86.000812895926998</v>
      </c>
      <c r="AN2938">
        <v>0.99999994176462204</v>
      </c>
    </row>
    <row r="2939" spans="1:40" x14ac:dyDescent="0.25">
      <c r="A2939" t="str">
        <f>"20190312164529986"</f>
        <v>20190312164529986</v>
      </c>
      <c r="B2939" t="str">
        <f>"1552380329974461"</f>
        <v>1552380329974461</v>
      </c>
      <c r="C2939" t="s">
        <v>40</v>
      </c>
      <c r="D2939">
        <v>4.6118100000000002</v>
      </c>
      <c r="E2939">
        <v>0.44771129999999998</v>
      </c>
      <c r="F2939" t="s">
        <v>62</v>
      </c>
      <c r="G2939">
        <v>-168.35059999999999</v>
      </c>
      <c r="H2939">
        <v>3.0300310000000001</v>
      </c>
      <c r="I2939">
        <v>221.88159999999999</v>
      </c>
      <c r="J2939">
        <v>-241.21270000000001</v>
      </c>
      <c r="K2939">
        <v>1.1089869999999999</v>
      </c>
      <c r="L2939">
        <v>214.31039999999999</v>
      </c>
      <c r="M2939">
        <v>0.99948389999999998</v>
      </c>
      <c r="N2939">
        <v>0</v>
      </c>
      <c r="O2939">
        <v>2.8886060000000002E-2</v>
      </c>
      <c r="P2939">
        <v>0.98865879999999995</v>
      </c>
      <c r="Q2939">
        <v>0.14452989999999999</v>
      </c>
      <c r="R2939">
        <v>-4.0802199999999997E-2</v>
      </c>
      <c r="S2939">
        <v>3.0356749999999999</v>
      </c>
      <c r="T2939">
        <v>7.9631450000000006E-2</v>
      </c>
      <c r="U2939">
        <v>0.31428529999999999</v>
      </c>
      <c r="V2939">
        <v>6.9301500000000002E-2</v>
      </c>
      <c r="W2939">
        <v>0.158407399999999</v>
      </c>
      <c r="X2939">
        <v>0.9849388</v>
      </c>
      <c r="Y2939">
        <v>-7.4186479999999999E-2</v>
      </c>
      <c r="Z2939">
        <v>-2.1496500000000001E-4</v>
      </c>
      <c r="AA2939">
        <v>0.99724440000000003</v>
      </c>
      <c r="AB2939">
        <v>37</v>
      </c>
      <c r="AC2939">
        <v>72.862099999999998</v>
      </c>
      <c r="AD2939">
        <v>1.921044</v>
      </c>
      <c r="AE2939">
        <v>7.5712000000000002</v>
      </c>
      <c r="AF2939">
        <v>-5.4593786178996098</v>
      </c>
      <c r="AG2939">
        <v>1.921044</v>
      </c>
      <c r="AH2939">
        <v>73.000209983992505</v>
      </c>
      <c r="AI2939">
        <v>88.496771264959307</v>
      </c>
      <c r="AJ2939">
        <v>94.276948646908593</v>
      </c>
      <c r="AK2939">
        <v>73.229269302994695</v>
      </c>
      <c r="AL2939">
        <v>80.885532091744096</v>
      </c>
      <c r="AM2939">
        <v>85.975231859604904</v>
      </c>
      <c r="AN2939">
        <v>1.0000000210112201</v>
      </c>
    </row>
    <row r="2940" spans="1:40" x14ac:dyDescent="0.25">
      <c r="A2940" t="str">
        <f>"20190312164530007"</f>
        <v>20190312164530007</v>
      </c>
      <c r="B2940" t="str">
        <f>"1552380330004717"</f>
        <v>1552380330004717</v>
      </c>
      <c r="C2940" t="s">
        <v>40</v>
      </c>
      <c r="D2940">
        <v>4.4935299999999998</v>
      </c>
      <c r="E2940">
        <v>0.4474629</v>
      </c>
      <c r="F2940" t="s">
        <v>62</v>
      </c>
      <c r="G2940">
        <v>-168.35059999999999</v>
      </c>
      <c r="H2940">
        <v>3.019854</v>
      </c>
      <c r="I2940">
        <v>221.85149999999999</v>
      </c>
      <c r="J2940">
        <v>-240.8434</v>
      </c>
      <c r="K2940">
        <v>1.1089610000000001</v>
      </c>
      <c r="L2940">
        <v>214.3212</v>
      </c>
      <c r="M2940">
        <v>0.99948300000000001</v>
      </c>
      <c r="N2940">
        <v>0</v>
      </c>
      <c r="O2940">
        <v>2.8918559999999999E-2</v>
      </c>
      <c r="P2940">
        <v>0.98866449999999995</v>
      </c>
      <c r="Q2940">
        <v>0.14432120000000001</v>
      </c>
      <c r="R2940">
        <v>-4.1401920000000002E-2</v>
      </c>
      <c r="S2940">
        <v>3.0357509999999999</v>
      </c>
      <c r="T2940">
        <v>7.9617259999999995E-2</v>
      </c>
      <c r="U2940">
        <v>0.31419370000000002</v>
      </c>
      <c r="V2940">
        <v>6.9945370000000007E-2</v>
      </c>
      <c r="W2940">
        <v>0.15819129999999901</v>
      </c>
      <c r="X2940">
        <v>0.98492800000000003</v>
      </c>
      <c r="Y2940">
        <v>-7.412175E-2</v>
      </c>
      <c r="Z2940">
        <v>-2.1322600000000001E-4</v>
      </c>
      <c r="AA2940">
        <v>0.99724919999999995</v>
      </c>
      <c r="AB2940">
        <v>37</v>
      </c>
      <c r="AC2940">
        <v>72.492800000000003</v>
      </c>
      <c r="AD2940">
        <v>1.910893</v>
      </c>
      <c r="AE2940">
        <v>7.53029999999998</v>
      </c>
      <c r="AF2940">
        <v>-5.42682509957256</v>
      </c>
      <c r="AG2940">
        <v>1.910893</v>
      </c>
      <c r="AH2940">
        <v>72.630334837590595</v>
      </c>
      <c r="AI2940">
        <v>88.497091964710094</v>
      </c>
      <c r="AJ2940">
        <v>94.273110859150705</v>
      </c>
      <c r="AK2940">
        <v>72.857858061703396</v>
      </c>
      <c r="AL2940">
        <v>80.898071661742804</v>
      </c>
      <c r="AM2940">
        <v>85.9379185411305</v>
      </c>
      <c r="AN2940">
        <v>1.00000000368206</v>
      </c>
    </row>
    <row r="2941" spans="1:40" x14ac:dyDescent="0.25">
      <c r="A2941" t="str">
        <f>"20190312164530030"</f>
        <v>20190312164530030</v>
      </c>
      <c r="B2941" t="str">
        <f>"1552380330024238"</f>
        <v>1552380330024238</v>
      </c>
      <c r="C2941" t="s">
        <v>40</v>
      </c>
      <c r="D2941">
        <v>4.4908390000000002</v>
      </c>
      <c r="E2941">
        <v>0.44735029999999998</v>
      </c>
      <c r="F2941" t="s">
        <v>62</v>
      </c>
      <c r="G2941">
        <v>-168.35059999999999</v>
      </c>
      <c r="H2941">
        <v>3.0434190000000001</v>
      </c>
      <c r="I2941">
        <v>221.8263</v>
      </c>
      <c r="J2941">
        <v>-240.47450000000001</v>
      </c>
      <c r="K2941">
        <v>1.1089389999999999</v>
      </c>
      <c r="L2941">
        <v>214.33189999999999</v>
      </c>
      <c r="M2941">
        <v>0.9994826</v>
      </c>
      <c r="N2941">
        <v>0</v>
      </c>
      <c r="O2941">
        <v>2.893476E-2</v>
      </c>
      <c r="P2941">
        <v>0.98860530000000002</v>
      </c>
      <c r="Q2941">
        <v>0.14452079999999901</v>
      </c>
      <c r="R2941">
        <v>-4.2115809999999997E-2</v>
      </c>
      <c r="S2941">
        <v>3.0357210000000001</v>
      </c>
      <c r="T2941">
        <v>8.1009979999999995E-2</v>
      </c>
      <c r="U2941">
        <v>0.31428529999999999</v>
      </c>
      <c r="V2941">
        <v>7.0683170000000003E-2</v>
      </c>
      <c r="W2941">
        <v>0.15838389999999999</v>
      </c>
      <c r="X2941">
        <v>0.98484439999999995</v>
      </c>
      <c r="Y2941">
        <v>-7.4135850000000003E-2</v>
      </c>
      <c r="Z2941">
        <v>-2.1671329999999999E-4</v>
      </c>
      <c r="AA2941">
        <v>0.99724809999999997</v>
      </c>
      <c r="AB2941">
        <v>37</v>
      </c>
      <c r="AC2941">
        <v>72.123900000000006</v>
      </c>
      <c r="AD2941">
        <v>1.93448</v>
      </c>
      <c r="AE2941">
        <v>7.4944000000000104</v>
      </c>
      <c r="AF2941">
        <v>-5.4003243495930899</v>
      </c>
      <c r="AG2941">
        <v>1.93448</v>
      </c>
      <c r="AH2941">
        <v>72.259138081891706</v>
      </c>
      <c r="AI2941">
        <v>88.470739489095493</v>
      </c>
      <c r="AJ2941">
        <v>94.2740842775018</v>
      </c>
      <c r="AK2941">
        <v>72.486472891768599</v>
      </c>
      <c r="AL2941">
        <v>80.886895851988498</v>
      </c>
      <c r="AM2941">
        <v>85.894869215634401</v>
      </c>
      <c r="AN2941">
        <v>1.0000000312559001</v>
      </c>
    </row>
    <row r="2942" spans="1:40" x14ac:dyDescent="0.25">
      <c r="A2942" t="str">
        <f>"20190312164530046"</f>
        <v>20190312164530046</v>
      </c>
      <c r="B2942" t="str">
        <f>"1552380330044733"</f>
        <v>1552380330044733</v>
      </c>
      <c r="C2942" t="s">
        <v>40</v>
      </c>
      <c r="D2942">
        <v>4.4641659999999996</v>
      </c>
      <c r="E2942">
        <v>0.44696849999999999</v>
      </c>
      <c r="F2942" t="s">
        <v>62</v>
      </c>
      <c r="G2942">
        <v>-168.35059999999999</v>
      </c>
      <c r="H2942">
        <v>2.982224</v>
      </c>
      <c r="I2942">
        <v>221.7696</v>
      </c>
      <c r="J2942">
        <v>-240.1842</v>
      </c>
      <c r="K2942">
        <v>1.108927</v>
      </c>
      <c r="L2942">
        <v>214.34030000000001</v>
      </c>
      <c r="M2942">
        <v>0.99948250000000005</v>
      </c>
      <c r="N2942">
        <v>0</v>
      </c>
      <c r="O2942">
        <v>2.8939980000000001E-2</v>
      </c>
      <c r="P2942">
        <v>0.98852249999999997</v>
      </c>
      <c r="Q2942">
        <v>0.1449223</v>
      </c>
      <c r="R2942">
        <v>-4.2673540000000003E-2</v>
      </c>
      <c r="S2942">
        <v>3.0363920000000002</v>
      </c>
      <c r="T2942">
        <v>7.8866839999999994E-2</v>
      </c>
      <c r="U2942">
        <v>0.3131256</v>
      </c>
      <c r="V2942">
        <v>7.1249930000000003E-2</v>
      </c>
      <c r="W2942">
        <v>0.1587789</v>
      </c>
      <c r="X2942">
        <v>0.9847399</v>
      </c>
      <c r="Y2942">
        <v>-7.3732149999999996E-2</v>
      </c>
      <c r="Z2942">
        <v>-2.0557569999999999E-4</v>
      </c>
      <c r="AA2942">
        <v>0.997278</v>
      </c>
      <c r="AB2942">
        <v>37</v>
      </c>
      <c r="AC2942">
        <v>71.833600000000004</v>
      </c>
      <c r="AD2942">
        <v>1.873297</v>
      </c>
      <c r="AE2942">
        <v>7.42929999999998</v>
      </c>
      <c r="AF2942">
        <v>-5.3435241204443198</v>
      </c>
      <c r="AG2942">
        <v>1.873297</v>
      </c>
      <c r="AH2942">
        <v>71.970104429988098</v>
      </c>
      <c r="AI2942">
        <v>88.513085896001698</v>
      </c>
      <c r="AJ2942">
        <v>94.246216685025601</v>
      </c>
      <c r="AK2942">
        <v>72.192509468360896</v>
      </c>
      <c r="AL2942">
        <v>80.863973502072497</v>
      </c>
      <c r="AM2942">
        <v>85.861629274916993</v>
      </c>
      <c r="AN2942">
        <v>0.99999998113111199</v>
      </c>
    </row>
    <row r="2943" spans="1:40" x14ac:dyDescent="0.25">
      <c r="A2943" t="str">
        <f>"20190312164530063"</f>
        <v>20190312164530063</v>
      </c>
      <c r="B2943" t="str">
        <f>"1552380330054493"</f>
        <v>1552380330054493</v>
      </c>
      <c r="C2943" t="s">
        <v>40</v>
      </c>
      <c r="D2943">
        <v>4.3458579999999998</v>
      </c>
      <c r="E2943">
        <v>0.44693880000000002</v>
      </c>
      <c r="F2943" t="s">
        <v>62</v>
      </c>
      <c r="G2943">
        <v>-168.35059999999999</v>
      </c>
      <c r="H2943">
        <v>2.9318849999999999</v>
      </c>
      <c r="I2943">
        <v>221.78059999999999</v>
      </c>
      <c r="J2943">
        <v>-239.92400000000001</v>
      </c>
      <c r="K2943">
        <v>1.108916</v>
      </c>
      <c r="L2943">
        <v>214.34790000000001</v>
      </c>
      <c r="M2943">
        <v>0.99948250000000005</v>
      </c>
      <c r="N2943">
        <v>0</v>
      </c>
      <c r="O2943">
        <v>2.8941290000000001E-2</v>
      </c>
      <c r="P2943">
        <v>0.98842450000000004</v>
      </c>
      <c r="Q2943">
        <v>0.14525940000000001</v>
      </c>
      <c r="R2943">
        <v>-4.3780670000000001E-2</v>
      </c>
      <c r="S2943">
        <v>3.0371250000000001</v>
      </c>
      <c r="T2943">
        <v>7.7076909999999998E-2</v>
      </c>
      <c r="U2943">
        <v>0.3145752</v>
      </c>
      <c r="V2943">
        <v>7.2359549999999995E-2</v>
      </c>
      <c r="W2943">
        <v>0.1591108</v>
      </c>
      <c r="X2943">
        <v>0.98460539999999996</v>
      </c>
      <c r="Y2943">
        <v>-7.4177800000000002E-2</v>
      </c>
      <c r="Z2943">
        <v>-2.0646569999999999E-4</v>
      </c>
      <c r="AA2943">
        <v>0.99724500000000005</v>
      </c>
      <c r="AB2943">
        <v>37</v>
      </c>
      <c r="AC2943">
        <v>71.573400000000007</v>
      </c>
      <c r="AD2943">
        <v>1.8229690000000001</v>
      </c>
      <c r="AE2943">
        <v>7.4326999999999801</v>
      </c>
      <c r="AF2943">
        <v>-5.3545186883860598</v>
      </c>
      <c r="AG2943">
        <v>1.8229690000000001</v>
      </c>
      <c r="AH2943">
        <v>71.712521274335501</v>
      </c>
      <c r="AI2943">
        <v>88.547866077812401</v>
      </c>
      <c r="AJ2943">
        <v>94.270148194836693</v>
      </c>
      <c r="AK2943">
        <v>71.935247228888201</v>
      </c>
      <c r="AL2943">
        <v>80.844712091680094</v>
      </c>
      <c r="AM2943">
        <v>85.796836947308705</v>
      </c>
      <c r="AN2943">
        <v>0.99999997243100003</v>
      </c>
    </row>
    <row r="2944" spans="1:40" x14ac:dyDescent="0.25">
      <c r="A2944" t="str">
        <f>"20190312164530080"</f>
        <v>20190312164530080</v>
      </c>
      <c r="B2944" t="str">
        <f>"1552380330074013"</f>
        <v>1552380330074013</v>
      </c>
      <c r="C2944" t="s">
        <v>40</v>
      </c>
      <c r="D2944">
        <v>4.9282199999999996</v>
      </c>
      <c r="E2944">
        <v>0.44701039999999997</v>
      </c>
      <c r="F2944" t="s">
        <v>62</v>
      </c>
      <c r="G2944">
        <v>-168.3398</v>
      </c>
      <c r="H2944">
        <v>2.959101</v>
      </c>
      <c r="I2944">
        <v>221.6901</v>
      </c>
      <c r="J2944">
        <v>-239.63149999999999</v>
      </c>
      <c r="K2944">
        <v>1.1089089999999999</v>
      </c>
      <c r="L2944">
        <v>214.3563</v>
      </c>
      <c r="M2944">
        <v>0.99948250000000005</v>
      </c>
      <c r="N2944">
        <v>0</v>
      </c>
      <c r="O2944">
        <v>2.8940469999999999E-2</v>
      </c>
      <c r="P2944">
        <v>0.9884136</v>
      </c>
      <c r="Q2944">
        <v>0.14505979999999999</v>
      </c>
      <c r="R2944">
        <v>-4.4678860000000001E-2</v>
      </c>
      <c r="S2944">
        <v>3.0373990000000002</v>
      </c>
      <c r="T2944">
        <v>7.8507779999999999E-2</v>
      </c>
      <c r="U2944">
        <v>0.3115387</v>
      </c>
      <c r="V2944">
        <v>7.3260279999999997E-2</v>
      </c>
      <c r="W2944">
        <v>0.158906399999999</v>
      </c>
      <c r="X2944">
        <v>0.9845718</v>
      </c>
      <c r="Y2944">
        <v>-7.3182650000000002E-2</v>
      </c>
      <c r="Z2944">
        <v>-1.974822E-4</v>
      </c>
      <c r="AA2944">
        <v>0.9973185</v>
      </c>
      <c r="AB2944">
        <v>37</v>
      </c>
      <c r="AC2944">
        <v>71.291699999999906</v>
      </c>
      <c r="AD2944">
        <v>1.8501919999999901</v>
      </c>
      <c r="AE2944">
        <v>7.3337999999999903</v>
      </c>
      <c r="AF2944">
        <v>-5.2638005942969901</v>
      </c>
      <c r="AG2944">
        <v>1.8501919999999901</v>
      </c>
      <c r="AH2944">
        <v>71.426493209010005</v>
      </c>
      <c r="AI2944">
        <v>88.520185143149405</v>
      </c>
      <c r="AJ2944">
        <v>94.214813462496707</v>
      </c>
      <c r="AK2944">
        <v>71.644083770191003</v>
      </c>
      <c r="AL2944">
        <v>80.856574256045107</v>
      </c>
      <c r="AM2944">
        <v>85.744562396140196</v>
      </c>
      <c r="AN2944">
        <v>0.99999997097093796</v>
      </c>
    </row>
    <row r="2945" spans="1:40" x14ac:dyDescent="0.25">
      <c r="A2945" t="str">
        <f>"20190312164530096"</f>
        <v>20190312164530096</v>
      </c>
      <c r="B2945" t="str">
        <f>"1552380330084749"</f>
        <v>1552380330084749</v>
      </c>
      <c r="C2945" t="s">
        <v>40</v>
      </c>
      <c r="D2945">
        <v>4.7767609999999996</v>
      </c>
      <c r="E2945">
        <v>0.44898589999999999</v>
      </c>
      <c r="F2945" t="s">
        <v>62</v>
      </c>
      <c r="G2945">
        <v>-167.41409999999999</v>
      </c>
      <c r="H2945">
        <v>2.9520110000000002</v>
      </c>
      <c r="I2945">
        <v>221.6901</v>
      </c>
      <c r="J2945">
        <v>-239.3725</v>
      </c>
      <c r="K2945">
        <v>1.1089020000000001</v>
      </c>
      <c r="L2945">
        <v>214.3638</v>
      </c>
      <c r="M2945">
        <v>0.9994826</v>
      </c>
      <c r="N2945">
        <v>0</v>
      </c>
      <c r="O2945">
        <v>2.89384E-2</v>
      </c>
      <c r="P2945">
        <v>0.98828260000000001</v>
      </c>
      <c r="Q2945">
        <v>0.14523420000000001</v>
      </c>
      <c r="R2945">
        <v>-4.6955570000000002E-2</v>
      </c>
      <c r="S2945">
        <v>3.03775</v>
      </c>
      <c r="T2945">
        <v>7.7530499999999905E-2</v>
      </c>
      <c r="U2945">
        <v>0.30848690000000001</v>
      </c>
      <c r="V2945">
        <v>7.5532779999999994E-2</v>
      </c>
      <c r="W2945">
        <v>0.15907550000000001</v>
      </c>
      <c r="X2945">
        <v>0.98437280000000005</v>
      </c>
      <c r="Y2945">
        <v>-7.2182099999999999E-2</v>
      </c>
      <c r="Z2945">
        <v>-1.8232900000000001E-4</v>
      </c>
      <c r="AA2945">
        <v>0.99739149999999999</v>
      </c>
      <c r="AB2945">
        <v>37</v>
      </c>
      <c r="AC2945">
        <v>71.958399999999997</v>
      </c>
      <c r="AD2945">
        <v>1.8431090000000001</v>
      </c>
      <c r="AE2945">
        <v>7.3262999999999998</v>
      </c>
      <c r="AF2945">
        <v>-5.2372642333555897</v>
      </c>
      <c r="AG2945">
        <v>1.8431090000000001</v>
      </c>
      <c r="AH2945">
        <v>72.093478038218606</v>
      </c>
      <c r="AI2945">
        <v>88.539368615795496</v>
      </c>
      <c r="AJ2945">
        <v>94.154979688444698</v>
      </c>
      <c r="AK2945">
        <v>72.3069537671376</v>
      </c>
      <c r="AL2945">
        <v>80.846761094627496</v>
      </c>
      <c r="AM2945">
        <v>85.612184884349901</v>
      </c>
      <c r="AN2945">
        <v>1.0000000124673001</v>
      </c>
    </row>
    <row r="2946" spans="1:40" x14ac:dyDescent="0.25">
      <c r="A2946" t="str">
        <f>"20190312164530115"</f>
        <v>20190312164530115</v>
      </c>
      <c r="B2946" t="str">
        <f>"1552380330104269"</f>
        <v>1552380330104269</v>
      </c>
      <c r="C2946" t="s">
        <v>40</v>
      </c>
      <c r="D2946">
        <v>4.6720600000000001</v>
      </c>
      <c r="E2946">
        <v>0.52647100000000002</v>
      </c>
      <c r="F2946" t="s">
        <v>62</v>
      </c>
      <c r="G2946">
        <v>-157.25</v>
      </c>
      <c r="H2946">
        <v>2.9010570000000002</v>
      </c>
      <c r="I2946">
        <v>222.11340000000001</v>
      </c>
      <c r="J2946">
        <v>-239.06</v>
      </c>
      <c r="K2946">
        <v>1.108897</v>
      </c>
      <c r="L2946">
        <v>214.37289999999999</v>
      </c>
      <c r="M2946">
        <v>0.99948269999999995</v>
      </c>
      <c r="N2946">
        <v>0</v>
      </c>
      <c r="O2946">
        <v>2.8934769999999999E-2</v>
      </c>
      <c r="P2946">
        <v>0.98821049999999999</v>
      </c>
      <c r="Q2946">
        <v>0.1453391</v>
      </c>
      <c r="R2946">
        <v>-4.8132649999999999E-2</v>
      </c>
      <c r="S2946">
        <v>3.039444</v>
      </c>
      <c r="T2946">
        <v>6.633174E-2</v>
      </c>
      <c r="U2946">
        <v>0.28681950000000001</v>
      </c>
      <c r="V2946">
        <v>7.6706510000000006E-2</v>
      </c>
      <c r="W2946">
        <v>0.1591757</v>
      </c>
      <c r="X2946">
        <v>0.98426579999999997</v>
      </c>
      <c r="Y2946">
        <v>-6.5090880000000004E-2</v>
      </c>
      <c r="Z2946" s="1">
        <v>-7.8832209999999994E-5</v>
      </c>
      <c r="AA2946">
        <v>0.99787930000000002</v>
      </c>
      <c r="AB2946">
        <v>37</v>
      </c>
      <c r="AC2946">
        <v>81.81</v>
      </c>
      <c r="AD2946">
        <v>1.79215999999999</v>
      </c>
      <c r="AE2946">
        <v>7.7405000000000204</v>
      </c>
      <c r="AF2946">
        <v>-5.3673186998392</v>
      </c>
      <c r="AG2946">
        <v>1.79215999999999</v>
      </c>
      <c r="AH2946">
        <v>81.960748137981398</v>
      </c>
      <c r="AI2946">
        <v>88.750042194723505</v>
      </c>
      <c r="AJ2946">
        <v>93.746747551708694</v>
      </c>
      <c r="AK2946">
        <v>82.155853004085301</v>
      </c>
      <c r="AL2946">
        <v>80.840945650325295</v>
      </c>
      <c r="AM2946">
        <v>85.543791158651601</v>
      </c>
      <c r="AN2946">
        <v>0.99999997859825396</v>
      </c>
    </row>
    <row r="2947" spans="1:40" x14ac:dyDescent="0.25">
      <c r="A2947" t="str">
        <f>"20190312164530130"</f>
        <v>20190312164530130</v>
      </c>
      <c r="B2947" t="str">
        <f>"1552380330124768"</f>
        <v>1552380330124768</v>
      </c>
      <c r="C2947" t="s">
        <v>40</v>
      </c>
      <c r="D2947">
        <v>4.5633839999999903</v>
      </c>
      <c r="E2947">
        <v>0.5280726</v>
      </c>
      <c r="F2947" t="s">
        <v>60</v>
      </c>
      <c r="G2947">
        <v>-168.4109</v>
      </c>
      <c r="H2947">
        <v>1.4236759999999999</v>
      </c>
      <c r="I2947">
        <v>206.6009</v>
      </c>
      <c r="J2947">
        <v>-238.8099</v>
      </c>
      <c r="K2947">
        <v>1.1088960000000001</v>
      </c>
      <c r="L2947">
        <v>214.3801</v>
      </c>
      <c r="M2947">
        <v>0.99948289999999995</v>
      </c>
      <c r="N2947">
        <v>0</v>
      </c>
      <c r="O2947">
        <v>2.8929860000000002E-2</v>
      </c>
      <c r="P2947">
        <v>0.98808560000000001</v>
      </c>
      <c r="Q2947">
        <v>0.145343</v>
      </c>
      <c r="R2947">
        <v>-5.0620129999999999E-2</v>
      </c>
      <c r="S2947">
        <v>3.0176699999999999</v>
      </c>
      <c r="T2947">
        <v>1.3446690000000001E-2</v>
      </c>
      <c r="U2947">
        <v>-0.33197019999999999</v>
      </c>
      <c r="V2947">
        <v>7.9186800000000002E-2</v>
      </c>
      <c r="W2947">
        <v>0.15917429999999999</v>
      </c>
      <c r="X2947">
        <v>0.98406959999999999</v>
      </c>
      <c r="Y2947">
        <v>0.13806089999999999</v>
      </c>
      <c r="Z2947">
        <v>4.3524500000000001E-4</v>
      </c>
      <c r="AA2947">
        <v>0.99042359999999896</v>
      </c>
      <c r="AB2947">
        <v>37</v>
      </c>
      <c r="AC2947">
        <v>70.399000000000001</v>
      </c>
      <c r="AD2947">
        <v>0.31478</v>
      </c>
      <c r="AE2947">
        <v>-7.7792000000000003</v>
      </c>
      <c r="AF2947">
        <v>9.8125833575643799</v>
      </c>
      <c r="AG2947">
        <v>0.31478</v>
      </c>
      <c r="AH2947">
        <v>70.143069468517993</v>
      </c>
      <c r="AI2947">
        <v>89.7453559387654</v>
      </c>
      <c r="AJ2947">
        <v>82.036355270716896</v>
      </c>
      <c r="AK2947">
        <v>70.826803352000098</v>
      </c>
      <c r="AL2947">
        <v>80.841027027447794</v>
      </c>
      <c r="AM2947">
        <v>85.399396062574993</v>
      </c>
      <c r="AN2947">
        <v>0.99999999235944403</v>
      </c>
    </row>
    <row r="2948" spans="1:40" x14ac:dyDescent="0.25">
      <c r="A2948" t="str">
        <f>"20190312164530148"</f>
        <v>20190312164530148</v>
      </c>
      <c r="B2948" t="str">
        <f>"1552380330144288"</f>
        <v>1552380330144288</v>
      </c>
      <c r="C2948" t="s">
        <v>40</v>
      </c>
      <c r="D2948">
        <v>4.4131109999999998</v>
      </c>
      <c r="E2948">
        <v>0.52934930000000002</v>
      </c>
      <c r="F2948" t="s">
        <v>60</v>
      </c>
      <c r="G2948">
        <v>-168.4109</v>
      </c>
      <c r="H2948">
        <v>1.0044310000000001</v>
      </c>
      <c r="I2948">
        <v>206.18530000000001</v>
      </c>
      <c r="J2948">
        <v>-238.5061</v>
      </c>
      <c r="K2948">
        <v>1.108887</v>
      </c>
      <c r="L2948">
        <v>214.38890000000001</v>
      </c>
      <c r="M2948">
        <v>0.99948320000000002</v>
      </c>
      <c r="N2948">
        <v>0</v>
      </c>
      <c r="O2948">
        <v>2.891877E-2</v>
      </c>
      <c r="P2948">
        <v>0.98800650000000001</v>
      </c>
      <c r="Q2948">
        <v>0.14537149999999999</v>
      </c>
      <c r="R2948">
        <v>-5.2064300000000001E-2</v>
      </c>
      <c r="S2948">
        <v>3.0188449999999998</v>
      </c>
      <c r="T2948">
        <v>-4.4782160000000001E-3</v>
      </c>
      <c r="U2948">
        <v>-0.3514099</v>
      </c>
      <c r="V2948">
        <v>8.0620090000000005E-2</v>
      </c>
      <c r="W2948">
        <v>0.15919739999999999</v>
      </c>
      <c r="X2948">
        <v>0.98394950000000003</v>
      </c>
      <c r="Y2948">
        <v>0.14430379999999901</v>
      </c>
      <c r="Z2948">
        <v>-1.494434E-4</v>
      </c>
      <c r="AA2948">
        <v>0.98953340000000001</v>
      </c>
      <c r="AB2948">
        <v>37</v>
      </c>
      <c r="AC2948">
        <v>70.095200000000006</v>
      </c>
      <c r="AD2948">
        <v>-0.10445599999999999</v>
      </c>
      <c r="AE2948">
        <v>-8.2035999999999891</v>
      </c>
      <c r="AF2948">
        <v>10.227412585844499</v>
      </c>
      <c r="AG2948">
        <v>-0.10445599999999999</v>
      </c>
      <c r="AH2948">
        <v>69.828463578677898</v>
      </c>
      <c r="AI2948">
        <v>90.084803592611806</v>
      </c>
      <c r="AJ2948">
        <v>81.667430782572794</v>
      </c>
      <c r="AK2948">
        <v>70.573544653898196</v>
      </c>
      <c r="AL2948">
        <v>80.839686607564801</v>
      </c>
      <c r="AM2948">
        <v>85.315922665210394</v>
      </c>
      <c r="AN2948">
        <v>1.0000000148143</v>
      </c>
    </row>
    <row r="2949" spans="1:40" x14ac:dyDescent="0.25">
      <c r="A2949" t="str">
        <f>"20190312164530162"</f>
        <v>20190312164530162</v>
      </c>
      <c r="B2949" t="str">
        <f>"1552380330154045"</f>
        <v>1552380330154045</v>
      </c>
      <c r="C2949" t="s">
        <v>40</v>
      </c>
      <c r="D2949">
        <v>4.4698390000000003</v>
      </c>
      <c r="E2949">
        <v>0.52962149999999997</v>
      </c>
      <c r="F2949" t="s">
        <v>60</v>
      </c>
      <c r="G2949">
        <v>-168.41130000000001</v>
      </c>
      <c r="H2949">
        <v>1.6640279999999901</v>
      </c>
      <c r="I2949">
        <v>205.83680000000001</v>
      </c>
      <c r="J2949">
        <v>-238.26490000000001</v>
      </c>
      <c r="K2949">
        <v>1.108878</v>
      </c>
      <c r="L2949">
        <v>214.39590000000001</v>
      </c>
      <c r="M2949">
        <v>0.99948369999999997</v>
      </c>
      <c r="N2949">
        <v>0</v>
      </c>
      <c r="O2949">
        <v>2.8902899999999999E-2</v>
      </c>
      <c r="P2949">
        <v>0.98778770000000005</v>
      </c>
      <c r="Q2949">
        <v>0.1458515</v>
      </c>
      <c r="R2949">
        <v>-5.4800189999999999E-2</v>
      </c>
      <c r="S2949">
        <v>3.01355</v>
      </c>
      <c r="T2949">
        <v>2.3868199999999999E-2</v>
      </c>
      <c r="U2949">
        <v>-0.3676758</v>
      </c>
      <c r="V2949">
        <v>8.333612E-2</v>
      </c>
      <c r="W2949">
        <v>0.15967000000000001</v>
      </c>
      <c r="X2949">
        <v>0.98364660000000004</v>
      </c>
      <c r="Y2949">
        <v>0.1497463</v>
      </c>
      <c r="Z2949">
        <v>8.1898690000000004E-4</v>
      </c>
      <c r="AA2949">
        <v>0.98872409999999999</v>
      </c>
      <c r="AB2949">
        <v>37</v>
      </c>
      <c r="AC2949">
        <v>69.8536</v>
      </c>
      <c r="AD2949">
        <v>0.55514999999999903</v>
      </c>
      <c r="AE2949">
        <v>-8.5591000000000008</v>
      </c>
      <c r="AF2949">
        <v>10.57403599795</v>
      </c>
      <c r="AG2949">
        <v>0.55514999999999903</v>
      </c>
      <c r="AH2949">
        <v>69.572674686020093</v>
      </c>
      <c r="AI2949">
        <v>89.548012615312999</v>
      </c>
      <c r="AJ2949">
        <v>81.358010858548795</v>
      </c>
      <c r="AK2949">
        <v>70.373826752388794</v>
      </c>
      <c r="AL2949">
        <v>80.812257871405507</v>
      </c>
      <c r="AM2949">
        <v>85.157373817980499</v>
      </c>
      <c r="AN2949">
        <v>1.0000000257441</v>
      </c>
    </row>
    <row r="2950" spans="1:40" x14ac:dyDescent="0.25">
      <c r="A2950" t="str">
        <f>"20190312164530186"</f>
        <v>20190312164530186</v>
      </c>
      <c r="B2950" t="str">
        <f>"1552380330174541"</f>
        <v>1552380330174541</v>
      </c>
      <c r="C2950" t="s">
        <v>40</v>
      </c>
      <c r="D2950">
        <v>4.4136119999999996</v>
      </c>
      <c r="E2950">
        <v>0.52927199999999996</v>
      </c>
      <c r="F2950" t="s">
        <v>60</v>
      </c>
      <c r="G2950">
        <v>-168.41139999999999</v>
      </c>
      <c r="H2950">
        <v>1.8086089999999999</v>
      </c>
      <c r="I2950">
        <v>205.6275</v>
      </c>
      <c r="J2950">
        <v>-237.88800000000001</v>
      </c>
      <c r="K2950">
        <v>1.1088629999999999</v>
      </c>
      <c r="L2950">
        <v>214.4067</v>
      </c>
      <c r="M2950">
        <v>0.99948490000000001</v>
      </c>
      <c r="N2950">
        <v>0</v>
      </c>
      <c r="O2950">
        <v>2.8865749999999999E-2</v>
      </c>
      <c r="P2950">
        <v>0.98757289999999998</v>
      </c>
      <c r="Q2950">
        <v>0.14598120000000001</v>
      </c>
      <c r="R2950">
        <v>-5.8219310000000003E-2</v>
      </c>
      <c r="S2950">
        <v>3.0116580000000002</v>
      </c>
      <c r="T2950">
        <v>3.0169609999999999E-2</v>
      </c>
      <c r="U2950">
        <v>-0.3780365</v>
      </c>
      <c r="V2950">
        <v>8.6717219999999998E-2</v>
      </c>
      <c r="W2950">
        <v>0.15978999999999999</v>
      </c>
      <c r="X2950">
        <v>0.98333479999999995</v>
      </c>
      <c r="Y2950">
        <v>0.15312990000000001</v>
      </c>
      <c r="Z2950">
        <v>1.052138E-3</v>
      </c>
      <c r="AA2950">
        <v>0.98820549999999996</v>
      </c>
      <c r="AB2950">
        <v>37</v>
      </c>
      <c r="AC2950">
        <v>69.476600000000005</v>
      </c>
      <c r="AD2950">
        <v>0.69974599999999998</v>
      </c>
      <c r="AE2950">
        <v>-8.7791999999999994</v>
      </c>
      <c r="AF2950">
        <v>10.7801560649687</v>
      </c>
      <c r="AG2950">
        <v>0.69974599999999998</v>
      </c>
      <c r="AH2950">
        <v>69.187292136137401</v>
      </c>
      <c r="AI2950">
        <v>89.427449855882699</v>
      </c>
      <c r="AJ2950">
        <v>81.143883852658902</v>
      </c>
      <c r="AK2950">
        <v>70.025586769271797</v>
      </c>
      <c r="AL2950">
        <v>80.805292943206894</v>
      </c>
      <c r="AM2950">
        <v>84.960301900610403</v>
      </c>
      <c r="AN2950">
        <v>1.00000002461778</v>
      </c>
    </row>
    <row r="2951" spans="1:40" x14ac:dyDescent="0.25">
      <c r="A2951" t="str">
        <f>"20190312164530208"</f>
        <v>20190312164530208</v>
      </c>
      <c r="B2951" t="str">
        <f>"1552380330204797"</f>
        <v>1552380330204797</v>
      </c>
      <c r="C2951" t="s">
        <v>40</v>
      </c>
      <c r="D2951">
        <v>4.5832860000000002</v>
      </c>
      <c r="E2951">
        <v>0.52868190000000004</v>
      </c>
      <c r="F2951" t="s">
        <v>60</v>
      </c>
      <c r="G2951">
        <v>-168.41139999999999</v>
      </c>
      <c r="H2951">
        <v>1.9204159999999999</v>
      </c>
      <c r="I2951">
        <v>205.512</v>
      </c>
      <c r="J2951">
        <v>-237.5188</v>
      </c>
      <c r="K2951">
        <v>1.108846</v>
      </c>
      <c r="L2951">
        <v>214.41730000000001</v>
      </c>
      <c r="M2951">
        <v>0.9994864</v>
      </c>
      <c r="N2951">
        <v>0</v>
      </c>
      <c r="O2951">
        <v>2.8810450000000001E-2</v>
      </c>
      <c r="P2951">
        <v>0.98716289999999995</v>
      </c>
      <c r="Q2951">
        <v>0.14621219999999999</v>
      </c>
      <c r="R2951">
        <v>-6.4275910000000006E-2</v>
      </c>
      <c r="S2951">
        <v>3.009827</v>
      </c>
      <c r="T2951">
        <v>3.515911E-2</v>
      </c>
      <c r="U2951">
        <v>-0.38533020000000001</v>
      </c>
      <c r="V2951">
        <v>9.2712069999999994E-2</v>
      </c>
      <c r="W2951">
        <v>0.1600056</v>
      </c>
      <c r="X2951">
        <v>0.98275259999999998</v>
      </c>
      <c r="Y2951">
        <v>0.15550249999999999</v>
      </c>
      <c r="Z2951">
        <v>1.239846E-3</v>
      </c>
      <c r="AA2951">
        <v>0.98783469999999995</v>
      </c>
      <c r="AB2951">
        <v>37</v>
      </c>
      <c r="AC2951">
        <v>69.107399999999998</v>
      </c>
      <c r="AD2951">
        <v>0.81156999999999901</v>
      </c>
      <c r="AE2951">
        <v>-8.9053000000000093</v>
      </c>
      <c r="AF2951">
        <v>10.891336434770899</v>
      </c>
      <c r="AG2951">
        <v>0.81156999999999901</v>
      </c>
      <c r="AH2951">
        <v>68.812781296727294</v>
      </c>
      <c r="AI2951">
        <v>89.332598563114004</v>
      </c>
      <c r="AJ2951">
        <v>81.006122422956594</v>
      </c>
      <c r="AK2951">
        <v>69.674089337367604</v>
      </c>
      <c r="AL2951">
        <v>80.792778700991803</v>
      </c>
      <c r="AM2951">
        <v>84.610713633608299</v>
      </c>
      <c r="AN2951">
        <v>0.99999999638090198</v>
      </c>
    </row>
    <row r="2952" spans="1:40" x14ac:dyDescent="0.25">
      <c r="A2952" t="str">
        <f>"20190312164530231"</f>
        <v>20190312164530231</v>
      </c>
      <c r="B2952" t="str">
        <f>"1552380330224320"</f>
        <v>1552380330224320</v>
      </c>
      <c r="C2952" t="s">
        <v>40</v>
      </c>
      <c r="D2952">
        <v>5.0301269999999896</v>
      </c>
      <c r="E2952">
        <v>0.52808619999999995</v>
      </c>
      <c r="F2952" t="s">
        <v>60</v>
      </c>
      <c r="G2952">
        <v>-168.41149999999999</v>
      </c>
      <c r="H2952">
        <v>1.9526330000000001</v>
      </c>
      <c r="I2952">
        <v>205.25909999999999</v>
      </c>
      <c r="J2952">
        <v>-237.1534</v>
      </c>
      <c r="K2952">
        <v>1.1088290000000001</v>
      </c>
      <c r="L2952">
        <v>214.42769999999999</v>
      </c>
      <c r="M2952">
        <v>0.99948859999999995</v>
      </c>
      <c r="N2952">
        <v>0</v>
      </c>
      <c r="O2952">
        <v>2.873738E-2</v>
      </c>
      <c r="P2952">
        <v>0.98687910000000001</v>
      </c>
      <c r="Q2952">
        <v>0.1464297</v>
      </c>
      <c r="R2952">
        <v>-6.8030289999999993E-2</v>
      </c>
      <c r="S2952">
        <v>3.0076290000000001</v>
      </c>
      <c r="T2952">
        <v>3.6724090000000001E-2</v>
      </c>
      <c r="U2952">
        <v>-0.39857480000000001</v>
      </c>
      <c r="V2952">
        <v>9.6391710000000005E-2</v>
      </c>
      <c r="W2952">
        <v>0.160211299999999</v>
      </c>
      <c r="X2952">
        <v>0.98236500000000004</v>
      </c>
      <c r="Y2952">
        <v>0.15979570000000001</v>
      </c>
      <c r="Z2952">
        <v>1.3208129999999999E-3</v>
      </c>
      <c r="AA2952">
        <v>0.98714919999999995</v>
      </c>
      <c r="AB2952">
        <v>37</v>
      </c>
      <c r="AC2952">
        <v>68.741900000000001</v>
      </c>
      <c r="AD2952">
        <v>0.843804</v>
      </c>
      <c r="AE2952">
        <v>-9.1685999999999908</v>
      </c>
      <c r="AF2952">
        <v>11.138820004773301</v>
      </c>
      <c r="AG2952">
        <v>0.843804</v>
      </c>
      <c r="AH2952">
        <v>68.439864379219799</v>
      </c>
      <c r="AI2952">
        <v>89.302801319439197</v>
      </c>
      <c r="AJ2952">
        <v>80.755969600332193</v>
      </c>
      <c r="AK2952">
        <v>69.345514292816006</v>
      </c>
      <c r="AL2952">
        <v>80.780839035544005</v>
      </c>
      <c r="AM2952">
        <v>84.395957381471007</v>
      </c>
      <c r="AN2952">
        <v>1.0000000078147</v>
      </c>
    </row>
    <row r="2953" spans="1:40" x14ac:dyDescent="0.25">
      <c r="A2953" t="str">
        <f>"20190312164530252"</f>
        <v>20190312164530252</v>
      </c>
      <c r="B2953" t="str">
        <f>"1552380330244813"</f>
        <v>1552380330244813</v>
      </c>
      <c r="C2953" t="s">
        <v>40</v>
      </c>
      <c r="D2953">
        <v>4.8221420000000004</v>
      </c>
      <c r="E2953">
        <v>0.52759500000000004</v>
      </c>
      <c r="F2953" t="s">
        <v>60</v>
      </c>
      <c r="G2953">
        <v>-168.41149999999999</v>
      </c>
      <c r="H2953">
        <v>1.900253</v>
      </c>
      <c r="I2953">
        <v>205.17330000000001</v>
      </c>
      <c r="J2953">
        <v>-236.791</v>
      </c>
      <c r="K2953">
        <v>1.1088180000000001</v>
      </c>
      <c r="L2953">
        <v>214.43799999999999</v>
      </c>
      <c r="M2953">
        <v>0.99949109999999997</v>
      </c>
      <c r="N2953">
        <v>0</v>
      </c>
      <c r="O2953">
        <v>2.8648630000000001E-2</v>
      </c>
      <c r="P2953">
        <v>0.98659589999999997</v>
      </c>
      <c r="Q2953">
        <v>0.14663599999999999</v>
      </c>
      <c r="R2953">
        <v>-7.1597380000000002E-2</v>
      </c>
      <c r="S2953">
        <v>3.006866</v>
      </c>
      <c r="T2953">
        <v>3.4619450000000003E-2</v>
      </c>
      <c r="U2953">
        <v>-0.4048004</v>
      </c>
      <c r="V2953">
        <v>9.9867769999999995E-2</v>
      </c>
      <c r="W2953">
        <v>0.16040570000000001</v>
      </c>
      <c r="X2953">
        <v>0.98198600000000003</v>
      </c>
      <c r="Y2953">
        <v>0.161749799999999</v>
      </c>
      <c r="Z2953">
        <v>1.2554489999999901E-3</v>
      </c>
      <c r="AA2953">
        <v>0.98683100000000001</v>
      </c>
      <c r="AB2953">
        <v>37</v>
      </c>
      <c r="AC2953">
        <v>68.379499999999993</v>
      </c>
      <c r="AD2953">
        <v>0.791434999999999</v>
      </c>
      <c r="AE2953">
        <v>-9.2646999999999693</v>
      </c>
      <c r="AF2953">
        <v>11.2185925178959</v>
      </c>
      <c r="AG2953">
        <v>0.791434999999999</v>
      </c>
      <c r="AH2953">
        <v>68.077025321948398</v>
      </c>
      <c r="AI2953">
        <v>89.342796400190593</v>
      </c>
      <c r="AJ2953">
        <v>80.642181428567596</v>
      </c>
      <c r="AK2953">
        <v>68.999743217833995</v>
      </c>
      <c r="AL2953">
        <v>80.769555023034798</v>
      </c>
      <c r="AM2953">
        <v>84.192996650198396</v>
      </c>
      <c r="AN2953">
        <v>1.00000003213663</v>
      </c>
    </row>
    <row r="2954" spans="1:40" x14ac:dyDescent="0.25">
      <c r="A2954" t="str">
        <f>"20190312164530275"</f>
        <v>20190312164530275</v>
      </c>
      <c r="B2954" t="str">
        <f>"1552380330264333"</f>
        <v>1552380330264333</v>
      </c>
      <c r="C2954" t="s">
        <v>40</v>
      </c>
      <c r="D2954">
        <v>4.7479979999999999</v>
      </c>
      <c r="E2954">
        <v>0.5270669</v>
      </c>
      <c r="F2954" t="s">
        <v>60</v>
      </c>
      <c r="G2954">
        <v>-168.41159999999999</v>
      </c>
      <c r="H2954">
        <v>1.9048959999999999</v>
      </c>
      <c r="I2954">
        <v>205.08840000000001</v>
      </c>
      <c r="J2954">
        <v>-236.42400000000001</v>
      </c>
      <c r="K2954">
        <v>1.108816</v>
      </c>
      <c r="L2954">
        <v>214.4485</v>
      </c>
      <c r="M2954">
        <v>0.99949410000000005</v>
      </c>
      <c r="N2954">
        <v>0</v>
      </c>
      <c r="O2954">
        <v>2.8545560000000001E-2</v>
      </c>
      <c r="P2954">
        <v>0.98630799999999996</v>
      </c>
      <c r="Q2954">
        <v>0.14688679999999901</v>
      </c>
      <c r="R2954">
        <v>-7.4973780000000004E-2</v>
      </c>
      <c r="S2954">
        <v>3.0057369999999999</v>
      </c>
      <c r="T2954">
        <v>3.4994480000000001E-2</v>
      </c>
      <c r="U2954">
        <v>-0.41098020000000002</v>
      </c>
      <c r="V2954">
        <v>0.1031378</v>
      </c>
      <c r="W2954">
        <v>0.16064529999999999</v>
      </c>
      <c r="X2954">
        <v>0.9816087</v>
      </c>
      <c r="Y2954">
        <v>0.16368859999999999</v>
      </c>
      <c r="Z2954">
        <v>1.279386E-3</v>
      </c>
      <c r="AA2954">
        <v>0.98651120000000003</v>
      </c>
      <c r="AB2954">
        <v>37</v>
      </c>
      <c r="AC2954">
        <v>68.0124</v>
      </c>
      <c r="AD2954">
        <v>0.79607999999999901</v>
      </c>
      <c r="AE2954">
        <v>-9.3600999999999797</v>
      </c>
      <c r="AF2954">
        <v>11.296409049222801</v>
      </c>
      <c r="AG2954">
        <v>0.79607999999999901</v>
      </c>
      <c r="AH2954">
        <v>67.708359433829997</v>
      </c>
      <c r="AI2954">
        <v>89.3355599279611</v>
      </c>
      <c r="AJ2954">
        <v>80.528059368491697</v>
      </c>
      <c r="AK2954">
        <v>68.648849502336702</v>
      </c>
      <c r="AL2954">
        <v>80.755646090824797</v>
      </c>
      <c r="AM2954">
        <v>84.001930071939697</v>
      </c>
      <c r="AN2954">
        <v>0.99999997905830895</v>
      </c>
    </row>
    <row r="2955" spans="1:40" x14ac:dyDescent="0.25">
      <c r="A2955" t="str">
        <f>"20190312164530297"</f>
        <v>20190312164530297</v>
      </c>
      <c r="B2955" t="str">
        <f>"1552380330284829"</f>
        <v>1552380330284829</v>
      </c>
      <c r="C2955" t="s">
        <v>40</v>
      </c>
      <c r="D2955">
        <v>4.7638680000000004</v>
      </c>
      <c r="E2955">
        <v>0.51832009999999995</v>
      </c>
      <c r="F2955" t="s">
        <v>60</v>
      </c>
      <c r="G2955">
        <v>-168.41159999999999</v>
      </c>
      <c r="H2955">
        <v>1.952</v>
      </c>
      <c r="I2955">
        <v>205.01060000000001</v>
      </c>
      <c r="J2955">
        <v>-236.0625</v>
      </c>
      <c r="K2955">
        <v>1.1088150000000001</v>
      </c>
      <c r="L2955">
        <v>214.45859999999999</v>
      </c>
      <c r="M2955">
        <v>0.99949739999999998</v>
      </c>
      <c r="N2955">
        <v>0</v>
      </c>
      <c r="O2955">
        <v>2.8434250000000001E-2</v>
      </c>
      <c r="P2955">
        <v>0.98606150000000004</v>
      </c>
      <c r="Q2955">
        <v>0.14687990000000001</v>
      </c>
      <c r="R2955">
        <v>-7.816041E-2</v>
      </c>
      <c r="S2955">
        <v>3.0044249999999999</v>
      </c>
      <c r="T2955">
        <v>3.724885E-2</v>
      </c>
      <c r="U2955">
        <v>-0.41691590000000001</v>
      </c>
      <c r="V2955">
        <v>0.1062105</v>
      </c>
      <c r="W2955">
        <v>0.1606283</v>
      </c>
      <c r="X2955">
        <v>0.98128380000000004</v>
      </c>
      <c r="Y2955">
        <v>0.1655471</v>
      </c>
      <c r="Z2955">
        <v>1.372299E-3</v>
      </c>
      <c r="AA2955">
        <v>0.98620090000000005</v>
      </c>
      <c r="AB2955">
        <v>37</v>
      </c>
      <c r="AC2955">
        <v>67.650899999999993</v>
      </c>
      <c r="AD2955">
        <v>0.84318499999999996</v>
      </c>
      <c r="AE2955">
        <v>-9.4479999999999809</v>
      </c>
      <c r="AF2955">
        <v>11.366238746372</v>
      </c>
      <c r="AG2955">
        <v>0.84318499999999996</v>
      </c>
      <c r="AH2955">
        <v>67.344606277049806</v>
      </c>
      <c r="AI2955">
        <v>89.292670974810605</v>
      </c>
      <c r="AJ2955">
        <v>80.420057934469597</v>
      </c>
      <c r="AK2955">
        <v>68.302257201315101</v>
      </c>
      <c r="AL2955">
        <v>80.756633210182201</v>
      </c>
      <c r="AM2955">
        <v>83.822566602599494</v>
      </c>
      <c r="AN2955">
        <v>1.0000000086067899</v>
      </c>
    </row>
    <row r="2956" spans="1:40" x14ac:dyDescent="0.25">
      <c r="A2956" t="str">
        <f>"20190312164530319"</f>
        <v>20190312164530319</v>
      </c>
      <c r="B2956" t="str">
        <f>"1552380330315085"</f>
        <v>1552380330315085</v>
      </c>
      <c r="C2956" t="s">
        <v>40</v>
      </c>
      <c r="D2956">
        <v>4.644285</v>
      </c>
      <c r="E2956">
        <v>0.51821410000000001</v>
      </c>
      <c r="F2956" t="s">
        <v>46</v>
      </c>
      <c r="G2956">
        <v>-208.61179999999999</v>
      </c>
      <c r="H2956" s="1">
        <v>6.3247629999999996E-6</v>
      </c>
      <c r="I2956">
        <v>211.3126</v>
      </c>
      <c r="J2956">
        <v>-235.68819999999999</v>
      </c>
      <c r="K2956">
        <v>1.1088169999999999</v>
      </c>
      <c r="L2956">
        <v>214.4692</v>
      </c>
      <c r="M2956">
        <v>0.99950090000000003</v>
      </c>
      <c r="N2956">
        <v>0</v>
      </c>
      <c r="O2956">
        <v>2.8311340000000001E-2</v>
      </c>
      <c r="P2956">
        <v>0.985707</v>
      </c>
      <c r="Q2956">
        <v>0.147388299999999</v>
      </c>
      <c r="R2956">
        <v>-8.160183E-2</v>
      </c>
      <c r="S2956">
        <v>3.033112</v>
      </c>
      <c r="T2956">
        <v>-0.1225154</v>
      </c>
      <c r="U2956">
        <v>-0.34761049999999999</v>
      </c>
      <c r="V2956">
        <v>0.1095226</v>
      </c>
      <c r="W2956">
        <v>0.16112580000000001</v>
      </c>
      <c r="X2956">
        <v>0.98083810000000005</v>
      </c>
      <c r="Y2956">
        <v>0.1418073</v>
      </c>
      <c r="Z2956">
        <v>-3.9933299999999998E-3</v>
      </c>
      <c r="AA2956">
        <v>0.98988620000000005</v>
      </c>
      <c r="AB2956">
        <v>37</v>
      </c>
      <c r="AC2956">
        <v>27.0764</v>
      </c>
      <c r="AD2956">
        <v>-1.1088106752369999</v>
      </c>
      <c r="AE2956">
        <v>-3.1565999999999899</v>
      </c>
      <c r="AF2956">
        <v>3.9155006557371799</v>
      </c>
      <c r="AG2956">
        <v>-1.1088106752369999</v>
      </c>
      <c r="AH2956">
        <v>26.9316093457285</v>
      </c>
      <c r="AI2956">
        <v>92.333111604555299</v>
      </c>
      <c r="AJ2956">
        <v>81.727907997000699</v>
      </c>
      <c r="AK2956">
        <v>27.237330787900799</v>
      </c>
      <c r="AL2956">
        <v>80.7277527665007</v>
      </c>
      <c r="AM2956">
        <v>83.628616681361095</v>
      </c>
      <c r="AN2956">
        <v>1.0000000508739999</v>
      </c>
    </row>
    <row r="2957" spans="1:40" x14ac:dyDescent="0.25">
      <c r="A2957" t="str">
        <f>"20190312164530342"</f>
        <v>20190312164530342</v>
      </c>
      <c r="B2957" t="str">
        <f>"1552380330334608"</f>
        <v>1552380330334608</v>
      </c>
      <c r="C2957" t="s">
        <v>40</v>
      </c>
      <c r="D2957">
        <v>5.6564230000000002</v>
      </c>
      <c r="E2957">
        <v>0.51880999999999999</v>
      </c>
      <c r="F2957" t="s">
        <v>60</v>
      </c>
      <c r="G2957">
        <v>-168.41050000000001</v>
      </c>
      <c r="H2957">
        <v>0.1091061</v>
      </c>
      <c r="I2957">
        <v>206.43360000000001</v>
      </c>
      <c r="J2957">
        <v>-235.31469999999999</v>
      </c>
      <c r="K2957">
        <v>1.108833</v>
      </c>
      <c r="L2957">
        <v>214.4796</v>
      </c>
      <c r="M2957">
        <v>0.99950439999999996</v>
      </c>
      <c r="N2957">
        <v>0</v>
      </c>
      <c r="O2957">
        <v>2.8184089999999998E-2</v>
      </c>
      <c r="P2957">
        <v>0.98539699999999997</v>
      </c>
      <c r="Q2957">
        <v>0.14733859999999999</v>
      </c>
      <c r="R2957">
        <v>-8.5347119999999999E-2</v>
      </c>
      <c r="S2957">
        <v>3.0203549999999999</v>
      </c>
      <c r="T2957">
        <v>-4.487944E-2</v>
      </c>
      <c r="U2957">
        <v>-0.36074830000000002</v>
      </c>
      <c r="V2957">
        <v>0.11313570000000001</v>
      </c>
      <c r="W2957">
        <v>0.1610655</v>
      </c>
      <c r="X2957">
        <v>0.98043780000000003</v>
      </c>
      <c r="Y2957">
        <v>0.14651789999999901</v>
      </c>
      <c r="Z2957">
        <v>-1.5020960000000001E-3</v>
      </c>
      <c r="AA2957">
        <v>0.9892069</v>
      </c>
      <c r="AB2957">
        <v>37</v>
      </c>
      <c r="AC2957">
        <v>66.904199999999904</v>
      </c>
      <c r="AD2957">
        <v>-0.99972689999999997</v>
      </c>
      <c r="AE2957">
        <v>-8.0459999999999905</v>
      </c>
      <c r="AF2957">
        <v>9.9264376770196598</v>
      </c>
      <c r="AG2957">
        <v>-0.99972689999999997</v>
      </c>
      <c r="AH2957">
        <v>66.636158958035395</v>
      </c>
      <c r="AI2957">
        <v>90.850151377180097</v>
      </c>
      <c r="AJ2957">
        <v>81.527254318345101</v>
      </c>
      <c r="AK2957">
        <v>67.378863892996094</v>
      </c>
      <c r="AL2957">
        <v>80.7312532368029</v>
      </c>
      <c r="AM2957">
        <v>83.417578892747201</v>
      </c>
      <c r="AN2957">
        <v>1.00000003078678</v>
      </c>
    </row>
    <row r="2958" spans="1:40" x14ac:dyDescent="0.25">
      <c r="A2958" t="str">
        <f>"20190312164530363"</f>
        <v>20190312164530363</v>
      </c>
      <c r="B2958" t="str">
        <f>"1552380330355102"</f>
        <v>1552380330355102</v>
      </c>
      <c r="C2958" t="s">
        <v>40</v>
      </c>
      <c r="D2958">
        <v>4.9341540000000004</v>
      </c>
      <c r="E2958">
        <v>0.51907479999999995</v>
      </c>
      <c r="F2958" t="s">
        <v>60</v>
      </c>
      <c r="G2958">
        <v>-168.41079999999999</v>
      </c>
      <c r="H2958">
        <v>0.52318759999999997</v>
      </c>
      <c r="I2958">
        <v>206.1139</v>
      </c>
      <c r="J2958">
        <v>-234.96180000000001</v>
      </c>
      <c r="K2958">
        <v>1.108857</v>
      </c>
      <c r="L2958">
        <v>214.48939999999999</v>
      </c>
      <c r="M2958">
        <v>0.99950799999999995</v>
      </c>
      <c r="N2958">
        <v>0</v>
      </c>
      <c r="O2958">
        <v>2.8061820000000001E-2</v>
      </c>
      <c r="P2958">
        <v>0.98505509999999996</v>
      </c>
      <c r="Q2958">
        <v>0.14774949999999901</v>
      </c>
      <c r="R2958">
        <v>-8.8523649999999995E-2</v>
      </c>
      <c r="S2958">
        <v>3.0157470000000002</v>
      </c>
      <c r="T2958">
        <v>-2.6396989999999999E-2</v>
      </c>
      <c r="U2958">
        <v>-0.3770905</v>
      </c>
      <c r="V2958">
        <v>0.116184</v>
      </c>
      <c r="W2958">
        <v>0.16146549999999901</v>
      </c>
      <c r="X2958">
        <v>0.98001539999999998</v>
      </c>
      <c r="Y2958">
        <v>0.15186629999999901</v>
      </c>
      <c r="Z2958">
        <v>-9.0683259999999998E-4</v>
      </c>
      <c r="AA2958">
        <v>0.98840059999999996</v>
      </c>
      <c r="AB2958">
        <v>37</v>
      </c>
      <c r="AC2958">
        <v>66.551000000000002</v>
      </c>
      <c r="AD2958">
        <v>-0.58566940000000001</v>
      </c>
      <c r="AE2958">
        <v>-8.3754999999999793</v>
      </c>
      <c r="AF2958">
        <v>10.2391458833916</v>
      </c>
      <c r="AG2958">
        <v>-0.58566940000000001</v>
      </c>
      <c r="AH2958">
        <v>66.284678123826495</v>
      </c>
      <c r="AI2958">
        <v>90.500299801208897</v>
      </c>
      <c r="AJ2958">
        <v>81.218795675903607</v>
      </c>
      <c r="AK2958">
        <v>67.073405095065496</v>
      </c>
      <c r="AL2958">
        <v>80.708030746683406</v>
      </c>
      <c r="AM2958">
        <v>83.238957096898204</v>
      </c>
      <c r="AN2958">
        <v>1.0000000068917001</v>
      </c>
    </row>
    <row r="2959" spans="1:40" x14ac:dyDescent="0.25">
      <c r="A2959" t="str">
        <f>"20190312164530387"</f>
        <v>20190312164530387</v>
      </c>
      <c r="B2959" t="str">
        <f>"1552380330374621"</f>
        <v>1552380330374621</v>
      </c>
      <c r="C2959" t="s">
        <v>40</v>
      </c>
      <c r="D2959">
        <v>4.6861899999999999</v>
      </c>
      <c r="E2959">
        <v>0.51914689999999997</v>
      </c>
      <c r="F2959" t="s">
        <v>60</v>
      </c>
      <c r="G2959">
        <v>-168.41099999999901</v>
      </c>
      <c r="H2959">
        <v>0.86789509999999903</v>
      </c>
      <c r="I2959">
        <v>205.87440000000001</v>
      </c>
      <c r="J2959">
        <v>-234.58699999999999</v>
      </c>
      <c r="K2959">
        <v>1.108889</v>
      </c>
      <c r="L2959">
        <v>214.49979999999999</v>
      </c>
      <c r="M2959">
        <v>0.9995117</v>
      </c>
      <c r="N2959">
        <v>0</v>
      </c>
      <c r="O2959">
        <v>2.7929120000000002E-2</v>
      </c>
      <c r="P2959">
        <v>0.98462400000000005</v>
      </c>
      <c r="Q2959">
        <v>0.14835179999999901</v>
      </c>
      <c r="R2959">
        <v>-9.2236849999999995E-2</v>
      </c>
      <c r="S2959">
        <v>3.0121310000000001</v>
      </c>
      <c r="T2959">
        <v>-1.0904550000000001E-2</v>
      </c>
      <c r="U2959">
        <v>-0.38992310000000002</v>
      </c>
      <c r="V2959">
        <v>0.1197555</v>
      </c>
      <c r="W2959">
        <v>0.16205559999999999</v>
      </c>
      <c r="X2959">
        <v>0.97948789999999997</v>
      </c>
      <c r="Y2959">
        <v>0.15602920000000001</v>
      </c>
      <c r="Z2959">
        <v>-3.8198939999999998E-4</v>
      </c>
      <c r="AA2959">
        <v>0.98775239999999997</v>
      </c>
      <c r="AB2959">
        <v>37</v>
      </c>
      <c r="AC2959">
        <v>66.176000000000002</v>
      </c>
      <c r="AD2959">
        <v>-0.24099390000000001</v>
      </c>
      <c r="AE2959">
        <v>-8.6253999999999795</v>
      </c>
      <c r="AF2959">
        <v>10.470316984529701</v>
      </c>
      <c r="AG2959">
        <v>-0.24099390000000001</v>
      </c>
      <c r="AH2959">
        <v>65.908397109593395</v>
      </c>
      <c r="AI2959">
        <v>90.206906390202604</v>
      </c>
      <c r="AJ2959">
        <v>80.973328747278302</v>
      </c>
      <c r="AK2959">
        <v>66.735316177959504</v>
      </c>
      <c r="AL2959">
        <v>80.673768954165297</v>
      </c>
      <c r="AM2959">
        <v>83.029419887887798</v>
      </c>
      <c r="AN2959">
        <v>0.99999997175900901</v>
      </c>
    </row>
    <row r="2960" spans="1:40" x14ac:dyDescent="0.25">
      <c r="A2960" t="str">
        <f>"20190312164530409"</f>
        <v>20190312164530409</v>
      </c>
      <c r="B2960" t="str">
        <f>"1552380330404877"</f>
        <v>1552380330404877</v>
      </c>
      <c r="C2960" t="s">
        <v>40</v>
      </c>
      <c r="D2960">
        <v>4.6649719999999997</v>
      </c>
      <c r="E2960">
        <v>0.51909419999999995</v>
      </c>
      <c r="F2960" t="s">
        <v>60</v>
      </c>
      <c r="G2960">
        <v>-168.4111</v>
      </c>
      <c r="H2960">
        <v>1.0958559999999999</v>
      </c>
      <c r="I2960">
        <v>205.66</v>
      </c>
      <c r="J2960">
        <v>-234.221</v>
      </c>
      <c r="K2960">
        <v>1.1089249999999999</v>
      </c>
      <c r="L2960">
        <v>214.50989999999999</v>
      </c>
      <c r="M2960">
        <v>0.9995155</v>
      </c>
      <c r="N2960">
        <v>0</v>
      </c>
      <c r="O2960">
        <v>2.7795770000000001E-2</v>
      </c>
      <c r="P2960">
        <v>0.98413649999999997</v>
      </c>
      <c r="Q2960">
        <v>0.1492694</v>
      </c>
      <c r="R2960">
        <v>-9.5888909999999994E-2</v>
      </c>
      <c r="S2960">
        <v>3.0092620000000001</v>
      </c>
      <c r="T2960">
        <v>-5.9115890000000003E-4</v>
      </c>
      <c r="U2960">
        <v>-0.40197749999999999</v>
      </c>
      <c r="V2960">
        <v>0.1232639</v>
      </c>
      <c r="W2960">
        <v>0.16296040000000001</v>
      </c>
      <c r="X2960">
        <v>0.97890239999999995</v>
      </c>
      <c r="Y2960">
        <v>0.15990660000000001</v>
      </c>
      <c r="Z2960" s="1">
        <v>-2.107586E-5</v>
      </c>
      <c r="AA2960">
        <v>0.98713209999999996</v>
      </c>
      <c r="AB2960">
        <v>37</v>
      </c>
      <c r="AC2960">
        <v>65.809899999999899</v>
      </c>
      <c r="AD2960">
        <v>-1.30689999999999E-2</v>
      </c>
      <c r="AE2960">
        <v>-8.8498999999999892</v>
      </c>
      <c r="AF2960">
        <v>10.6758957995775</v>
      </c>
      <c r="AG2960">
        <v>-1.30689999999999E-2</v>
      </c>
      <c r="AH2960">
        <v>65.5384511206898</v>
      </c>
      <c r="AI2960">
        <v>90.011276698438195</v>
      </c>
      <c r="AJ2960">
        <v>80.748057200496007</v>
      </c>
      <c r="AK2960">
        <v>66.402285331314104</v>
      </c>
      <c r="AL2960">
        <v>80.621229550769996</v>
      </c>
      <c r="AM2960">
        <v>82.823059007210304</v>
      </c>
      <c r="AN2960">
        <v>0.99999999486856495</v>
      </c>
    </row>
    <row r="2961" spans="1:40" x14ac:dyDescent="0.25">
      <c r="A2961" t="str">
        <f>"20190312164530431"</f>
        <v>20190312164530431</v>
      </c>
      <c r="B2961" t="str">
        <f>"1552380330424968"</f>
        <v>1552380330424968</v>
      </c>
      <c r="C2961" t="s">
        <v>40</v>
      </c>
      <c r="D2961">
        <v>4.8792339999999896</v>
      </c>
      <c r="E2961">
        <v>0.51898739999999999</v>
      </c>
      <c r="F2961" t="s">
        <v>60</v>
      </c>
      <c r="G2961">
        <v>-168.41130000000001</v>
      </c>
      <c r="H2961">
        <v>1.4045700000000001</v>
      </c>
      <c r="I2961">
        <v>205.46950000000001</v>
      </c>
      <c r="J2961">
        <v>-233.85159999999999</v>
      </c>
      <c r="K2961">
        <v>1.1089549999999999</v>
      </c>
      <c r="L2961">
        <v>214.52</v>
      </c>
      <c r="M2961">
        <v>0.99951939999999995</v>
      </c>
      <c r="N2961">
        <v>0</v>
      </c>
      <c r="O2961">
        <v>2.7654720000000001E-2</v>
      </c>
      <c r="P2961">
        <v>0.98348999999999998</v>
      </c>
      <c r="Q2961">
        <v>0.1510581</v>
      </c>
      <c r="R2961">
        <v>-9.9644800000000006E-2</v>
      </c>
      <c r="S2961">
        <v>3.0060730000000002</v>
      </c>
      <c r="T2961">
        <v>1.350605E-2</v>
      </c>
      <c r="U2961">
        <v>-0.4129486</v>
      </c>
      <c r="V2961">
        <v>0.12686529999999999</v>
      </c>
      <c r="W2961">
        <v>0.16473279999999901</v>
      </c>
      <c r="X2961">
        <v>0.9781453</v>
      </c>
      <c r="Y2961">
        <v>0.16343949999999999</v>
      </c>
      <c r="Z2961">
        <v>4.8917069999999995E-4</v>
      </c>
      <c r="AA2961">
        <v>0.98655329999999997</v>
      </c>
      <c r="AB2961">
        <v>37</v>
      </c>
      <c r="AC2961">
        <v>65.440299999999894</v>
      </c>
      <c r="AD2961">
        <v>0.29561500000000002</v>
      </c>
      <c r="AE2961">
        <v>-9.0504999999999995</v>
      </c>
      <c r="AF2961">
        <v>10.856731156298499</v>
      </c>
      <c r="AG2961">
        <v>0.29561500000000002</v>
      </c>
      <c r="AH2961">
        <v>65.163648084899606</v>
      </c>
      <c r="AI2961">
        <v>89.743613361255996</v>
      </c>
      <c r="AJ2961">
        <v>80.540994460629904</v>
      </c>
      <c r="AK2961">
        <v>66.062523652680795</v>
      </c>
      <c r="AL2961">
        <v>80.518287019876198</v>
      </c>
      <c r="AM2961">
        <v>82.609999967856794</v>
      </c>
      <c r="AN2961">
        <v>0.99999996382600898</v>
      </c>
    </row>
    <row r="2962" spans="1:40" x14ac:dyDescent="0.25">
      <c r="A2962" t="str">
        <f>"20190312164530454"</f>
        <v>20190312164530454</v>
      </c>
      <c r="B2962" t="str">
        <f>"1552380330444476"</f>
        <v>1552380330444476</v>
      </c>
      <c r="C2962" t="s">
        <v>40</v>
      </c>
      <c r="D2962">
        <v>4.4931640000000002</v>
      </c>
      <c r="E2962">
        <v>0.51890420000000004</v>
      </c>
      <c r="F2962" t="s">
        <v>60</v>
      </c>
      <c r="G2962">
        <v>-168.41139999999999</v>
      </c>
      <c r="H2962">
        <v>1.5892850000000001</v>
      </c>
      <c r="I2962">
        <v>205.30510000000001</v>
      </c>
      <c r="J2962">
        <v>-233.4923</v>
      </c>
      <c r="K2962">
        <v>1.1089719999999901</v>
      </c>
      <c r="L2962">
        <v>214.52979999999999</v>
      </c>
      <c r="M2962">
        <v>0.99952319999999995</v>
      </c>
      <c r="N2962">
        <v>0</v>
      </c>
      <c r="O2962">
        <v>2.751265E-2</v>
      </c>
      <c r="P2962">
        <v>0.98270060000000004</v>
      </c>
      <c r="Q2962">
        <v>0.15356800000000001</v>
      </c>
      <c r="R2962">
        <v>-0.10351920000000001</v>
      </c>
      <c r="S2962">
        <v>3.0041199999999999</v>
      </c>
      <c r="T2962">
        <v>2.2051689999999999E-2</v>
      </c>
      <c r="U2962">
        <v>-0.42301939999999999</v>
      </c>
      <c r="V2962">
        <v>0.13058069999999999</v>
      </c>
      <c r="W2962">
        <v>0.1672255</v>
      </c>
      <c r="X2962">
        <v>0.97723300000000002</v>
      </c>
      <c r="Y2962">
        <v>0.1666261</v>
      </c>
      <c r="Z2962">
        <v>8.096081E-4</v>
      </c>
      <c r="AA2962">
        <v>0.9860198</v>
      </c>
      <c r="AB2962">
        <v>37</v>
      </c>
      <c r="AC2962">
        <v>65.0809</v>
      </c>
      <c r="AD2962">
        <v>0.48031299999999999</v>
      </c>
      <c r="AE2962">
        <v>-9.2246999999999808</v>
      </c>
      <c r="AF2962">
        <v>11.011343304887401</v>
      </c>
      <c r="AG2962">
        <v>0.48031299999999999</v>
      </c>
      <c r="AH2962">
        <v>64.798978304586697</v>
      </c>
      <c r="AI2962">
        <v>89.581313011355903</v>
      </c>
      <c r="AJ2962">
        <v>80.3558072994865</v>
      </c>
      <c r="AK2962">
        <v>65.729658231838897</v>
      </c>
      <c r="AL2962">
        <v>80.373457347872304</v>
      </c>
      <c r="AM2962">
        <v>82.389056528841607</v>
      </c>
      <c r="AN2962">
        <v>1.00000001167587</v>
      </c>
    </row>
    <row r="2963" spans="1:40" x14ac:dyDescent="0.25">
      <c r="A2963" t="str">
        <f>"20190312164530475"</f>
        <v>20190312164530475</v>
      </c>
      <c r="B2963" t="str">
        <f>"1552380330464973"</f>
        <v>1552380330464973</v>
      </c>
      <c r="C2963" t="s">
        <v>40</v>
      </c>
      <c r="D2963">
        <v>4.7254990000000001</v>
      </c>
      <c r="E2963">
        <v>0.51439399999999902</v>
      </c>
      <c r="F2963" t="s">
        <v>60</v>
      </c>
      <c r="G2963">
        <v>-168.41149999999999</v>
      </c>
      <c r="H2963">
        <v>1.7820739999999999</v>
      </c>
      <c r="I2963">
        <v>205.12569999999999</v>
      </c>
      <c r="J2963">
        <v>-233.13460000000001</v>
      </c>
      <c r="K2963">
        <v>1.1089719999999901</v>
      </c>
      <c r="L2963">
        <v>214.5395</v>
      </c>
      <c r="M2963">
        <v>0.99952750000000001</v>
      </c>
      <c r="N2963">
        <v>0</v>
      </c>
      <c r="O2963">
        <v>2.7363789999999999E-2</v>
      </c>
      <c r="P2963">
        <v>0.98205070000000005</v>
      </c>
      <c r="Q2963">
        <v>0.1550657</v>
      </c>
      <c r="R2963">
        <v>-0.107383199999999</v>
      </c>
      <c r="S2963">
        <v>3.0022579999999999</v>
      </c>
      <c r="T2963">
        <v>3.1052590000000001E-2</v>
      </c>
      <c r="U2963">
        <v>-0.4338226</v>
      </c>
      <c r="V2963">
        <v>0.13428280000000001</v>
      </c>
      <c r="W2963">
        <v>0.1687071</v>
      </c>
      <c r="X2963">
        <v>0.97647629999999996</v>
      </c>
      <c r="Y2963">
        <v>0.17003470000000001</v>
      </c>
      <c r="Z2963">
        <v>1.1564710000000001E-3</v>
      </c>
      <c r="AA2963">
        <v>0.98543740000000002</v>
      </c>
      <c r="AB2963">
        <v>37</v>
      </c>
      <c r="AC2963">
        <v>64.723100000000002</v>
      </c>
      <c r="AD2963">
        <v>0.67310199999999998</v>
      </c>
      <c r="AE2963">
        <v>-9.4138000000000002</v>
      </c>
      <c r="AF2963">
        <v>11.180332988263601</v>
      </c>
      <c r="AG2963">
        <v>0.67310199999999998</v>
      </c>
      <c r="AH2963">
        <v>64.434412154174098</v>
      </c>
      <c r="AI2963">
        <v>89.410302825360404</v>
      </c>
      <c r="AJ2963">
        <v>80.156334699090905</v>
      </c>
      <c r="AK2963">
        <v>65.400660407100204</v>
      </c>
      <c r="AL2963">
        <v>80.287343980594201</v>
      </c>
      <c r="AM2963">
        <v>82.169926728186695</v>
      </c>
      <c r="AN2963">
        <v>0.99999996021396897</v>
      </c>
    </row>
    <row r="2964" spans="1:40" x14ac:dyDescent="0.25">
      <c r="A2964" t="str">
        <f>"20190312164530499"</f>
        <v>20190312164530499</v>
      </c>
      <c r="B2964" t="str">
        <f>"1552380330494252"</f>
        <v>1552380330494252</v>
      </c>
      <c r="C2964" t="s">
        <v>40</v>
      </c>
      <c r="D2964">
        <v>4.6546779999999996</v>
      </c>
      <c r="E2964">
        <v>0.51851210000000003</v>
      </c>
      <c r="F2964" t="s">
        <v>46</v>
      </c>
      <c r="G2964">
        <v>-209.12620000000001</v>
      </c>
      <c r="H2964" s="1">
        <v>6.5462890000000002E-6</v>
      </c>
      <c r="I2964">
        <v>211.38800000000001</v>
      </c>
      <c r="J2964">
        <v>-232.7679</v>
      </c>
      <c r="K2964">
        <v>1.108962</v>
      </c>
      <c r="L2964">
        <v>214.54929999999999</v>
      </c>
      <c r="M2964">
        <v>0.99953190000000003</v>
      </c>
      <c r="N2964">
        <v>0</v>
      </c>
      <c r="O2964">
        <v>2.720239E-2</v>
      </c>
      <c r="P2964">
        <v>0.98143579999999997</v>
      </c>
      <c r="Q2964">
        <v>0.15595220000000001</v>
      </c>
      <c r="R2964">
        <v>-0.1116355</v>
      </c>
      <c r="S2964">
        <v>3.033401</v>
      </c>
      <c r="T2964">
        <v>-0.14011470000000001</v>
      </c>
      <c r="U2964">
        <v>-0.39817809999999998</v>
      </c>
      <c r="V2964">
        <v>0.1383624</v>
      </c>
      <c r="W2964">
        <v>0.16957749999999999</v>
      </c>
      <c r="X2964">
        <v>0.97575579999999995</v>
      </c>
      <c r="Y2964">
        <v>0.15688050000000001</v>
      </c>
      <c r="Z2964">
        <v>-4.8568639999999998E-3</v>
      </c>
      <c r="AA2964">
        <v>0.98760559999999997</v>
      </c>
      <c r="AB2964">
        <v>37</v>
      </c>
      <c r="AC2964">
        <v>23.641699999999901</v>
      </c>
      <c r="AD2964">
        <v>-1.108955453711</v>
      </c>
      <c r="AE2964">
        <v>-3.1612999999999798</v>
      </c>
      <c r="AF2964">
        <v>3.7951002363617401</v>
      </c>
      <c r="AG2964">
        <v>-1.108955453711</v>
      </c>
      <c r="AH2964">
        <v>23.4961570969752</v>
      </c>
      <c r="AI2964">
        <v>92.667678306048998</v>
      </c>
      <c r="AJ2964">
        <v>80.824825291872799</v>
      </c>
      <c r="AK2964">
        <v>23.826497147673301</v>
      </c>
      <c r="AL2964">
        <v>80.236745382495798</v>
      </c>
      <c r="AM2964">
        <v>81.929251739719604</v>
      </c>
      <c r="AN2964">
        <v>1.0000000317368201</v>
      </c>
    </row>
    <row r="2965" spans="1:40" x14ac:dyDescent="0.25">
      <c r="A2965" t="str">
        <f>"20190312164530521"</f>
        <v>20190312164530521</v>
      </c>
      <c r="B2965" t="str">
        <f>"1552380330514751"</f>
        <v>1552380330514751</v>
      </c>
      <c r="C2965" t="s">
        <v>40</v>
      </c>
      <c r="D2965">
        <v>4.7573270000000001</v>
      </c>
      <c r="E2965">
        <v>0.51852949999999998</v>
      </c>
      <c r="F2965" t="s">
        <v>60</v>
      </c>
      <c r="G2965">
        <v>-168.41120000000001</v>
      </c>
      <c r="H2965">
        <v>0.58176039999999996</v>
      </c>
      <c r="I2965">
        <v>204.90969999999999</v>
      </c>
      <c r="J2965">
        <v>-232.39359999999999</v>
      </c>
      <c r="K2965">
        <v>1.108954</v>
      </c>
      <c r="L2965">
        <v>214.55930000000001</v>
      </c>
      <c r="M2965">
        <v>0.9995368</v>
      </c>
      <c r="N2965">
        <v>0</v>
      </c>
      <c r="O2965">
        <v>2.7026120000000001E-2</v>
      </c>
      <c r="P2965">
        <v>0.98111870000000001</v>
      </c>
      <c r="Q2965">
        <v>0.15527769999999999</v>
      </c>
      <c r="R2965">
        <v>-0.1153047</v>
      </c>
      <c r="S2965">
        <v>3.0093990000000002</v>
      </c>
      <c r="T2965">
        <v>-2.4651050000000001E-2</v>
      </c>
      <c r="U2965">
        <v>-0.45075989999999999</v>
      </c>
      <c r="V2965">
        <v>0.14185249999999999</v>
      </c>
      <c r="W2965">
        <v>0.16889089999999901</v>
      </c>
      <c r="X2965">
        <v>0.97537359999999995</v>
      </c>
      <c r="Y2965">
        <v>0.1748014</v>
      </c>
      <c r="Z2965">
        <v>-9.3220830000000001E-4</v>
      </c>
      <c r="AA2965">
        <v>0.98460329999999996</v>
      </c>
      <c r="AB2965">
        <v>36</v>
      </c>
      <c r="AC2965">
        <v>63.982399999999899</v>
      </c>
      <c r="AD2965">
        <v>-0.52719359999999904</v>
      </c>
      <c r="AE2965">
        <v>-9.6496000000000102</v>
      </c>
      <c r="AF2965">
        <v>11.3746848128705</v>
      </c>
      <c r="AG2965">
        <v>-0.52719359999999904</v>
      </c>
      <c r="AH2965">
        <v>63.693979499546202</v>
      </c>
      <c r="AI2965">
        <v>90.466839549272905</v>
      </c>
      <c r="AJ2965">
        <v>79.874665901448196</v>
      </c>
      <c r="AK2965">
        <v>64.703820692232995</v>
      </c>
      <c r="AL2965">
        <v>80.276659736157299</v>
      </c>
      <c r="AM2965">
        <v>81.725259042550206</v>
      </c>
      <c r="AN2965">
        <v>0.99999996371800903</v>
      </c>
    </row>
    <row r="2966" spans="1:40" x14ac:dyDescent="0.25">
      <c r="A2966" t="str">
        <f>"20190312164530543"</f>
        <v>20190312164530543</v>
      </c>
      <c r="B2966" t="str">
        <f>"1552380330534268"</f>
        <v>1552380330534268</v>
      </c>
      <c r="C2966" t="s">
        <v>40</v>
      </c>
      <c r="D2966">
        <v>4.634036</v>
      </c>
      <c r="E2966">
        <v>0.51725239999999995</v>
      </c>
      <c r="F2966" t="s">
        <v>60</v>
      </c>
      <c r="G2966">
        <v>-168.41130000000001</v>
      </c>
      <c r="H2966">
        <v>0.6621456</v>
      </c>
      <c r="I2966">
        <v>204.72309999999999</v>
      </c>
      <c r="J2966">
        <v>-232.0394</v>
      </c>
      <c r="K2966">
        <v>1.108938</v>
      </c>
      <c r="L2966">
        <v>214.56870000000001</v>
      </c>
      <c r="M2966">
        <v>0.99954149999999997</v>
      </c>
      <c r="N2966">
        <v>0</v>
      </c>
      <c r="O2966">
        <v>2.6849919999999999E-2</v>
      </c>
      <c r="P2966">
        <v>0.98075440000000003</v>
      </c>
      <c r="Q2966">
        <v>0.15488289999999999</v>
      </c>
      <c r="R2966">
        <v>-0.11888</v>
      </c>
      <c r="S2966">
        <v>3.006729</v>
      </c>
      <c r="T2966">
        <v>-2.0995380000000001E-2</v>
      </c>
      <c r="U2966">
        <v>-0.46223449999999999</v>
      </c>
      <c r="V2966">
        <v>0.1452476</v>
      </c>
      <c r="W2966">
        <v>0.16848379999999999</v>
      </c>
      <c r="X2966">
        <v>0.97494429999999999</v>
      </c>
      <c r="Y2966">
        <v>0.17842930000000001</v>
      </c>
      <c r="Z2966">
        <v>-8.0581009999999896E-4</v>
      </c>
      <c r="AA2966">
        <v>0.98395239999999995</v>
      </c>
      <c r="AB2966">
        <v>36</v>
      </c>
      <c r="AC2966">
        <v>63.628099999999897</v>
      </c>
      <c r="AD2966">
        <v>-0.44679239999999998</v>
      </c>
      <c r="AE2966">
        <v>-9.8456000000000099</v>
      </c>
      <c r="AF2966">
        <v>11.550070273358299</v>
      </c>
      <c r="AG2966">
        <v>-0.44679239999999998</v>
      </c>
      <c r="AH2966">
        <v>63.337726574211601</v>
      </c>
      <c r="AI2966">
        <v>90.397608273469103</v>
      </c>
      <c r="AJ2966">
        <v>79.665278857960203</v>
      </c>
      <c r="AK2966">
        <v>64.383781764958499</v>
      </c>
      <c r="AL2966">
        <v>80.300324538832299</v>
      </c>
      <c r="AM2966">
        <v>81.526375724194395</v>
      </c>
      <c r="AN2966">
        <v>1.00000002213534</v>
      </c>
    </row>
    <row r="2967" spans="1:40" x14ac:dyDescent="0.25">
      <c r="A2967" t="str">
        <f>"20190312164530564"</f>
        <v>20190312164530564</v>
      </c>
      <c r="B2967" t="str">
        <f>"1552380330554764"</f>
        <v>1552380330554764</v>
      </c>
      <c r="C2967" t="s">
        <v>40</v>
      </c>
      <c r="D2967">
        <v>4.711023</v>
      </c>
      <c r="E2967">
        <v>0.51636610000000005</v>
      </c>
      <c r="F2967" t="s">
        <v>60</v>
      </c>
      <c r="G2967">
        <v>-168.41120000000001</v>
      </c>
      <c r="H2967">
        <v>0.381712</v>
      </c>
      <c r="I2967">
        <v>204.7861</v>
      </c>
      <c r="J2967">
        <v>-231.6824</v>
      </c>
      <c r="K2967">
        <v>1.1089230000000001</v>
      </c>
      <c r="L2967">
        <v>214.57820000000001</v>
      </c>
      <c r="M2967">
        <v>0.9995465</v>
      </c>
      <c r="N2967">
        <v>0</v>
      </c>
      <c r="O2967">
        <v>2.6664670000000001E-2</v>
      </c>
      <c r="P2967">
        <v>0.98048570000000002</v>
      </c>
      <c r="Q2967">
        <v>0.1538223</v>
      </c>
      <c r="R2967">
        <v>-0.1224195</v>
      </c>
      <c r="S2967">
        <v>3.0082399999999998</v>
      </c>
      <c r="T2967">
        <v>-3.4380439999999998E-2</v>
      </c>
      <c r="U2967">
        <v>-0.46250920000000001</v>
      </c>
      <c r="V2967">
        <v>0.1486005</v>
      </c>
      <c r="W2967">
        <v>0.16741210000000001</v>
      </c>
      <c r="X2967">
        <v>0.97462360000000003</v>
      </c>
      <c r="Y2967">
        <v>0.1782523</v>
      </c>
      <c r="Z2967">
        <v>-1.3157310000000001E-3</v>
      </c>
      <c r="AA2967">
        <v>0.98398390000000002</v>
      </c>
      <c r="AB2967">
        <v>36</v>
      </c>
      <c r="AC2967">
        <v>63.271199999999901</v>
      </c>
      <c r="AD2967">
        <v>-0.72721099999999905</v>
      </c>
      <c r="AE2967">
        <v>-9.7920999999999996</v>
      </c>
      <c r="AF2967">
        <v>11.4744081033814</v>
      </c>
      <c r="AG2967">
        <v>-0.72721099999999905</v>
      </c>
      <c r="AH2967">
        <v>62.979444769645902</v>
      </c>
      <c r="AI2967">
        <v>90.650840504234097</v>
      </c>
      <c r="AJ2967">
        <v>79.674371794828701</v>
      </c>
      <c r="AK2967">
        <v>64.020319748142001</v>
      </c>
      <c r="AL2967">
        <v>80.362613365118193</v>
      </c>
      <c r="AM2967">
        <v>81.330899060783096</v>
      </c>
      <c r="AN2967">
        <v>1.0000000407517999</v>
      </c>
    </row>
    <row r="2968" spans="1:40" x14ac:dyDescent="0.25">
      <c r="A2968" t="str">
        <f>"20190312164530588"</f>
        <v>20190312164530588</v>
      </c>
      <c r="B2968" t="str">
        <f>"1552380330585020"</f>
        <v>1552380330585020</v>
      </c>
      <c r="C2968" t="s">
        <v>40</v>
      </c>
      <c r="D2968">
        <v>4.5060589999999996</v>
      </c>
      <c r="E2968">
        <v>0.51501450000000004</v>
      </c>
      <c r="F2968" t="s">
        <v>48</v>
      </c>
      <c r="G2968">
        <v>-177.98859999999999</v>
      </c>
      <c r="H2968">
        <v>0.12290189999999999</v>
      </c>
      <c r="I2968">
        <v>206.27760000000001</v>
      </c>
      <c r="J2968">
        <v>-231.30690000000001</v>
      </c>
      <c r="K2968">
        <v>1.108914</v>
      </c>
      <c r="L2968">
        <v>214.58799999999999</v>
      </c>
      <c r="M2968">
        <v>0.999552</v>
      </c>
      <c r="N2968">
        <v>0</v>
      </c>
      <c r="O2968">
        <v>2.6463179999999999E-2</v>
      </c>
      <c r="P2968">
        <v>0.98009310000000005</v>
      </c>
      <c r="Q2968">
        <v>0.153741299999999</v>
      </c>
      <c r="R2968">
        <v>-0.12562490000000001</v>
      </c>
      <c r="S2968">
        <v>3.010284</v>
      </c>
      <c r="T2968">
        <v>-5.5280330000000003E-2</v>
      </c>
      <c r="U2968">
        <v>-0.46536250000000001</v>
      </c>
      <c r="V2968">
        <v>0.15159990000000001</v>
      </c>
      <c r="W2968">
        <v>0.16731860000000001</v>
      </c>
      <c r="X2968">
        <v>0.97417759999999998</v>
      </c>
      <c r="Y2968">
        <v>0.178843899999999</v>
      </c>
      <c r="Z2968">
        <v>-2.1156040000000001E-3</v>
      </c>
      <c r="AA2968">
        <v>0.98387519999999995</v>
      </c>
      <c r="AB2968">
        <v>36</v>
      </c>
      <c r="AC2968">
        <v>53.318300000000001</v>
      </c>
      <c r="AD2968">
        <v>-0.98601209999999995</v>
      </c>
      <c r="AE2968">
        <v>-8.31039999999998</v>
      </c>
      <c r="AF2968">
        <v>9.7153550068347698</v>
      </c>
      <c r="AG2968">
        <v>-0.98601209999999995</v>
      </c>
      <c r="AH2968">
        <v>53.061966358144304</v>
      </c>
      <c r="AI2968">
        <v>91.047159841325794</v>
      </c>
      <c r="AJ2968">
        <v>79.624381060696194</v>
      </c>
      <c r="AK2968">
        <v>53.953059380937901</v>
      </c>
      <c r="AL2968">
        <v>80.368046962188799</v>
      </c>
      <c r="AM2968">
        <v>81.154673234594995</v>
      </c>
      <c r="AN2968">
        <v>1.0000000199638599</v>
      </c>
    </row>
    <row r="2969" spans="1:40" x14ac:dyDescent="0.25">
      <c r="A2969" t="str">
        <f>"20190312164530611"</f>
        <v>20190312164530611</v>
      </c>
      <c r="B2969" t="str">
        <f>"1552380330604540"</f>
        <v>1552380330604540</v>
      </c>
      <c r="C2969" t="s">
        <v>40</v>
      </c>
      <c r="D2969">
        <v>4.8750070000000001</v>
      </c>
      <c r="E2969">
        <v>0.51438030000000001</v>
      </c>
      <c r="F2969" t="s">
        <v>60</v>
      </c>
      <c r="G2969">
        <v>-168.4111</v>
      </c>
      <c r="H2969">
        <v>0.2069511</v>
      </c>
      <c r="I2969">
        <v>204.85640000000001</v>
      </c>
      <c r="J2969">
        <v>-230.94069999999999</v>
      </c>
      <c r="K2969">
        <v>1.108914</v>
      </c>
      <c r="L2969">
        <v>214.59739999999999</v>
      </c>
      <c r="M2969">
        <v>0.99955720000000003</v>
      </c>
      <c r="N2969">
        <v>0</v>
      </c>
      <c r="O2969">
        <v>2.6262190000000001E-2</v>
      </c>
      <c r="P2969">
        <v>0.97966189999999997</v>
      </c>
      <c r="Q2969">
        <v>0.1539557</v>
      </c>
      <c r="R2969">
        <v>-0.12868740000000001</v>
      </c>
      <c r="S2969">
        <v>3.008057</v>
      </c>
      <c r="T2969">
        <v>-4.3135640000000003E-2</v>
      </c>
      <c r="U2969">
        <v>-0.46542359999999999</v>
      </c>
      <c r="V2969">
        <v>0.1544557</v>
      </c>
      <c r="W2969">
        <v>0.16752159999999999</v>
      </c>
      <c r="X2969">
        <v>0.97369399999999995</v>
      </c>
      <c r="Y2969">
        <v>0.17878869999999999</v>
      </c>
      <c r="Z2969">
        <v>-1.6488200000000001E-3</v>
      </c>
      <c r="AA2969">
        <v>0.98388609999999999</v>
      </c>
      <c r="AB2969">
        <v>36</v>
      </c>
      <c r="AC2969">
        <v>62.529599999999903</v>
      </c>
      <c r="AD2969">
        <v>-0.90196290000000001</v>
      </c>
      <c r="AE2969">
        <v>-9.7409999999999801</v>
      </c>
      <c r="AF2969">
        <v>11.3776532721952</v>
      </c>
      <c r="AG2969">
        <v>-0.90196290000000001</v>
      </c>
      <c r="AH2969">
        <v>62.2395403636609</v>
      </c>
      <c r="AI2969">
        <v>90.816728345973502</v>
      </c>
      <c r="AJ2969">
        <v>79.640472722807701</v>
      </c>
      <c r="AK2969">
        <v>63.277364955685798</v>
      </c>
      <c r="AL2969">
        <v>80.356249479422004</v>
      </c>
      <c r="AM2969">
        <v>80.986354460305705</v>
      </c>
      <c r="AN2969">
        <v>1.0000000276825201</v>
      </c>
    </row>
    <row r="2970" spans="1:40" x14ac:dyDescent="0.25">
      <c r="A2970" t="str">
        <f>"20190312164530631"</f>
        <v>20190312164530631</v>
      </c>
      <c r="B2970" t="str">
        <f>"1552380330625036"</f>
        <v>1552380330625036</v>
      </c>
      <c r="C2970" t="s">
        <v>40</v>
      </c>
      <c r="D2970">
        <v>4.7161179999999998</v>
      </c>
      <c r="E2970">
        <v>0.5137429</v>
      </c>
      <c r="F2970" t="s">
        <v>60</v>
      </c>
      <c r="G2970">
        <v>-168.41120000000001</v>
      </c>
      <c r="H2970">
        <v>0.38179020000000002</v>
      </c>
      <c r="I2970">
        <v>204.8143</v>
      </c>
      <c r="J2970">
        <v>-230.59129999999999</v>
      </c>
      <c r="K2970">
        <v>1.1089089999999999</v>
      </c>
      <c r="L2970">
        <v>214.60640000000001</v>
      </c>
      <c r="M2970">
        <v>0.99956239999999996</v>
      </c>
      <c r="N2970">
        <v>0</v>
      </c>
      <c r="O2970">
        <v>2.6067320000000001E-2</v>
      </c>
      <c r="P2970">
        <v>0.97936489999999998</v>
      </c>
      <c r="Q2970">
        <v>0.15386420000000001</v>
      </c>
      <c r="R2970">
        <v>-0.13103670000000001</v>
      </c>
      <c r="S2970">
        <v>3.0060120000000001</v>
      </c>
      <c r="T2970">
        <v>-3.4953709999999999E-2</v>
      </c>
      <c r="U2970">
        <v>-0.47030640000000001</v>
      </c>
      <c r="V2970">
        <v>0.15660739999999901</v>
      </c>
      <c r="W2970">
        <v>0.16742099999999999</v>
      </c>
      <c r="X2970">
        <v>0.97336750000000005</v>
      </c>
      <c r="Y2970">
        <v>0.18026519999999999</v>
      </c>
      <c r="Z2970">
        <v>-1.343108E-3</v>
      </c>
      <c r="AA2970">
        <v>0.98361710000000002</v>
      </c>
      <c r="AB2970">
        <v>36</v>
      </c>
      <c r="AC2970">
        <v>62.180099999999896</v>
      </c>
      <c r="AD2970">
        <v>-0.72711879999999995</v>
      </c>
      <c r="AE2970">
        <v>-9.7920999999999996</v>
      </c>
      <c r="AF2970">
        <v>11.408276662490101</v>
      </c>
      <c r="AG2970">
        <v>-0.72711879999999995</v>
      </c>
      <c r="AH2970">
        <v>61.895428668984302</v>
      </c>
      <c r="AI2970">
        <v>90.661905044977701</v>
      </c>
      <c r="AJ2970">
        <v>79.556716755079194</v>
      </c>
      <c r="AK2970">
        <v>62.942208161730001</v>
      </c>
      <c r="AL2970">
        <v>80.362095536796801</v>
      </c>
      <c r="AM2970">
        <v>80.859877455038699</v>
      </c>
      <c r="AN2970">
        <v>0.99999997951600395</v>
      </c>
    </row>
    <row r="2971" spans="1:40" x14ac:dyDescent="0.25">
      <c r="A2971" t="str">
        <f>"20190312164530654"</f>
        <v>20190312164530654</v>
      </c>
      <c r="B2971" t="str">
        <f>"1552380330644556"</f>
        <v>1552380330644556</v>
      </c>
      <c r="C2971" t="s">
        <v>40</v>
      </c>
      <c r="D2971">
        <v>4.4370010000000004</v>
      </c>
      <c r="E2971">
        <v>0.51318370000000002</v>
      </c>
      <c r="F2971" t="s">
        <v>60</v>
      </c>
      <c r="G2971">
        <v>-168.41120000000001</v>
      </c>
      <c r="H2971">
        <v>0.49481009999999997</v>
      </c>
      <c r="I2971">
        <v>204.82079999999999</v>
      </c>
      <c r="J2971">
        <v>-230.23400000000001</v>
      </c>
      <c r="K2971">
        <v>1.108905</v>
      </c>
      <c r="L2971">
        <v>214.6155</v>
      </c>
      <c r="M2971">
        <v>0.9995676</v>
      </c>
      <c r="N2971">
        <v>0</v>
      </c>
      <c r="O2971">
        <v>2.5867520000000001E-2</v>
      </c>
      <c r="P2971">
        <v>0.97894689999999995</v>
      </c>
      <c r="Q2971">
        <v>0.154527</v>
      </c>
      <c r="R2971">
        <v>-0.13335959999999999</v>
      </c>
      <c r="S2971">
        <v>3.004623</v>
      </c>
      <c r="T2971">
        <v>-2.9672380000000002E-2</v>
      </c>
      <c r="U2971">
        <v>-0.47285460000000001</v>
      </c>
      <c r="V2971">
        <v>0.158725</v>
      </c>
      <c r="W2971">
        <v>0.168074</v>
      </c>
      <c r="X2971">
        <v>0.97291190000000005</v>
      </c>
      <c r="Y2971">
        <v>0.1809559</v>
      </c>
      <c r="Z2971">
        <v>-1.1420549999999999E-3</v>
      </c>
      <c r="AA2971">
        <v>0.98349050000000005</v>
      </c>
      <c r="AB2971">
        <v>36</v>
      </c>
      <c r="AC2971">
        <v>61.822800000000001</v>
      </c>
      <c r="AD2971">
        <v>-0.6140949</v>
      </c>
      <c r="AE2971">
        <v>-9.7947000000000006</v>
      </c>
      <c r="AF2971">
        <v>11.3896844285165</v>
      </c>
      <c r="AG2971">
        <v>-0.6140949</v>
      </c>
      <c r="AH2971">
        <v>61.542795844316899</v>
      </c>
      <c r="AI2971">
        <v>90.562152390518804</v>
      </c>
      <c r="AJ2971">
        <v>79.514940648821494</v>
      </c>
      <c r="AK2971">
        <v>62.590875886687101</v>
      </c>
      <c r="AL2971">
        <v>80.324144106683704</v>
      </c>
      <c r="AM2971">
        <v>80.734153256146399</v>
      </c>
      <c r="AN2971">
        <v>1.0000000301312999</v>
      </c>
    </row>
    <row r="2972" spans="1:40" x14ac:dyDescent="0.25">
      <c r="A2972" t="str">
        <f>"20190312164530676"</f>
        <v>20190312164530676</v>
      </c>
      <c r="B2972" t="str">
        <f>"1552380330665052"</f>
        <v>1552380330665052</v>
      </c>
      <c r="C2972" t="s">
        <v>40</v>
      </c>
      <c r="D2972">
        <v>4.6459570000000001</v>
      </c>
      <c r="E2972">
        <v>0.51248059999999995</v>
      </c>
      <c r="F2972" t="s">
        <v>60</v>
      </c>
      <c r="G2972">
        <v>-168.41120000000001</v>
      </c>
      <c r="H2972">
        <v>0.59707449999999995</v>
      </c>
      <c r="I2972">
        <v>204.8254</v>
      </c>
      <c r="J2972">
        <v>-229.87129999999999</v>
      </c>
      <c r="K2972">
        <v>1.1089020000000001</v>
      </c>
      <c r="L2972">
        <v>214.62469999999999</v>
      </c>
      <c r="M2972">
        <v>0.99957280000000004</v>
      </c>
      <c r="N2972">
        <v>0</v>
      </c>
      <c r="O2972">
        <v>2.5664679999999999E-2</v>
      </c>
      <c r="P2972">
        <v>0.97842439999999997</v>
      </c>
      <c r="Q2972">
        <v>0.1554566</v>
      </c>
      <c r="R2972">
        <v>-0.1360855</v>
      </c>
      <c r="S2972">
        <v>3.003647</v>
      </c>
      <c r="T2972">
        <v>-2.486551E-2</v>
      </c>
      <c r="U2972">
        <v>-0.47564699999999999</v>
      </c>
      <c r="V2972">
        <v>0.16123950000000001</v>
      </c>
      <c r="W2972">
        <v>0.16899140000000001</v>
      </c>
      <c r="X2972">
        <v>0.97233930000000002</v>
      </c>
      <c r="Y2972">
        <v>0.18170040000000001</v>
      </c>
      <c r="Z2972">
        <v>-9.5868280000000004E-4</v>
      </c>
      <c r="AA2972">
        <v>0.98335349999999999</v>
      </c>
      <c r="AB2972">
        <v>36</v>
      </c>
      <c r="AC2972">
        <v>61.460099999999898</v>
      </c>
      <c r="AD2972">
        <v>-0.51182749999999999</v>
      </c>
      <c r="AE2972">
        <v>-9.7992999999999792</v>
      </c>
      <c r="AF2972">
        <v>11.3728104206845</v>
      </c>
      <c r="AG2972">
        <v>-0.51182749999999999</v>
      </c>
      <c r="AH2972">
        <v>61.184193007702</v>
      </c>
      <c r="AI2972">
        <v>90.471217408582504</v>
      </c>
      <c r="AJ2972">
        <v>79.470134976929899</v>
      </c>
      <c r="AK2972">
        <v>62.2343012996716</v>
      </c>
      <c r="AL2972">
        <v>80.270817812751901</v>
      </c>
      <c r="AM2972">
        <v>80.584528190538293</v>
      </c>
      <c r="AN2972">
        <v>0.99999999197934997</v>
      </c>
    </row>
    <row r="2973" spans="1:40" x14ac:dyDescent="0.25">
      <c r="A2973" t="str">
        <f>"20190312164530700"</f>
        <v>20190312164530700</v>
      </c>
      <c r="B2973" t="str">
        <f>"1552380330694332"</f>
        <v>1552380330694332</v>
      </c>
      <c r="C2973" t="s">
        <v>40</v>
      </c>
      <c r="D2973">
        <v>4.4816479999999999</v>
      </c>
      <c r="E2973">
        <v>0.51195590000000002</v>
      </c>
      <c r="F2973" t="s">
        <v>60</v>
      </c>
      <c r="G2973">
        <v>-168.41120000000001</v>
      </c>
      <c r="H2973">
        <v>0.57648469999999996</v>
      </c>
      <c r="I2973">
        <v>204.85499999999999</v>
      </c>
      <c r="J2973">
        <v>-229.50280000000001</v>
      </c>
      <c r="K2973">
        <v>1.1088899999999999</v>
      </c>
      <c r="L2973">
        <v>214.63390000000001</v>
      </c>
      <c r="M2973">
        <v>0.99957810000000002</v>
      </c>
      <c r="N2973">
        <v>0</v>
      </c>
      <c r="O2973">
        <v>2.5459289999999999E-2</v>
      </c>
      <c r="P2973">
        <v>0.97781739999999995</v>
      </c>
      <c r="Q2973">
        <v>0.1562431</v>
      </c>
      <c r="R2973">
        <v>-0.13950479999999901</v>
      </c>
      <c r="S2973">
        <v>3.00386</v>
      </c>
      <c r="T2973">
        <v>-2.6020290000000001E-2</v>
      </c>
      <c r="U2973">
        <v>-0.47749330000000001</v>
      </c>
      <c r="V2973">
        <v>0.1644428</v>
      </c>
      <c r="W2973">
        <v>0.1697641</v>
      </c>
      <c r="X2973">
        <v>0.97166799999999998</v>
      </c>
      <c r="Y2973">
        <v>0.1820764</v>
      </c>
      <c r="Z2973">
        <v>-1.002934E-3</v>
      </c>
      <c r="AA2973">
        <v>0.98328389999999999</v>
      </c>
      <c r="AB2973">
        <v>36</v>
      </c>
      <c r="AC2973">
        <v>61.0916</v>
      </c>
      <c r="AD2973">
        <v>-0.53240529999999997</v>
      </c>
      <c r="AE2973">
        <v>-9.7789000000000197</v>
      </c>
      <c r="AF2973">
        <v>11.330391388774901</v>
      </c>
      <c r="AG2973">
        <v>-0.53240529999999997</v>
      </c>
      <c r="AH2973">
        <v>60.8183020060982</v>
      </c>
      <c r="AI2973">
        <v>90.4930730057999</v>
      </c>
      <c r="AJ2973">
        <v>79.446832054496596</v>
      </c>
      <c r="AK2973">
        <v>61.867011268779301</v>
      </c>
      <c r="AL2973">
        <v>80.225896312379703</v>
      </c>
      <c r="AM2973">
        <v>80.3944130928666</v>
      </c>
      <c r="AN2973">
        <v>0.99999999317232402</v>
      </c>
    </row>
    <row r="2974" spans="1:40" x14ac:dyDescent="0.25">
      <c r="A2974" t="str">
        <f>"20190312164530721"</f>
        <v>20190312164530721</v>
      </c>
      <c r="B2974" t="str">
        <f>"1552380330714828"</f>
        <v>1552380330714828</v>
      </c>
      <c r="C2974" t="s">
        <v>40</v>
      </c>
      <c r="D2974">
        <v>4.4576460000000004</v>
      </c>
      <c r="E2974">
        <v>0.51190170000000002</v>
      </c>
      <c r="F2974" t="s">
        <v>60</v>
      </c>
      <c r="G2974">
        <v>-168.41130000000001</v>
      </c>
      <c r="H2974">
        <v>0.68880079999999999</v>
      </c>
      <c r="I2974">
        <v>204.81469999999999</v>
      </c>
      <c r="J2974">
        <v>-229.1371</v>
      </c>
      <c r="K2974">
        <v>1.1088830000000001</v>
      </c>
      <c r="L2974">
        <v>214.643</v>
      </c>
      <c r="M2974">
        <v>0.99958340000000001</v>
      </c>
      <c r="N2974">
        <v>0</v>
      </c>
      <c r="O2974">
        <v>2.5255940000000001E-2</v>
      </c>
      <c r="P2974">
        <v>0.97768840000000001</v>
      </c>
      <c r="Q2974">
        <v>0.1561736</v>
      </c>
      <c r="R2974">
        <v>-0.1404821</v>
      </c>
      <c r="S2974">
        <v>3.0024869999999999</v>
      </c>
      <c r="T2974">
        <v>-2.0644659999999999E-2</v>
      </c>
      <c r="U2974">
        <v>-0.48258970000000001</v>
      </c>
      <c r="V2974">
        <v>0.165219</v>
      </c>
      <c r="W2974">
        <v>0.16969029999999999</v>
      </c>
      <c r="X2974">
        <v>0.9715492</v>
      </c>
      <c r="Y2974">
        <v>0.18357609999999999</v>
      </c>
      <c r="Z2974">
        <v>-7.9972660000000005E-4</v>
      </c>
      <c r="AA2974">
        <v>0.98300520000000002</v>
      </c>
      <c r="AB2974">
        <v>36</v>
      </c>
      <c r="AC2974">
        <v>60.7257999999999</v>
      </c>
      <c r="AD2974">
        <v>-0.42008220000000002</v>
      </c>
      <c r="AE2974">
        <v>-9.8283000000000094</v>
      </c>
      <c r="AF2974">
        <v>11.358471500852399</v>
      </c>
      <c r="AG2974">
        <v>-0.42008220000000002</v>
      </c>
      <c r="AH2974">
        <v>60.455359384185797</v>
      </c>
      <c r="AI2974">
        <v>90.391275201617304</v>
      </c>
      <c r="AJ2974">
        <v>79.359204665391502</v>
      </c>
      <c r="AK2974">
        <v>61.514565934918998</v>
      </c>
      <c r="AL2974">
        <v>80.230186883340707</v>
      </c>
      <c r="AM2974">
        <v>80.348765816539597</v>
      </c>
      <c r="AN2974">
        <v>0.99999998194786399</v>
      </c>
    </row>
    <row r="2975" spans="1:40" x14ac:dyDescent="0.25">
      <c r="A2975" t="str">
        <f>"20190312164530744"</f>
        <v>20190312164530744</v>
      </c>
      <c r="B2975" t="str">
        <f>"1552380330734348"</f>
        <v>1552380330734348</v>
      </c>
      <c r="C2975" t="s">
        <v>40</v>
      </c>
      <c r="D2975">
        <v>4.7506899999999996</v>
      </c>
      <c r="E2975">
        <v>0.51168409999999998</v>
      </c>
      <c r="F2975" t="s">
        <v>60</v>
      </c>
      <c r="G2975">
        <v>-168.41120000000001</v>
      </c>
      <c r="H2975">
        <v>0.64735030000000005</v>
      </c>
      <c r="I2975">
        <v>204.8443</v>
      </c>
      <c r="J2975">
        <v>-228.7852</v>
      </c>
      <c r="K2975">
        <v>1.108868</v>
      </c>
      <c r="L2975">
        <v>214.65170000000001</v>
      </c>
      <c r="M2975">
        <v>0.99958820000000004</v>
      </c>
      <c r="N2975">
        <v>0</v>
      </c>
      <c r="O2975">
        <v>2.506075E-2</v>
      </c>
      <c r="P2975">
        <v>0.97748080000000004</v>
      </c>
      <c r="Q2975">
        <v>0.15530840000000001</v>
      </c>
      <c r="R2975">
        <v>-0.1428654</v>
      </c>
      <c r="S2975">
        <v>3.0025019999999998</v>
      </c>
      <c r="T2975">
        <v>-2.2818209999999998E-2</v>
      </c>
      <c r="U2975">
        <v>-0.48448180000000002</v>
      </c>
      <c r="V2975">
        <v>0.1674059</v>
      </c>
      <c r="W2975">
        <v>0.16881849999999901</v>
      </c>
      <c r="X2975">
        <v>0.97132669999999999</v>
      </c>
      <c r="Y2975">
        <v>0.18398610000000001</v>
      </c>
      <c r="Z2975">
        <v>-8.8394720000000001E-4</v>
      </c>
      <c r="AA2975">
        <v>0.98292849999999998</v>
      </c>
      <c r="AB2975">
        <v>36</v>
      </c>
      <c r="AC2975">
        <v>60.374000000000002</v>
      </c>
      <c r="AD2975">
        <v>-0.46151769999999898</v>
      </c>
      <c r="AE2975">
        <v>-9.8073999999999995</v>
      </c>
      <c r="AF2975">
        <v>11.316840441124301</v>
      </c>
      <c r="AG2975">
        <v>-0.46151769999999898</v>
      </c>
      <c r="AH2975">
        <v>60.105807809167501</v>
      </c>
      <c r="AI2975">
        <v>90.432336323494994</v>
      </c>
      <c r="AJ2975">
        <v>79.337068416358903</v>
      </c>
      <c r="AK2975">
        <v>61.163649405098901</v>
      </c>
      <c r="AL2975">
        <v>80.280868638021701</v>
      </c>
      <c r="AM2975">
        <v>80.221271844462294</v>
      </c>
      <c r="AN2975">
        <v>0.99999998971497495</v>
      </c>
    </row>
    <row r="2976" spans="1:40" x14ac:dyDescent="0.25">
      <c r="A2976" t="str">
        <f>"20190312164530765"</f>
        <v>20190312164530765</v>
      </c>
      <c r="B2976" t="str">
        <f>"1552380330754844"</f>
        <v>1552380330754844</v>
      </c>
      <c r="C2976" t="s">
        <v>40</v>
      </c>
      <c r="D2976">
        <v>4.742642</v>
      </c>
      <c r="E2976">
        <v>0.51133070000000003</v>
      </c>
      <c r="F2976" t="s">
        <v>60</v>
      </c>
      <c r="G2976">
        <v>-168.41120000000001</v>
      </c>
      <c r="H2976">
        <v>0.61380769999999996</v>
      </c>
      <c r="I2976">
        <v>204.80240000000001</v>
      </c>
      <c r="J2976">
        <v>-228.4288</v>
      </c>
      <c r="K2976">
        <v>1.108854</v>
      </c>
      <c r="L2976">
        <v>214.66040000000001</v>
      </c>
      <c r="M2976">
        <v>0.99959330000000002</v>
      </c>
      <c r="N2976">
        <v>0</v>
      </c>
      <c r="O2976">
        <v>2.4862639999999998E-2</v>
      </c>
      <c r="P2976">
        <v>0.97732929999999996</v>
      </c>
      <c r="Q2976">
        <v>0.1541061</v>
      </c>
      <c r="R2976">
        <v>-0.14518689999999901</v>
      </c>
      <c r="S2976">
        <v>3.0014799999999999</v>
      </c>
      <c r="T2976">
        <v>-2.4610159999999999E-2</v>
      </c>
      <c r="U2976">
        <v>-0.48965449999999999</v>
      </c>
      <c r="V2976">
        <v>0.16952929999999999</v>
      </c>
      <c r="W2976">
        <v>0.1676105</v>
      </c>
      <c r="X2976">
        <v>0.97116760000000002</v>
      </c>
      <c r="Y2976">
        <v>0.1854932</v>
      </c>
      <c r="Z2976">
        <v>-9.5807689999999996E-4</v>
      </c>
      <c r="AA2976">
        <v>0.98264510000000005</v>
      </c>
      <c r="AB2976">
        <v>36</v>
      </c>
      <c r="AC2976">
        <v>60.017599999999902</v>
      </c>
      <c r="AD2976">
        <v>-0.49504629999999999</v>
      </c>
      <c r="AE2976">
        <v>-9.8580000000000005</v>
      </c>
      <c r="AF2976">
        <v>11.346541937966499</v>
      </c>
      <c r="AG2976">
        <v>-0.49504629999999999</v>
      </c>
      <c r="AH2976">
        <v>59.7499654128247</v>
      </c>
      <c r="AI2976">
        <v>90.466367519122997</v>
      </c>
      <c r="AJ2976">
        <v>79.247541203862596</v>
      </c>
      <c r="AK2976">
        <v>60.8197948995467</v>
      </c>
      <c r="AL2976">
        <v>80.3510824197255</v>
      </c>
      <c r="AM2976">
        <v>80.098086594210997</v>
      </c>
      <c r="AN2976">
        <v>0.99999998527924905</v>
      </c>
    </row>
    <row r="2977" spans="1:40" x14ac:dyDescent="0.25">
      <c r="A2977" t="str">
        <f>"20190312164530784"</f>
        <v>20190312164530784</v>
      </c>
      <c r="B2977" t="str">
        <f>"1552380330774364"</f>
        <v>1552380330774364</v>
      </c>
      <c r="C2977" t="s">
        <v>40</v>
      </c>
      <c r="D2977">
        <v>4.7129669999999999</v>
      </c>
      <c r="E2977">
        <v>0.51101920000000001</v>
      </c>
      <c r="F2977" t="s">
        <v>60</v>
      </c>
      <c r="G2977">
        <v>-168.41120000000001</v>
      </c>
      <c r="H2977">
        <v>0.55506129999999998</v>
      </c>
      <c r="I2977">
        <v>204.7859</v>
      </c>
      <c r="J2977">
        <v>-228.1309</v>
      </c>
      <c r="K2977">
        <v>1.1088480000000001</v>
      </c>
      <c r="L2977">
        <v>214.66759999999999</v>
      </c>
      <c r="M2977">
        <v>0.99959730000000002</v>
      </c>
      <c r="N2977">
        <v>0</v>
      </c>
      <c r="O2977">
        <v>2.4697199999999999E-2</v>
      </c>
      <c r="P2977">
        <v>0.97722690000000001</v>
      </c>
      <c r="Q2977">
        <v>0.15370049999999999</v>
      </c>
      <c r="R2977">
        <v>-0.1463004</v>
      </c>
      <c r="S2977">
        <v>3.000626</v>
      </c>
      <c r="T2977">
        <v>-2.7685640000000001E-2</v>
      </c>
      <c r="U2977">
        <v>-0.49368289999999998</v>
      </c>
      <c r="V2977">
        <v>0.17047850000000001</v>
      </c>
      <c r="W2977">
        <v>0.1672015</v>
      </c>
      <c r="X2977">
        <v>0.97107200000000005</v>
      </c>
      <c r="Y2977">
        <v>0.18665770000000001</v>
      </c>
      <c r="Z2977">
        <v>-1.081807E-3</v>
      </c>
      <c r="AA2977">
        <v>0.98242439999999998</v>
      </c>
      <c r="AB2977">
        <v>36</v>
      </c>
      <c r="AC2977">
        <v>59.719699999999897</v>
      </c>
      <c r="AD2977">
        <v>-0.55378669999999997</v>
      </c>
      <c r="AE2977">
        <v>-9.8816999999999897</v>
      </c>
      <c r="AF2977">
        <v>11.352788468385899</v>
      </c>
      <c r="AG2977">
        <v>-0.55378669999999997</v>
      </c>
      <c r="AH2977">
        <v>59.452430350250502</v>
      </c>
      <c r="AI2977">
        <v>90.524211186269198</v>
      </c>
      <c r="AJ2977">
        <v>79.189185033260998</v>
      </c>
      <c r="AK2977">
        <v>60.529199236966697</v>
      </c>
      <c r="AL2977">
        <v>80.374852406030996</v>
      </c>
      <c r="AM2977">
        <v>80.042791253793695</v>
      </c>
      <c r="AN2977">
        <v>1.0000000448742401</v>
      </c>
    </row>
    <row r="2978" spans="1:40" x14ac:dyDescent="0.25">
      <c r="A2978" t="str">
        <f>"20190312164530800"</f>
        <v>20190312164530800</v>
      </c>
      <c r="B2978" t="str">
        <f>"1552380330794860"</f>
        <v>1552380330794860</v>
      </c>
      <c r="C2978" t="s">
        <v>40</v>
      </c>
      <c r="D2978">
        <v>4.468769</v>
      </c>
      <c r="E2978">
        <v>0.51070360000000004</v>
      </c>
      <c r="F2978" t="s">
        <v>60</v>
      </c>
      <c r="G2978">
        <v>-168.41120000000001</v>
      </c>
      <c r="H2978">
        <v>0.53248209999999996</v>
      </c>
      <c r="I2978">
        <v>204.83240000000001</v>
      </c>
      <c r="J2978">
        <v>-227.8707</v>
      </c>
      <c r="K2978">
        <v>1.1088420000000001</v>
      </c>
      <c r="L2978">
        <v>214.6739</v>
      </c>
      <c r="M2978">
        <v>0.99960099999999996</v>
      </c>
      <c r="N2978">
        <v>0</v>
      </c>
      <c r="O2978">
        <v>2.455268E-2</v>
      </c>
      <c r="P2978">
        <v>0.97684680000000002</v>
      </c>
      <c r="Q2978">
        <v>0.1534017</v>
      </c>
      <c r="R2978">
        <v>-0.14912619999999999</v>
      </c>
      <c r="S2978">
        <v>3.0005039999999998</v>
      </c>
      <c r="T2978">
        <v>-2.895677E-2</v>
      </c>
      <c r="U2978">
        <v>-0.49415589999999998</v>
      </c>
      <c r="V2978">
        <v>0.17315349999999999</v>
      </c>
      <c r="W2978">
        <v>0.16689399999999999</v>
      </c>
      <c r="X2978">
        <v>0.97065140000000005</v>
      </c>
      <c r="Y2978">
        <v>0.18667210000000001</v>
      </c>
      <c r="Z2978">
        <v>-1.1301880000000001E-3</v>
      </c>
      <c r="AA2978">
        <v>0.98242160000000001</v>
      </c>
      <c r="AB2978">
        <v>36</v>
      </c>
      <c r="AC2978">
        <v>59.459499999999899</v>
      </c>
      <c r="AD2978">
        <v>-0.57635990000000004</v>
      </c>
      <c r="AE2978">
        <v>-9.8414999999999893</v>
      </c>
      <c r="AF2978">
        <v>11.297531804164899</v>
      </c>
      <c r="AG2978">
        <v>-0.57635990000000004</v>
      </c>
      <c r="AH2978">
        <v>59.194499299306401</v>
      </c>
      <c r="AI2978">
        <v>90.547964938515307</v>
      </c>
      <c r="AJ2978">
        <v>79.194791377273901</v>
      </c>
      <c r="AK2978">
        <v>60.265704699240302</v>
      </c>
      <c r="AL2978">
        <v>80.392720939030497</v>
      </c>
      <c r="AM2978">
        <v>79.885459912843601</v>
      </c>
      <c r="AN2978">
        <v>0.99999994106010304</v>
      </c>
    </row>
    <row r="2979" spans="1:40" x14ac:dyDescent="0.25">
      <c r="A2979" t="str">
        <f>"20190312164530822"</f>
        <v>20190312164530822</v>
      </c>
      <c r="B2979" t="str">
        <f>"1552380330815083"</f>
        <v>1552380330815083</v>
      </c>
      <c r="C2979" t="s">
        <v>40</v>
      </c>
      <c r="D2979">
        <v>4.474799</v>
      </c>
      <c r="E2979">
        <v>0.51035589999999997</v>
      </c>
      <c r="F2979" t="s">
        <v>60</v>
      </c>
      <c r="G2979">
        <v>-168.41120000000001</v>
      </c>
      <c r="H2979">
        <v>0.5270958</v>
      </c>
      <c r="I2979">
        <v>204.77289999999999</v>
      </c>
      <c r="J2979">
        <v>-227.5137</v>
      </c>
      <c r="K2979">
        <v>1.1088359999999999</v>
      </c>
      <c r="L2979">
        <v>214.6824</v>
      </c>
      <c r="M2979">
        <v>0.99960579999999999</v>
      </c>
      <c r="N2979">
        <v>0</v>
      </c>
      <c r="O2979">
        <v>2.4354580000000001E-2</v>
      </c>
      <c r="P2979">
        <v>0.97640190000000004</v>
      </c>
      <c r="Q2979">
        <v>0.1533351</v>
      </c>
      <c r="R2979">
        <v>-0.152078399999999</v>
      </c>
      <c r="S2979">
        <v>2.9994809999999998</v>
      </c>
      <c r="T2979">
        <v>-2.934492E-2</v>
      </c>
      <c r="U2979">
        <v>-0.49946590000000002</v>
      </c>
      <c r="V2979">
        <v>0.175900799999999</v>
      </c>
      <c r="W2979">
        <v>0.1668174</v>
      </c>
      <c r="X2979">
        <v>0.97017059999999999</v>
      </c>
      <c r="Y2979">
        <v>0.18822330000000001</v>
      </c>
      <c r="Z2979">
        <v>-1.151167E-3</v>
      </c>
      <c r="AA2979">
        <v>0.98212560000000004</v>
      </c>
      <c r="AB2979">
        <v>36</v>
      </c>
      <c r="AC2979">
        <v>59.1024999999999</v>
      </c>
      <c r="AD2979">
        <v>-0.58174020000000004</v>
      </c>
      <c r="AE2979">
        <v>-9.9094999999999995</v>
      </c>
      <c r="AF2979">
        <v>11.3450480165143</v>
      </c>
      <c r="AG2979">
        <v>-0.58174020000000004</v>
      </c>
      <c r="AH2979">
        <v>58.8380560041075</v>
      </c>
      <c r="AI2979">
        <v>90.5562280953759</v>
      </c>
      <c r="AJ2979">
        <v>79.086268863618898</v>
      </c>
      <c r="AK2979">
        <v>59.924664125047897</v>
      </c>
      <c r="AL2979">
        <v>80.397173395700193</v>
      </c>
      <c r="AM2979">
        <v>79.723388532454393</v>
      </c>
      <c r="AN2979">
        <v>1.00000006474387</v>
      </c>
    </row>
    <row r="2980" spans="1:40" x14ac:dyDescent="0.25">
      <c r="A2980" t="str">
        <f>"20190312164530844"</f>
        <v>20190312164530844</v>
      </c>
      <c r="B2980" t="str">
        <f>"1552380330834603"</f>
        <v>1552380330834603</v>
      </c>
      <c r="C2980" t="s">
        <v>40</v>
      </c>
      <c r="D2980">
        <v>4.4163940000000004</v>
      </c>
      <c r="E2980">
        <v>0.50997599999999998</v>
      </c>
      <c r="F2980" t="s">
        <v>60</v>
      </c>
      <c r="G2980">
        <v>-168.41120000000001</v>
      </c>
      <c r="H2980">
        <v>0.53211209999999998</v>
      </c>
      <c r="I2980">
        <v>204.72669999999999</v>
      </c>
      <c r="J2980">
        <v>-227.16659999999999</v>
      </c>
      <c r="K2980">
        <v>1.108827</v>
      </c>
      <c r="L2980">
        <v>214.69069999999999</v>
      </c>
      <c r="M2980">
        <v>0.99961049999999996</v>
      </c>
      <c r="N2980">
        <v>0</v>
      </c>
      <c r="O2980">
        <v>2.416161E-2</v>
      </c>
      <c r="P2980">
        <v>0.97607049999999995</v>
      </c>
      <c r="Q2980">
        <v>0.1528649</v>
      </c>
      <c r="R2980">
        <v>-0.15465699999999999</v>
      </c>
      <c r="S2980">
        <v>2.9984280000000001</v>
      </c>
      <c r="T2980">
        <v>-2.9257060000000001E-2</v>
      </c>
      <c r="U2980">
        <v>-0.50508120000000001</v>
      </c>
      <c r="V2980">
        <v>0.17828269999999999</v>
      </c>
      <c r="W2980">
        <v>0.16633919999999999</v>
      </c>
      <c r="X2980">
        <v>0.96981779999999995</v>
      </c>
      <c r="Y2980">
        <v>0.1898783</v>
      </c>
      <c r="Z2980">
        <v>-1.15409E-3</v>
      </c>
      <c r="AA2980">
        <v>0.98180690000000004</v>
      </c>
      <c r="AB2980">
        <v>36</v>
      </c>
      <c r="AC2980">
        <v>58.755399999999902</v>
      </c>
      <c r="AD2980">
        <v>-0.57671490000000003</v>
      </c>
      <c r="AE2980">
        <v>-9.9640000000000004</v>
      </c>
      <c r="AF2980">
        <v>11.3797884084511</v>
      </c>
      <c r="AG2980">
        <v>-0.57671490000000003</v>
      </c>
      <c r="AH2980">
        <v>58.4919963261692</v>
      </c>
      <c r="AI2980">
        <v>90.554506103766599</v>
      </c>
      <c r="AJ2980">
        <v>78.9904707635976</v>
      </c>
      <c r="AK2980">
        <v>59.591491158701501</v>
      </c>
      <c r="AL2980">
        <v>80.424959921016494</v>
      </c>
      <c r="AM2980">
        <v>79.583550563961595</v>
      </c>
      <c r="AN2980">
        <v>1.00000000788638</v>
      </c>
    </row>
    <row r="2981" spans="1:40" x14ac:dyDescent="0.25">
      <c r="A2981" t="str">
        <f>"20190312164530866"</f>
        <v>20190312164530866</v>
      </c>
      <c r="B2981" t="str">
        <f>"1552380330864859"</f>
        <v>1552380330864859</v>
      </c>
      <c r="C2981" t="s">
        <v>40</v>
      </c>
      <c r="D2981">
        <v>4.4420769999999896</v>
      </c>
      <c r="E2981">
        <v>0.50960329999999998</v>
      </c>
      <c r="F2981" t="s">
        <v>60</v>
      </c>
      <c r="G2981">
        <v>-168.41130000000001</v>
      </c>
      <c r="H2981">
        <v>0.52491569999999899</v>
      </c>
      <c r="I2981">
        <v>204.69460000000001</v>
      </c>
      <c r="J2981">
        <v>-226.80269999999999</v>
      </c>
      <c r="K2981">
        <v>1.1088260000000001</v>
      </c>
      <c r="L2981">
        <v>214.69929999999999</v>
      </c>
      <c r="M2981">
        <v>0.99961529999999998</v>
      </c>
      <c r="N2981">
        <v>0</v>
      </c>
      <c r="O2981">
        <v>2.3959270000000001E-2</v>
      </c>
      <c r="P2981">
        <v>0.97570009999999996</v>
      </c>
      <c r="Q2981">
        <v>0.15256710000000001</v>
      </c>
      <c r="R2981">
        <v>-0.15726619999999999</v>
      </c>
      <c r="S2981">
        <v>2.9974059999999998</v>
      </c>
      <c r="T2981">
        <v>-2.9786590000000002E-2</v>
      </c>
      <c r="U2981">
        <v>-0.50994870000000003</v>
      </c>
      <c r="V2981">
        <v>0.18068529999999999</v>
      </c>
      <c r="W2981">
        <v>0.1660326</v>
      </c>
      <c r="X2981">
        <v>0.9694256</v>
      </c>
      <c r="Y2981">
        <v>0.1912838</v>
      </c>
      <c r="Z2981">
        <v>-1.1801509999999999E-3</v>
      </c>
      <c r="AA2981">
        <v>0.98153409999999996</v>
      </c>
      <c r="AB2981">
        <v>36</v>
      </c>
      <c r="AC2981">
        <v>58.391399999999898</v>
      </c>
      <c r="AD2981">
        <v>-0.58391029999999999</v>
      </c>
      <c r="AE2981">
        <v>-10.0046999999999</v>
      </c>
      <c r="AF2981">
        <v>11.399871869686599</v>
      </c>
      <c r="AG2981">
        <v>-0.58391029999999999</v>
      </c>
      <c r="AH2981">
        <v>58.1292588485517</v>
      </c>
      <c r="AI2981">
        <v>90.564761405934206</v>
      </c>
      <c r="AJ2981">
        <v>78.904399564983194</v>
      </c>
      <c r="AK2981">
        <v>59.239419005976501</v>
      </c>
      <c r="AL2981">
        <v>80.442774432859395</v>
      </c>
      <c r="AM2981">
        <v>79.442134573787399</v>
      </c>
      <c r="AN2981">
        <v>0.99999999791710403</v>
      </c>
    </row>
    <row r="2982" spans="1:40" x14ac:dyDescent="0.25">
      <c r="A2982" t="str">
        <f>"20190312164530884"</f>
        <v>20190312164530884</v>
      </c>
      <c r="B2982" t="str">
        <f>"1552380330874620"</f>
        <v>1552380330874620</v>
      </c>
      <c r="C2982" t="s">
        <v>40</v>
      </c>
      <c r="D2982">
        <v>4.5033789999999998</v>
      </c>
      <c r="E2982">
        <v>0.50960329999999998</v>
      </c>
      <c r="F2982" t="s">
        <v>60</v>
      </c>
      <c r="G2982">
        <v>-168.41130000000001</v>
      </c>
      <c r="H2982">
        <v>0.50777819999999996</v>
      </c>
      <c r="I2982">
        <v>204.67359999999999</v>
      </c>
      <c r="J2982">
        <v>-226.52119999999999</v>
      </c>
      <c r="K2982">
        <v>1.1088209999999901</v>
      </c>
      <c r="L2982">
        <v>214.70590000000001</v>
      </c>
      <c r="M2982">
        <v>0.99961909999999998</v>
      </c>
      <c r="N2982">
        <v>0</v>
      </c>
      <c r="O2982">
        <v>2.3800189999999999E-2</v>
      </c>
      <c r="P2982">
        <v>0.9755414</v>
      </c>
      <c r="Q2982">
        <v>0.15207229999999999</v>
      </c>
      <c r="R2982">
        <v>-0.15872259999999999</v>
      </c>
      <c r="S2982">
        <v>2.996613</v>
      </c>
      <c r="T2982">
        <v>-3.0843619999999999E-2</v>
      </c>
      <c r="U2982">
        <v>-0.5145111</v>
      </c>
      <c r="V2982">
        <v>0.18198329999999999</v>
      </c>
      <c r="W2982">
        <v>0.16553319999999999</v>
      </c>
      <c r="X2982">
        <v>0.96926820000000002</v>
      </c>
      <c r="Y2982">
        <v>0.1926215</v>
      </c>
      <c r="Z2982">
        <v>-1.2274E-3</v>
      </c>
      <c r="AA2982">
        <v>0.98127229999999999</v>
      </c>
      <c r="AB2982">
        <v>36</v>
      </c>
      <c r="AC2982">
        <v>58.109899999999897</v>
      </c>
      <c r="AD2982">
        <v>-0.60104279999999899</v>
      </c>
      <c r="AE2982">
        <v>-10.032299999999999</v>
      </c>
      <c r="AF2982">
        <v>11.4114338340655</v>
      </c>
      <c r="AG2982">
        <v>-0.60104279999999899</v>
      </c>
      <c r="AH2982">
        <v>57.848632713548398</v>
      </c>
      <c r="AI2982">
        <v>90.584023483034102</v>
      </c>
      <c r="AJ2982">
        <v>78.840896471574695</v>
      </c>
      <c r="AK2982">
        <v>58.966485238851703</v>
      </c>
      <c r="AL2982">
        <v>80.471789492946499</v>
      </c>
      <c r="AM2982">
        <v>79.3663254204601</v>
      </c>
      <c r="AN2982">
        <v>1.0000000026561799</v>
      </c>
    </row>
    <row r="2983" spans="1:40" x14ac:dyDescent="0.25">
      <c r="A2983" t="str">
        <f>"20190312164530900"</f>
        <v>20190312164530900</v>
      </c>
      <c r="B2983" t="str">
        <f>"1552380330894143"</f>
        <v>1552380330894143</v>
      </c>
      <c r="C2983" t="s">
        <v>40</v>
      </c>
      <c r="D2983">
        <v>4.3825580000000004</v>
      </c>
      <c r="E2983">
        <v>0.5032626</v>
      </c>
      <c r="F2983" t="s">
        <v>60</v>
      </c>
      <c r="G2983">
        <v>-168.41130000000001</v>
      </c>
      <c r="H2983">
        <v>0.48093609999999998</v>
      </c>
      <c r="I2983">
        <v>204.6422</v>
      </c>
      <c r="J2983">
        <v>-226.25980000000001</v>
      </c>
      <c r="K2983">
        <v>1.1088089999999999</v>
      </c>
      <c r="L2983">
        <v>214.71190000000001</v>
      </c>
      <c r="M2983">
        <v>0.99962280000000003</v>
      </c>
      <c r="N2983">
        <v>0</v>
      </c>
      <c r="O2983">
        <v>2.3648949999999998E-2</v>
      </c>
      <c r="P2983">
        <v>0.9751647</v>
      </c>
      <c r="Q2983">
        <v>0.1519325</v>
      </c>
      <c r="R2983">
        <v>-0.16115350000000001</v>
      </c>
      <c r="S2983">
        <v>2.9958339999999999</v>
      </c>
      <c r="T2983">
        <v>-3.236866E-2</v>
      </c>
      <c r="U2983">
        <v>-0.51882929999999905</v>
      </c>
      <c r="V2983">
        <v>0.18425810000000001</v>
      </c>
      <c r="W2983">
        <v>0.16538369999999999</v>
      </c>
      <c r="X2983">
        <v>0.96886380000000005</v>
      </c>
      <c r="Y2983">
        <v>0.1938878</v>
      </c>
      <c r="Z2983">
        <v>-1.293425E-3</v>
      </c>
      <c r="AA2983">
        <v>0.98102279999999997</v>
      </c>
      <c r="AB2983">
        <v>36</v>
      </c>
      <c r="AC2983">
        <v>57.848500000000001</v>
      </c>
      <c r="AD2983">
        <v>-0.62787289999999996</v>
      </c>
      <c r="AE2983">
        <v>-10.069699999999999</v>
      </c>
      <c r="AF2983">
        <v>11.433765552434201</v>
      </c>
      <c r="AG2983">
        <v>-0.62787289999999996</v>
      </c>
      <c r="AH2983">
        <v>57.587572462122502</v>
      </c>
      <c r="AI2983">
        <v>90.612707823881394</v>
      </c>
      <c r="AJ2983">
        <v>78.770209684156399</v>
      </c>
      <c r="AK2983">
        <v>58.715021256632497</v>
      </c>
      <c r="AL2983">
        <v>80.480474316580498</v>
      </c>
      <c r="AM2983">
        <v>79.232103162899705</v>
      </c>
      <c r="AN2983">
        <v>0.99999993929586795</v>
      </c>
    </row>
    <row r="2984" spans="1:40" x14ac:dyDescent="0.25">
      <c r="A2984" t="str">
        <f>"20190312164530918"</f>
        <v>20190312164530918</v>
      </c>
      <c r="B2984" t="str">
        <f>"1552380330914985"</f>
        <v>1552380330914985</v>
      </c>
      <c r="C2984" t="s">
        <v>40</v>
      </c>
      <c r="D2984">
        <v>4.5702720000000001</v>
      </c>
      <c r="E2984">
        <v>0.50354829999999995</v>
      </c>
      <c r="F2984" t="s">
        <v>46</v>
      </c>
      <c r="G2984">
        <v>-193.02549999999999</v>
      </c>
      <c r="H2984" s="1">
        <v>3.8916309999999999E-6</v>
      </c>
      <c r="I2984">
        <v>209.51589999999999</v>
      </c>
      <c r="J2984">
        <v>-225.97569999999999</v>
      </c>
      <c r="K2984">
        <v>1.1088</v>
      </c>
      <c r="L2984">
        <v>214.71850000000001</v>
      </c>
      <c r="M2984">
        <v>0.99962689999999998</v>
      </c>
      <c r="N2984">
        <v>0</v>
      </c>
      <c r="O2984">
        <v>2.3479320000000001E-2</v>
      </c>
      <c r="P2984">
        <v>0.97493649999999998</v>
      </c>
      <c r="Q2984">
        <v>0.15181159999999999</v>
      </c>
      <c r="R2984">
        <v>-0.16264210000000001</v>
      </c>
      <c r="S2984">
        <v>3.0142060000000002</v>
      </c>
      <c r="T2984">
        <v>-0.1005636</v>
      </c>
      <c r="U2984">
        <v>-0.47125240000000002</v>
      </c>
      <c r="V2984">
        <v>0.18557779999999999</v>
      </c>
      <c r="W2984">
        <v>0.16525580000000001</v>
      </c>
      <c r="X2984">
        <v>0.96863379999999999</v>
      </c>
      <c r="Y2984">
        <v>0.17751529999999999</v>
      </c>
      <c r="Z2984">
        <v>-3.721341E-3</v>
      </c>
      <c r="AA2984">
        <v>0.98411099999999996</v>
      </c>
      <c r="AB2984">
        <v>36</v>
      </c>
      <c r="AC2984">
        <v>32.950199999999903</v>
      </c>
      <c r="AD2984">
        <v>-1.1087961083689899</v>
      </c>
      <c r="AE2984">
        <v>-5.2026000000000101</v>
      </c>
      <c r="AF2984">
        <v>5.9682952151185198</v>
      </c>
      <c r="AG2984">
        <v>-1.1087961083689899</v>
      </c>
      <c r="AH2984">
        <v>32.782730061991302</v>
      </c>
      <c r="AI2984">
        <v>91.905848941128994</v>
      </c>
      <c r="AJ2984">
        <v>79.681959889000595</v>
      </c>
      <c r="AK2984">
        <v>33.340026498221803</v>
      </c>
      <c r="AL2984">
        <v>80.487905453189995</v>
      </c>
      <c r="AM2984">
        <v>79.154289346320198</v>
      </c>
      <c r="AN2984">
        <v>1.00000001889445</v>
      </c>
    </row>
    <row r="2985" spans="1:40" x14ac:dyDescent="0.25">
      <c r="A2985" t="str">
        <f>"20190312164530933"</f>
        <v>20190312164530933</v>
      </c>
      <c r="B2985" t="str">
        <f>"1552380330924746"</f>
        <v>1552380330924746</v>
      </c>
      <c r="C2985" t="s">
        <v>40</v>
      </c>
      <c r="D2985">
        <v>4.4026370000000004</v>
      </c>
      <c r="E2985">
        <v>0.50359430000000005</v>
      </c>
      <c r="F2985" t="s">
        <v>46</v>
      </c>
      <c r="G2985">
        <v>-182.18360000000001</v>
      </c>
      <c r="H2985" s="1">
        <v>3.625911E-6</v>
      </c>
      <c r="I2985">
        <v>207.73939999999999</v>
      </c>
      <c r="J2985">
        <v>-225.7321</v>
      </c>
      <c r="K2985">
        <v>1.108789</v>
      </c>
      <c r="L2985">
        <v>214.72399999999999</v>
      </c>
      <c r="M2985">
        <v>0.99963040000000003</v>
      </c>
      <c r="N2985">
        <v>0</v>
      </c>
      <c r="O2985">
        <v>2.332863E-2</v>
      </c>
      <c r="P2985">
        <v>0.97454399999999997</v>
      </c>
      <c r="Q2985">
        <v>0.1514943</v>
      </c>
      <c r="R2985">
        <v>-0.1652689</v>
      </c>
      <c r="S2985">
        <v>3.0090029999999999</v>
      </c>
      <c r="T2985">
        <v>-7.6186539999999997E-2</v>
      </c>
      <c r="U2985">
        <v>-0.47953800000000002</v>
      </c>
      <c r="V2985">
        <v>0.1880502</v>
      </c>
      <c r="W2985">
        <v>0.1649275</v>
      </c>
      <c r="X2985">
        <v>0.96821279999999998</v>
      </c>
      <c r="Y2985">
        <v>0.18031530000000001</v>
      </c>
      <c r="Z2985">
        <v>-2.855242E-3</v>
      </c>
      <c r="AA2985">
        <v>0.9836047</v>
      </c>
      <c r="AB2985">
        <v>36</v>
      </c>
      <c r="AC2985">
        <v>43.548499999999898</v>
      </c>
      <c r="AD2985">
        <v>-1.1087853740889999</v>
      </c>
      <c r="AE2985">
        <v>-6.9846000000000199</v>
      </c>
      <c r="AF2985">
        <v>7.9936725897669598</v>
      </c>
      <c r="AG2985">
        <v>-1.1087853740889999</v>
      </c>
      <c r="AH2985">
        <v>43.3462940390611</v>
      </c>
      <c r="AI2985">
        <v>91.4410016910481</v>
      </c>
      <c r="AJ2985">
        <v>79.551237834424299</v>
      </c>
      <c r="AK2985">
        <v>44.091148923553</v>
      </c>
      <c r="AL2985">
        <v>80.506977100233897</v>
      </c>
      <c r="AM2985">
        <v>79.008627923586502</v>
      </c>
      <c r="AN2985">
        <v>0.99999999203006495</v>
      </c>
    </row>
    <row r="2986" spans="1:40" x14ac:dyDescent="0.25">
      <c r="A2986" t="str">
        <f>"20190312164530955"</f>
        <v>20190312164530955</v>
      </c>
      <c r="B2986" t="str">
        <f>"1552380330944266"</f>
        <v>1552380330944266</v>
      </c>
      <c r="C2986" t="s">
        <v>40</v>
      </c>
      <c r="D2986">
        <v>4.5775990000000002</v>
      </c>
      <c r="E2986">
        <v>0.50370099999999995</v>
      </c>
      <c r="F2986" t="s">
        <v>46</v>
      </c>
      <c r="G2986">
        <v>-179.95779999999999</v>
      </c>
      <c r="H2986">
        <v>1.536681E-2</v>
      </c>
      <c r="I2986">
        <v>207.2912</v>
      </c>
      <c r="J2986">
        <v>-225.3759</v>
      </c>
      <c r="K2986">
        <v>1.108773</v>
      </c>
      <c r="L2986">
        <v>214.7321</v>
      </c>
      <c r="M2986">
        <v>0.99963590000000002</v>
      </c>
      <c r="N2986">
        <v>0</v>
      </c>
      <c r="O2986">
        <v>2.3095060000000001E-2</v>
      </c>
      <c r="P2986">
        <v>0.97427149999999996</v>
      </c>
      <c r="Q2986">
        <v>0.15068589999999901</v>
      </c>
      <c r="R2986">
        <v>-0.16759839999999901</v>
      </c>
      <c r="S2986">
        <v>3.0067439999999999</v>
      </c>
      <c r="T2986">
        <v>-7.1822759999999999E-2</v>
      </c>
      <c r="U2986">
        <v>-0.48823549999999899</v>
      </c>
      <c r="V2986">
        <v>0.1901495</v>
      </c>
      <c r="W2986">
        <v>0.16410720000000001</v>
      </c>
      <c r="X2986">
        <v>0.96794210000000003</v>
      </c>
      <c r="Y2986">
        <v>0.18297939999999999</v>
      </c>
      <c r="Z2986">
        <v>-2.7191950000000002E-3</v>
      </c>
      <c r="AA2986">
        <v>0.98311300000000001</v>
      </c>
      <c r="AB2986">
        <v>36</v>
      </c>
      <c r="AC2986">
        <v>45.418100000000003</v>
      </c>
      <c r="AD2986">
        <v>-1.0934061900000001</v>
      </c>
      <c r="AE2986">
        <v>-7.4408999999999903</v>
      </c>
      <c r="AF2986">
        <v>8.4831627309214994</v>
      </c>
      <c r="AG2986">
        <v>-1.0934061900000001</v>
      </c>
      <c r="AH2986">
        <v>45.208602048054402</v>
      </c>
      <c r="AI2986">
        <v>91.361717274839904</v>
      </c>
      <c r="AJ2986">
        <v>79.372325812802799</v>
      </c>
      <c r="AK2986">
        <v>46.0106214493455</v>
      </c>
      <c r="AL2986">
        <v>80.5546257540543</v>
      </c>
      <c r="AM2986">
        <v>78.885932653992995</v>
      </c>
      <c r="AN2986">
        <v>0.99999995719724899</v>
      </c>
    </row>
    <row r="2987" spans="1:40" x14ac:dyDescent="0.25">
      <c r="A2987" t="str">
        <f>"20190312164530974"</f>
        <v>20190312164530974</v>
      </c>
      <c r="B2987" t="str">
        <f>"1552380330964761"</f>
        <v>1552380330964761</v>
      </c>
      <c r="C2987" t="s">
        <v>40</v>
      </c>
      <c r="D2987">
        <v>4.4068209999999999</v>
      </c>
      <c r="E2987">
        <v>0.50307179999999996</v>
      </c>
      <c r="F2987" t="s">
        <v>46</v>
      </c>
      <c r="G2987">
        <v>-190.5027</v>
      </c>
      <c r="H2987" s="1">
        <v>4.5075240000000003E-6</v>
      </c>
      <c r="I2987">
        <v>208.99639999999999</v>
      </c>
      <c r="J2987">
        <v>-225.08199999999999</v>
      </c>
      <c r="K2987">
        <v>1.1087590000000001</v>
      </c>
      <c r="L2987">
        <v>214.73859999999999</v>
      </c>
      <c r="M2987">
        <v>0.99964050000000004</v>
      </c>
      <c r="N2987">
        <v>0</v>
      </c>
      <c r="O2987">
        <v>2.2888059999999998E-2</v>
      </c>
      <c r="P2987">
        <v>0.97413970000000005</v>
      </c>
      <c r="Q2987">
        <v>0.15037719999999999</v>
      </c>
      <c r="R2987">
        <v>-0.16863829999999999</v>
      </c>
      <c r="S2987">
        <v>3.0088650000000001</v>
      </c>
      <c r="T2987">
        <v>-9.5664620000000006E-2</v>
      </c>
      <c r="U2987">
        <v>-0.49487300000000001</v>
      </c>
      <c r="V2987">
        <v>0.19098979999999999</v>
      </c>
      <c r="W2987">
        <v>0.16378970000000001</v>
      </c>
      <c r="X2987">
        <v>0.96783050000000004</v>
      </c>
      <c r="Y2987">
        <v>0.18473329999999999</v>
      </c>
      <c r="Z2987">
        <v>-3.6394460000000002E-3</v>
      </c>
      <c r="AA2987">
        <v>0.98278189999999999</v>
      </c>
      <c r="AB2987">
        <v>36</v>
      </c>
      <c r="AC2987">
        <v>34.579299999999897</v>
      </c>
      <c r="AD2987">
        <v>-1.108754492476</v>
      </c>
      <c r="AE2987">
        <v>-5.7421999999999898</v>
      </c>
      <c r="AF2987">
        <v>6.5256966469621398</v>
      </c>
      <c r="AG2987">
        <v>-1.108754492476</v>
      </c>
      <c r="AH2987">
        <v>34.404376822636301</v>
      </c>
      <c r="AI2987">
        <v>91.813527647914697</v>
      </c>
      <c r="AJ2987">
        <v>79.2599316026201</v>
      </c>
      <c r="AK2987">
        <v>35.035342124870297</v>
      </c>
      <c r="AL2987">
        <v>80.573067318170601</v>
      </c>
      <c r="AM2987">
        <v>78.836793786668494</v>
      </c>
      <c r="AN2987">
        <v>1.00000002313018</v>
      </c>
    </row>
    <row r="2988" spans="1:40" x14ac:dyDescent="0.25">
      <c r="A2988" t="str">
        <f>"20190312164530990"</f>
        <v>20190312164530990</v>
      </c>
      <c r="B2988" t="str">
        <f>"1552380330984282"</f>
        <v>1552380330984282</v>
      </c>
      <c r="C2988" t="s">
        <v>40</v>
      </c>
      <c r="D2988">
        <v>4.3709680000000004</v>
      </c>
      <c r="E2988">
        <v>0.50274240000000003</v>
      </c>
      <c r="F2988" t="s">
        <v>46</v>
      </c>
      <c r="G2988">
        <v>-189.75200000000001</v>
      </c>
      <c r="H2988" s="1">
        <v>4.6108750000000001E-6</v>
      </c>
      <c r="I2988">
        <v>208.9426</v>
      </c>
      <c r="J2988">
        <v>-224.82749999999999</v>
      </c>
      <c r="K2988">
        <v>1.108743</v>
      </c>
      <c r="L2988">
        <v>214.74430000000001</v>
      </c>
      <c r="M2988">
        <v>0.99964509999999995</v>
      </c>
      <c r="N2988">
        <v>0</v>
      </c>
      <c r="O2988">
        <v>2.2696230000000001E-2</v>
      </c>
      <c r="P2988">
        <v>0.97373810000000005</v>
      </c>
      <c r="Q2988">
        <v>0.15051389999999901</v>
      </c>
      <c r="R2988">
        <v>-0.17082120000000001</v>
      </c>
      <c r="S2988">
        <v>3.0087739999999998</v>
      </c>
      <c r="T2988">
        <v>-9.4423649999999998E-2</v>
      </c>
      <c r="U2988">
        <v>-0.49360660000000001</v>
      </c>
      <c r="V2988">
        <v>0.19298190000000001</v>
      </c>
      <c r="W2988">
        <v>0.163913</v>
      </c>
      <c r="X2988">
        <v>0.96741429999999995</v>
      </c>
      <c r="Y2988">
        <v>0.1841496</v>
      </c>
      <c r="Z2988">
        <v>-3.577406E-3</v>
      </c>
      <c r="AA2988">
        <v>0.98289170000000003</v>
      </c>
      <c r="AB2988">
        <v>36</v>
      </c>
      <c r="AC2988">
        <v>35.075499999999899</v>
      </c>
      <c r="AD2988">
        <v>-1.108738389125</v>
      </c>
      <c r="AE2988">
        <v>-5.8017000000000101</v>
      </c>
      <c r="AF2988">
        <v>6.5899550020104103</v>
      </c>
      <c r="AG2988">
        <v>-1.108738389125</v>
      </c>
      <c r="AH2988">
        <v>34.900829456304201</v>
      </c>
      <c r="AI2988">
        <v>91.788001464931497</v>
      </c>
      <c r="AJ2988">
        <v>79.307331473919206</v>
      </c>
      <c r="AK2988">
        <v>35.534837898632297</v>
      </c>
      <c r="AL2988">
        <v>80.565905329631505</v>
      </c>
      <c r="AM2988">
        <v>78.718598924207399</v>
      </c>
      <c r="AN2988">
        <v>0.99999995657054896</v>
      </c>
    </row>
    <row r="2989" spans="1:40" x14ac:dyDescent="0.25">
      <c r="A2989" t="str">
        <f>"20190312164531012"</f>
        <v>20190312164531012</v>
      </c>
      <c r="B2989" t="str">
        <f>"1552380331004779"</f>
        <v>1552380331004779</v>
      </c>
      <c r="C2989" t="s">
        <v>40</v>
      </c>
      <c r="D2989">
        <v>4.3648129999999998</v>
      </c>
      <c r="E2989">
        <v>0.50239869999999998</v>
      </c>
      <c r="F2989" t="s">
        <v>46</v>
      </c>
      <c r="G2989">
        <v>-194.35560000000001</v>
      </c>
      <c r="H2989" s="1">
        <v>3.6204309999999999E-6</v>
      </c>
      <c r="I2989">
        <v>209.71539999999999</v>
      </c>
      <c r="J2989">
        <v>-224.47020000000001</v>
      </c>
      <c r="K2989">
        <v>1.108717</v>
      </c>
      <c r="L2989">
        <v>214.75210000000001</v>
      </c>
      <c r="M2989">
        <v>0.99965190000000004</v>
      </c>
      <c r="N2989">
        <v>0</v>
      </c>
      <c r="O2989">
        <v>2.2395330000000001E-2</v>
      </c>
      <c r="P2989">
        <v>0.97330000000000005</v>
      </c>
      <c r="Q2989">
        <v>0.150242299999999</v>
      </c>
      <c r="R2989">
        <v>-0.17353569999999999</v>
      </c>
      <c r="S2989">
        <v>3.0106660000000001</v>
      </c>
      <c r="T2989">
        <v>-0.1095452</v>
      </c>
      <c r="U2989">
        <v>-0.49685669999999998</v>
      </c>
      <c r="V2989">
        <v>0.19540279999999999</v>
      </c>
      <c r="W2989">
        <v>0.16362090000000001</v>
      </c>
      <c r="X2989">
        <v>0.96697770000000005</v>
      </c>
      <c r="Y2989">
        <v>0.1847539</v>
      </c>
      <c r="Z2989">
        <v>-4.1470719999999999E-3</v>
      </c>
      <c r="AA2989">
        <v>0.98277599999999998</v>
      </c>
      <c r="AB2989">
        <v>36</v>
      </c>
      <c r="AC2989">
        <v>30.114599999999999</v>
      </c>
      <c r="AD2989">
        <v>-1.1087133795689901</v>
      </c>
      <c r="AE2989">
        <v>-5.0367000000000202</v>
      </c>
      <c r="AF2989">
        <v>5.7024095094861504</v>
      </c>
      <c r="AG2989">
        <v>-1.1087133795689901</v>
      </c>
      <c r="AH2989">
        <v>29.954738675508501</v>
      </c>
      <c r="AI2989">
        <v>92.082355986990095</v>
      </c>
      <c r="AJ2989">
        <v>79.221710260350903</v>
      </c>
      <c r="AK2989">
        <v>30.512834818972799</v>
      </c>
      <c r="AL2989">
        <v>80.582870531645995</v>
      </c>
      <c r="AM2989">
        <v>78.575752701128806</v>
      </c>
      <c r="AN2989">
        <v>0.99999996273096903</v>
      </c>
    </row>
    <row r="2990" spans="1:40" x14ac:dyDescent="0.25">
      <c r="A2990" t="str">
        <f>"20190312164531035"</f>
        <v>20190312164531035</v>
      </c>
      <c r="B2990" t="str">
        <f>"1552380331024300"</f>
        <v>1552380331024300</v>
      </c>
      <c r="C2990" t="s">
        <v>40</v>
      </c>
      <c r="D2990">
        <v>4.5805540000000002</v>
      </c>
      <c r="E2990">
        <v>0.5020829</v>
      </c>
      <c r="F2990" t="s">
        <v>46</v>
      </c>
      <c r="G2990">
        <v>-197.93270000000001</v>
      </c>
      <c r="H2990" s="1">
        <v>2.931191E-6</v>
      </c>
      <c r="I2990">
        <v>210.34139999999999</v>
      </c>
      <c r="J2990">
        <v>-224.11510000000001</v>
      </c>
      <c r="K2990">
        <v>1.108681</v>
      </c>
      <c r="L2990">
        <v>214.75970000000001</v>
      </c>
      <c r="M2990">
        <v>0.99965950000000003</v>
      </c>
      <c r="N2990">
        <v>0</v>
      </c>
      <c r="O2990">
        <v>2.2058129999999999E-2</v>
      </c>
      <c r="P2990">
        <v>0.97289510000000001</v>
      </c>
      <c r="Q2990">
        <v>0.14963679999999999</v>
      </c>
      <c r="R2990">
        <v>-0.17630760000000001</v>
      </c>
      <c r="S2990">
        <v>3.012451</v>
      </c>
      <c r="T2990">
        <v>-0.12585779999999999</v>
      </c>
      <c r="U2990">
        <v>-0.50068659999999998</v>
      </c>
      <c r="V2990">
        <v>0.19784940000000001</v>
      </c>
      <c r="W2990">
        <v>0.16299240000000001</v>
      </c>
      <c r="X2990">
        <v>0.96658630000000001</v>
      </c>
      <c r="Y2990">
        <v>0.185502</v>
      </c>
      <c r="Z2990">
        <v>-4.7623739999999998E-3</v>
      </c>
      <c r="AA2990">
        <v>0.98263230000000001</v>
      </c>
      <c r="AB2990">
        <v>36</v>
      </c>
      <c r="AC2990">
        <v>26.182400000000001</v>
      </c>
      <c r="AD2990">
        <v>-1.1086780688089899</v>
      </c>
      <c r="AE2990">
        <v>-4.4183000000000101</v>
      </c>
      <c r="AF2990">
        <v>4.9861228632858001</v>
      </c>
      <c r="AG2990">
        <v>-1.1086780688089899</v>
      </c>
      <c r="AH2990">
        <v>26.033173129807899</v>
      </c>
      <c r="AI2990">
        <v>92.395106337291395</v>
      </c>
      <c r="AJ2990">
        <v>79.157471417138893</v>
      </c>
      <c r="AK2990">
        <v>26.529543747953699</v>
      </c>
      <c r="AL2990">
        <v>80.619371207717506</v>
      </c>
      <c r="AM2990">
        <v>78.4319855868942</v>
      </c>
      <c r="AN2990">
        <v>0.99999999144290497</v>
      </c>
    </row>
    <row r="2991" spans="1:40" x14ac:dyDescent="0.25">
      <c r="A2991" t="str">
        <f>"20190312164531056"</f>
        <v>20190312164531056</v>
      </c>
      <c r="B2991" t="str">
        <f>"1552380331044794"</f>
        <v>1552380331044794</v>
      </c>
      <c r="C2991" t="s">
        <v>40</v>
      </c>
      <c r="D2991">
        <v>4.4207210000000003</v>
      </c>
      <c r="E2991">
        <v>0.5234685</v>
      </c>
      <c r="F2991" t="s">
        <v>46</v>
      </c>
      <c r="G2991">
        <v>-197.846</v>
      </c>
      <c r="H2991" s="1">
        <v>2.9463749999999998E-6</v>
      </c>
      <c r="I2991">
        <v>210.34379999999999</v>
      </c>
      <c r="J2991">
        <v>-223.76580000000001</v>
      </c>
      <c r="K2991">
        <v>1.108646</v>
      </c>
      <c r="L2991">
        <v>214.767</v>
      </c>
      <c r="M2991">
        <v>0.99966759999999999</v>
      </c>
      <c r="N2991">
        <v>0</v>
      </c>
      <c r="O2991">
        <v>2.168612E-2</v>
      </c>
      <c r="P2991">
        <v>0.9724545</v>
      </c>
      <c r="Q2991">
        <v>0.1490504</v>
      </c>
      <c r="R2991">
        <v>-0.1792108</v>
      </c>
      <c r="S2991">
        <v>3.0113979999999998</v>
      </c>
      <c r="T2991">
        <v>-0.12709500000000001</v>
      </c>
      <c r="U2991">
        <v>-0.50622559999999905</v>
      </c>
      <c r="V2991">
        <v>0.2003945</v>
      </c>
      <c r="W2991">
        <v>0.16237979999999999</v>
      </c>
      <c r="X2991">
        <v>0.96616500000000005</v>
      </c>
      <c r="Y2991">
        <v>0.18694549999999999</v>
      </c>
      <c r="Z2991">
        <v>-4.8247239999999999E-3</v>
      </c>
      <c r="AA2991">
        <v>0.98235850000000002</v>
      </c>
      <c r="AB2991">
        <v>36</v>
      </c>
      <c r="AC2991">
        <v>25.919799999999999</v>
      </c>
      <c r="AD2991">
        <v>-1.108643053625</v>
      </c>
      <c r="AE2991">
        <v>-4.4231999999999996</v>
      </c>
      <c r="AF2991">
        <v>4.9754693310927696</v>
      </c>
      <c r="AG2991">
        <v>-1.108643053625</v>
      </c>
      <c r="AH2991">
        <v>25.771957544133901</v>
      </c>
      <c r="AI2991">
        <v>92.418592740907599</v>
      </c>
      <c r="AJ2991">
        <v>79.073050799281901</v>
      </c>
      <c r="AK2991">
        <v>26.271242455233001</v>
      </c>
      <c r="AL2991">
        <v>80.654944418109906</v>
      </c>
      <c r="AM2991">
        <v>78.282296808353607</v>
      </c>
      <c r="AN2991">
        <v>0.99999998115164401</v>
      </c>
    </row>
    <row r="2992" spans="1:40" x14ac:dyDescent="0.25">
      <c r="A2992" t="str">
        <f>"20190312164531078"</f>
        <v>20190312164531078</v>
      </c>
      <c r="B2992" t="str">
        <f>"1552380331074074"</f>
        <v>1552380331074074</v>
      </c>
      <c r="C2992" t="s">
        <v>40</v>
      </c>
      <c r="D2992">
        <v>4.3480720000000002</v>
      </c>
      <c r="E2992">
        <v>0.5248855</v>
      </c>
      <c r="F2992" t="s">
        <v>46</v>
      </c>
      <c r="G2992">
        <v>-197.0266</v>
      </c>
      <c r="H2992" s="1">
        <v>3.414259E-6</v>
      </c>
      <c r="I2992">
        <v>208.63849999999999</v>
      </c>
      <c r="J2992">
        <v>-223.4085</v>
      </c>
      <c r="K2992">
        <v>1.1086100000000001</v>
      </c>
      <c r="L2992">
        <v>214.77430000000001</v>
      </c>
      <c r="M2992">
        <v>0.99967680000000003</v>
      </c>
      <c r="N2992">
        <v>0</v>
      </c>
      <c r="O2992">
        <v>2.12572E-2</v>
      </c>
      <c r="P2992">
        <v>0.97183699999999995</v>
      </c>
      <c r="Q2992">
        <v>0.1486497</v>
      </c>
      <c r="R2992">
        <v>-0.18285580000000001</v>
      </c>
      <c r="S2992">
        <v>2.978119</v>
      </c>
      <c r="T2992">
        <v>-0.1234765</v>
      </c>
      <c r="U2992">
        <v>-0.68257139999999905</v>
      </c>
      <c r="V2992">
        <v>0.20362469999999999</v>
      </c>
      <c r="W2992">
        <v>0.16194739999999999</v>
      </c>
      <c r="X2992">
        <v>0.96556200000000003</v>
      </c>
      <c r="Y2992">
        <v>0.24385770000000001</v>
      </c>
      <c r="Z2992">
        <v>-5.8588260000000001E-3</v>
      </c>
      <c r="AA2992">
        <v>0.96979329999999997</v>
      </c>
      <c r="AB2992">
        <v>36</v>
      </c>
      <c r="AC2992">
        <v>26.381900000000002</v>
      </c>
      <c r="AD2992">
        <v>-1.1086065857409999</v>
      </c>
      <c r="AE2992">
        <v>-6.1358000000000104</v>
      </c>
      <c r="AF2992">
        <v>6.6840760310126504</v>
      </c>
      <c r="AG2992">
        <v>-1.1086065857409999</v>
      </c>
      <c r="AH2992">
        <v>26.201602287723201</v>
      </c>
      <c r="AI2992">
        <v>92.347678390356407</v>
      </c>
      <c r="AJ2992">
        <v>75.688971436424097</v>
      </c>
      <c r="AK2992">
        <v>27.063441085610901</v>
      </c>
      <c r="AL2992">
        <v>80.680051397246203</v>
      </c>
      <c r="AM2992">
        <v>78.091541906659103</v>
      </c>
      <c r="AN2992">
        <v>0.99999997733042401</v>
      </c>
    </row>
    <row r="2993" spans="1:40" x14ac:dyDescent="0.25">
      <c r="A2993" t="str">
        <f>"20190312164531097"</f>
        <v>20190312164531097</v>
      </c>
      <c r="B2993" t="str">
        <f>"1552380331094571"</f>
        <v>1552380331094571</v>
      </c>
      <c r="C2993" t="s">
        <v>40</v>
      </c>
      <c r="D2993">
        <v>4.6819009999999999</v>
      </c>
      <c r="E2993">
        <v>0.52593590000000001</v>
      </c>
      <c r="F2993" t="s">
        <v>46</v>
      </c>
      <c r="G2993">
        <v>-199.6567</v>
      </c>
      <c r="H2993" s="1">
        <v>2.8075120000000001E-6</v>
      </c>
      <c r="I2993">
        <v>209.16800000000001</v>
      </c>
      <c r="J2993">
        <v>-223.11349999999999</v>
      </c>
      <c r="K2993">
        <v>1.1085750000000001</v>
      </c>
      <c r="L2993">
        <v>214.78020000000001</v>
      </c>
      <c r="M2993">
        <v>0.99968500000000005</v>
      </c>
      <c r="N2993">
        <v>0</v>
      </c>
      <c r="O2993">
        <v>2.0860739999999999E-2</v>
      </c>
      <c r="P2993">
        <v>0.97139249999999999</v>
      </c>
      <c r="Q2993">
        <v>0.1485533</v>
      </c>
      <c r="R2993">
        <v>-0.18528049999999999</v>
      </c>
      <c r="S2993">
        <v>2.976013</v>
      </c>
      <c r="T2993">
        <v>-0.13890429999999901</v>
      </c>
      <c r="U2993">
        <v>-0.70245360000000001</v>
      </c>
      <c r="V2993">
        <v>0.20566999999999999</v>
      </c>
      <c r="W2993">
        <v>0.1618241</v>
      </c>
      <c r="X2993">
        <v>0.96514909999999998</v>
      </c>
      <c r="Y2993">
        <v>0.24970120000000001</v>
      </c>
      <c r="Z2993">
        <v>-6.7059669999999898E-3</v>
      </c>
      <c r="AA2993">
        <v>0.96829969999999999</v>
      </c>
      <c r="AB2993">
        <v>36</v>
      </c>
      <c r="AC2993">
        <v>23.456799999999902</v>
      </c>
      <c r="AD2993">
        <v>-1.1085721924879901</v>
      </c>
      <c r="AE2993">
        <v>-5.6121999999999996</v>
      </c>
      <c r="AF2993">
        <v>6.0874919775620704</v>
      </c>
      <c r="AG2993">
        <v>-1.1085721924879901</v>
      </c>
      <c r="AH2993">
        <v>23.285416008761299</v>
      </c>
      <c r="AI2993">
        <v>92.637181040064107</v>
      </c>
      <c r="AJ2993">
        <v>75.349098566610706</v>
      </c>
      <c r="AK2993">
        <v>24.093507208040801</v>
      </c>
      <c r="AL2993">
        <v>80.687210486142902</v>
      </c>
      <c r="AM2993">
        <v>77.970398400035094</v>
      </c>
      <c r="AN2993">
        <v>0.99999998673580903</v>
      </c>
    </row>
    <row r="2994" spans="1:40" x14ac:dyDescent="0.25">
      <c r="A2994" t="str">
        <f>"20190312164531112"</f>
        <v>20190312164531112</v>
      </c>
      <c r="B2994" t="str">
        <f>"1552380331104330"</f>
        <v>1552380331104330</v>
      </c>
      <c r="C2994" t="s">
        <v>40</v>
      </c>
      <c r="D2994">
        <v>4.3475630000000001</v>
      </c>
      <c r="E2994">
        <v>0.52612000000000003</v>
      </c>
      <c r="F2994" t="s">
        <v>46</v>
      </c>
      <c r="G2994">
        <v>-199.24</v>
      </c>
      <c r="H2994" s="1">
        <v>2.9216830000000001E-6</v>
      </c>
      <c r="I2994">
        <v>209.01589999999999</v>
      </c>
      <c r="J2994">
        <v>-222.87309999999999</v>
      </c>
      <c r="K2994">
        <v>1.1085339999999999</v>
      </c>
      <c r="L2994">
        <v>214.78479999999999</v>
      </c>
      <c r="M2994">
        <v>0.99969249999999998</v>
      </c>
      <c r="N2994">
        <v>0</v>
      </c>
      <c r="O2994">
        <v>2.050652E-2</v>
      </c>
      <c r="P2994">
        <v>0.97069859999999997</v>
      </c>
      <c r="Q2994">
        <v>0.14857979999999901</v>
      </c>
      <c r="R2994">
        <v>-0.1888608</v>
      </c>
      <c r="S2994">
        <v>2.9725649999999999</v>
      </c>
      <c r="T2994">
        <v>-0.13803180000000001</v>
      </c>
      <c r="U2994">
        <v>-0.71772769999999997</v>
      </c>
      <c r="V2994">
        <v>0.2089058</v>
      </c>
      <c r="W2994">
        <v>0.16181989999999999</v>
      </c>
      <c r="X2994">
        <v>0.9644547</v>
      </c>
      <c r="Y2994">
        <v>0.25431219999999999</v>
      </c>
      <c r="Z2994">
        <v>-6.7567570000000004E-3</v>
      </c>
      <c r="AA2994">
        <v>0.96709860000000003</v>
      </c>
      <c r="AB2994">
        <v>36</v>
      </c>
      <c r="AC2994">
        <v>23.633099999999899</v>
      </c>
      <c r="AD2994">
        <v>-1.1085310783169999</v>
      </c>
      <c r="AE2994">
        <v>-5.7689000000000004</v>
      </c>
      <c r="AF2994">
        <v>6.2394106989658704</v>
      </c>
      <c r="AG2994">
        <v>-1.1085310783169999</v>
      </c>
      <c r="AH2994">
        <v>23.461102453441899</v>
      </c>
      <c r="AI2994">
        <v>92.614453807255501</v>
      </c>
      <c r="AJ2994">
        <v>75.107084041457099</v>
      </c>
      <c r="AK2994">
        <v>24.301901476075098</v>
      </c>
      <c r="AL2994">
        <v>80.687455320472594</v>
      </c>
      <c r="AM2994">
        <v>77.778247088031605</v>
      </c>
      <c r="AN2994">
        <v>1.0000000908308599</v>
      </c>
    </row>
    <row r="2995" spans="1:40" x14ac:dyDescent="0.25">
      <c r="A2995" t="str">
        <f>"20190312164531134"</f>
        <v>20190312164531134</v>
      </c>
      <c r="B2995" t="str">
        <f>"1552380331124826"</f>
        <v>1552380331124826</v>
      </c>
      <c r="C2995" t="s">
        <v>40</v>
      </c>
      <c r="D2995">
        <v>4.3794240000000002</v>
      </c>
      <c r="E2995">
        <v>0.52611919999999901</v>
      </c>
      <c r="F2995" t="s">
        <v>46</v>
      </c>
      <c r="G2995">
        <v>-200.33879999999999</v>
      </c>
      <c r="H2995" s="1">
        <v>2.867489E-6</v>
      </c>
      <c r="I2995">
        <v>209.2577</v>
      </c>
      <c r="J2995">
        <v>-222.5213</v>
      </c>
      <c r="K2995">
        <v>1.1084750000000001</v>
      </c>
      <c r="L2995">
        <v>214.79150000000001</v>
      </c>
      <c r="M2995">
        <v>0.99970440000000005</v>
      </c>
      <c r="N2995">
        <v>0</v>
      </c>
      <c r="O2995">
        <v>1.991772E-2</v>
      </c>
      <c r="P2995">
        <v>0.96967210000000004</v>
      </c>
      <c r="Q2995">
        <v>0.1492772</v>
      </c>
      <c r="R2995">
        <v>-0.19352610000000001</v>
      </c>
      <c r="S2995">
        <v>2.97113</v>
      </c>
      <c r="T2995">
        <v>-0.14615889999999901</v>
      </c>
      <c r="U2995">
        <v>-0.72874450000000002</v>
      </c>
      <c r="V2995">
        <v>0.21300430000000001</v>
      </c>
      <c r="W2995">
        <v>0.16246679999999999</v>
      </c>
      <c r="X2995">
        <v>0.96344890000000005</v>
      </c>
      <c r="Y2995">
        <v>0.2571968</v>
      </c>
      <c r="Z2995">
        <v>-7.1957289999999997E-3</v>
      </c>
      <c r="AA2995">
        <v>0.96633230000000003</v>
      </c>
      <c r="AB2995">
        <v>36</v>
      </c>
      <c r="AC2995">
        <v>22.182500000000001</v>
      </c>
      <c r="AD2995">
        <v>-1.1084721325110001</v>
      </c>
      <c r="AE2995">
        <v>-5.53380000000001</v>
      </c>
      <c r="AF2995">
        <v>5.9605579328636402</v>
      </c>
      <c r="AG2995">
        <v>-1.1084721325110001</v>
      </c>
      <c r="AH2995">
        <v>22.016112622707599</v>
      </c>
      <c r="AI2995">
        <v>92.782306939445704</v>
      </c>
      <c r="AJ2995">
        <v>74.851118870938905</v>
      </c>
      <c r="AK2995">
        <v>22.835633916213499</v>
      </c>
      <c r="AL2995">
        <v>80.649893138525897</v>
      </c>
      <c r="AM2995">
        <v>77.533287660155906</v>
      </c>
      <c r="AN2995">
        <v>1.0000000379159599</v>
      </c>
    </row>
    <row r="2996" spans="1:40" x14ac:dyDescent="0.25">
      <c r="A2996" t="str">
        <f>"20190312164531157"</f>
        <v>20190312164531157</v>
      </c>
      <c r="B2996" t="str">
        <f>"1552380331144346"</f>
        <v>1552380331144346</v>
      </c>
      <c r="C2996" t="s">
        <v>40</v>
      </c>
      <c r="D2996">
        <v>4.7868300000000001</v>
      </c>
      <c r="E2996">
        <v>0.52702369999999898</v>
      </c>
      <c r="F2996" t="s">
        <v>46</v>
      </c>
      <c r="G2996">
        <v>-199.42959999999999</v>
      </c>
      <c r="H2996" s="1">
        <v>2.8892849999999998E-6</v>
      </c>
      <c r="I2996">
        <v>209.01130000000001</v>
      </c>
      <c r="J2996">
        <v>-222.1687</v>
      </c>
      <c r="K2996">
        <v>1.108406</v>
      </c>
      <c r="L2996">
        <v>214.7978</v>
      </c>
      <c r="M2996">
        <v>0.99971759999999998</v>
      </c>
      <c r="N2996">
        <v>0</v>
      </c>
      <c r="O2996">
        <v>1.9241919999999999E-2</v>
      </c>
      <c r="P2996">
        <v>0.96857479999999996</v>
      </c>
      <c r="Q2996">
        <v>0.15042469999999999</v>
      </c>
      <c r="R2996">
        <v>-0.19807959999999999</v>
      </c>
      <c r="S2996">
        <v>2.9675289999999999</v>
      </c>
      <c r="T2996">
        <v>-0.1424501</v>
      </c>
      <c r="U2996">
        <v>-0.742813099999999</v>
      </c>
      <c r="V2996">
        <v>0.2169123</v>
      </c>
      <c r="W2996">
        <v>0.16355639999999999</v>
      </c>
      <c r="X2996">
        <v>0.96239200000000003</v>
      </c>
      <c r="Y2996">
        <v>0.2611407</v>
      </c>
      <c r="Z2996">
        <v>-7.0788689999999998E-3</v>
      </c>
      <c r="AA2996">
        <v>0.96527479999999999</v>
      </c>
      <c r="AB2996">
        <v>36</v>
      </c>
      <c r="AC2996">
        <v>22.739100000000001</v>
      </c>
      <c r="AD2996">
        <v>-1.1084031107150001</v>
      </c>
      <c r="AE2996">
        <v>-5.7864999999999798</v>
      </c>
      <c r="AF2996">
        <v>6.20915916568313</v>
      </c>
      <c r="AG2996">
        <v>-1.1084031107150001</v>
      </c>
      <c r="AH2996">
        <v>22.573162800304399</v>
      </c>
      <c r="AI2996">
        <v>92.710602068190397</v>
      </c>
      <c r="AJ2996">
        <v>74.620116197842407</v>
      </c>
      <c r="AK2996">
        <v>23.437787732840199</v>
      </c>
      <c r="AL2996">
        <v>80.586616944671704</v>
      </c>
      <c r="AM2996">
        <v>77.298419506539801</v>
      </c>
      <c r="AN2996">
        <v>1.0000000017681201</v>
      </c>
    </row>
    <row r="2997" spans="1:40" x14ac:dyDescent="0.25">
      <c r="A2997" t="str">
        <f>"20190312164531176"</f>
        <v>20190312164531176</v>
      </c>
      <c r="B2997" t="str">
        <f>"1552380331164842"</f>
        <v>1552380331164842</v>
      </c>
      <c r="C2997" t="s">
        <v>40</v>
      </c>
      <c r="D2997">
        <v>4.433268</v>
      </c>
      <c r="E2997">
        <v>0.52694180000000002</v>
      </c>
      <c r="F2997" t="s">
        <v>46</v>
      </c>
      <c r="G2997">
        <v>-194.7311</v>
      </c>
      <c r="H2997" s="1">
        <v>4.0671560000000003E-6</v>
      </c>
      <c r="I2997">
        <v>207.7105</v>
      </c>
      <c r="J2997">
        <v>-221.86320000000001</v>
      </c>
      <c r="K2997">
        <v>1.1083379999999901</v>
      </c>
      <c r="L2997">
        <v>214.8031</v>
      </c>
      <c r="M2997">
        <v>0.99973009999999995</v>
      </c>
      <c r="N2997">
        <v>0</v>
      </c>
      <c r="O2997">
        <v>1.8580610000000001E-2</v>
      </c>
      <c r="P2997">
        <v>0.96791570000000005</v>
      </c>
      <c r="Q2997">
        <v>0.15121499999999999</v>
      </c>
      <c r="R2997">
        <v>-0.20068150000000001</v>
      </c>
      <c r="S2997">
        <v>2.959549</v>
      </c>
      <c r="T2997">
        <v>-0.119557399999999</v>
      </c>
      <c r="U2997">
        <v>-0.76446530000000001</v>
      </c>
      <c r="V2997">
        <v>0.21889210000000001</v>
      </c>
      <c r="W2997">
        <v>0.16429869999999999</v>
      </c>
      <c r="X2997">
        <v>0.96181709999999998</v>
      </c>
      <c r="Y2997">
        <v>0.26782549999999999</v>
      </c>
      <c r="Z2997">
        <v>-6.0589569999999898E-3</v>
      </c>
      <c r="AA2997">
        <v>0.96344839999999998</v>
      </c>
      <c r="AB2997">
        <v>36</v>
      </c>
      <c r="AC2997">
        <v>27.132100000000001</v>
      </c>
      <c r="AD2997">
        <v>-1.1083339328439901</v>
      </c>
      <c r="AE2997">
        <v>-7.0926</v>
      </c>
      <c r="AF2997">
        <v>7.58370996398014</v>
      </c>
      <c r="AG2997">
        <v>-1.1083339328439901</v>
      </c>
      <c r="AH2997">
        <v>26.953517475261702</v>
      </c>
      <c r="AI2997">
        <v>92.266768891267901</v>
      </c>
      <c r="AJ2997">
        <v>74.285387287286596</v>
      </c>
      <c r="AK2997">
        <v>28.0220121549774</v>
      </c>
      <c r="AL2997">
        <v>80.543502793854799</v>
      </c>
      <c r="AM2997">
        <v>77.178894393936602</v>
      </c>
      <c r="AN2997">
        <v>0.99999997405825403</v>
      </c>
    </row>
    <row r="2998" spans="1:40" x14ac:dyDescent="0.25">
      <c r="A2998" t="str">
        <f>"20190312164531191"</f>
        <v>20190312164531191</v>
      </c>
      <c r="B2998" t="str">
        <f>"1552380331184363"</f>
        <v>1552380331184363</v>
      </c>
      <c r="C2998" t="s">
        <v>40</v>
      </c>
      <c r="D2998">
        <v>4.4322369999999998</v>
      </c>
      <c r="E2998">
        <v>0.52714930000000004</v>
      </c>
      <c r="F2998" t="s">
        <v>46</v>
      </c>
      <c r="G2998">
        <v>-194.15369999999999</v>
      </c>
      <c r="H2998" s="1">
        <v>4.2046359999999997E-6</v>
      </c>
      <c r="I2998">
        <v>207.57810000000001</v>
      </c>
      <c r="J2998">
        <v>-221.62690000000001</v>
      </c>
      <c r="K2998">
        <v>1.108284</v>
      </c>
      <c r="L2998">
        <v>214.80690000000001</v>
      </c>
      <c r="M2998">
        <v>0.99974050000000003</v>
      </c>
      <c r="N2998">
        <v>0</v>
      </c>
      <c r="O2998">
        <v>1.8018300000000001E-2</v>
      </c>
      <c r="P2998">
        <v>0.96621849999999998</v>
      </c>
      <c r="Q2998">
        <v>0.15343209999999999</v>
      </c>
      <c r="R2998">
        <v>-0.20707729999999999</v>
      </c>
      <c r="S2998">
        <v>2.9580229999999998</v>
      </c>
      <c r="T2998">
        <v>-0.11831609999999999</v>
      </c>
      <c r="U2998">
        <v>-0.77127080000000003</v>
      </c>
      <c r="V2998">
        <v>0.22474089999999999</v>
      </c>
      <c r="W2998">
        <v>0.16645019999999999</v>
      </c>
      <c r="X2998">
        <v>0.96009679999999997</v>
      </c>
      <c r="Y2998">
        <v>0.2694838</v>
      </c>
      <c r="Z2998">
        <v>-6.0078579999999996E-3</v>
      </c>
      <c r="AA2998">
        <v>0.96298620000000001</v>
      </c>
      <c r="AB2998">
        <v>36</v>
      </c>
      <c r="AC2998">
        <v>27.473199999999999</v>
      </c>
      <c r="AD2998">
        <v>-1.108279795364</v>
      </c>
      <c r="AE2998">
        <v>-7.2287999999999997</v>
      </c>
      <c r="AF2998">
        <v>7.7109587822917902</v>
      </c>
      <c r="AG2998">
        <v>-1.108279795364</v>
      </c>
      <c r="AH2998">
        <v>27.296930432328399</v>
      </c>
      <c r="AI2998">
        <v>92.237516405216397</v>
      </c>
      <c r="AJ2998">
        <v>74.225838366820895</v>
      </c>
      <c r="AK2998">
        <v>28.386785314198399</v>
      </c>
      <c r="AL2998">
        <v>80.418510130669702</v>
      </c>
      <c r="AM2998">
        <v>76.825330939801006</v>
      </c>
      <c r="AN2998">
        <v>1.0000000032915399</v>
      </c>
    </row>
    <row r="2999" spans="1:40" x14ac:dyDescent="0.25">
      <c r="A2999" t="str">
        <f>"20190312164531213"</f>
        <v>20190312164531213</v>
      </c>
      <c r="B2999" t="str">
        <f>"1552380331204857"</f>
        <v>1552380331204857</v>
      </c>
      <c r="C2999" t="s">
        <v>40</v>
      </c>
      <c r="D2999">
        <v>4.6425619999999999</v>
      </c>
      <c r="E2999">
        <v>0.5274181</v>
      </c>
      <c r="F2999" t="s">
        <v>46</v>
      </c>
      <c r="G2999">
        <v>-192.9325</v>
      </c>
      <c r="H2999" s="1">
        <v>4.634927E-6</v>
      </c>
      <c r="I2999">
        <v>207.11189999999999</v>
      </c>
      <c r="J2999">
        <v>-221.26480000000001</v>
      </c>
      <c r="K2999">
        <v>1.1081890000000001</v>
      </c>
      <c r="L2999">
        <v>214.8124</v>
      </c>
      <c r="M2999">
        <v>0.99975789999999998</v>
      </c>
      <c r="N2999">
        <v>0</v>
      </c>
      <c r="O2999">
        <v>1.703238E-2</v>
      </c>
      <c r="P2999">
        <v>0.96484190000000003</v>
      </c>
      <c r="Q2999">
        <v>0.15507870000000001</v>
      </c>
      <c r="R2999">
        <v>-0.21220520000000001</v>
      </c>
      <c r="S2999">
        <v>2.9532620000000001</v>
      </c>
      <c r="T2999">
        <v>-0.1140654</v>
      </c>
      <c r="U2999">
        <v>-0.79197689999999998</v>
      </c>
      <c r="V2999">
        <v>0.22894030000000001</v>
      </c>
      <c r="W2999">
        <v>0.16801379999999999</v>
      </c>
      <c r="X2999">
        <v>0.9588314</v>
      </c>
      <c r="Y2999">
        <v>0.27522980000000002</v>
      </c>
      <c r="Z2999">
        <v>-5.8676589999999999E-3</v>
      </c>
      <c r="AA2999">
        <v>0.96136060000000001</v>
      </c>
      <c r="AB2999">
        <v>36</v>
      </c>
      <c r="AC2999">
        <v>28.3323</v>
      </c>
      <c r="AD2999">
        <v>-1.1081843650730001</v>
      </c>
      <c r="AE2999">
        <v>-7.7004999999999999</v>
      </c>
      <c r="AF2999">
        <v>8.17035616263367</v>
      </c>
      <c r="AG2999">
        <v>-1.1081843650730001</v>
      </c>
      <c r="AH2999">
        <v>28.156904966826801</v>
      </c>
      <c r="AI2999">
        <v>92.164653225849705</v>
      </c>
      <c r="AJ2999">
        <v>73.818730881698002</v>
      </c>
      <c r="AK2999">
        <v>29.3392925906914</v>
      </c>
      <c r="AL2999">
        <v>80.327642538803104</v>
      </c>
      <c r="AM2999">
        <v>76.570913733861303</v>
      </c>
      <c r="AN2999">
        <v>0.99999997579024402</v>
      </c>
    </row>
    <row r="3000" spans="1:40" x14ac:dyDescent="0.25">
      <c r="A3000" t="str">
        <f>"20190312164531236"</f>
        <v>20190312164531236</v>
      </c>
      <c r="B3000" t="str">
        <f>"1552380331224379"</f>
        <v>1552380331224379</v>
      </c>
      <c r="C3000" t="s">
        <v>40</v>
      </c>
      <c r="D3000">
        <v>4.4231069999999999</v>
      </c>
      <c r="E3000">
        <v>0.52760229999999997</v>
      </c>
      <c r="F3000" t="s">
        <v>46</v>
      </c>
      <c r="G3000">
        <v>-189.36160000000001</v>
      </c>
      <c r="H3000" s="1">
        <v>5.5662150000000004E-6</v>
      </c>
      <c r="I3000">
        <v>206.04409999999999</v>
      </c>
      <c r="J3000">
        <v>-220.92189999999999</v>
      </c>
      <c r="K3000">
        <v>1.108093</v>
      </c>
      <c r="L3000">
        <v>214.81720000000001</v>
      </c>
      <c r="M3000">
        <v>0.99977530000000003</v>
      </c>
      <c r="N3000">
        <v>0</v>
      </c>
      <c r="O3000">
        <v>1.5974970000000002E-2</v>
      </c>
      <c r="P3000">
        <v>0.96350990000000003</v>
      </c>
      <c r="Q3000">
        <v>0.15549360000000001</v>
      </c>
      <c r="R3000">
        <v>-0.21787790000000001</v>
      </c>
      <c r="S3000">
        <v>2.9476010000000001</v>
      </c>
      <c r="T3000">
        <v>-0.10238709999999999</v>
      </c>
      <c r="U3000">
        <v>-0.81011959999999905</v>
      </c>
      <c r="V3000">
        <v>0.2336181</v>
      </c>
      <c r="W3000">
        <v>0.16834379999999999</v>
      </c>
      <c r="X3000">
        <v>0.95764450000000001</v>
      </c>
      <c r="Y3000">
        <v>0.28021849999999998</v>
      </c>
      <c r="Z3000">
        <v>-5.3218170000000004E-3</v>
      </c>
      <c r="AA3000">
        <v>0.95992149999999998</v>
      </c>
      <c r="AB3000">
        <v>35</v>
      </c>
      <c r="AC3000">
        <v>31.560299999999899</v>
      </c>
      <c r="AD3000">
        <v>-1.108087433785</v>
      </c>
      <c r="AE3000">
        <v>-8.7731000000000208</v>
      </c>
      <c r="AF3000">
        <v>9.2656014227074994</v>
      </c>
      <c r="AG3000">
        <v>-1.108087433785</v>
      </c>
      <c r="AH3000">
        <v>31.380199858329298</v>
      </c>
      <c r="AI3000">
        <v>91.939650659317707</v>
      </c>
      <c r="AJ3000">
        <v>73.549761144619893</v>
      </c>
      <c r="AK3000">
        <v>32.738298224466099</v>
      </c>
      <c r="AL3000">
        <v>80.308462161994498</v>
      </c>
      <c r="AM3000">
        <v>76.290426090775199</v>
      </c>
      <c r="AN3000">
        <v>1.00000002001314</v>
      </c>
    </row>
    <row r="3001" spans="1:40" x14ac:dyDescent="0.25">
      <c r="A3001" t="str">
        <f>"20190312164531258"</f>
        <v>20190312164531258</v>
      </c>
      <c r="B3001" t="str">
        <f>"1552380331254634"</f>
        <v>1552380331254634</v>
      </c>
      <c r="C3001" t="s">
        <v>40</v>
      </c>
      <c r="D3001">
        <v>4.6171259999999998</v>
      </c>
      <c r="E3001">
        <v>0.5273156</v>
      </c>
      <c r="F3001" t="s">
        <v>46</v>
      </c>
      <c r="G3001">
        <v>-186.96950000000001</v>
      </c>
      <c r="H3001" s="1">
        <v>5.3413209999999999E-6</v>
      </c>
      <c r="I3001">
        <v>205.2689</v>
      </c>
      <c r="J3001">
        <v>-220.56729999999999</v>
      </c>
      <c r="K3001">
        <v>1.107985</v>
      </c>
      <c r="L3001">
        <v>214.82169999999999</v>
      </c>
      <c r="M3001">
        <v>0.99979399999999996</v>
      </c>
      <c r="N3001">
        <v>0</v>
      </c>
      <c r="O3001">
        <v>1.475078E-2</v>
      </c>
      <c r="P3001">
        <v>0.9622754</v>
      </c>
      <c r="Q3001">
        <v>0.15534609999999999</v>
      </c>
      <c r="R3001">
        <v>-0.2233697</v>
      </c>
      <c r="S3001">
        <v>2.9420169999999999</v>
      </c>
      <c r="T3001">
        <v>-9.6017240000000004E-2</v>
      </c>
      <c r="U3001">
        <v>-0.82737729999999998</v>
      </c>
      <c r="V3001">
        <v>0.23796139999999999</v>
      </c>
      <c r="W3001">
        <v>0.16810639999999999</v>
      </c>
      <c r="X3001">
        <v>0.95661620000000003</v>
      </c>
      <c r="Y3001">
        <v>0.2847498</v>
      </c>
      <c r="Z3001">
        <v>-5.0294759999999997E-3</v>
      </c>
      <c r="AA3001">
        <v>0.95858869999999896</v>
      </c>
      <c r="AB3001">
        <v>35</v>
      </c>
      <c r="AC3001">
        <v>33.5977999999999</v>
      </c>
      <c r="AD3001">
        <v>-1.1079796586790001</v>
      </c>
      <c r="AE3001">
        <v>-9.5527999999999906</v>
      </c>
      <c r="AF3001">
        <v>10.037302972110799</v>
      </c>
      <c r="AG3001">
        <v>-1.1079796586790001</v>
      </c>
      <c r="AH3001">
        <v>33.419592525374</v>
      </c>
      <c r="AI3001">
        <v>91.818667251089494</v>
      </c>
      <c r="AJ3001">
        <v>73.282786991032395</v>
      </c>
      <c r="AK3001">
        <v>34.911949737017402</v>
      </c>
      <c r="AL3001">
        <v>80.322260359522105</v>
      </c>
      <c r="AM3001">
        <v>76.031007136900001</v>
      </c>
      <c r="AN3001">
        <v>0.99999997185667899</v>
      </c>
    </row>
    <row r="3002" spans="1:40" x14ac:dyDescent="0.25">
      <c r="A3002" t="str">
        <f>"20190312164531280"</f>
        <v>20190312164531280</v>
      </c>
      <c r="B3002" t="str">
        <f>"1552380331274158"</f>
        <v>1552380331274158</v>
      </c>
      <c r="C3002" t="s">
        <v>40</v>
      </c>
      <c r="D3002">
        <v>4.5968859999999996</v>
      </c>
      <c r="E3002">
        <v>0.52705480000000005</v>
      </c>
      <c r="F3002" t="s">
        <v>46</v>
      </c>
      <c r="G3002">
        <v>-187.25389999999999</v>
      </c>
      <c r="H3002" s="1">
        <v>5.400032E-6</v>
      </c>
      <c r="I3002">
        <v>205.2852</v>
      </c>
      <c r="J3002">
        <v>-220.21019999999999</v>
      </c>
      <c r="K3002">
        <v>1.1078629999999901</v>
      </c>
      <c r="L3002">
        <v>214.82560000000001</v>
      </c>
      <c r="M3002">
        <v>0.99981350000000002</v>
      </c>
      <c r="N3002">
        <v>0</v>
      </c>
      <c r="O3002">
        <v>1.337619E-2</v>
      </c>
      <c r="P3002">
        <v>0.96108280000000001</v>
      </c>
      <c r="Q3002">
        <v>0.15475159999999999</v>
      </c>
      <c r="R3002">
        <v>-0.22884979999999999</v>
      </c>
      <c r="S3002">
        <v>2.9381710000000001</v>
      </c>
      <c r="T3002">
        <v>-9.7721340000000004E-2</v>
      </c>
      <c r="U3002">
        <v>-0.84109500000000004</v>
      </c>
      <c r="V3002">
        <v>0.24215300000000001</v>
      </c>
      <c r="W3002">
        <v>0.1674187</v>
      </c>
      <c r="X3002">
        <v>0.95568450000000005</v>
      </c>
      <c r="Y3002">
        <v>0.2878925</v>
      </c>
      <c r="Z3002">
        <v>-5.1283090000000002E-3</v>
      </c>
      <c r="AA3002">
        <v>0.95764899999999997</v>
      </c>
      <c r="AB3002">
        <v>35</v>
      </c>
      <c r="AC3002">
        <v>32.956299999999999</v>
      </c>
      <c r="AD3002">
        <v>-1.10785759996799</v>
      </c>
      <c r="AE3002">
        <v>-9.5404</v>
      </c>
      <c r="AF3002">
        <v>9.9700235057176307</v>
      </c>
      <c r="AG3002">
        <v>-1.10785759996799</v>
      </c>
      <c r="AH3002">
        <v>32.791534120821098</v>
      </c>
      <c r="AI3002">
        <v>91.851375347360502</v>
      </c>
      <c r="AJ3002">
        <v>73.088493560398305</v>
      </c>
      <c r="AK3002">
        <v>34.291594118141298</v>
      </c>
      <c r="AL3002">
        <v>80.362229208704505</v>
      </c>
      <c r="AM3002">
        <v>75.781540405612603</v>
      </c>
      <c r="AN3002">
        <v>0.99999998002946899</v>
      </c>
    </row>
    <row r="3003" spans="1:40" x14ac:dyDescent="0.25">
      <c r="A3003" t="str">
        <f>"20190312164531302"</f>
        <v>20190312164531302</v>
      </c>
      <c r="B3003" t="str">
        <f>"1552380331294650"</f>
        <v>1552380331294650</v>
      </c>
      <c r="C3003" t="s">
        <v>40</v>
      </c>
      <c r="D3003">
        <v>4.4730999999999996</v>
      </c>
      <c r="E3003">
        <v>0.52683610000000003</v>
      </c>
      <c r="F3003" t="s">
        <v>46</v>
      </c>
      <c r="G3003">
        <v>-188.75110000000001</v>
      </c>
      <c r="H3003" s="1">
        <v>5.5953270000000001E-6</v>
      </c>
      <c r="I3003">
        <v>205.65539999999999</v>
      </c>
      <c r="J3003">
        <v>-219.86179999999999</v>
      </c>
      <c r="K3003">
        <v>1.107734</v>
      </c>
      <c r="L3003">
        <v>214.8288</v>
      </c>
      <c r="M3003">
        <v>0.9998321</v>
      </c>
      <c r="N3003">
        <v>0</v>
      </c>
      <c r="O3003">
        <v>1.1894190000000001E-2</v>
      </c>
      <c r="P3003">
        <v>0.95981360000000004</v>
      </c>
      <c r="Q3003">
        <v>0.15441740000000001</v>
      </c>
      <c r="R3003">
        <v>-0.23433519999999999</v>
      </c>
      <c r="S3003">
        <v>2.9344480000000002</v>
      </c>
      <c r="T3003">
        <v>-0.10333879999999999</v>
      </c>
      <c r="U3003">
        <v>-0.85537719999999995</v>
      </c>
      <c r="V3003">
        <v>0.24625059999999999</v>
      </c>
      <c r="W3003">
        <v>0.166988</v>
      </c>
      <c r="X3003">
        <v>0.95471229999999996</v>
      </c>
      <c r="Y3003">
        <v>0.29107519999999998</v>
      </c>
      <c r="Z3003">
        <v>-5.4296889999999997E-3</v>
      </c>
      <c r="AA3003">
        <v>0.9566848</v>
      </c>
      <c r="AB3003">
        <v>35</v>
      </c>
      <c r="AC3003">
        <v>31.110699999999898</v>
      </c>
      <c r="AD3003">
        <v>-1.107728404673</v>
      </c>
      <c r="AE3003">
        <v>-9.1734000000000098</v>
      </c>
      <c r="AF3003">
        <v>9.5317059109716702</v>
      </c>
      <c r="AG3003">
        <v>-1.107728404673</v>
      </c>
      <c r="AH3003">
        <v>30.9632631844778</v>
      </c>
      <c r="AI3003">
        <v>91.958301674893406</v>
      </c>
      <c r="AJ3003">
        <v>72.8895833707831</v>
      </c>
      <c r="AK3003">
        <v>32.416109372085501</v>
      </c>
      <c r="AL3003">
        <v>80.387258692619895</v>
      </c>
      <c r="AM3003">
        <v>75.536838901867</v>
      </c>
      <c r="AN3003">
        <v>0.99999996295782401</v>
      </c>
    </row>
    <row r="3004" spans="1:40" x14ac:dyDescent="0.25">
      <c r="A3004" t="str">
        <f>"20190312164531324"</f>
        <v>20190312164531324</v>
      </c>
      <c r="B3004" t="str">
        <f>"1552380331314170"</f>
        <v>1552380331314170</v>
      </c>
      <c r="C3004" t="s">
        <v>40</v>
      </c>
      <c r="D3004">
        <v>4.6269499999999999</v>
      </c>
      <c r="E3004">
        <v>0.52688349999999995</v>
      </c>
      <c r="F3004" t="s">
        <v>46</v>
      </c>
      <c r="G3004">
        <v>-190.56379999999999</v>
      </c>
      <c r="H3004" s="1">
        <v>5.5034889999999998E-6</v>
      </c>
      <c r="I3004">
        <v>206.14060000000001</v>
      </c>
      <c r="J3004">
        <v>-219.51249999999999</v>
      </c>
      <c r="K3004">
        <v>1.1076010000000001</v>
      </c>
      <c r="L3004">
        <v>214.8314</v>
      </c>
      <c r="M3004">
        <v>0.99985020000000002</v>
      </c>
      <c r="N3004">
        <v>0</v>
      </c>
      <c r="O3004">
        <v>1.026548E-2</v>
      </c>
      <c r="P3004">
        <v>0.95845089999999999</v>
      </c>
      <c r="Q3004">
        <v>0.15351860000000001</v>
      </c>
      <c r="R3004">
        <v>-0.2404249</v>
      </c>
      <c r="S3004">
        <v>2.9312290000000001</v>
      </c>
      <c r="T3004">
        <v>-0.1108268</v>
      </c>
      <c r="U3004">
        <v>-0.8692474</v>
      </c>
      <c r="V3004">
        <v>0.25081399999999998</v>
      </c>
      <c r="W3004">
        <v>0.1659852</v>
      </c>
      <c r="X3004">
        <v>0.95369870000000001</v>
      </c>
      <c r="Y3004">
        <v>0.29393730000000001</v>
      </c>
      <c r="Z3004">
        <v>-5.8178400000000003E-3</v>
      </c>
      <c r="AA3004">
        <v>0.95580699999999996</v>
      </c>
      <c r="AB3004">
        <v>35</v>
      </c>
      <c r="AC3004">
        <v>28.948699999999999</v>
      </c>
      <c r="AD3004">
        <v>-1.107595496511</v>
      </c>
      <c r="AE3004">
        <v>-8.6907999999999905</v>
      </c>
      <c r="AF3004">
        <v>8.9754904282648091</v>
      </c>
      <c r="AG3004">
        <v>-1.107595496511</v>
      </c>
      <c r="AH3004">
        <v>28.819250607634299</v>
      </c>
      <c r="AI3004">
        <v>92.101473542856894</v>
      </c>
      <c r="AJ3004">
        <v>72.701280518847497</v>
      </c>
      <c r="AK3004">
        <v>30.204890362280601</v>
      </c>
      <c r="AL3004">
        <v>80.445528292355107</v>
      </c>
      <c r="AM3004">
        <v>75.265390393606296</v>
      </c>
      <c r="AN3004">
        <v>0.99999997979836397</v>
      </c>
    </row>
    <row r="3005" spans="1:40" x14ac:dyDescent="0.25">
      <c r="A3005" t="str">
        <f>"20190312164531347"</f>
        <v>20190312164531347</v>
      </c>
      <c r="B3005" t="str">
        <f>"1552380331334666"</f>
        <v>1552380331334666</v>
      </c>
      <c r="C3005" t="s">
        <v>40</v>
      </c>
      <c r="D3005">
        <v>4.3825219999999998</v>
      </c>
      <c r="E3005">
        <v>0.52699849999999904</v>
      </c>
      <c r="F3005" t="s">
        <v>46</v>
      </c>
      <c r="G3005">
        <v>-190.57640000000001</v>
      </c>
      <c r="H3005" s="1">
        <v>5.5319740000000003E-6</v>
      </c>
      <c r="I3005">
        <v>206.0521</v>
      </c>
      <c r="J3005">
        <v>-219.1617</v>
      </c>
      <c r="K3005">
        <v>1.107464</v>
      </c>
      <c r="L3005">
        <v>214.83330000000001</v>
      </c>
      <c r="M3005">
        <v>0.9998669</v>
      </c>
      <c r="N3005">
        <v>0</v>
      </c>
      <c r="O3005">
        <v>8.4813719999999992E-3</v>
      </c>
      <c r="P3005">
        <v>0.95708119999999997</v>
      </c>
      <c r="Q3005">
        <v>0.15231720000000001</v>
      </c>
      <c r="R3005">
        <v>-0.24656649999999999</v>
      </c>
      <c r="S3005">
        <v>2.925354</v>
      </c>
      <c r="T3005">
        <v>-0.1119745</v>
      </c>
      <c r="U3005">
        <v>-0.88755799999999996</v>
      </c>
      <c r="V3005">
        <v>0.25528600000000001</v>
      </c>
      <c r="W3005">
        <v>0.16467499999999999</v>
      </c>
      <c r="X3005">
        <v>0.9527388</v>
      </c>
      <c r="Y3005">
        <v>0.29823369999999999</v>
      </c>
      <c r="Z3005">
        <v>-5.8977519999999896E-3</v>
      </c>
      <c r="AA3005">
        <v>0.95447470000000001</v>
      </c>
      <c r="AB3005">
        <v>35</v>
      </c>
      <c r="AC3005">
        <v>28.585299999999901</v>
      </c>
      <c r="AD3005">
        <v>-1.107458468026</v>
      </c>
      <c r="AE3005">
        <v>-8.7812000000000108</v>
      </c>
      <c r="AF3005">
        <v>9.0109913437098808</v>
      </c>
      <c r="AG3005">
        <v>-1.107458468026</v>
      </c>
      <c r="AH3005">
        <v>28.470739245974599</v>
      </c>
      <c r="AI3005">
        <v>92.123841032471304</v>
      </c>
      <c r="AJ3005">
        <v>72.437416285453807</v>
      </c>
      <c r="AK3005">
        <v>29.883229786405199</v>
      </c>
      <c r="AL3005">
        <v>80.521645004186198</v>
      </c>
      <c r="AM3005">
        <v>74.999977110572601</v>
      </c>
      <c r="AN3005">
        <v>1.00000000922322</v>
      </c>
    </row>
    <row r="3006" spans="1:40" x14ac:dyDescent="0.25">
      <c r="A3006" t="str">
        <f>"20190312164531370"</f>
        <v>20190312164531370</v>
      </c>
      <c r="B3006" t="str">
        <f>"1552380331364922"</f>
        <v>1552380331364922</v>
      </c>
      <c r="C3006" t="s">
        <v>40</v>
      </c>
      <c r="D3006">
        <v>4.5348560000000004</v>
      </c>
      <c r="E3006">
        <v>0.52728969999999997</v>
      </c>
      <c r="F3006" t="s">
        <v>46</v>
      </c>
      <c r="G3006">
        <v>-190.45849999999999</v>
      </c>
      <c r="H3006" s="1">
        <v>5.6058650000000001E-6</v>
      </c>
      <c r="I3006">
        <v>205.9171</v>
      </c>
      <c r="J3006">
        <v>-218.79230000000001</v>
      </c>
      <c r="K3006">
        <v>1.1073109999999999</v>
      </c>
      <c r="L3006">
        <v>214.83439999999999</v>
      </c>
      <c r="M3006">
        <v>0.99988220000000005</v>
      </c>
      <c r="N3006">
        <v>0</v>
      </c>
      <c r="O3006">
        <v>6.433528E-3</v>
      </c>
      <c r="P3006">
        <v>0.95558120000000002</v>
      </c>
      <c r="Q3006">
        <v>0.15106629999999999</v>
      </c>
      <c r="R3006">
        <v>-0.25306919999999999</v>
      </c>
      <c r="S3006">
        <v>2.9188839999999998</v>
      </c>
      <c r="T3006">
        <v>-0.1126196</v>
      </c>
      <c r="U3006">
        <v>-0.90670779999999995</v>
      </c>
      <c r="V3006">
        <v>0.25987500000000002</v>
      </c>
      <c r="W3006">
        <v>0.1633029</v>
      </c>
      <c r="X3006">
        <v>0.95173379999999996</v>
      </c>
      <c r="Y3006">
        <v>0.30258069999999998</v>
      </c>
      <c r="Z3006">
        <v>-5.9433749999999999E-3</v>
      </c>
      <c r="AA3006">
        <v>0.95310530000000004</v>
      </c>
      <c r="AB3006">
        <v>35</v>
      </c>
      <c r="AC3006">
        <v>28.3338</v>
      </c>
      <c r="AD3006">
        <v>-1.107305394135</v>
      </c>
      <c r="AE3006">
        <v>-8.9172999999999796</v>
      </c>
      <c r="AF3006">
        <v>9.0867918949397506</v>
      </c>
      <c r="AG3006">
        <v>-1.107305394135</v>
      </c>
      <c r="AH3006">
        <v>28.2365990611566</v>
      </c>
      <c r="AI3006">
        <v>92.137853151251406</v>
      </c>
      <c r="AJ3006">
        <v>72.161357080763906</v>
      </c>
      <c r="AK3006">
        <v>29.683352888754499</v>
      </c>
      <c r="AL3006">
        <v>80.601339724979894</v>
      </c>
      <c r="AM3006">
        <v>74.727443025809805</v>
      </c>
      <c r="AN3006">
        <v>1.00000003941792</v>
      </c>
    </row>
    <row r="3007" spans="1:40" x14ac:dyDescent="0.25">
      <c r="A3007" t="str">
        <f>"20190312164531392"</f>
        <v>20190312164531392</v>
      </c>
      <c r="B3007" t="str">
        <f>"1552380331384446"</f>
        <v>1552380331384446</v>
      </c>
      <c r="C3007" t="s">
        <v>40</v>
      </c>
      <c r="D3007">
        <v>4.7191239999999999</v>
      </c>
      <c r="E3007">
        <v>0.52751169999999903</v>
      </c>
      <c r="F3007" t="s">
        <v>46</v>
      </c>
      <c r="G3007">
        <v>-189.44489999999999</v>
      </c>
      <c r="H3007" s="1">
        <v>5.7837229999999998E-6</v>
      </c>
      <c r="I3007">
        <v>205.47059999999999</v>
      </c>
      <c r="J3007">
        <v>-218.44739999999999</v>
      </c>
      <c r="K3007">
        <v>1.1071690000000001</v>
      </c>
      <c r="L3007">
        <v>214.83459999999999</v>
      </c>
      <c r="M3007">
        <v>0.99989329999999998</v>
      </c>
      <c r="N3007">
        <v>0</v>
      </c>
      <c r="O3007">
        <v>4.3565169999999999E-3</v>
      </c>
      <c r="P3007">
        <v>0.95390870000000005</v>
      </c>
      <c r="Q3007">
        <v>0.15108150000000001</v>
      </c>
      <c r="R3007">
        <v>-0.259293</v>
      </c>
      <c r="S3007">
        <v>2.9108429999999998</v>
      </c>
      <c r="T3007">
        <v>-0.10982889999999999</v>
      </c>
      <c r="U3007">
        <v>-0.92875669999999999</v>
      </c>
      <c r="V3007">
        <v>0.26416489999999998</v>
      </c>
      <c r="W3007">
        <v>0.16319649999999999</v>
      </c>
      <c r="X3007">
        <v>0.95057020000000003</v>
      </c>
      <c r="Y3007">
        <v>0.30791629999999998</v>
      </c>
      <c r="Z3007">
        <v>-5.8267340000000001E-3</v>
      </c>
      <c r="AA3007">
        <v>0.95139560000000001</v>
      </c>
      <c r="AB3007">
        <v>35</v>
      </c>
      <c r="AC3007">
        <v>29.002500000000001</v>
      </c>
      <c r="AD3007">
        <v>-1.107163216277</v>
      </c>
      <c r="AE3007">
        <v>-9.3640000000000008</v>
      </c>
      <c r="AF3007">
        <v>9.4777651348439491</v>
      </c>
      <c r="AG3007">
        <v>-1.107163216277</v>
      </c>
      <c r="AH3007">
        <v>28.9232552496902</v>
      </c>
      <c r="AI3007">
        <v>92.083279836781998</v>
      </c>
      <c r="AJ3007">
        <v>71.856719841291394</v>
      </c>
      <c r="AK3007">
        <v>30.456666537516401</v>
      </c>
      <c r="AL3007">
        <v>80.607518029468096</v>
      </c>
      <c r="AM3007">
        <v>74.469307372080294</v>
      </c>
      <c r="AN3007">
        <v>0.99999994856614804</v>
      </c>
    </row>
    <row r="3008" spans="1:40" x14ac:dyDescent="0.25">
      <c r="A3008" t="str">
        <f>"20190312164531414"</f>
        <v>20190312164531414</v>
      </c>
      <c r="B3008" t="str">
        <f>"1552380331404938"</f>
        <v>1552380331404938</v>
      </c>
      <c r="C3008" t="s">
        <v>40</v>
      </c>
      <c r="D3008">
        <v>4.5029849999999998</v>
      </c>
      <c r="E3008">
        <v>0.52772869999999905</v>
      </c>
      <c r="F3008" t="s">
        <v>46</v>
      </c>
      <c r="G3008">
        <v>-188.3</v>
      </c>
      <c r="H3008" s="1">
        <v>5.7132539999999898E-6</v>
      </c>
      <c r="I3008">
        <v>204.97829999999999</v>
      </c>
      <c r="J3008">
        <v>-218.09389999999999</v>
      </c>
      <c r="K3008">
        <v>1.1070359999999999</v>
      </c>
      <c r="L3008">
        <v>214.834</v>
      </c>
      <c r="M3008">
        <v>0.99990060000000003</v>
      </c>
      <c r="N3008">
        <v>0</v>
      </c>
      <c r="O3008">
        <v>2.091674E-3</v>
      </c>
      <c r="P3008">
        <v>0.95172049999999997</v>
      </c>
      <c r="Q3008">
        <v>0.15256539999999999</v>
      </c>
      <c r="R3008">
        <v>-0.2663682</v>
      </c>
      <c r="S3008">
        <v>2.9037929999999998</v>
      </c>
      <c r="T3008">
        <v>-0.10664179999999999</v>
      </c>
      <c r="U3008">
        <v>-0.94935610000000004</v>
      </c>
      <c r="V3008">
        <v>0.26913749999999997</v>
      </c>
      <c r="W3008">
        <v>0.1645499</v>
      </c>
      <c r="X3008">
        <v>0.94894060000000002</v>
      </c>
      <c r="Y3008">
        <v>0.3125464</v>
      </c>
      <c r="Z3008">
        <v>-5.6665680000000003E-3</v>
      </c>
      <c r="AA3008">
        <v>0.9498856</v>
      </c>
      <c r="AB3008">
        <v>35</v>
      </c>
      <c r="AC3008">
        <v>29.793899999999901</v>
      </c>
      <c r="AD3008">
        <v>-1.107030286746</v>
      </c>
      <c r="AE3008">
        <v>-9.8557000000000095</v>
      </c>
      <c r="AF3008">
        <v>9.9056768267322202</v>
      </c>
      <c r="AG3008">
        <v>-1.107030286746</v>
      </c>
      <c r="AH3008">
        <v>29.736213642172199</v>
      </c>
      <c r="AI3008">
        <v>92.022857230664698</v>
      </c>
      <c r="AJ3008">
        <v>71.576140535609696</v>
      </c>
      <c r="AK3008">
        <v>31.362244039997201</v>
      </c>
      <c r="AL3008">
        <v>80.528911395285704</v>
      </c>
      <c r="AM3008">
        <v>74.1656606934731</v>
      </c>
      <c r="AN3008">
        <v>0.99999996291230897</v>
      </c>
    </row>
    <row r="3009" spans="1:40" x14ac:dyDescent="0.25">
      <c r="A3009" t="str">
        <f>"20190312164531437"</f>
        <v>20190312164531437</v>
      </c>
      <c r="B3009" t="str">
        <f>"1552380331424458"</f>
        <v>1552380331424458</v>
      </c>
      <c r="C3009" t="s">
        <v>40</v>
      </c>
      <c r="D3009">
        <v>4.3495730000000004</v>
      </c>
      <c r="E3009">
        <v>0.52786750000000005</v>
      </c>
      <c r="F3009" t="s">
        <v>46</v>
      </c>
      <c r="G3009">
        <v>-185.92179999999999</v>
      </c>
      <c r="H3009" s="1">
        <v>5.4858269999999997E-6</v>
      </c>
      <c r="I3009">
        <v>204.03919999999999</v>
      </c>
      <c r="J3009">
        <v>-217.7449</v>
      </c>
      <c r="K3009">
        <v>1.106916</v>
      </c>
      <c r="L3009">
        <v>214.83240000000001</v>
      </c>
      <c r="M3009">
        <v>0.99990270000000003</v>
      </c>
      <c r="N3009">
        <v>0</v>
      </c>
      <c r="O3009">
        <v>-2.8496739999999998E-4</v>
      </c>
      <c r="P3009">
        <v>0.94947930000000003</v>
      </c>
      <c r="Q3009">
        <v>0.1535744</v>
      </c>
      <c r="R3009">
        <v>-0.27368599999999998</v>
      </c>
      <c r="S3009">
        <v>2.89621</v>
      </c>
      <c r="T3009">
        <v>-9.9657540000000003E-2</v>
      </c>
      <c r="U3009">
        <v>-0.97177119999999995</v>
      </c>
      <c r="V3009">
        <v>0.27425119999999997</v>
      </c>
      <c r="W3009">
        <v>0.1654274</v>
      </c>
      <c r="X3009">
        <v>0.94732249999999996</v>
      </c>
      <c r="Y3009">
        <v>0.31766420000000001</v>
      </c>
      <c r="Z3009">
        <v>-5.3086289999999996E-3</v>
      </c>
      <c r="AA3009">
        <v>0.94818840000000004</v>
      </c>
      <c r="AB3009">
        <v>35</v>
      </c>
      <c r="AC3009">
        <v>31.8231</v>
      </c>
      <c r="AD3009">
        <v>-1.106910514173</v>
      </c>
      <c r="AE3009">
        <v>-10.793200000000001</v>
      </c>
      <c r="AF3009">
        <v>10.7724414070303</v>
      </c>
      <c r="AG3009">
        <v>-1.106910514173</v>
      </c>
      <c r="AH3009">
        <v>31.791678893268699</v>
      </c>
      <c r="AI3009">
        <v>91.888699192048193</v>
      </c>
      <c r="AJ3009">
        <v>71.281323168018403</v>
      </c>
      <c r="AK3009">
        <v>33.585437195412503</v>
      </c>
      <c r="AL3009">
        <v>80.477935452257398</v>
      </c>
      <c r="AM3009">
        <v>73.854195452938498</v>
      </c>
      <c r="AN3009">
        <v>0.99999993218922201</v>
      </c>
    </row>
    <row r="3010" spans="1:40" x14ac:dyDescent="0.25">
      <c r="A3010" t="str">
        <f>"20190312164531459"</f>
        <v>20190312164531459</v>
      </c>
      <c r="B3010" t="str">
        <f>"1552380331454715"</f>
        <v>1552380331454715</v>
      </c>
      <c r="C3010" t="s">
        <v>40</v>
      </c>
      <c r="D3010">
        <v>4.5428300000000004</v>
      </c>
      <c r="E3010">
        <v>0.52791319999999997</v>
      </c>
      <c r="F3010" t="s">
        <v>46</v>
      </c>
      <c r="G3010">
        <v>-184.107</v>
      </c>
      <c r="H3010" s="1">
        <v>5.3592850000000003E-6</v>
      </c>
      <c r="I3010">
        <v>203.25880000000001</v>
      </c>
      <c r="J3010">
        <v>-217.3854</v>
      </c>
      <c r="K3010">
        <v>1.1067849999999999</v>
      </c>
      <c r="L3010">
        <v>214.8297</v>
      </c>
      <c r="M3010">
        <v>0.99989850000000002</v>
      </c>
      <c r="N3010">
        <v>0</v>
      </c>
      <c r="O3010">
        <v>-2.8914660000000001E-3</v>
      </c>
      <c r="P3010">
        <v>0.94748169999999998</v>
      </c>
      <c r="Q3010">
        <v>0.1535386</v>
      </c>
      <c r="R3010">
        <v>-0.2805434</v>
      </c>
      <c r="S3010">
        <v>2.8885350000000001</v>
      </c>
      <c r="T3010">
        <v>-9.5051769999999994E-2</v>
      </c>
      <c r="U3010">
        <v>-0.99383540000000004</v>
      </c>
      <c r="V3010">
        <v>0.27869270000000002</v>
      </c>
      <c r="W3010">
        <v>0.1652614</v>
      </c>
      <c r="X3010">
        <v>0.94605450000000002</v>
      </c>
      <c r="Y3010">
        <v>0.3224533</v>
      </c>
      <c r="Z3010">
        <v>-5.0633190000000002E-3</v>
      </c>
      <c r="AA3010">
        <v>0.94657179999999996</v>
      </c>
      <c r="AB3010">
        <v>35</v>
      </c>
      <c r="AC3010">
        <v>33.278399999999998</v>
      </c>
      <c r="AD3010">
        <v>-1.1067796407149999</v>
      </c>
      <c r="AE3010">
        <v>-11.5708999999999</v>
      </c>
      <c r="AF3010">
        <v>11.4633068172612</v>
      </c>
      <c r="AG3010">
        <v>-1.1067796407149999</v>
      </c>
      <c r="AH3010">
        <v>33.278881133143202</v>
      </c>
      <c r="AI3010">
        <v>91.801043121216196</v>
      </c>
      <c r="AJ3010">
        <v>70.993121455883397</v>
      </c>
      <c r="AK3010">
        <v>35.215284946080502</v>
      </c>
      <c r="AL3010">
        <v>80.487580270263607</v>
      </c>
      <c r="AM3010">
        <v>73.585860013200403</v>
      </c>
      <c r="AN3010">
        <v>1.0000000341667401</v>
      </c>
    </row>
    <row r="3011" spans="1:40" x14ac:dyDescent="0.25">
      <c r="A3011" t="str">
        <f>"20190312164531482"</f>
        <v>20190312164531482</v>
      </c>
      <c r="B3011" t="str">
        <f>"1552380331474235"</f>
        <v>1552380331474235</v>
      </c>
      <c r="C3011" t="s">
        <v>40</v>
      </c>
      <c r="D3011">
        <v>4.4417629999999999</v>
      </c>
      <c r="E3011">
        <v>0.52790990000000004</v>
      </c>
      <c r="F3011" t="s">
        <v>46</v>
      </c>
      <c r="G3011">
        <v>-183.11510000000001</v>
      </c>
      <c r="H3011" s="1">
        <v>5.2926099999999998E-6</v>
      </c>
      <c r="I3011">
        <v>202.7542</v>
      </c>
      <c r="J3011">
        <v>-217.0316</v>
      </c>
      <c r="K3011">
        <v>1.1066450000000001</v>
      </c>
      <c r="L3011">
        <v>214.8261</v>
      </c>
      <c r="M3011">
        <v>0.99988690000000002</v>
      </c>
      <c r="N3011">
        <v>0</v>
      </c>
      <c r="O3011">
        <v>-5.6215659999999997E-3</v>
      </c>
      <c r="P3011">
        <v>0.94521750000000004</v>
      </c>
      <c r="Q3011">
        <v>0.15481589999999901</v>
      </c>
      <c r="R3011">
        <v>-0.28739579999999998</v>
      </c>
      <c r="S3011">
        <v>2.880814</v>
      </c>
      <c r="T3011">
        <v>-9.3037720000000004E-2</v>
      </c>
      <c r="U3011">
        <v>-1.015091</v>
      </c>
      <c r="V3011">
        <v>0.28303200000000001</v>
      </c>
      <c r="W3011">
        <v>0.16639989999999999</v>
      </c>
      <c r="X3011">
        <v>0.94456549999999995</v>
      </c>
      <c r="Y3011">
        <v>0.32687820000000001</v>
      </c>
      <c r="Z3011">
        <v>-4.9465790000000004E-3</v>
      </c>
      <c r="AA3011">
        <v>0.94505349999999999</v>
      </c>
      <c r="AB3011">
        <v>35</v>
      </c>
      <c r="AC3011">
        <v>33.9164999999999</v>
      </c>
      <c r="AD3011">
        <v>-1.1066397073899901</v>
      </c>
      <c r="AE3011">
        <v>-12.071899999999999</v>
      </c>
      <c r="AF3011">
        <v>11.869810990663099</v>
      </c>
      <c r="AG3011">
        <v>-1.1066397073899901</v>
      </c>
      <c r="AH3011">
        <v>33.951752431736402</v>
      </c>
      <c r="AI3011">
        <v>91.762339407348193</v>
      </c>
      <c r="AJ3011">
        <v>70.729954971024995</v>
      </c>
      <c r="AK3011">
        <v>35.983865239603702</v>
      </c>
      <c r="AL3011">
        <v>80.421432950507295</v>
      </c>
      <c r="AM3011">
        <v>73.319547788522399</v>
      </c>
      <c r="AN3011">
        <v>1.0000000117671299</v>
      </c>
    </row>
    <row r="3012" spans="1:40" x14ac:dyDescent="0.25">
      <c r="A3012" t="str">
        <f>"20190312164531503"</f>
        <v>20190312164531503</v>
      </c>
      <c r="B3012" t="str">
        <f>"1552380331494731"</f>
        <v>1552380331494731</v>
      </c>
      <c r="C3012" t="s">
        <v>40</v>
      </c>
      <c r="D3012">
        <v>4.442717</v>
      </c>
      <c r="E3012">
        <v>0.52789140000000001</v>
      </c>
      <c r="F3012" t="s">
        <v>46</v>
      </c>
      <c r="G3012">
        <v>-180.7201</v>
      </c>
      <c r="H3012" s="1">
        <v>4.9251810000000004E-6</v>
      </c>
      <c r="I3012">
        <v>201.73519999999999</v>
      </c>
      <c r="J3012">
        <v>-216.69130000000001</v>
      </c>
      <c r="K3012">
        <v>1.106501</v>
      </c>
      <c r="L3012">
        <v>214.82149999999999</v>
      </c>
      <c r="M3012">
        <v>0.99986730000000001</v>
      </c>
      <c r="N3012">
        <v>0</v>
      </c>
      <c r="O3012">
        <v>-8.4160469999999994E-3</v>
      </c>
      <c r="P3012">
        <v>0.94275469999999895</v>
      </c>
      <c r="Q3012">
        <v>0.15646070000000001</v>
      </c>
      <c r="R3012">
        <v>-0.2945062</v>
      </c>
      <c r="S3012">
        <v>2.8732600000000001</v>
      </c>
      <c r="T3012">
        <v>-8.7566379999999999E-2</v>
      </c>
      <c r="U3012">
        <v>-1.0358579999999999</v>
      </c>
      <c r="V3012">
        <v>0.28758620000000001</v>
      </c>
      <c r="W3012">
        <v>0.1678944</v>
      </c>
      <c r="X3012">
        <v>0.94292399999999998</v>
      </c>
      <c r="Y3012">
        <v>0.33108710000000002</v>
      </c>
      <c r="Z3012">
        <v>-4.6415140000000002E-3</v>
      </c>
      <c r="AA3012">
        <v>0.94358880000000001</v>
      </c>
      <c r="AB3012">
        <v>35</v>
      </c>
      <c r="AC3012">
        <v>35.971200000000003</v>
      </c>
      <c r="AD3012">
        <v>-1.106496074819</v>
      </c>
      <c r="AE3012">
        <v>-13.0862999999999</v>
      </c>
      <c r="AF3012">
        <v>12.7723988064929</v>
      </c>
      <c r="AG3012">
        <v>-1.106496074819</v>
      </c>
      <c r="AH3012">
        <v>36.0499473584958</v>
      </c>
      <c r="AI3012">
        <v>91.657176904169503</v>
      </c>
      <c r="AJ3012">
        <v>70.490901524896401</v>
      </c>
      <c r="AK3012">
        <v>38.261693760025999</v>
      </c>
      <c r="AL3012">
        <v>80.334582577106104</v>
      </c>
      <c r="AM3012">
        <v>73.038606543579405</v>
      </c>
      <c r="AN3012">
        <v>1.0000000108789</v>
      </c>
    </row>
    <row r="3013" spans="1:40" x14ac:dyDescent="0.25">
      <c r="A3013" t="str">
        <f>"20190312164531525"</f>
        <v>20190312164531525</v>
      </c>
      <c r="B3013" t="str">
        <f>"1552380331514251"</f>
        <v>1552380331514251</v>
      </c>
      <c r="C3013" t="s">
        <v>40</v>
      </c>
      <c r="D3013">
        <v>4.4676600000000004</v>
      </c>
      <c r="E3013">
        <v>0.52775930000000004</v>
      </c>
      <c r="F3013" t="s">
        <v>46</v>
      </c>
      <c r="G3013">
        <v>-179.95070000000001</v>
      </c>
      <c r="H3013">
        <v>5.7082620000000001E-2</v>
      </c>
      <c r="I3013">
        <v>201.2723</v>
      </c>
      <c r="J3013">
        <v>-216.34059999999999</v>
      </c>
      <c r="K3013">
        <v>1.1063400000000001</v>
      </c>
      <c r="L3013">
        <v>214.81559999999999</v>
      </c>
      <c r="M3013">
        <v>0.99983670000000002</v>
      </c>
      <c r="N3013">
        <v>0</v>
      </c>
      <c r="O3013">
        <v>-1.148035E-2</v>
      </c>
      <c r="P3013">
        <v>0.94020119999999896</v>
      </c>
      <c r="Q3013">
        <v>0.15812989999999999</v>
      </c>
      <c r="R3013">
        <v>-0.30169030000000002</v>
      </c>
      <c r="S3013">
        <v>2.8656009999999998</v>
      </c>
      <c r="T3013">
        <v>-8.1849930000000001E-2</v>
      </c>
      <c r="U3013">
        <v>-1.056778</v>
      </c>
      <c r="V3013">
        <v>0.29198010000000002</v>
      </c>
      <c r="W3013">
        <v>0.16939989999999999</v>
      </c>
      <c r="X3013">
        <v>0.941303</v>
      </c>
      <c r="Y3013">
        <v>0.33509129999999998</v>
      </c>
      <c r="Z3013">
        <v>-4.3149649999999996E-3</v>
      </c>
      <c r="AA3013">
        <v>0.94217580000000001</v>
      </c>
      <c r="AB3013">
        <v>35</v>
      </c>
      <c r="AC3013">
        <v>36.389899999999898</v>
      </c>
      <c r="AD3013">
        <v>-1.04925737999999</v>
      </c>
      <c r="AE3013">
        <v>-13.543299999999901</v>
      </c>
      <c r="AF3013">
        <v>13.115020730534001</v>
      </c>
      <c r="AG3013">
        <v>-1.04925737999999</v>
      </c>
      <c r="AH3013">
        <v>36.516332723060302</v>
      </c>
      <c r="AI3013">
        <v>91.5490527010421</v>
      </c>
      <c r="AJ3013">
        <v>70.243999248586604</v>
      </c>
      <c r="AK3013">
        <v>38.8142662606556</v>
      </c>
      <c r="AL3013">
        <v>80.247070392829698</v>
      </c>
      <c r="AM3013">
        <v>72.766781261157007</v>
      </c>
      <c r="AN3013">
        <v>1.0000000213625</v>
      </c>
    </row>
    <row r="3014" spans="1:40" x14ac:dyDescent="0.25">
      <c r="A3014" t="str">
        <f>"20190312164531548"</f>
        <v>20190312164531548</v>
      </c>
      <c r="B3014" t="str">
        <f>"1552380331544507"</f>
        <v>1552380331544507</v>
      </c>
      <c r="C3014" t="s">
        <v>40</v>
      </c>
      <c r="D3014">
        <v>4.4343969999999997</v>
      </c>
      <c r="E3014">
        <v>0.52724419999999905</v>
      </c>
      <c r="F3014" t="s">
        <v>46</v>
      </c>
      <c r="G3014">
        <v>-178.57480000000001</v>
      </c>
      <c r="H3014">
        <v>8.0001180000000005E-2</v>
      </c>
      <c r="I3014">
        <v>200.58860000000001</v>
      </c>
      <c r="J3014">
        <v>-215.99299999999999</v>
      </c>
      <c r="K3014">
        <v>1.1061669999999999</v>
      </c>
      <c r="L3014">
        <v>214.80850000000001</v>
      </c>
      <c r="M3014">
        <v>0.99979419999999997</v>
      </c>
      <c r="N3014">
        <v>0</v>
      </c>
      <c r="O3014">
        <v>-1.4716399999999999E-2</v>
      </c>
      <c r="P3014">
        <v>0.93766150000000004</v>
      </c>
      <c r="Q3014">
        <v>0.1590956</v>
      </c>
      <c r="R3014">
        <v>-0.30899850000000001</v>
      </c>
      <c r="S3014">
        <v>2.8583370000000001</v>
      </c>
      <c r="T3014">
        <v>-7.7679399999999996E-2</v>
      </c>
      <c r="U3014">
        <v>-1.0767819999999999</v>
      </c>
      <c r="V3014">
        <v>0.29634870000000002</v>
      </c>
      <c r="W3014">
        <v>0.17019400000000001</v>
      </c>
      <c r="X3014">
        <v>0.93979330000000005</v>
      </c>
      <c r="Y3014">
        <v>0.33861540000000001</v>
      </c>
      <c r="Z3014">
        <v>-4.0614600000000002E-3</v>
      </c>
      <c r="AA3014">
        <v>0.94091610000000003</v>
      </c>
      <c r="AB3014">
        <v>35</v>
      </c>
      <c r="AC3014">
        <v>37.418199999999899</v>
      </c>
      <c r="AD3014">
        <v>-1.0261658199999999</v>
      </c>
      <c r="AE3014">
        <v>-14.2198999999999</v>
      </c>
      <c r="AF3014">
        <v>13.658668711147699</v>
      </c>
      <c r="AG3014">
        <v>-1.0261658199999999</v>
      </c>
      <c r="AH3014">
        <v>37.598724153257002</v>
      </c>
      <c r="AI3014">
        <v>91.4694494463903</v>
      </c>
      <c r="AJ3014">
        <v>70.035192662548795</v>
      </c>
      <c r="AK3014">
        <v>40.015950634762298</v>
      </c>
      <c r="AL3014">
        <v>80.200901167740795</v>
      </c>
      <c r="AM3014">
        <v>72.498169457458403</v>
      </c>
      <c r="AN3014">
        <v>0.99999999817629004</v>
      </c>
    </row>
    <row r="3015" spans="1:40" x14ac:dyDescent="0.25">
      <c r="A3015" t="str">
        <f>"20190312164531571"</f>
        <v>20190312164531571</v>
      </c>
      <c r="B3015" t="str">
        <f>"1552380331565002"</f>
        <v>1552380331565002</v>
      </c>
      <c r="C3015" t="s">
        <v>40</v>
      </c>
      <c r="D3015">
        <v>4.3039610000000001</v>
      </c>
      <c r="E3015">
        <v>0.5271129</v>
      </c>
      <c r="F3015" t="s">
        <v>46</v>
      </c>
      <c r="G3015">
        <v>-178.7576</v>
      </c>
      <c r="H3015">
        <v>8.0001180000000005E-2</v>
      </c>
      <c r="I3015">
        <v>200.53319999999999</v>
      </c>
      <c r="J3015">
        <v>-215.62989999999999</v>
      </c>
      <c r="K3015">
        <v>1.105972</v>
      </c>
      <c r="L3015">
        <v>214.7996</v>
      </c>
      <c r="M3015">
        <v>0.99973429999999996</v>
      </c>
      <c r="N3015">
        <v>0</v>
      </c>
      <c r="O3015">
        <v>-1.832951E-2</v>
      </c>
      <c r="P3015">
        <v>0.93491009999999997</v>
      </c>
      <c r="Q3015">
        <v>0.1597952</v>
      </c>
      <c r="R3015">
        <v>-0.31687310000000002</v>
      </c>
      <c r="S3015">
        <v>2.8524319999999999</v>
      </c>
      <c r="T3015">
        <v>-7.8609819999999997E-2</v>
      </c>
      <c r="U3015">
        <v>-1.093567</v>
      </c>
      <c r="V3015">
        <v>0.3009502</v>
      </c>
      <c r="W3015">
        <v>0.17070759999999999</v>
      </c>
      <c r="X3015">
        <v>0.93823659999999998</v>
      </c>
      <c r="Y3015">
        <v>0.34069129999999997</v>
      </c>
      <c r="Z3015">
        <v>-4.0455170000000002E-3</v>
      </c>
      <c r="AA3015">
        <v>0.94016650000000002</v>
      </c>
      <c r="AB3015">
        <v>35</v>
      </c>
      <c r="AC3015">
        <v>36.872300000000003</v>
      </c>
      <c r="AD3015">
        <v>-1.02597082</v>
      </c>
      <c r="AE3015">
        <v>-14.266400000000001</v>
      </c>
      <c r="AF3015">
        <v>13.5789412724987</v>
      </c>
      <c r="AG3015">
        <v>-1.02597082</v>
      </c>
      <c r="AH3015">
        <v>37.102640371845801</v>
      </c>
      <c r="AI3015">
        <v>91.487508631984198</v>
      </c>
      <c r="AJ3015">
        <v>69.898225501034702</v>
      </c>
      <c r="AK3015">
        <v>39.522729976153997</v>
      </c>
      <c r="AL3015">
        <v>80.171037171740096</v>
      </c>
      <c r="AM3015">
        <v>72.215758020844206</v>
      </c>
      <c r="AN3015">
        <v>1.0000000125786701</v>
      </c>
    </row>
    <row r="3016" spans="1:40" x14ac:dyDescent="0.25">
      <c r="A3016" t="str">
        <f>"20190312164531592"</f>
        <v>20190312164531592</v>
      </c>
      <c r="B3016" t="str">
        <f>"1552380331584522"</f>
        <v>1552380331584522</v>
      </c>
      <c r="C3016" t="s">
        <v>40</v>
      </c>
      <c r="D3016">
        <v>4.3067950000000002</v>
      </c>
      <c r="E3016">
        <v>0.52697799999999995</v>
      </c>
      <c r="F3016" t="s">
        <v>46</v>
      </c>
      <c r="G3016">
        <v>-178.20349999999999</v>
      </c>
      <c r="H3016">
        <v>8.0001169999999996E-2</v>
      </c>
      <c r="I3016">
        <v>200.12139999999999</v>
      </c>
      <c r="J3016">
        <v>-215.29230000000001</v>
      </c>
      <c r="K3016">
        <v>1.105793</v>
      </c>
      <c r="L3016">
        <v>214.79</v>
      </c>
      <c r="M3016">
        <v>0.99966259999999996</v>
      </c>
      <c r="N3016">
        <v>0</v>
      </c>
      <c r="O3016">
        <v>-2.1888589999999999E-2</v>
      </c>
      <c r="P3016">
        <v>0.93217680000000003</v>
      </c>
      <c r="Q3016">
        <v>0.16091929999999999</v>
      </c>
      <c r="R3016">
        <v>-0.32427020000000001</v>
      </c>
      <c r="S3016">
        <v>2.844147</v>
      </c>
      <c r="T3016">
        <v>-7.7966809999999998E-2</v>
      </c>
      <c r="U3016">
        <v>-1.115448</v>
      </c>
      <c r="V3016">
        <v>0.30513669999999998</v>
      </c>
      <c r="W3016">
        <v>0.17165559999999999</v>
      </c>
      <c r="X3016">
        <v>0.93671020000000005</v>
      </c>
      <c r="Y3016">
        <v>0.34454309999999899</v>
      </c>
      <c r="Z3016">
        <v>-3.974974E-3</v>
      </c>
      <c r="AA3016">
        <v>0.93876210000000004</v>
      </c>
      <c r="AB3016">
        <v>35</v>
      </c>
      <c r="AC3016">
        <v>37.088799999999999</v>
      </c>
      <c r="AD3016">
        <v>-1.02579183</v>
      </c>
      <c r="AE3016">
        <v>-14.6685999999999</v>
      </c>
      <c r="AF3016">
        <v>13.8440264568616</v>
      </c>
      <c r="AG3016">
        <v>-1.02579183</v>
      </c>
      <c r="AH3016">
        <v>37.376295046359701</v>
      </c>
      <c r="AI3016">
        <v>91.474255131159097</v>
      </c>
      <c r="AJ3016">
        <v>69.675576867780904</v>
      </c>
      <c r="AK3016">
        <v>39.871001351976503</v>
      </c>
      <c r="AL3016">
        <v>80.115907143680005</v>
      </c>
      <c r="AM3016">
        <v>71.956795030371595</v>
      </c>
      <c r="AN3016">
        <v>1.00000002474114</v>
      </c>
    </row>
    <row r="3017" spans="1:40" x14ac:dyDescent="0.25">
      <c r="A3017" t="str">
        <f>"20190312164531615"</f>
        <v>20190312164531615</v>
      </c>
      <c r="B3017" t="str">
        <f>"1552380331605018"</f>
        <v>1552380331605018</v>
      </c>
      <c r="C3017" t="s">
        <v>40</v>
      </c>
      <c r="D3017">
        <v>4.3049010000000001</v>
      </c>
      <c r="E3017">
        <v>0.52679739999999997</v>
      </c>
      <c r="F3017" t="s">
        <v>42</v>
      </c>
      <c r="G3017">
        <v>-176.41030000000001</v>
      </c>
      <c r="H3017">
        <v>7.9986860000000007E-2</v>
      </c>
      <c r="I3017">
        <v>199.2167</v>
      </c>
      <c r="J3017">
        <v>-214.93629999999999</v>
      </c>
      <c r="K3017">
        <v>1.105623</v>
      </c>
      <c r="L3017">
        <v>214.7783</v>
      </c>
      <c r="M3017">
        <v>0.99956880000000004</v>
      </c>
      <c r="N3017">
        <v>0</v>
      </c>
      <c r="O3017">
        <v>-2.5819379999999999E-2</v>
      </c>
      <c r="P3017">
        <v>0.92884929999999999</v>
      </c>
      <c r="Q3017">
        <v>0.16262579999999999</v>
      </c>
      <c r="R3017">
        <v>-0.33285439999999999</v>
      </c>
      <c r="S3017">
        <v>2.8360439999999998</v>
      </c>
      <c r="T3017">
        <v>-7.4821949999999998E-2</v>
      </c>
      <c r="U3017">
        <v>-1.13591</v>
      </c>
      <c r="V3017">
        <v>0.3101932</v>
      </c>
      <c r="W3017">
        <v>0.17317550000000001</v>
      </c>
      <c r="X3017">
        <v>0.93476760000000003</v>
      </c>
      <c r="Y3017">
        <v>0.34762080000000001</v>
      </c>
      <c r="Z3017">
        <v>-3.7594339999999999E-3</v>
      </c>
      <c r="AA3017">
        <v>0.93762769999999995</v>
      </c>
      <c r="AB3017">
        <v>35</v>
      </c>
      <c r="AC3017">
        <v>38.525999999999897</v>
      </c>
      <c r="AD3017">
        <v>-1.02563614</v>
      </c>
      <c r="AE3017">
        <v>-15.5616</v>
      </c>
      <c r="AF3017">
        <v>14.5527292246078</v>
      </c>
      <c r="AG3017">
        <v>-1.02563614</v>
      </c>
      <c r="AH3017">
        <v>38.891287006179503</v>
      </c>
      <c r="AI3017">
        <v>91.414879527453294</v>
      </c>
      <c r="AJ3017">
        <v>69.484655350919894</v>
      </c>
      <c r="AK3017">
        <v>41.537525953930597</v>
      </c>
      <c r="AL3017">
        <v>80.027499270277602</v>
      </c>
      <c r="AM3017">
        <v>71.642095610583397</v>
      </c>
      <c r="AN3017">
        <v>1.0000000205681201</v>
      </c>
    </row>
    <row r="3018" spans="1:40" x14ac:dyDescent="0.25">
      <c r="A3018" t="str">
        <f>"20190312164531638"</f>
        <v>20190312164531638</v>
      </c>
      <c r="B3018" t="str">
        <f>"1552380331634298"</f>
        <v>1552380331634298</v>
      </c>
      <c r="C3018" t="s">
        <v>40</v>
      </c>
      <c r="D3018">
        <v>4.3270059999999999</v>
      </c>
      <c r="E3018">
        <v>0.52654669999999903</v>
      </c>
      <c r="F3018" t="s">
        <v>60</v>
      </c>
      <c r="G3018">
        <v>-168.41399999999999</v>
      </c>
      <c r="H3018">
        <v>-4.6640399999999999E-2</v>
      </c>
      <c r="I3018">
        <v>195.69450000000001</v>
      </c>
      <c r="J3018">
        <v>-214.58699999999999</v>
      </c>
      <c r="K3018">
        <v>1.1054679999999999</v>
      </c>
      <c r="L3018">
        <v>214.7654</v>
      </c>
      <c r="M3018">
        <v>0.99945660000000003</v>
      </c>
      <c r="N3018">
        <v>0</v>
      </c>
      <c r="O3018">
        <v>-2.9843970000000001E-2</v>
      </c>
      <c r="P3018">
        <v>0.92532429999999999</v>
      </c>
      <c r="Q3018">
        <v>0.1634649</v>
      </c>
      <c r="R3018">
        <v>-0.34213290000000002</v>
      </c>
      <c r="S3018">
        <v>2.8265380000000002</v>
      </c>
      <c r="T3018">
        <v>-7.0005540000000005E-2</v>
      </c>
      <c r="U3018">
        <v>-1.15947</v>
      </c>
      <c r="V3018">
        <v>0.31586789999999998</v>
      </c>
      <c r="W3018">
        <v>0.17382879999999901</v>
      </c>
      <c r="X3018">
        <v>0.93274380000000001</v>
      </c>
      <c r="Y3018">
        <v>0.3516512</v>
      </c>
      <c r="Z3018">
        <v>-3.4756330000000001E-3</v>
      </c>
      <c r="AA3018">
        <v>0.93612459999999997</v>
      </c>
      <c r="AB3018">
        <v>35</v>
      </c>
      <c r="AC3018">
        <v>46.173000000000002</v>
      </c>
      <c r="AD3018">
        <v>-1.1521083999999999</v>
      </c>
      <c r="AE3018">
        <v>-19.070899999999899</v>
      </c>
      <c r="AF3018">
        <v>17.674882291044302</v>
      </c>
      <c r="AG3018">
        <v>-1.1521083999999999</v>
      </c>
      <c r="AH3018">
        <v>46.696799683779197</v>
      </c>
      <c r="AI3018">
        <v>91.321838581917206</v>
      </c>
      <c r="AJ3018">
        <v>69.268191568597203</v>
      </c>
      <c r="AK3018">
        <v>49.943166884716298</v>
      </c>
      <c r="AL3018">
        <v>79.989491174983101</v>
      </c>
      <c r="AM3018">
        <v>71.291648497908696</v>
      </c>
      <c r="AN3018">
        <v>0.99999998919914501</v>
      </c>
    </row>
    <row r="3019" spans="1:40" x14ac:dyDescent="0.25">
      <c r="A3019" t="str">
        <f>"20190312164531660"</f>
        <v>20190312164531660</v>
      </c>
      <c r="B3019" t="str">
        <f>"1552380331654794"</f>
        <v>1552380331654794</v>
      </c>
      <c r="C3019" t="s">
        <v>40</v>
      </c>
      <c r="D3019">
        <v>4.4876459999999998</v>
      </c>
      <c r="E3019">
        <v>0.52068159999999997</v>
      </c>
      <c r="F3019" t="s">
        <v>60</v>
      </c>
      <c r="G3019">
        <v>-168.41419999999999</v>
      </c>
      <c r="H3019">
        <v>-1.5541080000000001E-2</v>
      </c>
      <c r="I3019">
        <v>195.36600000000001</v>
      </c>
      <c r="J3019">
        <v>-214.23599999999999</v>
      </c>
      <c r="K3019">
        <v>1.1053189999999999</v>
      </c>
      <c r="L3019">
        <v>214.7509</v>
      </c>
      <c r="M3019">
        <v>0.99932209999999999</v>
      </c>
      <c r="N3019">
        <v>0</v>
      </c>
      <c r="O3019">
        <v>-3.40506E-2</v>
      </c>
      <c r="P3019">
        <v>0.92188789999999998</v>
      </c>
      <c r="Q3019">
        <v>0.16340660000000001</v>
      </c>
      <c r="R3019">
        <v>-0.35131390000000001</v>
      </c>
      <c r="S3019">
        <v>2.8166500000000001</v>
      </c>
      <c r="T3019">
        <v>-6.8382020000000002E-2</v>
      </c>
      <c r="U3019">
        <v>-1.183411</v>
      </c>
      <c r="V3019">
        <v>0.32128259999999997</v>
      </c>
      <c r="W3019">
        <v>0.17359160000000001</v>
      </c>
      <c r="X3019">
        <v>0.93093689999999996</v>
      </c>
      <c r="Y3019">
        <v>0.35564829999999997</v>
      </c>
      <c r="Z3019">
        <v>-3.3496799999999998E-3</v>
      </c>
      <c r="AA3019">
        <v>0.9346139</v>
      </c>
      <c r="AB3019">
        <v>35</v>
      </c>
      <c r="AC3019">
        <v>45.821800000000003</v>
      </c>
      <c r="AD3019">
        <v>-1.1208600799999999</v>
      </c>
      <c r="AE3019">
        <v>-19.384899999999998</v>
      </c>
      <c r="AF3019">
        <v>17.804208022535398</v>
      </c>
      <c r="AG3019">
        <v>-1.1208600799999999</v>
      </c>
      <c r="AH3019">
        <v>46.431790153430804</v>
      </c>
      <c r="AI3019">
        <v>91.291210778807596</v>
      </c>
      <c r="AJ3019">
        <v>69.020745309989294</v>
      </c>
      <c r="AK3019">
        <v>49.7409015547656</v>
      </c>
      <c r="AL3019">
        <v>80.003291978090601</v>
      </c>
      <c r="AM3019">
        <v>70.959550541820903</v>
      </c>
      <c r="AN3019">
        <v>1.00000003221746</v>
      </c>
    </row>
    <row r="3020" spans="1:40" x14ac:dyDescent="0.25">
      <c r="A3020" t="str">
        <f>"20190312164531683"</f>
        <v>20190312164531683</v>
      </c>
      <c r="B3020" t="str">
        <f>"1552380331674315"</f>
        <v>1552380331674315</v>
      </c>
      <c r="C3020" t="s">
        <v>40</v>
      </c>
      <c r="D3020">
        <v>4.5042249999999999</v>
      </c>
      <c r="E3020">
        <v>0.51923160000000002</v>
      </c>
      <c r="F3020" t="s">
        <v>46</v>
      </c>
      <c r="G3020">
        <v>-199.56139999999999</v>
      </c>
      <c r="H3020" s="1">
        <v>2.9192750000000001E-6</v>
      </c>
      <c r="I3020">
        <v>208.80969999999999</v>
      </c>
      <c r="J3020">
        <v>-213.88059999999999</v>
      </c>
      <c r="K3020">
        <v>1.105175</v>
      </c>
      <c r="L3020">
        <v>214.7345</v>
      </c>
      <c r="M3020">
        <v>0.99916170000000004</v>
      </c>
      <c r="N3020">
        <v>0</v>
      </c>
      <c r="O3020">
        <v>-3.8465770000000003E-2</v>
      </c>
      <c r="P3020">
        <v>0.91856170000000004</v>
      </c>
      <c r="Q3020">
        <v>0.16251840000000001</v>
      </c>
      <c r="R3020">
        <v>-0.3603227</v>
      </c>
      <c r="S3020">
        <v>2.8522029999999998</v>
      </c>
      <c r="T3020">
        <v>-0.21483360000000001</v>
      </c>
      <c r="U3020">
        <v>-1.154755</v>
      </c>
      <c r="V3020">
        <v>0.32633800000000002</v>
      </c>
      <c r="W3020">
        <v>0.1725284</v>
      </c>
      <c r="X3020">
        <v>0.92937479999999995</v>
      </c>
      <c r="Y3020">
        <v>0.33861059999999998</v>
      </c>
      <c r="Z3020">
        <v>-9.4747679999999997E-3</v>
      </c>
      <c r="AA3020">
        <v>0.94087889999999996</v>
      </c>
      <c r="AB3020">
        <v>35</v>
      </c>
      <c r="AC3020">
        <v>14.319199999999899</v>
      </c>
      <c r="AD3020">
        <v>-1.1051720807250001</v>
      </c>
      <c r="AE3020">
        <v>-5.9248000000000003</v>
      </c>
      <c r="AF3020">
        <v>5.3423889206861404</v>
      </c>
      <c r="AG3020">
        <v>-1.1051720807250001</v>
      </c>
      <c r="AH3020">
        <v>14.462963902982599</v>
      </c>
      <c r="AI3020">
        <v>94.099953603860698</v>
      </c>
      <c r="AJ3020">
        <v>69.726571657497402</v>
      </c>
      <c r="AK3020">
        <v>15.4576793072849</v>
      </c>
      <c r="AL3020">
        <v>80.065142058231302</v>
      </c>
      <c r="AM3020">
        <v>70.651931832404003</v>
      </c>
      <c r="AN3020">
        <v>1.0000000289627899</v>
      </c>
    </row>
    <row r="3021" spans="1:40" x14ac:dyDescent="0.25">
      <c r="A3021" t="str">
        <f>"20190312164531704"</f>
        <v>20190312164531704</v>
      </c>
      <c r="B3021" t="str">
        <f>"1552380331694810"</f>
        <v>1552380331694810</v>
      </c>
      <c r="C3021" t="s">
        <v>40</v>
      </c>
      <c r="D3021">
        <v>4.5481420000000004</v>
      </c>
      <c r="E3021">
        <v>0.51907380000000003</v>
      </c>
      <c r="F3021" t="s">
        <v>46</v>
      </c>
      <c r="G3021">
        <v>-196.92850000000001</v>
      </c>
      <c r="H3021" s="1">
        <v>3.6743440000000001E-6</v>
      </c>
      <c r="I3021">
        <v>207.72200000000001</v>
      </c>
      <c r="J3021">
        <v>-213.54640000000001</v>
      </c>
      <c r="K3021">
        <v>1.105035</v>
      </c>
      <c r="L3021">
        <v>214.7176</v>
      </c>
      <c r="M3021">
        <v>0.99898730000000002</v>
      </c>
      <c r="N3021">
        <v>0</v>
      </c>
      <c r="O3021">
        <v>-4.2754960000000002E-2</v>
      </c>
      <c r="P3021">
        <v>0.91607950000000005</v>
      </c>
      <c r="Q3021">
        <v>0.1616783</v>
      </c>
      <c r="R3021">
        <v>-0.36695860000000002</v>
      </c>
      <c r="S3021">
        <v>2.8381810000000001</v>
      </c>
      <c r="T3021">
        <v>-0.1850309</v>
      </c>
      <c r="U3021">
        <v>-1.1740569999999999</v>
      </c>
      <c r="V3021">
        <v>0.32911899999999999</v>
      </c>
      <c r="W3021">
        <v>0.17155039999999999</v>
      </c>
      <c r="X3021">
        <v>0.92857480000000003</v>
      </c>
      <c r="Y3021">
        <v>0.34184949999999997</v>
      </c>
      <c r="Z3021">
        <v>-8.0244840000000001E-3</v>
      </c>
      <c r="AA3021">
        <v>0.93972049999999996</v>
      </c>
      <c r="AB3021">
        <v>35</v>
      </c>
      <c r="AC3021">
        <v>16.617899999999899</v>
      </c>
      <c r="AD3021">
        <v>-1.10503132565599</v>
      </c>
      <c r="AE3021">
        <v>-6.9955999999999898</v>
      </c>
      <c r="AF3021">
        <v>6.2551392939597497</v>
      </c>
      <c r="AG3021">
        <v>-1.10503132565599</v>
      </c>
      <c r="AH3021">
        <v>16.838579361913901</v>
      </c>
      <c r="AI3021">
        <v>93.520259351930605</v>
      </c>
      <c r="AJ3021">
        <v>69.621143364641995</v>
      </c>
      <c r="AK3021">
        <v>17.996822406886</v>
      </c>
      <c r="AL3021">
        <v>80.1220252453368</v>
      </c>
      <c r="AM3021">
        <v>70.483914246044904</v>
      </c>
      <c r="AN3021">
        <v>1.0000000075480999</v>
      </c>
    </row>
    <row r="3022" spans="1:40" x14ac:dyDescent="0.25">
      <c r="A3022" t="str">
        <f>"20190312164531727"</f>
        <v>20190312164531727</v>
      </c>
      <c r="B3022" t="str">
        <f>"1552380331714331"</f>
        <v>1552380331714331</v>
      </c>
      <c r="C3022" t="s">
        <v>40</v>
      </c>
      <c r="D3022">
        <v>4.3051510000000004</v>
      </c>
      <c r="E3022">
        <v>0.517872</v>
      </c>
      <c r="F3022" t="s">
        <v>46</v>
      </c>
      <c r="G3022">
        <v>-197.2559</v>
      </c>
      <c r="H3022" s="1">
        <v>3.5808699999999999E-6</v>
      </c>
      <c r="I3022">
        <v>207.85570000000001</v>
      </c>
      <c r="J3022">
        <v>-213.1985</v>
      </c>
      <c r="K3022">
        <v>1.104894</v>
      </c>
      <c r="L3022">
        <v>214.69829999999999</v>
      </c>
      <c r="M3022">
        <v>0.99877969999999905</v>
      </c>
      <c r="N3022">
        <v>0</v>
      </c>
      <c r="O3022">
        <v>-4.735487E-2</v>
      </c>
      <c r="P3022">
        <v>0.91245620000000005</v>
      </c>
      <c r="Q3022">
        <v>0.16069749999999999</v>
      </c>
      <c r="R3022">
        <v>-0.37629760000000001</v>
      </c>
      <c r="S3022">
        <v>2.8310240000000002</v>
      </c>
      <c r="T3022">
        <v>-0.19203629999999999</v>
      </c>
      <c r="U3022">
        <v>-1.19249</v>
      </c>
      <c r="V3022">
        <v>0.33437620000000001</v>
      </c>
      <c r="W3022">
        <v>0.1703904</v>
      </c>
      <c r="X3022">
        <v>0.92690870000000003</v>
      </c>
      <c r="Y3022">
        <v>0.34353309999999998</v>
      </c>
      <c r="Z3022">
        <v>-8.0944520000000002E-3</v>
      </c>
      <c r="AA3022">
        <v>0.93910570000000004</v>
      </c>
      <c r="AB3022">
        <v>35</v>
      </c>
      <c r="AC3022">
        <v>15.942600000000001</v>
      </c>
      <c r="AD3022">
        <v>-1.10489041913</v>
      </c>
      <c r="AE3022">
        <v>-6.8425999999999698</v>
      </c>
      <c r="AF3022">
        <v>6.0553280448551803</v>
      </c>
      <c r="AG3022">
        <v>-1.10489041913</v>
      </c>
      <c r="AH3022">
        <v>16.183135678594599</v>
      </c>
      <c r="AI3022">
        <v>93.658764941491</v>
      </c>
      <c r="AJ3022">
        <v>69.485397246863698</v>
      </c>
      <c r="AK3022">
        <v>17.314204023312598</v>
      </c>
      <c r="AL3022">
        <v>80.189481839352197</v>
      </c>
      <c r="AM3022">
        <v>70.163425487645597</v>
      </c>
      <c r="AN3022">
        <v>1.0000000348371401</v>
      </c>
    </row>
    <row r="3023" spans="1:40" x14ac:dyDescent="0.25">
      <c r="A3023" t="str">
        <f>"20190312164531749"</f>
        <v>20190312164531749</v>
      </c>
      <c r="B3023" t="str">
        <f>"1552380331744590"</f>
        <v>1552380331744590</v>
      </c>
      <c r="C3023" t="s">
        <v>40</v>
      </c>
      <c r="D3023">
        <v>4.6271040000000001</v>
      </c>
      <c r="E3023">
        <v>0.51849690000000004</v>
      </c>
      <c r="F3023" t="s">
        <v>46</v>
      </c>
      <c r="G3023">
        <v>-198.5959</v>
      </c>
      <c r="H3023" s="1">
        <v>3.1860760000000001E-6</v>
      </c>
      <c r="I3023">
        <v>208.44890000000001</v>
      </c>
      <c r="J3023">
        <v>-212.84620000000001</v>
      </c>
      <c r="K3023">
        <v>1.104752</v>
      </c>
      <c r="L3023">
        <v>214.6771</v>
      </c>
      <c r="M3023">
        <v>0.99854080000000001</v>
      </c>
      <c r="N3023">
        <v>0</v>
      </c>
      <c r="O3023">
        <v>-5.214982E-2</v>
      </c>
      <c r="P3023">
        <v>0.90878499999999995</v>
      </c>
      <c r="Q3023">
        <v>0.15944349999999999</v>
      </c>
      <c r="R3023">
        <v>-0.38560060000000002</v>
      </c>
      <c r="S3023">
        <v>2.8266140000000002</v>
      </c>
      <c r="T3023">
        <v>-0.21387390000000001</v>
      </c>
      <c r="U3023">
        <v>-1.2097020000000001</v>
      </c>
      <c r="V3023">
        <v>0.33943579999999901</v>
      </c>
      <c r="W3023">
        <v>0.16895850000000001</v>
      </c>
      <c r="X3023">
        <v>0.9253304</v>
      </c>
      <c r="Y3023">
        <v>0.34426489999999998</v>
      </c>
      <c r="Z3023">
        <v>-8.6969170000000002E-3</v>
      </c>
      <c r="AA3023">
        <v>0.93883229999999995</v>
      </c>
      <c r="AB3023">
        <v>35</v>
      </c>
      <c r="AC3023">
        <v>14.250299999999999</v>
      </c>
      <c r="AD3023">
        <v>-1.104748813924</v>
      </c>
      <c r="AE3023">
        <v>-6.2281999999999798</v>
      </c>
      <c r="AF3023">
        <v>5.4490032834490103</v>
      </c>
      <c r="AG3023">
        <v>-1.104748813924</v>
      </c>
      <c r="AH3023">
        <v>14.4826551834079</v>
      </c>
      <c r="AI3023">
        <v>94.083687644034697</v>
      </c>
      <c r="AJ3023">
        <v>69.381522460574303</v>
      </c>
      <c r="AK3023">
        <v>15.5132010844441</v>
      </c>
      <c r="AL3023">
        <v>80.272730356518906</v>
      </c>
      <c r="AM3023">
        <v>69.855619708944502</v>
      </c>
      <c r="AN3023">
        <v>0.99999999310402499</v>
      </c>
    </row>
    <row r="3024" spans="1:40" x14ac:dyDescent="0.25">
      <c r="A3024" t="str">
        <f>"20190312164531771"</f>
        <v>20190312164531771</v>
      </c>
      <c r="B3024" t="str">
        <f>"1552380331765082"</f>
        <v>1552380331765082</v>
      </c>
      <c r="C3024" t="s">
        <v>40</v>
      </c>
      <c r="D3024">
        <v>4.3825820000000002</v>
      </c>
      <c r="E3024">
        <v>0.52023260000000004</v>
      </c>
      <c r="F3024" t="s">
        <v>46</v>
      </c>
      <c r="G3024">
        <v>-198.90309999999999</v>
      </c>
      <c r="H3024" s="1">
        <v>3.11318E-6</v>
      </c>
      <c r="I3024">
        <v>208.51840000000001</v>
      </c>
      <c r="J3024">
        <v>-212.4949</v>
      </c>
      <c r="K3024">
        <v>1.1046129999999901</v>
      </c>
      <c r="L3024">
        <v>214.65389999999999</v>
      </c>
      <c r="M3024">
        <v>0.99827080000000001</v>
      </c>
      <c r="N3024">
        <v>0</v>
      </c>
      <c r="O3024">
        <v>-5.7080909999999999E-2</v>
      </c>
      <c r="P3024">
        <v>0.90523450000000005</v>
      </c>
      <c r="Q3024">
        <v>0.1571707</v>
      </c>
      <c r="R3024">
        <v>-0.39477570000000001</v>
      </c>
      <c r="S3024">
        <v>2.8130190000000002</v>
      </c>
      <c r="T3024">
        <v>-0.22288259999999999</v>
      </c>
      <c r="U3024">
        <v>-1.2425079999999999</v>
      </c>
      <c r="V3024">
        <v>0.34424189999999999</v>
      </c>
      <c r="W3024">
        <v>0.16651649999999901</v>
      </c>
      <c r="X3024">
        <v>0.92399659999999995</v>
      </c>
      <c r="Y3024">
        <v>0.35039730000000002</v>
      </c>
      <c r="Z3024">
        <v>-8.9440509999999997E-3</v>
      </c>
      <c r="AA3024">
        <v>0.93655840000000001</v>
      </c>
      <c r="AB3024">
        <v>35</v>
      </c>
      <c r="AC3024">
        <v>13.591799999999999</v>
      </c>
      <c r="AD3024">
        <v>-1.1046098868199901</v>
      </c>
      <c r="AE3024">
        <v>-6.1354999999999702</v>
      </c>
      <c r="AF3024">
        <v>5.3203936661577496</v>
      </c>
      <c r="AG3024">
        <v>-1.1046098868199901</v>
      </c>
      <c r="AH3024">
        <v>13.8439304814913</v>
      </c>
      <c r="AI3024">
        <v>94.259490002202696</v>
      </c>
      <c r="AJ3024">
        <v>68.977614909785501</v>
      </c>
      <c r="AK3024">
        <v>14.8721606682188</v>
      </c>
      <c r="AL3024">
        <v>80.414657369585299</v>
      </c>
      <c r="AM3024">
        <v>69.5667426519542</v>
      </c>
      <c r="AN3024">
        <v>0.99999997364970905</v>
      </c>
    </row>
    <row r="3025" spans="1:40" x14ac:dyDescent="0.25">
      <c r="A3025" t="str">
        <f>"20190312164531793"</f>
        <v>20190312164531793</v>
      </c>
      <c r="B3025" t="str">
        <f>"1552380331784603"</f>
        <v>1552380331784603</v>
      </c>
      <c r="C3025" t="s">
        <v>40</v>
      </c>
      <c r="D3025">
        <v>4.3949850000000001</v>
      </c>
      <c r="E3025">
        <v>0.52255240000000003</v>
      </c>
      <c r="F3025" t="s">
        <v>46</v>
      </c>
      <c r="G3025">
        <v>-198.48099999999999</v>
      </c>
      <c r="H3025" s="1">
        <v>3.2693709999999998E-6</v>
      </c>
      <c r="I3025">
        <v>208.21129999999999</v>
      </c>
      <c r="J3025">
        <v>-212.1549</v>
      </c>
      <c r="K3025">
        <v>1.1044849999999999</v>
      </c>
      <c r="L3025">
        <v>214.62970000000001</v>
      </c>
      <c r="M3025">
        <v>0.99797959999999997</v>
      </c>
      <c r="N3025">
        <v>0</v>
      </c>
      <c r="O3025">
        <v>-6.1962200000000002E-2</v>
      </c>
      <c r="P3025">
        <v>0.90128580000000003</v>
      </c>
      <c r="Q3025">
        <v>0.15574979999999999</v>
      </c>
      <c r="R3025">
        <v>-0.4042598</v>
      </c>
      <c r="S3025">
        <v>2.7924039999999999</v>
      </c>
      <c r="T3025">
        <v>-0.2201041</v>
      </c>
      <c r="U3025">
        <v>-1.2837369999999999</v>
      </c>
      <c r="V3025">
        <v>0.34944829999999999</v>
      </c>
      <c r="W3025">
        <v>0.16492760000000001</v>
      </c>
      <c r="X3025">
        <v>0.92232570000000003</v>
      </c>
      <c r="Y3025">
        <v>0.35983520000000002</v>
      </c>
      <c r="Z3025">
        <v>-8.8577459999999997E-3</v>
      </c>
      <c r="AA3025">
        <v>0.93297390000000002</v>
      </c>
      <c r="AB3025">
        <v>35</v>
      </c>
      <c r="AC3025">
        <v>13.6739</v>
      </c>
      <c r="AD3025">
        <v>-1.104481730629</v>
      </c>
      <c r="AE3025">
        <v>-6.4184000000000099</v>
      </c>
      <c r="AF3025">
        <v>5.5291553247460499</v>
      </c>
      <c r="AG3025">
        <v>-1.104481730629</v>
      </c>
      <c r="AH3025">
        <v>13.970665999798801</v>
      </c>
      <c r="AI3025">
        <v>94.204223836429506</v>
      </c>
      <c r="AJ3025">
        <v>68.407880551484297</v>
      </c>
      <c r="AK3025">
        <v>15.0655549840156</v>
      </c>
      <c r="AL3025">
        <v>80.506971005761997</v>
      </c>
      <c r="AM3025">
        <v>69.249437695361394</v>
      </c>
      <c r="AN3025">
        <v>0.99999996224756904</v>
      </c>
    </row>
    <row r="3026" spans="1:40" x14ac:dyDescent="0.25">
      <c r="A3026" t="str">
        <f>"20190312164531816"</f>
        <v>20190312164531816</v>
      </c>
      <c r="B3026" t="str">
        <f>"1552380331805099"</f>
        <v>1552380331805099</v>
      </c>
      <c r="C3026" t="s">
        <v>40</v>
      </c>
      <c r="D3026">
        <v>4.5006180000000002</v>
      </c>
      <c r="E3026">
        <v>0.52428929999999996</v>
      </c>
      <c r="F3026" t="s">
        <v>46</v>
      </c>
      <c r="G3026">
        <v>-198.23429999999999</v>
      </c>
      <c r="H3026" s="1">
        <v>3.3824890000000001E-6</v>
      </c>
      <c r="I3026">
        <v>207.9495</v>
      </c>
      <c r="J3026">
        <v>-211.80170000000001</v>
      </c>
      <c r="K3026">
        <v>1.1043529999999999</v>
      </c>
      <c r="L3026">
        <v>214.6027</v>
      </c>
      <c r="M3026">
        <v>0.99764359999999996</v>
      </c>
      <c r="N3026">
        <v>0</v>
      </c>
      <c r="O3026">
        <v>-6.7154489999999997E-2</v>
      </c>
      <c r="P3026">
        <v>0.89699359999999995</v>
      </c>
      <c r="Q3026">
        <v>0.15495320000000001</v>
      </c>
      <c r="R3026">
        <v>-0.41399570000000002</v>
      </c>
      <c r="S3026">
        <v>2.7702939999999998</v>
      </c>
      <c r="T3026">
        <v>-0.2197984</v>
      </c>
      <c r="U3026">
        <v>-1.329407</v>
      </c>
      <c r="V3026">
        <v>0.35466969999999998</v>
      </c>
      <c r="W3026">
        <v>0.16395860000000001</v>
      </c>
      <c r="X3026">
        <v>0.92050370000000004</v>
      </c>
      <c r="Y3026">
        <v>0.37034679999999998</v>
      </c>
      <c r="Z3026">
        <v>-8.8885949999999991E-3</v>
      </c>
      <c r="AA3026">
        <v>0.92885099999999998</v>
      </c>
      <c r="AB3026">
        <v>35</v>
      </c>
      <c r="AC3026">
        <v>13.567399999999999</v>
      </c>
      <c r="AD3026">
        <v>-1.1043496175109999</v>
      </c>
      <c r="AE3026">
        <v>-6.6531999999999902</v>
      </c>
      <c r="AF3026">
        <v>5.6965502460387301</v>
      </c>
      <c r="AG3026">
        <v>-1.1043496175109999</v>
      </c>
      <c r="AH3026">
        <v>13.9093118374519</v>
      </c>
      <c r="AI3026">
        <v>94.202159740239495</v>
      </c>
      <c r="AJ3026">
        <v>67.728476700341602</v>
      </c>
      <c r="AK3026">
        <v>15.071138927593401</v>
      </c>
      <c r="AL3026">
        <v>80.563257606225903</v>
      </c>
      <c r="AM3026">
        <v>68.928346441888806</v>
      </c>
      <c r="AN3026">
        <v>1.0000000401628599</v>
      </c>
    </row>
    <row r="3027" spans="1:40" x14ac:dyDescent="0.25">
      <c r="A3027" t="str">
        <f>"20190312164531839"</f>
        <v>20190312164531839</v>
      </c>
      <c r="B3027" t="str">
        <f>"1552380331834378"</f>
        <v>1552380331834378</v>
      </c>
      <c r="C3027" t="s">
        <v>40</v>
      </c>
      <c r="D3027">
        <v>4.6294570000000004</v>
      </c>
      <c r="E3027">
        <v>0.52569169999999998</v>
      </c>
      <c r="F3027" t="s">
        <v>46</v>
      </c>
      <c r="G3027">
        <v>-197.46690000000001</v>
      </c>
      <c r="H3027" s="1">
        <v>3.6518579999999998E-6</v>
      </c>
      <c r="I3027">
        <v>207.4462</v>
      </c>
      <c r="J3027">
        <v>-211.44839999999999</v>
      </c>
      <c r="K3027">
        <v>1.1042350000000001</v>
      </c>
      <c r="L3027">
        <v>214.57380000000001</v>
      </c>
      <c r="M3027">
        <v>0.99727049999999995</v>
      </c>
      <c r="N3027">
        <v>0</v>
      </c>
      <c r="O3027">
        <v>-7.2482699999999997E-2</v>
      </c>
      <c r="P3027">
        <v>0.89265419999999995</v>
      </c>
      <c r="Q3027">
        <v>0.15454560000000001</v>
      </c>
      <c r="R3027">
        <v>-0.42342010000000002</v>
      </c>
      <c r="S3027">
        <v>2.7479100000000001</v>
      </c>
      <c r="T3027">
        <v>-0.21169789999999999</v>
      </c>
      <c r="U3027">
        <v>-1.3718570000000001</v>
      </c>
      <c r="V3027">
        <v>0.35949009999999998</v>
      </c>
      <c r="W3027">
        <v>0.16338</v>
      </c>
      <c r="X3027">
        <v>0.91873490000000002</v>
      </c>
      <c r="Y3027">
        <v>0.37991200000000003</v>
      </c>
      <c r="Z3027">
        <v>-8.5616819999999993E-3</v>
      </c>
      <c r="AA3027">
        <v>0.924983</v>
      </c>
      <c r="AB3027">
        <v>35</v>
      </c>
      <c r="AC3027">
        <v>13.981499999999899</v>
      </c>
      <c r="AD3027">
        <v>-1.1042313481420001</v>
      </c>
      <c r="AE3027">
        <v>-7.1276000000000002</v>
      </c>
      <c r="AF3027">
        <v>6.0653026606257399</v>
      </c>
      <c r="AG3027">
        <v>-1.1042313481420001</v>
      </c>
      <c r="AH3027">
        <v>14.390151677576799</v>
      </c>
      <c r="AI3027">
        <v>94.044699603051498</v>
      </c>
      <c r="AJ3027">
        <v>67.145071445724298</v>
      </c>
      <c r="AK3027">
        <v>15.6551489465568</v>
      </c>
      <c r="AL3027">
        <v>80.596861581338203</v>
      </c>
      <c r="AM3027">
        <v>68.630181450815599</v>
      </c>
      <c r="AN3027">
        <v>0.99999998643800903</v>
      </c>
    </row>
    <row r="3028" spans="1:40" x14ac:dyDescent="0.25">
      <c r="A3028" t="str">
        <f>"20190312164531861"</f>
        <v>20190312164531861</v>
      </c>
      <c r="B3028" t="str">
        <f>"1552380331854875"</f>
        <v>1552380331854875</v>
      </c>
      <c r="C3028" t="s">
        <v>40</v>
      </c>
      <c r="D3028">
        <v>4.3811900000000001</v>
      </c>
      <c r="E3028">
        <v>0.52642349999999904</v>
      </c>
      <c r="F3028" t="s">
        <v>46</v>
      </c>
      <c r="G3028">
        <v>-196.8374</v>
      </c>
      <c r="H3028" s="1">
        <v>3.8770420000000002E-6</v>
      </c>
      <c r="I3028">
        <v>207.01750000000001</v>
      </c>
      <c r="J3028">
        <v>-211.10380000000001</v>
      </c>
      <c r="K3028">
        <v>1.104114</v>
      </c>
      <c r="L3028">
        <v>214.5436</v>
      </c>
      <c r="M3028">
        <v>0.99686830000000004</v>
      </c>
      <c r="N3028">
        <v>0</v>
      </c>
      <c r="O3028">
        <v>-7.7818189999999995E-2</v>
      </c>
      <c r="P3028">
        <v>0.88816010000000001</v>
      </c>
      <c r="Q3028">
        <v>0.1543514</v>
      </c>
      <c r="R3028">
        <v>-0.4328362</v>
      </c>
      <c r="S3028">
        <v>2.7273860000000001</v>
      </c>
      <c r="T3028">
        <v>-0.206123</v>
      </c>
      <c r="U3028">
        <v>-1.4104920000000001</v>
      </c>
      <c r="V3028">
        <v>0.36433890000000002</v>
      </c>
      <c r="W3028">
        <v>0.16300689999999901</v>
      </c>
      <c r="X3028">
        <v>0.91688930000000002</v>
      </c>
      <c r="Y3028">
        <v>0.38815129999999998</v>
      </c>
      <c r="Z3028">
        <v>-8.2858940000000002E-3</v>
      </c>
      <c r="AA3028">
        <v>0.9215584</v>
      </c>
      <c r="AB3028">
        <v>35</v>
      </c>
      <c r="AC3028">
        <v>14.266400000000001</v>
      </c>
      <c r="AD3028">
        <v>-1.1041101229579999</v>
      </c>
      <c r="AE3028">
        <v>-7.52609999999998</v>
      </c>
      <c r="AF3028">
        <v>6.3631626455572796</v>
      </c>
      <c r="AG3028">
        <v>-1.1041101229579999</v>
      </c>
      <c r="AH3028">
        <v>14.739790451875599</v>
      </c>
      <c r="AI3028">
        <v>93.934153895426903</v>
      </c>
      <c r="AJ3028">
        <v>66.650158545207205</v>
      </c>
      <c r="AK3028">
        <v>16.0925548183823</v>
      </c>
      <c r="AL3028">
        <v>80.618529579009206</v>
      </c>
      <c r="AM3028">
        <v>68.328903056003398</v>
      </c>
      <c r="AN3028">
        <v>1.00000003597765</v>
      </c>
    </row>
    <row r="3029" spans="1:40" x14ac:dyDescent="0.25">
      <c r="A3029" t="str">
        <f>"20190312164531883"</f>
        <v>20190312164531883</v>
      </c>
      <c r="B3029" t="str">
        <f>"1552380331874395"</f>
        <v>1552380331874395</v>
      </c>
      <c r="C3029" t="s">
        <v>40</v>
      </c>
      <c r="D3029">
        <v>4.4805299999999999</v>
      </c>
      <c r="E3029">
        <v>0.52697869999999902</v>
      </c>
      <c r="F3029" t="s">
        <v>46</v>
      </c>
      <c r="G3029">
        <v>-196.59700000000001</v>
      </c>
      <c r="H3029" s="1">
        <v>3.9749790000000001E-6</v>
      </c>
      <c r="I3029">
        <v>206.80869999999999</v>
      </c>
      <c r="J3029">
        <v>-210.76490000000001</v>
      </c>
      <c r="K3029">
        <v>1.103982</v>
      </c>
      <c r="L3029">
        <v>214.512</v>
      </c>
      <c r="M3029">
        <v>0.99643250000000005</v>
      </c>
      <c r="N3029">
        <v>0</v>
      </c>
      <c r="O3029">
        <v>-8.3211359999999998E-2</v>
      </c>
      <c r="P3029">
        <v>0.88363250000000004</v>
      </c>
      <c r="Q3029">
        <v>0.1536381</v>
      </c>
      <c r="R3029">
        <v>-0.4422548</v>
      </c>
      <c r="S3029">
        <v>2.709549</v>
      </c>
      <c r="T3029">
        <v>-0.2062235</v>
      </c>
      <c r="U3029">
        <v>-1.4447019999999999</v>
      </c>
      <c r="V3029">
        <v>0.3691642</v>
      </c>
      <c r="W3029">
        <v>0.162106</v>
      </c>
      <c r="X3029">
        <v>0.91511719999999996</v>
      </c>
      <c r="Y3029">
        <v>0.39472930000000001</v>
      </c>
      <c r="Z3029">
        <v>-8.1707629999999993E-3</v>
      </c>
      <c r="AA3029">
        <v>0.9187611</v>
      </c>
      <c r="AB3029">
        <v>35</v>
      </c>
      <c r="AC3029">
        <v>14.167899999999999</v>
      </c>
      <c r="AD3029">
        <v>-1.1039780250210001</v>
      </c>
      <c r="AE3029">
        <v>-7.7033000000000103</v>
      </c>
      <c r="AF3029">
        <v>6.4672246356501404</v>
      </c>
      <c r="AG3029">
        <v>-1.1039780250210001</v>
      </c>
      <c r="AH3029">
        <v>14.6909740980146</v>
      </c>
      <c r="AI3029">
        <v>93.934457360459504</v>
      </c>
      <c r="AJ3029">
        <v>66.240063365315606</v>
      </c>
      <c r="AK3029">
        <v>16.089390352534299</v>
      </c>
      <c r="AL3029">
        <v>80.670843060763602</v>
      </c>
      <c r="AM3029">
        <v>68.030532888204903</v>
      </c>
      <c r="AN3029">
        <v>1.0000000257667301</v>
      </c>
    </row>
    <row r="3030" spans="1:40" x14ac:dyDescent="0.25">
      <c r="A3030" t="str">
        <f>"20190312164531905"</f>
        <v>20190312164531905</v>
      </c>
      <c r="B3030" t="str">
        <f>"1552380331894891"</f>
        <v>1552380331894891</v>
      </c>
      <c r="C3030" t="s">
        <v>40</v>
      </c>
      <c r="D3030">
        <v>4.5600509999999996</v>
      </c>
      <c r="E3030">
        <v>0.52715269999999903</v>
      </c>
      <c r="F3030" t="s">
        <v>46</v>
      </c>
      <c r="G3030">
        <v>-196.30629999999999</v>
      </c>
      <c r="H3030" s="1">
        <v>4.0874290000000002E-6</v>
      </c>
      <c r="I3030">
        <v>206.5788</v>
      </c>
      <c r="J3030">
        <v>-210.4254</v>
      </c>
      <c r="K3030">
        <v>1.1038410000000001</v>
      </c>
      <c r="L3030">
        <v>214.47829999999999</v>
      </c>
      <c r="M3030">
        <v>0.99595239999999996</v>
      </c>
      <c r="N3030">
        <v>0</v>
      </c>
      <c r="O3030">
        <v>-8.8771130000000004E-2</v>
      </c>
      <c r="P3030">
        <v>0.87907729999999995</v>
      </c>
      <c r="Q3030">
        <v>0.1527637</v>
      </c>
      <c r="R3030">
        <v>-0.45153799999999999</v>
      </c>
      <c r="S3030">
        <v>2.6916199999999999</v>
      </c>
      <c r="T3030">
        <v>-0.20551730000000001</v>
      </c>
      <c r="U3030">
        <v>-1.476837</v>
      </c>
      <c r="V3030">
        <v>0.37373279999999998</v>
      </c>
      <c r="W3030">
        <v>0.16103779999999901</v>
      </c>
      <c r="X3030">
        <v>0.91344979999999998</v>
      </c>
      <c r="Y3030">
        <v>0.40060669999999998</v>
      </c>
      <c r="Z3030">
        <v>-7.9882010000000003E-3</v>
      </c>
      <c r="AA3030">
        <v>0.91621529999999995</v>
      </c>
      <c r="AB3030">
        <v>35</v>
      </c>
      <c r="AC3030">
        <v>14.1191</v>
      </c>
      <c r="AD3030">
        <v>-1.1038369125709999</v>
      </c>
      <c r="AE3030">
        <v>-7.8994999999999802</v>
      </c>
      <c r="AF3030">
        <v>6.5841646833564198</v>
      </c>
      <c r="AG3030">
        <v>-1.1038369125709999</v>
      </c>
      <c r="AH3030">
        <v>14.696253244427099</v>
      </c>
      <c r="AI3030">
        <v>93.921222330112698</v>
      </c>
      <c r="AJ3030">
        <v>65.866830647038</v>
      </c>
      <c r="AK3030">
        <v>16.141547011716199</v>
      </c>
      <c r="AL3030">
        <v>80.7328606410925</v>
      </c>
      <c r="AM3030">
        <v>67.748354747535998</v>
      </c>
      <c r="AN3030">
        <v>0.99999995797235897</v>
      </c>
    </row>
    <row r="3031" spans="1:40" x14ac:dyDescent="0.25">
      <c r="A3031" t="str">
        <f>"20190312164531928"</f>
        <v>20190312164531928</v>
      </c>
      <c r="B3031" t="str">
        <f>"1552380331925148"</f>
        <v>1552380331925148</v>
      </c>
      <c r="C3031" t="s">
        <v>40</v>
      </c>
      <c r="D3031">
        <v>4.4115729999999997</v>
      </c>
      <c r="E3031">
        <v>0.52719919999999998</v>
      </c>
      <c r="F3031" t="s">
        <v>46</v>
      </c>
      <c r="G3031">
        <v>-196.10149999999999</v>
      </c>
      <c r="H3031" s="1">
        <v>4.1782659999999998E-6</v>
      </c>
      <c r="I3031">
        <v>206.416</v>
      </c>
      <c r="J3031">
        <v>-210.07859999999999</v>
      </c>
      <c r="K3031">
        <v>1.103691</v>
      </c>
      <c r="L3031">
        <v>214.4418</v>
      </c>
      <c r="M3031">
        <v>0.99541329999999995</v>
      </c>
      <c r="N3031">
        <v>0</v>
      </c>
      <c r="O3031">
        <v>-9.4621990000000003E-2</v>
      </c>
      <c r="P3031">
        <v>0.87432619999999905</v>
      </c>
      <c r="Q3031">
        <v>0.15258279999999999</v>
      </c>
      <c r="R3031">
        <v>-0.46072999999999997</v>
      </c>
      <c r="S3031">
        <v>2.6750949999999998</v>
      </c>
      <c r="T3031">
        <v>-0.2061501</v>
      </c>
      <c r="U3031">
        <v>-1.505692</v>
      </c>
      <c r="V3031">
        <v>0.3780017</v>
      </c>
      <c r="W3031">
        <v>0.1606542</v>
      </c>
      <c r="X3031">
        <v>0.91175930000000005</v>
      </c>
      <c r="Y3031">
        <v>0.40513870000000002</v>
      </c>
      <c r="Z3031">
        <v>-7.786416E-3</v>
      </c>
      <c r="AA3031">
        <v>0.91422210000000004</v>
      </c>
      <c r="AB3031">
        <v>34</v>
      </c>
      <c r="AC3031">
        <v>13.9771</v>
      </c>
      <c r="AD3031">
        <v>-1.1036868217339999</v>
      </c>
      <c r="AE3031">
        <v>-8.0258000000000003</v>
      </c>
      <c r="AF3031">
        <v>6.6359931457288797</v>
      </c>
      <c r="AG3031">
        <v>-1.1036868217339999</v>
      </c>
      <c r="AH3031">
        <v>14.6053813838012</v>
      </c>
      <c r="AI3031">
        <v>93.935678193488599</v>
      </c>
      <c r="AJ3031">
        <v>65.565203100384593</v>
      </c>
      <c r="AK3031">
        <v>16.080164644583601</v>
      </c>
      <c r="AL3031">
        <v>80.755130008439906</v>
      </c>
      <c r="AM3031">
        <v>67.481838802138896</v>
      </c>
      <c r="AN3031">
        <v>1.0000000391585</v>
      </c>
    </row>
    <row r="3032" spans="1:40" x14ac:dyDescent="0.25">
      <c r="A3032" t="str">
        <f>"20190312164531951"</f>
        <v>20190312164531951</v>
      </c>
      <c r="B3032" t="str">
        <f>"1552380331944667"</f>
        <v>1552380331944667</v>
      </c>
      <c r="C3032" t="s">
        <v>40</v>
      </c>
      <c r="D3032">
        <v>4.6338730000000004</v>
      </c>
      <c r="E3032">
        <v>0.52713580000000004</v>
      </c>
      <c r="F3032" t="s">
        <v>46</v>
      </c>
      <c r="G3032">
        <v>-196.0933</v>
      </c>
      <c r="H3032" s="1">
        <v>4.1937019999999998E-6</v>
      </c>
      <c r="I3032">
        <v>206.3775</v>
      </c>
      <c r="J3032">
        <v>-209.7216</v>
      </c>
      <c r="K3032">
        <v>1.103526</v>
      </c>
      <c r="L3032">
        <v>214.40170000000001</v>
      </c>
      <c r="M3032">
        <v>0.99480119999999905</v>
      </c>
      <c r="N3032">
        <v>0</v>
      </c>
      <c r="O3032">
        <v>-0.1008537</v>
      </c>
      <c r="P3032">
        <v>0.86902800000000002</v>
      </c>
      <c r="Q3032">
        <v>0.15226500000000001</v>
      </c>
      <c r="R3032">
        <v>-0.47075070000000002</v>
      </c>
      <c r="S3032">
        <v>2.6596980000000001</v>
      </c>
      <c r="T3032">
        <v>-0.209898</v>
      </c>
      <c r="U3032">
        <v>-1.5336609999999999</v>
      </c>
      <c r="V3032">
        <v>0.38283260000000002</v>
      </c>
      <c r="W3032">
        <v>0.16011059999999999</v>
      </c>
      <c r="X3032">
        <v>0.90983720000000001</v>
      </c>
      <c r="Y3032">
        <v>0.40889700000000001</v>
      </c>
      <c r="Z3032">
        <v>-7.63810599999999E-3</v>
      </c>
      <c r="AA3032">
        <v>0.91254860000000004</v>
      </c>
      <c r="AB3032">
        <v>34</v>
      </c>
      <c r="AC3032">
        <v>13.6282999999999</v>
      </c>
      <c r="AD3032">
        <v>-1.1035218062979999</v>
      </c>
      <c r="AE3032">
        <v>-8.0242000000000004</v>
      </c>
      <c r="AF3032">
        <v>6.5766572354963602</v>
      </c>
      <c r="AG3032">
        <v>-1.1035218062979999</v>
      </c>
      <c r="AH3032">
        <v>14.2985341024657</v>
      </c>
      <c r="AI3032">
        <v>94.010789987437903</v>
      </c>
      <c r="AJ3032">
        <v>65.299780572718703</v>
      </c>
      <c r="AK3032">
        <v>15.777143538979301</v>
      </c>
      <c r="AL3032">
        <v>80.786683798278602</v>
      </c>
      <c r="AM3032">
        <v>67.1800807707438</v>
      </c>
      <c r="AN3032">
        <v>0.99999996717947903</v>
      </c>
    </row>
    <row r="3033" spans="1:40" x14ac:dyDescent="0.25">
      <c r="A3033" t="str">
        <f>"20190312164531972"</f>
        <v>20190312164531972</v>
      </c>
      <c r="B3033" t="str">
        <f>"1552380331964187"</f>
        <v>1552380331964187</v>
      </c>
      <c r="C3033" t="s">
        <v>40</v>
      </c>
      <c r="D3033">
        <v>4.2834649999999996</v>
      </c>
      <c r="E3033">
        <v>0.52722530000000001</v>
      </c>
      <c r="F3033" t="s">
        <v>46</v>
      </c>
      <c r="G3033">
        <v>-195.9307</v>
      </c>
      <c r="H3033" s="1">
        <v>4.2768070000000003E-6</v>
      </c>
      <c r="I3033">
        <v>206.24440000000001</v>
      </c>
      <c r="J3033">
        <v>-209.38849999999999</v>
      </c>
      <c r="K3033">
        <v>1.1033770000000001</v>
      </c>
      <c r="L3033">
        <v>214.3621</v>
      </c>
      <c r="M3033">
        <v>0.99417440000000001</v>
      </c>
      <c r="N3033">
        <v>0</v>
      </c>
      <c r="O3033">
        <v>-0.10685459999999999</v>
      </c>
      <c r="P3033">
        <v>0.86360099999999995</v>
      </c>
      <c r="Q3033">
        <v>0.15206210000000001</v>
      </c>
      <c r="R3033">
        <v>-0.48069849999999997</v>
      </c>
      <c r="S3033">
        <v>2.642487</v>
      </c>
      <c r="T3033">
        <v>-0.21144750000000001</v>
      </c>
      <c r="U3033">
        <v>-1.5630489999999999</v>
      </c>
      <c r="V3033">
        <v>0.38784849999999998</v>
      </c>
      <c r="W3033">
        <v>0.1596822</v>
      </c>
      <c r="X3033">
        <v>0.90778579999999998</v>
      </c>
      <c r="Y3033">
        <v>0.41350029999999999</v>
      </c>
      <c r="Z3033">
        <v>-7.4530759999999899E-3</v>
      </c>
      <c r="AA3033">
        <v>0.91047350000000005</v>
      </c>
      <c r="AB3033">
        <v>34</v>
      </c>
      <c r="AC3033">
        <v>13.457799999999899</v>
      </c>
      <c r="AD3033">
        <v>-1.1033727231929999</v>
      </c>
      <c r="AE3033">
        <v>-8.1176999999999797</v>
      </c>
      <c r="AF3033">
        <v>6.6005110640553699</v>
      </c>
      <c r="AG3033">
        <v>-1.1033727231929999</v>
      </c>
      <c r="AH3033">
        <v>14.178353519451299</v>
      </c>
      <c r="AI3033">
        <v>94.035564999437199</v>
      </c>
      <c r="AJ3033">
        <v>65.036402939028306</v>
      </c>
      <c r="AK3033">
        <v>15.678325363237599</v>
      </c>
      <c r="AL3033">
        <v>80.811549180561201</v>
      </c>
      <c r="AM3033">
        <v>66.865563115418297</v>
      </c>
      <c r="AN3033">
        <v>0.99999996131536395</v>
      </c>
    </row>
    <row r="3034" spans="1:40" x14ac:dyDescent="0.25">
      <c r="A3034" t="str">
        <f>"20190312164531994"</f>
        <v>20190312164531994</v>
      </c>
      <c r="B3034" t="str">
        <f>"1552380331984682"</f>
        <v>1552380331984682</v>
      </c>
      <c r="C3034" t="s">
        <v>40</v>
      </c>
      <c r="D3034">
        <v>4.4377579999999996</v>
      </c>
      <c r="E3034">
        <v>0.52702260000000001</v>
      </c>
      <c r="F3034" t="s">
        <v>46</v>
      </c>
      <c r="G3034">
        <v>-195.9016</v>
      </c>
      <c r="H3034" s="1">
        <v>4.307062E-6</v>
      </c>
      <c r="I3034">
        <v>206.17699999999999</v>
      </c>
      <c r="J3034">
        <v>-209.047</v>
      </c>
      <c r="K3034">
        <v>1.1032299999999999</v>
      </c>
      <c r="L3034">
        <v>214.3193</v>
      </c>
      <c r="M3034">
        <v>0.99347540000000001</v>
      </c>
      <c r="N3034">
        <v>0</v>
      </c>
      <c r="O3034">
        <v>-0.1131665</v>
      </c>
      <c r="P3034">
        <v>0.85823760000000004</v>
      </c>
      <c r="Q3034">
        <v>0.1514392</v>
      </c>
      <c r="R3034">
        <v>-0.49040280000000003</v>
      </c>
      <c r="S3034">
        <v>2.6249389999999999</v>
      </c>
      <c r="T3034">
        <v>-0.21474889999999999</v>
      </c>
      <c r="U3034">
        <v>-1.5930629999999999</v>
      </c>
      <c r="V3034">
        <v>0.39235730000000002</v>
      </c>
      <c r="W3034">
        <v>0.15884709999999999</v>
      </c>
      <c r="X3034">
        <v>0.90599300000000005</v>
      </c>
      <c r="Y3034">
        <v>0.41800330000000002</v>
      </c>
      <c r="Z3034">
        <v>-7.2966810000000002E-3</v>
      </c>
      <c r="AA3034">
        <v>0.90841620000000001</v>
      </c>
      <c r="AB3034">
        <v>34</v>
      </c>
      <c r="AC3034">
        <v>13.145399999999899</v>
      </c>
      <c r="AD3034">
        <v>-1.103225692938</v>
      </c>
      <c r="AE3034">
        <v>-8.1422999999999703</v>
      </c>
      <c r="AF3034">
        <v>6.5687783109667599</v>
      </c>
      <c r="AG3034">
        <v>-1.103225692938</v>
      </c>
      <c r="AH3034">
        <v>13.911649413848201</v>
      </c>
      <c r="AI3034">
        <v>94.101671146155397</v>
      </c>
      <c r="AJ3034">
        <v>64.7243377231257</v>
      </c>
      <c r="AK3034">
        <v>15.4240054733525</v>
      </c>
      <c r="AL3034">
        <v>80.860015726969195</v>
      </c>
      <c r="AM3034">
        <v>66.584068997257603</v>
      </c>
      <c r="AN3034">
        <v>0.99999998404534995</v>
      </c>
    </row>
    <row r="3035" spans="1:40" x14ac:dyDescent="0.25">
      <c r="A3035" t="str">
        <f>"20190312164532018"</f>
        <v>20190312164532018</v>
      </c>
      <c r="B3035" t="str">
        <f>"1552380332014939"</f>
        <v>1552380332014939</v>
      </c>
      <c r="C3035" t="s">
        <v>40</v>
      </c>
      <c r="D3035">
        <v>4.3145069999999999</v>
      </c>
      <c r="E3035">
        <v>0.52670119999999998</v>
      </c>
      <c r="F3035" t="s">
        <v>46</v>
      </c>
      <c r="G3035">
        <v>-195.71010000000001</v>
      </c>
      <c r="H3035" s="1">
        <v>4.4020889999999997E-6</v>
      </c>
      <c r="I3035">
        <v>206.0283</v>
      </c>
      <c r="J3035">
        <v>-208.69710000000001</v>
      </c>
      <c r="K3035">
        <v>1.1030789999999999</v>
      </c>
      <c r="L3035">
        <v>214.27289999999999</v>
      </c>
      <c r="M3035">
        <v>0.99269689999999999</v>
      </c>
      <c r="N3035">
        <v>0</v>
      </c>
      <c r="O3035">
        <v>-0.1198022</v>
      </c>
      <c r="P3035">
        <v>0.85265299999999999</v>
      </c>
      <c r="Q3035">
        <v>0.1507463</v>
      </c>
      <c r="R3035">
        <v>-0.50025869999999995</v>
      </c>
      <c r="S3035">
        <v>2.6074220000000001</v>
      </c>
      <c r="T3035">
        <v>-0.21568509999999999</v>
      </c>
      <c r="U3035">
        <v>-1.620911</v>
      </c>
      <c r="V3035">
        <v>0.39677820000000003</v>
      </c>
      <c r="W3035">
        <v>0.1579441</v>
      </c>
      <c r="X3035">
        <v>0.90422389999999997</v>
      </c>
      <c r="Y3035">
        <v>0.42166320000000002</v>
      </c>
      <c r="Z3035">
        <v>-6.9988580000000002E-3</v>
      </c>
      <c r="AA3035">
        <v>0.90672549999999996</v>
      </c>
      <c r="AB3035">
        <v>34</v>
      </c>
      <c r="AC3035">
        <v>12.986999999999901</v>
      </c>
      <c r="AD3035">
        <v>-1.1030745979109999</v>
      </c>
      <c r="AE3035">
        <v>-8.2445999999999895</v>
      </c>
      <c r="AF3035">
        <v>6.5952689413944299</v>
      </c>
      <c r="AG3035">
        <v>-1.1030745979109999</v>
      </c>
      <c r="AH3035">
        <v>13.810254182900399</v>
      </c>
      <c r="AI3035">
        <v>94.122536612497996</v>
      </c>
      <c r="AJ3035">
        <v>64.472576765593999</v>
      </c>
      <c r="AK3035">
        <v>15.3439716688411</v>
      </c>
      <c r="AL3035">
        <v>80.912416113261898</v>
      </c>
      <c r="AM3035">
        <v>66.307881447736406</v>
      </c>
      <c r="AN3035">
        <v>1.00000007002562</v>
      </c>
    </row>
    <row r="3036" spans="1:40" x14ac:dyDescent="0.25">
      <c r="A3036" t="str">
        <f>"20190312164532041"</f>
        <v>20190312164532041</v>
      </c>
      <c r="B3036" t="str">
        <f>"1552380332034460"</f>
        <v>1552380332034460</v>
      </c>
      <c r="C3036" t="s">
        <v>40</v>
      </c>
      <c r="D3036">
        <v>4.3494339999999996</v>
      </c>
      <c r="E3036">
        <v>0.52637769999999995</v>
      </c>
      <c r="F3036" t="s">
        <v>46</v>
      </c>
      <c r="G3036">
        <v>-195.654</v>
      </c>
      <c r="H3036" s="1">
        <v>4.434859E-6</v>
      </c>
      <c r="I3036">
        <v>205.9708</v>
      </c>
      <c r="J3036">
        <v>-208.35169999999999</v>
      </c>
      <c r="K3036">
        <v>1.1029310000000001</v>
      </c>
      <c r="L3036">
        <v>214.22470000000001</v>
      </c>
      <c r="M3036">
        <v>0.99186240000000003</v>
      </c>
      <c r="N3036">
        <v>0</v>
      </c>
      <c r="O3036">
        <v>-0.1265249</v>
      </c>
      <c r="P3036">
        <v>0.84711740000000002</v>
      </c>
      <c r="Q3036">
        <v>0.1494249</v>
      </c>
      <c r="R3036">
        <v>-0.50996569999999997</v>
      </c>
      <c r="S3036">
        <v>2.5899350000000001</v>
      </c>
      <c r="T3036">
        <v>-0.2190349</v>
      </c>
      <c r="U3036">
        <v>-1.6485289999999999</v>
      </c>
      <c r="V3036">
        <v>0.40099069999999998</v>
      </c>
      <c r="W3036">
        <v>0.1564179</v>
      </c>
      <c r="X3036">
        <v>0.90262940000000003</v>
      </c>
      <c r="Y3036">
        <v>0.42515609999999998</v>
      </c>
      <c r="Z3036">
        <v>-6.7582409999999999E-3</v>
      </c>
      <c r="AA3036">
        <v>0.90509490000000004</v>
      </c>
      <c r="AB3036">
        <v>34</v>
      </c>
      <c r="AC3036">
        <v>12.6976999999999</v>
      </c>
      <c r="AD3036">
        <v>-1.1029265651409901</v>
      </c>
      <c r="AE3036">
        <v>-8.2539000000000105</v>
      </c>
      <c r="AF3036">
        <v>6.5460988630654304</v>
      </c>
      <c r="AG3036">
        <v>-1.1029265651409901</v>
      </c>
      <c r="AH3036">
        <v>13.5681010158936</v>
      </c>
      <c r="AI3036">
        <v>94.187308679239493</v>
      </c>
      <c r="AJ3036">
        <v>64.2444373366272</v>
      </c>
      <c r="AK3036">
        <v>15.1050065379203</v>
      </c>
      <c r="AL3036">
        <v>81.000960639964006</v>
      </c>
      <c r="AM3036">
        <v>66.046942691246599</v>
      </c>
      <c r="AN3036">
        <v>0.99999996733562901</v>
      </c>
    </row>
    <row r="3037" spans="1:40" x14ac:dyDescent="0.25">
      <c r="A3037" t="str">
        <f>"20190312164532062"</f>
        <v>20190312164532062</v>
      </c>
      <c r="B3037" t="str">
        <f>"1552380332054955"</f>
        <v>1552380332054955</v>
      </c>
      <c r="C3037" t="s">
        <v>40</v>
      </c>
      <c r="D3037">
        <v>4.3211830000000004</v>
      </c>
      <c r="E3037">
        <v>0.52604819999999997</v>
      </c>
      <c r="F3037" t="s">
        <v>46</v>
      </c>
      <c r="G3037">
        <v>-195.72540000000001</v>
      </c>
      <c r="H3037" s="1">
        <v>4.4082189999999999E-6</v>
      </c>
      <c r="I3037">
        <v>206.00139999999999</v>
      </c>
      <c r="J3037">
        <v>-208.0146</v>
      </c>
      <c r="K3037">
        <v>1.1027880000000001</v>
      </c>
      <c r="L3037">
        <v>214.17519999999999</v>
      </c>
      <c r="M3037">
        <v>0.99098010000000003</v>
      </c>
      <c r="N3037">
        <v>0</v>
      </c>
      <c r="O3037">
        <v>-0.13325670000000001</v>
      </c>
      <c r="P3037">
        <v>0.84182069999999998</v>
      </c>
      <c r="Q3037">
        <v>0.1475639</v>
      </c>
      <c r="R3037">
        <v>-0.51919510000000002</v>
      </c>
      <c r="S3037">
        <v>2.572479</v>
      </c>
      <c r="T3037">
        <v>-0.2247093</v>
      </c>
      <c r="U3037">
        <v>-1.6754</v>
      </c>
      <c r="V3037">
        <v>0.40471580000000001</v>
      </c>
      <c r="W3037">
        <v>0.15435889999999999</v>
      </c>
      <c r="X3037">
        <v>0.90132040000000002</v>
      </c>
      <c r="Y3037">
        <v>0.42842390000000002</v>
      </c>
      <c r="Z3037">
        <v>-6.5640739999999996E-3</v>
      </c>
      <c r="AA3037">
        <v>0.90355399999999997</v>
      </c>
      <c r="AB3037">
        <v>34</v>
      </c>
      <c r="AC3037">
        <v>12.2891999999999</v>
      </c>
      <c r="AD3037">
        <v>-1.1027835917809901</v>
      </c>
      <c r="AE3037">
        <v>-8.1738</v>
      </c>
      <c r="AF3037">
        <v>6.4272228818811499</v>
      </c>
      <c r="AG3037">
        <v>-1.1027835917809901</v>
      </c>
      <c r="AH3037">
        <v>13.195234120676201</v>
      </c>
      <c r="AI3037">
        <v>94.296860385665894</v>
      </c>
      <c r="AJ3037">
        <v>64.029903315244198</v>
      </c>
      <c r="AK3037">
        <v>14.718679598494401</v>
      </c>
      <c r="AL3037">
        <v>81.120383596325198</v>
      </c>
      <c r="AM3037">
        <v>65.818706113771697</v>
      </c>
      <c r="AN3037">
        <v>1.0000000061175001</v>
      </c>
    </row>
    <row r="3038" spans="1:40" x14ac:dyDescent="0.25">
      <c r="A3038" t="str">
        <f>"20190312164532084"</f>
        <v>20190312164532084</v>
      </c>
      <c r="B3038" t="str">
        <f>"1552380332074475"</f>
        <v>1552380332074475</v>
      </c>
      <c r="C3038" t="s">
        <v>40</v>
      </c>
      <c r="D3038">
        <v>4.5483659999999997</v>
      </c>
      <c r="E3038">
        <v>0.52586119999999903</v>
      </c>
      <c r="F3038" t="s">
        <v>46</v>
      </c>
      <c r="G3038">
        <v>-195.9134</v>
      </c>
      <c r="H3038" s="1">
        <v>4.3221030000000004E-6</v>
      </c>
      <c r="I3038">
        <v>206.12710000000001</v>
      </c>
      <c r="J3038">
        <v>-207.68289999999999</v>
      </c>
      <c r="K3038">
        <v>1.102638</v>
      </c>
      <c r="L3038">
        <v>214.1241</v>
      </c>
      <c r="M3038">
        <v>0.99004259999999999</v>
      </c>
      <c r="N3038">
        <v>0</v>
      </c>
      <c r="O3038">
        <v>-0.14005039999999999</v>
      </c>
      <c r="P3038">
        <v>0.83651719999999896</v>
      </c>
      <c r="Q3038">
        <v>0.14512900000000001</v>
      </c>
      <c r="R3038">
        <v>-0.52837159999999905</v>
      </c>
      <c r="S3038">
        <v>2.556076</v>
      </c>
      <c r="T3038">
        <v>-0.23293539999999999</v>
      </c>
      <c r="U3038">
        <v>-1.6999660000000001</v>
      </c>
      <c r="V3038">
        <v>0.40835589999999999</v>
      </c>
      <c r="W3038">
        <v>0.15172099999999999</v>
      </c>
      <c r="X3038">
        <v>0.90012569999999903</v>
      </c>
      <c r="Y3038">
        <v>0.43087370000000003</v>
      </c>
      <c r="Z3038">
        <v>-6.3802650000000004E-3</v>
      </c>
      <c r="AA3038">
        <v>0.90238969999999996</v>
      </c>
      <c r="AB3038">
        <v>34</v>
      </c>
      <c r="AC3038">
        <v>11.769499999999899</v>
      </c>
      <c r="AD3038">
        <v>-1.1026336778970001</v>
      </c>
      <c r="AE3038">
        <v>-7.9969999999999803</v>
      </c>
      <c r="AF3038">
        <v>6.2322561493645301</v>
      </c>
      <c r="AG3038">
        <v>-1.1026336778970001</v>
      </c>
      <c r="AH3038">
        <v>12.697332325693299</v>
      </c>
      <c r="AI3038">
        <v>94.457514553611304</v>
      </c>
      <c r="AJ3038">
        <v>63.856721276239298</v>
      </c>
      <c r="AK3038">
        <v>14.1872853614784</v>
      </c>
      <c r="AL3038">
        <v>81.2733261317711</v>
      </c>
      <c r="AM3038">
        <v>65.597847583766395</v>
      </c>
      <c r="AN3038">
        <v>1.0000000393531401</v>
      </c>
    </row>
    <row r="3039" spans="1:40" x14ac:dyDescent="0.25">
      <c r="A3039" t="str">
        <f>"20190312164532106"</f>
        <v>20190312164532106</v>
      </c>
      <c r="B3039" t="str">
        <f>"1552380332094971"</f>
        <v>1552380332094971</v>
      </c>
      <c r="C3039" t="s">
        <v>40</v>
      </c>
      <c r="D3039">
        <v>4.2417999999999996</v>
      </c>
      <c r="E3039">
        <v>0.52572869999999905</v>
      </c>
      <c r="F3039" t="s">
        <v>46</v>
      </c>
      <c r="G3039">
        <v>-195.94399999999999</v>
      </c>
      <c r="H3039" s="1">
        <v>4.3106550000000003E-6</v>
      </c>
      <c r="I3039">
        <v>206.1403</v>
      </c>
      <c r="J3039">
        <v>-207.34100000000001</v>
      </c>
      <c r="K3039">
        <v>1.102471</v>
      </c>
      <c r="L3039">
        <v>214.06880000000001</v>
      </c>
      <c r="M3039">
        <v>0.98899939999999997</v>
      </c>
      <c r="N3039">
        <v>0</v>
      </c>
      <c r="O3039">
        <v>-0.14723520000000001</v>
      </c>
      <c r="P3039">
        <v>0.83095869999999905</v>
      </c>
      <c r="Q3039">
        <v>0.14259759999999999</v>
      </c>
      <c r="R3039">
        <v>-0.53774919999999904</v>
      </c>
      <c r="S3039">
        <v>2.5375670000000001</v>
      </c>
      <c r="T3039">
        <v>-0.23835329999999999</v>
      </c>
      <c r="U3039">
        <v>-1.72583</v>
      </c>
      <c r="V3039">
        <v>0.41190680000000002</v>
      </c>
      <c r="W3039">
        <v>0.1489741</v>
      </c>
      <c r="X3039">
        <v>0.89896580000000004</v>
      </c>
      <c r="Y3039">
        <v>0.43364000000000003</v>
      </c>
      <c r="Z3039">
        <v>-6.0782969999999999E-3</v>
      </c>
      <c r="AA3039">
        <v>0.90106569999999997</v>
      </c>
      <c r="AB3039">
        <v>34</v>
      </c>
      <c r="AC3039">
        <v>11.396999999999901</v>
      </c>
      <c r="AD3039">
        <v>-1.1024666893449999</v>
      </c>
      <c r="AE3039">
        <v>-7.9285000000000103</v>
      </c>
      <c r="AF3039">
        <v>6.1252410198737302</v>
      </c>
      <c r="AG3039">
        <v>-1.1024666893449999</v>
      </c>
      <c r="AH3039">
        <v>12.3622845223464</v>
      </c>
      <c r="AI3039">
        <v>94.5687345561672</v>
      </c>
      <c r="AJ3039">
        <v>63.642592965110502</v>
      </c>
      <c r="AK3039">
        <v>13.840523435336699</v>
      </c>
      <c r="AL3039">
        <v>81.432521174642801</v>
      </c>
      <c r="AM3039">
        <v>65.382713438741405</v>
      </c>
      <c r="AN3039">
        <v>1.0000000019633399</v>
      </c>
    </row>
    <row r="3040" spans="1:40" x14ac:dyDescent="0.25">
      <c r="A3040" t="str">
        <f>"20190312164532130"</f>
        <v>20190312164532130</v>
      </c>
      <c r="B3040" t="str">
        <f>"1552380332124254"</f>
        <v>1552380332124254</v>
      </c>
      <c r="C3040" t="s">
        <v>40</v>
      </c>
      <c r="D3040">
        <v>4.3081709999999998</v>
      </c>
      <c r="E3040">
        <v>0.52542369999999905</v>
      </c>
      <c r="F3040" t="s">
        <v>46</v>
      </c>
      <c r="G3040">
        <v>-195.8416</v>
      </c>
      <c r="H3040" s="1">
        <v>4.363469E-6</v>
      </c>
      <c r="I3040">
        <v>206.05510000000001</v>
      </c>
      <c r="J3040">
        <v>-206.99109999999999</v>
      </c>
      <c r="K3040">
        <v>1.1022890000000001</v>
      </c>
      <c r="L3040">
        <v>214.0094</v>
      </c>
      <c r="M3040">
        <v>0.9878422</v>
      </c>
      <c r="N3040">
        <v>0</v>
      </c>
      <c r="O3040">
        <v>-0.1548071</v>
      </c>
      <c r="P3040">
        <v>0.82489299999999999</v>
      </c>
      <c r="Q3040">
        <v>0.141095</v>
      </c>
      <c r="R3040">
        <v>-0.54739759999999904</v>
      </c>
      <c r="S3040">
        <v>2.5167079999999999</v>
      </c>
      <c r="T3040">
        <v>-0.2412802</v>
      </c>
      <c r="U3040">
        <v>-1.75383</v>
      </c>
      <c r="V3040">
        <v>0.4155027</v>
      </c>
      <c r="W3040">
        <v>0.147234</v>
      </c>
      <c r="X3040">
        <v>0.89759659999999997</v>
      </c>
      <c r="Y3040">
        <v>0.43697209999999997</v>
      </c>
      <c r="Z3040">
        <v>-5.6909259999999998E-3</v>
      </c>
      <c r="AA3040">
        <v>0.89945699999999995</v>
      </c>
      <c r="AB3040">
        <v>34</v>
      </c>
      <c r="AC3040">
        <v>11.1494999999999</v>
      </c>
      <c r="AD3040">
        <v>-1.102284636531</v>
      </c>
      <c r="AE3040">
        <v>-7.9542999999999804</v>
      </c>
      <c r="AF3040">
        <v>6.0927279297719199</v>
      </c>
      <c r="AG3040">
        <v>-1.102284636531</v>
      </c>
      <c r="AH3040">
        <v>12.1677545368</v>
      </c>
      <c r="AI3040">
        <v>94.631027279799099</v>
      </c>
      <c r="AJ3040">
        <v>63.401617579626702</v>
      </c>
      <c r="AK3040">
        <v>13.6524948457772</v>
      </c>
      <c r="AL3040">
        <v>81.533333339175002</v>
      </c>
      <c r="AM3040">
        <v>65.160306603795107</v>
      </c>
      <c r="AN3040">
        <v>1.0000000003974201</v>
      </c>
    </row>
    <row r="3041" spans="1:40" x14ac:dyDescent="0.25">
      <c r="A3041" t="str">
        <f>"20190312164532152"</f>
        <v>20190312164532152</v>
      </c>
      <c r="B3041" t="str">
        <f>"1552380332144751"</f>
        <v>1552380332144751</v>
      </c>
      <c r="C3041" t="s">
        <v>40</v>
      </c>
      <c r="D3041">
        <v>4.3282910000000001</v>
      </c>
      <c r="E3041">
        <v>0.52522400000000002</v>
      </c>
      <c r="F3041" t="s">
        <v>46</v>
      </c>
      <c r="G3041">
        <v>-195.62989999999999</v>
      </c>
      <c r="H3041" s="1">
        <v>4.4638439999999999E-6</v>
      </c>
      <c r="I3041">
        <v>205.90389999999999</v>
      </c>
      <c r="J3041">
        <v>-206.65100000000001</v>
      </c>
      <c r="K3041">
        <v>1.102106</v>
      </c>
      <c r="L3041">
        <v>213.9486</v>
      </c>
      <c r="M3041">
        <v>0.98662090000000002</v>
      </c>
      <c r="N3041">
        <v>0</v>
      </c>
      <c r="O3041">
        <v>-0.162407</v>
      </c>
      <c r="P3041">
        <v>0.8188185</v>
      </c>
      <c r="Q3041">
        <v>0.1401722</v>
      </c>
      <c r="R3041">
        <v>-0.55667599999999995</v>
      </c>
      <c r="S3041">
        <v>2.4963679999999999</v>
      </c>
      <c r="T3041">
        <v>-0.242204</v>
      </c>
      <c r="U3041">
        <v>-1.7810060000000001</v>
      </c>
      <c r="V3041">
        <v>0.41875699999999999</v>
      </c>
      <c r="W3041">
        <v>0.146071799999999</v>
      </c>
      <c r="X3041">
        <v>0.89627319999999999</v>
      </c>
      <c r="Y3041">
        <v>0.44000280000000003</v>
      </c>
      <c r="Z3041">
        <v>-5.2309870000000003E-3</v>
      </c>
      <c r="AA3041">
        <v>0.89798120000000003</v>
      </c>
      <c r="AB3041">
        <v>34</v>
      </c>
      <c r="AC3041">
        <v>11.021099999999899</v>
      </c>
      <c r="AD3041">
        <v>-1.102101536156</v>
      </c>
      <c r="AE3041">
        <v>-8.0447000000000006</v>
      </c>
      <c r="AF3041">
        <v>6.10794243264254</v>
      </c>
      <c r="AG3041">
        <v>-1.102101536156</v>
      </c>
      <c r="AH3041">
        <v>12.102445789654499</v>
      </c>
      <c r="AI3041">
        <v>94.647780377047596</v>
      </c>
      <c r="AJ3041">
        <v>63.220533043726398</v>
      </c>
      <c r="AK3041">
        <v>13.6011316679164</v>
      </c>
      <c r="AL3041">
        <v>81.600650514853498</v>
      </c>
      <c r="AM3041">
        <v>64.957065654662202</v>
      </c>
      <c r="AN3041">
        <v>1.00000002242123</v>
      </c>
    </row>
    <row r="3042" spans="1:40" x14ac:dyDescent="0.25">
      <c r="A3042" t="str">
        <f>"20190312164532174"</f>
        <v>20190312164532174</v>
      </c>
      <c r="B3042" t="str">
        <f>"1552380332164267"</f>
        <v>1552380332164267</v>
      </c>
      <c r="C3042" t="s">
        <v>40</v>
      </c>
      <c r="D3042">
        <v>4.3108630000000003</v>
      </c>
      <c r="E3042">
        <v>0.52488459999999904</v>
      </c>
      <c r="F3042" t="s">
        <v>46</v>
      </c>
      <c r="G3042">
        <v>-195.44110000000001</v>
      </c>
      <c r="H3042" s="1">
        <v>4.5568860000000004E-6</v>
      </c>
      <c r="I3042">
        <v>205.75919999999999</v>
      </c>
      <c r="J3042">
        <v>-206.32669999999999</v>
      </c>
      <c r="K3042">
        <v>1.1019330000000001</v>
      </c>
      <c r="L3042">
        <v>213.88800000000001</v>
      </c>
      <c r="M3042">
        <v>0.98536800000000002</v>
      </c>
      <c r="N3042">
        <v>0</v>
      </c>
      <c r="O3042">
        <v>-0.16984170000000001</v>
      </c>
      <c r="P3042">
        <v>0.8126698</v>
      </c>
      <c r="Q3042">
        <v>0.13979730000000001</v>
      </c>
      <c r="R3042">
        <v>-0.56570730000000002</v>
      </c>
      <c r="S3042">
        <v>2.4758300000000002</v>
      </c>
      <c r="T3042">
        <v>-0.2434105</v>
      </c>
      <c r="U3042">
        <v>-1.808716</v>
      </c>
      <c r="V3042">
        <v>0.42196990000000001</v>
      </c>
      <c r="W3042">
        <v>0.14546700000000001</v>
      </c>
      <c r="X3042">
        <v>0.89486350000000003</v>
      </c>
      <c r="Y3042">
        <v>0.44333230000000001</v>
      </c>
      <c r="Z3042">
        <v>-4.7980449999999999E-3</v>
      </c>
      <c r="AA3042">
        <v>0.89634449999999999</v>
      </c>
      <c r="AB3042">
        <v>34</v>
      </c>
      <c r="AC3042">
        <v>10.885599999999901</v>
      </c>
      <c r="AD3042">
        <v>-1.101928443114</v>
      </c>
      <c r="AE3042">
        <v>-8.1288000000000107</v>
      </c>
      <c r="AF3042">
        <v>6.1213877008232602</v>
      </c>
      <c r="AG3042">
        <v>-1.101928443114</v>
      </c>
      <c r="AH3042">
        <v>12.0290295808634</v>
      </c>
      <c r="AI3042">
        <v>94.667418103875207</v>
      </c>
      <c r="AJ3042">
        <v>63.029158461394502</v>
      </c>
      <c r="AK3042">
        <v>13.5419048266786</v>
      </c>
      <c r="AL3042">
        <v>81.635676644414801</v>
      </c>
      <c r="AM3042">
        <v>64.753935007045698</v>
      </c>
      <c r="AN3042">
        <v>0.99999996411362901</v>
      </c>
    </row>
    <row r="3043" spans="1:40" x14ac:dyDescent="0.25">
      <c r="A3043" t="str">
        <f>"20190312164532196"</f>
        <v>20190312164532196</v>
      </c>
      <c r="B3043" t="str">
        <f>"1552380332184763"</f>
        <v>1552380332184763</v>
      </c>
      <c r="C3043" t="s">
        <v>40</v>
      </c>
      <c r="D3043">
        <v>4.2945859999999998</v>
      </c>
      <c r="E3043">
        <v>0.52458830000000001</v>
      </c>
      <c r="F3043" t="s">
        <v>46</v>
      </c>
      <c r="G3043">
        <v>-195.21260000000001</v>
      </c>
      <c r="H3043" s="1">
        <v>4.6691760000000003E-6</v>
      </c>
      <c r="I3043">
        <v>205.5848</v>
      </c>
      <c r="J3043">
        <v>-205.9933</v>
      </c>
      <c r="K3043">
        <v>1.1017520000000001</v>
      </c>
      <c r="L3043">
        <v>213.8228</v>
      </c>
      <c r="M3043">
        <v>0.98398019999999997</v>
      </c>
      <c r="N3043">
        <v>0</v>
      </c>
      <c r="O3043">
        <v>-0.17770359999999999</v>
      </c>
      <c r="P3043">
        <v>0.80620979999999998</v>
      </c>
      <c r="Q3043">
        <v>0.1399533</v>
      </c>
      <c r="R3043">
        <v>-0.57483819999999997</v>
      </c>
      <c r="S3043">
        <v>2.4561000000000002</v>
      </c>
      <c r="T3043">
        <v>-0.2435155</v>
      </c>
      <c r="U3043">
        <v>-1.8349150000000001</v>
      </c>
      <c r="V3043">
        <v>0.4249945</v>
      </c>
      <c r="W3043">
        <v>0.14538589999999901</v>
      </c>
      <c r="X3043">
        <v>0.89344419999999902</v>
      </c>
      <c r="Y3043">
        <v>0.44577749999999999</v>
      </c>
      <c r="Z3043">
        <v>-4.2635750000000004E-3</v>
      </c>
      <c r="AA3043">
        <v>0.89513369999999903</v>
      </c>
      <c r="AB3043">
        <v>34</v>
      </c>
      <c r="AC3043">
        <v>10.7806999999999</v>
      </c>
      <c r="AD3043">
        <v>-1.101747330824</v>
      </c>
      <c r="AE3043">
        <v>-8.2379999999999995</v>
      </c>
      <c r="AF3043">
        <v>6.15033809057865</v>
      </c>
      <c r="AG3043">
        <v>-1.101747330824</v>
      </c>
      <c r="AH3043">
        <v>11.994064609284599</v>
      </c>
      <c r="AI3043">
        <v>94.672847511493401</v>
      </c>
      <c r="AJ3043">
        <v>62.852074358770203</v>
      </c>
      <c r="AK3043">
        <v>13.523982093344101</v>
      </c>
      <c r="AL3043">
        <v>81.640373241679001</v>
      </c>
      <c r="AM3043">
        <v>64.560451126208093</v>
      </c>
      <c r="AN3043">
        <v>0.99999996173134897</v>
      </c>
    </row>
    <row r="3044" spans="1:40" x14ac:dyDescent="0.25">
      <c r="A3044" t="str">
        <f>"20190312164532218"</f>
        <v>20190312164532218</v>
      </c>
      <c r="B3044" t="str">
        <f>"1552380332215020"</f>
        <v>1552380332215020</v>
      </c>
      <c r="C3044" t="s">
        <v>40</v>
      </c>
      <c r="D3044">
        <v>4.3007819999999999</v>
      </c>
      <c r="E3044">
        <v>0.52453300000000003</v>
      </c>
      <c r="F3044" t="s">
        <v>46</v>
      </c>
      <c r="G3044">
        <v>-194.77959999999999</v>
      </c>
      <c r="H3044" s="1">
        <v>4.8835860000000002E-6</v>
      </c>
      <c r="I3044">
        <v>205.2499</v>
      </c>
      <c r="J3044">
        <v>-205.6506</v>
      </c>
      <c r="K3044">
        <v>1.1015600000000001</v>
      </c>
      <c r="L3044">
        <v>213.7527</v>
      </c>
      <c r="M3044">
        <v>0.98243729999999996</v>
      </c>
      <c r="N3044">
        <v>0</v>
      </c>
      <c r="O3044">
        <v>-0.1860426</v>
      </c>
      <c r="P3044">
        <v>0.79845359999999999</v>
      </c>
      <c r="Q3044">
        <v>0.139510299999999</v>
      </c>
      <c r="R3044">
        <v>-0.58566949999999995</v>
      </c>
      <c r="S3044">
        <v>2.4352260000000001</v>
      </c>
      <c r="T3044">
        <v>-0.23926320000000001</v>
      </c>
      <c r="U3044">
        <v>-1.861755</v>
      </c>
      <c r="V3044">
        <v>0.42953089999999999</v>
      </c>
      <c r="W3044">
        <v>0.1446489</v>
      </c>
      <c r="X3044">
        <v>0.89139210000000002</v>
      </c>
      <c r="Y3044">
        <v>0.44815709999999997</v>
      </c>
      <c r="Z3044">
        <v>-3.619129E-3</v>
      </c>
      <c r="AA3044">
        <v>0.89394750000000001</v>
      </c>
      <c r="AB3044">
        <v>34</v>
      </c>
      <c r="AC3044">
        <v>10.871</v>
      </c>
      <c r="AD3044">
        <v>-1.1015551164139901</v>
      </c>
      <c r="AE3044">
        <v>-8.5028000000000006</v>
      </c>
      <c r="AF3044">
        <v>6.2915678626987503</v>
      </c>
      <c r="AG3044">
        <v>-1.1015551164139901</v>
      </c>
      <c r="AH3044">
        <v>12.185588625317701</v>
      </c>
      <c r="AI3044">
        <v>94.592349458812095</v>
      </c>
      <c r="AJ3044">
        <v>62.692142046837603</v>
      </c>
      <c r="AK3044">
        <v>13.7581183303137</v>
      </c>
      <c r="AL3044">
        <v>81.683051592762396</v>
      </c>
      <c r="AM3044">
        <v>64.272197499721301</v>
      </c>
      <c r="AN3044">
        <v>0.99999998713421501</v>
      </c>
    </row>
    <row r="3045" spans="1:40" x14ac:dyDescent="0.25">
      <c r="A3045" t="str">
        <f>"20190312164532253"</f>
        <v>20190312164532253</v>
      </c>
      <c r="B3045" t="str">
        <f>"1552380332244299"</f>
        <v>1552380332244299</v>
      </c>
      <c r="C3045" t="s">
        <v>40</v>
      </c>
      <c r="D3045">
        <v>4.1157450000000004</v>
      </c>
      <c r="E3045">
        <v>0.56442680000000001</v>
      </c>
      <c r="F3045" t="s">
        <v>46</v>
      </c>
      <c r="G3045">
        <v>-194.54589999999999</v>
      </c>
      <c r="H3045" s="1">
        <v>5.0176390000000001E-6</v>
      </c>
      <c r="I3045">
        <v>205.01730000000001</v>
      </c>
      <c r="J3045">
        <v>-205.13640000000001</v>
      </c>
      <c r="K3045">
        <v>1.1012150000000001</v>
      </c>
      <c r="L3045">
        <v>213.6414</v>
      </c>
      <c r="M3045">
        <v>0.97987310000000005</v>
      </c>
      <c r="N3045">
        <v>0</v>
      </c>
      <c r="O3045">
        <v>-0.199104</v>
      </c>
      <c r="P3045">
        <v>0.78774080000000002</v>
      </c>
      <c r="Q3045">
        <v>0.13962379999999999</v>
      </c>
      <c r="R3045">
        <v>-0.59997460000000002</v>
      </c>
      <c r="S3045">
        <v>2.4090120000000002</v>
      </c>
      <c r="T3045">
        <v>-0.23896729999999999</v>
      </c>
      <c r="U3045">
        <v>-1.895035</v>
      </c>
      <c r="V3045">
        <v>0.43387340000000002</v>
      </c>
      <c r="W3045">
        <v>0.14433509999999999</v>
      </c>
      <c r="X3045">
        <v>0.8893375</v>
      </c>
      <c r="Y3045">
        <v>0.44865129999999998</v>
      </c>
      <c r="Z3045">
        <v>-2.573002E-3</v>
      </c>
      <c r="AA3045">
        <v>0.89370319999999903</v>
      </c>
      <c r="AB3045">
        <v>34</v>
      </c>
      <c r="AC3045">
        <v>10.5905</v>
      </c>
      <c r="AD3045">
        <v>-1.101209982361</v>
      </c>
      <c r="AE3045">
        <v>-8.6240999999999897</v>
      </c>
      <c r="AF3045">
        <v>6.3016000286564404</v>
      </c>
      <c r="AG3045">
        <v>-1.101209982361</v>
      </c>
      <c r="AH3045">
        <v>12.017560012411399</v>
      </c>
      <c r="AI3045">
        <v>94.639568091516495</v>
      </c>
      <c r="AJ3045">
        <v>62.329010689737203</v>
      </c>
      <c r="AK3045">
        <v>13.6141314448746</v>
      </c>
      <c r="AL3045">
        <v>81.701221531432793</v>
      </c>
      <c r="AM3045">
        <v>63.994040196036103</v>
      </c>
      <c r="AN3045">
        <v>0.99999996861290896</v>
      </c>
    </row>
    <row r="3046" spans="1:40" x14ac:dyDescent="0.25">
      <c r="A3046" t="str">
        <f>"20190312164532274"</f>
        <v>20190312164532274</v>
      </c>
      <c r="B3046" t="str">
        <f>"1552380332264795"</f>
        <v>1552380332264795</v>
      </c>
      <c r="C3046" t="s">
        <v>40</v>
      </c>
      <c r="D3046">
        <v>5.2022370000000002</v>
      </c>
      <c r="E3046">
        <v>0.56433469999999997</v>
      </c>
      <c r="F3046" t="s">
        <v>42</v>
      </c>
      <c r="G3046">
        <v>-176.04910000000001</v>
      </c>
      <c r="H3046">
        <v>7.9986769999999999E-2</v>
      </c>
      <c r="I3046">
        <v>183.84049999999999</v>
      </c>
      <c r="J3046">
        <v>-204.81549999999999</v>
      </c>
      <c r="K3046">
        <v>1.100978</v>
      </c>
      <c r="L3046">
        <v>213.56790000000001</v>
      </c>
      <c r="M3046">
        <v>0.97810109999999995</v>
      </c>
      <c r="N3046">
        <v>0</v>
      </c>
      <c r="O3046">
        <v>-0.2076315</v>
      </c>
      <c r="P3046">
        <v>0.78061150000000001</v>
      </c>
      <c r="Q3046">
        <v>0.1405739</v>
      </c>
      <c r="R3046">
        <v>-0.60900350000000003</v>
      </c>
      <c r="S3046">
        <v>2.1466370000000001</v>
      </c>
      <c r="T3046">
        <v>-7.5366740000000002E-2</v>
      </c>
      <c r="U3046">
        <v>-2.1993100000000001</v>
      </c>
      <c r="V3046">
        <v>0.43650679999999997</v>
      </c>
      <c r="W3046">
        <v>0.14499279999999901</v>
      </c>
      <c r="X3046">
        <v>0.88794079999999997</v>
      </c>
      <c r="Y3046">
        <v>0.55488289999999996</v>
      </c>
      <c r="Z3046">
        <v>-2.1734760000000001E-3</v>
      </c>
      <c r="AA3046">
        <v>0.83192559999999904</v>
      </c>
      <c r="AB3046">
        <v>34</v>
      </c>
      <c r="AC3046">
        <v>28.766399999999901</v>
      </c>
      <c r="AD3046">
        <v>-1.0209912299999999</v>
      </c>
      <c r="AE3046">
        <v>-29.727399999999999</v>
      </c>
      <c r="AF3046">
        <v>23.091921193749499</v>
      </c>
      <c r="AG3046">
        <v>-1.0209912299999999</v>
      </c>
      <c r="AH3046">
        <v>34.291461220027898</v>
      </c>
      <c r="AI3046">
        <v>91.414709956931901</v>
      </c>
      <c r="AJ3046">
        <v>56.043616495122201</v>
      </c>
      <c r="AK3046">
        <v>41.354365671773401</v>
      </c>
      <c r="AL3046">
        <v>81.663137590649299</v>
      </c>
      <c r="AM3046">
        <v>63.821523161372397</v>
      </c>
      <c r="AN3046">
        <v>0.99999998140135904</v>
      </c>
    </row>
    <row r="3047" spans="1:40" x14ac:dyDescent="0.25">
      <c r="A3047" t="str">
        <f>"20190312164532296"</f>
        <v>20190312164532296</v>
      </c>
      <c r="B3047" t="str">
        <f>"1552380332284315"</f>
        <v>1552380332284315</v>
      </c>
      <c r="C3047" t="s">
        <v>40</v>
      </c>
      <c r="D3047">
        <v>4.713838</v>
      </c>
      <c r="E3047">
        <v>0.56507959999999902</v>
      </c>
      <c r="F3047" t="s">
        <v>42</v>
      </c>
      <c r="G3047">
        <v>-181.20410000000001</v>
      </c>
      <c r="H3047" s="1">
        <v>-5.5302589999999997E-6</v>
      </c>
      <c r="I3047">
        <v>188.8869</v>
      </c>
      <c r="J3047">
        <v>-204.4863</v>
      </c>
      <c r="K3047">
        <v>1.10073</v>
      </c>
      <c r="L3047">
        <v>213.48910000000001</v>
      </c>
      <c r="M3047">
        <v>0.97613870000000003</v>
      </c>
      <c r="N3047">
        <v>0</v>
      </c>
      <c r="O3047">
        <v>-0.21666740000000001</v>
      </c>
      <c r="P3047">
        <v>0.77278259999999999</v>
      </c>
      <c r="Q3047">
        <v>0.14212449999999999</v>
      </c>
      <c r="R3047">
        <v>-0.61855300000000002</v>
      </c>
      <c r="S3047">
        <v>2.1266940000000001</v>
      </c>
      <c r="T3047">
        <v>-9.9165920000000005E-2</v>
      </c>
      <c r="U3047">
        <v>-2.2230219999999998</v>
      </c>
      <c r="V3047">
        <v>0.43939489999999998</v>
      </c>
      <c r="W3047">
        <v>0.14623259999999999</v>
      </c>
      <c r="X3047">
        <v>0.88631150000000003</v>
      </c>
      <c r="Y3047">
        <v>0.55545929999999999</v>
      </c>
      <c r="Z3047">
        <v>-2.5580999999999998E-3</v>
      </c>
      <c r="AA3047">
        <v>0.83153980000000005</v>
      </c>
      <c r="AB3047">
        <v>34</v>
      </c>
      <c r="AC3047">
        <v>23.2821999999999</v>
      </c>
      <c r="AD3047">
        <v>-1.1007355302590001</v>
      </c>
      <c r="AE3047">
        <v>-24.6022</v>
      </c>
      <c r="AF3047">
        <v>18.952628936034699</v>
      </c>
      <c r="AG3047">
        <v>-1.1007355302590001</v>
      </c>
      <c r="AH3047">
        <v>28.030475090736001</v>
      </c>
      <c r="AI3047">
        <v>91.863231745151097</v>
      </c>
      <c r="AJ3047">
        <v>55.935656267578402</v>
      </c>
      <c r="AK3047">
        <v>33.854413244169002</v>
      </c>
      <c r="AL3047">
        <v>81.591336848791201</v>
      </c>
      <c r="AM3047">
        <v>63.6297754578084</v>
      </c>
      <c r="AN3047">
        <v>0.99999996324050899</v>
      </c>
    </row>
    <row r="3048" spans="1:40" x14ac:dyDescent="0.25">
      <c r="A3048" t="str">
        <f>"20190312164532319"</f>
        <v>20190312164532319</v>
      </c>
      <c r="B3048" t="str">
        <f>"1552380332314574"</f>
        <v>1552380332314574</v>
      </c>
      <c r="C3048" t="s">
        <v>40</v>
      </c>
      <c r="D3048">
        <v>4.0942959999999999</v>
      </c>
      <c r="E3048">
        <v>0.56533909999999998</v>
      </c>
      <c r="F3048" t="s">
        <v>42</v>
      </c>
      <c r="G3048">
        <v>-181.285</v>
      </c>
      <c r="H3048" s="1">
        <v>-5.3608450000000002E-6</v>
      </c>
      <c r="I3048">
        <v>188.52549999999999</v>
      </c>
      <c r="J3048">
        <v>-204.14760000000001</v>
      </c>
      <c r="K3048">
        <v>1.100463</v>
      </c>
      <c r="L3048">
        <v>213.40440000000001</v>
      </c>
      <c r="M3048">
        <v>0.9739487</v>
      </c>
      <c r="N3048">
        <v>0</v>
      </c>
      <c r="O3048">
        <v>-0.22630620000000001</v>
      </c>
      <c r="P3048">
        <v>0.76515809999999995</v>
      </c>
      <c r="Q3048">
        <v>0.1429425</v>
      </c>
      <c r="R3048">
        <v>-0.62777430000000001</v>
      </c>
      <c r="S3048">
        <v>2.0955810000000001</v>
      </c>
      <c r="T3048">
        <v>-9.9420549999999996E-2</v>
      </c>
      <c r="U3048">
        <v>-2.2547609999999998</v>
      </c>
      <c r="V3048">
        <v>0.44141140000000001</v>
      </c>
      <c r="W3048">
        <v>0.14674110000000001</v>
      </c>
      <c r="X3048">
        <v>0.88522479999999903</v>
      </c>
      <c r="Y3048">
        <v>0.55923579999999995</v>
      </c>
      <c r="Z3048">
        <v>-2.308643E-3</v>
      </c>
      <c r="AA3048">
        <v>0.8290054</v>
      </c>
      <c r="AB3048">
        <v>34</v>
      </c>
      <c r="AC3048">
        <v>22.8626</v>
      </c>
      <c r="AD3048">
        <v>-1.1004683608450001</v>
      </c>
      <c r="AE3048">
        <v>-24.878900000000002</v>
      </c>
      <c r="AF3048">
        <v>19.038624567438902</v>
      </c>
      <c r="AG3048">
        <v>-1.1004683608450001</v>
      </c>
      <c r="AH3048">
        <v>27.8706064830962</v>
      </c>
      <c r="AI3048">
        <v>91.867406117816998</v>
      </c>
      <c r="AJ3048">
        <v>55.662718148967002</v>
      </c>
      <c r="AK3048">
        <v>33.770563539400897</v>
      </c>
      <c r="AL3048">
        <v>81.561884203542505</v>
      </c>
      <c r="AM3048">
        <v>63.497169915607998</v>
      </c>
      <c r="AN3048">
        <v>0.99999996050710405</v>
      </c>
    </row>
    <row r="3049" spans="1:40" x14ac:dyDescent="0.25">
      <c r="A3049" t="str">
        <f>"20190312164532341"</f>
        <v>20190312164532341</v>
      </c>
      <c r="B3049" t="str">
        <f>"1552380332334091"</f>
        <v>1552380332334091</v>
      </c>
      <c r="C3049" t="s">
        <v>40</v>
      </c>
      <c r="D3049">
        <v>4.2050280000000004</v>
      </c>
      <c r="E3049">
        <v>0.56417309999999998</v>
      </c>
      <c r="F3049" t="s">
        <v>42</v>
      </c>
      <c r="G3049">
        <v>-179.46340000000001</v>
      </c>
      <c r="H3049">
        <v>7.9985819999999999E-2</v>
      </c>
      <c r="I3049">
        <v>186.11539999999999</v>
      </c>
      <c r="J3049">
        <v>-203.81559999999999</v>
      </c>
      <c r="K3049">
        <v>1.1001920000000001</v>
      </c>
      <c r="L3049">
        <v>213.3176</v>
      </c>
      <c r="M3049">
        <v>0.97161649999999999</v>
      </c>
      <c r="N3049">
        <v>0</v>
      </c>
      <c r="O3049">
        <v>-0.23611550000000001</v>
      </c>
      <c r="P3049">
        <v>0.75727390000000006</v>
      </c>
      <c r="Q3049">
        <v>0.1436569</v>
      </c>
      <c r="R3049">
        <v>-0.6371021</v>
      </c>
      <c r="S3049">
        <v>2.0643159999999998</v>
      </c>
      <c r="T3049">
        <v>-8.5341330000000007E-2</v>
      </c>
      <c r="U3049">
        <v>-2.2821500000000001</v>
      </c>
      <c r="V3049">
        <v>0.4434823</v>
      </c>
      <c r="W3049">
        <v>0.14713399999999999</v>
      </c>
      <c r="X3049">
        <v>0.88412389999999996</v>
      </c>
      <c r="Y3049">
        <v>0.56211219999999995</v>
      </c>
      <c r="Z3049">
        <v>-1.74183E-3</v>
      </c>
      <c r="AA3049">
        <v>0.827059199999999</v>
      </c>
      <c r="AB3049">
        <v>34</v>
      </c>
      <c r="AC3049">
        <v>24.3521999999999</v>
      </c>
      <c r="AD3049">
        <v>-1.02020618</v>
      </c>
      <c r="AE3049">
        <v>-27.202200000000001</v>
      </c>
      <c r="AF3049">
        <v>20.6662184710021</v>
      </c>
      <c r="AG3049">
        <v>-1.02020618</v>
      </c>
      <c r="AH3049">
        <v>30.0635583061087</v>
      </c>
      <c r="AI3049">
        <v>91.601854423987305</v>
      </c>
      <c r="AJ3049">
        <v>55.494683836295501</v>
      </c>
      <c r="AK3049">
        <v>36.495903120291402</v>
      </c>
      <c r="AL3049">
        <v>81.539126149717006</v>
      </c>
      <c r="AM3049">
        <v>63.361359359467599</v>
      </c>
      <c r="AN3049">
        <v>1.0000000174602399</v>
      </c>
    </row>
    <row r="3050" spans="1:40" x14ac:dyDescent="0.25">
      <c r="A3050" t="str">
        <f>"20190312164532363"</f>
        <v>20190312164532363</v>
      </c>
      <c r="B3050" t="str">
        <f>"1552380332354590"</f>
        <v>1552380332354590</v>
      </c>
      <c r="C3050" t="s">
        <v>40</v>
      </c>
      <c r="D3050">
        <v>5.2107049999999999</v>
      </c>
      <c r="E3050">
        <v>0.5637491</v>
      </c>
      <c r="F3050" t="s">
        <v>42</v>
      </c>
      <c r="G3050">
        <v>-180.53200000000001</v>
      </c>
      <c r="H3050" s="1">
        <v>-5.0633869999999999E-6</v>
      </c>
      <c r="I3050">
        <v>187.12430000000001</v>
      </c>
      <c r="J3050">
        <v>-203.49469999999999</v>
      </c>
      <c r="K3050">
        <v>1.099909</v>
      </c>
      <c r="L3050">
        <v>213.23</v>
      </c>
      <c r="M3050">
        <v>0.96917330000000002</v>
      </c>
      <c r="N3050">
        <v>0</v>
      </c>
      <c r="O3050">
        <v>-0.24594940000000001</v>
      </c>
      <c r="P3050">
        <v>0.74951049999999997</v>
      </c>
      <c r="Q3050">
        <v>0.14417179999999999</v>
      </c>
      <c r="R3050">
        <v>-0.64610239999999997</v>
      </c>
      <c r="S3050">
        <v>2.0446930000000001</v>
      </c>
      <c r="T3050">
        <v>-9.6615789999999993E-2</v>
      </c>
      <c r="U3050">
        <v>-2.300217</v>
      </c>
      <c r="V3050">
        <v>0.44522539999999999</v>
      </c>
      <c r="W3050">
        <v>0.14733260000000001</v>
      </c>
      <c r="X3050">
        <v>0.88321430000000001</v>
      </c>
      <c r="Y3050">
        <v>0.56086959999999997</v>
      </c>
      <c r="Z3050">
        <v>-1.61435299999999E-3</v>
      </c>
      <c r="AA3050">
        <v>0.82790259999999904</v>
      </c>
      <c r="AB3050">
        <v>34</v>
      </c>
      <c r="AC3050">
        <v>22.962699999999899</v>
      </c>
      <c r="AD3050">
        <v>-1.0999140633869999</v>
      </c>
      <c r="AE3050">
        <v>-26.105699999999899</v>
      </c>
      <c r="AF3050">
        <v>19.635716531322501</v>
      </c>
      <c r="AG3050">
        <v>-1.0999140633869999</v>
      </c>
      <c r="AH3050">
        <v>28.649883173152599</v>
      </c>
      <c r="AI3050">
        <v>91.813822223394993</v>
      </c>
      <c r="AJ3050">
        <v>55.574503451607796</v>
      </c>
      <c r="AK3050">
        <v>34.750352235345503</v>
      </c>
      <c r="AL3050">
        <v>81.527621902613603</v>
      </c>
      <c r="AM3050">
        <v>63.247478527465603</v>
      </c>
      <c r="AN3050">
        <v>1.0000000257762001</v>
      </c>
    </row>
    <row r="3051" spans="1:40" x14ac:dyDescent="0.25">
      <c r="A3051" t="str">
        <f>"20190312164532385"</f>
        <v>20190312164532385</v>
      </c>
      <c r="B3051" t="str">
        <f>"1552380332374119"</f>
        <v>1552380332374119</v>
      </c>
      <c r="C3051" t="s">
        <v>40</v>
      </c>
      <c r="D3051">
        <v>4.1751180000000003</v>
      </c>
      <c r="E3051">
        <v>0.56311020000000001</v>
      </c>
      <c r="F3051" t="s">
        <v>42</v>
      </c>
      <c r="G3051">
        <v>-180.76650000000001</v>
      </c>
      <c r="H3051" s="1">
        <v>-4.9873889999999998E-6</v>
      </c>
      <c r="I3051">
        <v>187.08430000000001</v>
      </c>
      <c r="J3051">
        <v>-203.16550000000001</v>
      </c>
      <c r="K3051">
        <v>1.099604</v>
      </c>
      <c r="L3051">
        <v>213.1362</v>
      </c>
      <c r="M3051">
        <v>0.96645720000000002</v>
      </c>
      <c r="N3051">
        <v>0</v>
      </c>
      <c r="O3051">
        <v>-0.25641130000000001</v>
      </c>
      <c r="P3051">
        <v>0.74142069999999904</v>
      </c>
      <c r="Q3051">
        <v>0.14488039999999999</v>
      </c>
      <c r="R3051">
        <v>-0.65521339999999995</v>
      </c>
      <c r="S3051">
        <v>2.0191349999999999</v>
      </c>
      <c r="T3051">
        <v>-9.7714540000000003E-2</v>
      </c>
      <c r="U3051">
        <v>-2.3227389999999999</v>
      </c>
      <c r="V3051">
        <v>0.44663550000000002</v>
      </c>
      <c r="W3051">
        <v>0.1477146</v>
      </c>
      <c r="X3051">
        <v>0.88243819999999995</v>
      </c>
      <c r="Y3051">
        <v>0.56108579999999997</v>
      </c>
      <c r="Z3051">
        <v>-1.2784789999999999E-3</v>
      </c>
      <c r="AA3051">
        <v>0.82775669999999901</v>
      </c>
      <c r="AB3051">
        <v>34</v>
      </c>
      <c r="AC3051">
        <v>22.399000000000001</v>
      </c>
      <c r="AD3051">
        <v>-1.099608987389</v>
      </c>
      <c r="AE3051">
        <v>-26.0518999999999</v>
      </c>
      <c r="AF3051">
        <v>19.4168774494301</v>
      </c>
      <c r="AG3051">
        <v>-1.099608987389</v>
      </c>
      <c r="AH3051">
        <v>28.301713649379099</v>
      </c>
      <c r="AI3051">
        <v>91.835013868548998</v>
      </c>
      <c r="AJ3051">
        <v>55.547259407931797</v>
      </c>
      <c r="AK3051">
        <v>34.339645678177597</v>
      </c>
      <c r="AL3051">
        <v>81.505492782598097</v>
      </c>
      <c r="AM3051">
        <v>63.1542952319421</v>
      </c>
      <c r="AN3051">
        <v>1.0000000248663199</v>
      </c>
    </row>
    <row r="3052" spans="1:40" x14ac:dyDescent="0.25">
      <c r="A3052" t="str">
        <f>"20190312164532409"</f>
        <v>20190312164532409</v>
      </c>
      <c r="B3052" t="str">
        <f>"1552380332404363"</f>
        <v>1552380332404363</v>
      </c>
      <c r="C3052" t="s">
        <v>40</v>
      </c>
      <c r="D3052">
        <v>4.3588750000000003</v>
      </c>
      <c r="E3052">
        <v>0.56205499999999997</v>
      </c>
      <c r="F3052" t="s">
        <v>42</v>
      </c>
      <c r="G3052">
        <v>-180.7928</v>
      </c>
      <c r="H3052" s="1">
        <v>-4.8958479999999901E-6</v>
      </c>
      <c r="I3052">
        <v>186.83580000000001</v>
      </c>
      <c r="J3052">
        <v>-202.8356</v>
      </c>
      <c r="K3052">
        <v>1.0992900000000001</v>
      </c>
      <c r="L3052">
        <v>213.03809999999999</v>
      </c>
      <c r="M3052">
        <v>0.96350849999999999</v>
      </c>
      <c r="N3052">
        <v>0</v>
      </c>
      <c r="O3052">
        <v>-0.2672755</v>
      </c>
      <c r="P3052">
        <v>0.73227069999999905</v>
      </c>
      <c r="Q3052">
        <v>0.1452097</v>
      </c>
      <c r="R3052">
        <v>-0.66535239999999995</v>
      </c>
      <c r="S3052">
        <v>1.9939579999999999</v>
      </c>
      <c r="T3052">
        <v>-9.8002199999999998E-2</v>
      </c>
      <c r="U3052">
        <v>-2.3440089999999998</v>
      </c>
      <c r="V3052">
        <v>0.44898450000000001</v>
      </c>
      <c r="W3052">
        <v>0.14768149999999999</v>
      </c>
      <c r="X3052">
        <v>0.88125089999999995</v>
      </c>
      <c r="Y3052">
        <v>0.56063589999999996</v>
      </c>
      <c r="Z3052">
        <v>-8.98473E-4</v>
      </c>
      <c r="AA3052">
        <v>0.82806199999999996</v>
      </c>
      <c r="AB3052">
        <v>34</v>
      </c>
      <c r="AC3052">
        <v>22.0428</v>
      </c>
      <c r="AD3052">
        <v>-1.09929489584799</v>
      </c>
      <c r="AE3052">
        <v>-26.202299999999902</v>
      </c>
      <c r="AF3052">
        <v>19.336790467083901</v>
      </c>
      <c r="AG3052">
        <v>-1.09929489584799</v>
      </c>
      <c r="AH3052">
        <v>28.215614906876599</v>
      </c>
      <c r="AI3052">
        <v>91.840723049052201</v>
      </c>
      <c r="AJ3052">
        <v>55.5762891793145</v>
      </c>
      <c r="AK3052">
        <v>34.223396082345502</v>
      </c>
      <c r="AL3052">
        <v>81.507410327645303</v>
      </c>
      <c r="AM3052">
        <v>63.001820060146997</v>
      </c>
      <c r="AN3052">
        <v>1.0000000277166501</v>
      </c>
    </row>
    <row r="3053" spans="1:40" x14ac:dyDescent="0.25">
      <c r="A3053" t="str">
        <f>"20190312164532431"</f>
        <v>20190312164532431</v>
      </c>
      <c r="B3053" t="str">
        <f>"1552380332424870"</f>
        <v>1552380332424870</v>
      </c>
      <c r="C3053" t="s">
        <v>40</v>
      </c>
      <c r="D3053">
        <v>4.1410460000000002</v>
      </c>
      <c r="E3053">
        <v>0.56169150000000001</v>
      </c>
      <c r="F3053" t="s">
        <v>42</v>
      </c>
      <c r="G3053">
        <v>-181.7621</v>
      </c>
      <c r="H3053" s="1">
        <v>-4.9390249999999997E-6</v>
      </c>
      <c r="I3053">
        <v>187.72059999999999</v>
      </c>
      <c r="J3053">
        <v>-202.4973</v>
      </c>
      <c r="K3053">
        <v>1.0989530000000001</v>
      </c>
      <c r="L3053">
        <v>212.9325</v>
      </c>
      <c r="M3053">
        <v>0.96022010000000002</v>
      </c>
      <c r="N3053">
        <v>0</v>
      </c>
      <c r="O3053">
        <v>-0.27885549999999998</v>
      </c>
      <c r="P3053">
        <v>0.72348119999999905</v>
      </c>
      <c r="Q3053">
        <v>0.14545930000000001</v>
      </c>
      <c r="R3053">
        <v>-0.67484569999999999</v>
      </c>
      <c r="S3053">
        <v>1.968445</v>
      </c>
      <c r="T3053">
        <v>-0.1026835</v>
      </c>
      <c r="U3053">
        <v>-2.364868</v>
      </c>
      <c r="V3053">
        <v>0.45000780000000001</v>
      </c>
      <c r="W3053">
        <v>0.14760039999999999</v>
      </c>
      <c r="X3053">
        <v>0.88074229999999998</v>
      </c>
      <c r="Y3053">
        <v>0.55952650000000004</v>
      </c>
      <c r="Z3053">
        <v>-4.9799589999999997E-4</v>
      </c>
      <c r="AA3053">
        <v>0.82881229999999995</v>
      </c>
      <c r="AB3053">
        <v>34</v>
      </c>
      <c r="AC3053">
        <v>20.735199999999899</v>
      </c>
      <c r="AD3053">
        <v>-1.0989579390249999</v>
      </c>
      <c r="AE3053">
        <v>-25.2119</v>
      </c>
      <c r="AF3053">
        <v>18.407984831883098</v>
      </c>
      <c r="AG3053">
        <v>-1.0989579390249999</v>
      </c>
      <c r="AH3053">
        <v>26.913253205992302</v>
      </c>
      <c r="AI3053">
        <v>91.930352097740496</v>
      </c>
      <c r="AJ3053">
        <v>55.628858854441702</v>
      </c>
      <c r="AK3053">
        <v>32.624910915624604</v>
      </c>
      <c r="AL3053">
        <v>81.512107825709407</v>
      </c>
      <c r="AM3053">
        <v>62.9356250219274</v>
      </c>
      <c r="AN3053">
        <v>0.99999994857514296</v>
      </c>
    </row>
    <row r="3054" spans="1:40" x14ac:dyDescent="0.25">
      <c r="A3054" t="str">
        <f>"20190312164532454"</f>
        <v>20190312164532454</v>
      </c>
      <c r="B3054" t="str">
        <f>"1552380332444381"</f>
        <v>1552380332444381</v>
      </c>
      <c r="C3054" t="s">
        <v>40</v>
      </c>
      <c r="D3054">
        <v>4.1189859999999996</v>
      </c>
      <c r="E3054">
        <v>0.56109019999999898</v>
      </c>
      <c r="F3054" t="s">
        <v>42</v>
      </c>
      <c r="G3054">
        <v>-182.12629999999999</v>
      </c>
      <c r="H3054" s="1">
        <v>-4.9161390000000003E-6</v>
      </c>
      <c r="I3054">
        <v>187.83670000000001</v>
      </c>
      <c r="J3054">
        <v>-202.17359999999999</v>
      </c>
      <c r="K3054">
        <v>1.0986419999999999</v>
      </c>
      <c r="L3054">
        <v>212.82689999999999</v>
      </c>
      <c r="M3054">
        <v>0.95681799999999995</v>
      </c>
      <c r="N3054">
        <v>0</v>
      </c>
      <c r="O3054">
        <v>-0.29031069999999998</v>
      </c>
      <c r="P3054">
        <v>0.71516329999999995</v>
      </c>
      <c r="Q3054">
        <v>0.1449559</v>
      </c>
      <c r="R3054">
        <v>-0.68376139999999996</v>
      </c>
      <c r="S3054">
        <v>1.9392240000000001</v>
      </c>
      <c r="T3054">
        <v>-0.1046154</v>
      </c>
      <c r="U3054">
        <v>-2.388992</v>
      </c>
      <c r="V3054">
        <v>0.45046890000000001</v>
      </c>
      <c r="W3054">
        <v>0.1468043</v>
      </c>
      <c r="X3054">
        <v>0.88063969999999903</v>
      </c>
      <c r="Y3054">
        <v>0.5598284</v>
      </c>
      <c r="Z3054" s="1">
        <v>-8.9032579999999997E-5</v>
      </c>
      <c r="AA3054">
        <v>0.82860859999999903</v>
      </c>
      <c r="AB3054">
        <v>34</v>
      </c>
      <c r="AC3054">
        <v>20.0473</v>
      </c>
      <c r="AD3054">
        <v>-1.098646916139</v>
      </c>
      <c r="AE3054">
        <v>-24.990199999999898</v>
      </c>
      <c r="AF3054">
        <v>18.071856865082101</v>
      </c>
      <c r="AG3054">
        <v>-1.098646916139</v>
      </c>
      <c r="AH3054">
        <v>26.408379812273498</v>
      </c>
      <c r="AI3054">
        <v>91.966352618197405</v>
      </c>
      <c r="AJ3054">
        <v>55.615273250680303</v>
      </c>
      <c r="AK3054">
        <v>32.018768869331197</v>
      </c>
      <c r="AL3054">
        <v>81.558223858802606</v>
      </c>
      <c r="AM3054">
        <v>62.909137267958499</v>
      </c>
      <c r="AN3054">
        <v>1.0000000067908901</v>
      </c>
    </row>
    <row r="3055" spans="1:40" x14ac:dyDescent="0.25">
      <c r="A3055" t="str">
        <f>"20190312164532476"</f>
        <v>20190312164532476</v>
      </c>
      <c r="B3055" t="str">
        <f>"1552380332464875"</f>
        <v>1552380332464875</v>
      </c>
      <c r="C3055" t="s">
        <v>40</v>
      </c>
      <c r="D3055">
        <v>4.4419979999999999</v>
      </c>
      <c r="E3055">
        <v>0.56035919999999995</v>
      </c>
      <c r="F3055" t="s">
        <v>42</v>
      </c>
      <c r="G3055">
        <v>-183.4521</v>
      </c>
      <c r="H3055" s="1">
        <v>-5.2762880000000003E-6</v>
      </c>
      <c r="I3055">
        <v>189.22450000000001</v>
      </c>
      <c r="J3055">
        <v>-201.8501</v>
      </c>
      <c r="K3055">
        <v>1.098347</v>
      </c>
      <c r="L3055">
        <v>212.71690000000001</v>
      </c>
      <c r="M3055">
        <v>0.95316679999999998</v>
      </c>
      <c r="N3055">
        <v>0</v>
      </c>
      <c r="O3055">
        <v>-0.30208049999999997</v>
      </c>
      <c r="P3055">
        <v>0.70595719999999995</v>
      </c>
      <c r="Q3055">
        <v>0.14405270000000001</v>
      </c>
      <c r="R3055">
        <v>-0.69345029999999996</v>
      </c>
      <c r="S3055">
        <v>1.912415</v>
      </c>
      <c r="T3055">
        <v>-0.1122277</v>
      </c>
      <c r="U3055">
        <v>-2.4110109999999998</v>
      </c>
      <c r="V3055">
        <v>0.4516522</v>
      </c>
      <c r="W3055">
        <v>0.1456066</v>
      </c>
      <c r="X3055">
        <v>0.88023240000000003</v>
      </c>
      <c r="Y3055">
        <v>0.55894299999999997</v>
      </c>
      <c r="Z3055">
        <v>3.9470290000000001E-4</v>
      </c>
      <c r="AA3055">
        <v>0.829206</v>
      </c>
      <c r="AB3055">
        <v>34</v>
      </c>
      <c r="AC3055">
        <v>18.398</v>
      </c>
      <c r="AD3055">
        <v>-1.098352276288</v>
      </c>
      <c r="AE3055">
        <v>-23.4924</v>
      </c>
      <c r="AF3055">
        <v>16.813573589704301</v>
      </c>
      <c r="AG3055">
        <v>-1.098352276288</v>
      </c>
      <c r="AH3055">
        <v>24.602340217743201</v>
      </c>
      <c r="AI3055">
        <v>92.110902814749195</v>
      </c>
      <c r="AJ3055">
        <v>55.650768156397199</v>
      </c>
      <c r="AK3055">
        <v>29.819084136988799</v>
      </c>
      <c r="AL3055">
        <v>81.627592672234002</v>
      </c>
      <c r="AM3055">
        <v>62.837385360249002</v>
      </c>
      <c r="AN3055">
        <v>1.0000000348690701</v>
      </c>
    </row>
    <row r="3056" spans="1:40" x14ac:dyDescent="0.25">
      <c r="A3056" t="str">
        <f>"20190312164532499"</f>
        <v>20190312164532499</v>
      </c>
      <c r="B3056" t="str">
        <f>"1552380332494156"</f>
        <v>1552380332494156</v>
      </c>
      <c r="C3056" t="s">
        <v>40</v>
      </c>
      <c r="D3056">
        <v>4.2941599999999998</v>
      </c>
      <c r="E3056">
        <v>0.56208840000000004</v>
      </c>
      <c r="F3056" t="s">
        <v>42</v>
      </c>
      <c r="G3056">
        <v>-184.1027</v>
      </c>
      <c r="H3056" s="1">
        <v>-1.6177209999999999E-6</v>
      </c>
      <c r="I3056">
        <v>189.79089999999999</v>
      </c>
      <c r="J3056">
        <v>-201.53880000000001</v>
      </c>
      <c r="K3056">
        <v>1.0980719999999999</v>
      </c>
      <c r="L3056">
        <v>212.60659999999999</v>
      </c>
      <c r="M3056">
        <v>0.94940190000000002</v>
      </c>
      <c r="N3056">
        <v>0</v>
      </c>
      <c r="O3056">
        <v>-0.31370979999999998</v>
      </c>
      <c r="P3056">
        <v>0.6967641</v>
      </c>
      <c r="Q3056">
        <v>0.1424164</v>
      </c>
      <c r="R3056">
        <v>-0.70302010000000004</v>
      </c>
      <c r="S3056">
        <v>1.8834230000000001</v>
      </c>
      <c r="T3056">
        <v>-0.1165611</v>
      </c>
      <c r="U3056">
        <v>-2.4329990000000001</v>
      </c>
      <c r="V3056">
        <v>0.45285300000000001</v>
      </c>
      <c r="W3056">
        <v>0.1436962</v>
      </c>
      <c r="X3056">
        <v>0.87992929999999903</v>
      </c>
      <c r="Y3056">
        <v>0.55860519999999902</v>
      </c>
      <c r="Z3056">
        <v>9.0205199999999998E-4</v>
      </c>
      <c r="AA3056">
        <v>0.82943319999999998</v>
      </c>
      <c r="AB3056">
        <v>34</v>
      </c>
      <c r="AC3056">
        <v>17.4361</v>
      </c>
      <c r="AD3056">
        <v>-1.098073617721</v>
      </c>
      <c r="AE3056">
        <v>-22.8157</v>
      </c>
      <c r="AF3056">
        <v>16.169548035426299</v>
      </c>
      <c r="AG3056">
        <v>-1.098073617721</v>
      </c>
      <c r="AH3056">
        <v>23.679383732097001</v>
      </c>
      <c r="AI3056">
        <v>92.193116815785103</v>
      </c>
      <c r="AJ3056">
        <v>55.672651414618599</v>
      </c>
      <c r="AK3056">
        <v>28.694481407960499</v>
      </c>
      <c r="AL3056">
        <v>81.738213737014405</v>
      </c>
      <c r="AM3056">
        <v>62.767519178494197</v>
      </c>
      <c r="AN3056">
        <v>1.0000000052509599</v>
      </c>
    </row>
    <row r="3057" spans="1:40" x14ac:dyDescent="0.25">
      <c r="A3057" t="str">
        <f>"20190312164532521"</f>
        <v>20190312164532521</v>
      </c>
      <c r="B3057" t="str">
        <f>"1552380332514981"</f>
        <v>1552380332514981</v>
      </c>
      <c r="C3057" t="s">
        <v>40</v>
      </c>
      <c r="D3057">
        <v>4.033201</v>
      </c>
      <c r="E3057">
        <v>0.56284909999999999</v>
      </c>
      <c r="F3057" t="s">
        <v>42</v>
      </c>
      <c r="G3057">
        <v>-186.78639999999999</v>
      </c>
      <c r="H3057" s="1">
        <v>-1.9514940000000001E-6</v>
      </c>
      <c r="I3057">
        <v>192.85300000000001</v>
      </c>
      <c r="J3057">
        <v>-201.20910000000001</v>
      </c>
      <c r="K3057">
        <v>1.0977889999999999</v>
      </c>
      <c r="L3057">
        <v>212.48480000000001</v>
      </c>
      <c r="M3057">
        <v>0.9451309</v>
      </c>
      <c r="N3057">
        <v>0</v>
      </c>
      <c r="O3057">
        <v>-0.32634839999999998</v>
      </c>
      <c r="P3057">
        <v>0.68678349999999999</v>
      </c>
      <c r="Q3057">
        <v>0.14026559999999999</v>
      </c>
      <c r="R3057">
        <v>-0.71319999999999995</v>
      </c>
      <c r="S3057">
        <v>1.8432919999999999</v>
      </c>
      <c r="T3057">
        <v>-0.13720309999999999</v>
      </c>
      <c r="U3057">
        <v>-2.4681850000000001</v>
      </c>
      <c r="V3057">
        <v>0.4539609</v>
      </c>
      <c r="W3057">
        <v>0.141267899999999</v>
      </c>
      <c r="X3057">
        <v>0.87975159999999997</v>
      </c>
      <c r="Y3057">
        <v>0.56182299999999996</v>
      </c>
      <c r="Z3057">
        <v>1.5917419999999999E-3</v>
      </c>
      <c r="AA3057">
        <v>0.82725599999999999</v>
      </c>
      <c r="AB3057">
        <v>33</v>
      </c>
      <c r="AC3057">
        <v>14.422700000000001</v>
      </c>
      <c r="AD3057">
        <v>-1.0977909514940001</v>
      </c>
      <c r="AE3057">
        <v>-19.631799999999998</v>
      </c>
      <c r="AF3057">
        <v>13.8212802387831</v>
      </c>
      <c r="AG3057">
        <v>-1.0977909514940001</v>
      </c>
      <c r="AH3057">
        <v>19.999777290864898</v>
      </c>
      <c r="AI3057">
        <v>92.585512687099396</v>
      </c>
      <c r="AJ3057">
        <v>55.352746269087703</v>
      </c>
      <c r="AK3057">
        <v>24.335653352568102</v>
      </c>
      <c r="AL3057">
        <v>81.878779191112301</v>
      </c>
      <c r="AM3057">
        <v>62.705799235733302</v>
      </c>
      <c r="AN3057">
        <v>0.99999999800088901</v>
      </c>
    </row>
    <row r="3058" spans="1:40" x14ac:dyDescent="0.25">
      <c r="A3058" t="str">
        <f>"20190312164532543"</f>
        <v>20190312164532543</v>
      </c>
      <c r="B3058" t="str">
        <f>"1552380332534505"</f>
        <v>1552380332534505</v>
      </c>
      <c r="C3058" t="s">
        <v>40</v>
      </c>
      <c r="D3058">
        <v>4.2712700000000003</v>
      </c>
      <c r="E3058">
        <v>0.56314739999999996</v>
      </c>
      <c r="F3058" t="s">
        <v>42</v>
      </c>
      <c r="G3058">
        <v>-187.62559999999999</v>
      </c>
      <c r="H3058" s="1">
        <v>-2.1463920000000001E-6</v>
      </c>
      <c r="I3058">
        <v>193.65430000000001</v>
      </c>
      <c r="J3058">
        <v>-200.89670000000001</v>
      </c>
      <c r="K3058">
        <v>1.0975189999999999</v>
      </c>
      <c r="L3058">
        <v>212.3646</v>
      </c>
      <c r="M3058">
        <v>0.94080050000000004</v>
      </c>
      <c r="N3058">
        <v>0</v>
      </c>
      <c r="O3058">
        <v>-0.33862750000000003</v>
      </c>
      <c r="P3058">
        <v>0.67688599999999999</v>
      </c>
      <c r="Q3058">
        <v>0.13892090000000001</v>
      </c>
      <c r="R3058">
        <v>-0.72286019999999995</v>
      </c>
      <c r="S3058">
        <v>1.8027340000000001</v>
      </c>
      <c r="T3058">
        <v>-0.14569289999999999</v>
      </c>
      <c r="U3058">
        <v>-2.4990839999999999</v>
      </c>
      <c r="V3058">
        <v>0.45493119999999998</v>
      </c>
      <c r="W3058">
        <v>0.13966509999999999</v>
      </c>
      <c r="X3058">
        <v>0.87950629999999996</v>
      </c>
      <c r="Y3058">
        <v>0.564716199999999</v>
      </c>
      <c r="Z3058">
        <v>2.2476219999999999E-3</v>
      </c>
      <c r="AA3058">
        <v>0.82528210000000002</v>
      </c>
      <c r="AB3058">
        <v>33</v>
      </c>
      <c r="AC3058">
        <v>13.271100000000001</v>
      </c>
      <c r="AD3058">
        <v>-1.097521146392</v>
      </c>
      <c r="AE3058">
        <v>-18.710299999999901</v>
      </c>
      <c r="AF3058">
        <v>13.0802378139444</v>
      </c>
      <c r="AG3058">
        <v>-1.097521146392</v>
      </c>
      <c r="AH3058">
        <v>18.780413780836898</v>
      </c>
      <c r="AI3058">
        <v>92.745501142004002</v>
      </c>
      <c r="AJ3058">
        <v>55.143446782495403</v>
      </c>
      <c r="AK3058">
        <v>22.912902821675999</v>
      </c>
      <c r="AL3058">
        <v>81.971532779675499</v>
      </c>
      <c r="AM3058">
        <v>62.649397071389203</v>
      </c>
      <c r="AN3058">
        <v>1.0000000343155599</v>
      </c>
    </row>
    <row r="3059" spans="1:40" x14ac:dyDescent="0.25">
      <c r="A3059" t="str">
        <f>"20190312164532564"</f>
        <v>20190312164532564</v>
      </c>
      <c r="B3059" t="str">
        <f>"1552380332554998"</f>
        <v>1552380332554998</v>
      </c>
      <c r="C3059" t="s">
        <v>40</v>
      </c>
      <c r="D3059">
        <v>4.343248</v>
      </c>
      <c r="E3059">
        <v>0.56353920000000002</v>
      </c>
      <c r="F3059" t="s">
        <v>42</v>
      </c>
      <c r="G3059">
        <v>-187.91229999999999</v>
      </c>
      <c r="H3059" s="1">
        <v>-2.148584E-6</v>
      </c>
      <c r="I3059">
        <v>193.77789999999999</v>
      </c>
      <c r="J3059">
        <v>-200.59700000000001</v>
      </c>
      <c r="K3059">
        <v>1.09727</v>
      </c>
      <c r="L3059">
        <v>212.24449999999999</v>
      </c>
      <c r="M3059">
        <v>0.93637060000000005</v>
      </c>
      <c r="N3059">
        <v>0</v>
      </c>
      <c r="O3059">
        <v>-0.35068830000000001</v>
      </c>
      <c r="P3059">
        <v>0.66681999999999997</v>
      </c>
      <c r="Q3059">
        <v>0.13781860000000001</v>
      </c>
      <c r="R3059">
        <v>-0.73236420000000002</v>
      </c>
      <c r="S3059">
        <v>1.7648009999999901</v>
      </c>
      <c r="T3059">
        <v>-0.14917139999999901</v>
      </c>
      <c r="U3059">
        <v>-2.52623</v>
      </c>
      <c r="V3059">
        <v>0.45604810000000001</v>
      </c>
      <c r="W3059">
        <v>0.13830889999999901</v>
      </c>
      <c r="X3059">
        <v>0.87914199999999998</v>
      </c>
      <c r="Y3059">
        <v>0.56660080000000002</v>
      </c>
      <c r="Z3059">
        <v>2.8942120000000002E-3</v>
      </c>
      <c r="AA3059">
        <v>0.82398739999999904</v>
      </c>
      <c r="AB3059">
        <v>33</v>
      </c>
      <c r="AC3059">
        <v>12.684699999999999</v>
      </c>
      <c r="AD3059">
        <v>-1.097272148584</v>
      </c>
      <c r="AE3059">
        <v>-18.4666</v>
      </c>
      <c r="AF3059">
        <v>12.8139303785932</v>
      </c>
      <c r="AG3059">
        <v>-1.097272148584</v>
      </c>
      <c r="AH3059">
        <v>18.311765138914499</v>
      </c>
      <c r="AI3059">
        <v>92.810690608599401</v>
      </c>
      <c r="AJ3059">
        <v>55.017021485658802</v>
      </c>
      <c r="AK3059">
        <v>22.376808539607602</v>
      </c>
      <c r="AL3059">
        <v>82.049998130871103</v>
      </c>
      <c r="AM3059">
        <v>62.582322787092203</v>
      </c>
      <c r="AN3059">
        <v>0.99999993874840798</v>
      </c>
    </row>
    <row r="3060" spans="1:40" x14ac:dyDescent="0.25">
      <c r="A3060" t="str">
        <f>"20190312164532587"</f>
        <v>20190312164532587</v>
      </c>
      <c r="B3060" t="str">
        <f>"1552380332584277"</f>
        <v>1552380332584277</v>
      </c>
      <c r="C3060" t="s">
        <v>40</v>
      </c>
      <c r="D3060">
        <v>4.4071740000000004</v>
      </c>
      <c r="E3060">
        <v>0.56379319999999999</v>
      </c>
      <c r="F3060" t="s">
        <v>42</v>
      </c>
      <c r="G3060">
        <v>-188.18270000000001</v>
      </c>
      <c r="H3060" s="1">
        <v>-2.1499099999999998E-6</v>
      </c>
      <c r="I3060">
        <v>193.89279999999999</v>
      </c>
      <c r="J3060">
        <v>-200.28200000000001</v>
      </c>
      <c r="K3060">
        <v>1.097011</v>
      </c>
      <c r="L3060">
        <v>212.11340000000001</v>
      </c>
      <c r="M3060">
        <v>0.93141169999999995</v>
      </c>
      <c r="N3060">
        <v>0</v>
      </c>
      <c r="O3060">
        <v>-0.36365170000000002</v>
      </c>
      <c r="P3060">
        <v>0.65596699999999997</v>
      </c>
      <c r="Q3060">
        <v>0.13733600000000001</v>
      </c>
      <c r="R3060">
        <v>-0.74219009999999996</v>
      </c>
      <c r="S3060">
        <v>1.7268829999999999</v>
      </c>
      <c r="T3060">
        <v>-0.15263499999999999</v>
      </c>
      <c r="U3060">
        <v>-2.5527950000000001</v>
      </c>
      <c r="V3060">
        <v>0.4569452</v>
      </c>
      <c r="W3060">
        <v>0.13756840000000001</v>
      </c>
      <c r="X3060">
        <v>0.87879240000000003</v>
      </c>
      <c r="Y3060">
        <v>0.56754230000000006</v>
      </c>
      <c r="Z3060">
        <v>3.6499480000000001E-3</v>
      </c>
      <c r="AA3060">
        <v>0.82333619999999996</v>
      </c>
      <c r="AB3060">
        <v>33</v>
      </c>
      <c r="AC3060">
        <v>12.099299999999999</v>
      </c>
      <c r="AD3060">
        <v>-1.09701314991</v>
      </c>
      <c r="AE3060">
        <v>-18.220600000000001</v>
      </c>
      <c r="AF3060">
        <v>12.540844754242199</v>
      </c>
      <c r="AG3060">
        <v>-1.09701314991</v>
      </c>
      <c r="AH3060">
        <v>17.852526820065599</v>
      </c>
      <c r="AI3060">
        <v>92.878538180897195</v>
      </c>
      <c r="AJ3060">
        <v>54.913152189499698</v>
      </c>
      <c r="AK3060">
        <v>21.844654697711398</v>
      </c>
      <c r="AL3060">
        <v>82.0928358851951</v>
      </c>
      <c r="AM3060">
        <v>62.526946259524301</v>
      </c>
      <c r="AN3060">
        <v>1.00000003138967</v>
      </c>
    </row>
    <row r="3061" spans="1:40" x14ac:dyDescent="0.25">
      <c r="A3061" t="str">
        <f>"20190312164532611"</f>
        <v>20190312164532611</v>
      </c>
      <c r="B3061" t="str">
        <f>"1552380332604777"</f>
        <v>1552380332604777</v>
      </c>
      <c r="C3061" t="s">
        <v>40</v>
      </c>
      <c r="D3061">
        <v>4.4605860000000002</v>
      </c>
      <c r="E3061">
        <v>0.56394080000000002</v>
      </c>
      <c r="F3061" t="s">
        <v>42</v>
      </c>
      <c r="G3061">
        <v>-188.37690000000001</v>
      </c>
      <c r="H3061" s="1">
        <v>-2.1206819999999998E-6</v>
      </c>
      <c r="I3061">
        <v>193.905</v>
      </c>
      <c r="J3061">
        <v>-199.95689999999999</v>
      </c>
      <c r="K3061">
        <v>1.0967450000000001</v>
      </c>
      <c r="L3061">
        <v>211.97210000000001</v>
      </c>
      <c r="M3061">
        <v>0.92594399999999999</v>
      </c>
      <c r="N3061">
        <v>0</v>
      </c>
      <c r="O3061">
        <v>-0.37735410000000003</v>
      </c>
      <c r="P3061">
        <v>0.64470039999999995</v>
      </c>
      <c r="Q3061">
        <v>0.1364755</v>
      </c>
      <c r="R3061">
        <v>-0.7521544</v>
      </c>
      <c r="S3061">
        <v>1.686874</v>
      </c>
      <c r="T3061">
        <v>-0.1554402</v>
      </c>
      <c r="U3061">
        <v>-2.5800169999999998</v>
      </c>
      <c r="V3061">
        <v>0.45744099999999999</v>
      </c>
      <c r="W3061">
        <v>0.13646220000000001</v>
      </c>
      <c r="X3061">
        <v>0.87870689999999996</v>
      </c>
      <c r="Y3061">
        <v>0.56832459999999996</v>
      </c>
      <c r="Z3061">
        <v>4.4683459999999998E-3</v>
      </c>
      <c r="AA3061">
        <v>0.82279239999999998</v>
      </c>
      <c r="AB3061">
        <v>33</v>
      </c>
      <c r="AC3061">
        <v>11.579999999999901</v>
      </c>
      <c r="AD3061">
        <v>-1.0967471206820001</v>
      </c>
      <c r="AE3061">
        <v>-18.0671</v>
      </c>
      <c r="AF3061">
        <v>12.328591893962599</v>
      </c>
      <c r="AG3061">
        <v>-1.0967471206820001</v>
      </c>
      <c r="AH3061">
        <v>17.496457028772099</v>
      </c>
      <c r="AI3061">
        <v>92.933322095990405</v>
      </c>
      <c r="AJ3061">
        <v>54.830188205908598</v>
      </c>
      <c r="AK3061">
        <v>21.431823088441998</v>
      </c>
      <c r="AL3061">
        <v>82.1568197335707</v>
      </c>
      <c r="AM3061">
        <v>62.499223249985299</v>
      </c>
      <c r="AN3061">
        <v>1.0000000083087199</v>
      </c>
    </row>
    <row r="3062" spans="1:40" x14ac:dyDescent="0.25">
      <c r="A3062" t="str">
        <f>"20190312164532635"</f>
        <v>20190312164532635</v>
      </c>
      <c r="B3062" t="str">
        <f>"1552380332624294"</f>
        <v>1552380332624294</v>
      </c>
      <c r="C3062" t="s">
        <v>40</v>
      </c>
      <c r="D3062">
        <v>4.2537520000000004</v>
      </c>
      <c r="E3062">
        <v>0.56400919999999999</v>
      </c>
      <c r="F3062" t="s">
        <v>42</v>
      </c>
      <c r="G3062">
        <v>-188.39760000000001</v>
      </c>
      <c r="H3062" s="1">
        <v>-2.008221E-6</v>
      </c>
      <c r="I3062">
        <v>193.6514</v>
      </c>
      <c r="J3062">
        <v>-199.62559999999999</v>
      </c>
      <c r="K3062">
        <v>1.0964750000000001</v>
      </c>
      <c r="L3062">
        <v>211.82169999999999</v>
      </c>
      <c r="M3062">
        <v>0.91998460000000004</v>
      </c>
      <c r="N3062">
        <v>0</v>
      </c>
      <c r="O3062">
        <v>-0.3916557</v>
      </c>
      <c r="P3062">
        <v>0.63236610000000004</v>
      </c>
      <c r="Q3062">
        <v>0.13575989999999999</v>
      </c>
      <c r="R3062">
        <v>-0.76268119999999995</v>
      </c>
      <c r="S3062">
        <v>1.644836</v>
      </c>
      <c r="T3062">
        <v>-0.1560626</v>
      </c>
      <c r="U3062">
        <v>-2.6069640000000001</v>
      </c>
      <c r="V3062">
        <v>0.4583216</v>
      </c>
      <c r="W3062">
        <v>0.1354881</v>
      </c>
      <c r="X3062">
        <v>0.87839869999999898</v>
      </c>
      <c r="Y3062">
        <v>0.56891599999999998</v>
      </c>
      <c r="Z3062">
        <v>5.2855719999999997E-3</v>
      </c>
      <c r="AA3062">
        <v>0.82237859999999996</v>
      </c>
      <c r="AB3062">
        <v>33</v>
      </c>
      <c r="AC3062">
        <v>11.2279999999999</v>
      </c>
      <c r="AD3062">
        <v>-1.096477008221</v>
      </c>
      <c r="AE3062">
        <v>-18.170300000000001</v>
      </c>
      <c r="AF3062">
        <v>12.287946977830099</v>
      </c>
      <c r="AG3062">
        <v>-1.096477008221</v>
      </c>
      <c r="AH3062">
        <v>17.4022726360013</v>
      </c>
      <c r="AI3062">
        <v>92.946396513703505</v>
      </c>
      <c r="AJ3062">
        <v>54.7736403886556</v>
      </c>
      <c r="AK3062">
        <v>21.331549302787199</v>
      </c>
      <c r="AL3062">
        <v>82.213154677640702</v>
      </c>
      <c r="AM3062">
        <v>62.445823294878103</v>
      </c>
      <c r="AN3062">
        <v>0.99999999521492899</v>
      </c>
    </row>
    <row r="3063" spans="1:40" x14ac:dyDescent="0.25">
      <c r="A3063" t="str">
        <f>"20190312164532657"</f>
        <v>20190312164532657</v>
      </c>
      <c r="B3063" t="str">
        <f>"1552380332644789"</f>
        <v>1552380332644789</v>
      </c>
      <c r="C3063" t="s">
        <v>40</v>
      </c>
      <c r="D3063">
        <v>4.2014940000000003</v>
      </c>
      <c r="E3063">
        <v>0.56455909999999998</v>
      </c>
      <c r="F3063" t="s">
        <v>42</v>
      </c>
      <c r="G3063">
        <v>-188.50129999999999</v>
      </c>
      <c r="H3063" s="1">
        <v>-1.931719E-6</v>
      </c>
      <c r="I3063">
        <v>193.51599999999999</v>
      </c>
      <c r="J3063">
        <v>-199.3263</v>
      </c>
      <c r="K3063">
        <v>1.0962499999999999</v>
      </c>
      <c r="L3063">
        <v>211.68039999999999</v>
      </c>
      <c r="M3063">
        <v>0.91426739999999995</v>
      </c>
      <c r="N3063">
        <v>0</v>
      </c>
      <c r="O3063">
        <v>-0.40482010000000002</v>
      </c>
      <c r="P3063">
        <v>0.62059399999999998</v>
      </c>
      <c r="Q3063">
        <v>0.13578509999999999</v>
      </c>
      <c r="R3063">
        <v>-0.77228609999999998</v>
      </c>
      <c r="S3063">
        <v>1.60083</v>
      </c>
      <c r="T3063">
        <v>-0.15778780000000001</v>
      </c>
      <c r="U3063">
        <v>-2.634277</v>
      </c>
      <c r="V3063">
        <v>0.45925919999999998</v>
      </c>
      <c r="W3063">
        <v>0.13528770000000001</v>
      </c>
      <c r="X3063">
        <v>0.87793980000000005</v>
      </c>
      <c r="Y3063">
        <v>0.57093450000000001</v>
      </c>
      <c r="Z3063">
        <v>6.0454940000000002E-3</v>
      </c>
      <c r="AA3063">
        <v>0.82097339999999996</v>
      </c>
      <c r="AB3063">
        <v>33</v>
      </c>
      <c r="AC3063">
        <v>10.824999999999999</v>
      </c>
      <c r="AD3063">
        <v>-1.096251931719</v>
      </c>
      <c r="AE3063">
        <v>-18.164400000000001</v>
      </c>
      <c r="AF3063">
        <v>12.1936092855355</v>
      </c>
      <c r="AG3063">
        <v>-1.096251931719</v>
      </c>
      <c r="AH3063">
        <v>17.2060473074546</v>
      </c>
      <c r="AI3063">
        <v>92.975726415098194</v>
      </c>
      <c r="AJ3063">
        <v>54.6755009826324</v>
      </c>
      <c r="AK3063">
        <v>21.117147999965798</v>
      </c>
      <c r="AL3063">
        <v>82.224743753045701</v>
      </c>
      <c r="AM3063">
        <v>62.385478468894597</v>
      </c>
      <c r="AN3063">
        <v>1.0000000334899799</v>
      </c>
    </row>
    <row r="3064" spans="1:40" x14ac:dyDescent="0.25">
      <c r="A3064" t="str">
        <f>"20190312164532678"</f>
        <v>20190312164532678</v>
      </c>
      <c r="B3064" t="str">
        <f>"1552380332675045"</f>
        <v>1552380332675045</v>
      </c>
      <c r="C3064" t="s">
        <v>40</v>
      </c>
      <c r="D3064">
        <v>4.3049730000000004</v>
      </c>
      <c r="E3064">
        <v>0.56509489999999996</v>
      </c>
      <c r="F3064" t="s">
        <v>42</v>
      </c>
      <c r="G3064">
        <v>-188.83160000000001</v>
      </c>
      <c r="H3064" s="1">
        <v>-1.9709850000000001E-6</v>
      </c>
      <c r="I3064">
        <v>193.7441</v>
      </c>
      <c r="J3064">
        <v>-199.04470000000001</v>
      </c>
      <c r="K3064">
        <v>1.096055</v>
      </c>
      <c r="L3064">
        <v>211.54249999999999</v>
      </c>
      <c r="M3064">
        <v>0.90857920000000003</v>
      </c>
      <c r="N3064">
        <v>0</v>
      </c>
      <c r="O3064">
        <v>-0.41742790000000002</v>
      </c>
      <c r="P3064">
        <v>0.60908409999999902</v>
      </c>
      <c r="Q3064">
        <v>0.136732399999999</v>
      </c>
      <c r="R3064">
        <v>-0.78123030000000004</v>
      </c>
      <c r="S3064">
        <v>1.557358</v>
      </c>
      <c r="T3064">
        <v>-0.1626775</v>
      </c>
      <c r="U3064">
        <v>-2.6616520000000001</v>
      </c>
      <c r="V3064">
        <v>0.46007019999999998</v>
      </c>
      <c r="W3064">
        <v>0.13603129999999999</v>
      </c>
      <c r="X3064">
        <v>0.87740010000000002</v>
      </c>
      <c r="Y3064">
        <v>0.57324849999999905</v>
      </c>
      <c r="Z3064">
        <v>6.9144559999999898E-3</v>
      </c>
      <c r="AA3064">
        <v>0.81935239999999998</v>
      </c>
      <c r="AB3064">
        <v>33</v>
      </c>
      <c r="AC3064">
        <v>10.213099999999899</v>
      </c>
      <c r="AD3064">
        <v>-1.0960569709849901</v>
      </c>
      <c r="AE3064">
        <v>-17.798399999999901</v>
      </c>
      <c r="AF3064">
        <v>11.875559059911</v>
      </c>
      <c r="AG3064">
        <v>-1.0960569709849901</v>
      </c>
      <c r="AH3064">
        <v>16.663406388333801</v>
      </c>
      <c r="AI3064">
        <v>93.066129274634704</v>
      </c>
      <c r="AJ3064">
        <v>54.523555549965202</v>
      </c>
      <c r="AK3064">
        <v>20.491445930725401</v>
      </c>
      <c r="AL3064">
        <v>82.181740964277196</v>
      </c>
      <c r="AM3064">
        <v>62.329450771064998</v>
      </c>
      <c r="AN3064">
        <v>1.0000000194938601</v>
      </c>
    </row>
    <row r="3065" spans="1:40" x14ac:dyDescent="0.25">
      <c r="A3065" t="str">
        <f>"20190312164532699"</f>
        <v>20190312164532699</v>
      </c>
      <c r="B3065" t="str">
        <f>"1552380332694565"</f>
        <v>1552380332694565</v>
      </c>
      <c r="C3065" t="s">
        <v>40</v>
      </c>
      <c r="D3065">
        <v>4.2478420000000003</v>
      </c>
      <c r="E3065">
        <v>0.56552669999999905</v>
      </c>
      <c r="F3065" t="s">
        <v>42</v>
      </c>
      <c r="G3065">
        <v>-188.6798</v>
      </c>
      <c r="H3065" s="1">
        <v>-1.7390469999999901E-6</v>
      </c>
      <c r="I3065">
        <v>193.14060000000001</v>
      </c>
      <c r="J3065">
        <v>-198.75190000000001</v>
      </c>
      <c r="K3065">
        <v>1.0958410000000001</v>
      </c>
      <c r="L3065">
        <v>211.3937</v>
      </c>
      <c r="M3065">
        <v>0.90232769999999995</v>
      </c>
      <c r="N3065">
        <v>0</v>
      </c>
      <c r="O3065">
        <v>-0.43077260000000001</v>
      </c>
      <c r="P3065">
        <v>0.5968521</v>
      </c>
      <c r="Q3065">
        <v>0.13786689999999999</v>
      </c>
      <c r="R3065">
        <v>-0.7904177</v>
      </c>
      <c r="S3065">
        <v>1.513916</v>
      </c>
      <c r="T3065">
        <v>-0.16009129999999999</v>
      </c>
      <c r="U3065">
        <v>-2.6877900000000001</v>
      </c>
      <c r="V3065">
        <v>0.46072289999999999</v>
      </c>
      <c r="W3065">
        <v>0.13696520000000001</v>
      </c>
      <c r="X3065">
        <v>0.87691219999999903</v>
      </c>
      <c r="Y3065">
        <v>0.57465650000000001</v>
      </c>
      <c r="Z3065">
        <v>7.5523700000000001E-3</v>
      </c>
      <c r="AA3065">
        <v>0.81835990000000003</v>
      </c>
      <c r="AB3065">
        <v>33</v>
      </c>
      <c r="AC3065">
        <v>10.072100000000001</v>
      </c>
      <c r="AD3065">
        <v>-1.095842739047</v>
      </c>
      <c r="AE3065">
        <v>-18.2530999999999</v>
      </c>
      <c r="AF3065">
        <v>12.0995159947398</v>
      </c>
      <c r="AG3065">
        <v>-1.095842739047</v>
      </c>
      <c r="AH3065">
        <v>16.906588823361201</v>
      </c>
      <c r="AI3065">
        <v>93.017249169383902</v>
      </c>
      <c r="AJ3065">
        <v>54.409888299924702</v>
      </c>
      <c r="AK3065">
        <v>20.8190274570618</v>
      </c>
      <c r="AL3065">
        <v>82.127726975307596</v>
      </c>
      <c r="AM3065">
        <v>62.282910453586801</v>
      </c>
      <c r="AN3065">
        <v>1.00000003155214</v>
      </c>
    </row>
    <row r="3066" spans="1:40" x14ac:dyDescent="0.25">
      <c r="A3066" t="str">
        <f>"20190312164532722"</f>
        <v>20190312164532722</v>
      </c>
      <c r="B3066" t="str">
        <f>"1552380332715061"</f>
        <v>1552380332715061</v>
      </c>
      <c r="C3066" t="s">
        <v>40</v>
      </c>
      <c r="D3066">
        <v>4.2570410000000001</v>
      </c>
      <c r="E3066">
        <v>0.56574399999999903</v>
      </c>
      <c r="F3066" t="s">
        <v>42</v>
      </c>
      <c r="G3066">
        <v>-188.61590000000001</v>
      </c>
      <c r="H3066" s="1">
        <v>-1.5497989999999999E-6</v>
      </c>
      <c r="I3066">
        <v>192.67310000000001</v>
      </c>
      <c r="J3066">
        <v>-198.4391</v>
      </c>
      <c r="K3066">
        <v>1.0956159999999999</v>
      </c>
      <c r="L3066">
        <v>211.2285</v>
      </c>
      <c r="M3066">
        <v>0.8952521</v>
      </c>
      <c r="N3066">
        <v>0</v>
      </c>
      <c r="O3066">
        <v>-0.44528879999999998</v>
      </c>
      <c r="P3066">
        <v>0.58311159999999995</v>
      </c>
      <c r="Q3066">
        <v>0.13877439999999999</v>
      </c>
      <c r="R3066">
        <v>-0.80045180000000005</v>
      </c>
      <c r="S3066">
        <v>1.4692989999999999</v>
      </c>
      <c r="T3066">
        <v>-0.1588511</v>
      </c>
      <c r="U3066">
        <v>-2.7136990000000001</v>
      </c>
      <c r="V3066">
        <v>0.46167049999999998</v>
      </c>
      <c r="W3066">
        <v>0.137652</v>
      </c>
      <c r="X3066">
        <v>0.87630609999999998</v>
      </c>
      <c r="Y3066">
        <v>0.57513809999999999</v>
      </c>
      <c r="Z3066">
        <v>8.3380699999999995E-3</v>
      </c>
      <c r="AA3066">
        <v>0.81801380000000001</v>
      </c>
      <c r="AB3066">
        <v>33</v>
      </c>
      <c r="AC3066">
        <v>9.8231999999999804</v>
      </c>
      <c r="AD3066">
        <v>-1.0956175497989999</v>
      </c>
      <c r="AE3066">
        <v>-18.555399999999899</v>
      </c>
      <c r="AF3066">
        <v>12.2058393729681</v>
      </c>
      <c r="AG3066">
        <v>-1.0956175497989999</v>
      </c>
      <c r="AH3066">
        <v>17.012484476441401</v>
      </c>
      <c r="AI3066">
        <v>92.995345330947501</v>
      </c>
      <c r="AJ3066">
        <v>54.341934957485996</v>
      </c>
      <c r="AK3066">
        <v>20.966819517401401</v>
      </c>
      <c r="AL3066">
        <v>82.088000117731198</v>
      </c>
      <c r="AM3066">
        <v>62.218077981864703</v>
      </c>
      <c r="AN3066">
        <v>1.00000005228572</v>
      </c>
    </row>
    <row r="3067" spans="1:40" x14ac:dyDescent="0.25">
      <c r="A3067" t="str">
        <f>"20190312164532744"</f>
        <v>20190312164532744</v>
      </c>
      <c r="B3067" t="str">
        <f>"1552380332734582"</f>
        <v>1552380332734582</v>
      </c>
      <c r="C3067" t="s">
        <v>40</v>
      </c>
      <c r="D3067">
        <v>4.2316659999999997</v>
      </c>
      <c r="E3067">
        <v>0.5657179</v>
      </c>
      <c r="F3067" t="s">
        <v>42</v>
      </c>
      <c r="G3067">
        <v>-188.4572</v>
      </c>
      <c r="H3067" s="1">
        <v>-1.2843820000000001E-6</v>
      </c>
      <c r="I3067">
        <v>191.9888</v>
      </c>
      <c r="J3067">
        <v>-198.15170000000001</v>
      </c>
      <c r="K3067">
        <v>1.0954159999999999</v>
      </c>
      <c r="L3067">
        <v>211.07079999999999</v>
      </c>
      <c r="M3067">
        <v>0.88836749999999998</v>
      </c>
      <c r="N3067">
        <v>0</v>
      </c>
      <c r="O3067">
        <v>-0.4588679</v>
      </c>
      <c r="P3067">
        <v>0.57080109999999995</v>
      </c>
      <c r="Q3067">
        <v>0.13917869999999999</v>
      </c>
      <c r="R3067">
        <v>-0.80920700000000001</v>
      </c>
      <c r="S3067">
        <v>1.4213260000000001</v>
      </c>
      <c r="T3067">
        <v>-0.156005</v>
      </c>
      <c r="U3067">
        <v>-2.7395480000000001</v>
      </c>
      <c r="V3067">
        <v>0.4617503</v>
      </c>
      <c r="W3067">
        <v>0.1378877</v>
      </c>
      <c r="X3067">
        <v>0.87622699999999998</v>
      </c>
      <c r="Y3067">
        <v>0.57714169999999998</v>
      </c>
      <c r="Z3067">
        <v>8.9232979999999996E-3</v>
      </c>
      <c r="AA3067">
        <v>0.81659530000000002</v>
      </c>
      <c r="AB3067">
        <v>33</v>
      </c>
      <c r="AC3067">
        <v>9.6944999999999997</v>
      </c>
      <c r="AD3067">
        <v>-1.095417284382</v>
      </c>
      <c r="AE3067">
        <v>-19.081999999999901</v>
      </c>
      <c r="AF3067">
        <v>12.4721869388997</v>
      </c>
      <c r="AG3067">
        <v>-1.095417284382</v>
      </c>
      <c r="AH3067">
        <v>17.3251298842527</v>
      </c>
      <c r="AI3067">
        <v>92.9374774594813</v>
      </c>
      <c r="AJ3067">
        <v>54.250265508346402</v>
      </c>
      <c r="AK3067">
        <v>21.375582134108299</v>
      </c>
      <c r="AL3067">
        <v>82.0743655201953</v>
      </c>
      <c r="AM3067">
        <v>62.2118609960851</v>
      </c>
      <c r="AN3067">
        <v>1.0000000564451801</v>
      </c>
    </row>
    <row r="3068" spans="1:40" x14ac:dyDescent="0.25">
      <c r="A3068" t="str">
        <f>"20190312164532766"</f>
        <v>20190312164532766</v>
      </c>
      <c r="B3068" t="str">
        <f>"1552380332755078"</f>
        <v>1552380332755078</v>
      </c>
      <c r="C3068" t="s">
        <v>40</v>
      </c>
      <c r="D3068">
        <v>4.3390149999999998</v>
      </c>
      <c r="E3068">
        <v>0.56571910000000003</v>
      </c>
      <c r="F3068" t="s">
        <v>42</v>
      </c>
      <c r="G3068">
        <v>-188.41829999999999</v>
      </c>
      <c r="H3068" s="1">
        <v>-1.1181360000000001E-6</v>
      </c>
      <c r="I3068">
        <v>191.58519999999999</v>
      </c>
      <c r="J3068">
        <v>-197.86940000000001</v>
      </c>
      <c r="K3068">
        <v>1.0952230000000001</v>
      </c>
      <c r="L3068">
        <v>210.9101</v>
      </c>
      <c r="M3068">
        <v>0.88122440000000002</v>
      </c>
      <c r="N3068">
        <v>0</v>
      </c>
      <c r="O3068">
        <v>-0.47243809999999897</v>
      </c>
      <c r="P3068">
        <v>0.55804849999999995</v>
      </c>
      <c r="Q3068">
        <v>0.13952059999999999</v>
      </c>
      <c r="R3068">
        <v>-0.81799509999999998</v>
      </c>
      <c r="S3068">
        <v>1.379211</v>
      </c>
      <c r="T3068">
        <v>-0.1552202</v>
      </c>
      <c r="U3068">
        <v>-2.7611080000000001</v>
      </c>
      <c r="V3068">
        <v>0.46207290000000001</v>
      </c>
      <c r="W3068">
        <v>0.13805390000000001</v>
      </c>
      <c r="X3068">
        <v>0.87603069999999905</v>
      </c>
      <c r="Y3068">
        <v>0.57714900000000002</v>
      </c>
      <c r="Z3068">
        <v>9.6739589999999993E-3</v>
      </c>
      <c r="AA3068">
        <v>0.81658149999999996</v>
      </c>
      <c r="AB3068">
        <v>33</v>
      </c>
      <c r="AC3068">
        <v>9.4511000000000198</v>
      </c>
      <c r="AD3068">
        <v>-1.0952241181360001</v>
      </c>
      <c r="AE3068">
        <v>-19.3249</v>
      </c>
      <c r="AF3068">
        <v>12.5335710391085</v>
      </c>
      <c r="AG3068">
        <v>-1.0952241181360001</v>
      </c>
      <c r="AH3068">
        <v>17.415364245869199</v>
      </c>
      <c r="AI3068">
        <v>92.922053386395604</v>
      </c>
      <c r="AJ3068">
        <v>54.258012485926997</v>
      </c>
      <c r="AK3068">
        <v>21.484525377062099</v>
      </c>
      <c r="AL3068">
        <v>82.064750687114795</v>
      </c>
      <c r="AM3068">
        <v>62.190056706026702</v>
      </c>
      <c r="AN3068">
        <v>1.00000001578105</v>
      </c>
    </row>
    <row r="3069" spans="1:40" x14ac:dyDescent="0.25">
      <c r="A3069" t="str">
        <f>"20190312164532789"</f>
        <v>20190312164532789</v>
      </c>
      <c r="B3069" t="str">
        <f>"1552380332784357"</f>
        <v>1552380332784357</v>
      </c>
      <c r="C3069" t="s">
        <v>40</v>
      </c>
      <c r="D3069">
        <v>4.3248430000000004</v>
      </c>
      <c r="E3069">
        <v>0.56581210000000004</v>
      </c>
      <c r="F3069" t="s">
        <v>42</v>
      </c>
      <c r="G3069">
        <v>-188.47200000000001</v>
      </c>
      <c r="H3069" s="1">
        <v>-9.9607759999999993E-7</v>
      </c>
      <c r="I3069">
        <v>191.3229</v>
      </c>
      <c r="J3069">
        <v>-197.57470000000001</v>
      </c>
      <c r="K3069">
        <v>1.095027</v>
      </c>
      <c r="L3069">
        <v>210.73609999999999</v>
      </c>
      <c r="M3069">
        <v>0.87334789999999995</v>
      </c>
      <c r="N3069">
        <v>0</v>
      </c>
      <c r="O3069">
        <v>-0.48684250000000001</v>
      </c>
      <c r="P3069">
        <v>0.54427009999999998</v>
      </c>
      <c r="Q3069">
        <v>0.1404251</v>
      </c>
      <c r="R3069">
        <v>-0.82707410000000003</v>
      </c>
      <c r="S3069">
        <v>1.3352360000000001</v>
      </c>
      <c r="T3069">
        <v>-0.15561710000000001</v>
      </c>
      <c r="U3069">
        <v>-2.783096</v>
      </c>
      <c r="V3069">
        <v>0.46232990000000002</v>
      </c>
      <c r="W3069">
        <v>0.13877979999999901</v>
      </c>
      <c r="X3069">
        <v>0.87578029999999996</v>
      </c>
      <c r="Y3069">
        <v>0.5767603</v>
      </c>
      <c r="Z3069">
        <v>1.056058E-2</v>
      </c>
      <c r="AA3069">
        <v>0.81684519999999905</v>
      </c>
      <c r="AB3069">
        <v>33</v>
      </c>
      <c r="AC3069">
        <v>9.1027000000000005</v>
      </c>
      <c r="AD3069">
        <v>-1.0950279960775999</v>
      </c>
      <c r="AE3069">
        <v>-19.4131999999999</v>
      </c>
      <c r="AF3069">
        <v>12.491866579333999</v>
      </c>
      <c r="AG3069">
        <v>-1.0950279960775999</v>
      </c>
      <c r="AH3069">
        <v>17.3578779875977</v>
      </c>
      <c r="AI3069">
        <v>92.931216367750594</v>
      </c>
      <c r="AJ3069">
        <v>54.258735486760202</v>
      </c>
      <c r="AK3069">
        <v>21.413587863326502</v>
      </c>
      <c r="AL3069">
        <v>82.022754921261196</v>
      </c>
      <c r="AM3069">
        <v>62.1701463735603</v>
      </c>
      <c r="AN3069">
        <v>0.99999995159506805</v>
      </c>
    </row>
    <row r="3070" spans="1:40" x14ac:dyDescent="0.25">
      <c r="A3070" t="str">
        <f>"20190312164532812"</f>
        <v>20190312164532812</v>
      </c>
      <c r="B3070" t="str">
        <f>"1552380332804853"</f>
        <v>1552380332804853</v>
      </c>
      <c r="C3070" t="s">
        <v>40</v>
      </c>
      <c r="D3070">
        <v>4.2653800000000004</v>
      </c>
      <c r="E3070">
        <v>0.56571380000000004</v>
      </c>
      <c r="F3070" t="s">
        <v>42</v>
      </c>
      <c r="G3070">
        <v>-188.47880000000001</v>
      </c>
      <c r="H3070" s="1">
        <v>-8.3521259999999898E-7</v>
      </c>
      <c r="I3070">
        <v>190.91300000000001</v>
      </c>
      <c r="J3070">
        <v>-197.2791</v>
      </c>
      <c r="K3070">
        <v>1.0948329999999999</v>
      </c>
      <c r="L3070">
        <v>210.55410000000001</v>
      </c>
      <c r="M3070">
        <v>0.86497039999999903</v>
      </c>
      <c r="N3070">
        <v>0</v>
      </c>
      <c r="O3070">
        <v>-0.50157359999999995</v>
      </c>
      <c r="P3070">
        <v>0.52970390000000001</v>
      </c>
      <c r="Q3070">
        <v>0.14107649999999999</v>
      </c>
      <c r="R3070">
        <v>-0.836368</v>
      </c>
      <c r="S3070">
        <v>1.2876430000000001</v>
      </c>
      <c r="T3070">
        <v>-0.15501619999999999</v>
      </c>
      <c r="U3070">
        <v>-2.8062290000000001</v>
      </c>
      <c r="V3070">
        <v>0.46282119999999999</v>
      </c>
      <c r="W3070">
        <v>0.13924810000000001</v>
      </c>
      <c r="X3070">
        <v>0.87544639999999996</v>
      </c>
      <c r="Y3070">
        <v>0.57692849999999996</v>
      </c>
      <c r="Z3070">
        <v>1.138492E-2</v>
      </c>
      <c r="AA3070">
        <v>0.81671530000000003</v>
      </c>
      <c r="AB3070">
        <v>33</v>
      </c>
      <c r="AC3070">
        <v>8.8002999999999894</v>
      </c>
      <c r="AD3070">
        <v>-1.0948338352125999</v>
      </c>
      <c r="AE3070">
        <v>-19.641100000000002</v>
      </c>
      <c r="AF3070">
        <v>12.5440848580287</v>
      </c>
      <c r="AG3070">
        <v>-1.0948338352125999</v>
      </c>
      <c r="AH3070">
        <v>17.4205618560601</v>
      </c>
      <c r="AI3070">
        <v>92.919606549482793</v>
      </c>
      <c r="AJ3070">
        <v>54.243339564418299</v>
      </c>
      <c r="AK3070">
        <v>21.494852905590399</v>
      </c>
      <c r="AL3070">
        <v>81.995660198327599</v>
      </c>
      <c r="AM3070">
        <v>62.135988707637502</v>
      </c>
      <c r="AN3070">
        <v>0.99999994789800295</v>
      </c>
    </row>
    <row r="3071" spans="1:40" x14ac:dyDescent="0.25">
      <c r="A3071" t="str">
        <f>"20190312164532834"</f>
        <v>20190312164532834</v>
      </c>
      <c r="B3071" t="str">
        <f>"1552380332824374"</f>
        <v>1552380332824374</v>
      </c>
      <c r="C3071" t="s">
        <v>40</v>
      </c>
      <c r="D3071">
        <v>4.5293839999999896</v>
      </c>
      <c r="E3071">
        <v>0.56586859999999894</v>
      </c>
      <c r="F3071" t="s">
        <v>42</v>
      </c>
      <c r="G3071">
        <v>-188.4408</v>
      </c>
      <c r="H3071" s="1">
        <v>-6.6558639999999898E-7</v>
      </c>
      <c r="I3071">
        <v>190.38480000000001</v>
      </c>
      <c r="J3071">
        <v>-197.00810000000001</v>
      </c>
      <c r="K3071">
        <v>1.0946629999999999</v>
      </c>
      <c r="L3071">
        <v>210.381</v>
      </c>
      <c r="M3071">
        <v>0.85687769999999996</v>
      </c>
      <c r="N3071">
        <v>0</v>
      </c>
      <c r="O3071">
        <v>-0.51527500000000004</v>
      </c>
      <c r="P3071">
        <v>0.51607179999999997</v>
      </c>
      <c r="Q3071">
        <v>0.1414136</v>
      </c>
      <c r="R3071">
        <v>-0.84479110000000002</v>
      </c>
      <c r="S3071">
        <v>1.2392430000000001</v>
      </c>
      <c r="T3071">
        <v>-0.1535097</v>
      </c>
      <c r="U3071">
        <v>-2.8279879999999999</v>
      </c>
      <c r="V3071">
        <v>0.46311020000000003</v>
      </c>
      <c r="W3071">
        <v>0.13943559999999999</v>
      </c>
      <c r="X3071">
        <v>0.87526380000000004</v>
      </c>
      <c r="Y3071">
        <v>0.57797900000000002</v>
      </c>
      <c r="Z3071">
        <v>1.2052449999999999E-2</v>
      </c>
      <c r="AA3071">
        <v>0.81596259999999998</v>
      </c>
      <c r="AB3071">
        <v>33</v>
      </c>
      <c r="AC3071">
        <v>8.5673000000000101</v>
      </c>
      <c r="AD3071">
        <v>-1.0946636655863999</v>
      </c>
      <c r="AE3071">
        <v>-19.996199999999899</v>
      </c>
      <c r="AF3071">
        <v>12.6892571935003</v>
      </c>
      <c r="AG3071">
        <v>-1.0946636655863999</v>
      </c>
      <c r="AH3071">
        <v>17.602326275380101</v>
      </c>
      <c r="AI3071">
        <v>92.887951048751802</v>
      </c>
      <c r="AJ3071">
        <v>54.212722860155701</v>
      </c>
      <c r="AK3071">
        <v>21.726882587441999</v>
      </c>
      <c r="AL3071">
        <v>81.984812078324495</v>
      </c>
      <c r="AM3071">
        <v>62.116267604523898</v>
      </c>
      <c r="AN3071">
        <v>1.0000000317409099</v>
      </c>
    </row>
    <row r="3072" spans="1:40" x14ac:dyDescent="0.25">
      <c r="A3072" t="str">
        <f>"20190312164532856"</f>
        <v>20190312164532856</v>
      </c>
      <c r="B3072" t="str">
        <f>"1552380332844869"</f>
        <v>1552380332844869</v>
      </c>
      <c r="C3072" t="s">
        <v>40</v>
      </c>
      <c r="D3072">
        <v>4.4629219999999998</v>
      </c>
      <c r="E3072">
        <v>0.60565939999999996</v>
      </c>
      <c r="F3072" t="s">
        <v>42</v>
      </c>
      <c r="G3072">
        <v>-188.44280000000001</v>
      </c>
      <c r="H3072" s="1">
        <v>-5.0271400000000004E-7</v>
      </c>
      <c r="I3072">
        <v>189.90780000000001</v>
      </c>
      <c r="J3072">
        <v>-196.72669999999999</v>
      </c>
      <c r="K3072">
        <v>1.094492</v>
      </c>
      <c r="L3072">
        <v>210.19460000000001</v>
      </c>
      <c r="M3072">
        <v>0.8480278</v>
      </c>
      <c r="N3072">
        <v>0</v>
      </c>
      <c r="O3072">
        <v>-0.5297115</v>
      </c>
      <c r="P3072">
        <v>0.50187910000000002</v>
      </c>
      <c r="Q3072">
        <v>0.14061199999999999</v>
      </c>
      <c r="R3072">
        <v>-0.85343189999999902</v>
      </c>
      <c r="S3072">
        <v>1.191757</v>
      </c>
      <c r="T3072">
        <v>-0.1523101</v>
      </c>
      <c r="U3072">
        <v>-2.8486180000000001</v>
      </c>
      <c r="V3072">
        <v>0.46306259999999999</v>
      </c>
      <c r="W3072">
        <v>0.1385035</v>
      </c>
      <c r="X3072">
        <v>0.87543689999999996</v>
      </c>
      <c r="Y3072">
        <v>0.57785399999999998</v>
      </c>
      <c r="Z3072">
        <v>1.281122E-2</v>
      </c>
      <c r="AA3072">
        <v>0.81603959999999998</v>
      </c>
      <c r="AB3072">
        <v>33</v>
      </c>
      <c r="AC3072">
        <v>8.2838999999999796</v>
      </c>
      <c r="AD3072">
        <v>-1.094492502714</v>
      </c>
      <c r="AE3072">
        <v>-20.286799999999999</v>
      </c>
      <c r="AF3072">
        <v>12.7854286559251</v>
      </c>
      <c r="AG3072">
        <v>-1.094492502714</v>
      </c>
      <c r="AH3072">
        <v>17.729161727285199</v>
      </c>
      <c r="AI3072">
        <v>92.866514686406404</v>
      </c>
      <c r="AJ3072">
        <v>54.202649087401902</v>
      </c>
      <c r="AK3072">
        <v>21.885800769139799</v>
      </c>
      <c r="AL3072">
        <v>82.038740336460805</v>
      </c>
      <c r="AM3072">
        <v>62.123385234625701</v>
      </c>
      <c r="AN3072">
        <v>0.99999997845630995</v>
      </c>
    </row>
    <row r="3073" spans="1:40" x14ac:dyDescent="0.25">
      <c r="A3073" t="str">
        <f>"20190312164532880"</f>
        <v>20190312164532880</v>
      </c>
      <c r="B3073" t="str">
        <f>"1552380332875125"</f>
        <v>1552380332875125</v>
      </c>
      <c r="C3073" t="s">
        <v>40</v>
      </c>
      <c r="D3073">
        <v>4.4540699999999998</v>
      </c>
      <c r="E3073">
        <v>0.60974609999999996</v>
      </c>
      <c r="F3073" t="s">
        <v>42</v>
      </c>
      <c r="G3073">
        <v>-193.2475</v>
      </c>
      <c r="H3073" s="1">
        <v>-4.4189430000000003E-6</v>
      </c>
      <c r="I3073">
        <v>198.27930000000001</v>
      </c>
      <c r="J3073">
        <v>-196.43870000000001</v>
      </c>
      <c r="K3073">
        <v>1.094317</v>
      </c>
      <c r="L3073">
        <v>209.9965</v>
      </c>
      <c r="M3073">
        <v>0.83847619999999901</v>
      </c>
      <c r="N3073">
        <v>0</v>
      </c>
      <c r="O3073">
        <v>-0.54470269999999898</v>
      </c>
      <c r="P3073">
        <v>0.48729040000000001</v>
      </c>
      <c r="Q3073">
        <v>0.1399165</v>
      </c>
      <c r="R3073">
        <v>-0.86195809999999995</v>
      </c>
      <c r="S3073">
        <v>0.88746639999999999</v>
      </c>
      <c r="T3073">
        <v>-0.27918169999999998</v>
      </c>
      <c r="U3073">
        <v>-3.0393219999999999</v>
      </c>
      <c r="V3073">
        <v>0.46251920000000002</v>
      </c>
      <c r="W3073">
        <v>0.13769970000000001</v>
      </c>
      <c r="X3073">
        <v>0.87585089999999999</v>
      </c>
      <c r="Y3073">
        <v>0.65176210000000001</v>
      </c>
      <c r="Z3073">
        <v>2.0580589999999999E-2</v>
      </c>
      <c r="AA3073">
        <v>0.75814419999999905</v>
      </c>
      <c r="AB3073">
        <v>33</v>
      </c>
      <c r="AC3073">
        <v>3.1911999999999998</v>
      </c>
      <c r="AD3073">
        <v>-1.0943214189429999</v>
      </c>
      <c r="AE3073">
        <v>-11.717199999999901</v>
      </c>
      <c r="AF3073">
        <v>8.0222337100851497</v>
      </c>
      <c r="AG3073">
        <v>-1.0943214189429999</v>
      </c>
      <c r="AH3073">
        <v>8.9863274453898097</v>
      </c>
      <c r="AI3073">
        <v>95.190724185996601</v>
      </c>
      <c r="AJ3073">
        <v>48.2442165997684</v>
      </c>
      <c r="AK3073">
        <v>12.0957783553994</v>
      </c>
      <c r="AL3073">
        <v>82.085240483814005</v>
      </c>
      <c r="AM3073">
        <v>62.162369115172297</v>
      </c>
      <c r="AN3073">
        <v>1.00000000838977</v>
      </c>
    </row>
    <row r="3074" spans="1:40" x14ac:dyDescent="0.25">
      <c r="A3074" t="str">
        <f>"20190312164532904"</f>
        <v>20190312164532904</v>
      </c>
      <c r="B3074" t="str">
        <f>"1552380332894646"</f>
        <v>1552380332894646</v>
      </c>
      <c r="C3074" t="s">
        <v>40</v>
      </c>
      <c r="D3074">
        <v>4.4754230000000002</v>
      </c>
      <c r="E3074">
        <v>0.60945749999999999</v>
      </c>
      <c r="F3074" t="s">
        <v>42</v>
      </c>
      <c r="G3074">
        <v>-193.3074</v>
      </c>
      <c r="H3074" s="1">
        <v>-4.3526499999999997E-6</v>
      </c>
      <c r="I3074">
        <v>198.05330000000001</v>
      </c>
      <c r="J3074">
        <v>-196.13650000000001</v>
      </c>
      <c r="K3074">
        <v>1.094136</v>
      </c>
      <c r="L3074">
        <v>209.78039999999999</v>
      </c>
      <c r="M3074">
        <v>0.82788700000000004</v>
      </c>
      <c r="N3074">
        <v>0</v>
      </c>
      <c r="O3074">
        <v>-0.5606641</v>
      </c>
      <c r="P3074">
        <v>0.47161910000000001</v>
      </c>
      <c r="Q3074">
        <v>0.14012060000000001</v>
      </c>
      <c r="R3074">
        <v>-0.87059880000000001</v>
      </c>
      <c r="S3074">
        <v>0.80516049999999995</v>
      </c>
      <c r="T3074">
        <v>-0.281379299999999</v>
      </c>
      <c r="U3074">
        <v>-3.0709230000000001</v>
      </c>
      <c r="V3074">
        <v>0.46162419999999998</v>
      </c>
      <c r="W3074">
        <v>0.1378074</v>
      </c>
      <c r="X3074">
        <v>0.87630609999999998</v>
      </c>
      <c r="Y3074">
        <v>0.6582074</v>
      </c>
      <c r="Z3074">
        <v>2.2088529999999999E-2</v>
      </c>
      <c r="AA3074">
        <v>0.75251250000000003</v>
      </c>
      <c r="AB3074">
        <v>33</v>
      </c>
      <c r="AC3074">
        <v>2.8291000000000102</v>
      </c>
      <c r="AD3074">
        <v>-1.09414035265</v>
      </c>
      <c r="AE3074">
        <v>-11.727099999999901</v>
      </c>
      <c r="AF3074">
        <v>8.0573096589677</v>
      </c>
      <c r="AG3074">
        <v>-1.09414035265</v>
      </c>
      <c r="AH3074">
        <v>8.8455287580217696</v>
      </c>
      <c r="AI3074">
        <v>95.224842059905697</v>
      </c>
      <c r="AJ3074">
        <v>47.669902737023897</v>
      </c>
      <c r="AK3074">
        <v>12.0150223079602</v>
      </c>
      <c r="AL3074">
        <v>82.079010913999696</v>
      </c>
      <c r="AM3074">
        <v>62.220447591893397</v>
      </c>
      <c r="AN3074">
        <v>1.0000000812087999</v>
      </c>
    </row>
    <row r="3075" spans="1:40" x14ac:dyDescent="0.25">
      <c r="A3075" t="str">
        <f>"20190312164532923"</f>
        <v>20190312164532923</v>
      </c>
      <c r="B3075" t="str">
        <f>"1552380332915142"</f>
        <v>1552380332915142</v>
      </c>
      <c r="C3075" t="s">
        <v>40</v>
      </c>
      <c r="D3075">
        <v>4.4905730000000004</v>
      </c>
      <c r="E3075">
        <v>0.60866889999999996</v>
      </c>
      <c r="F3075" t="s">
        <v>42</v>
      </c>
      <c r="G3075">
        <v>-193.1079</v>
      </c>
      <c r="H3075" s="1">
        <v>-4.061086E-6</v>
      </c>
      <c r="I3075">
        <v>197.3005</v>
      </c>
      <c r="J3075">
        <v>-195.90260000000001</v>
      </c>
      <c r="K3075">
        <v>1.0939950000000001</v>
      </c>
      <c r="L3075">
        <v>209.60669999999999</v>
      </c>
      <c r="M3075">
        <v>0.81925179999999997</v>
      </c>
      <c r="N3075">
        <v>0</v>
      </c>
      <c r="O3075">
        <v>-0.57320649999999995</v>
      </c>
      <c r="P3075">
        <v>0.45938220000000002</v>
      </c>
      <c r="Q3075">
        <v>0.13999519999999999</v>
      </c>
      <c r="R3075">
        <v>-0.87713730000000001</v>
      </c>
      <c r="S3075">
        <v>0.7483978</v>
      </c>
      <c r="T3075">
        <v>-0.27037539999999999</v>
      </c>
      <c r="U3075">
        <v>-3.0839539999999999</v>
      </c>
      <c r="V3075">
        <v>0.46060699999999999</v>
      </c>
      <c r="W3075">
        <v>0.13762460000000001</v>
      </c>
      <c r="X3075">
        <v>0.87686980000000003</v>
      </c>
      <c r="Y3075">
        <v>0.66060189999999996</v>
      </c>
      <c r="Z3075">
        <v>2.2451470000000001E-2</v>
      </c>
      <c r="AA3075">
        <v>0.75040069999999903</v>
      </c>
      <c r="AB3075">
        <v>33</v>
      </c>
      <c r="AC3075">
        <v>2.7947000000000002</v>
      </c>
      <c r="AD3075">
        <v>-1.093999061086</v>
      </c>
      <c r="AE3075">
        <v>-12.306199999999899</v>
      </c>
      <c r="AF3075">
        <v>8.4177801076733196</v>
      </c>
      <c r="AG3075">
        <v>-1.093999061086</v>
      </c>
      <c r="AH3075">
        <v>9.2750704869909395</v>
      </c>
      <c r="AI3075">
        <v>94.991680934356594</v>
      </c>
      <c r="AJ3075">
        <v>47.7740433231981</v>
      </c>
      <c r="AK3075">
        <v>12.5730978054514</v>
      </c>
      <c r="AL3075">
        <v>82.089584631593993</v>
      </c>
      <c r="AM3075">
        <v>62.287704779842699</v>
      </c>
      <c r="AN3075">
        <v>0.99999999256310002</v>
      </c>
    </row>
    <row r="3076" spans="1:40" x14ac:dyDescent="0.25">
      <c r="A3076" t="str">
        <f>"20190312164532945"</f>
        <v>20190312164532945</v>
      </c>
      <c r="B3076" t="str">
        <f>"1552380332934661"</f>
        <v>1552380332934661</v>
      </c>
      <c r="C3076" t="s">
        <v>40</v>
      </c>
      <c r="D3076">
        <v>4.6383049999999999</v>
      </c>
      <c r="E3076">
        <v>0.60815830000000004</v>
      </c>
      <c r="F3076" t="s">
        <v>42</v>
      </c>
      <c r="G3076">
        <v>-193.059</v>
      </c>
      <c r="H3076" s="1">
        <v>-4.026842E-6</v>
      </c>
      <c r="I3076">
        <v>197.2253</v>
      </c>
      <c r="J3076">
        <v>-195.65260000000001</v>
      </c>
      <c r="K3076">
        <v>1.0938319999999999</v>
      </c>
      <c r="L3076">
        <v>209.41470000000001</v>
      </c>
      <c r="M3076">
        <v>0.80958240000000004</v>
      </c>
      <c r="N3076">
        <v>0</v>
      </c>
      <c r="O3076">
        <v>-0.58678269999999899</v>
      </c>
      <c r="P3076">
        <v>0.44636219999999999</v>
      </c>
      <c r="Q3076">
        <v>0.13934349999999901</v>
      </c>
      <c r="R3076">
        <v>-0.88393699999999997</v>
      </c>
      <c r="S3076">
        <v>0.71011349999999995</v>
      </c>
      <c r="T3076">
        <v>-0.27319729999999998</v>
      </c>
      <c r="U3076">
        <v>-3.0919189999999999</v>
      </c>
      <c r="V3076">
        <v>0.45906380000000002</v>
      </c>
      <c r="W3076">
        <v>0.13693259999999999</v>
      </c>
      <c r="X3076">
        <v>0.87778690000000004</v>
      </c>
      <c r="Y3076">
        <v>0.65735359999999998</v>
      </c>
      <c r="Z3076">
        <v>2.434246E-2</v>
      </c>
      <c r="AA3076">
        <v>0.753189</v>
      </c>
      <c r="AB3076">
        <v>33</v>
      </c>
      <c r="AC3076">
        <v>2.5935999999999799</v>
      </c>
      <c r="AD3076">
        <v>-1.093836026842</v>
      </c>
      <c r="AE3076">
        <v>-12.189399999999999</v>
      </c>
      <c r="AF3076">
        <v>8.2837224959995908</v>
      </c>
      <c r="AG3076">
        <v>-1.093836026842</v>
      </c>
      <c r="AH3076">
        <v>9.1827333441511794</v>
      </c>
      <c r="AI3076">
        <v>95.054542694627798</v>
      </c>
      <c r="AJ3076">
        <v>47.946454223266301</v>
      </c>
      <c r="AK3076">
        <v>12.415277979736601</v>
      </c>
      <c r="AL3076">
        <v>82.129612140589998</v>
      </c>
      <c r="AM3076">
        <v>62.391393766806203</v>
      </c>
      <c r="AN3076">
        <v>0.99999997561240395</v>
      </c>
    </row>
    <row r="3077" spans="1:40" x14ac:dyDescent="0.25">
      <c r="A3077" t="str">
        <f>"20190312164532967"</f>
        <v>20190312164532967</v>
      </c>
      <c r="B3077" t="str">
        <f>"1552380332964919"</f>
        <v>1552380332964919</v>
      </c>
      <c r="C3077" t="s">
        <v>40</v>
      </c>
      <c r="D3077">
        <v>4.6493029999999997</v>
      </c>
      <c r="E3077">
        <v>0.59099999999999997</v>
      </c>
      <c r="F3077" t="s">
        <v>42</v>
      </c>
      <c r="G3077">
        <v>-192.93190000000001</v>
      </c>
      <c r="H3077" s="1">
        <v>-3.8365769999999901E-6</v>
      </c>
      <c r="I3077">
        <v>196.73249999999999</v>
      </c>
      <c r="J3077">
        <v>-195.39510000000001</v>
      </c>
      <c r="K3077">
        <v>1.0936669999999999</v>
      </c>
      <c r="L3077">
        <v>209.2099</v>
      </c>
      <c r="M3077">
        <v>0.79912179999999999</v>
      </c>
      <c r="N3077">
        <v>0</v>
      </c>
      <c r="O3077">
        <v>-0.60094899999999996</v>
      </c>
      <c r="P3077">
        <v>0.43225770000000002</v>
      </c>
      <c r="Q3077">
        <v>0.13811599999999999</v>
      </c>
      <c r="R3077">
        <v>-0.89111049999999903</v>
      </c>
      <c r="S3077">
        <v>0.66506960000000004</v>
      </c>
      <c r="T3077">
        <v>-0.26738919999999999</v>
      </c>
      <c r="U3077">
        <v>-3.1001889999999999</v>
      </c>
      <c r="V3077">
        <v>0.45771269999999997</v>
      </c>
      <c r="W3077">
        <v>0.1356562</v>
      </c>
      <c r="X3077">
        <v>0.87869019999999998</v>
      </c>
      <c r="Y3077">
        <v>0.65499790000000002</v>
      </c>
      <c r="Z3077">
        <v>2.5480389999999999E-2</v>
      </c>
      <c r="AA3077">
        <v>0.75520100000000001</v>
      </c>
      <c r="AB3077">
        <v>33</v>
      </c>
      <c r="AC3077">
        <v>2.4632000000000001</v>
      </c>
      <c r="AD3077">
        <v>-1.093670836577</v>
      </c>
      <c r="AE3077">
        <v>-12.477399999999999</v>
      </c>
      <c r="AF3077">
        <v>8.4294948292729401</v>
      </c>
      <c r="AG3077">
        <v>-1.093670836577</v>
      </c>
      <c r="AH3077">
        <v>9.3984320872465101</v>
      </c>
      <c r="AI3077">
        <v>94.951081461526499</v>
      </c>
      <c r="AJ3077">
        <v>48.110930972849502</v>
      </c>
      <c r="AK3077">
        <v>12.6721357581941</v>
      </c>
      <c r="AL3077">
        <v>82.203433496237395</v>
      </c>
      <c r="AM3077">
        <v>62.484840228125499</v>
      </c>
      <c r="AN3077">
        <v>0.99999999395788397</v>
      </c>
    </row>
    <row r="3078" spans="1:40" x14ac:dyDescent="0.25">
      <c r="A3078" t="str">
        <f>"20190312164532992"</f>
        <v>20190312164532992</v>
      </c>
      <c r="B3078" t="str">
        <f>"1552380332984438"</f>
        <v>1552380332984438</v>
      </c>
      <c r="C3078" t="s">
        <v>40</v>
      </c>
      <c r="D3078">
        <v>4.6560739999999896</v>
      </c>
      <c r="E3078">
        <v>0.59071479999999998</v>
      </c>
      <c r="F3078" t="s">
        <v>42</v>
      </c>
      <c r="G3078">
        <v>-186.24420000000001</v>
      </c>
      <c r="H3078" s="1">
        <v>-1.1780800000000001E-6</v>
      </c>
      <c r="I3078">
        <v>170.17339999999999</v>
      </c>
      <c r="J3078">
        <v>-195.1259</v>
      </c>
      <c r="K3078">
        <v>1.0934919999999999</v>
      </c>
      <c r="L3078">
        <v>208.9872</v>
      </c>
      <c r="M3078">
        <v>0.78758669999999997</v>
      </c>
      <c r="N3078">
        <v>0</v>
      </c>
      <c r="O3078">
        <v>-0.61598710000000001</v>
      </c>
      <c r="P3078">
        <v>0.4169446</v>
      </c>
      <c r="Q3078">
        <v>0.13684569999999999</v>
      </c>
      <c r="R3078">
        <v>-0.89857160000000003</v>
      </c>
      <c r="S3078">
        <v>0.71138000000000001</v>
      </c>
      <c r="T3078">
        <v>-8.5021260000000001E-2</v>
      </c>
      <c r="U3078">
        <v>-3.0346829999999998</v>
      </c>
      <c r="V3078">
        <v>0.4562522</v>
      </c>
      <c r="W3078">
        <v>0.13434179999999901</v>
      </c>
      <c r="X3078">
        <v>0.87965119999999897</v>
      </c>
      <c r="Y3078">
        <v>0.62626709999999997</v>
      </c>
      <c r="Z3078">
        <v>9.2410760000000008E-3</v>
      </c>
      <c r="AA3078">
        <v>0.77955379999999996</v>
      </c>
      <c r="AB3078">
        <v>32</v>
      </c>
      <c r="AC3078">
        <v>8.8816999999999897</v>
      </c>
      <c r="AD3078">
        <v>-1.0934931780799999</v>
      </c>
      <c r="AE3078">
        <v>-38.813800000000001</v>
      </c>
      <c r="AF3078">
        <v>25.082654666112401</v>
      </c>
      <c r="AG3078">
        <v>-1.0934931780799999</v>
      </c>
      <c r="AH3078">
        <v>30.884742970496699</v>
      </c>
      <c r="AI3078">
        <v>91.574301799921301</v>
      </c>
      <c r="AJ3078">
        <v>50.9186576998991</v>
      </c>
      <c r="AK3078">
        <v>39.802043173480499</v>
      </c>
      <c r="AL3078">
        <v>82.279438984125093</v>
      </c>
      <c r="AM3078">
        <v>62.585404534319601</v>
      </c>
      <c r="AN3078">
        <v>1.00000001144675</v>
      </c>
    </row>
    <row r="3079" spans="1:40" x14ac:dyDescent="0.25">
      <c r="A3079" t="str">
        <f>"20190312164533013"</f>
        <v>20190312164533013</v>
      </c>
      <c r="B3079" t="str">
        <f>"1552380333004934"</f>
        <v>1552380333004934</v>
      </c>
      <c r="C3079" t="s">
        <v>40</v>
      </c>
      <c r="D3079">
        <v>4.5924180000000003</v>
      </c>
      <c r="E3079">
        <v>0.58971739999999995</v>
      </c>
      <c r="F3079" t="s">
        <v>42</v>
      </c>
      <c r="G3079">
        <v>-185.30860000000001</v>
      </c>
      <c r="H3079" s="1">
        <v>-2.7615499999999998E-6</v>
      </c>
      <c r="I3079">
        <v>163.58510000000001</v>
      </c>
      <c r="J3079">
        <v>-194.87629999999999</v>
      </c>
      <c r="K3079">
        <v>1.0933299999999999</v>
      </c>
      <c r="L3079">
        <v>208.7724</v>
      </c>
      <c r="M3079">
        <v>0.77631399999999995</v>
      </c>
      <c r="N3079">
        <v>0</v>
      </c>
      <c r="O3079">
        <v>-0.63013299999999905</v>
      </c>
      <c r="P3079">
        <v>0.40224979999999999</v>
      </c>
      <c r="Q3079">
        <v>0.13536709999999999</v>
      </c>
      <c r="R3079">
        <v>-0.90546760000000004</v>
      </c>
      <c r="S3079">
        <v>0.65827939999999996</v>
      </c>
      <c r="T3079">
        <v>-7.3321579999999997E-2</v>
      </c>
      <c r="U3079">
        <v>-3.044327</v>
      </c>
      <c r="V3079">
        <v>0.45483449999999997</v>
      </c>
      <c r="W3079">
        <v>0.13283010000000001</v>
      </c>
      <c r="X3079">
        <v>0.88061440000000002</v>
      </c>
      <c r="Y3079">
        <v>0.62566440000000001</v>
      </c>
      <c r="Z3079">
        <v>8.4100080000000001E-3</v>
      </c>
      <c r="AA3079">
        <v>0.78004709999999999</v>
      </c>
      <c r="AB3079">
        <v>32</v>
      </c>
      <c r="AC3079">
        <v>9.5676999999999701</v>
      </c>
      <c r="AD3079">
        <v>-1.0933327615499999</v>
      </c>
      <c r="AE3079">
        <v>-45.187299999999901</v>
      </c>
      <c r="AF3079">
        <v>29.038247529591199</v>
      </c>
      <c r="AG3079">
        <v>-1.0933327615499999</v>
      </c>
      <c r="AH3079">
        <v>35.8862703518651</v>
      </c>
      <c r="AI3079">
        <v>91.356742969139702</v>
      </c>
      <c r="AJ3079">
        <v>51.0211057303488</v>
      </c>
      <c r="AK3079">
        <v>46.176179962015503</v>
      </c>
      <c r="AL3079">
        <v>82.366836176975198</v>
      </c>
      <c r="AM3079">
        <v>62.683792220170602</v>
      </c>
      <c r="AN3079">
        <v>0.99999998967181003</v>
      </c>
    </row>
    <row r="3080" spans="1:40" x14ac:dyDescent="0.25">
      <c r="A3080" t="str">
        <f>"20190312164533035"</f>
        <v>20190312164533035</v>
      </c>
      <c r="B3080" t="str">
        <f>"1552380333024454"</f>
        <v>1552380333024454</v>
      </c>
      <c r="C3080" t="s">
        <v>40</v>
      </c>
      <c r="D3080">
        <v>4.7525199999999996</v>
      </c>
      <c r="E3080">
        <v>0.58879859999999995</v>
      </c>
      <c r="F3080" t="s">
        <v>42</v>
      </c>
      <c r="G3080">
        <v>-185.1746</v>
      </c>
      <c r="H3080" s="1">
        <v>-1.6218770000000001E-6</v>
      </c>
      <c r="I3080">
        <v>160.52449999999999</v>
      </c>
      <c r="J3080">
        <v>-194.6413</v>
      </c>
      <c r="K3080">
        <v>1.093186</v>
      </c>
      <c r="L3080">
        <v>208.56290000000001</v>
      </c>
      <c r="M3080">
        <v>0.76518629999999999</v>
      </c>
      <c r="N3080">
        <v>0</v>
      </c>
      <c r="O3080">
        <v>-0.64359820000000001</v>
      </c>
      <c r="P3080">
        <v>0.3879785</v>
      </c>
      <c r="Q3080">
        <v>0.1344215</v>
      </c>
      <c r="R3080">
        <v>-0.9118136</v>
      </c>
      <c r="S3080">
        <v>0.61349489999999995</v>
      </c>
      <c r="T3080">
        <v>-6.9138050000000006E-2</v>
      </c>
      <c r="U3080">
        <v>-3.0510100000000002</v>
      </c>
      <c r="V3080">
        <v>0.45339370000000001</v>
      </c>
      <c r="W3080">
        <v>0.13186589999999901</v>
      </c>
      <c r="X3080">
        <v>0.88150189999999995</v>
      </c>
      <c r="Y3080">
        <v>0.62336340000000001</v>
      </c>
      <c r="Z3080">
        <v>8.3510749999999995E-3</v>
      </c>
      <c r="AA3080">
        <v>0.78188769999999996</v>
      </c>
      <c r="AB3080">
        <v>32</v>
      </c>
      <c r="AC3080">
        <v>9.4666999999999994</v>
      </c>
      <c r="AD3080">
        <v>-1.093187621877</v>
      </c>
      <c r="AE3080">
        <v>-48.038400000000003</v>
      </c>
      <c r="AF3080">
        <v>30.6544535782078</v>
      </c>
      <c r="AG3080">
        <v>-1.093187621877</v>
      </c>
      <c r="AH3080">
        <v>38.1473777204288</v>
      </c>
      <c r="AI3080">
        <v>91.279675327143806</v>
      </c>
      <c r="AJ3080">
        <v>51.215352281883099</v>
      </c>
      <c r="AK3080">
        <v>48.9501073573919</v>
      </c>
      <c r="AL3080">
        <v>82.422571369589406</v>
      </c>
      <c r="AM3080">
        <v>62.781325280415402</v>
      </c>
      <c r="AN3080">
        <v>1.0000000312430499</v>
      </c>
    </row>
    <row r="3081" spans="1:40" x14ac:dyDescent="0.25">
      <c r="A3081" t="str">
        <f>"20190312164533058"</f>
        <v>20190312164533058</v>
      </c>
      <c r="B3081" t="str">
        <f>"1552380333054710"</f>
        <v>1552380333054710</v>
      </c>
      <c r="C3081" t="s">
        <v>40</v>
      </c>
      <c r="D3081">
        <v>4.5878759999999996</v>
      </c>
      <c r="E3081">
        <v>0.58710569999999995</v>
      </c>
      <c r="F3081" t="s">
        <v>42</v>
      </c>
      <c r="G3081">
        <v>-186.1139</v>
      </c>
      <c r="H3081" s="1">
        <v>-2.2956600000000001E-6</v>
      </c>
      <c r="I3081">
        <v>162.9299</v>
      </c>
      <c r="J3081">
        <v>-194.3937</v>
      </c>
      <c r="K3081">
        <v>1.0930519999999999</v>
      </c>
      <c r="L3081">
        <v>208.3338</v>
      </c>
      <c r="M3081">
        <v>0.75287360000000003</v>
      </c>
      <c r="N3081">
        <v>0</v>
      </c>
      <c r="O3081">
        <v>-0.65795740000000003</v>
      </c>
      <c r="P3081">
        <v>0.37152619999999997</v>
      </c>
      <c r="Q3081">
        <v>0.13360420000000001</v>
      </c>
      <c r="R3081">
        <v>-0.91875929999999995</v>
      </c>
      <c r="S3081">
        <v>0.57141109999999995</v>
      </c>
      <c r="T3081">
        <v>-7.3253390000000002E-2</v>
      </c>
      <c r="U3081">
        <v>-3.0578159999999999</v>
      </c>
      <c r="V3081">
        <v>0.45266420000000002</v>
      </c>
      <c r="W3081">
        <v>0.13099949999999999</v>
      </c>
      <c r="X3081">
        <v>0.88200579999999995</v>
      </c>
      <c r="Y3081">
        <v>0.61927010000000005</v>
      </c>
      <c r="Z3081">
        <v>9.3432020000000001E-3</v>
      </c>
      <c r="AA3081">
        <v>0.78512249999999995</v>
      </c>
      <c r="AB3081">
        <v>32</v>
      </c>
      <c r="AC3081">
        <v>8.2797999999999892</v>
      </c>
      <c r="AD3081">
        <v>-1.09305429566</v>
      </c>
      <c r="AE3081">
        <v>-45.403899999999901</v>
      </c>
      <c r="AF3081">
        <v>28.7234598175502</v>
      </c>
      <c r="AG3081">
        <v>-1.09305429566</v>
      </c>
      <c r="AH3081">
        <v>36.092167473374303</v>
      </c>
      <c r="AI3081">
        <v>91.357468523788697</v>
      </c>
      <c r="AJ3081">
        <v>51.485949665299799</v>
      </c>
      <c r="AK3081">
        <v>46.139749289628597</v>
      </c>
      <c r="AL3081">
        <v>82.472646513816102</v>
      </c>
      <c r="AM3081">
        <v>62.832137513594702</v>
      </c>
      <c r="AN3081">
        <v>0.999999989097765</v>
      </c>
    </row>
    <row r="3082" spans="1:40" x14ac:dyDescent="0.25">
      <c r="A3082" t="str">
        <f>"20190312164533081"</f>
        <v>20190312164533081</v>
      </c>
      <c r="B3082" t="str">
        <f>"1552380333075206"</f>
        <v>1552380333075206</v>
      </c>
      <c r="C3082" t="s">
        <v>40</v>
      </c>
      <c r="D3082">
        <v>4.7231139999999998</v>
      </c>
      <c r="E3082">
        <v>0.58574459999999995</v>
      </c>
      <c r="F3082" t="s">
        <v>42</v>
      </c>
      <c r="G3082">
        <v>-186.61959999999999</v>
      </c>
      <c r="H3082" s="1">
        <v>-2.297668E-6</v>
      </c>
      <c r="I3082">
        <v>163.2234</v>
      </c>
      <c r="J3082">
        <v>-194.14930000000001</v>
      </c>
      <c r="K3082">
        <v>1.092929</v>
      </c>
      <c r="L3082">
        <v>208.09880000000001</v>
      </c>
      <c r="M3082">
        <v>0.74009899999999995</v>
      </c>
      <c r="N3082">
        <v>0</v>
      </c>
      <c r="O3082">
        <v>-0.67229280000000002</v>
      </c>
      <c r="P3082">
        <v>0.35377599999999998</v>
      </c>
      <c r="Q3082">
        <v>0.1331329</v>
      </c>
      <c r="R3082">
        <v>-0.92580689999999999</v>
      </c>
      <c r="S3082">
        <v>0.52780150000000003</v>
      </c>
      <c r="T3082">
        <v>-7.4209810000000001E-2</v>
      </c>
      <c r="U3082">
        <v>-3.0626370000000001</v>
      </c>
      <c r="V3082">
        <v>0.45277460000000003</v>
      </c>
      <c r="W3082">
        <v>0.130444899999999</v>
      </c>
      <c r="X3082">
        <v>0.88203129999999996</v>
      </c>
      <c r="Y3082">
        <v>0.61523879999999997</v>
      </c>
      <c r="Z3082">
        <v>9.9728999999999998E-3</v>
      </c>
      <c r="AA3082">
        <v>0.78827769999999897</v>
      </c>
      <c r="AB3082">
        <v>32</v>
      </c>
      <c r="AC3082">
        <v>7.5297000000000098</v>
      </c>
      <c r="AD3082">
        <v>-1.0929312976679999</v>
      </c>
      <c r="AE3082">
        <v>-44.875399999999999</v>
      </c>
      <c r="AF3082">
        <v>28.137726087150099</v>
      </c>
      <c r="AG3082">
        <v>-1.0929312976679999</v>
      </c>
      <c r="AH3082">
        <v>35.726451629445698</v>
      </c>
      <c r="AI3082">
        <v>91.376717976324102</v>
      </c>
      <c r="AJ3082">
        <v>51.776454529214703</v>
      </c>
      <c r="AK3082">
        <v>45.489619411554003</v>
      </c>
      <c r="AL3082">
        <v>82.504697582390705</v>
      </c>
      <c r="AM3082">
        <v>62.827134290819401</v>
      </c>
      <c r="AN3082">
        <v>0.99999996226042898</v>
      </c>
    </row>
    <row r="3083" spans="1:40" x14ac:dyDescent="0.25">
      <c r="A3083" t="str">
        <f>"20190312164533103"</f>
        <v>20190312164533103</v>
      </c>
      <c r="B3083" t="str">
        <f>"1552380333094727"</f>
        <v>1552380333094727</v>
      </c>
      <c r="C3083" t="s">
        <v>40</v>
      </c>
      <c r="D3083">
        <v>4.6857850000000001</v>
      </c>
      <c r="E3083">
        <v>0.58447530000000003</v>
      </c>
      <c r="F3083" t="s">
        <v>42</v>
      </c>
      <c r="G3083">
        <v>-187.39080000000001</v>
      </c>
      <c r="H3083" s="1">
        <v>-2.8906080000000001E-6</v>
      </c>
      <c r="I3083">
        <v>164.7672</v>
      </c>
      <c r="J3083">
        <v>-193.91589999999999</v>
      </c>
      <c r="K3083">
        <v>1.0928180000000001</v>
      </c>
      <c r="L3083">
        <v>207.8657</v>
      </c>
      <c r="M3083">
        <v>0.727290199999999</v>
      </c>
      <c r="N3083">
        <v>0</v>
      </c>
      <c r="O3083">
        <v>-0.68612769999999901</v>
      </c>
      <c r="P3083">
        <v>0.33654230000000002</v>
      </c>
      <c r="Q3083">
        <v>0.1329941</v>
      </c>
      <c r="R3083">
        <v>-0.93222950000000004</v>
      </c>
      <c r="S3083">
        <v>0.4786224</v>
      </c>
      <c r="T3083">
        <v>-7.7399019999999999E-2</v>
      </c>
      <c r="U3083">
        <v>-3.0686490000000002</v>
      </c>
      <c r="V3083">
        <v>0.45255030000000002</v>
      </c>
      <c r="W3083">
        <v>0.13024729999999901</v>
      </c>
      <c r="X3083">
        <v>0.88217570000000001</v>
      </c>
      <c r="Y3083">
        <v>0.61293180000000003</v>
      </c>
      <c r="Z3083">
        <v>1.0892239999999999E-2</v>
      </c>
      <c r="AA3083">
        <v>0.79006080000000001</v>
      </c>
      <c r="AB3083">
        <v>32</v>
      </c>
      <c r="AC3083">
        <v>6.5250999999999797</v>
      </c>
      <c r="AD3083">
        <v>-1.0928208906079999</v>
      </c>
      <c r="AE3083">
        <v>-43.098500000000001</v>
      </c>
      <c r="AF3083">
        <v>26.854917509404402</v>
      </c>
      <c r="AG3083">
        <v>-1.0928208906079999</v>
      </c>
      <c r="AH3083">
        <v>34.299923802340501</v>
      </c>
      <c r="AI3083">
        <v>91.437043910712603</v>
      </c>
      <c r="AJ3083">
        <v>51.941047213405199</v>
      </c>
      <c r="AK3083">
        <v>43.575975316477198</v>
      </c>
      <c r="AL3083">
        <v>82.516117306126503</v>
      </c>
      <c r="AM3083">
        <v>62.842476365156699</v>
      </c>
      <c r="AN3083">
        <v>1.0000000494289301</v>
      </c>
    </row>
    <row r="3084" spans="1:40" x14ac:dyDescent="0.25">
      <c r="A3084" t="str">
        <f>"20190312164533124"</f>
        <v>20190312164533124</v>
      </c>
      <c r="B3084" t="str">
        <f>"1552380333114246"</f>
        <v>1552380333114246</v>
      </c>
      <c r="C3084" t="s">
        <v>40</v>
      </c>
      <c r="D3084">
        <v>4.708323</v>
      </c>
      <c r="E3084">
        <v>0.58421429999999996</v>
      </c>
      <c r="F3084" t="s">
        <v>42</v>
      </c>
      <c r="G3084">
        <v>-187.941</v>
      </c>
      <c r="H3084" s="1">
        <v>-3.0326450000000002E-6</v>
      </c>
      <c r="I3084">
        <v>165.2741</v>
      </c>
      <c r="J3084">
        <v>-193.69399999999999</v>
      </c>
      <c r="K3084">
        <v>1.0927119999999999</v>
      </c>
      <c r="L3084">
        <v>207.63550000000001</v>
      </c>
      <c r="M3084">
        <v>0.71451980000000004</v>
      </c>
      <c r="N3084">
        <v>0</v>
      </c>
      <c r="O3084">
        <v>-0.69941529999999996</v>
      </c>
      <c r="P3084">
        <v>0.32026490000000002</v>
      </c>
      <c r="Q3084">
        <v>0.1328828</v>
      </c>
      <c r="R3084">
        <v>-0.93796190000000002</v>
      </c>
      <c r="S3084">
        <v>0.43118289999999998</v>
      </c>
      <c r="T3084">
        <v>-7.8863859999999994E-2</v>
      </c>
      <c r="U3084">
        <v>-3.073639</v>
      </c>
      <c r="V3084">
        <v>0.4516848</v>
      </c>
      <c r="W3084">
        <v>0.13011729999999999</v>
      </c>
      <c r="X3084">
        <v>0.88263829999999999</v>
      </c>
      <c r="Y3084">
        <v>0.61049409999999904</v>
      </c>
      <c r="Z3084">
        <v>1.1585369999999999E-2</v>
      </c>
      <c r="AA3084">
        <v>0.79193599999999997</v>
      </c>
      <c r="AB3084">
        <v>32</v>
      </c>
      <c r="AC3084">
        <v>5.7530000000000401</v>
      </c>
      <c r="AD3084">
        <v>-1.0927150326449999</v>
      </c>
      <c r="AE3084">
        <v>-42.361400000000003</v>
      </c>
      <c r="AF3084">
        <v>26.2308562413155</v>
      </c>
      <c r="AG3084">
        <v>-1.0927150326449999</v>
      </c>
      <c r="AH3084">
        <v>33.721531486336502</v>
      </c>
      <c r="AI3084">
        <v>91.465141946576495</v>
      </c>
      <c r="AJ3084">
        <v>52.121842176148597</v>
      </c>
      <c r="AK3084">
        <v>42.7363256618899</v>
      </c>
      <c r="AL3084">
        <v>82.523629461616906</v>
      </c>
      <c r="AM3084">
        <v>62.899178839450997</v>
      </c>
      <c r="AN3084">
        <v>1.0000000194686001</v>
      </c>
    </row>
    <row r="3085" spans="1:40" x14ac:dyDescent="0.25">
      <c r="A3085" t="str">
        <f>"20190312164533146"</f>
        <v>20190312164533146</v>
      </c>
      <c r="B3085" t="str">
        <f>"1552380333134742"</f>
        <v>1552380333134742</v>
      </c>
      <c r="C3085" t="s">
        <v>40</v>
      </c>
      <c r="D3085">
        <v>4.704491</v>
      </c>
      <c r="E3085">
        <v>0.60092760000000001</v>
      </c>
      <c r="F3085" t="s">
        <v>42</v>
      </c>
      <c r="G3085">
        <v>-188.14250000000001</v>
      </c>
      <c r="H3085" s="1">
        <v>-1.626729E-6</v>
      </c>
      <c r="I3085">
        <v>162.37549999999999</v>
      </c>
      <c r="J3085">
        <v>-193.47810000000001</v>
      </c>
      <c r="K3085">
        <v>1.092606</v>
      </c>
      <c r="L3085">
        <v>207.4033</v>
      </c>
      <c r="M3085">
        <v>0.70151940000000002</v>
      </c>
      <c r="N3085">
        <v>0</v>
      </c>
      <c r="O3085">
        <v>-0.7124528</v>
      </c>
      <c r="P3085">
        <v>0.30434640000000002</v>
      </c>
      <c r="Q3085">
        <v>0.13181789999999999</v>
      </c>
      <c r="R3085">
        <v>-0.94339649999999997</v>
      </c>
      <c r="S3085">
        <v>0.37777709999999998</v>
      </c>
      <c r="T3085">
        <v>-7.43587E-2</v>
      </c>
      <c r="U3085">
        <v>-3.0799259999999999</v>
      </c>
      <c r="V3085">
        <v>0.45045950000000001</v>
      </c>
      <c r="W3085">
        <v>0.12906099999999901</v>
      </c>
      <c r="X3085">
        <v>0.88341919999999996</v>
      </c>
      <c r="Y3085">
        <v>0.60963420000000001</v>
      </c>
      <c r="Z3085">
        <v>1.135507E-2</v>
      </c>
      <c r="AA3085">
        <v>0.79260160000000002</v>
      </c>
      <c r="AB3085">
        <v>32</v>
      </c>
      <c r="AC3085">
        <v>5.3356000000000003</v>
      </c>
      <c r="AD3085">
        <v>-1.0926076267289999</v>
      </c>
      <c r="AE3085">
        <v>-45.027799999999999</v>
      </c>
      <c r="AF3085">
        <v>27.774297369166302</v>
      </c>
      <c r="AG3085">
        <v>-1.0926076267289999</v>
      </c>
      <c r="AH3085">
        <v>35.807461525480498</v>
      </c>
      <c r="AI3085">
        <v>91.381167308096494</v>
      </c>
      <c r="AJ3085">
        <v>52.200816086408899</v>
      </c>
      <c r="AK3085">
        <v>45.329677769377902</v>
      </c>
      <c r="AL3085">
        <v>82.584665468184298</v>
      </c>
      <c r="AM3085">
        <v>62.982757051824301</v>
      </c>
      <c r="AN3085">
        <v>0.99999999289494401</v>
      </c>
    </row>
    <row r="3086" spans="1:40" x14ac:dyDescent="0.25">
      <c r="A3086" t="str">
        <f>"20190312164533169"</f>
        <v>20190312164533169</v>
      </c>
      <c r="B3086" t="str">
        <f>"1552380333164999"</f>
        <v>1552380333164999</v>
      </c>
      <c r="C3086" t="s">
        <v>40</v>
      </c>
      <c r="D3086">
        <v>4.7777089999999998</v>
      </c>
      <c r="E3086">
        <v>0.60039980000000004</v>
      </c>
      <c r="F3086" t="s">
        <v>70</v>
      </c>
      <c r="G3086">
        <v>-175.9562</v>
      </c>
      <c r="H3086">
        <v>0.82380200000000003</v>
      </c>
      <c r="I3086">
        <v>-80.948909999999998</v>
      </c>
      <c r="J3086">
        <v>-193.2534</v>
      </c>
      <c r="K3086">
        <v>1.092511</v>
      </c>
      <c r="L3086">
        <v>207.15190000000001</v>
      </c>
      <c r="M3086">
        <v>0.68733690000000003</v>
      </c>
      <c r="N3086">
        <v>0</v>
      </c>
      <c r="O3086">
        <v>-0.72614409999999996</v>
      </c>
      <c r="P3086">
        <v>0.28742519999999999</v>
      </c>
      <c r="Q3086">
        <v>0.13067570000000001</v>
      </c>
      <c r="R3086">
        <v>-0.94884710000000005</v>
      </c>
      <c r="S3086">
        <v>0.18954470000000001</v>
      </c>
      <c r="T3086">
        <v>-2.9077529999999999E-3</v>
      </c>
      <c r="U3086">
        <v>-3.1192630000000001</v>
      </c>
      <c r="V3086">
        <v>0.44893119999999997</v>
      </c>
      <c r="W3086">
        <v>0.1279479</v>
      </c>
      <c r="X3086">
        <v>0.884358599999999</v>
      </c>
      <c r="Y3086">
        <v>0.64211870000000004</v>
      </c>
      <c r="Z3086">
        <v>4.4326100000000002E-4</v>
      </c>
      <c r="AA3086">
        <v>0.76660509999999904</v>
      </c>
      <c r="AB3086">
        <v>32</v>
      </c>
      <c r="AC3086">
        <v>17.2972</v>
      </c>
      <c r="AD3086">
        <v>-0.26870899999999998</v>
      </c>
      <c r="AE3086">
        <v>-288.10081000000002</v>
      </c>
      <c r="AF3086">
        <v>185.48812071145699</v>
      </c>
      <c r="AG3086">
        <v>-0.26870899999999998</v>
      </c>
      <c r="AH3086">
        <v>221.122777018927</v>
      </c>
      <c r="AI3086">
        <v>90.053343227041594</v>
      </c>
      <c r="AJ3086">
        <v>50.008503892965997</v>
      </c>
      <c r="AK3086">
        <v>288.61946858477302</v>
      </c>
      <c r="AL3086">
        <v>82.648974725214899</v>
      </c>
      <c r="AM3086">
        <v>63.086065210521802</v>
      </c>
      <c r="AN3086">
        <v>1.0000000104208999</v>
      </c>
    </row>
    <row r="3087" spans="1:40" x14ac:dyDescent="0.25">
      <c r="A3087" t="str">
        <f>"20190312164533192"</f>
        <v>20190312164533192</v>
      </c>
      <c r="B3087" t="str">
        <f>"1552380333184518"</f>
        <v>1552380333184518</v>
      </c>
      <c r="C3087" t="s">
        <v>40</v>
      </c>
      <c r="D3087">
        <v>4.6612460000000002</v>
      </c>
      <c r="E3087">
        <v>0.59814209999999901</v>
      </c>
      <c r="F3087" t="s">
        <v>42</v>
      </c>
      <c r="G3087">
        <v>-184.76769999999999</v>
      </c>
      <c r="H3087" s="1">
        <v>-3.8567979999999996E-6</v>
      </c>
      <c r="I3087">
        <v>16.459589999999999</v>
      </c>
      <c r="J3087">
        <v>-193.03360000000001</v>
      </c>
      <c r="K3087">
        <v>1.0924259999999999</v>
      </c>
      <c r="L3087">
        <v>206.89519999999999</v>
      </c>
      <c r="M3087">
        <v>0.6727592</v>
      </c>
      <c r="N3087">
        <v>0</v>
      </c>
      <c r="O3087">
        <v>-0.73966929999999997</v>
      </c>
      <c r="P3087">
        <v>0.27051160000000002</v>
      </c>
      <c r="Q3087">
        <v>0.1299555</v>
      </c>
      <c r="R3087">
        <v>-0.95390540000000001</v>
      </c>
      <c r="S3087">
        <v>0.13893129999999901</v>
      </c>
      <c r="T3087">
        <v>-1.788723E-2</v>
      </c>
      <c r="U3087">
        <v>-3.1221160000000001</v>
      </c>
      <c r="V3087">
        <v>0.44712289999999999</v>
      </c>
      <c r="W3087">
        <v>0.12727769999999999</v>
      </c>
      <c r="X3087">
        <v>0.88537089999999996</v>
      </c>
      <c r="Y3087">
        <v>0.63930169999999997</v>
      </c>
      <c r="Z3087">
        <v>2.8422970000000001E-3</v>
      </c>
      <c r="AA3087">
        <v>0.76895080000000005</v>
      </c>
      <c r="AB3087">
        <v>32</v>
      </c>
      <c r="AC3087">
        <v>8.2659000000000091</v>
      </c>
      <c r="AD3087">
        <v>-1.092429856798</v>
      </c>
      <c r="AE3087">
        <v>-190.43561</v>
      </c>
      <c r="AF3087">
        <v>122.01662017412499</v>
      </c>
      <c r="AG3087">
        <v>-1.092429856798</v>
      </c>
      <c r="AH3087">
        <v>146.4363492162</v>
      </c>
      <c r="AI3087">
        <v>90.328374041418201</v>
      </c>
      <c r="AJ3087">
        <v>50.197585812826901</v>
      </c>
      <c r="AK3087">
        <v>190.611787079073</v>
      </c>
      <c r="AL3087">
        <v>82.6876913036172</v>
      </c>
      <c r="AM3087">
        <v>63.2056780294634</v>
      </c>
      <c r="AN3087">
        <v>1.00000006559425</v>
      </c>
    </row>
    <row r="3088" spans="1:40" x14ac:dyDescent="0.25">
      <c r="A3088" t="str">
        <f>"20190312164533213"</f>
        <v>20190312164533213</v>
      </c>
      <c r="B3088" t="str">
        <f>"1552380333205014"</f>
        <v>1552380333205014</v>
      </c>
      <c r="C3088" t="s">
        <v>40</v>
      </c>
      <c r="D3088">
        <v>4.7029709999999998</v>
      </c>
      <c r="E3088">
        <v>0.59572829999999999</v>
      </c>
      <c r="F3088" t="s">
        <v>42</v>
      </c>
      <c r="G3088">
        <v>-185.66540000000001</v>
      </c>
      <c r="H3088" s="1">
        <v>-3.8303210000000004E-6</v>
      </c>
      <c r="I3088">
        <v>-23.23094</v>
      </c>
      <c r="J3088">
        <v>-192.8347</v>
      </c>
      <c r="K3088">
        <v>1.0923620000000001</v>
      </c>
      <c r="L3088">
        <v>206.6541</v>
      </c>
      <c r="M3088">
        <v>0.65897099999999997</v>
      </c>
      <c r="N3088">
        <v>0</v>
      </c>
      <c r="O3088">
        <v>-0.75197840000000005</v>
      </c>
      <c r="P3088">
        <v>0.25582670000000002</v>
      </c>
      <c r="Q3088">
        <v>0.12909590000000001</v>
      </c>
      <c r="R3088">
        <v>-0.95806420000000003</v>
      </c>
      <c r="S3088">
        <v>9.9853520000000001E-2</v>
      </c>
      <c r="T3088">
        <v>-1.4804599999999999E-2</v>
      </c>
      <c r="U3088">
        <v>-3.118668</v>
      </c>
      <c r="V3088">
        <v>0.44441150000000001</v>
      </c>
      <c r="W3088">
        <v>0.12652189999999999</v>
      </c>
      <c r="X3088">
        <v>0.88684300000000005</v>
      </c>
      <c r="Y3088">
        <v>0.63465879999999997</v>
      </c>
      <c r="Z3088">
        <v>2.4488909999999999E-3</v>
      </c>
      <c r="AA3088">
        <v>0.77278859999999905</v>
      </c>
      <c r="AB3088">
        <v>32</v>
      </c>
      <c r="AC3088">
        <v>7.16929999999999</v>
      </c>
      <c r="AD3088">
        <v>-1.092365830321</v>
      </c>
      <c r="AE3088">
        <v>-229.88504</v>
      </c>
      <c r="AF3088">
        <v>146.113994836122</v>
      </c>
      <c r="AG3088">
        <v>-1.092365830321</v>
      </c>
      <c r="AH3088">
        <v>177.61431402298399</v>
      </c>
      <c r="AI3088">
        <v>90.272129401357603</v>
      </c>
      <c r="AJ3088">
        <v>50.557658198195703</v>
      </c>
      <c r="AK3088">
        <v>229.99421144005601</v>
      </c>
      <c r="AL3088">
        <v>82.731347475055799</v>
      </c>
      <c r="AM3088">
        <v>63.383803364571598</v>
      </c>
      <c r="AN3088">
        <v>0.99999993958042799</v>
      </c>
    </row>
    <row r="3089" spans="1:40" x14ac:dyDescent="0.25">
      <c r="A3089" t="str">
        <f>"20190312164533236"</f>
        <v>20190312164533236</v>
      </c>
      <c r="B3089" t="str">
        <f>"1552380333224534"</f>
        <v>1552380333224534</v>
      </c>
      <c r="C3089" t="s">
        <v>40</v>
      </c>
      <c r="D3089">
        <v>4.899769</v>
      </c>
      <c r="E3089">
        <v>0.59440389999999999</v>
      </c>
      <c r="F3089" t="s">
        <v>42</v>
      </c>
      <c r="G3089">
        <v>-187.7988</v>
      </c>
      <c r="H3089" s="1">
        <v>-1.2063059999999999E-6</v>
      </c>
      <c r="I3089">
        <v>-18.528179999999999</v>
      </c>
      <c r="J3089">
        <v>-192.6378</v>
      </c>
      <c r="K3089">
        <v>1.092301</v>
      </c>
      <c r="L3089">
        <v>206.4058</v>
      </c>
      <c r="M3089">
        <v>0.64469960000000004</v>
      </c>
      <c r="N3089">
        <v>0</v>
      </c>
      <c r="O3089">
        <v>-0.76424840000000005</v>
      </c>
      <c r="P3089">
        <v>0.2404432</v>
      </c>
      <c r="Q3089">
        <v>0.12933210000000001</v>
      </c>
      <c r="R3089">
        <v>-0.962009</v>
      </c>
      <c r="S3089">
        <v>6.9656369999999995E-2</v>
      </c>
      <c r="T3089">
        <v>-1.5109539999999999E-2</v>
      </c>
      <c r="U3089">
        <v>-3.114716</v>
      </c>
      <c r="V3089">
        <v>0.44192779999999998</v>
      </c>
      <c r="W3089">
        <v>0.1268553</v>
      </c>
      <c r="X3089">
        <v>0.88803580000000004</v>
      </c>
      <c r="Y3089">
        <v>0.6275404</v>
      </c>
      <c r="Z3089">
        <v>2.6036169999999999E-3</v>
      </c>
      <c r="AA3089">
        <v>0.77857959999999904</v>
      </c>
      <c r="AB3089">
        <v>32</v>
      </c>
      <c r="AC3089">
        <v>4.8389999999999898</v>
      </c>
      <c r="AD3089">
        <v>-1.0923022063059999</v>
      </c>
      <c r="AE3089">
        <v>-224.93397999999999</v>
      </c>
      <c r="AF3089">
        <v>141.33358737100701</v>
      </c>
      <c r="AG3089">
        <v>-1.0923022063059999</v>
      </c>
      <c r="AH3089">
        <v>175.04611448595</v>
      </c>
      <c r="AI3089">
        <v>90.278174121662403</v>
      </c>
      <c r="AJ3089">
        <v>51.082325221209899</v>
      </c>
      <c r="AK3089">
        <v>224.98337325210599</v>
      </c>
      <c r="AL3089">
        <v>82.712090444956502</v>
      </c>
      <c r="AM3089">
        <v>63.542932411170497</v>
      </c>
      <c r="AN3089">
        <v>1.00000001481628</v>
      </c>
    </row>
    <row r="3090" spans="1:40" x14ac:dyDescent="0.25">
      <c r="A3090" t="str">
        <f>"20190312164533259"</f>
        <v>20190312164533259</v>
      </c>
      <c r="B3090" t="str">
        <f>"1552380333254790"</f>
        <v>1552380333254790</v>
      </c>
      <c r="C3090" t="s">
        <v>40</v>
      </c>
      <c r="D3090">
        <v>4.8990910000000003</v>
      </c>
      <c r="E3090">
        <v>0.57822969999999996</v>
      </c>
      <c r="F3090" t="s">
        <v>52</v>
      </c>
      <c r="G3090">
        <v>-190.1336</v>
      </c>
      <c r="H3090" s="1">
        <v>-9.9550039999999997E-6</v>
      </c>
      <c r="I3090">
        <v>-63.05424</v>
      </c>
      <c r="J3090">
        <v>-192.43020000000001</v>
      </c>
      <c r="K3090">
        <v>1.0922379999999901</v>
      </c>
      <c r="L3090">
        <v>206.13339999999999</v>
      </c>
      <c r="M3090">
        <v>0.62895380000000001</v>
      </c>
      <c r="N3090">
        <v>0</v>
      </c>
      <c r="O3090">
        <v>-0.77725739999999999</v>
      </c>
      <c r="P3090">
        <v>0.2249293</v>
      </c>
      <c r="Q3090">
        <v>0.129047</v>
      </c>
      <c r="R3090">
        <v>-0.96579179999999998</v>
      </c>
      <c r="S3090">
        <v>2.893066E-2</v>
      </c>
      <c r="T3090">
        <v>-1.2618900000000001E-2</v>
      </c>
      <c r="U3090">
        <v>-3.11293</v>
      </c>
      <c r="V3090">
        <v>0.43809700000000001</v>
      </c>
      <c r="W3090">
        <v>0.1267375</v>
      </c>
      <c r="X3090">
        <v>0.88994869999999904</v>
      </c>
      <c r="Y3090">
        <v>0.62179229999999996</v>
      </c>
      <c r="Z3090">
        <v>2.2619459999999999E-3</v>
      </c>
      <c r="AA3090">
        <v>0.78317890000000001</v>
      </c>
      <c r="AB3090">
        <v>32</v>
      </c>
      <c r="AC3090">
        <v>2.29660000000001</v>
      </c>
      <c r="AD3090">
        <v>-1.0922479550039901</v>
      </c>
      <c r="AE3090">
        <v>-269.18763999999999</v>
      </c>
      <c r="AF3090">
        <v>167.54291417854299</v>
      </c>
      <c r="AG3090">
        <v>-1.0922479550039901</v>
      </c>
      <c r="AH3090">
        <v>210.699420636648</v>
      </c>
      <c r="AI3090">
        <v>90.232475782847203</v>
      </c>
      <c r="AJ3090">
        <v>51.509156924758898</v>
      </c>
      <c r="AK3090">
        <v>269.19522089675598</v>
      </c>
      <c r="AL3090">
        <v>82.718894932899801</v>
      </c>
      <c r="AM3090">
        <v>63.790259078026999</v>
      </c>
      <c r="AN3090">
        <v>1.0000000319734601</v>
      </c>
    </row>
    <row r="3091" spans="1:40" x14ac:dyDescent="0.25">
      <c r="A3091" t="str">
        <f>"20190312164533293"</f>
        <v>20190312164533293</v>
      </c>
      <c r="B3091" t="str">
        <f>"1552380333285046"</f>
        <v>1552380333285046</v>
      </c>
      <c r="C3091" t="s">
        <v>40</v>
      </c>
      <c r="D3091">
        <v>4.8048089999999997</v>
      </c>
      <c r="E3091">
        <v>0.57580669999999901</v>
      </c>
      <c r="F3091" t="s">
        <v>42</v>
      </c>
      <c r="G3091">
        <v>-191.2473</v>
      </c>
      <c r="H3091" s="1">
        <v>-2.1635289999999999E-6</v>
      </c>
      <c r="I3091">
        <v>173.8587</v>
      </c>
      <c r="J3091">
        <v>-192.14500000000001</v>
      </c>
      <c r="K3091">
        <v>1.0921700000000001</v>
      </c>
      <c r="L3091">
        <v>205.73949999999999</v>
      </c>
      <c r="M3091">
        <v>0.60604910000000001</v>
      </c>
      <c r="N3091">
        <v>0</v>
      </c>
      <c r="O3091">
        <v>-0.79524530000000004</v>
      </c>
      <c r="P3091">
        <v>0.2022748</v>
      </c>
      <c r="Q3091">
        <v>0.12690029999999999</v>
      </c>
      <c r="R3091">
        <v>-0.97107220000000005</v>
      </c>
      <c r="S3091">
        <v>0.11338810000000001</v>
      </c>
      <c r="T3091">
        <v>-0.1047025</v>
      </c>
      <c r="U3091">
        <v>-3.0938569999999999</v>
      </c>
      <c r="V3091">
        <v>0.43308099999999999</v>
      </c>
      <c r="W3091">
        <v>0.1248194</v>
      </c>
      <c r="X3091">
        <v>0.89267070000000004</v>
      </c>
      <c r="Y3091">
        <v>0.57657400000000003</v>
      </c>
      <c r="Z3091">
        <v>2.0383930000000001E-2</v>
      </c>
      <c r="AA3091">
        <v>0.81679060000000003</v>
      </c>
      <c r="AB3091">
        <v>32</v>
      </c>
      <c r="AC3091">
        <v>0.89770000000001404</v>
      </c>
      <c r="AD3091">
        <v>-1.092172163529</v>
      </c>
      <c r="AE3091">
        <v>-31.880799999999901</v>
      </c>
      <c r="AF3091">
        <v>18.588333363781899</v>
      </c>
      <c r="AG3091">
        <v>-1.092172163529</v>
      </c>
      <c r="AH3091">
        <v>25.870516935790501</v>
      </c>
      <c r="AI3091">
        <v>91.963592381204506</v>
      </c>
      <c r="AJ3091">
        <v>54.302218504511004</v>
      </c>
      <c r="AK3091">
        <v>31.8747960590009</v>
      </c>
      <c r="AL3091">
        <v>82.829673567206697</v>
      </c>
      <c r="AM3091">
        <v>64.119563415065301</v>
      </c>
      <c r="AN3091">
        <v>1.00000000690792</v>
      </c>
    </row>
    <row r="3092" spans="1:40" x14ac:dyDescent="0.25">
      <c r="A3092" t="str">
        <f>"20190312164533315"</f>
        <v>20190312164533315</v>
      </c>
      <c r="B3092" t="str">
        <f>"1552380333304570"</f>
        <v>1552380333304570</v>
      </c>
      <c r="C3092" t="s">
        <v>40</v>
      </c>
      <c r="D3092">
        <v>4.8264779999999998</v>
      </c>
      <c r="E3092">
        <v>0.57418859999999905</v>
      </c>
      <c r="F3092" t="s">
        <v>42</v>
      </c>
      <c r="G3092">
        <v>-191.4006</v>
      </c>
      <c r="H3092" s="1">
        <v>-2.8333259999999999E-6</v>
      </c>
      <c r="I3092">
        <v>164.7971</v>
      </c>
      <c r="J3092">
        <v>-191.96</v>
      </c>
      <c r="K3092">
        <v>1.0921419999999999</v>
      </c>
      <c r="L3092">
        <v>205.46979999999999</v>
      </c>
      <c r="M3092">
        <v>0.59029500000000001</v>
      </c>
      <c r="N3092">
        <v>0</v>
      </c>
      <c r="O3092">
        <v>-0.80700819999999995</v>
      </c>
      <c r="P3092">
        <v>0.18736459999999999</v>
      </c>
      <c r="Q3092">
        <v>0.12717899999999999</v>
      </c>
      <c r="R3092">
        <v>-0.97402290000000002</v>
      </c>
      <c r="S3092">
        <v>5.6152340000000002E-2</v>
      </c>
      <c r="T3092">
        <v>-8.2386730000000005E-2</v>
      </c>
      <c r="U3092">
        <v>-3.0884399999999999</v>
      </c>
      <c r="V3092">
        <v>0.42920059999999899</v>
      </c>
      <c r="W3092">
        <v>0.12527869999999999</v>
      </c>
      <c r="X3092">
        <v>0.89447869999999996</v>
      </c>
      <c r="Y3092">
        <v>0.5755924</v>
      </c>
      <c r="Z3092">
        <v>1.6535970000000001E-2</v>
      </c>
      <c r="AA3092">
        <v>0.81756960000000001</v>
      </c>
      <c r="AB3092">
        <v>32</v>
      </c>
      <c r="AC3092">
        <v>0.55940000000001</v>
      </c>
      <c r="AD3092">
        <v>-1.092144833326</v>
      </c>
      <c r="AE3092">
        <v>-40.672699999999899</v>
      </c>
      <c r="AF3092">
        <v>23.5438899769158</v>
      </c>
      <c r="AG3092">
        <v>-1.092144833326</v>
      </c>
      <c r="AH3092">
        <v>33.134328344839602</v>
      </c>
      <c r="AI3092">
        <v>91.539101572807297</v>
      </c>
      <c r="AJ3092">
        <v>54.603965769122802</v>
      </c>
      <c r="AK3092">
        <v>40.661914003717499</v>
      </c>
      <c r="AL3092">
        <v>82.803149555721106</v>
      </c>
      <c r="AM3092">
        <v>64.366760821836195</v>
      </c>
      <c r="AN3092">
        <v>1.00000002623386</v>
      </c>
    </row>
    <row r="3093" spans="1:40" x14ac:dyDescent="0.25">
      <c r="A3093" t="str">
        <f>"20190312164533336"</f>
        <v>20190312164533336</v>
      </c>
      <c r="B3093" t="str">
        <f>"1552380333325062"</f>
        <v>1552380333325062</v>
      </c>
      <c r="C3093" t="s">
        <v>40</v>
      </c>
      <c r="D3093">
        <v>5.0286600000000004</v>
      </c>
      <c r="E3093">
        <v>0.5733511</v>
      </c>
      <c r="F3093" t="s">
        <v>42</v>
      </c>
      <c r="G3093">
        <v>-191.68279999999999</v>
      </c>
      <c r="H3093" s="1">
        <v>-1.76414E-6</v>
      </c>
      <c r="I3093">
        <v>162.37639999999999</v>
      </c>
      <c r="J3093">
        <v>-191.79429999999999</v>
      </c>
      <c r="K3093">
        <v>1.092133</v>
      </c>
      <c r="L3093">
        <v>205.2182</v>
      </c>
      <c r="M3093">
        <v>0.57554240000000001</v>
      </c>
      <c r="N3093">
        <v>0</v>
      </c>
      <c r="O3093">
        <v>-0.8175943</v>
      </c>
      <c r="P3093">
        <v>0.17428150000000001</v>
      </c>
      <c r="Q3093">
        <v>0.12742970000000001</v>
      </c>
      <c r="R3093">
        <v>-0.9764157</v>
      </c>
      <c r="S3093">
        <v>1.985168E-2</v>
      </c>
      <c r="T3093">
        <v>-7.8220490000000004E-2</v>
      </c>
      <c r="U3093">
        <v>-3.086395</v>
      </c>
      <c r="V3093">
        <v>0.42494189999999998</v>
      </c>
      <c r="W3093">
        <v>0.12573190000000001</v>
      </c>
      <c r="X3093">
        <v>0.89644619999999997</v>
      </c>
      <c r="Y3093">
        <v>0.57033750000000005</v>
      </c>
      <c r="Z3093">
        <v>1.615086E-2</v>
      </c>
      <c r="AA3093">
        <v>0.82125159999999997</v>
      </c>
      <c r="AB3093">
        <v>32</v>
      </c>
      <c r="AC3093">
        <v>0.111500000000006</v>
      </c>
      <c r="AD3093">
        <v>-1.0921347641399901</v>
      </c>
      <c r="AE3093">
        <v>-42.841799999999999</v>
      </c>
      <c r="AF3093">
        <v>24.5537234386682</v>
      </c>
      <c r="AG3093">
        <v>-1.0921347641399901</v>
      </c>
      <c r="AH3093">
        <v>35.073690017381502</v>
      </c>
      <c r="AI3093">
        <v>91.461226862503807</v>
      </c>
      <c r="AJ3093">
        <v>55.005633181414701</v>
      </c>
      <c r="AK3093">
        <v>42.828049505914002</v>
      </c>
      <c r="AL3093">
        <v>82.776975668253201</v>
      </c>
      <c r="AM3093">
        <v>64.6376703882122</v>
      </c>
      <c r="AN3093">
        <v>0.99999995927382901</v>
      </c>
    </row>
    <row r="3094" spans="1:40" x14ac:dyDescent="0.25">
      <c r="A3094" t="str">
        <f>"20190312164533360"</f>
        <v>20190312164533360</v>
      </c>
      <c r="B3094" t="str">
        <f>"1552380333354342"</f>
        <v>1552380333354342</v>
      </c>
      <c r="C3094" t="s">
        <v>40</v>
      </c>
      <c r="D3094">
        <v>5.021306</v>
      </c>
      <c r="E3094">
        <v>0.55865369999999903</v>
      </c>
      <c r="F3094" t="s">
        <v>42</v>
      </c>
      <c r="G3094">
        <v>-192.0172</v>
      </c>
      <c r="H3094" s="1">
        <v>-1.0570480000000001E-6</v>
      </c>
      <c r="I3094">
        <v>160.69239999999999</v>
      </c>
      <c r="J3094">
        <v>-191.61150000000001</v>
      </c>
      <c r="K3094">
        <v>1.092123</v>
      </c>
      <c r="L3094">
        <v>204.92840000000001</v>
      </c>
      <c r="M3094">
        <v>0.55848949999999997</v>
      </c>
      <c r="N3094">
        <v>0</v>
      </c>
      <c r="O3094">
        <v>-0.82933599999999996</v>
      </c>
      <c r="P3094">
        <v>0.15913759999999999</v>
      </c>
      <c r="Q3094">
        <v>0.12778889999999901</v>
      </c>
      <c r="R3094">
        <v>-0.97895129999999997</v>
      </c>
      <c r="S3094">
        <v>-1.544189E-2</v>
      </c>
      <c r="T3094">
        <v>-7.5671199999999994E-2</v>
      </c>
      <c r="U3094">
        <v>-3.085083</v>
      </c>
      <c r="V3094">
        <v>0.4202438</v>
      </c>
      <c r="W3094">
        <v>0.12631800000000001</v>
      </c>
      <c r="X3094">
        <v>0.89857600000000004</v>
      </c>
      <c r="Y3094">
        <v>0.56269880000000005</v>
      </c>
      <c r="Z3094">
        <v>1.6120019999999999E-2</v>
      </c>
      <c r="AA3094">
        <v>0.82650480000000004</v>
      </c>
      <c r="AB3094">
        <v>32</v>
      </c>
      <c r="AC3094">
        <v>-0.40569999999999601</v>
      </c>
      <c r="AD3094">
        <v>-1.092124057048</v>
      </c>
      <c r="AE3094">
        <v>-44.235999999999997</v>
      </c>
      <c r="AF3094">
        <v>25.030195718569299</v>
      </c>
      <c r="AG3094">
        <v>-1.092124057048</v>
      </c>
      <c r="AH3094">
        <v>36.443028138765001</v>
      </c>
      <c r="AI3094">
        <v>91.415066302215095</v>
      </c>
      <c r="AJ3094">
        <v>55.517519668713497</v>
      </c>
      <c r="AK3094">
        <v>44.224402003743201</v>
      </c>
      <c r="AL3094">
        <v>82.7431247107438</v>
      </c>
      <c r="AM3094">
        <v>64.935564601152393</v>
      </c>
      <c r="AN3094">
        <v>0.99999995816921905</v>
      </c>
    </row>
    <row r="3095" spans="1:40" x14ac:dyDescent="0.25">
      <c r="A3095" t="str">
        <f>"20190312164533382"</f>
        <v>20190312164533382</v>
      </c>
      <c r="B3095" t="str">
        <f>"1552380333374843"</f>
        <v>1552380333374843</v>
      </c>
      <c r="C3095" t="s">
        <v>40</v>
      </c>
      <c r="D3095">
        <v>5.1670480000000003</v>
      </c>
      <c r="E3095">
        <v>0.55754510000000002</v>
      </c>
      <c r="F3095" t="s">
        <v>71</v>
      </c>
      <c r="G3095">
        <v>-190.81389999999999</v>
      </c>
      <c r="H3095" s="1">
        <v>-1.4311170000000001E-5</v>
      </c>
      <c r="I3095">
        <v>157.8861</v>
      </c>
      <c r="J3095">
        <v>-191.4444</v>
      </c>
      <c r="K3095">
        <v>1.092123</v>
      </c>
      <c r="L3095">
        <v>204.6514</v>
      </c>
      <c r="M3095">
        <v>0.54213610000000001</v>
      </c>
      <c r="N3095">
        <v>0</v>
      </c>
      <c r="O3095">
        <v>-0.84011749999999996</v>
      </c>
      <c r="P3095">
        <v>0.14538799999999999</v>
      </c>
      <c r="Q3095">
        <v>0.128680399999999</v>
      </c>
      <c r="R3095">
        <v>-0.98097109999999998</v>
      </c>
      <c r="S3095">
        <v>5.1971440000000001E-2</v>
      </c>
      <c r="T3095">
        <v>-7.1165800000000001E-2</v>
      </c>
      <c r="U3095">
        <v>-3.065369</v>
      </c>
      <c r="V3095">
        <v>0.41520879999999999</v>
      </c>
      <c r="W3095">
        <v>0.1274536</v>
      </c>
      <c r="X3095">
        <v>0.90075369999999999</v>
      </c>
      <c r="Y3095">
        <v>0.52788389999999996</v>
      </c>
      <c r="Z3095">
        <v>1.5907689999999999E-2</v>
      </c>
      <c r="AA3095">
        <v>0.84916749999999996</v>
      </c>
      <c r="AB3095">
        <v>31</v>
      </c>
      <c r="AC3095">
        <v>0.63050000000001205</v>
      </c>
      <c r="AD3095">
        <v>-1.0921373111699999</v>
      </c>
      <c r="AE3095">
        <v>-46.765300000000003</v>
      </c>
      <c r="AF3095">
        <v>24.813545717769099</v>
      </c>
      <c r="AG3095">
        <v>-1.0921373111699999</v>
      </c>
      <c r="AH3095">
        <v>39.614330553864797</v>
      </c>
      <c r="AI3095">
        <v>91.338426203587801</v>
      </c>
      <c r="AJ3095">
        <v>57.937875743854903</v>
      </c>
      <c r="AK3095">
        <v>46.756817687104601</v>
      </c>
      <c r="AL3095">
        <v>82.677529724757207</v>
      </c>
      <c r="AM3095">
        <v>65.252326284194297</v>
      </c>
      <c r="AN3095">
        <v>0.99999999790704497</v>
      </c>
    </row>
    <row r="3096" spans="1:40" x14ac:dyDescent="0.25">
      <c r="A3096" t="str">
        <f>"20190312164533404"</f>
        <v>20190312164533404</v>
      </c>
      <c r="B3096" t="str">
        <f>"1552380333394361"</f>
        <v>1552380333394361</v>
      </c>
      <c r="C3096" t="s">
        <v>40</v>
      </c>
      <c r="D3096">
        <v>4.766832</v>
      </c>
      <c r="E3096">
        <v>0.55646470000000003</v>
      </c>
      <c r="F3096" t="s">
        <v>71</v>
      </c>
      <c r="G3096">
        <v>-191.17160000000001</v>
      </c>
      <c r="H3096" s="1">
        <v>-1.4262109999999999E-5</v>
      </c>
      <c r="I3096">
        <v>157.6978</v>
      </c>
      <c r="J3096">
        <v>-191.2912</v>
      </c>
      <c r="K3096">
        <v>1.0921110000000001</v>
      </c>
      <c r="L3096">
        <v>204.3861</v>
      </c>
      <c r="M3096">
        <v>0.52642829999999996</v>
      </c>
      <c r="N3096">
        <v>0</v>
      </c>
      <c r="O3096">
        <v>-0.85004799999999903</v>
      </c>
      <c r="P3096">
        <v>0.132300799999999</v>
      </c>
      <c r="Q3096">
        <v>0.1288301</v>
      </c>
      <c r="R3096">
        <v>-0.98280199999999995</v>
      </c>
      <c r="S3096">
        <v>1.7807010000000002E-2</v>
      </c>
      <c r="T3096">
        <v>-7.1289179999999994E-2</v>
      </c>
      <c r="U3096">
        <v>-3.0648960000000001</v>
      </c>
      <c r="V3096">
        <v>0.41045670000000001</v>
      </c>
      <c r="W3096">
        <v>0.1278367</v>
      </c>
      <c r="X3096">
        <v>0.90287490000000004</v>
      </c>
      <c r="Y3096">
        <v>0.52154639999999997</v>
      </c>
      <c r="Z3096">
        <v>1.6324169999999999E-2</v>
      </c>
      <c r="AA3096">
        <v>0.85306669999999996</v>
      </c>
      <c r="AB3096">
        <v>31</v>
      </c>
      <c r="AC3096">
        <v>0.11959999999999101</v>
      </c>
      <c r="AD3096">
        <v>-1.0921252621099999</v>
      </c>
      <c r="AE3096">
        <v>-46.688299999999998</v>
      </c>
      <c r="AF3096">
        <v>24.4665591368401</v>
      </c>
      <c r="AG3096">
        <v>-1.0921252621099999</v>
      </c>
      <c r="AH3096">
        <v>39.734312959417601</v>
      </c>
      <c r="AI3096">
        <v>91.340737911685196</v>
      </c>
      <c r="AJ3096">
        <v>58.377152584109702</v>
      </c>
      <c r="AK3096">
        <v>46.675699030026003</v>
      </c>
      <c r="AL3096">
        <v>82.655398727778206</v>
      </c>
      <c r="AM3096">
        <v>65.552941355477799</v>
      </c>
      <c r="AN3096">
        <v>1.0000000047458899</v>
      </c>
    </row>
    <row r="3097" spans="1:40" x14ac:dyDescent="0.25">
      <c r="A3097" t="str">
        <f>"20190312164533426"</f>
        <v>20190312164533426</v>
      </c>
      <c r="B3097" t="str">
        <f>"1552380333414855"</f>
        <v>1552380333414855</v>
      </c>
      <c r="C3097" t="s">
        <v>40</v>
      </c>
      <c r="D3097">
        <v>4.8964829999999999</v>
      </c>
      <c r="E3097">
        <v>0.55620190000000003</v>
      </c>
      <c r="F3097" t="s">
        <v>71</v>
      </c>
      <c r="G3097">
        <v>-191.5788</v>
      </c>
      <c r="H3097" s="1">
        <v>-1.0527339999999999E-5</v>
      </c>
      <c r="I3097">
        <v>147.91849999999999</v>
      </c>
      <c r="J3097">
        <v>-191.13409999999999</v>
      </c>
      <c r="K3097">
        <v>1.0921149999999999</v>
      </c>
      <c r="L3097">
        <v>204.10149999999999</v>
      </c>
      <c r="M3097">
        <v>0.50952489999999995</v>
      </c>
      <c r="N3097">
        <v>0</v>
      </c>
      <c r="O3097">
        <v>-0.86028609999999905</v>
      </c>
      <c r="P3097">
        <v>0.118316</v>
      </c>
      <c r="Q3097">
        <v>0.12863620000000001</v>
      </c>
      <c r="R3097">
        <v>-0.98460859999999994</v>
      </c>
      <c r="S3097">
        <v>-1.5594480000000001E-2</v>
      </c>
      <c r="T3097">
        <v>-5.9228179999999998E-2</v>
      </c>
      <c r="U3097">
        <v>-3.0623629999999999</v>
      </c>
      <c r="V3097">
        <v>0.40543820000000003</v>
      </c>
      <c r="W3097">
        <v>0.12789200000000001</v>
      </c>
      <c r="X3097">
        <v>0.90513180000000004</v>
      </c>
      <c r="Y3097">
        <v>0.51396640000000005</v>
      </c>
      <c r="Z3097">
        <v>1.3911720000000001E-2</v>
      </c>
      <c r="AA3097">
        <v>0.8576975</v>
      </c>
      <c r="AB3097">
        <v>31</v>
      </c>
      <c r="AC3097">
        <v>-0.44470000000001098</v>
      </c>
      <c r="AD3097">
        <v>-1.0921255273399999</v>
      </c>
      <c r="AE3097">
        <v>-56.1829999999999</v>
      </c>
      <c r="AF3097">
        <v>29.002487591643199</v>
      </c>
      <c r="AG3097">
        <v>-1.0921255273399999</v>
      </c>
      <c r="AH3097">
        <v>48.095725751503203</v>
      </c>
      <c r="AI3097">
        <v>91.114002060043404</v>
      </c>
      <c r="AJ3097">
        <v>58.909354691553901</v>
      </c>
      <c r="AK3097">
        <v>56.174156515560497</v>
      </c>
      <c r="AL3097">
        <v>82.652204282999193</v>
      </c>
      <c r="AM3097">
        <v>65.870828304023505</v>
      </c>
      <c r="AN3097">
        <v>1.0000000365272299</v>
      </c>
    </row>
    <row r="3098" spans="1:40" x14ac:dyDescent="0.25">
      <c r="A3098" t="str">
        <f>"20190312164533449"</f>
        <v>20190312164533449</v>
      </c>
      <c r="B3098" t="str">
        <f>"1552380333445110"</f>
        <v>1552380333445110</v>
      </c>
      <c r="C3098" t="s">
        <v>40</v>
      </c>
      <c r="D3098">
        <v>4.7881900000000002</v>
      </c>
      <c r="E3098">
        <v>0.55491179999999996</v>
      </c>
      <c r="F3098" t="s">
        <v>71</v>
      </c>
      <c r="G3098">
        <v>-192.4452</v>
      </c>
      <c r="H3098" s="1">
        <v>-6.8998959999999997E-6</v>
      </c>
      <c r="I3098">
        <v>134.90299999999999</v>
      </c>
      <c r="J3098">
        <v>-190.9794</v>
      </c>
      <c r="K3098">
        <v>1.0921259999999999</v>
      </c>
      <c r="L3098">
        <v>203.8075</v>
      </c>
      <c r="M3098">
        <v>0.49202059999999997</v>
      </c>
      <c r="N3098">
        <v>0</v>
      </c>
      <c r="O3098">
        <v>-0.87041590000000002</v>
      </c>
      <c r="P3098">
        <v>0.10470640000000001</v>
      </c>
      <c r="Q3098">
        <v>0.1292623</v>
      </c>
      <c r="R3098">
        <v>-0.98606720000000003</v>
      </c>
      <c r="S3098">
        <v>-5.7983399999999997E-2</v>
      </c>
      <c r="T3098">
        <v>-4.8297409999999999E-2</v>
      </c>
      <c r="U3098">
        <v>-3.0601959999999999</v>
      </c>
      <c r="V3098">
        <v>0.39959790000000001</v>
      </c>
      <c r="W3098">
        <v>0.12880759999999999</v>
      </c>
      <c r="X3098">
        <v>0.90759579999999995</v>
      </c>
      <c r="Y3098">
        <v>0.50848979999999999</v>
      </c>
      <c r="Z3098">
        <v>1.161391E-2</v>
      </c>
      <c r="AA3098">
        <v>0.86098960000000002</v>
      </c>
      <c r="AB3098">
        <v>31</v>
      </c>
      <c r="AC3098">
        <v>-1.4658</v>
      </c>
      <c r="AD3098">
        <v>-1.0921328998959901</v>
      </c>
      <c r="AE3098">
        <v>-68.904499999999999</v>
      </c>
      <c r="AF3098">
        <v>35.174591685747103</v>
      </c>
      <c r="AG3098">
        <v>-1.0921328998959901</v>
      </c>
      <c r="AH3098">
        <v>59.248140724549501</v>
      </c>
      <c r="AI3098">
        <v>90.9080817905229</v>
      </c>
      <c r="AJ3098">
        <v>59.3031316679997</v>
      </c>
      <c r="AK3098">
        <v>68.911441966092198</v>
      </c>
      <c r="AL3098">
        <v>82.599306536125596</v>
      </c>
      <c r="AM3098">
        <v>66.236980469798795</v>
      </c>
      <c r="AN3098">
        <v>1.0000000078399001</v>
      </c>
    </row>
    <row r="3099" spans="1:40" x14ac:dyDescent="0.25">
      <c r="A3099" t="str">
        <f>"20190312164533474"</f>
        <v>20190312164533474</v>
      </c>
      <c r="B3099" t="str">
        <f>"1552380333464630"</f>
        <v>1552380333464630</v>
      </c>
      <c r="C3099" t="s">
        <v>40</v>
      </c>
      <c r="D3099">
        <v>5.0013489999999896</v>
      </c>
      <c r="E3099">
        <v>0.55259060000000004</v>
      </c>
      <c r="F3099" t="s">
        <v>71</v>
      </c>
      <c r="G3099">
        <v>-193.39400000000001</v>
      </c>
      <c r="H3099" s="1">
        <v>-2.4483220000000001E-6</v>
      </c>
      <c r="I3099">
        <v>122.41459999999999</v>
      </c>
      <c r="J3099">
        <v>-190.82640000000001</v>
      </c>
      <c r="K3099">
        <v>1.0921479999999999</v>
      </c>
      <c r="L3099">
        <v>203.4999</v>
      </c>
      <c r="M3099">
        <v>0.47366589999999997</v>
      </c>
      <c r="N3099">
        <v>0</v>
      </c>
      <c r="O3099">
        <v>-0.88053879999999995</v>
      </c>
      <c r="P3099">
        <v>9.0593809999999997E-2</v>
      </c>
      <c r="Q3099">
        <v>0.13139970000000001</v>
      </c>
      <c r="R3099">
        <v>-0.98718150000000005</v>
      </c>
      <c r="S3099">
        <v>-9.0698239999999999E-2</v>
      </c>
      <c r="T3099">
        <v>-4.102397E-2</v>
      </c>
      <c r="U3099">
        <v>-3.057388</v>
      </c>
      <c r="V3099">
        <v>0.39348240000000001</v>
      </c>
      <c r="W3099">
        <v>0.13124759999999999</v>
      </c>
      <c r="X3099">
        <v>0.90991520000000004</v>
      </c>
      <c r="Y3099">
        <v>0.49963580000000002</v>
      </c>
      <c r="Z3099">
        <v>1.0109679999999999E-2</v>
      </c>
      <c r="AA3099">
        <v>0.86617659999999996</v>
      </c>
      <c r="AB3099">
        <v>31</v>
      </c>
      <c r="AC3099">
        <v>-2.5675999999999899</v>
      </c>
      <c r="AD3099">
        <v>-1.0921504483219999</v>
      </c>
      <c r="AE3099">
        <v>-81.085300000000004</v>
      </c>
      <c r="AF3099">
        <v>40.666782332649198</v>
      </c>
      <c r="AG3099">
        <v>-1.0921504483219999</v>
      </c>
      <c r="AH3099">
        <v>70.180099200065399</v>
      </c>
      <c r="AI3099">
        <v>90.771432279740196</v>
      </c>
      <c r="AJ3099">
        <v>59.909288102506899</v>
      </c>
      <c r="AK3099">
        <v>81.118594056010707</v>
      </c>
      <c r="AL3099">
        <v>82.458307722633904</v>
      </c>
      <c r="AM3099">
        <v>66.614484166722406</v>
      </c>
      <c r="AN3099">
        <v>1.0000000014032799</v>
      </c>
    </row>
    <row r="3100" spans="1:40" x14ac:dyDescent="0.25">
      <c r="A3100" t="str">
        <f>"20190312164533496"</f>
        <v>20190312164533496</v>
      </c>
      <c r="B3100" t="str">
        <f>"1552380333485127"</f>
        <v>1552380333485127</v>
      </c>
      <c r="C3100" t="s">
        <v>40</v>
      </c>
      <c r="D3100">
        <v>5.2899640000000003</v>
      </c>
      <c r="E3100">
        <v>0.5522011</v>
      </c>
      <c r="F3100" t="s">
        <v>71</v>
      </c>
      <c r="G3100">
        <v>-193.5222</v>
      </c>
      <c r="H3100" s="1">
        <v>-6.1940399999999997E-6</v>
      </c>
      <c r="I3100">
        <v>132.17320000000001</v>
      </c>
      <c r="J3100">
        <v>-190.6884</v>
      </c>
      <c r="K3100">
        <v>1.0921749999999999</v>
      </c>
      <c r="L3100">
        <v>203.20820000000001</v>
      </c>
      <c r="M3100">
        <v>0.45621990000000001</v>
      </c>
      <c r="N3100">
        <v>0</v>
      </c>
      <c r="O3100">
        <v>-0.88970269999999996</v>
      </c>
      <c r="P3100">
        <v>7.8263040000000006E-2</v>
      </c>
      <c r="Q3100">
        <v>0.132411</v>
      </c>
      <c r="R3100">
        <v>-0.98810050000000005</v>
      </c>
      <c r="S3100">
        <v>-0.11549379999999999</v>
      </c>
      <c r="T3100">
        <v>-4.6790239999999997E-2</v>
      </c>
      <c r="U3100">
        <v>-3.0557859999999999</v>
      </c>
      <c r="V3100">
        <v>0.3868626</v>
      </c>
      <c r="W3100">
        <v>0.1325876</v>
      </c>
      <c r="X3100">
        <v>0.91255569999999997</v>
      </c>
      <c r="Y3100">
        <v>0.48956189999999999</v>
      </c>
      <c r="Z3100">
        <v>1.178825E-2</v>
      </c>
      <c r="AA3100">
        <v>0.87188889999999997</v>
      </c>
      <c r="AB3100">
        <v>31</v>
      </c>
      <c r="AC3100">
        <v>-2.8337999999999899</v>
      </c>
      <c r="AD3100">
        <v>-1.0921811940399999</v>
      </c>
      <c r="AE3100">
        <v>-71.034999999999997</v>
      </c>
      <c r="AF3100">
        <v>34.925686457091103</v>
      </c>
      <c r="AG3100">
        <v>-1.0921811940399999</v>
      </c>
      <c r="AH3100">
        <v>61.901641317338303</v>
      </c>
      <c r="AI3100">
        <v>90.8803754998588</v>
      </c>
      <c r="AJ3100">
        <v>60.567760809529901</v>
      </c>
      <c r="AK3100">
        <v>71.083117770959205</v>
      </c>
      <c r="AL3100">
        <v>82.380854659150799</v>
      </c>
      <c r="AM3100">
        <v>67.026302805364693</v>
      </c>
      <c r="AN3100">
        <v>1.0000000242775</v>
      </c>
    </row>
    <row r="3101" spans="1:40" x14ac:dyDescent="0.25">
      <c r="A3101" t="str">
        <f>"20190312164533516"</f>
        <v>20190312164533516</v>
      </c>
      <c r="B3101" t="str">
        <f>"1552380333504646"</f>
        <v>1552380333504646</v>
      </c>
      <c r="C3101" t="s">
        <v>40</v>
      </c>
      <c r="D3101">
        <v>5.0471539999999999</v>
      </c>
      <c r="E3101">
        <v>0.55115539999999996</v>
      </c>
      <c r="F3101" t="s">
        <v>71</v>
      </c>
      <c r="G3101">
        <v>-193.81489999999999</v>
      </c>
      <c r="H3101" s="1">
        <v>-8.6579530000000006E-6</v>
      </c>
      <c r="I3101">
        <v>139.79669999999999</v>
      </c>
      <c r="J3101">
        <v>-190.57230000000001</v>
      </c>
      <c r="K3101">
        <v>1.0921909999999999</v>
      </c>
      <c r="L3101">
        <v>202.95070000000001</v>
      </c>
      <c r="M3101">
        <v>0.44078499999999998</v>
      </c>
      <c r="N3101">
        <v>0</v>
      </c>
      <c r="O3101">
        <v>-0.89744979999999996</v>
      </c>
      <c r="P3101">
        <v>6.9356829999999994E-2</v>
      </c>
      <c r="Q3101">
        <v>0.13232910000000001</v>
      </c>
      <c r="R3101">
        <v>-0.9887764</v>
      </c>
      <c r="S3101">
        <v>-0.15063480000000001</v>
      </c>
      <c r="T3101">
        <v>-5.2620769999999997E-2</v>
      </c>
      <c r="U3101">
        <v>-3.0551300000000001</v>
      </c>
      <c r="V3101">
        <v>0.37929449999999998</v>
      </c>
      <c r="W3101">
        <v>0.13288069999999999</v>
      </c>
      <c r="X3101">
        <v>0.91568459999999996</v>
      </c>
      <c r="Y3101">
        <v>0.48450739999999998</v>
      </c>
      <c r="Z3101">
        <v>1.3479140000000001E-2</v>
      </c>
      <c r="AA3101">
        <v>0.87468330000000005</v>
      </c>
      <c r="AB3101">
        <v>31</v>
      </c>
      <c r="AC3101">
        <v>-3.2425999999999799</v>
      </c>
      <c r="AD3101">
        <v>-1.092199657953</v>
      </c>
      <c r="AE3101">
        <v>-63.154000000000003</v>
      </c>
      <c r="AF3101">
        <v>30.742732810060598</v>
      </c>
      <c r="AG3101">
        <v>-1.092199657953</v>
      </c>
      <c r="AH3101">
        <v>55.239857141917</v>
      </c>
      <c r="AI3101">
        <v>90.989779455414606</v>
      </c>
      <c r="AJ3101">
        <v>60.902674491136302</v>
      </c>
      <c r="AK3101">
        <v>63.227765560574802</v>
      </c>
      <c r="AL3101">
        <v>82.363910717813198</v>
      </c>
      <c r="AM3101">
        <v>67.499705197131803</v>
      </c>
      <c r="AN3101">
        <v>0.99999994241994805</v>
      </c>
    </row>
    <row r="3102" spans="1:40" x14ac:dyDescent="0.25">
      <c r="A3102" t="str">
        <f>"20190312164533538"</f>
        <v>20190312164533538</v>
      </c>
      <c r="B3102" t="str">
        <f>"1552380333534902"</f>
        <v>1552380333534902</v>
      </c>
      <c r="C3102" t="s">
        <v>40</v>
      </c>
      <c r="D3102">
        <v>5.1841119999999998</v>
      </c>
      <c r="E3102">
        <v>0.54955480000000001</v>
      </c>
      <c r="F3102" t="s">
        <v>71</v>
      </c>
      <c r="G3102">
        <v>-194.4348</v>
      </c>
      <c r="H3102" s="1">
        <v>-6.8724149999999998E-6</v>
      </c>
      <c r="I3102">
        <v>133.9169</v>
      </c>
      <c r="J3102">
        <v>-190.44919999999999</v>
      </c>
      <c r="K3102">
        <v>1.092211</v>
      </c>
      <c r="L3102">
        <v>202.6635</v>
      </c>
      <c r="M3102">
        <v>0.42354740000000002</v>
      </c>
      <c r="N3102">
        <v>0</v>
      </c>
      <c r="O3102">
        <v>-0.90571250000000003</v>
      </c>
      <c r="P3102">
        <v>5.9011630000000002E-2</v>
      </c>
      <c r="Q3102">
        <v>0.13149359999999999</v>
      </c>
      <c r="R3102">
        <v>-0.98955910000000002</v>
      </c>
      <c r="S3102">
        <v>-0.17079159999999999</v>
      </c>
      <c r="T3102">
        <v>-4.8294780000000002E-2</v>
      </c>
      <c r="U3102">
        <v>-3.0525359999999999</v>
      </c>
      <c r="V3102">
        <v>0.37134410000000001</v>
      </c>
      <c r="W3102">
        <v>0.13244349999999999</v>
      </c>
      <c r="X3102">
        <v>0.9190007</v>
      </c>
      <c r="Y3102">
        <v>0.4735433</v>
      </c>
      <c r="Z3102">
        <v>1.262287E-2</v>
      </c>
      <c r="AA3102">
        <v>0.88068009999999997</v>
      </c>
      <c r="AB3102">
        <v>31</v>
      </c>
      <c r="AC3102">
        <v>-3.9855999999999998</v>
      </c>
      <c r="AD3102">
        <v>-1.092217872415</v>
      </c>
      <c r="AE3102">
        <v>-68.746600000000001</v>
      </c>
      <c r="AF3102">
        <v>32.723805976605597</v>
      </c>
      <c r="AG3102">
        <v>-1.092217872415</v>
      </c>
      <c r="AH3102">
        <v>60.570187069098203</v>
      </c>
      <c r="AI3102">
        <v>90.908918326642606</v>
      </c>
      <c r="AJ3102">
        <v>61.619306532789501</v>
      </c>
      <c r="AK3102">
        <v>68.8533803023563</v>
      </c>
      <c r="AL3102">
        <v>82.389184286112794</v>
      </c>
      <c r="AM3102">
        <v>67.997657022231195</v>
      </c>
      <c r="AN3102">
        <v>1.00000000394877</v>
      </c>
    </row>
    <row r="3103" spans="1:40" x14ac:dyDescent="0.25">
      <c r="A3103" t="str">
        <f>"20190312164533561"</f>
        <v>20190312164533561</v>
      </c>
      <c r="B3103" t="str">
        <f>"1552380333555399"</f>
        <v>1552380333555399</v>
      </c>
      <c r="C3103" t="s">
        <v>40</v>
      </c>
      <c r="D3103">
        <v>4.9950330000000003</v>
      </c>
      <c r="E3103">
        <v>0.54842360000000001</v>
      </c>
      <c r="F3103" t="s">
        <v>71</v>
      </c>
      <c r="G3103">
        <v>-194.9556</v>
      </c>
      <c r="H3103" s="1">
        <v>-5.9217289999999997E-6</v>
      </c>
      <c r="I3103">
        <v>130.55850000000001</v>
      </c>
      <c r="J3103">
        <v>-190.32480000000001</v>
      </c>
      <c r="K3103">
        <v>1.092247</v>
      </c>
      <c r="L3103">
        <v>202.35669999999999</v>
      </c>
      <c r="M3103">
        <v>0.40512779999999998</v>
      </c>
      <c r="N3103">
        <v>0</v>
      </c>
      <c r="O3103">
        <v>-0.91410020000000003</v>
      </c>
      <c r="P3103">
        <v>4.7112569999999999E-2</v>
      </c>
      <c r="Q3103">
        <v>0.13211049999999999</v>
      </c>
      <c r="R3103">
        <v>-0.99011490000000002</v>
      </c>
      <c r="S3103">
        <v>-0.19056699999999999</v>
      </c>
      <c r="T3103">
        <v>-4.6187039999999999E-2</v>
      </c>
      <c r="U3103">
        <v>-3.0491329999999999</v>
      </c>
      <c r="V3103">
        <v>0.36374260000000003</v>
      </c>
      <c r="W3103">
        <v>0.13344539999999999</v>
      </c>
      <c r="X3103">
        <v>0.92189129999999997</v>
      </c>
      <c r="Y3103">
        <v>0.46141729999999997</v>
      </c>
      <c r="Z3103">
        <v>1.2322410000000001E-2</v>
      </c>
      <c r="AA3103">
        <v>0.88709769999999899</v>
      </c>
      <c r="AB3103">
        <v>31</v>
      </c>
      <c r="AC3103">
        <v>-4.63079999999999</v>
      </c>
      <c r="AD3103">
        <v>-1.092252921729</v>
      </c>
      <c r="AE3103">
        <v>-71.798199999999895</v>
      </c>
      <c r="AF3103">
        <v>33.317653947615703</v>
      </c>
      <c r="AG3103">
        <v>-1.092252921729</v>
      </c>
      <c r="AH3103">
        <v>63.749310263177101</v>
      </c>
      <c r="AI3103">
        <v>90.869956533842995</v>
      </c>
      <c r="AJ3103">
        <v>62.406833125632403</v>
      </c>
      <c r="AK3103">
        <v>71.939096741958906</v>
      </c>
      <c r="AL3103">
        <v>82.331265197782798</v>
      </c>
      <c r="AM3103">
        <v>68.467728119083205</v>
      </c>
      <c r="AN3103">
        <v>0.99999996142580405</v>
      </c>
    </row>
    <row r="3104" spans="1:40" x14ac:dyDescent="0.25">
      <c r="A3104" t="str">
        <f>"20190312164533583"</f>
        <v>20190312164533583</v>
      </c>
      <c r="B3104" t="str">
        <f>"1552380333574919"</f>
        <v>1552380333574919</v>
      </c>
      <c r="C3104" t="s">
        <v>40</v>
      </c>
      <c r="D3104">
        <v>5.0301720000000003</v>
      </c>
      <c r="E3104">
        <v>0.54731149999999995</v>
      </c>
      <c r="F3104" t="s">
        <v>71</v>
      </c>
      <c r="G3104">
        <v>-195.88759999999999</v>
      </c>
      <c r="H3104" s="1">
        <v>-4.0117699999999999E-6</v>
      </c>
      <c r="I3104">
        <v>124.5204</v>
      </c>
      <c r="J3104">
        <v>-190.21170000000001</v>
      </c>
      <c r="K3104">
        <v>1.092306</v>
      </c>
      <c r="L3104">
        <v>202.06139999999999</v>
      </c>
      <c r="M3104">
        <v>0.38741389999999998</v>
      </c>
      <c r="N3104">
        <v>0</v>
      </c>
      <c r="O3104">
        <v>-0.9217476</v>
      </c>
      <c r="P3104">
        <v>3.6073189999999998E-2</v>
      </c>
      <c r="Q3104">
        <v>0.13195270000000001</v>
      </c>
      <c r="R3104">
        <v>-0.99059969999999997</v>
      </c>
      <c r="S3104">
        <v>-0.2176971</v>
      </c>
      <c r="T3104">
        <v>-4.2743799999999998E-2</v>
      </c>
      <c r="U3104">
        <v>-3.0460210000000001</v>
      </c>
      <c r="V3104">
        <v>0.3561897</v>
      </c>
      <c r="W3104">
        <v>0.13367560000000001</v>
      </c>
      <c r="X3104">
        <v>0.92480249999999997</v>
      </c>
      <c r="Y3104">
        <v>0.45219609999999899</v>
      </c>
      <c r="Z3104">
        <v>1.1606190000000001E-2</v>
      </c>
      <c r="AA3104">
        <v>0.89184300000000005</v>
      </c>
      <c r="AB3104">
        <v>31</v>
      </c>
      <c r="AC3104">
        <v>-5.67589999999998</v>
      </c>
      <c r="AD3104">
        <v>-1.09231001177</v>
      </c>
      <c r="AE3104">
        <v>-77.540999999999997</v>
      </c>
      <c r="AF3104">
        <v>35.270394576031499</v>
      </c>
      <c r="AG3104">
        <v>-1.09231001177</v>
      </c>
      <c r="AH3104">
        <v>69.270745717557205</v>
      </c>
      <c r="AI3104">
        <v>90.805070476037301</v>
      </c>
      <c r="AJ3104">
        <v>63.016296018316602</v>
      </c>
      <c r="AK3104">
        <v>77.740787794935798</v>
      </c>
      <c r="AL3104">
        <v>82.317956508409594</v>
      </c>
      <c r="AM3104">
        <v>68.935701043728201</v>
      </c>
      <c r="AN3104">
        <v>0.99999996621384901</v>
      </c>
    </row>
    <row r="3105" spans="1:40" x14ac:dyDescent="0.25">
      <c r="A3105" t="str">
        <f>"20190312164533605"</f>
        <v>20190312164533605</v>
      </c>
      <c r="B3105" t="str">
        <f>"1552380333594442"</f>
        <v>1552380333594442</v>
      </c>
      <c r="C3105" t="s">
        <v>40</v>
      </c>
      <c r="D3105">
        <v>5.0718880000000004</v>
      </c>
      <c r="E3105">
        <v>0.54611969999999899</v>
      </c>
      <c r="F3105" t="s">
        <v>42</v>
      </c>
      <c r="G3105">
        <v>-196.83799999999999</v>
      </c>
      <c r="H3105" s="1">
        <v>-5.2399270000000001E-6</v>
      </c>
      <c r="I3105">
        <v>118.8202</v>
      </c>
      <c r="J3105">
        <v>-190.1086</v>
      </c>
      <c r="K3105">
        <v>1.092363</v>
      </c>
      <c r="L3105">
        <v>201.77600000000001</v>
      </c>
      <c r="M3105">
        <v>0.37033120000000003</v>
      </c>
      <c r="N3105">
        <v>0</v>
      </c>
      <c r="O3105">
        <v>-0.92874290000000004</v>
      </c>
      <c r="P3105">
        <v>2.6447979999999999E-2</v>
      </c>
      <c r="Q3105">
        <v>0.1304273</v>
      </c>
      <c r="R3105">
        <v>-0.99110520000000002</v>
      </c>
      <c r="S3105">
        <v>-0.2422028</v>
      </c>
      <c r="T3105">
        <v>-3.9925580000000002E-2</v>
      </c>
      <c r="U3105">
        <v>-3.0425870000000002</v>
      </c>
      <c r="V3105">
        <v>0.34806510000000002</v>
      </c>
      <c r="W3105">
        <v>0.13257160000000001</v>
      </c>
      <c r="X3105">
        <v>0.92804929999999997</v>
      </c>
      <c r="Y3105">
        <v>0.44291979999999997</v>
      </c>
      <c r="Z3105">
        <v>1.1018139999999999E-2</v>
      </c>
      <c r="AA3105">
        <v>0.8964936</v>
      </c>
      <c r="AB3105">
        <v>31</v>
      </c>
      <c r="AC3105">
        <v>-6.7293999999999903</v>
      </c>
      <c r="AD3105">
        <v>-1.0923682399270001</v>
      </c>
      <c r="AE3105">
        <v>-82.955799999999897</v>
      </c>
      <c r="AF3105">
        <v>36.970023175718502</v>
      </c>
      <c r="AG3105">
        <v>-1.0923682399270001</v>
      </c>
      <c r="AH3105">
        <v>74.5505267867089</v>
      </c>
      <c r="AI3105">
        <v>90.752091268168797</v>
      </c>
      <c r="AJ3105">
        <v>63.622929822032198</v>
      </c>
      <c r="AK3105">
        <v>83.221132689723504</v>
      </c>
      <c r="AL3105">
        <v>82.381779547215302</v>
      </c>
      <c r="AM3105">
        <v>69.4414318578375</v>
      </c>
      <c r="AN3105">
        <v>1.0000000230975199</v>
      </c>
    </row>
    <row r="3106" spans="1:40" x14ac:dyDescent="0.25">
      <c r="A3106" t="str">
        <f>"20190312164533627"</f>
        <v>20190312164533627</v>
      </c>
      <c r="B3106" t="str">
        <f>"1552380333624694"</f>
        <v>1552380333624694</v>
      </c>
      <c r="C3106" t="s">
        <v>40</v>
      </c>
      <c r="D3106">
        <v>5.0289840000000003</v>
      </c>
      <c r="E3106">
        <v>0.54484980000000005</v>
      </c>
      <c r="F3106" t="s">
        <v>71</v>
      </c>
      <c r="G3106">
        <v>-196.7561</v>
      </c>
      <c r="H3106" s="1">
        <v>-4.3844080000000001E-6</v>
      </c>
      <c r="I3106">
        <v>124.9385</v>
      </c>
      <c r="J3106">
        <v>-190.00659999999999</v>
      </c>
      <c r="K3106">
        <v>1.0924529999999999</v>
      </c>
      <c r="L3106">
        <v>201.47640000000001</v>
      </c>
      <c r="M3106">
        <v>0.35247299999999998</v>
      </c>
      <c r="N3106">
        <v>0</v>
      </c>
      <c r="O3106">
        <v>-0.93566660000000001</v>
      </c>
      <c r="P3106">
        <v>1.6112939999999999E-2</v>
      </c>
      <c r="Q3106">
        <v>0.12830659999999999</v>
      </c>
      <c r="R3106">
        <v>-0.99160369999999998</v>
      </c>
      <c r="S3106">
        <v>-0.26296999999999998</v>
      </c>
      <c r="T3106">
        <v>-4.3213130000000002E-2</v>
      </c>
      <c r="U3106">
        <v>-3.0396269999999999</v>
      </c>
      <c r="V3106">
        <v>0.33991959999999999</v>
      </c>
      <c r="W3106">
        <v>0.1308831</v>
      </c>
      <c r="X3106">
        <v>0.93130250000000003</v>
      </c>
      <c r="Y3106">
        <v>0.43186249999999998</v>
      </c>
      <c r="Z3106">
        <v>1.211949E-2</v>
      </c>
      <c r="AA3106">
        <v>0.90185800000000005</v>
      </c>
      <c r="AB3106">
        <v>31</v>
      </c>
      <c r="AC3106">
        <v>-6.74950000000001</v>
      </c>
      <c r="AD3106">
        <v>-1.0924573844079899</v>
      </c>
      <c r="AE3106">
        <v>-76.537899999999993</v>
      </c>
      <c r="AF3106">
        <v>33.290936701125197</v>
      </c>
      <c r="AG3106">
        <v>-1.0924573844079899</v>
      </c>
      <c r="AH3106">
        <v>69.231013408433398</v>
      </c>
      <c r="AI3106">
        <v>90.814754881473206</v>
      </c>
      <c r="AJ3106">
        <v>64.318616292741495</v>
      </c>
      <c r="AK3106">
        <v>76.827164122683598</v>
      </c>
      <c r="AL3106">
        <v>82.479373997796202</v>
      </c>
      <c r="AM3106">
        <v>69.948233412163603</v>
      </c>
      <c r="AN3106">
        <v>1.0000000334179999</v>
      </c>
    </row>
    <row r="3107" spans="1:40" x14ac:dyDescent="0.25">
      <c r="A3107" t="str">
        <f>"20190312164533651"</f>
        <v>20190312164533651</v>
      </c>
      <c r="B3107" t="str">
        <f>"1552380333645191"</f>
        <v>1552380333645191</v>
      </c>
      <c r="C3107" t="s">
        <v>40</v>
      </c>
      <c r="D3107">
        <v>4.8917449999999896</v>
      </c>
      <c r="E3107">
        <v>0.52112079999999905</v>
      </c>
      <c r="F3107" t="s">
        <v>71</v>
      </c>
      <c r="G3107">
        <v>-196.28100000000001</v>
      </c>
      <c r="H3107" s="1">
        <v>-7.366126E-6</v>
      </c>
      <c r="I3107">
        <v>134.58519999999999</v>
      </c>
      <c r="J3107">
        <v>-189.9068</v>
      </c>
      <c r="K3107">
        <v>1.0925910000000001</v>
      </c>
      <c r="L3107">
        <v>201.1628</v>
      </c>
      <c r="M3107">
        <v>0.33392149999999998</v>
      </c>
      <c r="N3107">
        <v>0</v>
      </c>
      <c r="O3107">
        <v>-0.94244749999999999</v>
      </c>
      <c r="P3107">
        <v>4.3351689999999998E-3</v>
      </c>
      <c r="Q3107">
        <v>0.1274768</v>
      </c>
      <c r="R3107">
        <v>-0.99183209999999999</v>
      </c>
      <c r="S3107">
        <v>-0.28482059999999998</v>
      </c>
      <c r="T3107">
        <v>-4.9591059999999999E-2</v>
      </c>
      <c r="U3107">
        <v>-3.0364529999999998</v>
      </c>
      <c r="V3107">
        <v>0.33251989999999998</v>
      </c>
      <c r="W3107">
        <v>0.13046199999999999</v>
      </c>
      <c r="X3107">
        <v>0.934029</v>
      </c>
      <c r="Y3107">
        <v>0.42052659999999997</v>
      </c>
      <c r="Z3107">
        <v>1.412774E-2</v>
      </c>
      <c r="AA3107">
        <v>0.90717020000000004</v>
      </c>
      <c r="AB3107">
        <v>31</v>
      </c>
      <c r="AC3107">
        <v>-6.3741999999999699</v>
      </c>
      <c r="AD3107">
        <v>-1.0925983661259999</v>
      </c>
      <c r="AE3107">
        <v>-66.577600000000004</v>
      </c>
      <c r="AF3107">
        <v>28.235589067039701</v>
      </c>
      <c r="AG3107">
        <v>-1.0925983661259999</v>
      </c>
      <c r="AH3107">
        <v>60.610000581324996</v>
      </c>
      <c r="AI3107">
        <v>90.936161776255801</v>
      </c>
      <c r="AJ3107">
        <v>65.021215800823597</v>
      </c>
      <c r="AK3107">
        <v>66.873121892286605</v>
      </c>
      <c r="AL3107">
        <v>82.503709627291798</v>
      </c>
      <c r="AM3107">
        <v>70.403966929791594</v>
      </c>
      <c r="AN3107">
        <v>0.99999999509050397</v>
      </c>
    </row>
    <row r="3108" spans="1:40" x14ac:dyDescent="0.25">
      <c r="A3108" t="str">
        <f>"20190312164533674"</f>
        <v>20190312164533674</v>
      </c>
      <c r="B3108" t="str">
        <f>"1552380333664710"</f>
        <v>1552380333664710</v>
      </c>
      <c r="C3108" t="s">
        <v>40</v>
      </c>
      <c r="D3108">
        <v>4.925376</v>
      </c>
      <c r="E3108">
        <v>0.52158079999999996</v>
      </c>
      <c r="F3108" t="s">
        <v>42</v>
      </c>
      <c r="G3108">
        <v>-190.58179999999999</v>
      </c>
      <c r="H3108" s="1">
        <v>-2.1398849999999998E-6</v>
      </c>
      <c r="I3108">
        <v>184.21639999999999</v>
      </c>
      <c r="J3108">
        <v>-189.8133</v>
      </c>
      <c r="K3108">
        <v>1.092778</v>
      </c>
      <c r="L3108">
        <v>200.8468</v>
      </c>
      <c r="M3108">
        <v>0.31542229999999999</v>
      </c>
      <c r="N3108">
        <v>0</v>
      </c>
      <c r="O3108">
        <v>-0.94879999999999998</v>
      </c>
      <c r="P3108">
        <v>-6.1724759999999997E-3</v>
      </c>
      <c r="Q3108">
        <v>0.1280684</v>
      </c>
      <c r="R3108">
        <v>-0.99174649999999998</v>
      </c>
      <c r="S3108">
        <v>-0.12150569999999999</v>
      </c>
      <c r="T3108">
        <v>-0.1966784</v>
      </c>
      <c r="U3108">
        <v>-3.0505369999999998</v>
      </c>
      <c r="V3108">
        <v>0.32406020000000002</v>
      </c>
      <c r="W3108">
        <v>0.13151570000000001</v>
      </c>
      <c r="X3108">
        <v>0.93685039999999997</v>
      </c>
      <c r="Y3108">
        <v>0.3528944</v>
      </c>
      <c r="Z3108">
        <v>5.7311639999999997E-2</v>
      </c>
      <c r="AA3108">
        <v>0.93390629999999997</v>
      </c>
      <c r="AB3108">
        <v>31</v>
      </c>
      <c r="AC3108">
        <v>-0.76849999999998797</v>
      </c>
      <c r="AD3108">
        <v>-1.0927801398849999</v>
      </c>
      <c r="AE3108">
        <v>-16.630400000000002</v>
      </c>
      <c r="AF3108">
        <v>5.94997445479384</v>
      </c>
      <c r="AG3108">
        <v>-1.0927801398849999</v>
      </c>
      <c r="AH3108">
        <v>15.472091352761</v>
      </c>
      <c r="AI3108">
        <v>93.771627225006</v>
      </c>
      <c r="AJ3108">
        <v>68.965166282071394</v>
      </c>
      <c r="AK3108">
        <v>16.612705236505199</v>
      </c>
      <c r="AL3108">
        <v>82.442812643278401</v>
      </c>
      <c r="AM3108">
        <v>70.9192978827963</v>
      </c>
      <c r="AN3108">
        <v>1.00000003227534</v>
      </c>
    </row>
    <row r="3109" spans="1:40" x14ac:dyDescent="0.25">
      <c r="A3109" t="str">
        <f>"20190312164533694"</f>
        <v>20190312164533694</v>
      </c>
      <c r="B3109" t="str">
        <f>"1552380333685207"</f>
        <v>1552380333685207</v>
      </c>
      <c r="C3109" t="s">
        <v>40</v>
      </c>
      <c r="D3109">
        <v>4.9262090000000001</v>
      </c>
      <c r="E3109">
        <v>0.52166499999999905</v>
      </c>
      <c r="F3109" t="s">
        <v>42</v>
      </c>
      <c r="G3109">
        <v>-190.95519999999999</v>
      </c>
      <c r="H3109" s="1">
        <v>-4.3523309999999996E-6</v>
      </c>
      <c r="I3109">
        <v>179.2784</v>
      </c>
      <c r="J3109">
        <v>-189.73509999999999</v>
      </c>
      <c r="K3109">
        <v>1.0929530000000001</v>
      </c>
      <c r="L3109">
        <v>200.56440000000001</v>
      </c>
      <c r="M3109">
        <v>0.29904330000000001</v>
      </c>
      <c r="N3109">
        <v>0</v>
      </c>
      <c r="O3109">
        <v>-0.95409010000000005</v>
      </c>
      <c r="P3109">
        <v>-1.5737250000000001E-2</v>
      </c>
      <c r="Q3109">
        <v>0.12996199999999999</v>
      </c>
      <c r="R3109">
        <v>-0.9913942</v>
      </c>
      <c r="S3109">
        <v>-0.16114809999999999</v>
      </c>
      <c r="T3109">
        <v>-0.15422049999999901</v>
      </c>
      <c r="U3109">
        <v>-3.0438689999999999</v>
      </c>
      <c r="V3109">
        <v>0.31689119999999998</v>
      </c>
      <c r="W3109">
        <v>0.133800799999999</v>
      </c>
      <c r="X3109">
        <v>0.93897679999999994</v>
      </c>
      <c r="Y3109">
        <v>0.34904600000000002</v>
      </c>
      <c r="Z3109">
        <v>4.5495500000000001E-2</v>
      </c>
      <c r="AA3109">
        <v>0.93600059999999996</v>
      </c>
      <c r="AB3109">
        <v>31</v>
      </c>
      <c r="AC3109">
        <v>-1.2201</v>
      </c>
      <c r="AD3109">
        <v>-1.0929573523309899</v>
      </c>
      <c r="AE3109">
        <v>-21.285999999999898</v>
      </c>
      <c r="AF3109">
        <v>7.5108578019195802</v>
      </c>
      <c r="AG3109">
        <v>-1.0929573523309899</v>
      </c>
      <c r="AH3109">
        <v>19.8944647539644</v>
      </c>
      <c r="AI3109">
        <v>92.942234526054705</v>
      </c>
      <c r="AJ3109">
        <v>69.316720470603101</v>
      </c>
      <c r="AK3109">
        <v>21.2931272607244</v>
      </c>
      <c r="AL3109">
        <v>82.310718767753698</v>
      </c>
      <c r="AM3109">
        <v>71.351199130831503</v>
      </c>
      <c r="AN3109">
        <v>1.0000000588281499</v>
      </c>
    </row>
    <row r="3110" spans="1:40" x14ac:dyDescent="0.25">
      <c r="A3110" t="str">
        <f>"20190312164533716"</f>
        <v>20190312164533716</v>
      </c>
      <c r="B3110" t="str">
        <f>"1552380333704726"</f>
        <v>1552380333704726</v>
      </c>
      <c r="C3110" t="s">
        <v>40</v>
      </c>
      <c r="D3110">
        <v>5.1286829999999997</v>
      </c>
      <c r="E3110">
        <v>0.52109490000000003</v>
      </c>
      <c r="F3110" t="s">
        <v>42</v>
      </c>
      <c r="G3110">
        <v>-191.4879</v>
      </c>
      <c r="H3110" s="1">
        <v>-1.7909000000000001E-6</v>
      </c>
      <c r="I3110">
        <v>172.8409</v>
      </c>
      <c r="J3110">
        <v>-189.6592</v>
      </c>
      <c r="K3110">
        <v>1.093159</v>
      </c>
      <c r="L3110">
        <v>200.27070000000001</v>
      </c>
      <c r="M3110">
        <v>0.282217</v>
      </c>
      <c r="N3110">
        <v>0</v>
      </c>
      <c r="O3110">
        <v>-0.95920289999999997</v>
      </c>
      <c r="P3110">
        <v>-2.7021139999999999E-2</v>
      </c>
      <c r="Q3110">
        <v>0.13246920000000001</v>
      </c>
      <c r="R3110">
        <v>-0.99081900000000001</v>
      </c>
      <c r="S3110">
        <v>-0.1921234</v>
      </c>
      <c r="T3110">
        <v>-0.1197965</v>
      </c>
      <c r="U3110">
        <v>-3.0387119999999999</v>
      </c>
      <c r="V3110">
        <v>0.31098379999999998</v>
      </c>
      <c r="W3110">
        <v>0.13665070000000001</v>
      </c>
      <c r="X3110">
        <v>0.94054009999999999</v>
      </c>
      <c r="Y3110">
        <v>0.34217940000000002</v>
      </c>
      <c r="Z3110">
        <v>3.5758749999999999E-2</v>
      </c>
      <c r="AA3110">
        <v>0.93895399999999996</v>
      </c>
      <c r="AB3110">
        <v>31</v>
      </c>
      <c r="AC3110">
        <v>-1.82869999999999</v>
      </c>
      <c r="AD3110">
        <v>-1.0931607909000001</v>
      </c>
      <c r="AE3110">
        <v>-27.4298</v>
      </c>
      <c r="AF3110">
        <v>9.4816031345832297</v>
      </c>
      <c r="AG3110">
        <v>-1.0931607909000001</v>
      </c>
      <c r="AH3110">
        <v>25.757580039778901</v>
      </c>
      <c r="AI3110">
        <v>92.280750263232804</v>
      </c>
      <c r="AJ3110">
        <v>69.790872709659993</v>
      </c>
      <c r="AK3110">
        <v>27.4690503662233</v>
      </c>
      <c r="AL3110">
        <v>82.145917351856198</v>
      </c>
      <c r="AM3110">
        <v>71.703849319957996</v>
      </c>
      <c r="AN3110">
        <v>1.0000000086904699</v>
      </c>
    </row>
    <row r="3111" spans="1:40" x14ac:dyDescent="0.25">
      <c r="A3111" t="str">
        <f>"20190312164533739"</f>
        <v>20190312164533739</v>
      </c>
      <c r="B3111" t="str">
        <f>"1552380333734983"</f>
        <v>1552380333734983</v>
      </c>
      <c r="C3111" t="s">
        <v>40</v>
      </c>
      <c r="D3111">
        <v>5.0789479999999996</v>
      </c>
      <c r="E3111">
        <v>0.5219705</v>
      </c>
      <c r="F3111" t="s">
        <v>42</v>
      </c>
      <c r="G3111">
        <v>-192.0282</v>
      </c>
      <c r="H3111" s="1">
        <v>-4.247569E-6</v>
      </c>
      <c r="I3111">
        <v>167.4357</v>
      </c>
      <c r="J3111">
        <v>-189.58279999999999</v>
      </c>
      <c r="K3111">
        <v>1.093423</v>
      </c>
      <c r="L3111">
        <v>199.95230000000001</v>
      </c>
      <c r="M3111">
        <v>0.26426529999999998</v>
      </c>
      <c r="N3111">
        <v>0</v>
      </c>
      <c r="O3111">
        <v>-0.96430459999999996</v>
      </c>
      <c r="P3111">
        <v>-3.8103680000000001E-2</v>
      </c>
      <c r="Q3111">
        <v>0.13363839999999999</v>
      </c>
      <c r="R3111">
        <v>-0.9902976</v>
      </c>
      <c r="S3111">
        <v>-0.2189941</v>
      </c>
      <c r="T3111">
        <v>-0.1010547</v>
      </c>
      <c r="U3111">
        <v>-3.035355</v>
      </c>
      <c r="V3111">
        <v>0.30384650000000002</v>
      </c>
      <c r="W3111">
        <v>0.13823529999999901</v>
      </c>
      <c r="X3111">
        <v>0.942639</v>
      </c>
      <c r="Y3111">
        <v>0.3329801</v>
      </c>
      <c r="Z3111">
        <v>3.0504719999999999E-2</v>
      </c>
      <c r="AA3111">
        <v>0.94244030000000001</v>
      </c>
      <c r="AB3111">
        <v>31</v>
      </c>
      <c r="AC3111">
        <v>-2.4453999999999998</v>
      </c>
      <c r="AD3111">
        <v>-1.0934272475689999</v>
      </c>
      <c r="AE3111">
        <v>-32.516599999999997</v>
      </c>
      <c r="AF3111">
        <v>10.9403543676324</v>
      </c>
      <c r="AG3111">
        <v>-1.0934272475689999</v>
      </c>
      <c r="AH3111">
        <v>30.679484409561798</v>
      </c>
      <c r="AI3111">
        <v>91.922683117088297</v>
      </c>
      <c r="AJ3111">
        <v>70.373682400406096</v>
      </c>
      <c r="AK3111">
        <v>32.590147291346298</v>
      </c>
      <c r="AL3111">
        <v>82.054256402481002</v>
      </c>
      <c r="AM3111">
        <v>72.133999479621195</v>
      </c>
      <c r="AN3111">
        <v>0.99999998902467002</v>
      </c>
    </row>
    <row r="3112" spans="1:40" x14ac:dyDescent="0.25">
      <c r="A3112" t="str">
        <f>"20190312164533763"</f>
        <v>20190312164533763</v>
      </c>
      <c r="B3112" t="str">
        <f>"1552380333754506"</f>
        <v>1552380333754506</v>
      </c>
      <c r="C3112" t="s">
        <v>40</v>
      </c>
      <c r="D3112">
        <v>5.1050649999999997</v>
      </c>
      <c r="E3112">
        <v>0.52285999999999999</v>
      </c>
      <c r="F3112" t="s">
        <v>42</v>
      </c>
      <c r="G3112">
        <v>-193.03649999999999</v>
      </c>
      <c r="H3112" s="1">
        <v>-8.3285659999999895E-7</v>
      </c>
      <c r="I3112">
        <v>159.64439999999999</v>
      </c>
      <c r="J3112">
        <v>-189.51240000000001</v>
      </c>
      <c r="K3112">
        <v>1.0937239999999999</v>
      </c>
      <c r="L3112">
        <v>199.63390000000001</v>
      </c>
      <c r="M3112">
        <v>0.24667420000000001</v>
      </c>
      <c r="N3112">
        <v>0</v>
      </c>
      <c r="O3112">
        <v>-0.96895520000000002</v>
      </c>
      <c r="P3112">
        <v>-4.7910870000000001E-2</v>
      </c>
      <c r="Q3112">
        <v>0.1325441</v>
      </c>
      <c r="R3112">
        <v>-0.99001859999999997</v>
      </c>
      <c r="S3112">
        <v>-0.25965880000000002</v>
      </c>
      <c r="T3112">
        <v>-8.2208160000000002E-2</v>
      </c>
      <c r="U3112">
        <v>-3.0305179999999998</v>
      </c>
      <c r="V3112">
        <v>0.29590100000000003</v>
      </c>
      <c r="W3112">
        <v>0.1376019</v>
      </c>
      <c r="X3112">
        <v>0.94525570000000003</v>
      </c>
      <c r="Y3112">
        <v>0.3285074</v>
      </c>
      <c r="Z3112">
        <v>2.5056760000000001E-2</v>
      </c>
      <c r="AA3112">
        <v>0.94416900000000004</v>
      </c>
      <c r="AB3112">
        <v>31</v>
      </c>
      <c r="AC3112">
        <v>-3.52409999999997</v>
      </c>
      <c r="AD3112">
        <v>-1.0937248328565901</v>
      </c>
      <c r="AE3112">
        <v>-39.9895</v>
      </c>
      <c r="AF3112">
        <v>13.2710660835778</v>
      </c>
      <c r="AG3112">
        <v>-1.0937248328565901</v>
      </c>
      <c r="AH3112">
        <v>37.855889755925197</v>
      </c>
      <c r="AI3112">
        <v>91.561778783273795</v>
      </c>
      <c r="AJ3112">
        <v>70.680963085469301</v>
      </c>
      <c r="AK3112">
        <v>40.1296127344566</v>
      </c>
      <c r="AL3112">
        <v>82.090897889647707</v>
      </c>
      <c r="AM3112">
        <v>72.617894437001993</v>
      </c>
      <c r="AN3112">
        <v>1.0000000115335499</v>
      </c>
    </row>
    <row r="3113" spans="1:40" x14ac:dyDescent="0.25">
      <c r="A3113" t="str">
        <f>"20190312164533783"</f>
        <v>20190312164533783</v>
      </c>
      <c r="B3113" t="str">
        <f>"1552380333774998"</f>
        <v>1552380333774998</v>
      </c>
      <c r="C3113" t="s">
        <v>40</v>
      </c>
      <c r="D3113">
        <v>5.0923959999999999</v>
      </c>
      <c r="E3113">
        <v>0.52335019999999999</v>
      </c>
      <c r="F3113" t="s">
        <v>71</v>
      </c>
      <c r="G3113">
        <v>-193.6636</v>
      </c>
      <c r="H3113" s="1">
        <v>-1.4463250000000001E-5</v>
      </c>
      <c r="I3113">
        <v>157.6515</v>
      </c>
      <c r="J3113">
        <v>-189.45439999999999</v>
      </c>
      <c r="K3113">
        <v>1.0940259999999999</v>
      </c>
      <c r="L3113">
        <v>199.34950000000001</v>
      </c>
      <c r="M3113">
        <v>0.23133970000000001</v>
      </c>
      <c r="N3113">
        <v>0</v>
      </c>
      <c r="O3113">
        <v>-0.97273180000000004</v>
      </c>
      <c r="P3113">
        <v>-6.0465669999999999E-2</v>
      </c>
      <c r="Q3113">
        <v>0.13146070000000001</v>
      </c>
      <c r="R3113">
        <v>-0.98947589999999996</v>
      </c>
      <c r="S3113">
        <v>-0.29924010000000001</v>
      </c>
      <c r="T3113">
        <v>-7.8842640000000005E-2</v>
      </c>
      <c r="U3113">
        <v>-3.0263209999999998</v>
      </c>
      <c r="V3113">
        <v>0.29284579999999999</v>
      </c>
      <c r="W3113">
        <v>0.13677300000000001</v>
      </c>
      <c r="X3113">
        <v>0.94632689999999997</v>
      </c>
      <c r="Y3113">
        <v>0.32594610000000002</v>
      </c>
      <c r="Z3113">
        <v>2.420928E-2</v>
      </c>
      <c r="AA3113">
        <v>0.94507830000000004</v>
      </c>
      <c r="AB3113">
        <v>31</v>
      </c>
      <c r="AC3113">
        <v>-4.2092000000000098</v>
      </c>
      <c r="AD3113">
        <v>-1.09404046325</v>
      </c>
      <c r="AE3113">
        <v>-41.698</v>
      </c>
      <c r="AF3113">
        <v>13.7333552224211</v>
      </c>
      <c r="AG3113">
        <v>-1.09404046325</v>
      </c>
      <c r="AH3113">
        <v>39.5656937082084</v>
      </c>
      <c r="AI3113">
        <v>91.496361001500006</v>
      </c>
      <c r="AJ3113">
        <v>70.857979115589899</v>
      </c>
      <c r="AK3113">
        <v>41.895657159330902</v>
      </c>
      <c r="AL3113">
        <v>82.138844059278398</v>
      </c>
      <c r="AM3113">
        <v>72.805045100275905</v>
      </c>
      <c r="AN3113">
        <v>1.0000000588851199</v>
      </c>
    </row>
    <row r="3114" spans="1:40" x14ac:dyDescent="0.25">
      <c r="A3114" t="str">
        <f>"20190312164533806"</f>
        <v>20190312164533806</v>
      </c>
      <c r="B3114" t="str">
        <f>"1552380333794518"</f>
        <v>1552380333794518</v>
      </c>
      <c r="C3114" t="s">
        <v>40</v>
      </c>
      <c r="D3114">
        <v>4.963533</v>
      </c>
      <c r="E3114">
        <v>0.52325489999999997</v>
      </c>
      <c r="F3114" t="s">
        <v>71</v>
      </c>
      <c r="G3114">
        <v>-194.41829999999999</v>
      </c>
      <c r="H3114" s="1">
        <v>-1.36271E-5</v>
      </c>
      <c r="I3114">
        <v>155.5463</v>
      </c>
      <c r="J3114">
        <v>-189.39750000000001</v>
      </c>
      <c r="K3114">
        <v>1.0943969999999901</v>
      </c>
      <c r="L3114">
        <v>199.04730000000001</v>
      </c>
      <c r="M3114">
        <v>0.21547269999999999</v>
      </c>
      <c r="N3114">
        <v>0</v>
      </c>
      <c r="O3114">
        <v>-0.97637099999999999</v>
      </c>
      <c r="P3114">
        <v>-6.9795299999999894E-2</v>
      </c>
      <c r="Q3114">
        <v>0.13212070000000001</v>
      </c>
      <c r="R3114">
        <v>-0.98877340000000002</v>
      </c>
      <c r="S3114">
        <v>-0.34234619999999999</v>
      </c>
      <c r="T3114">
        <v>-7.5453519999999996E-2</v>
      </c>
      <c r="U3114">
        <v>-3.0210110000000001</v>
      </c>
      <c r="V3114">
        <v>0.28622429999999999</v>
      </c>
      <c r="W3114">
        <v>0.13785220000000001</v>
      </c>
      <c r="X3114">
        <v>0.94819430000000005</v>
      </c>
      <c r="Y3114">
        <v>0.324053599999999</v>
      </c>
      <c r="Z3114">
        <v>2.3336559999999999E-2</v>
      </c>
      <c r="AA3114">
        <v>0.94575089999999995</v>
      </c>
      <c r="AB3114">
        <v>31</v>
      </c>
      <c r="AC3114">
        <v>-5.0207999999999799</v>
      </c>
      <c r="AD3114">
        <v>-1.09441062709999</v>
      </c>
      <c r="AE3114">
        <v>-43.500999999999998</v>
      </c>
      <c r="AF3114">
        <v>14.2684651333097</v>
      </c>
      <c r="AG3114">
        <v>-1.09441062709999</v>
      </c>
      <c r="AH3114">
        <v>41.371041921282298</v>
      </c>
      <c r="AI3114">
        <v>91.432553252532898</v>
      </c>
      <c r="AJ3114">
        <v>70.971189976631393</v>
      </c>
      <c r="AK3114">
        <v>43.776134383173698</v>
      </c>
      <c r="AL3114">
        <v>82.076418719329098</v>
      </c>
      <c r="AM3114">
        <v>73.202903933793607</v>
      </c>
      <c r="AN3114">
        <v>1.0000000047539099</v>
      </c>
    </row>
    <row r="3115" spans="1:40" x14ac:dyDescent="0.25">
      <c r="A3115" t="str">
        <f>"20190312164533828"</f>
        <v>20190312164533828</v>
      </c>
      <c r="B3115" t="str">
        <f>"1552380333825022"</f>
        <v>1552380333825022</v>
      </c>
      <c r="C3115" t="s">
        <v>40</v>
      </c>
      <c r="D3115">
        <v>5.1056730000000003</v>
      </c>
      <c r="E3115">
        <v>0.5225649</v>
      </c>
      <c r="F3115" t="s">
        <v>71</v>
      </c>
      <c r="G3115">
        <v>-195.2424</v>
      </c>
      <c r="H3115" s="1">
        <v>-1.2316879999999999E-5</v>
      </c>
      <c r="I3115">
        <v>151.22919999999999</v>
      </c>
      <c r="J3115">
        <v>-189.3433</v>
      </c>
      <c r="K3115">
        <v>1.0948359999999999</v>
      </c>
      <c r="L3115">
        <v>198.73349999999999</v>
      </c>
      <c r="M3115">
        <v>0.19951189999999999</v>
      </c>
      <c r="N3115">
        <v>0</v>
      </c>
      <c r="O3115">
        <v>-0.97975900000000005</v>
      </c>
      <c r="P3115">
        <v>-7.8039819999999996E-2</v>
      </c>
      <c r="Q3115">
        <v>0.13290150000000001</v>
      </c>
      <c r="R3115">
        <v>-0.98805229999999999</v>
      </c>
      <c r="S3115">
        <v>-0.36880489999999999</v>
      </c>
      <c r="T3115">
        <v>-6.9055800000000001E-2</v>
      </c>
      <c r="U3115">
        <v>-3.017258</v>
      </c>
      <c r="V3115">
        <v>0.27849629999999997</v>
      </c>
      <c r="W3115">
        <v>0.13910839999999999</v>
      </c>
      <c r="X3115">
        <v>0.95030979999999998</v>
      </c>
      <c r="Y3115">
        <v>0.31692340000000002</v>
      </c>
      <c r="Z3115">
        <v>2.151815E-2</v>
      </c>
      <c r="AA3115">
        <v>0.94820700000000002</v>
      </c>
      <c r="AB3115">
        <v>31</v>
      </c>
      <c r="AC3115">
        <v>-5.8990999999999998</v>
      </c>
      <c r="AD3115">
        <v>-1.0948483168799901</v>
      </c>
      <c r="AE3115">
        <v>-47.504300000000001</v>
      </c>
      <c r="AF3115">
        <v>15.251430821265</v>
      </c>
      <c r="AG3115">
        <v>-1.0948483168799901</v>
      </c>
      <c r="AH3115">
        <v>45.348167012312999</v>
      </c>
      <c r="AI3115">
        <v>91.310907299419299</v>
      </c>
      <c r="AJ3115">
        <v>71.411251810842003</v>
      </c>
      <c r="AK3115">
        <v>47.856672327998801</v>
      </c>
      <c r="AL3115">
        <v>82.003743715897599</v>
      </c>
      <c r="AM3115">
        <v>73.666332324558297</v>
      </c>
      <c r="AN3115">
        <v>1.00000002602014</v>
      </c>
    </row>
    <row r="3116" spans="1:40" x14ac:dyDescent="0.25">
      <c r="A3116" t="str">
        <f>"20190312164533841"</f>
        <v>20190312164533841</v>
      </c>
      <c r="B3116" t="str">
        <f>"1552380333834782"</f>
        <v>1552380333834782</v>
      </c>
      <c r="C3116" t="s">
        <v>40</v>
      </c>
      <c r="D3116">
        <v>5.1055699999999904</v>
      </c>
      <c r="E3116">
        <v>0.52223819999999999</v>
      </c>
      <c r="F3116" t="s">
        <v>71</v>
      </c>
      <c r="G3116">
        <v>-195.1671</v>
      </c>
      <c r="H3116" s="1">
        <v>-1.2976029999999999E-5</v>
      </c>
      <c r="I3116">
        <v>153.35040000000001</v>
      </c>
      <c r="J3116">
        <v>-189.31559999999999</v>
      </c>
      <c r="K3116">
        <v>1.09511</v>
      </c>
      <c r="L3116">
        <v>198.55770000000001</v>
      </c>
      <c r="M3116">
        <v>0.19088640000000001</v>
      </c>
      <c r="N3116">
        <v>0</v>
      </c>
      <c r="O3116">
        <v>-0.98147720000000005</v>
      </c>
      <c r="P3116">
        <v>-8.2396940000000002E-2</v>
      </c>
      <c r="Q3116">
        <v>0.1329013</v>
      </c>
      <c r="R3116">
        <v>-0.98769839999999998</v>
      </c>
      <c r="S3116">
        <v>-0.3869629</v>
      </c>
      <c r="T3116">
        <v>-7.2747829999999999E-2</v>
      </c>
      <c r="U3116">
        <v>-3.0155029999999998</v>
      </c>
      <c r="V3116">
        <v>0.274229</v>
      </c>
      <c r="W3116">
        <v>0.1393723</v>
      </c>
      <c r="X3116">
        <v>0.95151129999999995</v>
      </c>
      <c r="Y3116">
        <v>0.31426379999999998</v>
      </c>
      <c r="Z3116">
        <v>2.2745330000000001E-2</v>
      </c>
      <c r="AA3116">
        <v>0.9490632</v>
      </c>
      <c r="AB3116">
        <v>31</v>
      </c>
      <c r="AC3116">
        <v>-5.8515000000000104</v>
      </c>
      <c r="AD3116">
        <v>-1.0951229760299901</v>
      </c>
      <c r="AE3116">
        <v>-45.207299999999996</v>
      </c>
      <c r="AF3116">
        <v>14.366185005606299</v>
      </c>
      <c r="AG3116">
        <v>-1.0951229760299901</v>
      </c>
      <c r="AH3116">
        <v>43.233739604621803</v>
      </c>
      <c r="AI3116">
        <v>91.377006450136093</v>
      </c>
      <c r="AJ3116">
        <v>71.618814234214398</v>
      </c>
      <c r="AK3116">
        <v>45.571293663315998</v>
      </c>
      <c r="AL3116">
        <v>81.988474151914303</v>
      </c>
      <c r="AM3116">
        <v>73.922827101067497</v>
      </c>
      <c r="AN3116">
        <v>0.99999996823798898</v>
      </c>
    </row>
    <row r="3117" spans="1:40" x14ac:dyDescent="0.25">
      <c r="A3117" t="str">
        <f>"20190312164533856"</f>
        <v>20190312164533856</v>
      </c>
      <c r="B3117" t="str">
        <f>"1552380333844541"</f>
        <v>1552380333844541</v>
      </c>
      <c r="C3117" t="s">
        <v>40</v>
      </c>
      <c r="D3117">
        <v>4.9690250000000002</v>
      </c>
      <c r="E3117">
        <v>0.52223819999999999</v>
      </c>
      <c r="F3117" t="s">
        <v>71</v>
      </c>
      <c r="G3117">
        <v>-194.98050000000001</v>
      </c>
      <c r="H3117" s="1">
        <v>-1.370265E-5</v>
      </c>
      <c r="I3117">
        <v>155.6062</v>
      </c>
      <c r="J3117">
        <v>-189.28659999999999</v>
      </c>
      <c r="K3117">
        <v>1.095407</v>
      </c>
      <c r="L3117">
        <v>198.3657</v>
      </c>
      <c r="M3117">
        <v>0.18162020000000001</v>
      </c>
      <c r="N3117">
        <v>0</v>
      </c>
      <c r="O3117">
        <v>-0.98323539999999998</v>
      </c>
      <c r="P3117">
        <v>-8.7022660000000002E-2</v>
      </c>
      <c r="Q3117">
        <v>0.13216739999999999</v>
      </c>
      <c r="R3117">
        <v>-0.98740030000000001</v>
      </c>
      <c r="S3117">
        <v>-0.39758300000000002</v>
      </c>
      <c r="T3117">
        <v>-7.6860670000000006E-2</v>
      </c>
      <c r="U3117">
        <v>-3.014526</v>
      </c>
      <c r="V3117">
        <v>0.26959349999999999</v>
      </c>
      <c r="W3117">
        <v>0.1389261</v>
      </c>
      <c r="X3117">
        <v>0.95290019999999998</v>
      </c>
      <c r="Y3117">
        <v>0.30862590000000001</v>
      </c>
      <c r="Z3117">
        <v>2.4123390000000001E-2</v>
      </c>
      <c r="AA3117">
        <v>0.95087750000000004</v>
      </c>
      <c r="AB3117">
        <v>30</v>
      </c>
      <c r="AC3117">
        <v>-5.69390000000001</v>
      </c>
      <c r="AD3117">
        <v>-1.09542070265</v>
      </c>
      <c r="AE3117">
        <v>-42.759500000000003</v>
      </c>
      <c r="AF3117">
        <v>13.3575720285254</v>
      </c>
      <c r="AG3117">
        <v>-1.09542070265</v>
      </c>
      <c r="AH3117">
        <v>40.9874741026794</v>
      </c>
      <c r="AI3117">
        <v>91.455595797150906</v>
      </c>
      <c r="AJ3117">
        <v>71.949521461477403</v>
      </c>
      <c r="AK3117">
        <v>43.123053119310299</v>
      </c>
      <c r="AL3117">
        <v>82.014290572036401</v>
      </c>
      <c r="AM3117">
        <v>74.202787844435306</v>
      </c>
      <c r="AN3117">
        <v>0.999999953831748</v>
      </c>
    </row>
    <row r="3118" spans="1:40" x14ac:dyDescent="0.25">
      <c r="A3118" t="str">
        <f>"20190312164533874"</f>
        <v>20190312164533874</v>
      </c>
      <c r="B3118" t="str">
        <f>"1552380333865038"</f>
        <v>1552380333865038</v>
      </c>
      <c r="C3118" t="s">
        <v>40</v>
      </c>
      <c r="D3118">
        <v>5.1062880000000002</v>
      </c>
      <c r="E3118">
        <v>0.51435710000000001</v>
      </c>
      <c r="F3118" t="s">
        <v>71</v>
      </c>
      <c r="G3118">
        <v>-195.0044</v>
      </c>
      <c r="H3118" s="1">
        <v>-1.4118919999999999E-5</v>
      </c>
      <c r="I3118">
        <v>156.57159999999999</v>
      </c>
      <c r="J3118">
        <v>-189.249</v>
      </c>
      <c r="K3118">
        <v>1.0958159999999999</v>
      </c>
      <c r="L3118">
        <v>198.09819999999999</v>
      </c>
      <c r="M3118">
        <v>0.16909250000000001</v>
      </c>
      <c r="N3118">
        <v>0</v>
      </c>
      <c r="O3118">
        <v>-0.98546889999999998</v>
      </c>
      <c r="P3118">
        <v>-9.0288640000000003E-2</v>
      </c>
      <c r="Q3118">
        <v>0.1303831</v>
      </c>
      <c r="R3118">
        <v>-0.98734440000000001</v>
      </c>
      <c r="S3118">
        <v>-0.4121399</v>
      </c>
      <c r="T3118">
        <v>-7.8958269999999997E-2</v>
      </c>
      <c r="U3118">
        <v>-3.012527</v>
      </c>
      <c r="V3118">
        <v>0.26043179999999999</v>
      </c>
      <c r="W3118">
        <v>0.13763499999999901</v>
      </c>
      <c r="X3118">
        <v>0.95563169999999997</v>
      </c>
      <c r="Y3118">
        <v>0.30110340000000002</v>
      </c>
      <c r="Z3118">
        <v>2.4908799999999998E-2</v>
      </c>
      <c r="AA3118">
        <v>0.95326610000000001</v>
      </c>
      <c r="AB3118">
        <v>30</v>
      </c>
      <c r="AC3118">
        <v>-5.7553999999999803</v>
      </c>
      <c r="AD3118">
        <v>-1.0958301189199999</v>
      </c>
      <c r="AE3118">
        <v>-41.526600000000002</v>
      </c>
      <c r="AF3118">
        <v>12.6865790965711</v>
      </c>
      <c r="AG3118">
        <v>-1.0958301189199999</v>
      </c>
      <c r="AH3118">
        <v>39.9278677039607</v>
      </c>
      <c r="AI3118">
        <v>91.498323311799894</v>
      </c>
      <c r="AJ3118">
        <v>72.372998232170204</v>
      </c>
      <c r="AK3118">
        <v>41.909244233320202</v>
      </c>
      <c r="AL3118">
        <v>82.088983335401693</v>
      </c>
      <c r="AM3118">
        <v>74.755765382438099</v>
      </c>
      <c r="AN3118">
        <v>1.0000000308605601</v>
      </c>
    </row>
    <row r="3119" spans="1:40" x14ac:dyDescent="0.25">
      <c r="A3119" t="str">
        <f>"20190312164533897"</f>
        <v>20190312164533897</v>
      </c>
      <c r="B3119" t="str">
        <f>"1552380333884557"</f>
        <v>1552380333884557</v>
      </c>
      <c r="C3119" t="s">
        <v>40</v>
      </c>
      <c r="D3119">
        <v>5.345993</v>
      </c>
      <c r="E3119">
        <v>0.51538830000000002</v>
      </c>
      <c r="F3119" t="s">
        <v>42</v>
      </c>
      <c r="G3119">
        <v>-191.55410000000001</v>
      </c>
      <c r="H3119" s="1">
        <v>-4.1991000000000002E-6</v>
      </c>
      <c r="I3119">
        <v>178.51589999999999</v>
      </c>
      <c r="J3119">
        <v>-189.21039999999999</v>
      </c>
      <c r="K3119">
        <v>1.0962769999999999</v>
      </c>
      <c r="L3119">
        <v>197.79689999999999</v>
      </c>
      <c r="M3119">
        <v>0.15549470000000001</v>
      </c>
      <c r="N3119">
        <v>0</v>
      </c>
      <c r="O3119">
        <v>-0.98770769999999997</v>
      </c>
      <c r="P3119">
        <v>-9.5765409999999995E-2</v>
      </c>
      <c r="Q3119">
        <v>0.12925339999999999</v>
      </c>
      <c r="R3119">
        <v>-0.98697670000000004</v>
      </c>
      <c r="S3119">
        <v>-0.35647579999999901</v>
      </c>
      <c r="T3119">
        <v>-0.16945950000000001</v>
      </c>
      <c r="U3119">
        <v>-3.0282290000000001</v>
      </c>
      <c r="V3119">
        <v>0.25237090000000001</v>
      </c>
      <c r="W3119">
        <v>0.13695389999999999</v>
      </c>
      <c r="X3119">
        <v>0.95788960000000001</v>
      </c>
      <c r="Y3119">
        <v>0.26976129999999998</v>
      </c>
      <c r="Z3119">
        <v>5.3629629999999998E-2</v>
      </c>
      <c r="AA3119">
        <v>0.96143259999999997</v>
      </c>
      <c r="AB3119">
        <v>30</v>
      </c>
      <c r="AC3119">
        <v>-2.3437000000000099</v>
      </c>
      <c r="AD3119">
        <v>-1.0962811991000001</v>
      </c>
      <c r="AE3119">
        <v>-19.280999999999999</v>
      </c>
      <c r="AF3119">
        <v>5.2967867506339301</v>
      </c>
      <c r="AG3119">
        <v>-1.0962811991000001</v>
      </c>
      <c r="AH3119">
        <v>18.622612963071699</v>
      </c>
      <c r="AI3119">
        <v>93.240767793273903</v>
      </c>
      <c r="AJ3119">
        <v>74.122780334635607</v>
      </c>
      <c r="AK3119">
        <v>19.3922535029212</v>
      </c>
      <c r="AL3119">
        <v>82.128380040333496</v>
      </c>
      <c r="AM3119">
        <v>75.239953307941605</v>
      </c>
      <c r="AN3119">
        <v>0.99999996384008905</v>
      </c>
    </row>
    <row r="3120" spans="1:40" x14ac:dyDescent="0.25">
      <c r="A3120" t="str">
        <f>"20190312164533917"</f>
        <v>20190312164533917</v>
      </c>
      <c r="B3120" t="str">
        <f>"1552380333914814"</f>
        <v>1552380333914814</v>
      </c>
      <c r="C3120" t="s">
        <v>40</v>
      </c>
      <c r="D3120">
        <v>5.1447960000000004</v>
      </c>
      <c r="E3120">
        <v>0.51497190000000004</v>
      </c>
      <c r="F3120" t="s">
        <v>42</v>
      </c>
      <c r="G3120">
        <v>-192.2371</v>
      </c>
      <c r="H3120" s="1">
        <v>-2.4125370000000002E-6</v>
      </c>
      <c r="I3120">
        <v>173.8253</v>
      </c>
      <c r="J3120">
        <v>-189.1772</v>
      </c>
      <c r="K3120">
        <v>1.0967129999999901</v>
      </c>
      <c r="L3120">
        <v>197.50890000000001</v>
      </c>
      <c r="M3120">
        <v>0.1429772</v>
      </c>
      <c r="N3120">
        <v>0</v>
      </c>
      <c r="O3120">
        <v>-0.98959909999999995</v>
      </c>
      <c r="P3120">
        <v>-0.1002446</v>
      </c>
      <c r="Q3120">
        <v>0.1286205</v>
      </c>
      <c r="R3120">
        <v>-0.98661449999999995</v>
      </c>
      <c r="S3120">
        <v>-0.38139339999999999</v>
      </c>
      <c r="T3120">
        <v>-0.13814290000000001</v>
      </c>
      <c r="U3120">
        <v>-3.0206759999999999</v>
      </c>
      <c r="V3120">
        <v>0.2444171</v>
      </c>
      <c r="W3120">
        <v>0.136734299999999</v>
      </c>
      <c r="X3120">
        <v>0.95998130000000004</v>
      </c>
      <c r="Y3120">
        <v>0.26572279999999998</v>
      </c>
      <c r="Z3120">
        <v>4.3982960000000001E-2</v>
      </c>
      <c r="AA3120">
        <v>0.9630457</v>
      </c>
      <c r="AB3120">
        <v>30</v>
      </c>
      <c r="AC3120">
        <v>-3.0598999999999901</v>
      </c>
      <c r="AD3120">
        <v>-1.09671541253699</v>
      </c>
      <c r="AE3120">
        <v>-23.683599999999998</v>
      </c>
      <c r="AF3120">
        <v>6.4015929220222496</v>
      </c>
      <c r="AG3120">
        <v>-1.09671541253699</v>
      </c>
      <c r="AH3120">
        <v>22.954248512474301</v>
      </c>
      <c r="AI3120">
        <v>92.635012945791402</v>
      </c>
      <c r="AJ3120">
        <v>74.417017221302103</v>
      </c>
      <c r="AK3120">
        <v>23.855412413282899</v>
      </c>
      <c r="AL3120">
        <v>82.141082301299093</v>
      </c>
      <c r="AM3120">
        <v>75.715640734535398</v>
      </c>
      <c r="AN3120">
        <v>1.00000004195929</v>
      </c>
    </row>
    <row r="3121" spans="1:40" x14ac:dyDescent="0.25">
      <c r="A3121" t="str">
        <f>"20190312164533941"</f>
        <v>20190312164533941</v>
      </c>
      <c r="B3121" t="str">
        <f>"1552380333934337"</f>
        <v>1552380333934337</v>
      </c>
      <c r="C3121" t="s">
        <v>40</v>
      </c>
      <c r="D3121">
        <v>5.1203699999999897</v>
      </c>
      <c r="E3121">
        <v>0.51430120000000001</v>
      </c>
      <c r="F3121" t="s">
        <v>42</v>
      </c>
      <c r="G3121">
        <v>-191.94800000000001</v>
      </c>
      <c r="H3121" s="1">
        <v>-3.2716120000000001E-6</v>
      </c>
      <c r="I3121">
        <v>176.00710000000001</v>
      </c>
      <c r="J3121">
        <v>-189.1438</v>
      </c>
      <c r="K3121">
        <v>1.097202</v>
      </c>
      <c r="L3121">
        <v>197.1849</v>
      </c>
      <c r="M3121">
        <v>0.12946299999999999</v>
      </c>
      <c r="N3121">
        <v>0</v>
      </c>
      <c r="O3121">
        <v>-0.9914596</v>
      </c>
      <c r="P3121">
        <v>-0.1049583</v>
      </c>
      <c r="Q3121">
        <v>0.12785289999999999</v>
      </c>
      <c r="R3121">
        <v>-0.98622399999999999</v>
      </c>
      <c r="S3121">
        <v>-0.38932800000000001</v>
      </c>
      <c r="T3121">
        <v>-0.1541003</v>
      </c>
      <c r="U3121">
        <v>-3.0212249999999998</v>
      </c>
      <c r="V3121">
        <v>0.23571429999999999</v>
      </c>
      <c r="W3121">
        <v>0.13640079999999999</v>
      </c>
      <c r="X3121">
        <v>0.96220249999999996</v>
      </c>
      <c r="Y3121">
        <v>0.25498959999999998</v>
      </c>
      <c r="Z3121">
        <v>4.9249660000000001E-2</v>
      </c>
      <c r="AA3121">
        <v>0.96568880000000001</v>
      </c>
      <c r="AB3121">
        <v>30</v>
      </c>
      <c r="AC3121">
        <v>-2.8041999999999798</v>
      </c>
      <c r="AD3121">
        <v>-1.097205271612</v>
      </c>
      <c r="AE3121">
        <v>-21.177799999999898</v>
      </c>
      <c r="AF3121">
        <v>5.5081449794320898</v>
      </c>
      <c r="AG3121">
        <v>-1.097205271612</v>
      </c>
      <c r="AH3121">
        <v>20.5821491660008</v>
      </c>
      <c r="AI3121">
        <v>92.947922766389894</v>
      </c>
      <c r="AJ3121">
        <v>75.017728629911105</v>
      </c>
      <c r="AK3121">
        <v>21.334675643515201</v>
      </c>
      <c r="AL3121">
        <v>82.160371072536194</v>
      </c>
      <c r="AM3121">
        <v>76.235121242921196</v>
      </c>
      <c r="AN3121">
        <v>1.00000003023568</v>
      </c>
    </row>
    <row r="3122" spans="1:40" x14ac:dyDescent="0.25">
      <c r="A3122" t="str">
        <f>"20190312164533953"</f>
        <v>20190312164533953</v>
      </c>
      <c r="B3122" t="str">
        <f>"1552380333945070"</f>
        <v>1552380333945070</v>
      </c>
      <c r="C3122" t="s">
        <v>40</v>
      </c>
      <c r="D3122">
        <v>5.2104889999999999</v>
      </c>
      <c r="E3122">
        <v>0.51401730000000001</v>
      </c>
      <c r="F3122" t="s">
        <v>42</v>
      </c>
      <c r="G3122">
        <v>-191.9803</v>
      </c>
      <c r="H3122" s="1">
        <v>-3.151499E-6</v>
      </c>
      <c r="I3122">
        <v>175.7071</v>
      </c>
      <c r="J3122">
        <v>-189.12819999999999</v>
      </c>
      <c r="K3122">
        <v>1.097456</v>
      </c>
      <c r="L3122">
        <v>197.0179</v>
      </c>
      <c r="M3122">
        <v>0.1227162</v>
      </c>
      <c r="N3122">
        <v>0</v>
      </c>
      <c r="O3122">
        <v>-0.99231829999999999</v>
      </c>
      <c r="P3122">
        <v>-0.1070424</v>
      </c>
      <c r="Q3122">
        <v>0.12768180000000001</v>
      </c>
      <c r="R3122">
        <v>-0.98602210000000001</v>
      </c>
      <c r="S3122">
        <v>-0.3987579</v>
      </c>
      <c r="T3122">
        <v>-0.15425129999999901</v>
      </c>
      <c r="U3122">
        <v>-3.0194700000000001</v>
      </c>
      <c r="V3122">
        <v>0.23110820000000001</v>
      </c>
      <c r="W3122">
        <v>0.1364494</v>
      </c>
      <c r="X3122">
        <v>0.96331230000000001</v>
      </c>
      <c r="Y3122">
        <v>0.25144680000000003</v>
      </c>
      <c r="Z3122">
        <v>4.9405369999999997E-2</v>
      </c>
      <c r="AA3122">
        <v>0.96660939999999995</v>
      </c>
      <c r="AB3122">
        <v>30</v>
      </c>
      <c r="AC3122">
        <v>-2.8521000000000001</v>
      </c>
      <c r="AD3122">
        <v>-1.097459151499</v>
      </c>
      <c r="AE3122">
        <v>-21.3108</v>
      </c>
      <c r="AF3122">
        <v>5.4318869369852898</v>
      </c>
      <c r="AG3122">
        <v>-1.097459151499</v>
      </c>
      <c r="AH3122">
        <v>20.745597686864901</v>
      </c>
      <c r="AI3122">
        <v>92.929594885359805</v>
      </c>
      <c r="AJ3122">
        <v>75.327442097627497</v>
      </c>
      <c r="AK3122">
        <v>21.472997826820901</v>
      </c>
      <c r="AL3122">
        <v>82.157560082097504</v>
      </c>
      <c r="AM3122">
        <v>76.509145625251193</v>
      </c>
      <c r="AN3122">
        <v>1.00000001309944</v>
      </c>
    </row>
    <row r="3123" spans="1:40" x14ac:dyDescent="0.25">
      <c r="A3123" t="str">
        <f>"20190312164533965"</f>
        <v>20190312164533965</v>
      </c>
      <c r="B3123" t="str">
        <f>"1552380333954830"</f>
        <v>1552380333954830</v>
      </c>
      <c r="C3123" t="s">
        <v>40</v>
      </c>
      <c r="D3123">
        <v>5.1361980000000003</v>
      </c>
      <c r="E3123">
        <v>0.51389249999999997</v>
      </c>
      <c r="F3123" t="s">
        <v>42</v>
      </c>
      <c r="G3123">
        <v>-192.1011</v>
      </c>
      <c r="H3123" s="1">
        <v>-2.8021989999999998E-6</v>
      </c>
      <c r="I3123">
        <v>174.81790000000001</v>
      </c>
      <c r="J3123">
        <v>-189.1129</v>
      </c>
      <c r="K3123">
        <v>1.0977220000000001</v>
      </c>
      <c r="L3123">
        <v>196.8426</v>
      </c>
      <c r="M3123">
        <v>0.11580600000000001</v>
      </c>
      <c r="N3123">
        <v>0</v>
      </c>
      <c r="O3123">
        <v>-0.99314950000000002</v>
      </c>
      <c r="P3123">
        <v>-0.1098254</v>
      </c>
      <c r="Q3123">
        <v>0.12770500000000001</v>
      </c>
      <c r="R3123">
        <v>-0.9857129</v>
      </c>
      <c r="S3123">
        <v>-0.4041595</v>
      </c>
      <c r="T3123">
        <v>-0.1491941</v>
      </c>
      <c r="U3123">
        <v>-3.0179749999999999</v>
      </c>
      <c r="V3123">
        <v>0.2270266</v>
      </c>
      <c r="W3123">
        <v>0.1366743</v>
      </c>
      <c r="X3123">
        <v>0.96425050000000001</v>
      </c>
      <c r="Y3123">
        <v>0.24647910000000001</v>
      </c>
      <c r="Z3123">
        <v>4.7900199999999997E-2</v>
      </c>
      <c r="AA3123">
        <v>0.96796360000000004</v>
      </c>
      <c r="AB3123">
        <v>30</v>
      </c>
      <c r="AC3123">
        <v>-2.9882</v>
      </c>
      <c r="AD3123">
        <v>-1.09772480219899</v>
      </c>
      <c r="AE3123">
        <v>-22.024699999999999</v>
      </c>
      <c r="AF3123">
        <v>5.5055633513930804</v>
      </c>
      <c r="AG3123">
        <v>-1.09772480219899</v>
      </c>
      <c r="AH3123">
        <v>21.477995975039999</v>
      </c>
      <c r="AI3123">
        <v>92.834319805076603</v>
      </c>
      <c r="AJ3123">
        <v>75.622648219138199</v>
      </c>
      <c r="AK3123">
        <v>22.199561677235899</v>
      </c>
      <c r="AL3123">
        <v>82.144552170074405</v>
      </c>
      <c r="AM3123">
        <v>76.751365451460501</v>
      </c>
      <c r="AN3123">
        <v>0.99999998406914903</v>
      </c>
    </row>
    <row r="3124" spans="1:40" x14ac:dyDescent="0.25">
      <c r="A3124" t="str">
        <f>"20190312164533986"</f>
        <v>20190312164533986</v>
      </c>
      <c r="B3124" t="str">
        <f>"1552380333975326"</f>
        <v>1552380333975326</v>
      </c>
      <c r="C3124" t="s">
        <v>40</v>
      </c>
      <c r="D3124">
        <v>5.1799629999999999</v>
      </c>
      <c r="E3124">
        <v>0.51335489999999995</v>
      </c>
      <c r="F3124" t="s">
        <v>42</v>
      </c>
      <c r="G3124">
        <v>-191.9864</v>
      </c>
      <c r="H3124" s="1">
        <v>-3.1744539999999998E-6</v>
      </c>
      <c r="I3124">
        <v>175.7568</v>
      </c>
      <c r="J3124">
        <v>-189.0917</v>
      </c>
      <c r="K3124">
        <v>1.0981369999999999</v>
      </c>
      <c r="L3124">
        <v>196.57380000000001</v>
      </c>
      <c r="M3124">
        <v>0.1055658</v>
      </c>
      <c r="N3124">
        <v>0</v>
      </c>
      <c r="O3124">
        <v>-0.9942917</v>
      </c>
      <c r="P3124">
        <v>-0.1122205</v>
      </c>
      <c r="Q3124">
        <v>0.12797500000000001</v>
      </c>
      <c r="R3124">
        <v>-0.98540810000000001</v>
      </c>
      <c r="S3124">
        <v>-0.41128540000000002</v>
      </c>
      <c r="T3124">
        <v>-0.15711710000000001</v>
      </c>
      <c r="U3124">
        <v>-3.018005</v>
      </c>
      <c r="V3124">
        <v>0.21927969999999999</v>
      </c>
      <c r="W3124">
        <v>0.13729160000000001</v>
      </c>
      <c r="X3124">
        <v>0.96595419999999999</v>
      </c>
      <c r="Y3124">
        <v>0.23871029999999999</v>
      </c>
      <c r="Z3124">
        <v>5.0568000000000002E-2</v>
      </c>
      <c r="AA3124">
        <v>0.96977329999999995</v>
      </c>
      <c r="AB3124">
        <v>30</v>
      </c>
      <c r="AC3124">
        <v>-2.8946999999999998</v>
      </c>
      <c r="AD3124">
        <v>-1.098140174454</v>
      </c>
      <c r="AE3124">
        <v>-20.817</v>
      </c>
      <c r="AF3124">
        <v>5.0625276545609204</v>
      </c>
      <c r="AG3124">
        <v>-1.098140174454</v>
      </c>
      <c r="AH3124">
        <v>20.339508541826898</v>
      </c>
      <c r="AI3124">
        <v>92.999098014711507</v>
      </c>
      <c r="AJ3124">
        <v>76.023026245015998</v>
      </c>
      <c r="AK3124">
        <v>20.988823354799901</v>
      </c>
      <c r="AL3124">
        <v>82.108847376156703</v>
      </c>
      <c r="AM3124">
        <v>77.210136724088201</v>
      </c>
      <c r="AN3124">
        <v>1.0000000433801399</v>
      </c>
    </row>
    <row r="3125" spans="1:40" x14ac:dyDescent="0.25">
      <c r="A3125" t="str">
        <f>"20190312164534007"</f>
        <v>20190312164534007</v>
      </c>
      <c r="B3125" t="str">
        <f>"1552380334004606"</f>
        <v>1552380334004606</v>
      </c>
      <c r="C3125" t="s">
        <v>40</v>
      </c>
      <c r="D3125">
        <v>5.246918</v>
      </c>
      <c r="E3125">
        <v>0.51246970000000003</v>
      </c>
      <c r="F3125" t="s">
        <v>42</v>
      </c>
      <c r="G3125">
        <v>-191.97069999999999</v>
      </c>
      <c r="H3125" s="1">
        <v>-3.0660509999999999E-6</v>
      </c>
      <c r="I3125">
        <v>175.51390000000001</v>
      </c>
      <c r="J3125">
        <v>-189.071</v>
      </c>
      <c r="K3125">
        <v>1.0986229999999999</v>
      </c>
      <c r="L3125">
        <v>196.27369999999999</v>
      </c>
      <c r="M3125">
        <v>9.4586089999999998E-2</v>
      </c>
      <c r="N3125">
        <v>0</v>
      </c>
      <c r="O3125">
        <v>-0.99539800000000001</v>
      </c>
      <c r="P3125">
        <v>-0.115007</v>
      </c>
      <c r="Q3125">
        <v>0.12819649999999999</v>
      </c>
      <c r="R3125">
        <v>-0.98505799999999999</v>
      </c>
      <c r="S3125">
        <v>-0.41255190000000003</v>
      </c>
      <c r="T3125">
        <v>-0.15736310000000001</v>
      </c>
      <c r="U3125">
        <v>-3.0178829999999999</v>
      </c>
      <c r="V3125">
        <v>0.2111741</v>
      </c>
      <c r="W3125">
        <v>0.1378759</v>
      </c>
      <c r="X3125">
        <v>0.96767539999999996</v>
      </c>
      <c r="Y3125">
        <v>0.22838359999999999</v>
      </c>
      <c r="Z3125">
        <v>5.0797990000000001E-2</v>
      </c>
      <c r="AA3125">
        <v>0.97224509999999997</v>
      </c>
      <c r="AB3125">
        <v>30</v>
      </c>
      <c r="AC3125">
        <v>-2.89969999999999</v>
      </c>
      <c r="AD3125">
        <v>-1.0986260660510001</v>
      </c>
      <c r="AE3125">
        <v>-20.759799999999899</v>
      </c>
      <c r="AF3125">
        <v>4.8372290294911497</v>
      </c>
      <c r="AG3125">
        <v>-1.0986260660510001</v>
      </c>
      <c r="AH3125">
        <v>20.3365366634441</v>
      </c>
      <c r="AI3125">
        <v>93.0084693765493</v>
      </c>
      <c r="AJ3125">
        <v>76.620310209279197</v>
      </c>
      <c r="AK3125">
        <v>20.932761102644001</v>
      </c>
      <c r="AL3125">
        <v>82.075047456955005</v>
      </c>
      <c r="AM3125">
        <v>77.689445261511395</v>
      </c>
      <c r="AN3125">
        <v>0.99999997203838897</v>
      </c>
    </row>
    <row r="3126" spans="1:40" x14ac:dyDescent="0.25">
      <c r="A3126" t="str">
        <f>"20190312164534030"</f>
        <v>20190312164534030</v>
      </c>
      <c r="B3126" t="str">
        <f>"1552380334025102"</f>
        <v>1552380334025102</v>
      </c>
      <c r="C3126" t="s">
        <v>40</v>
      </c>
      <c r="D3126">
        <v>5.0995269999999904</v>
      </c>
      <c r="E3126">
        <v>0.5120865</v>
      </c>
      <c r="F3126" t="s">
        <v>42</v>
      </c>
      <c r="G3126">
        <v>-192.04130000000001</v>
      </c>
      <c r="H3126" s="1">
        <v>-2.700892E-6</v>
      </c>
      <c r="I3126">
        <v>174.6189</v>
      </c>
      <c r="J3126">
        <v>-189.05269999999999</v>
      </c>
      <c r="K3126">
        <v>1.0991409999999999</v>
      </c>
      <c r="L3126">
        <v>195.96209999999999</v>
      </c>
      <c r="M3126">
        <v>8.3716799999999994E-2</v>
      </c>
      <c r="N3126">
        <v>0</v>
      </c>
      <c r="O3126">
        <v>-0.99637290000000001</v>
      </c>
      <c r="P3126">
        <v>-0.1171644</v>
      </c>
      <c r="Q3126">
        <v>0.1283686</v>
      </c>
      <c r="R3126">
        <v>-0.98478140000000003</v>
      </c>
      <c r="S3126">
        <v>-0.41384890000000002</v>
      </c>
      <c r="T3126">
        <v>-0.15306829999999999</v>
      </c>
      <c r="U3126">
        <v>-3.0171049999999999</v>
      </c>
      <c r="V3126">
        <v>0.20254359999999999</v>
      </c>
      <c r="W3126">
        <v>0.1384166</v>
      </c>
      <c r="X3126">
        <v>0.96944160000000001</v>
      </c>
      <c r="Y3126">
        <v>0.2181989</v>
      </c>
      <c r="Z3126">
        <v>4.9559010000000001E-2</v>
      </c>
      <c r="AA3126">
        <v>0.97464510000000004</v>
      </c>
      <c r="AB3126">
        <v>30</v>
      </c>
      <c r="AC3126">
        <v>-2.9886000000000101</v>
      </c>
      <c r="AD3126">
        <v>-1.099143700892</v>
      </c>
      <c r="AE3126">
        <v>-21.3432</v>
      </c>
      <c r="AF3126">
        <v>4.75273618871846</v>
      </c>
      <c r="AG3126">
        <v>-1.099143700892</v>
      </c>
      <c r="AH3126">
        <v>20.963505810755901</v>
      </c>
      <c r="AI3126">
        <v>92.927192026524494</v>
      </c>
      <c r="AJ3126">
        <v>77.226136572539204</v>
      </c>
      <c r="AK3126">
        <v>21.523596215139399</v>
      </c>
      <c r="AL3126">
        <v>82.043768260192607</v>
      </c>
      <c r="AM3126">
        <v>78.199054389500702</v>
      </c>
      <c r="AN3126">
        <v>1.0000000404335301</v>
      </c>
    </row>
    <row r="3127" spans="1:40" x14ac:dyDescent="0.25">
      <c r="A3127" t="str">
        <f>"20190312164534042"</f>
        <v>20190312164534042</v>
      </c>
      <c r="B3127" t="str">
        <f>"1552380334034862"</f>
        <v>1552380334034862</v>
      </c>
      <c r="C3127" t="s">
        <v>40</v>
      </c>
      <c r="D3127">
        <v>4.9559839999999999</v>
      </c>
      <c r="E3127">
        <v>0.51189510000000005</v>
      </c>
      <c r="F3127" t="s">
        <v>42</v>
      </c>
      <c r="G3127">
        <v>-192.24799999999999</v>
      </c>
      <c r="H3127" s="1">
        <v>-2.0687709999999998E-6</v>
      </c>
      <c r="I3127">
        <v>173.0172</v>
      </c>
      <c r="J3127">
        <v>-189.04409999999999</v>
      </c>
      <c r="K3127">
        <v>1.099421</v>
      </c>
      <c r="L3127">
        <v>195.79220000000001</v>
      </c>
      <c r="M3127">
        <v>7.8025579999999997E-2</v>
      </c>
      <c r="N3127">
        <v>0</v>
      </c>
      <c r="O3127">
        <v>-0.99683549999999999</v>
      </c>
      <c r="P3127">
        <v>-0.1185069</v>
      </c>
      <c r="Q3127">
        <v>0.12797709999999901</v>
      </c>
      <c r="R3127">
        <v>-0.98467170000000004</v>
      </c>
      <c r="S3127">
        <v>-0.41990660000000002</v>
      </c>
      <c r="T3127">
        <v>-0.14443919999999999</v>
      </c>
      <c r="U3127">
        <v>-3.0152130000000001</v>
      </c>
      <c r="V3127">
        <v>0.19822290000000001</v>
      </c>
      <c r="W3127">
        <v>0.13820879999999999</v>
      </c>
      <c r="X3127">
        <v>0.97036389999999995</v>
      </c>
      <c r="Y3127">
        <v>0.2146468</v>
      </c>
      <c r="Z3127">
        <v>4.6846140000000001E-2</v>
      </c>
      <c r="AA3127">
        <v>0.97556759999999998</v>
      </c>
      <c r="AB3127">
        <v>30</v>
      </c>
      <c r="AC3127">
        <v>-3.2039</v>
      </c>
      <c r="AD3127">
        <v>-1.099423068771</v>
      </c>
      <c r="AE3127">
        <v>-22.774999999999999</v>
      </c>
      <c r="AF3127">
        <v>4.9600339595829501</v>
      </c>
      <c r="AG3127">
        <v>-1.099423068771</v>
      </c>
      <c r="AH3127">
        <v>22.404340252398399</v>
      </c>
      <c r="AI3127">
        <v>92.743045724328695</v>
      </c>
      <c r="AJ3127">
        <v>77.516792626312096</v>
      </c>
      <c r="AK3127">
        <v>22.973139317681401</v>
      </c>
      <c r="AL3127">
        <v>82.055789899204697</v>
      </c>
      <c r="AM3127">
        <v>78.454640767732599</v>
      </c>
      <c r="AN3127">
        <v>1.0000000444525201</v>
      </c>
    </row>
    <row r="3128" spans="1:40" x14ac:dyDescent="0.25">
      <c r="A3128" t="str">
        <f>"20190312164534054"</f>
        <v>20190312164534054</v>
      </c>
      <c r="B3128" t="str">
        <f>"1552380334044622"</f>
        <v>1552380334044622</v>
      </c>
      <c r="C3128" t="s">
        <v>40</v>
      </c>
      <c r="D3128">
        <v>4.9263890000000004</v>
      </c>
      <c r="E3128">
        <v>0.51167649999999998</v>
      </c>
      <c r="F3128" t="s">
        <v>42</v>
      </c>
      <c r="G3128">
        <v>-192.3383</v>
      </c>
      <c r="H3128" s="1">
        <v>-1.812676E-6</v>
      </c>
      <c r="I3128">
        <v>172.36420000000001</v>
      </c>
      <c r="J3128">
        <v>-189.03649999999999</v>
      </c>
      <c r="K3128">
        <v>1.0996790000000001</v>
      </c>
      <c r="L3128">
        <v>195.62960000000001</v>
      </c>
      <c r="M3128">
        <v>7.2672609999999999E-2</v>
      </c>
      <c r="N3128">
        <v>0</v>
      </c>
      <c r="O3128">
        <v>-0.99724100000000004</v>
      </c>
      <c r="P3128">
        <v>-0.119856</v>
      </c>
      <c r="Q3128">
        <v>0.12861839999999999</v>
      </c>
      <c r="R3128">
        <v>-0.98442450000000004</v>
      </c>
      <c r="S3128">
        <v>-0.42381289999999999</v>
      </c>
      <c r="T3128">
        <v>-0.1414443</v>
      </c>
      <c r="U3128">
        <v>-3.014084</v>
      </c>
      <c r="V3128">
        <v>0.19425880000000001</v>
      </c>
      <c r="W3128">
        <v>0.13901160000000001</v>
      </c>
      <c r="X3128">
        <v>0.97105059999999999</v>
      </c>
      <c r="Y3128">
        <v>0.21069750000000001</v>
      </c>
      <c r="Z3128">
        <v>4.5938260000000002E-2</v>
      </c>
      <c r="AA3128">
        <v>0.97647130000000004</v>
      </c>
      <c r="AB3128">
        <v>30</v>
      </c>
      <c r="AC3128">
        <v>-3.3018000000000098</v>
      </c>
      <c r="AD3128">
        <v>-1.099680812676</v>
      </c>
      <c r="AE3128">
        <v>-23.2654</v>
      </c>
      <c r="AF3128">
        <v>4.97312722809008</v>
      </c>
      <c r="AG3128">
        <v>-1.099680812676</v>
      </c>
      <c r="AH3128">
        <v>22.9137088287547</v>
      </c>
      <c r="AI3128">
        <v>92.685224585744294</v>
      </c>
      <c r="AJ3128">
        <v>77.754600772571095</v>
      </c>
      <c r="AK3128">
        <v>23.472949209792301</v>
      </c>
      <c r="AL3128">
        <v>82.009344049795601</v>
      </c>
      <c r="AM3128">
        <v>78.687305715873094</v>
      </c>
      <c r="AN3128">
        <v>0.99999998703617998</v>
      </c>
    </row>
    <row r="3129" spans="1:40" x14ac:dyDescent="0.25">
      <c r="A3129" t="str">
        <f>"20190312164534068"</f>
        <v>20190312164534068</v>
      </c>
      <c r="B3129" t="str">
        <f>"1552380334054382"</f>
        <v>1552380334054382</v>
      </c>
      <c r="C3129" t="s">
        <v>40</v>
      </c>
      <c r="D3129">
        <v>5.0558009999999998</v>
      </c>
      <c r="E3129">
        <v>0.51145070000000004</v>
      </c>
      <c r="F3129" t="s">
        <v>42</v>
      </c>
      <c r="G3129">
        <v>-192.47980000000001</v>
      </c>
      <c r="H3129" s="1">
        <v>-1.406069E-6</v>
      </c>
      <c r="I3129">
        <v>171.3287</v>
      </c>
      <c r="J3129">
        <v>-189.02879999999999</v>
      </c>
      <c r="K3129">
        <v>1.09995</v>
      </c>
      <c r="L3129">
        <v>195.4478</v>
      </c>
      <c r="M3129">
        <v>6.6790559999999999E-2</v>
      </c>
      <c r="N3129">
        <v>0</v>
      </c>
      <c r="O3129">
        <v>-0.99765320000000002</v>
      </c>
      <c r="P3129">
        <v>-0.12214319999999999</v>
      </c>
      <c r="Q3129">
        <v>0.1292335</v>
      </c>
      <c r="R3129">
        <v>-0.98406300000000002</v>
      </c>
      <c r="S3129">
        <v>-0.42695620000000001</v>
      </c>
      <c r="T3129">
        <v>-0.13635920000000001</v>
      </c>
      <c r="U3129">
        <v>-3.01329</v>
      </c>
      <c r="V3129">
        <v>0.19069939999999999</v>
      </c>
      <c r="W3129">
        <v>0.1397765</v>
      </c>
      <c r="X3129">
        <v>0.97164609999999996</v>
      </c>
      <c r="Y3129">
        <v>0.20597489999999999</v>
      </c>
      <c r="Z3129">
        <v>4.434888E-2</v>
      </c>
      <c r="AA3129">
        <v>0.97755179999999997</v>
      </c>
      <c r="AB3129">
        <v>30</v>
      </c>
      <c r="AC3129">
        <v>-3.4510000000000201</v>
      </c>
      <c r="AD3129">
        <v>-1.0999514060690001</v>
      </c>
      <c r="AE3129">
        <v>-24.1191</v>
      </c>
      <c r="AF3129">
        <v>5.0441230020020704</v>
      </c>
      <c r="AG3129">
        <v>-1.0999514060690001</v>
      </c>
      <c r="AH3129">
        <v>23.786231318225699</v>
      </c>
      <c r="AI3129">
        <v>92.590136534699397</v>
      </c>
      <c r="AJ3129">
        <v>78.027189691234696</v>
      </c>
      <c r="AK3129">
        <v>24.340046636750301</v>
      </c>
      <c r="AL3129">
        <v>81.965086017043902</v>
      </c>
      <c r="AM3129">
        <v>78.8960245057213</v>
      </c>
      <c r="AN3129">
        <v>0.99999993737890802</v>
      </c>
    </row>
    <row r="3130" spans="1:40" x14ac:dyDescent="0.25">
      <c r="A3130" t="str">
        <f>"20190312164534086"</f>
        <v>20190312164534086</v>
      </c>
      <c r="B3130" t="str">
        <f>"1552380334074878"</f>
        <v>1552380334074878</v>
      </c>
      <c r="C3130" t="s">
        <v>40</v>
      </c>
      <c r="D3130">
        <v>5.1139039999999998</v>
      </c>
      <c r="E3130">
        <v>0.51100779999999901</v>
      </c>
      <c r="F3130" t="s">
        <v>42</v>
      </c>
      <c r="G3130">
        <v>-192.63890000000001</v>
      </c>
      <c r="H3130" s="1">
        <v>-9.9613859999999992E-7</v>
      </c>
      <c r="I3130">
        <v>170.27440000000001</v>
      </c>
      <c r="J3130">
        <v>-189.02010000000001</v>
      </c>
      <c r="K3130">
        <v>1.100306</v>
      </c>
      <c r="L3130">
        <v>195.19820000000001</v>
      </c>
      <c r="M3130">
        <v>5.9022150000000002E-2</v>
      </c>
      <c r="N3130">
        <v>0</v>
      </c>
      <c r="O3130">
        <v>-0.99814409999999998</v>
      </c>
      <c r="P3130">
        <v>-0.1224114</v>
      </c>
      <c r="Q3130">
        <v>0.12993689999999999</v>
      </c>
      <c r="R3130">
        <v>-0.98393710000000001</v>
      </c>
      <c r="S3130">
        <v>-0.43197629999999998</v>
      </c>
      <c r="T3130">
        <v>-0.13162079999999901</v>
      </c>
      <c r="U3130">
        <v>-3.0122529999999998</v>
      </c>
      <c r="V3130">
        <v>0.1832723</v>
      </c>
      <c r="W3130">
        <v>0.1407359</v>
      </c>
      <c r="X3130">
        <v>0.97293609999999997</v>
      </c>
      <c r="Y3130">
        <v>0.2000063</v>
      </c>
      <c r="Z3130">
        <v>4.2879149999999998E-2</v>
      </c>
      <c r="AA3130">
        <v>0.9788559</v>
      </c>
      <c r="AB3130">
        <v>30</v>
      </c>
      <c r="AC3130">
        <v>-3.61879999999999</v>
      </c>
      <c r="AD3130">
        <v>-1.1003069961386001</v>
      </c>
      <c r="AE3130">
        <v>-24.9238</v>
      </c>
      <c r="AF3130">
        <v>5.0740266030049899</v>
      </c>
      <c r="AG3130">
        <v>-1.1003069961386001</v>
      </c>
      <c r="AH3130">
        <v>24.619734722521901</v>
      </c>
      <c r="AI3130">
        <v>92.506357773502103</v>
      </c>
      <c r="AJ3130">
        <v>78.354628202153705</v>
      </c>
      <c r="AK3130">
        <v>25.161235249111002</v>
      </c>
      <c r="AL3130">
        <v>81.909568100579307</v>
      </c>
      <c r="AM3130">
        <v>79.332179334264794</v>
      </c>
      <c r="AN3130">
        <v>0.99999999208965495</v>
      </c>
    </row>
    <row r="3131" spans="1:40" x14ac:dyDescent="0.25">
      <c r="A3131" t="str">
        <f>"20190312164534110"</f>
        <v>20190312164534110</v>
      </c>
      <c r="B3131" t="str">
        <f>"1552380334105134"</f>
        <v>1552380334105134</v>
      </c>
      <c r="C3131" t="s">
        <v>40</v>
      </c>
      <c r="D3131">
        <v>5.0701669999999996</v>
      </c>
      <c r="E3131">
        <v>0.51036369999999998</v>
      </c>
      <c r="F3131" t="s">
        <v>42</v>
      </c>
      <c r="G3131">
        <v>-192.82769999999999</v>
      </c>
      <c r="H3131" s="1">
        <v>-4.7847920000000001E-6</v>
      </c>
      <c r="I3131">
        <v>168.43979999999999</v>
      </c>
      <c r="J3131">
        <v>-189.01159999999999</v>
      </c>
      <c r="K3131">
        <v>1.100749</v>
      </c>
      <c r="L3131">
        <v>194.89070000000001</v>
      </c>
      <c r="M3131">
        <v>4.9823159999999998E-2</v>
      </c>
      <c r="N3131">
        <v>0</v>
      </c>
      <c r="O3131">
        <v>-0.9986469</v>
      </c>
      <c r="P3131">
        <v>-0.1234861</v>
      </c>
      <c r="Q3131">
        <v>0.12999079999999999</v>
      </c>
      <c r="R3131">
        <v>-0.9837958</v>
      </c>
      <c r="S3131">
        <v>-0.42858889999999999</v>
      </c>
      <c r="T3131">
        <v>-0.1238551</v>
      </c>
      <c r="U3131">
        <v>-3.0120239999999998</v>
      </c>
      <c r="V3131">
        <v>0.17520549999999999</v>
      </c>
      <c r="W3131">
        <v>0.14106399999999999</v>
      </c>
      <c r="X3131">
        <v>0.97437359999999995</v>
      </c>
      <c r="Y3131">
        <v>0.18991469999999999</v>
      </c>
      <c r="Z3131">
        <v>4.0431670000000003E-2</v>
      </c>
      <c r="AA3131">
        <v>0.9809677</v>
      </c>
      <c r="AB3131">
        <v>30</v>
      </c>
      <c r="AC3131">
        <v>-3.8161</v>
      </c>
      <c r="AD3131">
        <v>-1.1007537847919999</v>
      </c>
      <c r="AE3131">
        <v>-26.450900000000001</v>
      </c>
      <c r="AF3131">
        <v>5.1206860835942596</v>
      </c>
      <c r="AG3131">
        <v>-1.1007537847919999</v>
      </c>
      <c r="AH3131">
        <v>26.183470722326099</v>
      </c>
      <c r="AI3131">
        <v>92.362593123615895</v>
      </c>
      <c r="AJ3131">
        <v>78.9343643422648</v>
      </c>
      <c r="AK3131">
        <v>26.702195114416298</v>
      </c>
      <c r="AL3131">
        <v>81.890579711805898</v>
      </c>
      <c r="AM3131">
        <v>79.806378483847098</v>
      </c>
      <c r="AN3131">
        <v>0.999999965851604</v>
      </c>
    </row>
    <row r="3132" spans="1:40" x14ac:dyDescent="0.25">
      <c r="A3132" t="str">
        <f>"20190312164534131"</f>
        <v>20190312164534131</v>
      </c>
      <c r="B3132" t="str">
        <f>"1552380334124653"</f>
        <v>1552380334124653</v>
      </c>
      <c r="C3132" t="s">
        <v>40</v>
      </c>
      <c r="D3132">
        <v>5.2807009999999996</v>
      </c>
      <c r="E3132">
        <v>0.50988180000000005</v>
      </c>
      <c r="F3132" t="s">
        <v>42</v>
      </c>
      <c r="G3132">
        <v>-192.911</v>
      </c>
      <c r="H3132" s="1">
        <v>-4.4200720000000003E-6</v>
      </c>
      <c r="I3132">
        <v>167.45160000000001</v>
      </c>
      <c r="J3132">
        <v>-189.00559999999999</v>
      </c>
      <c r="K3132">
        <v>1.1011820000000001</v>
      </c>
      <c r="L3132">
        <v>194.58160000000001</v>
      </c>
      <c r="M3132">
        <v>4.1041870000000001E-2</v>
      </c>
      <c r="N3132">
        <v>0</v>
      </c>
      <c r="O3132">
        <v>-0.99904760000000004</v>
      </c>
      <c r="P3132">
        <v>-0.1236421</v>
      </c>
      <c r="Q3132">
        <v>0.12949630000000001</v>
      </c>
      <c r="R3132">
        <v>-0.98384150000000004</v>
      </c>
      <c r="S3132">
        <v>-0.42799379999999998</v>
      </c>
      <c r="T3132">
        <v>-0.1208158</v>
      </c>
      <c r="U3132">
        <v>-3.0116420000000002</v>
      </c>
      <c r="V3132">
        <v>0.16662109999999999</v>
      </c>
      <c r="W3132">
        <v>0.14083599999999999</v>
      </c>
      <c r="X3132">
        <v>0.97591119999999998</v>
      </c>
      <c r="Y3132">
        <v>0.18110870000000001</v>
      </c>
      <c r="Z3132">
        <v>3.9503669999999998E-2</v>
      </c>
      <c r="AA3132">
        <v>0.98266940000000003</v>
      </c>
      <c r="AB3132">
        <v>30</v>
      </c>
      <c r="AC3132">
        <v>-3.9053999999999802</v>
      </c>
      <c r="AD3132">
        <v>-1.1011864200719901</v>
      </c>
      <c r="AE3132">
        <v>-27.1299999999999</v>
      </c>
      <c r="AF3132">
        <v>5.0076143311382504</v>
      </c>
      <c r="AG3132">
        <v>-1.1011864200719901</v>
      </c>
      <c r="AH3132">
        <v>26.903410263601401</v>
      </c>
      <c r="AI3132">
        <v>92.304337605258496</v>
      </c>
      <c r="AJ3132">
        <v>79.456022866066704</v>
      </c>
      <c r="AK3132">
        <v>27.3876303581165</v>
      </c>
      <c r="AL3132">
        <v>81.903775323083295</v>
      </c>
      <c r="AM3132">
        <v>80.311092805828494</v>
      </c>
      <c r="AN3132">
        <v>1.0000000200733199</v>
      </c>
    </row>
    <row r="3133" spans="1:40" x14ac:dyDescent="0.25">
      <c r="A3133" t="str">
        <f>"20190312164534143"</f>
        <v>20190312164534143</v>
      </c>
      <c r="B3133" t="str">
        <f>"1552380334134413"</f>
        <v>1552380334134413</v>
      </c>
      <c r="C3133" t="s">
        <v>40</v>
      </c>
      <c r="D3133">
        <v>4.9248649999999996</v>
      </c>
      <c r="E3133">
        <v>0.50962649999999998</v>
      </c>
      <c r="F3133" t="s">
        <v>42</v>
      </c>
      <c r="G3133">
        <v>-192.97049999999999</v>
      </c>
      <c r="H3133" s="1">
        <v>-4.1189980000000002E-6</v>
      </c>
      <c r="I3133">
        <v>166.64009999999999</v>
      </c>
      <c r="J3133">
        <v>-189.0035</v>
      </c>
      <c r="K3133">
        <v>1.101399</v>
      </c>
      <c r="L3133">
        <v>194.4152</v>
      </c>
      <c r="M3133">
        <v>3.645553E-2</v>
      </c>
      <c r="N3133">
        <v>0</v>
      </c>
      <c r="O3133">
        <v>-0.99922619999999895</v>
      </c>
      <c r="P3133">
        <v>-0.1244377</v>
      </c>
      <c r="Q3133">
        <v>0.1292104</v>
      </c>
      <c r="R3133">
        <v>-0.9837785</v>
      </c>
      <c r="S3133">
        <v>-0.42727660000000001</v>
      </c>
      <c r="T3133">
        <v>-0.1186717</v>
      </c>
      <c r="U3133">
        <v>-3.0111690000000002</v>
      </c>
      <c r="V3133">
        <v>0.16284689999999999</v>
      </c>
      <c r="W3133">
        <v>0.1406646</v>
      </c>
      <c r="X3133">
        <v>0.97657280000000002</v>
      </c>
      <c r="Y3133">
        <v>0.17638809999999999</v>
      </c>
      <c r="Z3133">
        <v>3.8837629999999998E-2</v>
      </c>
      <c r="AA3133">
        <v>0.98355420000000005</v>
      </c>
      <c r="AB3133">
        <v>30</v>
      </c>
      <c r="AC3133">
        <v>-3.9669999999999801</v>
      </c>
      <c r="AD3133">
        <v>-1.101403118998</v>
      </c>
      <c r="AE3133">
        <v>-27.775099999999998</v>
      </c>
      <c r="AF3133">
        <v>4.9693708893147797</v>
      </c>
      <c r="AG3133">
        <v>-1.101403118998</v>
      </c>
      <c r="AH3133">
        <v>27.569512890743798</v>
      </c>
      <c r="AI3133">
        <v>92.251507349581701</v>
      </c>
      <c r="AJ3133">
        <v>79.782220521757594</v>
      </c>
      <c r="AK3133">
        <v>28.035437875998898</v>
      </c>
      <c r="AL3133">
        <v>81.913694711169995</v>
      </c>
      <c r="AM3133">
        <v>80.532838990808102</v>
      </c>
      <c r="AN3133">
        <v>1.0000000381162999</v>
      </c>
    </row>
    <row r="3134" spans="1:40" x14ac:dyDescent="0.25">
      <c r="A3134" t="str">
        <f>"20190312164534154"</f>
        <v>20190312164534154</v>
      </c>
      <c r="B3134" t="str">
        <f>"1552380334145150"</f>
        <v>1552380334145150</v>
      </c>
      <c r="C3134" t="s">
        <v>40</v>
      </c>
      <c r="D3134">
        <v>4.8992399999999998</v>
      </c>
      <c r="E3134">
        <v>0.50962649999999998</v>
      </c>
      <c r="F3134" t="s">
        <v>42</v>
      </c>
      <c r="G3134">
        <v>-193.01179999999999</v>
      </c>
      <c r="H3134" s="1">
        <v>-3.9551550000000001E-6</v>
      </c>
      <c r="I3134">
        <v>166.26339999999999</v>
      </c>
      <c r="J3134">
        <v>-189.00200000000001</v>
      </c>
      <c r="K3134">
        <v>1.101588</v>
      </c>
      <c r="L3134">
        <v>194.2637</v>
      </c>
      <c r="M3134">
        <v>3.2362830000000002E-2</v>
      </c>
      <c r="N3134">
        <v>0</v>
      </c>
      <c r="O3134">
        <v>-0.99936800000000003</v>
      </c>
      <c r="P3134">
        <v>-0.124886999999999</v>
      </c>
      <c r="Q3134">
        <v>0.129243</v>
      </c>
      <c r="R3134">
        <v>-0.98371759999999997</v>
      </c>
      <c r="S3134">
        <v>-0.42868040000000002</v>
      </c>
      <c r="T3134">
        <v>-0.1177914</v>
      </c>
      <c r="U3134">
        <v>-3.010742</v>
      </c>
      <c r="V3134">
        <v>0.159223</v>
      </c>
      <c r="W3134">
        <v>0.1408006</v>
      </c>
      <c r="X3134">
        <v>0.97715059999999998</v>
      </c>
      <c r="Y3134">
        <v>0.17282610000000001</v>
      </c>
      <c r="Z3134">
        <v>3.8574669999999998E-2</v>
      </c>
      <c r="AA3134">
        <v>0.98419670000000004</v>
      </c>
      <c r="AB3134">
        <v>30</v>
      </c>
      <c r="AC3134">
        <v>-4.0097999999999798</v>
      </c>
      <c r="AD3134">
        <v>-1.101591955155</v>
      </c>
      <c r="AE3134">
        <v>-28.000299999999999</v>
      </c>
      <c r="AF3134">
        <v>4.9065243738233502</v>
      </c>
      <c r="AG3134">
        <v>-1.101591955155</v>
      </c>
      <c r="AH3134">
        <v>27.8136623883391</v>
      </c>
      <c r="AI3134">
        <v>92.233626938295998</v>
      </c>
      <c r="AJ3134">
        <v>79.995554274262801</v>
      </c>
      <c r="AK3134">
        <v>28.2645944906184</v>
      </c>
      <c r="AL3134">
        <v>81.905824120386399</v>
      </c>
      <c r="AM3134">
        <v>80.745206550141802</v>
      </c>
      <c r="AN3134">
        <v>1.00000003388485</v>
      </c>
    </row>
    <row r="3135" spans="1:40" x14ac:dyDescent="0.25">
      <c r="A3135" t="str">
        <f>"20190312164534166"</f>
        <v>20190312164534166</v>
      </c>
      <c r="B3135" t="str">
        <f>"1552380334154910"</f>
        <v>1552380334154910</v>
      </c>
      <c r="C3135" t="s">
        <v>40</v>
      </c>
      <c r="D3135">
        <v>4.9908839999999897</v>
      </c>
      <c r="E3135">
        <v>0.50941159999999996</v>
      </c>
      <c r="F3135" t="s">
        <v>42</v>
      </c>
      <c r="G3135">
        <v>-193.0282</v>
      </c>
      <c r="H3135" s="1">
        <v>-3.8766149999999996E-6</v>
      </c>
      <c r="I3135">
        <v>166.08799999999999</v>
      </c>
      <c r="J3135">
        <v>-189.0009</v>
      </c>
      <c r="K3135">
        <v>1.1017889999999999</v>
      </c>
      <c r="L3135">
        <v>194.0985</v>
      </c>
      <c r="M3135">
        <v>2.7970800000000001E-2</v>
      </c>
      <c r="N3135">
        <v>0</v>
      </c>
      <c r="O3135">
        <v>-0.99950090000000003</v>
      </c>
      <c r="P3135">
        <v>-0.12601789999999999</v>
      </c>
      <c r="Q3135">
        <v>0.12966989999999901</v>
      </c>
      <c r="R3135">
        <v>-0.98351679999999997</v>
      </c>
      <c r="S3135">
        <v>-0.43019099999999999</v>
      </c>
      <c r="T3135">
        <v>-0.1177026</v>
      </c>
      <c r="U3135">
        <v>-3.010513</v>
      </c>
      <c r="V3135">
        <v>0.15598499999999901</v>
      </c>
      <c r="W3135">
        <v>0.14132169999999999</v>
      </c>
      <c r="X3135">
        <v>0.97759750000000001</v>
      </c>
      <c r="Y3135">
        <v>0.168991</v>
      </c>
      <c r="Z3135">
        <v>3.8567839999999999E-2</v>
      </c>
      <c r="AA3135">
        <v>0.98486269999999998</v>
      </c>
      <c r="AB3135">
        <v>30</v>
      </c>
      <c r="AC3135">
        <v>-4.0272999999999897</v>
      </c>
      <c r="AD3135">
        <v>-1.10179287661499</v>
      </c>
      <c r="AE3135">
        <v>-28.0105</v>
      </c>
      <c r="AF3135">
        <v>4.80200511881384</v>
      </c>
      <c r="AG3135">
        <v>-1.10179287661499</v>
      </c>
      <c r="AH3135">
        <v>27.844669451122201</v>
      </c>
      <c r="AI3135">
        <v>92.233039847540496</v>
      </c>
      <c r="AJ3135">
        <v>80.215194954647401</v>
      </c>
      <c r="AK3135">
        <v>28.277178387284899</v>
      </c>
      <c r="AL3135">
        <v>81.875665517853193</v>
      </c>
      <c r="AM3135">
        <v>80.934331762671704</v>
      </c>
      <c r="AN3135">
        <v>1.00000000756107</v>
      </c>
    </row>
    <row r="3136" spans="1:40" x14ac:dyDescent="0.25">
      <c r="A3136" t="str">
        <f>"20190312164534180"</f>
        <v>20190312164534180</v>
      </c>
      <c r="B3136" t="str">
        <f>"1552380334174430"</f>
        <v>1552380334174430</v>
      </c>
      <c r="C3136" t="s">
        <v>40</v>
      </c>
      <c r="D3136">
        <v>5.0824809999999996</v>
      </c>
      <c r="E3136">
        <v>0.50957330000000001</v>
      </c>
      <c r="F3136" t="s">
        <v>42</v>
      </c>
      <c r="G3136">
        <v>-193.1336</v>
      </c>
      <c r="H3136" s="1">
        <v>-3.527781E-6</v>
      </c>
      <c r="I3136">
        <v>165.29069999999999</v>
      </c>
      <c r="J3136">
        <v>-189.00069999999999</v>
      </c>
      <c r="K3136">
        <v>1.1020110000000001</v>
      </c>
      <c r="L3136">
        <v>193.922</v>
      </c>
      <c r="M3136">
        <v>2.3466210000000001E-2</v>
      </c>
      <c r="N3136">
        <v>0</v>
      </c>
      <c r="O3136">
        <v>-0.99961750000000005</v>
      </c>
      <c r="P3136">
        <v>-0.12710940000000001</v>
      </c>
      <c r="Q3136">
        <v>0.13030249999999999</v>
      </c>
      <c r="R3136">
        <v>-0.98329279999999997</v>
      </c>
      <c r="S3136">
        <v>-0.43182369999999998</v>
      </c>
      <c r="T3136">
        <v>-0.1151261</v>
      </c>
      <c r="U3136">
        <v>-3.0101170000000002</v>
      </c>
      <c r="V3136">
        <v>0.1525928</v>
      </c>
      <c r="W3136">
        <v>0.1420524</v>
      </c>
      <c r="X3136">
        <v>0.97802690000000003</v>
      </c>
      <c r="Y3136">
        <v>0.1650942</v>
      </c>
      <c r="Z3136">
        <v>3.774748E-2</v>
      </c>
      <c r="AA3136">
        <v>0.98555519999999996</v>
      </c>
      <c r="AB3136">
        <v>30</v>
      </c>
      <c r="AC3136">
        <v>-4.1329000000000002</v>
      </c>
      <c r="AD3136">
        <v>-1.1020145277810001</v>
      </c>
      <c r="AE3136">
        <v>-28.6313</v>
      </c>
      <c r="AF3136">
        <v>4.7967405717996296</v>
      </c>
      <c r="AG3136">
        <v>-1.1020145277810001</v>
      </c>
      <c r="AH3136">
        <v>28.4850818326682</v>
      </c>
      <c r="AI3136">
        <v>92.184791512987502</v>
      </c>
      <c r="AJ3136">
        <v>80.441364413678897</v>
      </c>
      <c r="AK3136">
        <v>28.907145191914001</v>
      </c>
      <c r="AL3136">
        <v>81.833373022531006</v>
      </c>
      <c r="AM3136">
        <v>81.132145614520098</v>
      </c>
      <c r="AN3136">
        <v>1.0000000320406</v>
      </c>
    </row>
    <row r="3137" spans="1:40" x14ac:dyDescent="0.25">
      <c r="A3137" t="str">
        <f>"20190312164534196"</f>
        <v>20190312164534196</v>
      </c>
      <c r="B3137" t="str">
        <f>"1552380334194926"</f>
        <v>1552380334194926</v>
      </c>
      <c r="C3137" t="s">
        <v>40</v>
      </c>
      <c r="D3137">
        <v>5.1578410000000003</v>
      </c>
      <c r="E3137">
        <v>0.51002209999999903</v>
      </c>
      <c r="F3137" t="s">
        <v>42</v>
      </c>
      <c r="G3137">
        <v>-193.2724</v>
      </c>
      <c r="H3137" s="1">
        <v>-3.1603469999999999E-6</v>
      </c>
      <c r="I3137">
        <v>164.43530000000001</v>
      </c>
      <c r="J3137">
        <v>-189.00120000000001</v>
      </c>
      <c r="K3137">
        <v>1.102309</v>
      </c>
      <c r="L3137">
        <v>193.69470000000001</v>
      </c>
      <c r="M3137">
        <v>1.7852429999999999E-2</v>
      </c>
      <c r="N3137">
        <v>0</v>
      </c>
      <c r="O3137">
        <v>-0.99973440000000002</v>
      </c>
      <c r="P3137">
        <v>-0.12641749999999999</v>
      </c>
      <c r="Q3137">
        <v>0.13138939999999999</v>
      </c>
      <c r="R3137">
        <v>-0.98323729999999998</v>
      </c>
      <c r="S3137">
        <v>-0.43598940000000003</v>
      </c>
      <c r="T3137">
        <v>-0.1124758</v>
      </c>
      <c r="U3137">
        <v>-3.0095209999999999</v>
      </c>
      <c r="V3137">
        <v>0.14631359999999999</v>
      </c>
      <c r="W3137">
        <v>0.14329939999999999</v>
      </c>
      <c r="X3137">
        <v>0.97880420000000001</v>
      </c>
      <c r="Y3137">
        <v>0.1609226</v>
      </c>
      <c r="Z3137">
        <v>3.6902560000000001E-2</v>
      </c>
      <c r="AA3137">
        <v>0.98627690000000001</v>
      </c>
      <c r="AB3137">
        <v>30</v>
      </c>
      <c r="AC3137">
        <v>-4.2711999999999897</v>
      </c>
      <c r="AD3137">
        <v>-1.1023121603470001</v>
      </c>
      <c r="AE3137">
        <v>-29.259399999999999</v>
      </c>
      <c r="AF3137">
        <v>4.7862745576816303</v>
      </c>
      <c r="AG3137">
        <v>-1.1023121603470001</v>
      </c>
      <c r="AH3137">
        <v>29.1379835597997</v>
      </c>
      <c r="AI3137">
        <v>92.137886653607495</v>
      </c>
      <c r="AJ3137">
        <v>80.671762125429595</v>
      </c>
      <c r="AK3137">
        <v>29.5490372461019</v>
      </c>
      <c r="AL3137">
        <v>81.761186617249606</v>
      </c>
      <c r="AM3137">
        <v>81.4982632590051</v>
      </c>
      <c r="AN3137">
        <v>1.00000002476147</v>
      </c>
    </row>
    <row r="3138" spans="1:40" x14ac:dyDescent="0.25">
      <c r="A3138" t="str">
        <f>"20190312164534209"</f>
        <v>20190312164534209</v>
      </c>
      <c r="B3138" t="str">
        <f>"1552380334204686"</f>
        <v>1552380334204686</v>
      </c>
      <c r="C3138" t="s">
        <v>40</v>
      </c>
      <c r="D3138">
        <v>5.2840699999999998</v>
      </c>
      <c r="E3138">
        <v>0.5368887</v>
      </c>
      <c r="F3138" t="s">
        <v>42</v>
      </c>
      <c r="G3138">
        <v>-193.41460000000001</v>
      </c>
      <c r="H3138" s="1">
        <v>-2.6833389999999998E-6</v>
      </c>
      <c r="I3138">
        <v>163.34620000000001</v>
      </c>
      <c r="J3138">
        <v>-189.00210000000001</v>
      </c>
      <c r="K3138">
        <v>1.1025419999999999</v>
      </c>
      <c r="L3138">
        <v>193.5204</v>
      </c>
      <c r="M3138">
        <v>1.36826E-2</v>
      </c>
      <c r="N3138">
        <v>0</v>
      </c>
      <c r="O3138">
        <v>-0.99980119999999895</v>
      </c>
      <c r="P3138">
        <v>-0.12758620000000001</v>
      </c>
      <c r="Q3138">
        <v>0.1315537</v>
      </c>
      <c r="R3138">
        <v>-0.98306479999999996</v>
      </c>
      <c r="S3138">
        <v>-0.4376526</v>
      </c>
      <c r="T3138">
        <v>-0.109309199999999</v>
      </c>
      <c r="U3138">
        <v>-3.0094759999999998</v>
      </c>
      <c r="V3138">
        <v>0.14331050000000001</v>
      </c>
      <c r="W3138">
        <v>0.14355229999999999</v>
      </c>
      <c r="X3138">
        <v>0.97921130000000001</v>
      </c>
      <c r="Y3138">
        <v>0.1573465</v>
      </c>
      <c r="Z3138">
        <v>3.5878109999999998E-2</v>
      </c>
      <c r="AA3138">
        <v>0.98689150000000003</v>
      </c>
      <c r="AB3138">
        <v>30</v>
      </c>
      <c r="AC3138">
        <v>-4.4124999999999899</v>
      </c>
      <c r="AD3138">
        <v>-1.102544683339</v>
      </c>
      <c r="AE3138">
        <v>-30.1741999999999</v>
      </c>
      <c r="AF3138">
        <v>4.8186929472576603</v>
      </c>
      <c r="AG3138">
        <v>-1.102544683339</v>
      </c>
      <c r="AH3138">
        <v>30.071685175912201</v>
      </c>
      <c r="AI3138">
        <v>92.0733191268871</v>
      </c>
      <c r="AJ3138">
        <v>80.896304474028895</v>
      </c>
      <c r="AK3138">
        <v>30.475263014745</v>
      </c>
      <c r="AL3138">
        <v>81.746544650494499</v>
      </c>
      <c r="AM3138">
        <v>81.673703184413696</v>
      </c>
      <c r="AN3138">
        <v>0.99999996614661402</v>
      </c>
    </row>
    <row r="3139" spans="1:40" x14ac:dyDescent="0.25">
      <c r="A3139" t="str">
        <f>"20190312164534222"</f>
        <v>20190312164534222</v>
      </c>
      <c r="B3139" t="str">
        <f>"1552380334214446"</f>
        <v>1552380334214446</v>
      </c>
      <c r="C3139" t="s">
        <v>40</v>
      </c>
      <c r="D3139">
        <v>5.101566</v>
      </c>
      <c r="E3139">
        <v>0.53429759999999904</v>
      </c>
      <c r="F3139" t="s">
        <v>42</v>
      </c>
      <c r="G3139">
        <v>-193.85419999999999</v>
      </c>
      <c r="H3139" s="1">
        <v>-1.7737620000000001E-6</v>
      </c>
      <c r="I3139">
        <v>171.33330000000001</v>
      </c>
      <c r="J3139">
        <v>-189.00399999999999</v>
      </c>
      <c r="K3139">
        <v>1.1027929999999999</v>
      </c>
      <c r="L3139">
        <v>193.34020000000001</v>
      </c>
      <c r="M3139">
        <v>9.5896939999999993E-3</v>
      </c>
      <c r="N3139">
        <v>0</v>
      </c>
      <c r="O3139">
        <v>-0.99984910000000005</v>
      </c>
      <c r="P3139">
        <v>-0.12869729999999999</v>
      </c>
      <c r="Q3139">
        <v>0.13169110000000001</v>
      </c>
      <c r="R3139">
        <v>-0.98290129999999998</v>
      </c>
      <c r="S3139">
        <v>-0.65318299999999996</v>
      </c>
      <c r="T3139">
        <v>-0.14842249999999901</v>
      </c>
      <c r="U3139">
        <v>-2.9867859999999999</v>
      </c>
      <c r="V3139">
        <v>0.1403179</v>
      </c>
      <c r="W3139">
        <v>0.14377879999999901</v>
      </c>
      <c r="X3139">
        <v>0.97961140000000002</v>
      </c>
      <c r="Y3139">
        <v>0.22275039999999999</v>
      </c>
      <c r="Z3139">
        <v>4.843393E-2</v>
      </c>
      <c r="AA3139">
        <v>0.97367159999999997</v>
      </c>
      <c r="AB3139">
        <v>30</v>
      </c>
      <c r="AC3139">
        <v>-4.8501999999999699</v>
      </c>
      <c r="AD3139">
        <v>-1.1027947737620001</v>
      </c>
      <c r="AE3139">
        <v>-22.006900000000002</v>
      </c>
      <c r="AF3139">
        <v>5.0489471961765497</v>
      </c>
      <c r="AG3139">
        <v>-1.1027947737620001</v>
      </c>
      <c r="AH3139">
        <v>21.906907970785799</v>
      </c>
      <c r="AI3139">
        <v>92.808340743263003</v>
      </c>
      <c r="AJ3139">
        <v>77.021507804537194</v>
      </c>
      <c r="AK3139">
        <v>22.5082349584168</v>
      </c>
      <c r="AL3139">
        <v>81.7334311996254</v>
      </c>
      <c r="AM3139">
        <v>81.848495239257602</v>
      </c>
      <c r="AN3139">
        <v>0.99999997569990395</v>
      </c>
    </row>
    <row r="3140" spans="1:40" x14ac:dyDescent="0.25">
      <c r="A3140" t="str">
        <f>"20190312164534234"</f>
        <v>20190312164534234</v>
      </c>
      <c r="B3140" t="str">
        <f>"1552380334225183"</f>
        <v>1552380334225183</v>
      </c>
      <c r="C3140" t="s">
        <v>40</v>
      </c>
      <c r="D3140">
        <v>5.0703990000000001</v>
      </c>
      <c r="E3140">
        <v>0.53339199999999998</v>
      </c>
      <c r="F3140" t="s">
        <v>42</v>
      </c>
      <c r="G3140">
        <v>-194.46250000000001</v>
      </c>
      <c r="H3140" s="1">
        <v>-4.815111E-6</v>
      </c>
      <c r="I3140">
        <v>167.7636</v>
      </c>
      <c r="J3140">
        <v>-189.0061</v>
      </c>
      <c r="K3140">
        <v>1.1030199999999999</v>
      </c>
      <c r="L3140">
        <v>193.1773</v>
      </c>
      <c r="M3140">
        <v>5.9992519999999896E-3</v>
      </c>
      <c r="N3140">
        <v>0</v>
      </c>
      <c r="O3140">
        <v>-0.99987780000000004</v>
      </c>
      <c r="P3140">
        <v>-0.13025919999999999</v>
      </c>
      <c r="Q3140">
        <v>0.1317246</v>
      </c>
      <c r="R3140">
        <v>-0.98269079999999998</v>
      </c>
      <c r="S3140">
        <v>-0.6372681</v>
      </c>
      <c r="T3140">
        <v>-0.12874849999999999</v>
      </c>
      <c r="U3140">
        <v>-2.985992</v>
      </c>
      <c r="V3140">
        <v>0.13827449999999999</v>
      </c>
      <c r="W3140">
        <v>0.1438807</v>
      </c>
      <c r="X3140">
        <v>0.97988699999999995</v>
      </c>
      <c r="Y3140">
        <v>0.21439759999999999</v>
      </c>
      <c r="Z3140">
        <v>4.2102239999999999E-2</v>
      </c>
      <c r="AA3140">
        <v>0.97583869999999895</v>
      </c>
      <c r="AB3140">
        <v>30</v>
      </c>
      <c r="AC3140">
        <v>-5.4564000000000004</v>
      </c>
      <c r="AD3140">
        <v>-1.103024815111</v>
      </c>
      <c r="AE3140">
        <v>-25.413699999999999</v>
      </c>
      <c r="AF3140">
        <v>5.5986987964143502</v>
      </c>
      <c r="AG3140">
        <v>-1.103024815111</v>
      </c>
      <c r="AH3140">
        <v>25.334882081161499</v>
      </c>
      <c r="AI3140">
        <v>92.434298853605796</v>
      </c>
      <c r="AJ3140">
        <v>77.538611009515506</v>
      </c>
      <c r="AK3140">
        <v>25.969565687975599</v>
      </c>
      <c r="AL3140">
        <v>81.727531726759693</v>
      </c>
      <c r="AM3140">
        <v>81.967871722032797</v>
      </c>
      <c r="AN3140">
        <v>1.0000000129758699</v>
      </c>
    </row>
    <row r="3141" spans="1:40" x14ac:dyDescent="0.25">
      <c r="A3141" t="str">
        <f>"20190312164534246"</f>
        <v>20190312164534246</v>
      </c>
      <c r="B3141" t="str">
        <f>"1552380334244702"</f>
        <v>1552380334244702</v>
      </c>
      <c r="C3141" t="s">
        <v>40</v>
      </c>
      <c r="D3141">
        <v>5.0463699999999996</v>
      </c>
      <c r="E3141">
        <v>0.53346349999999998</v>
      </c>
      <c r="F3141" t="s">
        <v>42</v>
      </c>
      <c r="G3141">
        <v>-194.93539999999999</v>
      </c>
      <c r="H3141" s="1">
        <v>-3.9570520000000001E-6</v>
      </c>
      <c r="I3141">
        <v>165.3108</v>
      </c>
      <c r="J3141">
        <v>-189.0086</v>
      </c>
      <c r="K3141">
        <v>1.1032519999999999</v>
      </c>
      <c r="L3141">
        <v>193.01390000000001</v>
      </c>
      <c r="M3141">
        <v>2.4992159999999999E-3</v>
      </c>
      <c r="N3141">
        <v>0</v>
      </c>
      <c r="O3141">
        <v>-0.99989329999999998</v>
      </c>
      <c r="P3141">
        <v>-0.1317615</v>
      </c>
      <c r="Q3141">
        <v>0.1318751</v>
      </c>
      <c r="R3141">
        <v>-0.98247059999999997</v>
      </c>
      <c r="S3141">
        <v>-0.63502499999999995</v>
      </c>
      <c r="T3141">
        <v>-0.11813410000000001</v>
      </c>
      <c r="U3141">
        <v>-2.9845120000000001</v>
      </c>
      <c r="V3141">
        <v>0.13626099999999999</v>
      </c>
      <c r="W3141">
        <v>0.14409920000000001</v>
      </c>
      <c r="X3141">
        <v>0.98013689999999998</v>
      </c>
      <c r="Y3141">
        <v>0.21040310000000001</v>
      </c>
      <c r="Z3141">
        <v>3.867632E-2</v>
      </c>
      <c r="AA3141">
        <v>0.97684939999999998</v>
      </c>
      <c r="AB3141">
        <v>30</v>
      </c>
      <c r="AC3141">
        <v>-5.9267999999999796</v>
      </c>
      <c r="AD3141">
        <v>-1.103255957052</v>
      </c>
      <c r="AE3141">
        <v>-27.703099999999999</v>
      </c>
      <c r="AF3141">
        <v>5.98694512941365</v>
      </c>
      <c r="AG3141">
        <v>-1.103255957052</v>
      </c>
      <c r="AH3141">
        <v>27.646272353196501</v>
      </c>
      <c r="AI3141">
        <v>92.233523157615295</v>
      </c>
      <c r="AJ3141">
        <v>77.780975504863903</v>
      </c>
      <c r="AK3141">
        <v>28.308604005081101</v>
      </c>
      <c r="AL3141">
        <v>81.714880583216996</v>
      </c>
      <c r="AM3141">
        <v>82.085331671956197</v>
      </c>
      <c r="AN3141">
        <v>0.99999999115162497</v>
      </c>
    </row>
    <row r="3142" spans="1:40" x14ac:dyDescent="0.25">
      <c r="A3142" t="str">
        <f>"20190312164534266"</f>
        <v>20190312164534266</v>
      </c>
      <c r="B3142" t="str">
        <f>"1552380334254465"</f>
        <v>1552380334254465</v>
      </c>
      <c r="C3142" t="s">
        <v>40</v>
      </c>
      <c r="D3142">
        <v>5.0685580000000003</v>
      </c>
      <c r="E3142">
        <v>0.53308059999999902</v>
      </c>
      <c r="F3142" t="s">
        <v>42</v>
      </c>
      <c r="G3142">
        <v>-195.56450000000001</v>
      </c>
      <c r="H3142" s="1">
        <v>-2.829579E-6</v>
      </c>
      <c r="I3142">
        <v>162.44540000000001</v>
      </c>
      <c r="J3142">
        <v>-189.01329999999999</v>
      </c>
      <c r="K3142">
        <v>1.1036170000000001</v>
      </c>
      <c r="L3142">
        <v>192.7663</v>
      </c>
      <c r="M3142">
        <v>-2.4646249999999998E-3</v>
      </c>
      <c r="N3142">
        <v>0</v>
      </c>
      <c r="O3142">
        <v>-0.99989410000000001</v>
      </c>
      <c r="P3142">
        <v>-0.1363007</v>
      </c>
      <c r="Q3142">
        <v>0.1324467</v>
      </c>
      <c r="R3142">
        <v>-0.98177409999999998</v>
      </c>
      <c r="S3142">
        <v>-0.63958740000000003</v>
      </c>
      <c r="T3142">
        <v>-0.10763159999999999</v>
      </c>
      <c r="U3142">
        <v>-2.982208</v>
      </c>
      <c r="V3142">
        <v>0.13580690000000001</v>
      </c>
      <c r="W3142">
        <v>0.14473429999999901</v>
      </c>
      <c r="X3142">
        <v>0.98010640000000004</v>
      </c>
      <c r="Y3142">
        <v>0.20715800000000001</v>
      </c>
      <c r="Z3142">
        <v>3.5275819999999999E-2</v>
      </c>
      <c r="AA3142">
        <v>0.97767130000000002</v>
      </c>
      <c r="AB3142">
        <v>30</v>
      </c>
      <c r="AC3142">
        <v>-6.5512000000000201</v>
      </c>
      <c r="AD3142">
        <v>-1.1036198295790001</v>
      </c>
      <c r="AE3142">
        <v>-30.320899999999899</v>
      </c>
      <c r="AF3142">
        <v>6.46825572343616</v>
      </c>
      <c r="AG3142">
        <v>-1.1036198295790001</v>
      </c>
      <c r="AH3142">
        <v>30.298606069774699</v>
      </c>
      <c r="AI3142">
        <v>92.040131849080893</v>
      </c>
      <c r="AJ3142">
        <v>77.949189835483494</v>
      </c>
      <c r="AK3142">
        <v>31.000997380784199</v>
      </c>
      <c r="AL3142">
        <v>81.678106967297694</v>
      </c>
      <c r="AM3142">
        <v>82.111132885924206</v>
      </c>
      <c r="AN3142">
        <v>1.00000004350252</v>
      </c>
    </row>
    <row r="3143" spans="1:40" x14ac:dyDescent="0.25">
      <c r="A3143" t="str">
        <f>"20190312164534280"</f>
        <v>20190312164534280</v>
      </c>
      <c r="B3143" t="str">
        <f>"1552380334274958"</f>
        <v>1552380334274958</v>
      </c>
      <c r="C3143" t="s">
        <v>40</v>
      </c>
      <c r="D3143">
        <v>5.3625679999999996</v>
      </c>
      <c r="E3143">
        <v>0.53398950000000001</v>
      </c>
      <c r="F3143" t="s">
        <v>42</v>
      </c>
      <c r="G3143">
        <v>-195.71530000000001</v>
      </c>
      <c r="H3143" s="1">
        <v>-2.6224570000000002E-6</v>
      </c>
      <c r="I3143">
        <v>161.92240000000001</v>
      </c>
      <c r="J3143">
        <v>-189.01769999999999</v>
      </c>
      <c r="K3143">
        <v>1.1039190000000001</v>
      </c>
      <c r="L3143">
        <v>192.56870000000001</v>
      </c>
      <c r="M3143">
        <v>-6.1353110000000001E-3</v>
      </c>
      <c r="N3143">
        <v>0</v>
      </c>
      <c r="O3143">
        <v>-0.99987899999999996</v>
      </c>
      <c r="P3143">
        <v>-0.13836879999999999</v>
      </c>
      <c r="Q3143">
        <v>0.13224459999999999</v>
      </c>
      <c r="R3143">
        <v>-0.98151200000000005</v>
      </c>
      <c r="S3143">
        <v>-0.64755249999999998</v>
      </c>
      <c r="T3143">
        <v>-0.1066327</v>
      </c>
      <c r="U3143">
        <v>-2.9801639999999998</v>
      </c>
      <c r="V3143">
        <v>0.13416229999999901</v>
      </c>
      <c r="W3143">
        <v>0.14460780000000001</v>
      </c>
      <c r="X3143">
        <v>0.98035150000000004</v>
      </c>
      <c r="Y3143">
        <v>0.206203</v>
      </c>
      <c r="Z3143">
        <v>3.496527E-2</v>
      </c>
      <c r="AA3143">
        <v>0.97788439999999999</v>
      </c>
      <c r="AB3143">
        <v>30</v>
      </c>
      <c r="AC3143">
        <v>-6.69760000000002</v>
      </c>
      <c r="AD3143">
        <v>-1.1039216224570001</v>
      </c>
      <c r="AE3143">
        <v>-30.6463</v>
      </c>
      <c r="AF3143">
        <v>6.5013788738008103</v>
      </c>
      <c r="AG3143">
        <v>-1.1039216224570001</v>
      </c>
      <c r="AH3143">
        <v>30.648863866333802</v>
      </c>
      <c r="AI3143">
        <v>92.017945239453496</v>
      </c>
      <c r="AJ3143">
        <v>78.023680218350194</v>
      </c>
      <c r="AK3143">
        <v>31.350269959065599</v>
      </c>
      <c r="AL3143">
        <v>81.685431587841407</v>
      </c>
      <c r="AM3143">
        <v>82.207409217340796</v>
      </c>
      <c r="AN3143">
        <v>1.0000000010571899</v>
      </c>
    </row>
    <row r="3144" spans="1:40" x14ac:dyDescent="0.25">
      <c r="A3144" t="str">
        <f>"20190312164534299"</f>
        <v>20190312164534299</v>
      </c>
      <c r="B3144" t="str">
        <f>"1552380334294478"</f>
        <v>1552380334294478</v>
      </c>
      <c r="C3144" t="s">
        <v>40</v>
      </c>
      <c r="D3144">
        <v>4.9966249999999999</v>
      </c>
      <c r="E3144">
        <v>0.53458729999999999</v>
      </c>
      <c r="F3144" t="s">
        <v>71</v>
      </c>
      <c r="G3144">
        <v>-197.5608</v>
      </c>
      <c r="H3144" s="1">
        <v>-1.3392350000000001E-5</v>
      </c>
      <c r="I3144">
        <v>154.16130000000001</v>
      </c>
      <c r="J3144">
        <v>-189.024</v>
      </c>
      <c r="K3144">
        <v>1.104322</v>
      </c>
      <c r="L3144">
        <v>192.31489999999999</v>
      </c>
      <c r="M3144">
        <v>-1.051646E-2</v>
      </c>
      <c r="N3144">
        <v>0</v>
      </c>
      <c r="O3144">
        <v>-0.9998435</v>
      </c>
      <c r="P3144">
        <v>-0.13873199999999999</v>
      </c>
      <c r="Q3144">
        <v>0.1310114</v>
      </c>
      <c r="R3144">
        <v>-0.98162629999999995</v>
      </c>
      <c r="S3144">
        <v>-0.66168209999999905</v>
      </c>
      <c r="T3144">
        <v>-8.5502149999999999E-2</v>
      </c>
      <c r="U3144">
        <v>-2.9747469999999998</v>
      </c>
      <c r="V3144">
        <v>0.1300645</v>
      </c>
      <c r="W3144">
        <v>0.1435023</v>
      </c>
      <c r="X3144">
        <v>0.98106590000000005</v>
      </c>
      <c r="Y3144">
        <v>0.20676240000000001</v>
      </c>
      <c r="Z3144">
        <v>2.807521E-2</v>
      </c>
      <c r="AA3144">
        <v>0.97798830000000003</v>
      </c>
      <c r="AB3144">
        <v>30</v>
      </c>
      <c r="AC3144">
        <v>-8.5367999999999995</v>
      </c>
      <c r="AD3144">
        <v>-1.1043353923499999</v>
      </c>
      <c r="AE3144">
        <v>-38.153599999999898</v>
      </c>
      <c r="AF3144">
        <v>8.12856112160887</v>
      </c>
      <c r="AG3144">
        <v>-1.1043353923499999</v>
      </c>
      <c r="AH3144">
        <v>38.210789626799802</v>
      </c>
      <c r="AI3144">
        <v>91.619239479131906</v>
      </c>
      <c r="AJ3144">
        <v>77.990521527101706</v>
      </c>
      <c r="AK3144">
        <v>39.081421500120499</v>
      </c>
      <c r="AL3144">
        <v>81.749439627369796</v>
      </c>
      <c r="AM3144">
        <v>82.448069113647193</v>
      </c>
      <c r="AN3144">
        <v>0.99999999220417501</v>
      </c>
    </row>
    <row r="3145" spans="1:40" x14ac:dyDescent="0.25">
      <c r="A3145" t="str">
        <f>"20190312164534320"</f>
        <v>20190312164534320</v>
      </c>
      <c r="B3145" t="str">
        <f>"1552380334314974"</f>
        <v>1552380334314974</v>
      </c>
      <c r="C3145" t="s">
        <v>40</v>
      </c>
      <c r="D3145">
        <v>4.9331569999999996</v>
      </c>
      <c r="E3145">
        <v>0.53490159999999998</v>
      </c>
      <c r="F3145" t="s">
        <v>71</v>
      </c>
      <c r="G3145">
        <v>-199.00020000000001</v>
      </c>
      <c r="H3145" s="1">
        <v>-1.184607E-5</v>
      </c>
      <c r="I3145">
        <v>148.0103</v>
      </c>
      <c r="J3145">
        <v>-189.03219999999999</v>
      </c>
      <c r="K3145">
        <v>1.104789</v>
      </c>
      <c r="L3145">
        <v>192.02019999999999</v>
      </c>
      <c r="M3145">
        <v>-1.5104950000000001E-2</v>
      </c>
      <c r="N3145">
        <v>0</v>
      </c>
      <c r="O3145">
        <v>-0.99978549999999999</v>
      </c>
      <c r="P3145">
        <v>-0.13998139999999901</v>
      </c>
      <c r="Q3145">
        <v>0.12930029999999901</v>
      </c>
      <c r="R3145">
        <v>-0.98167550000000003</v>
      </c>
      <c r="S3145">
        <v>-0.66909790000000002</v>
      </c>
      <c r="T3145">
        <v>-7.4067229999999998E-2</v>
      </c>
      <c r="U3145">
        <v>-2.9714969999999998</v>
      </c>
      <c r="V3145">
        <v>0.12661939999999999</v>
      </c>
      <c r="W3145">
        <v>0.14191790000000001</v>
      </c>
      <c r="X3145">
        <v>0.98174689999999998</v>
      </c>
      <c r="Y3145">
        <v>0.20484430000000001</v>
      </c>
      <c r="Z3145">
        <v>2.4345120000000001E-2</v>
      </c>
      <c r="AA3145">
        <v>0.97849180000000002</v>
      </c>
      <c r="AB3145">
        <v>30</v>
      </c>
      <c r="AC3145">
        <v>-9.9680000000000106</v>
      </c>
      <c r="AD3145">
        <v>-1.1048008460700001</v>
      </c>
      <c r="AE3145">
        <v>-44.009899999999902</v>
      </c>
      <c r="AF3145">
        <v>9.2964558671390503</v>
      </c>
      <c r="AG3145">
        <v>-1.1048008460700001</v>
      </c>
      <c r="AH3145">
        <v>44.129006942430699</v>
      </c>
      <c r="AI3145">
        <v>91.403351170713094</v>
      </c>
      <c r="AJ3145">
        <v>78.103710236953305</v>
      </c>
      <c r="AK3145">
        <v>45.111128674909502</v>
      </c>
      <c r="AL3145">
        <v>81.841158483163397</v>
      </c>
      <c r="AM3145">
        <v>82.650928320535897</v>
      </c>
      <c r="AN3145">
        <v>1.0000000692281801</v>
      </c>
    </row>
    <row r="3146" spans="1:40" x14ac:dyDescent="0.25">
      <c r="A3146" t="str">
        <f>"20190312164534333"</f>
        <v>20190312164534333</v>
      </c>
      <c r="B3146" t="str">
        <f>"1552380334324734"</f>
        <v>1552380334324734</v>
      </c>
      <c r="C3146" t="s">
        <v>40</v>
      </c>
      <c r="D3146">
        <v>4.8977199999999996</v>
      </c>
      <c r="E3146">
        <v>0.53492399999999996</v>
      </c>
      <c r="F3146" t="s">
        <v>71</v>
      </c>
      <c r="G3146">
        <v>-199.80930000000001</v>
      </c>
      <c r="H3146" s="1">
        <v>-1.099926E-5</v>
      </c>
      <c r="I3146">
        <v>144.7732</v>
      </c>
      <c r="J3146">
        <v>-189.03729999999999</v>
      </c>
      <c r="K3146">
        <v>1.105056</v>
      </c>
      <c r="L3146">
        <v>191.85059999999999</v>
      </c>
      <c r="M3146">
        <v>-1.75219E-2</v>
      </c>
      <c r="N3146">
        <v>0</v>
      </c>
      <c r="O3146">
        <v>-0.99974660000000004</v>
      </c>
      <c r="P3146">
        <v>-0.14099929999999999</v>
      </c>
      <c r="Q3146">
        <v>0.12889139999999999</v>
      </c>
      <c r="R3146">
        <v>-0.98158369999999995</v>
      </c>
      <c r="S3146">
        <v>-0.6771393</v>
      </c>
      <c r="T3146">
        <v>-6.9416519999999995E-2</v>
      </c>
      <c r="U3146">
        <v>-2.9686129999999999</v>
      </c>
      <c r="V3146">
        <v>0.12516540000000001</v>
      </c>
      <c r="W3146">
        <v>0.1415719</v>
      </c>
      <c r="X3146">
        <v>0.98198319999999995</v>
      </c>
      <c r="Y3146">
        <v>0.2052107</v>
      </c>
      <c r="Z3146">
        <v>2.2829929999999998E-2</v>
      </c>
      <c r="AA3146">
        <v>0.97845150000000003</v>
      </c>
      <c r="AB3146">
        <v>30</v>
      </c>
      <c r="AC3146">
        <v>-10.772</v>
      </c>
      <c r="AD3146">
        <v>-1.10506699926</v>
      </c>
      <c r="AE3146">
        <v>-47.077399999999898</v>
      </c>
      <c r="AF3146">
        <v>9.9401735154884996</v>
      </c>
      <c r="AG3146">
        <v>-1.10506699926</v>
      </c>
      <c r="AH3146">
        <v>47.234204724246901</v>
      </c>
      <c r="AI3146">
        <v>91.311501743377704</v>
      </c>
      <c r="AJ3146">
        <v>78.115836687864501</v>
      </c>
      <c r="AK3146">
        <v>48.281449010183401</v>
      </c>
      <c r="AL3146">
        <v>81.861184397742207</v>
      </c>
      <c r="AM3146">
        <v>82.736142164725706</v>
      </c>
      <c r="AN3146">
        <v>0.99999999265450501</v>
      </c>
    </row>
    <row r="3147" spans="1:40" x14ac:dyDescent="0.25">
      <c r="A3147" t="str">
        <f>"20190312164534345"</f>
        <v>20190312164534345</v>
      </c>
      <c r="B3147" t="str">
        <f>"1552380334334494"</f>
        <v>1552380334334494</v>
      </c>
      <c r="C3147" t="s">
        <v>40</v>
      </c>
      <c r="D3147">
        <v>5.0477210000000001</v>
      </c>
      <c r="E3147">
        <v>0.53457359999999998</v>
      </c>
      <c r="F3147" t="s">
        <v>71</v>
      </c>
      <c r="G3147">
        <v>-200.2499</v>
      </c>
      <c r="H3147" s="1">
        <v>-1.0349370000000001E-5</v>
      </c>
      <c r="I3147">
        <v>142.95249999999999</v>
      </c>
      <c r="J3147">
        <v>-189.04259999999999</v>
      </c>
      <c r="K3147">
        <v>1.1053120000000001</v>
      </c>
      <c r="L3147">
        <v>191.6832</v>
      </c>
      <c r="M3147">
        <v>-1.9737959999999999E-2</v>
      </c>
      <c r="N3147">
        <v>0</v>
      </c>
      <c r="O3147">
        <v>-0.99970590000000004</v>
      </c>
      <c r="P3147">
        <v>-0.1423421</v>
      </c>
      <c r="Q3147">
        <v>0.12872020000000001</v>
      </c>
      <c r="R3147">
        <v>-0.98141259999999997</v>
      </c>
      <c r="S3147">
        <v>-0.68041989999999997</v>
      </c>
      <c r="T3147">
        <v>-6.7059399999999894E-2</v>
      </c>
      <c r="U3147">
        <v>-2.9673159999999998</v>
      </c>
      <c r="V3147">
        <v>0.12424109999999999</v>
      </c>
      <c r="W3147">
        <v>0.14145439999999901</v>
      </c>
      <c r="X3147">
        <v>0.98211749999999998</v>
      </c>
      <c r="Y3147">
        <v>0.20416570000000001</v>
      </c>
      <c r="Z3147">
        <v>2.206288E-2</v>
      </c>
      <c r="AA3147">
        <v>0.97868770000000005</v>
      </c>
      <c r="AB3147">
        <v>30</v>
      </c>
      <c r="AC3147">
        <v>-11.2073</v>
      </c>
      <c r="AD3147">
        <v>-1.10532234937</v>
      </c>
      <c r="AE3147">
        <v>-48.730699999999999</v>
      </c>
      <c r="AF3147">
        <v>10.2381733724031</v>
      </c>
      <c r="AG3147">
        <v>-1.10532234937</v>
      </c>
      <c r="AH3147">
        <v>48.918532445132698</v>
      </c>
      <c r="AI3147">
        <v>91.266946342705197</v>
      </c>
      <c r="AJ3147">
        <v>78.179172834473903</v>
      </c>
      <c r="AK3147">
        <v>49.990646605989198</v>
      </c>
      <c r="AL3147">
        <v>81.867985078030301</v>
      </c>
      <c r="AM3147">
        <v>82.790192047193102</v>
      </c>
      <c r="AN3147">
        <v>0.99999999100740899</v>
      </c>
    </row>
    <row r="3148" spans="1:40" x14ac:dyDescent="0.25">
      <c r="A3148" t="str">
        <f>"20190312164534357"</f>
        <v>20190312164534357</v>
      </c>
      <c r="B3148" t="str">
        <f>"1552380334354991"</f>
        <v>1552380334354991</v>
      </c>
      <c r="C3148" t="s">
        <v>40</v>
      </c>
      <c r="D3148">
        <v>5.2038769999999896</v>
      </c>
      <c r="E3148">
        <v>0.53437380000000001</v>
      </c>
      <c r="F3148" t="s">
        <v>71</v>
      </c>
      <c r="G3148">
        <v>-199.6413</v>
      </c>
      <c r="H3148" s="1">
        <v>-1.119066E-5</v>
      </c>
      <c r="I3148">
        <v>145.49770000000001</v>
      </c>
      <c r="J3148">
        <v>-189.0478</v>
      </c>
      <c r="K3148">
        <v>1.1055489999999999</v>
      </c>
      <c r="L3148">
        <v>191.52520000000001</v>
      </c>
      <c r="M3148">
        <v>-2.1636679999999998E-2</v>
      </c>
      <c r="N3148">
        <v>0</v>
      </c>
      <c r="O3148">
        <v>-0.99966699999999997</v>
      </c>
      <c r="P3148">
        <v>-0.1431809</v>
      </c>
      <c r="Q3148">
        <v>0.1286832</v>
      </c>
      <c r="R3148">
        <v>-0.98129520000000003</v>
      </c>
      <c r="S3148">
        <v>-0.68095399999999995</v>
      </c>
      <c r="T3148">
        <v>-7.1015599999999998E-2</v>
      </c>
      <c r="U3148">
        <v>-2.9673609999999999</v>
      </c>
      <c r="V3148">
        <v>0.12313250000000001</v>
      </c>
      <c r="W3148">
        <v>0.1414685</v>
      </c>
      <c r="X3148">
        <v>0.98225510000000005</v>
      </c>
      <c r="Y3148">
        <v>0.20246359999999999</v>
      </c>
      <c r="Z3148">
        <v>2.3365750000000001E-2</v>
      </c>
      <c r="AA3148">
        <v>0.97901099999999996</v>
      </c>
      <c r="AB3148">
        <v>30</v>
      </c>
      <c r="AC3148">
        <v>-10.593500000000001</v>
      </c>
      <c r="AD3148">
        <v>-1.1055601906600001</v>
      </c>
      <c r="AE3148">
        <v>-46.027500000000003</v>
      </c>
      <c r="AF3148">
        <v>9.5897844114501396</v>
      </c>
      <c r="AG3148">
        <v>-1.1055601906600001</v>
      </c>
      <c r="AH3148">
        <v>46.220628667236497</v>
      </c>
      <c r="AI3148">
        <v>91.341645524452503</v>
      </c>
      <c r="AJ3148">
        <v>78.278662770075499</v>
      </c>
      <c r="AK3148">
        <v>47.217928192454899</v>
      </c>
      <c r="AL3148">
        <v>81.8671691994643</v>
      </c>
      <c r="AM3148">
        <v>82.854847648620904</v>
      </c>
      <c r="AN3148">
        <v>1.0000000152622499</v>
      </c>
    </row>
    <row r="3149" spans="1:40" x14ac:dyDescent="0.25">
      <c r="A3149" t="str">
        <f>"20190312164534376"</f>
        <v>20190312164534376</v>
      </c>
      <c r="B3149" t="str">
        <f>"1552380334364750"</f>
        <v>1552380334364750</v>
      </c>
      <c r="C3149" t="s">
        <v>40</v>
      </c>
      <c r="D3149">
        <v>4.9381959999999996</v>
      </c>
      <c r="E3149">
        <v>0.53434419999999905</v>
      </c>
      <c r="F3149" t="s">
        <v>71</v>
      </c>
      <c r="G3149">
        <v>-199.29419999999999</v>
      </c>
      <c r="H3149" s="1">
        <v>-1.1556190000000001E-5</v>
      </c>
      <c r="I3149">
        <v>146.89400000000001</v>
      </c>
      <c r="J3149">
        <v>-189.05619999999999</v>
      </c>
      <c r="K3149">
        <v>1.1059139999999901</v>
      </c>
      <c r="L3149">
        <v>191.27770000000001</v>
      </c>
      <c r="M3149">
        <v>-2.4355479999999999E-2</v>
      </c>
      <c r="N3149">
        <v>0</v>
      </c>
      <c r="O3149">
        <v>-0.99960499999999997</v>
      </c>
      <c r="P3149">
        <v>-0.14352379999999901</v>
      </c>
      <c r="Q3149">
        <v>0.12817139999999999</v>
      </c>
      <c r="R3149">
        <v>-0.98131210000000002</v>
      </c>
      <c r="S3149">
        <v>-0.68125919999999995</v>
      </c>
      <c r="T3149">
        <v>-7.3506360000000007E-2</v>
      </c>
      <c r="U3149">
        <v>-2.967438</v>
      </c>
      <c r="V3149">
        <v>0.12067029999999999</v>
      </c>
      <c r="W3149">
        <v>0.14104269999999999</v>
      </c>
      <c r="X3149">
        <v>0.98262179999999999</v>
      </c>
      <c r="Y3149">
        <v>0.19988520000000001</v>
      </c>
      <c r="Z3149">
        <v>2.4188089999999999E-2</v>
      </c>
      <c r="AA3149">
        <v>0.97952070000000002</v>
      </c>
      <c r="AB3149">
        <v>30</v>
      </c>
      <c r="AC3149">
        <v>-10.238</v>
      </c>
      <c r="AD3149">
        <v>-1.1059255561900001</v>
      </c>
      <c r="AE3149">
        <v>-44.383699999999997</v>
      </c>
      <c r="AF3149">
        <v>9.1484766839804799</v>
      </c>
      <c r="AG3149">
        <v>-1.1059255561900001</v>
      </c>
      <c r="AH3149">
        <v>44.593619080717403</v>
      </c>
      <c r="AI3149">
        <v>91.391676566845504</v>
      </c>
      <c r="AJ3149">
        <v>78.406508233655799</v>
      </c>
      <c r="AK3149">
        <v>45.535794268786901</v>
      </c>
      <c r="AL3149">
        <v>81.891812578190596</v>
      </c>
      <c r="AM3149">
        <v>82.998879072753496</v>
      </c>
      <c r="AN3149">
        <v>0.99999998318030903</v>
      </c>
    </row>
    <row r="3150" spans="1:40" x14ac:dyDescent="0.25">
      <c r="A3150" t="str">
        <f>"20190312164534388"</f>
        <v>20190312164534388</v>
      </c>
      <c r="B3150" t="str">
        <f>"1552380334384270"</f>
        <v>1552380334384270</v>
      </c>
      <c r="C3150" t="s">
        <v>40</v>
      </c>
      <c r="D3150">
        <v>5.1095040000000003</v>
      </c>
      <c r="E3150">
        <v>0.53391940000000004</v>
      </c>
      <c r="F3150" t="s">
        <v>71</v>
      </c>
      <c r="G3150">
        <v>-199.40430000000001</v>
      </c>
      <c r="H3150" s="1">
        <v>-1.13805399999999E-5</v>
      </c>
      <c r="I3150">
        <v>146.25040000000001</v>
      </c>
      <c r="J3150">
        <v>-189.06200000000001</v>
      </c>
      <c r="K3150">
        <v>1.10615</v>
      </c>
      <c r="L3150">
        <v>191.1147</v>
      </c>
      <c r="M3150">
        <v>-2.5988109999999998E-2</v>
      </c>
      <c r="N3150">
        <v>0</v>
      </c>
      <c r="O3150">
        <v>-0.99956429999999996</v>
      </c>
      <c r="P3150">
        <v>-0.14395659999999999</v>
      </c>
      <c r="Q3150">
        <v>0.12786629999999999</v>
      </c>
      <c r="R3150">
        <v>-0.98128839999999995</v>
      </c>
      <c r="S3150">
        <v>-0.68185419999999997</v>
      </c>
      <c r="T3150">
        <v>-7.2871920000000007E-2</v>
      </c>
      <c r="U3150">
        <v>-2.9669490000000001</v>
      </c>
      <c r="V3150">
        <v>0.11941309999999999</v>
      </c>
      <c r="W3150">
        <v>0.14078879999999999</v>
      </c>
      <c r="X3150">
        <v>0.98281180000000001</v>
      </c>
      <c r="Y3150">
        <v>0.1985075</v>
      </c>
      <c r="Z3150">
        <v>2.3984660000000001E-2</v>
      </c>
      <c r="AA3150">
        <v>0.97980579999999995</v>
      </c>
      <c r="AB3150">
        <v>30</v>
      </c>
      <c r="AC3150">
        <v>-10.3422999999999</v>
      </c>
      <c r="AD3150">
        <v>-1.1061613805399999</v>
      </c>
      <c r="AE3150">
        <v>-44.864299999999901</v>
      </c>
      <c r="AF3150">
        <v>9.1674619531379502</v>
      </c>
      <c r="AG3150">
        <v>-1.1061613805399999</v>
      </c>
      <c r="AH3150">
        <v>45.091918969706398</v>
      </c>
      <c r="AI3150">
        <v>91.377094918583396</v>
      </c>
      <c r="AJ3150">
        <v>78.508044175388903</v>
      </c>
      <c r="AK3150">
        <v>46.027677630232397</v>
      </c>
      <c r="AL3150">
        <v>81.906506773057004</v>
      </c>
      <c r="AM3150">
        <v>83.072433792943599</v>
      </c>
      <c r="AN3150">
        <v>1.0000000044381401</v>
      </c>
    </row>
    <row r="3151" spans="1:40" x14ac:dyDescent="0.25">
      <c r="A3151" t="str">
        <f>"20190312164534400"</f>
        <v>20190312164534400</v>
      </c>
      <c r="B3151" t="str">
        <f>"1552380334395006"</f>
        <v>1552380334395006</v>
      </c>
      <c r="C3151" t="s">
        <v>40</v>
      </c>
      <c r="D3151">
        <v>5.0606159999999996</v>
      </c>
      <c r="E3151">
        <v>0.53387259999999903</v>
      </c>
      <c r="F3151" t="s">
        <v>71</v>
      </c>
      <c r="G3151">
        <v>-198.9342</v>
      </c>
      <c r="H3151" s="1">
        <v>-1.1849380000000001E-5</v>
      </c>
      <c r="I3151">
        <v>148.05330000000001</v>
      </c>
      <c r="J3151">
        <v>-189.0676</v>
      </c>
      <c r="K3151">
        <v>1.106365</v>
      </c>
      <c r="L3151">
        <v>190.95859999999999</v>
      </c>
      <c r="M3151">
        <v>-2.734547E-2</v>
      </c>
      <c r="N3151">
        <v>0</v>
      </c>
      <c r="O3151">
        <v>-0.99952839999999998</v>
      </c>
      <c r="P3151">
        <v>-0.1439172</v>
      </c>
      <c r="Q3151">
        <v>0.12755320000000001</v>
      </c>
      <c r="R3151">
        <v>-0.98133510000000002</v>
      </c>
      <c r="S3151">
        <v>-0.68028259999999996</v>
      </c>
      <c r="T3151">
        <v>-7.6224330000000007E-2</v>
      </c>
      <c r="U3151">
        <v>-2.9673159999999998</v>
      </c>
      <c r="V3151">
        <v>0.1179607</v>
      </c>
      <c r="W3151">
        <v>0.14052339999999999</v>
      </c>
      <c r="X3151">
        <v>0.98302509999999999</v>
      </c>
      <c r="Y3151">
        <v>0.19665079999999999</v>
      </c>
      <c r="Z3151">
        <v>2.5089170000000001E-2</v>
      </c>
      <c r="AA3151">
        <v>0.98015249999999998</v>
      </c>
      <c r="AB3151">
        <v>30</v>
      </c>
      <c r="AC3151">
        <v>-9.8666</v>
      </c>
      <c r="AD3151">
        <v>-1.1063768493799999</v>
      </c>
      <c r="AE3151">
        <v>-42.905299999999897</v>
      </c>
      <c r="AF3151">
        <v>8.6840451040227098</v>
      </c>
      <c r="AG3151">
        <v>-1.1063768493799999</v>
      </c>
      <c r="AH3151">
        <v>43.131845567163701</v>
      </c>
      <c r="AI3151">
        <v>91.440480753100005</v>
      </c>
      <c r="AJ3151">
        <v>78.616417244947996</v>
      </c>
      <c r="AK3151">
        <v>44.011280498654003</v>
      </c>
      <c r="AL3151">
        <v>81.921865321097897</v>
      </c>
      <c r="AM3151">
        <v>83.157359429775795</v>
      </c>
      <c r="AN3151">
        <v>0.99999994996102803</v>
      </c>
    </row>
    <row r="3152" spans="1:40" x14ac:dyDescent="0.25">
      <c r="A3152" t="str">
        <f>"20190312164534412"</f>
        <v>20190312164534412</v>
      </c>
      <c r="B3152" t="str">
        <f>"1552380334404767"</f>
        <v>1552380334404767</v>
      </c>
      <c r="C3152" t="s">
        <v>40</v>
      </c>
      <c r="D3152">
        <v>5.0783120000000004</v>
      </c>
      <c r="E3152">
        <v>0.53343669999999899</v>
      </c>
      <c r="F3152" t="s">
        <v>71</v>
      </c>
      <c r="G3152">
        <v>-199.14949999999999</v>
      </c>
      <c r="H3152" s="1">
        <v>-1.156095E-5</v>
      </c>
      <c r="I3152">
        <v>146.97980000000001</v>
      </c>
      <c r="J3152">
        <v>-189.0736</v>
      </c>
      <c r="K3152">
        <v>1.1065860000000001</v>
      </c>
      <c r="L3152">
        <v>190.79390000000001</v>
      </c>
      <c r="M3152">
        <v>-2.870493E-2</v>
      </c>
      <c r="N3152">
        <v>0</v>
      </c>
      <c r="O3152">
        <v>-0.99949069999999995</v>
      </c>
      <c r="P3152">
        <v>-0.14412620000000001</v>
      </c>
      <c r="Q3152">
        <v>0.12762709999999999</v>
      </c>
      <c r="R3152">
        <v>-0.98129460000000002</v>
      </c>
      <c r="S3152">
        <v>-0.6801758</v>
      </c>
      <c r="T3152">
        <v>-7.4641589999999994E-2</v>
      </c>
      <c r="U3152">
        <v>-2.9670260000000002</v>
      </c>
      <c r="V3152">
        <v>0.1167565</v>
      </c>
      <c r="W3152">
        <v>0.1406424</v>
      </c>
      <c r="X3152">
        <v>0.98315189999999997</v>
      </c>
      <c r="Y3152">
        <v>0.19530729999999999</v>
      </c>
      <c r="Z3152">
        <v>2.4572900000000002E-2</v>
      </c>
      <c r="AA3152">
        <v>0.98043420000000003</v>
      </c>
      <c r="AB3152">
        <v>30</v>
      </c>
      <c r="AC3152">
        <v>-10.075899999999899</v>
      </c>
      <c r="AD3152">
        <v>-1.1065975609500001</v>
      </c>
      <c r="AE3152">
        <v>-43.814100000000003</v>
      </c>
      <c r="AF3152">
        <v>8.8086075260477408</v>
      </c>
      <c r="AG3152">
        <v>-1.1065975609500001</v>
      </c>
      <c r="AH3152">
        <v>44.058604842573203</v>
      </c>
      <c r="AI3152">
        <v>91.410857143994207</v>
      </c>
      <c r="AJ3152">
        <v>78.693960713284497</v>
      </c>
      <c r="AK3152">
        <v>44.944151848531497</v>
      </c>
      <c r="AL3152">
        <v>81.914979234327802</v>
      </c>
      <c r="AM3152">
        <v>83.227425587482799</v>
      </c>
      <c r="AN3152">
        <v>1.00000001172181</v>
      </c>
    </row>
    <row r="3153" spans="1:40" x14ac:dyDescent="0.25">
      <c r="A3153" t="str">
        <f>"20190312164534424"</f>
        <v>20190312164534424</v>
      </c>
      <c r="B3153" t="str">
        <f>"1552380334414526"</f>
        <v>1552380334414526</v>
      </c>
      <c r="C3153" t="s">
        <v>40</v>
      </c>
      <c r="D3153">
        <v>5.0618160000000003</v>
      </c>
      <c r="E3153">
        <v>0.53335500000000002</v>
      </c>
      <c r="F3153" t="s">
        <v>71</v>
      </c>
      <c r="G3153">
        <v>-198.90799999999999</v>
      </c>
      <c r="H3153" s="1">
        <v>-1.174802E-5</v>
      </c>
      <c r="I3153">
        <v>147.7252</v>
      </c>
      <c r="J3153">
        <v>-189.07990000000001</v>
      </c>
      <c r="K3153">
        <v>1.1068089999999999</v>
      </c>
      <c r="L3153">
        <v>190.6266</v>
      </c>
      <c r="M3153">
        <v>-2.9929460000000001E-2</v>
      </c>
      <c r="N3153">
        <v>0</v>
      </c>
      <c r="O3153">
        <v>-0.99945530000000005</v>
      </c>
      <c r="P3153">
        <v>-0.14451140000000001</v>
      </c>
      <c r="Q3153">
        <v>0.12740509999999999</v>
      </c>
      <c r="R3153">
        <v>-0.98126709999999995</v>
      </c>
      <c r="S3153">
        <v>-0.6776276</v>
      </c>
      <c r="T3153">
        <v>-7.6248880000000005E-2</v>
      </c>
      <c r="U3153">
        <v>-2.967606</v>
      </c>
      <c r="V3153">
        <v>0.1158603</v>
      </c>
      <c r="W3153">
        <v>0.140463</v>
      </c>
      <c r="X3153">
        <v>0.98328360000000004</v>
      </c>
      <c r="Y3153">
        <v>0.19326070000000001</v>
      </c>
      <c r="Z3153">
        <v>2.5103070000000002E-2</v>
      </c>
      <c r="AA3153">
        <v>0.98082630000000004</v>
      </c>
      <c r="AB3153">
        <v>30</v>
      </c>
      <c r="AC3153">
        <v>-9.8280999999999707</v>
      </c>
      <c r="AD3153">
        <v>-1.1068207480200001</v>
      </c>
      <c r="AE3153">
        <v>-42.901400000000002</v>
      </c>
      <c r="AF3153">
        <v>8.5341593431862908</v>
      </c>
      <c r="AG3153">
        <v>-1.1068207480200001</v>
      </c>
      <c r="AH3153">
        <v>43.149067357018197</v>
      </c>
      <c r="AI3153">
        <v>91.441465981956298</v>
      </c>
      <c r="AJ3153">
        <v>78.812249215053697</v>
      </c>
      <c r="AK3153">
        <v>43.998851594599998</v>
      </c>
      <c r="AL3153">
        <v>81.925361473641402</v>
      </c>
      <c r="AM3153">
        <v>83.279825128803495</v>
      </c>
      <c r="AN3153">
        <v>1.0000000507570199</v>
      </c>
    </row>
    <row r="3154" spans="1:40" x14ac:dyDescent="0.25">
      <c r="A3154" t="str">
        <f>"20190312164534436"</f>
        <v>20190312164534436</v>
      </c>
      <c r="B3154" t="str">
        <f>"1552380334424286"</f>
        <v>1552380334424286</v>
      </c>
      <c r="C3154" t="s">
        <v>40</v>
      </c>
      <c r="D3154">
        <v>5.0581750000000003</v>
      </c>
      <c r="E3154">
        <v>0.53327150000000001</v>
      </c>
      <c r="F3154" t="s">
        <v>71</v>
      </c>
      <c r="G3154">
        <v>-199.13499999999999</v>
      </c>
      <c r="H3154" s="1">
        <v>-1.1458430000000001E-5</v>
      </c>
      <c r="I3154">
        <v>146.6422</v>
      </c>
      <c r="J3154">
        <v>-189.0856</v>
      </c>
      <c r="K3154">
        <v>1.106997</v>
      </c>
      <c r="L3154">
        <v>190.47499999999999</v>
      </c>
      <c r="M3154">
        <v>-3.0924980000000001E-2</v>
      </c>
      <c r="N3154">
        <v>0</v>
      </c>
      <c r="O3154">
        <v>-0.99942509999999996</v>
      </c>
      <c r="P3154">
        <v>-0.14460020000000001</v>
      </c>
      <c r="Q3154">
        <v>0.1275028</v>
      </c>
      <c r="R3154">
        <v>-0.98124100000000003</v>
      </c>
      <c r="S3154">
        <v>-0.67828369999999905</v>
      </c>
      <c r="T3154">
        <v>-7.4662450000000005E-2</v>
      </c>
      <c r="U3154">
        <v>-2.967041</v>
      </c>
      <c r="V3154">
        <v>0.11490590000000001</v>
      </c>
      <c r="W3154">
        <v>0.1405971</v>
      </c>
      <c r="X3154">
        <v>0.98337640000000004</v>
      </c>
      <c r="Y3154">
        <v>0.19253290000000001</v>
      </c>
      <c r="Z3154">
        <v>2.458571E-2</v>
      </c>
      <c r="AA3154">
        <v>0.98098249999999998</v>
      </c>
      <c r="AB3154">
        <v>30</v>
      </c>
      <c r="AC3154">
        <v>-10.049399999999901</v>
      </c>
      <c r="AD3154">
        <v>-1.10700845843</v>
      </c>
      <c r="AE3154">
        <v>-43.832799999999899</v>
      </c>
      <c r="AF3154">
        <v>8.6836710648614801</v>
      </c>
      <c r="AG3154">
        <v>-1.10700845843</v>
      </c>
      <c r="AH3154">
        <v>44.0959175388818</v>
      </c>
      <c r="AI3154">
        <v>91.410995246674801</v>
      </c>
      <c r="AJ3154">
        <v>78.859472265370997</v>
      </c>
      <c r="AK3154">
        <v>44.9564406340806</v>
      </c>
      <c r="AL3154">
        <v>81.917600907830206</v>
      </c>
      <c r="AM3154">
        <v>83.335305826963307</v>
      </c>
      <c r="AN3154">
        <v>1.00000002723008</v>
      </c>
    </row>
    <row r="3155" spans="1:40" x14ac:dyDescent="0.25">
      <c r="A3155" t="str">
        <f>"20190312164534456"</f>
        <v>20190312164534456</v>
      </c>
      <c r="B3155" t="str">
        <f>"1552380334444782"</f>
        <v>1552380334444782</v>
      </c>
      <c r="C3155" t="s">
        <v>40</v>
      </c>
      <c r="D3155">
        <v>5.1060970000000001</v>
      </c>
      <c r="E3155">
        <v>0.53282640000000003</v>
      </c>
      <c r="F3155" t="s">
        <v>71</v>
      </c>
      <c r="G3155">
        <v>-199.27</v>
      </c>
      <c r="H3155" s="1">
        <v>-1.12443699999999E-5</v>
      </c>
      <c r="I3155">
        <v>145.85749999999999</v>
      </c>
      <c r="J3155">
        <v>-189.09569999999999</v>
      </c>
      <c r="K3155">
        <v>1.107305</v>
      </c>
      <c r="L3155">
        <v>190.209</v>
      </c>
      <c r="M3155">
        <v>-3.2466149999999999E-2</v>
      </c>
      <c r="N3155">
        <v>0</v>
      </c>
      <c r="O3155">
        <v>-0.99937690000000001</v>
      </c>
      <c r="P3155">
        <v>-0.1446732</v>
      </c>
      <c r="Q3155">
        <v>0.12694079999999999</v>
      </c>
      <c r="R3155">
        <v>-0.9813035</v>
      </c>
      <c r="S3155">
        <v>-0.67727660000000001</v>
      </c>
      <c r="T3155">
        <v>-7.361782E-2</v>
      </c>
      <c r="U3155">
        <v>-2.967133</v>
      </c>
      <c r="V3155">
        <v>0.1133514</v>
      </c>
      <c r="W3155">
        <v>0.14009379999999999</v>
      </c>
      <c r="X3155">
        <v>0.98362859999999996</v>
      </c>
      <c r="Y3155">
        <v>0.19069820000000001</v>
      </c>
      <c r="Z3155">
        <v>2.4244700000000001E-2</v>
      </c>
      <c r="AA3155">
        <v>0.98134929999999998</v>
      </c>
      <c r="AB3155">
        <v>30</v>
      </c>
      <c r="AC3155">
        <v>-10.174300000000001</v>
      </c>
      <c r="AD3155">
        <v>-1.10731624437</v>
      </c>
      <c r="AE3155">
        <v>-44.351500000000001</v>
      </c>
      <c r="AF3155">
        <v>8.7237089128854102</v>
      </c>
      <c r="AG3155">
        <v>-1.10731624437</v>
      </c>
      <c r="AH3155">
        <v>44.632036852401399</v>
      </c>
      <c r="AI3155">
        <v>91.394827303035001</v>
      </c>
      <c r="AJ3155">
        <v>78.940487941635993</v>
      </c>
      <c r="AK3155">
        <v>45.490086393146399</v>
      </c>
      <c r="AL3155">
        <v>81.946726060106798</v>
      </c>
      <c r="AM3155">
        <v>83.426345130132205</v>
      </c>
      <c r="AN3155">
        <v>1.0000000177091799</v>
      </c>
    </row>
    <row r="3156" spans="1:40" x14ac:dyDescent="0.25">
      <c r="A3156" t="str">
        <f>"20190312164534478"</f>
        <v>20190312164534478</v>
      </c>
      <c r="B3156" t="str">
        <f>"1552380334475038"</f>
        <v>1552380334475038</v>
      </c>
      <c r="C3156" t="s">
        <v>40</v>
      </c>
      <c r="D3156">
        <v>5.0056059999999896</v>
      </c>
      <c r="E3156">
        <v>0.5321939</v>
      </c>
      <c r="F3156" t="s">
        <v>71</v>
      </c>
      <c r="G3156">
        <v>-198.86279999999999</v>
      </c>
      <c r="H3156" s="1">
        <v>-1.1565979999999999E-5</v>
      </c>
      <c r="I3156">
        <v>147.13509999999999</v>
      </c>
      <c r="J3156">
        <v>-189.1069</v>
      </c>
      <c r="K3156">
        <v>1.1075889999999999</v>
      </c>
      <c r="L3156">
        <v>189.91970000000001</v>
      </c>
      <c r="M3156">
        <v>-3.3855469999999999E-2</v>
      </c>
      <c r="N3156">
        <v>0</v>
      </c>
      <c r="O3156">
        <v>-0.99933119999999998</v>
      </c>
      <c r="P3156">
        <v>-0.14394279999999901</v>
      </c>
      <c r="Q3156">
        <v>0.1261565</v>
      </c>
      <c r="R3156">
        <v>-0.98151189999999999</v>
      </c>
      <c r="S3156">
        <v>-0.67295839999999996</v>
      </c>
      <c r="T3156">
        <v>-7.6295139999999997E-2</v>
      </c>
      <c r="U3156">
        <v>-2.9678339999999999</v>
      </c>
      <c r="V3156">
        <v>0.1111423</v>
      </c>
      <c r="W3156">
        <v>0.1393672</v>
      </c>
      <c r="X3156">
        <v>0.98398379999999996</v>
      </c>
      <c r="Y3156">
        <v>0.1879199</v>
      </c>
      <c r="Z3156">
        <v>2.5129120000000001E-2</v>
      </c>
      <c r="AA3156">
        <v>0.98186280000000004</v>
      </c>
      <c r="AB3156">
        <v>30</v>
      </c>
      <c r="AC3156">
        <v>-9.7558999999999898</v>
      </c>
      <c r="AD3156">
        <v>-1.1076005659799999</v>
      </c>
      <c r="AE3156">
        <v>-42.784599999999998</v>
      </c>
      <c r="AF3156">
        <v>8.2963899262079099</v>
      </c>
      <c r="AG3156">
        <v>-1.1076005659799999</v>
      </c>
      <c r="AH3156">
        <v>43.062957175822199</v>
      </c>
      <c r="AI3156">
        <v>91.446757691495407</v>
      </c>
      <c r="AJ3156">
        <v>79.095161546760494</v>
      </c>
      <c r="AK3156">
        <v>43.868840257614998</v>
      </c>
      <c r="AL3156">
        <v>81.988769278529603</v>
      </c>
      <c r="AM3156">
        <v>83.555677226373106</v>
      </c>
      <c r="AN3156">
        <v>0.99999997297378396</v>
      </c>
    </row>
    <row r="3157" spans="1:40" x14ac:dyDescent="0.25">
      <c r="A3157" t="str">
        <f>"20190312164534501"</f>
        <v>20190312164534501</v>
      </c>
      <c r="B3157" t="str">
        <f>"1552380334494670"</f>
        <v>1552380334494670</v>
      </c>
      <c r="C3157" t="s">
        <v>40</v>
      </c>
      <c r="D3157">
        <v>4.9451710000000002</v>
      </c>
      <c r="E3157">
        <v>0.53220129999999999</v>
      </c>
      <c r="F3157" t="s">
        <v>71</v>
      </c>
      <c r="G3157">
        <v>-198.3349</v>
      </c>
      <c r="H3157" s="1">
        <v>-1.1947409999999999E-5</v>
      </c>
      <c r="I3157">
        <v>148.75899999999999</v>
      </c>
      <c r="J3157">
        <v>-189.11869999999999</v>
      </c>
      <c r="K3157">
        <v>1.10785</v>
      </c>
      <c r="L3157">
        <v>189.61779999999999</v>
      </c>
      <c r="M3157">
        <v>-3.505225E-2</v>
      </c>
      <c r="N3157">
        <v>0</v>
      </c>
      <c r="O3157">
        <v>-0.99929049999999997</v>
      </c>
      <c r="P3157">
        <v>-0.14209150000000001</v>
      </c>
      <c r="Q3157">
        <v>0.1254509</v>
      </c>
      <c r="R3157">
        <v>-0.98187210000000003</v>
      </c>
      <c r="S3157">
        <v>-0.6656647</v>
      </c>
      <c r="T3157">
        <v>-7.9897759999999998E-2</v>
      </c>
      <c r="U3157">
        <v>-2.9691619999999999</v>
      </c>
      <c r="V3157">
        <v>0.10801040000000001</v>
      </c>
      <c r="W3157">
        <v>0.13871269999999999</v>
      </c>
      <c r="X3157">
        <v>0.98442499999999999</v>
      </c>
      <c r="Y3157">
        <v>0.1843458</v>
      </c>
      <c r="Z3157">
        <v>2.6317790000000001E-2</v>
      </c>
      <c r="AA3157">
        <v>0.98250899999999997</v>
      </c>
      <c r="AB3157">
        <v>30</v>
      </c>
      <c r="AC3157">
        <v>-9.2162000000000095</v>
      </c>
      <c r="AD3157">
        <v>-1.10786194741</v>
      </c>
      <c r="AE3157">
        <v>-40.858800000000002</v>
      </c>
      <c r="AF3157">
        <v>7.7727687599953201</v>
      </c>
      <c r="AG3157">
        <v>-1.10786194741</v>
      </c>
      <c r="AH3157">
        <v>41.127992937417702</v>
      </c>
      <c r="AI3157">
        <v>91.5161731301137</v>
      </c>
      <c r="AJ3157">
        <v>79.297909995521493</v>
      </c>
      <c r="AK3157">
        <v>41.8706949470767</v>
      </c>
      <c r="AL3157">
        <v>82.026637566080595</v>
      </c>
      <c r="AM3157">
        <v>83.738593902874101</v>
      </c>
      <c r="AN3157">
        <v>1.0000000201372199</v>
      </c>
    </row>
    <row r="3158" spans="1:40" x14ac:dyDescent="0.25">
      <c r="A3158" t="str">
        <f>"20190312164534522"</f>
        <v>20190312164534522</v>
      </c>
      <c r="B3158" t="str">
        <f>"1552380334515165"</f>
        <v>1552380334515165</v>
      </c>
      <c r="C3158" t="s">
        <v>40</v>
      </c>
      <c r="D3158">
        <v>5.0066309999999996</v>
      </c>
      <c r="E3158">
        <v>0.53214249999999996</v>
      </c>
      <c r="F3158" t="s">
        <v>71</v>
      </c>
      <c r="G3158">
        <v>-198.2585</v>
      </c>
      <c r="H3158" s="1">
        <v>-1.188289E-5</v>
      </c>
      <c r="I3158">
        <v>148.56569999999999</v>
      </c>
      <c r="J3158">
        <v>-189.1301</v>
      </c>
      <c r="K3158">
        <v>1.108053</v>
      </c>
      <c r="L3158">
        <v>189.32810000000001</v>
      </c>
      <c r="M3158">
        <v>-3.600387E-2</v>
      </c>
      <c r="N3158">
        <v>0</v>
      </c>
      <c r="O3158">
        <v>-0.99925710000000001</v>
      </c>
      <c r="P3158">
        <v>-0.1400527</v>
      </c>
      <c r="Q3158">
        <v>0.1248257</v>
      </c>
      <c r="R3158">
        <v>-0.98224429999999996</v>
      </c>
      <c r="S3158">
        <v>-0.66122440000000005</v>
      </c>
      <c r="T3158">
        <v>-8.0148940000000002E-2</v>
      </c>
      <c r="U3158">
        <v>-2.9699399999999998</v>
      </c>
      <c r="V3158">
        <v>0.10495110000000001</v>
      </c>
      <c r="W3158">
        <v>0.1381252</v>
      </c>
      <c r="X3158">
        <v>0.9848384</v>
      </c>
      <c r="Y3158">
        <v>0.1819547</v>
      </c>
      <c r="Z3158">
        <v>2.6402559999999999E-2</v>
      </c>
      <c r="AA3158">
        <v>0.98295239999999995</v>
      </c>
      <c r="AB3158">
        <v>30</v>
      </c>
      <c r="AC3158">
        <v>-9.1283999999999992</v>
      </c>
      <c r="AD3158">
        <v>-1.1080648828899999</v>
      </c>
      <c r="AE3158">
        <v>-40.7624</v>
      </c>
      <c r="AF3158">
        <v>7.6493551462219997</v>
      </c>
      <c r="AG3158">
        <v>-1.1080648828899999</v>
      </c>
      <c r="AH3158">
        <v>41.035780485160103</v>
      </c>
      <c r="AI3158">
        <v>91.520568342865602</v>
      </c>
      <c r="AJ3158">
        <v>79.440856246255905</v>
      </c>
      <c r="AK3158">
        <v>41.757343329814198</v>
      </c>
      <c r="AL3158">
        <v>82.060625769912605</v>
      </c>
      <c r="AM3158">
        <v>83.917128139063394</v>
      </c>
      <c r="AN3158">
        <v>0.999999989190404</v>
      </c>
    </row>
    <row r="3159" spans="1:40" x14ac:dyDescent="0.25">
      <c r="A3159" t="str">
        <f>"20190312164534535"</f>
        <v>20190312164534535</v>
      </c>
      <c r="B3159" t="str">
        <f>"1552380334524926"</f>
        <v>1552380334524926</v>
      </c>
      <c r="C3159" t="s">
        <v>40</v>
      </c>
      <c r="D3159">
        <v>6.4297380000000004</v>
      </c>
      <c r="E3159">
        <v>0.53279500000000002</v>
      </c>
      <c r="F3159" t="s">
        <v>71</v>
      </c>
      <c r="G3159">
        <v>-198.2208</v>
      </c>
      <c r="H3159" s="1">
        <v>-1.176328E-5</v>
      </c>
      <c r="I3159">
        <v>148.13749999999999</v>
      </c>
      <c r="J3159">
        <v>-189.13679999999999</v>
      </c>
      <c r="K3159">
        <v>1.1081449999999999</v>
      </c>
      <c r="L3159">
        <v>189.16120000000001</v>
      </c>
      <c r="M3159">
        <v>-3.6478869999999997E-2</v>
      </c>
      <c r="N3159">
        <v>0</v>
      </c>
      <c r="O3159">
        <v>-0.99923989999999996</v>
      </c>
      <c r="P3159">
        <v>-0.1393887</v>
      </c>
      <c r="Q3159">
        <v>0.124366</v>
      </c>
      <c r="R3159">
        <v>-0.98239710000000002</v>
      </c>
      <c r="S3159">
        <v>-0.65567019999999998</v>
      </c>
      <c r="T3159">
        <v>-7.991993E-2</v>
      </c>
      <c r="U3159">
        <v>-2.970901</v>
      </c>
      <c r="V3159">
        <v>0.1037787</v>
      </c>
      <c r="W3159">
        <v>0.13768079999999999</v>
      </c>
      <c r="X3159">
        <v>0.98502489999999998</v>
      </c>
      <c r="Y3159">
        <v>0.1796681</v>
      </c>
      <c r="Z3159">
        <v>2.6329020000000002E-2</v>
      </c>
      <c r="AA3159">
        <v>0.98337490000000005</v>
      </c>
      <c r="AB3159">
        <v>30</v>
      </c>
      <c r="AC3159">
        <v>-9.0839999999999996</v>
      </c>
      <c r="AD3159">
        <v>-1.10815676328</v>
      </c>
      <c r="AE3159">
        <v>-41.023699999999998</v>
      </c>
      <c r="AF3159">
        <v>7.5760434712305997</v>
      </c>
      <c r="AG3159">
        <v>-1.10815676328</v>
      </c>
      <c r="AH3159">
        <v>41.299069242956698</v>
      </c>
      <c r="AI3159">
        <v>91.511804717846999</v>
      </c>
      <c r="AJ3159">
        <v>79.605038613351695</v>
      </c>
      <c r="AK3159">
        <v>42.0028280765058</v>
      </c>
      <c r="AL3159">
        <v>82.086334018760894</v>
      </c>
      <c r="AM3159">
        <v>83.985708959714003</v>
      </c>
      <c r="AN3159">
        <v>1.00000003744116</v>
      </c>
    </row>
    <row r="3160" spans="1:40" x14ac:dyDescent="0.25">
      <c r="A3160" t="str">
        <f>"20190312164534547"</f>
        <v>20190312164534547</v>
      </c>
      <c r="B3160" t="str">
        <f>"1552380334544447"</f>
        <v>1552380334544447</v>
      </c>
      <c r="C3160" t="s">
        <v>40</v>
      </c>
      <c r="D3160">
        <v>5.2879490000000002</v>
      </c>
      <c r="E3160">
        <v>0.47369489999999997</v>
      </c>
      <c r="F3160" t="s">
        <v>71</v>
      </c>
      <c r="G3160">
        <v>-198.22229999999999</v>
      </c>
      <c r="H3160" s="1">
        <v>-1.1781620000000001E-5</v>
      </c>
      <c r="I3160">
        <v>148.20609999999999</v>
      </c>
      <c r="J3160">
        <v>-189.14359999999999</v>
      </c>
      <c r="K3160">
        <v>1.1082339999999999</v>
      </c>
      <c r="L3160">
        <v>188.9915</v>
      </c>
      <c r="M3160">
        <v>-3.6923999999999998E-2</v>
      </c>
      <c r="N3160">
        <v>0</v>
      </c>
      <c r="O3160">
        <v>-0.99922390000000005</v>
      </c>
      <c r="P3160">
        <v>-0.13863589999999901</v>
      </c>
      <c r="Q3160">
        <v>0.1239127</v>
      </c>
      <c r="R3160">
        <v>-0.98256089999999996</v>
      </c>
      <c r="S3160">
        <v>-0.6589661</v>
      </c>
      <c r="T3160">
        <v>-8.0373639999999996E-2</v>
      </c>
      <c r="U3160">
        <v>-2.9704440000000001</v>
      </c>
      <c r="V3160">
        <v>0.1025488</v>
      </c>
      <c r="W3160">
        <v>0.13724159999999999</v>
      </c>
      <c r="X3160">
        <v>0.9852149</v>
      </c>
      <c r="Y3160">
        <v>0.18030109999999999</v>
      </c>
      <c r="Z3160">
        <v>2.6477029999999999E-2</v>
      </c>
      <c r="AA3160">
        <v>0.98325499999999999</v>
      </c>
      <c r="AB3160">
        <v>30</v>
      </c>
      <c r="AC3160">
        <v>-9.0786999999999907</v>
      </c>
      <c r="AD3160">
        <v>-1.10824578162</v>
      </c>
      <c r="AE3160">
        <v>-40.785400000000003</v>
      </c>
      <c r="AF3160">
        <v>7.5610868311146797</v>
      </c>
      <c r="AG3160">
        <v>-1.10824578162</v>
      </c>
      <c r="AH3160">
        <v>41.063947509187699</v>
      </c>
      <c r="AI3160">
        <v>91.520393575389704</v>
      </c>
      <c r="AJ3160">
        <v>79.567011159873203</v>
      </c>
      <c r="AK3160">
        <v>41.768960099785303</v>
      </c>
      <c r="AL3160">
        <v>82.111738849504505</v>
      </c>
      <c r="AM3160">
        <v>84.057610165562295</v>
      </c>
      <c r="AN3160">
        <v>0.99999995616700399</v>
      </c>
    </row>
    <row r="3161" spans="1:40" x14ac:dyDescent="0.25">
      <c r="A3161" t="str">
        <f>"20190312164534565"</f>
        <v>20190312164534565</v>
      </c>
      <c r="B3161" t="str">
        <f>"1552380334555184"</f>
        <v>1552380334555184</v>
      </c>
      <c r="C3161" t="s">
        <v>40</v>
      </c>
      <c r="D3161">
        <v>5.2421040000000003</v>
      </c>
      <c r="E3161">
        <v>0.4721669</v>
      </c>
      <c r="F3161" t="s">
        <v>42</v>
      </c>
      <c r="G3161">
        <v>-190.78100000000001</v>
      </c>
      <c r="H3161" s="1">
        <v>-1.5236429999999901E-6</v>
      </c>
      <c r="I3161">
        <v>162.37530000000001</v>
      </c>
      <c r="J3161">
        <v>-189.15309999999999</v>
      </c>
      <c r="K3161">
        <v>1.108344</v>
      </c>
      <c r="L3161">
        <v>188.7535</v>
      </c>
      <c r="M3161">
        <v>-3.7464989999999997E-2</v>
      </c>
      <c r="N3161">
        <v>0</v>
      </c>
      <c r="O3161">
        <v>-0.99920390000000003</v>
      </c>
      <c r="P3161">
        <v>-0.13659160000000001</v>
      </c>
      <c r="Q3161">
        <v>0.12291439999999999</v>
      </c>
      <c r="R3161">
        <v>-0.98297239999999997</v>
      </c>
      <c r="S3161">
        <v>-0.18719479999999999</v>
      </c>
      <c r="T3161">
        <v>-0.12669620000000001</v>
      </c>
      <c r="U3161">
        <v>-3.0428310000000001</v>
      </c>
      <c r="V3161">
        <v>9.9917080000000005E-2</v>
      </c>
      <c r="W3161">
        <v>0.13626279999999999</v>
      </c>
      <c r="X3161">
        <v>0.98562119999999998</v>
      </c>
      <c r="Y3161">
        <v>2.3909980000000001E-2</v>
      </c>
      <c r="Z3161">
        <v>4.1512680000000003E-2</v>
      </c>
      <c r="AA3161">
        <v>0.99885179999999996</v>
      </c>
      <c r="AB3161">
        <v>30</v>
      </c>
      <c r="AC3161">
        <v>-1.6278999999999799</v>
      </c>
      <c r="AD3161">
        <v>-1.108345523643</v>
      </c>
      <c r="AE3161">
        <v>-26.3782</v>
      </c>
      <c r="AF3161">
        <v>0.63728418708145196</v>
      </c>
      <c r="AG3161">
        <v>-1.108345523643</v>
      </c>
      <c r="AH3161">
        <v>26.374286138712399</v>
      </c>
      <c r="AI3161">
        <v>92.405664368478995</v>
      </c>
      <c r="AJ3161">
        <v>88.615826402480593</v>
      </c>
      <c r="AK3161">
        <v>26.405255731796299</v>
      </c>
      <c r="AL3161">
        <v>82.168352657839705</v>
      </c>
      <c r="AM3161">
        <v>84.211431335208403</v>
      </c>
      <c r="AN3161">
        <v>1.0000000617145</v>
      </c>
    </row>
    <row r="3162" spans="1:40" x14ac:dyDescent="0.25">
      <c r="A3162" t="str">
        <f>"20190312164534579"</f>
        <v>20190312164534579</v>
      </c>
      <c r="B3162" t="str">
        <f>"1552380334574702"</f>
        <v>1552380334574702</v>
      </c>
      <c r="C3162" t="s">
        <v>40</v>
      </c>
      <c r="D3162">
        <v>4.9746769999999998</v>
      </c>
      <c r="E3162">
        <v>0.47500009999999998</v>
      </c>
      <c r="F3162" t="s">
        <v>42</v>
      </c>
      <c r="G3162">
        <v>-190.64699999999999</v>
      </c>
      <c r="H3162" s="1">
        <v>-1.1825699999999999E-6</v>
      </c>
      <c r="I3162">
        <v>161.72909999999999</v>
      </c>
      <c r="J3162">
        <v>-189.1601</v>
      </c>
      <c r="K3162">
        <v>1.1084149999999999</v>
      </c>
      <c r="L3162">
        <v>188.57910000000001</v>
      </c>
      <c r="M3162">
        <v>-3.7813739999999998E-2</v>
      </c>
      <c r="N3162">
        <v>0</v>
      </c>
      <c r="O3162">
        <v>-0.99919069999999999</v>
      </c>
      <c r="P3162">
        <v>-0.13573750000000001</v>
      </c>
      <c r="Q3162">
        <v>0.1223234</v>
      </c>
      <c r="R3162">
        <v>-0.98316440000000005</v>
      </c>
      <c r="S3162">
        <v>-0.1682892</v>
      </c>
      <c r="T3162">
        <v>-0.1248507</v>
      </c>
      <c r="U3162">
        <v>-3.0441889999999998</v>
      </c>
      <c r="V3162">
        <v>9.8686140000000006E-2</v>
      </c>
      <c r="W3162">
        <v>0.1356822</v>
      </c>
      <c r="X3162">
        <v>0.98582519999999996</v>
      </c>
      <c r="Y3162">
        <v>1.735248E-2</v>
      </c>
      <c r="Z3162">
        <v>4.0900180000000001E-2</v>
      </c>
      <c r="AA3162">
        <v>0.99901249999999997</v>
      </c>
      <c r="AB3162">
        <v>30</v>
      </c>
      <c r="AC3162">
        <v>-1.4869000000000201</v>
      </c>
      <c r="AD3162">
        <v>-1.1084161825700001</v>
      </c>
      <c r="AE3162">
        <v>-26.85</v>
      </c>
      <c r="AF3162">
        <v>0.46964405789702601</v>
      </c>
      <c r="AG3162">
        <v>-1.1084161825700001</v>
      </c>
      <c r="AH3162">
        <v>26.8414209956102</v>
      </c>
      <c r="AI3162">
        <v>92.364323569765105</v>
      </c>
      <c r="AJ3162">
        <v>88.997598639700399</v>
      </c>
      <c r="AK3162">
        <v>26.868402130355399</v>
      </c>
      <c r="AL3162">
        <v>82.201929710476804</v>
      </c>
      <c r="AM3162">
        <v>84.283444197504096</v>
      </c>
      <c r="AN3162">
        <v>0.99999996928998902</v>
      </c>
    </row>
    <row r="3163" spans="1:40" x14ac:dyDescent="0.25">
      <c r="A3163" t="str">
        <f>"20190312164534591"</f>
        <v>20190312164534591</v>
      </c>
      <c r="B3163" t="str">
        <f>"1552380334584462"</f>
        <v>1552380334584462</v>
      </c>
      <c r="C3163" t="s">
        <v>40</v>
      </c>
      <c r="D3163">
        <v>4.9988720000000004</v>
      </c>
      <c r="E3163">
        <v>0.4756012</v>
      </c>
      <c r="F3163" t="s">
        <v>71</v>
      </c>
      <c r="G3163">
        <v>-191.43350000000001</v>
      </c>
      <c r="H3163" s="1">
        <v>-1.2021249999999999E-5</v>
      </c>
      <c r="I3163">
        <v>152.11500000000001</v>
      </c>
      <c r="J3163">
        <v>-189.16640000000001</v>
      </c>
      <c r="K3163">
        <v>1.1084769999999999</v>
      </c>
      <c r="L3163">
        <v>188.42259999999999</v>
      </c>
      <c r="M3163">
        <v>-3.8107639999999998E-2</v>
      </c>
      <c r="N3163">
        <v>0</v>
      </c>
      <c r="O3163">
        <v>-0.99917979999999995</v>
      </c>
      <c r="P3163">
        <v>-0.13475699999999999</v>
      </c>
      <c r="Q3163">
        <v>0.12134639999999999</v>
      </c>
      <c r="R3163">
        <v>-0.98342039999999997</v>
      </c>
      <c r="S3163">
        <v>-0.1893311</v>
      </c>
      <c r="T3163">
        <v>-9.2308879999999996E-2</v>
      </c>
      <c r="U3163">
        <v>-3.0366970000000002</v>
      </c>
      <c r="V3163">
        <v>9.7383620000000004E-2</v>
      </c>
      <c r="W3163">
        <v>0.13471459999999999</v>
      </c>
      <c r="X3163">
        <v>0.98608739999999995</v>
      </c>
      <c r="Y3163">
        <v>2.4115669999999999E-2</v>
      </c>
      <c r="Z3163">
        <v>3.0316849999999999E-2</v>
      </c>
      <c r="AA3163">
        <v>0.99924939999999995</v>
      </c>
      <c r="AB3163">
        <v>30</v>
      </c>
      <c r="AC3163">
        <v>-2.2670999999999899</v>
      </c>
      <c r="AD3163">
        <v>-1.10848902125</v>
      </c>
      <c r="AE3163">
        <v>-36.307599999999901</v>
      </c>
      <c r="AF3163">
        <v>0.88090834018568698</v>
      </c>
      <c r="AG3163">
        <v>-1.10848902125</v>
      </c>
      <c r="AH3163">
        <v>36.333888909084401</v>
      </c>
      <c r="AI3163">
        <v>91.746947816182001</v>
      </c>
      <c r="AJ3163">
        <v>88.611146628234295</v>
      </c>
      <c r="AK3163">
        <v>36.361466288802603</v>
      </c>
      <c r="AL3163">
        <v>82.257882899324898</v>
      </c>
      <c r="AM3163">
        <v>84.359895267864005</v>
      </c>
      <c r="AN3163">
        <v>0.99999997666811102</v>
      </c>
    </row>
    <row r="3164" spans="1:40" x14ac:dyDescent="0.25">
      <c r="A3164" t="str">
        <f>"20190312164534603"</f>
        <v>20190312164534603</v>
      </c>
      <c r="B3164" t="str">
        <f>"1552380334595198"</f>
        <v>1552380334595198</v>
      </c>
      <c r="C3164" t="s">
        <v>40</v>
      </c>
      <c r="D3164">
        <v>5.0546150000000001</v>
      </c>
      <c r="E3164">
        <v>0.4760585</v>
      </c>
      <c r="F3164" t="s">
        <v>71</v>
      </c>
      <c r="G3164">
        <v>-191.5532</v>
      </c>
      <c r="H3164" s="1">
        <v>-1.1362269999999999E-5</v>
      </c>
      <c r="I3164">
        <v>150.52940000000001</v>
      </c>
      <c r="J3164">
        <v>-189.17310000000001</v>
      </c>
      <c r="K3164">
        <v>1.108535</v>
      </c>
      <c r="L3164">
        <v>188.25700000000001</v>
      </c>
      <c r="M3164">
        <v>-3.8381419999999999E-2</v>
      </c>
      <c r="N3164">
        <v>0</v>
      </c>
      <c r="O3164">
        <v>-0.9991698</v>
      </c>
      <c r="P3164">
        <v>-0.13386500000000001</v>
      </c>
      <c r="Q3164">
        <v>0.12085460000000001</v>
      </c>
      <c r="R3164">
        <v>-0.98360300000000001</v>
      </c>
      <c r="S3164">
        <v>-0.19119259999999999</v>
      </c>
      <c r="T3164">
        <v>-8.8792200000000002E-2</v>
      </c>
      <c r="U3164">
        <v>-3.0353240000000001</v>
      </c>
      <c r="V3164">
        <v>9.6193699999999993E-2</v>
      </c>
      <c r="W3164">
        <v>0.13423170000000001</v>
      </c>
      <c r="X3164">
        <v>0.98627010000000004</v>
      </c>
      <c r="Y3164">
        <v>2.4482440000000001E-2</v>
      </c>
      <c r="Z3164">
        <v>2.917488E-2</v>
      </c>
      <c r="AA3164">
        <v>0.99927440000000001</v>
      </c>
      <c r="AB3164">
        <v>30</v>
      </c>
      <c r="AC3164">
        <v>-2.3800999999999899</v>
      </c>
      <c r="AD3164">
        <v>-1.10854636227</v>
      </c>
      <c r="AE3164">
        <v>-37.727600000000002</v>
      </c>
      <c r="AF3164">
        <v>0.929372760541475</v>
      </c>
      <c r="AG3164">
        <v>-1.10854636227</v>
      </c>
      <c r="AH3164">
        <v>37.758685895896299</v>
      </c>
      <c r="AI3164">
        <v>91.681138343050804</v>
      </c>
      <c r="AJ3164">
        <v>88.590036008298796</v>
      </c>
      <c r="AK3164">
        <v>37.786386031880497</v>
      </c>
      <c r="AL3164">
        <v>82.285805158804294</v>
      </c>
      <c r="AM3164">
        <v>84.429400426049597</v>
      </c>
      <c r="AN3164">
        <v>1.00000004367929</v>
      </c>
    </row>
    <row r="3165" spans="1:40" x14ac:dyDescent="0.25">
      <c r="A3165" t="str">
        <f>"20190312164534615"</f>
        <v>20190312164534615</v>
      </c>
      <c r="B3165" t="str">
        <f>"1552380334604957"</f>
        <v>1552380334604957</v>
      </c>
      <c r="C3165" t="s">
        <v>40</v>
      </c>
      <c r="D3165">
        <v>4.9929100000000002</v>
      </c>
      <c r="E3165">
        <v>0.47649910000000001</v>
      </c>
      <c r="F3165" t="s">
        <v>71</v>
      </c>
      <c r="G3165">
        <v>-191.65819999999999</v>
      </c>
      <c r="H3165" s="1">
        <v>-1.083909E-5</v>
      </c>
      <c r="I3165">
        <v>149.0472</v>
      </c>
      <c r="J3165">
        <v>-189.1797</v>
      </c>
      <c r="K3165">
        <v>1.1085860000000001</v>
      </c>
      <c r="L3165">
        <v>188.09379999999999</v>
      </c>
      <c r="M3165">
        <v>-3.8630190000000002E-2</v>
      </c>
      <c r="N3165">
        <v>0</v>
      </c>
      <c r="O3165">
        <v>-0.99916020000000005</v>
      </c>
      <c r="P3165">
        <v>-0.13293540000000001</v>
      </c>
      <c r="Q3165">
        <v>0.12011479999999999</v>
      </c>
      <c r="R3165">
        <v>-0.98381949999999996</v>
      </c>
      <c r="S3165">
        <v>-0.19232179999999999</v>
      </c>
      <c r="T3165">
        <v>-8.5787890000000006E-2</v>
      </c>
      <c r="U3165">
        <v>-3.0343629999999999</v>
      </c>
      <c r="V3165">
        <v>9.4991320000000004E-2</v>
      </c>
      <c r="W3165">
        <v>0.133499799999999</v>
      </c>
      <c r="X3165">
        <v>0.98648590000000003</v>
      </c>
      <c r="Y3165">
        <v>2.462553E-2</v>
      </c>
      <c r="Z3165">
        <v>2.8196659999999998E-2</v>
      </c>
      <c r="AA3165">
        <v>0.99929900000000005</v>
      </c>
      <c r="AB3165">
        <v>30</v>
      </c>
      <c r="AC3165">
        <v>-2.4784999999999902</v>
      </c>
      <c r="AD3165">
        <v>-1.1085968390899901</v>
      </c>
      <c r="AE3165">
        <v>-39.046599999999899</v>
      </c>
      <c r="AF3165">
        <v>0.96735467036440503</v>
      </c>
      <c r="AG3165">
        <v>-1.1085968390899901</v>
      </c>
      <c r="AH3165">
        <v>39.0818262336876</v>
      </c>
      <c r="AI3165">
        <v>91.6243217174747</v>
      </c>
      <c r="AJ3165">
        <v>88.582102465976504</v>
      </c>
      <c r="AK3165">
        <v>39.1095116790029</v>
      </c>
      <c r="AL3165">
        <v>82.328120381367398</v>
      </c>
      <c r="AM3165">
        <v>84.499796764956002</v>
      </c>
      <c r="AN3165">
        <v>0.99999998918709598</v>
      </c>
    </row>
    <row r="3166" spans="1:40" x14ac:dyDescent="0.25">
      <c r="A3166" t="str">
        <f>"20190312164534633"</f>
        <v>20190312164534633</v>
      </c>
      <c r="B3166" t="str">
        <f>"1552380334624480"</f>
        <v>1552380334624480</v>
      </c>
      <c r="C3166" t="s">
        <v>40</v>
      </c>
      <c r="D3166">
        <v>5.1150260000000003</v>
      </c>
      <c r="E3166">
        <v>0.47711949999999997</v>
      </c>
      <c r="F3166" t="s">
        <v>71</v>
      </c>
      <c r="G3166">
        <v>-191.68369999999999</v>
      </c>
      <c r="H3166" s="1">
        <v>-1.077462E-5</v>
      </c>
      <c r="I3166">
        <v>148.78559999999999</v>
      </c>
      <c r="J3166">
        <v>-189.18899999999999</v>
      </c>
      <c r="K3166">
        <v>1.1086469999999999</v>
      </c>
      <c r="L3166">
        <v>187.8631</v>
      </c>
      <c r="M3166">
        <v>-3.8947620000000002E-2</v>
      </c>
      <c r="N3166">
        <v>0</v>
      </c>
      <c r="O3166">
        <v>-0.99914809999999998</v>
      </c>
      <c r="P3166">
        <v>-0.1314275</v>
      </c>
      <c r="Q3166">
        <v>0.11881</v>
      </c>
      <c r="R3166">
        <v>-0.98418079999999997</v>
      </c>
      <c r="S3166">
        <v>-0.1932526</v>
      </c>
      <c r="T3166">
        <v>-8.5558410000000001E-2</v>
      </c>
      <c r="U3166">
        <v>-3.0336910000000001</v>
      </c>
      <c r="V3166">
        <v>9.3132430000000002E-2</v>
      </c>
      <c r="W3166">
        <v>0.1322053</v>
      </c>
      <c r="X3166">
        <v>0.98683739999999998</v>
      </c>
      <c r="Y3166">
        <v>2.4627400000000001E-2</v>
      </c>
      <c r="Z3166">
        <v>2.8126709999999999E-2</v>
      </c>
      <c r="AA3166">
        <v>0.99930099999999999</v>
      </c>
      <c r="AB3166">
        <v>30</v>
      </c>
      <c r="AC3166">
        <v>-2.4946999999999599</v>
      </c>
      <c r="AD3166">
        <v>-1.1086577746199999</v>
      </c>
      <c r="AE3166">
        <v>-39.077500000000001</v>
      </c>
      <c r="AF3166">
        <v>0.96991198655905997</v>
      </c>
      <c r="AG3166">
        <v>-1.1086577746199999</v>
      </c>
      <c r="AH3166">
        <v>39.113661471545697</v>
      </c>
      <c r="AI3166">
        <v>91.623087709106699</v>
      </c>
      <c r="AJ3166">
        <v>88.579512247758103</v>
      </c>
      <c r="AK3166">
        <v>39.141389411128102</v>
      </c>
      <c r="AL3166">
        <v>82.402952977689296</v>
      </c>
      <c r="AM3166">
        <v>84.608699274219603</v>
      </c>
      <c r="AN3166">
        <v>0.99999997245227701</v>
      </c>
    </row>
    <row r="3167" spans="1:40" x14ac:dyDescent="0.25">
      <c r="A3167" t="str">
        <f>"20190312164534645"</f>
        <v>20190312164534645</v>
      </c>
      <c r="B3167" t="str">
        <f>"1552380334635214"</f>
        <v>1552380334635214</v>
      </c>
      <c r="C3167" t="s">
        <v>40</v>
      </c>
      <c r="D3167">
        <v>5.0555719999999997</v>
      </c>
      <c r="E3167">
        <v>0.47747719999999999</v>
      </c>
      <c r="F3167" t="s">
        <v>71</v>
      </c>
      <c r="G3167">
        <v>-191.6962</v>
      </c>
      <c r="H3167" s="1">
        <v>-1.07515E-5</v>
      </c>
      <c r="I3167">
        <v>148.68950000000001</v>
      </c>
      <c r="J3167">
        <v>-189.19579999999999</v>
      </c>
      <c r="K3167">
        <v>1.10869</v>
      </c>
      <c r="L3167">
        <v>187.6962</v>
      </c>
      <c r="M3167">
        <v>-3.9153130000000001E-2</v>
      </c>
      <c r="N3167">
        <v>0</v>
      </c>
      <c r="O3167">
        <v>-0.99913989999999997</v>
      </c>
      <c r="P3167">
        <v>-0.13101070000000001</v>
      </c>
      <c r="Q3167">
        <v>0.11831270000000001</v>
      </c>
      <c r="R3167">
        <v>-0.9842957</v>
      </c>
      <c r="S3167">
        <v>-0.19409180000000001</v>
      </c>
      <c r="T3167">
        <v>-8.5827710000000002E-2</v>
      </c>
      <c r="U3167">
        <v>-3.032654</v>
      </c>
      <c r="V3167">
        <v>9.249346E-2</v>
      </c>
      <c r="W3167">
        <v>0.13171179999999999</v>
      </c>
      <c r="X3167">
        <v>0.98696349999999999</v>
      </c>
      <c r="Y3167">
        <v>2.4718690000000001E-2</v>
      </c>
      <c r="Z3167">
        <v>2.822417E-2</v>
      </c>
      <c r="AA3167">
        <v>0.99929590000000001</v>
      </c>
      <c r="AB3167">
        <v>30</v>
      </c>
      <c r="AC3167">
        <v>-2.5004000000000102</v>
      </c>
      <c r="AD3167">
        <v>-1.1087007515</v>
      </c>
      <c r="AE3167">
        <v>-39.006700000000002</v>
      </c>
      <c r="AF3167">
        <v>0.97032486197910095</v>
      </c>
      <c r="AG3167">
        <v>-1.1087007515</v>
      </c>
      <c r="AH3167">
        <v>39.043279112183697</v>
      </c>
      <c r="AI3167">
        <v>91.626072809496193</v>
      </c>
      <c r="AJ3167">
        <v>88.576347103022997</v>
      </c>
      <c r="AK3167">
        <v>39.0710684717737</v>
      </c>
      <c r="AL3167">
        <v>82.431478056463007</v>
      </c>
      <c r="AM3167">
        <v>84.646152739145705</v>
      </c>
      <c r="AN3167">
        <v>0.99999999436713005</v>
      </c>
    </row>
    <row r="3168" spans="1:40" x14ac:dyDescent="0.25">
      <c r="A3168" t="str">
        <f>"20190312164534658"</f>
        <v>20190312164534658</v>
      </c>
      <c r="B3168" t="str">
        <f>"1552380334654734"</f>
        <v>1552380334654734</v>
      </c>
      <c r="C3168" t="s">
        <v>40</v>
      </c>
      <c r="D3168">
        <v>5.0629929999999996</v>
      </c>
      <c r="E3168">
        <v>0.47782819999999998</v>
      </c>
      <c r="F3168" t="s">
        <v>71</v>
      </c>
      <c r="G3168">
        <v>-191.7063</v>
      </c>
      <c r="H3168" s="1">
        <v>-1.0778219999999999E-5</v>
      </c>
      <c r="I3168">
        <v>148.78399999999999</v>
      </c>
      <c r="J3168">
        <v>-189.2022</v>
      </c>
      <c r="K3168">
        <v>1.108722</v>
      </c>
      <c r="L3168">
        <v>187.53899999999999</v>
      </c>
      <c r="M3168">
        <v>-3.9327540000000001E-2</v>
      </c>
      <c r="N3168">
        <v>0</v>
      </c>
      <c r="O3168">
        <v>-0.99913339999999995</v>
      </c>
      <c r="P3168">
        <v>-0.13062879999999999</v>
      </c>
      <c r="Q3168">
        <v>0.1179187</v>
      </c>
      <c r="R3168">
        <v>-0.98439430000000006</v>
      </c>
      <c r="S3168">
        <v>-0.1956329</v>
      </c>
      <c r="T3168">
        <v>-8.6394550000000001E-2</v>
      </c>
      <c r="U3168">
        <v>-3.0321959999999999</v>
      </c>
      <c r="V3168">
        <v>9.1924130000000007E-2</v>
      </c>
      <c r="W3168">
        <v>0.13131999999999999</v>
      </c>
      <c r="X3168">
        <v>0.98706890000000003</v>
      </c>
      <c r="Y3168">
        <v>2.505928E-2</v>
      </c>
      <c r="Z3168">
        <v>2.8413819999999999E-2</v>
      </c>
      <c r="AA3168">
        <v>0.99928209999999995</v>
      </c>
      <c r="AB3168">
        <v>30</v>
      </c>
      <c r="AC3168">
        <v>-2.50409999999999</v>
      </c>
      <c r="AD3168">
        <v>-1.10873277822</v>
      </c>
      <c r="AE3168">
        <v>-38.755000000000003</v>
      </c>
      <c r="AF3168">
        <v>0.97708559838561004</v>
      </c>
      <c r="AG3168">
        <v>-1.10873277822</v>
      </c>
      <c r="AH3168">
        <v>38.7918840913918</v>
      </c>
      <c r="AI3168">
        <v>91.636638572914194</v>
      </c>
      <c r="AJ3168">
        <v>88.557145450410601</v>
      </c>
      <c r="AK3168">
        <v>38.820023905196798</v>
      </c>
      <c r="AL3168">
        <v>82.454123285971093</v>
      </c>
      <c r="AM3168">
        <v>84.679482751308598</v>
      </c>
      <c r="AN3168">
        <v>1.00000000071173</v>
      </c>
    </row>
    <row r="3169" spans="1:40" x14ac:dyDescent="0.25">
      <c r="A3169" t="str">
        <f>"20190312164534672"</f>
        <v>20190312164534672</v>
      </c>
      <c r="B3169" t="str">
        <f>"1552380334664494"</f>
        <v>1552380334664494</v>
      </c>
      <c r="C3169" t="s">
        <v>40</v>
      </c>
      <c r="D3169">
        <v>4.9859349999999996</v>
      </c>
      <c r="E3169">
        <v>0.4779699</v>
      </c>
      <c r="F3169" t="s">
        <v>71</v>
      </c>
      <c r="G3169">
        <v>-191.72229999999999</v>
      </c>
      <c r="H3169" s="1">
        <v>-1.079935E-5</v>
      </c>
      <c r="I3169">
        <v>148.85339999999999</v>
      </c>
      <c r="J3169">
        <v>-189.20939999999999</v>
      </c>
      <c r="K3169">
        <v>1.1087560000000001</v>
      </c>
      <c r="L3169">
        <v>187.3623</v>
      </c>
      <c r="M3169">
        <v>-3.9513520000000003E-2</v>
      </c>
      <c r="N3169">
        <v>0</v>
      </c>
      <c r="O3169">
        <v>-0.99912599999999996</v>
      </c>
      <c r="P3169">
        <v>-0.13050119999999901</v>
      </c>
      <c r="Q3169">
        <v>0.1173561</v>
      </c>
      <c r="R3169">
        <v>-0.98447790000000002</v>
      </c>
      <c r="S3169">
        <v>-0.19749449999999999</v>
      </c>
      <c r="T3169">
        <v>-8.6889859999999999E-2</v>
      </c>
      <c r="U3169">
        <v>-3.0317379999999998</v>
      </c>
      <c r="V3169">
        <v>9.1597849999999995E-2</v>
      </c>
      <c r="W3169">
        <v>0.13075929999999999</v>
      </c>
      <c r="X3169">
        <v>0.98717370000000004</v>
      </c>
      <c r="Y3169">
        <v>2.549359E-2</v>
      </c>
      <c r="Z3169">
        <v>2.8579859999999999E-2</v>
      </c>
      <c r="AA3169">
        <v>0.9992664</v>
      </c>
      <c r="AB3169">
        <v>29</v>
      </c>
      <c r="AC3169">
        <v>-2.5129000000000001</v>
      </c>
      <c r="AD3169">
        <v>-1.1087667993500001</v>
      </c>
      <c r="AE3169">
        <v>-38.508899999999997</v>
      </c>
      <c r="AF3169">
        <v>0.98835761067719496</v>
      </c>
      <c r="AG3169">
        <v>-1.1087667993500001</v>
      </c>
      <c r="AH3169">
        <v>38.5463034332059</v>
      </c>
      <c r="AI3169">
        <v>91.647091539553998</v>
      </c>
      <c r="AJ3169">
        <v>88.531212868487401</v>
      </c>
      <c r="AK3169">
        <v>38.574910537118598</v>
      </c>
      <c r="AL3169">
        <v>82.486528732213401</v>
      </c>
      <c r="AM3169">
        <v>84.698819485444702</v>
      </c>
      <c r="AN3169">
        <v>1.0000000373164</v>
      </c>
    </row>
    <row r="3170" spans="1:40" x14ac:dyDescent="0.25">
      <c r="A3170" t="str">
        <f>"20190312164534690"</f>
        <v>20190312164534690</v>
      </c>
      <c r="B3170" t="str">
        <f>"1552380334684990"</f>
        <v>1552380334684990</v>
      </c>
      <c r="C3170" t="s">
        <v>40</v>
      </c>
      <c r="D3170">
        <v>5.1134829999999996</v>
      </c>
      <c r="E3170">
        <v>0.47845529999999997</v>
      </c>
      <c r="F3170" t="s">
        <v>71</v>
      </c>
      <c r="G3170">
        <v>-191.75409999999999</v>
      </c>
      <c r="H3170" s="1">
        <v>-1.07165E-5</v>
      </c>
      <c r="I3170">
        <v>148.5179</v>
      </c>
      <c r="J3170">
        <v>-189.2193</v>
      </c>
      <c r="K3170">
        <v>1.108786</v>
      </c>
      <c r="L3170">
        <v>187.11789999999999</v>
      </c>
      <c r="M3170">
        <v>-3.9747789999999998E-2</v>
      </c>
      <c r="N3170">
        <v>0</v>
      </c>
      <c r="O3170">
        <v>-0.99911709999999998</v>
      </c>
      <c r="P3170">
        <v>-0.1298898</v>
      </c>
      <c r="Q3170">
        <v>0.1164568</v>
      </c>
      <c r="R3170">
        <v>-0.98466589999999998</v>
      </c>
      <c r="S3170">
        <v>-0.1985779</v>
      </c>
      <c r="T3170">
        <v>-8.6523890000000006E-2</v>
      </c>
      <c r="U3170">
        <v>-3.0312649999999999</v>
      </c>
      <c r="V3170">
        <v>9.0735460000000004E-2</v>
      </c>
      <c r="W3170">
        <v>0.12986099999999901</v>
      </c>
      <c r="X3170">
        <v>0.98737189999999997</v>
      </c>
      <c r="Y3170">
        <v>2.5625160000000001E-2</v>
      </c>
      <c r="Z3170">
        <v>2.8463229999999999E-2</v>
      </c>
      <c r="AA3170">
        <v>0.99926630000000005</v>
      </c>
      <c r="AB3170">
        <v>29</v>
      </c>
      <c r="AC3170">
        <v>-2.53479999999999</v>
      </c>
      <c r="AD3170">
        <v>-1.1087967164999999</v>
      </c>
      <c r="AE3170">
        <v>-38.6</v>
      </c>
      <c r="AF3170">
        <v>0.99757014946030598</v>
      </c>
      <c r="AG3170">
        <v>-1.1087967164999999</v>
      </c>
      <c r="AH3170">
        <v>38.6385071075902</v>
      </c>
      <c r="AI3170">
        <v>91.643200044197002</v>
      </c>
      <c r="AJ3170">
        <v>88.5210643718505</v>
      </c>
      <c r="AK3170">
        <v>38.667283430115901</v>
      </c>
      <c r="AL3170">
        <v>82.538440154971397</v>
      </c>
      <c r="AM3170">
        <v>84.749497783951099</v>
      </c>
      <c r="AN3170">
        <v>1.0000000359660099</v>
      </c>
    </row>
    <row r="3171" spans="1:40" x14ac:dyDescent="0.25">
      <c r="A3171" t="str">
        <f>"20190312164534713"</f>
        <v>20190312164534713</v>
      </c>
      <c r="B3171" t="str">
        <f>"1552380334704510"</f>
        <v>1552380334704510</v>
      </c>
      <c r="C3171" t="s">
        <v>40</v>
      </c>
      <c r="D3171">
        <v>4.9388360000000002</v>
      </c>
      <c r="E3171">
        <v>0.4789022</v>
      </c>
      <c r="F3171" t="s">
        <v>71</v>
      </c>
      <c r="G3171">
        <v>-191.7328</v>
      </c>
      <c r="H3171" s="1">
        <v>-1.0922429999999999E-5</v>
      </c>
      <c r="I3171">
        <v>149.31309999999999</v>
      </c>
      <c r="J3171">
        <v>-189.23159999999999</v>
      </c>
      <c r="K3171">
        <v>1.1088169999999999</v>
      </c>
      <c r="L3171">
        <v>186.81950000000001</v>
      </c>
      <c r="M3171">
        <v>-4.001366E-2</v>
      </c>
      <c r="N3171">
        <v>0</v>
      </c>
      <c r="O3171">
        <v>-0.99910659999999896</v>
      </c>
      <c r="P3171">
        <v>-0.1303491</v>
      </c>
      <c r="Q3171">
        <v>0.1159356</v>
      </c>
      <c r="R3171">
        <v>-0.98466690000000001</v>
      </c>
      <c r="S3171">
        <v>-0.20149230000000001</v>
      </c>
      <c r="T3171">
        <v>-8.8887690000000005E-2</v>
      </c>
      <c r="U3171">
        <v>-3.0306549999999999</v>
      </c>
      <c r="V3171">
        <v>9.09219E-2</v>
      </c>
      <c r="W3171">
        <v>0.12933620000000001</v>
      </c>
      <c r="X3171">
        <v>0.98742359999999896</v>
      </c>
      <c r="Y3171">
        <v>2.6327550000000002E-2</v>
      </c>
      <c r="Z3171">
        <v>2.92444E-2</v>
      </c>
      <c r="AA3171">
        <v>0.99922549999999999</v>
      </c>
      <c r="AB3171">
        <v>29</v>
      </c>
      <c r="AC3171">
        <v>-2.5012000000000101</v>
      </c>
      <c r="AD3171">
        <v>-1.1088279224299999</v>
      </c>
      <c r="AE3171">
        <v>-37.506399999999999</v>
      </c>
      <c r="AF3171">
        <v>0.99742149209505104</v>
      </c>
      <c r="AG3171">
        <v>-1.1088279224299999</v>
      </c>
      <c r="AH3171">
        <v>37.543779775666202</v>
      </c>
      <c r="AI3171">
        <v>91.691100610604096</v>
      </c>
      <c r="AJ3171">
        <v>88.478187254940707</v>
      </c>
      <c r="AK3171">
        <v>37.573391500344698</v>
      </c>
      <c r="AL3171">
        <v>82.568764490300197</v>
      </c>
      <c r="AM3171">
        <v>84.739043644891595</v>
      </c>
      <c r="AN3171">
        <v>1.0000000051835001</v>
      </c>
    </row>
    <row r="3172" spans="1:40" x14ac:dyDescent="0.25">
      <c r="A3172" t="str">
        <f>"20190312164534725"</f>
        <v>20190312164534725</v>
      </c>
      <c r="B3172" t="str">
        <f>"1552380334714269"</f>
        <v>1552380334714269</v>
      </c>
      <c r="C3172" t="s">
        <v>40</v>
      </c>
      <c r="D3172">
        <v>5.238111</v>
      </c>
      <c r="E3172">
        <v>0.47912860000000002</v>
      </c>
      <c r="F3172" t="s">
        <v>71</v>
      </c>
      <c r="G3172">
        <v>-191.79580000000001</v>
      </c>
      <c r="H3172" s="1">
        <v>-1.089715E-5</v>
      </c>
      <c r="I3172">
        <v>149.1748</v>
      </c>
      <c r="J3172">
        <v>-189.23849999999999</v>
      </c>
      <c r="K3172">
        <v>1.1088279999999999</v>
      </c>
      <c r="L3172">
        <v>186.6516</v>
      </c>
      <c r="M3172">
        <v>-4.015929E-2</v>
      </c>
      <c r="N3172">
        <v>0</v>
      </c>
      <c r="O3172">
        <v>-0.99910060000000001</v>
      </c>
      <c r="P3172">
        <v>-0.13059200000000001</v>
      </c>
      <c r="Q3172">
        <v>0.1157407</v>
      </c>
      <c r="R3172">
        <v>-0.98465729999999996</v>
      </c>
      <c r="S3172">
        <v>-0.2063904</v>
      </c>
      <c r="T3172">
        <v>-8.9246629999999993E-2</v>
      </c>
      <c r="U3172">
        <v>-3.029922</v>
      </c>
      <c r="V3172">
        <v>9.1017340000000002E-2</v>
      </c>
      <c r="W3172">
        <v>0.12913859999999999</v>
      </c>
      <c r="X3172">
        <v>0.9874406</v>
      </c>
      <c r="Y3172">
        <v>2.7805570000000002E-2</v>
      </c>
      <c r="Z3172">
        <v>2.9367029999999999E-2</v>
      </c>
      <c r="AA3172">
        <v>0.99918189999999996</v>
      </c>
      <c r="AB3172">
        <v>29</v>
      </c>
      <c r="AC3172">
        <v>-2.5573000000000201</v>
      </c>
      <c r="AD3172">
        <v>-1.1088388971500001</v>
      </c>
      <c r="AE3172">
        <v>-37.476799999999997</v>
      </c>
      <c r="AF3172">
        <v>1.0491413633244999</v>
      </c>
      <c r="AG3172">
        <v>-1.1088388971500001</v>
      </c>
      <c r="AH3172">
        <v>37.516580159305001</v>
      </c>
      <c r="AI3172">
        <v>91.692278275967794</v>
      </c>
      <c r="AJ3172">
        <v>88.3981559683765</v>
      </c>
      <c r="AK3172">
        <v>37.547623202403003</v>
      </c>
      <c r="AL3172">
        <v>82.580181372668505</v>
      </c>
      <c r="AM3172">
        <v>84.733642455138195</v>
      </c>
      <c r="AN3172">
        <v>0.99999993635949502</v>
      </c>
    </row>
    <row r="3173" spans="1:40" x14ac:dyDescent="0.25">
      <c r="A3173" t="str">
        <f>"20190312164534737"</f>
        <v>20190312164534737</v>
      </c>
      <c r="B3173" t="str">
        <f>"1552380334734766"</f>
        <v>1552380334734766</v>
      </c>
      <c r="C3173" t="s">
        <v>40</v>
      </c>
      <c r="D3173">
        <v>5.4296340000000001</v>
      </c>
      <c r="E3173">
        <v>0.47934090000000001</v>
      </c>
      <c r="F3173" t="s">
        <v>71</v>
      </c>
      <c r="G3173">
        <v>-191.81319999999999</v>
      </c>
      <c r="H3173" s="1">
        <v>-1.0942989999999999E-5</v>
      </c>
      <c r="I3173">
        <v>149.33690000000001</v>
      </c>
      <c r="J3173">
        <v>-189.24510000000001</v>
      </c>
      <c r="K3173">
        <v>1.1088389999999999</v>
      </c>
      <c r="L3173">
        <v>186.49090000000001</v>
      </c>
      <c r="M3173">
        <v>-4.029829E-2</v>
      </c>
      <c r="N3173">
        <v>0</v>
      </c>
      <c r="O3173">
        <v>-0.99909490000000001</v>
      </c>
      <c r="P3173">
        <v>-0.13112660000000001</v>
      </c>
      <c r="Q3173">
        <v>0.1158151</v>
      </c>
      <c r="R3173">
        <v>-0.98457740000000005</v>
      </c>
      <c r="S3173">
        <v>-0.20904539999999999</v>
      </c>
      <c r="T3173">
        <v>-9.0027930000000006E-2</v>
      </c>
      <c r="U3173">
        <v>-3.029617</v>
      </c>
      <c r="V3173">
        <v>9.1414919999999997E-2</v>
      </c>
      <c r="W3173">
        <v>0.1292085</v>
      </c>
      <c r="X3173">
        <v>0.98739480000000002</v>
      </c>
      <c r="Y3173">
        <v>2.854433E-2</v>
      </c>
      <c r="Z3173">
        <v>2.962542E-2</v>
      </c>
      <c r="AA3173">
        <v>0.99915339999999997</v>
      </c>
      <c r="AB3173">
        <v>29</v>
      </c>
      <c r="AC3173">
        <v>-2.5680999999999798</v>
      </c>
      <c r="AD3173">
        <v>-1.1088499429899901</v>
      </c>
      <c r="AE3173">
        <v>-37.154000000000003</v>
      </c>
      <c r="AF3173">
        <v>1.06768555601147</v>
      </c>
      <c r="AG3173">
        <v>-1.1088499429899901</v>
      </c>
      <c r="AH3173">
        <v>37.194341918987497</v>
      </c>
      <c r="AI3173">
        <v>91.706912134318699</v>
      </c>
      <c r="AJ3173">
        <v>88.355742333216</v>
      </c>
      <c r="AK3173">
        <v>37.226181263045703</v>
      </c>
      <c r="AL3173">
        <v>82.576143091883594</v>
      </c>
      <c r="AM3173">
        <v>84.710524308221395</v>
      </c>
      <c r="AN3173">
        <v>1.0000000075689399</v>
      </c>
    </row>
    <row r="3174" spans="1:40" x14ac:dyDescent="0.25">
      <c r="A3174" t="str">
        <f>"20190312164534755"</f>
        <v>20190312164534755</v>
      </c>
      <c r="B3174" t="str">
        <f>"1552380334744526"</f>
        <v>1552380334744526</v>
      </c>
      <c r="C3174" t="s">
        <v>40</v>
      </c>
      <c r="D3174">
        <v>4.9942820000000001</v>
      </c>
      <c r="E3174">
        <v>0.47955179999999997</v>
      </c>
      <c r="F3174" t="s">
        <v>71</v>
      </c>
      <c r="G3174">
        <v>-191.87090000000001</v>
      </c>
      <c r="H3174" s="1">
        <v>-1.086926E-5</v>
      </c>
      <c r="I3174">
        <v>149.01859999999999</v>
      </c>
      <c r="J3174">
        <v>-189.25460000000001</v>
      </c>
      <c r="K3174">
        <v>1.108846</v>
      </c>
      <c r="L3174">
        <v>186.2619</v>
      </c>
      <c r="M3174">
        <v>-4.0497970000000001E-2</v>
      </c>
      <c r="N3174">
        <v>0</v>
      </c>
      <c r="O3174">
        <v>-0.99908699999999995</v>
      </c>
      <c r="P3174">
        <v>-0.13262289999999999</v>
      </c>
      <c r="Q3174">
        <v>0.1156267</v>
      </c>
      <c r="R3174">
        <v>-0.98439940000000004</v>
      </c>
      <c r="S3174">
        <v>-0.21226500000000001</v>
      </c>
      <c r="T3174">
        <v>-8.9639070000000001E-2</v>
      </c>
      <c r="U3174">
        <v>-3.0292509999999999</v>
      </c>
      <c r="V3174">
        <v>9.2717400000000005E-2</v>
      </c>
      <c r="W3174">
        <v>0.1290133</v>
      </c>
      <c r="X3174">
        <v>0.98729880000000003</v>
      </c>
      <c r="Y3174">
        <v>2.9409930000000001E-2</v>
      </c>
      <c r="Z3174">
        <v>2.9499310000000001E-2</v>
      </c>
      <c r="AA3174">
        <v>0.99913200000000002</v>
      </c>
      <c r="AB3174">
        <v>29</v>
      </c>
      <c r="AC3174">
        <v>-2.6162999999999901</v>
      </c>
      <c r="AD3174">
        <v>-1.10885686926</v>
      </c>
      <c r="AE3174">
        <v>-37.243299999999998</v>
      </c>
      <c r="AF3174">
        <v>1.1047610946450701</v>
      </c>
      <c r="AG3174">
        <v>-1.10885686926</v>
      </c>
      <c r="AH3174">
        <v>37.285815618731199</v>
      </c>
      <c r="AI3174">
        <v>91.702691825409701</v>
      </c>
      <c r="AJ3174">
        <v>88.302849663910905</v>
      </c>
      <c r="AK3174">
        <v>37.318656285921797</v>
      </c>
      <c r="AL3174">
        <v>82.587421080306797</v>
      </c>
      <c r="AM3174">
        <v>84.635077876202402</v>
      </c>
      <c r="AN3174">
        <v>0.999999934160542</v>
      </c>
    </row>
    <row r="3175" spans="1:40" x14ac:dyDescent="0.25">
      <c r="A3175" t="str">
        <f>"20190312164534766"</f>
        <v>20190312164534766</v>
      </c>
      <c r="B3175" t="str">
        <f>"1552380334754286"</f>
        <v>1552380334754286</v>
      </c>
      <c r="C3175" t="s">
        <v>40</v>
      </c>
      <c r="D3175">
        <v>5.0909279999999999</v>
      </c>
      <c r="E3175">
        <v>0.47955179999999997</v>
      </c>
      <c r="F3175" t="s">
        <v>71</v>
      </c>
      <c r="G3175">
        <v>-191.85239999999999</v>
      </c>
      <c r="H3175" s="1">
        <v>-1.12483399999999E-5</v>
      </c>
      <c r="I3175">
        <v>150.14019999999999</v>
      </c>
      <c r="J3175">
        <v>-189.2611</v>
      </c>
      <c r="K3175">
        <v>1.1088439999999999</v>
      </c>
      <c r="L3175">
        <v>186.1063</v>
      </c>
      <c r="M3175">
        <v>-4.0635669999999999E-2</v>
      </c>
      <c r="N3175">
        <v>0</v>
      </c>
      <c r="O3175">
        <v>-0.99908180000000002</v>
      </c>
      <c r="P3175">
        <v>-0.13358789999999901</v>
      </c>
      <c r="Q3175">
        <v>0.11568290000000001</v>
      </c>
      <c r="R3175">
        <v>-0.98426239999999998</v>
      </c>
      <c r="S3175">
        <v>-0.21784970000000001</v>
      </c>
      <c r="T3175">
        <v>-9.2987059999999996E-2</v>
      </c>
      <c r="U3175">
        <v>-3.0291139999999999</v>
      </c>
      <c r="V3175">
        <v>9.3550149999999999E-2</v>
      </c>
      <c r="W3175">
        <v>0.12906429999999999</v>
      </c>
      <c r="X3175">
        <v>0.98721360000000002</v>
      </c>
      <c r="Y3175">
        <v>3.1105770000000001E-2</v>
      </c>
      <c r="Z3175">
        <v>3.0598429999999999E-2</v>
      </c>
      <c r="AA3175">
        <v>0.99904760000000004</v>
      </c>
      <c r="AB3175">
        <v>29</v>
      </c>
      <c r="AC3175">
        <v>-2.59129999999998</v>
      </c>
      <c r="AD3175">
        <v>-1.1088552483399901</v>
      </c>
      <c r="AE3175">
        <v>-35.966099999999997</v>
      </c>
      <c r="AF3175">
        <v>1.1264528118058501</v>
      </c>
      <c r="AG3175">
        <v>-1.1088552483399901</v>
      </c>
      <c r="AH3175">
        <v>36.007647142215603</v>
      </c>
      <c r="AI3175">
        <v>91.763003759764899</v>
      </c>
      <c r="AJ3175">
        <v>88.208159804283497</v>
      </c>
      <c r="AK3175">
        <v>36.042323851512499</v>
      </c>
      <c r="AL3175">
        <v>82.584474537669706</v>
      </c>
      <c r="AM3175">
        <v>84.586712882660606</v>
      </c>
      <c r="AN3175">
        <v>0.99999995806223496</v>
      </c>
    </row>
    <row r="3176" spans="1:40" x14ac:dyDescent="0.25">
      <c r="A3176" t="str">
        <f>"20190312164534779"</f>
        <v>20190312164534779</v>
      </c>
      <c r="B3176" t="str">
        <f>"1552380334774782"</f>
        <v>1552380334774782</v>
      </c>
      <c r="C3176" t="s">
        <v>40</v>
      </c>
      <c r="D3176">
        <v>5.1568389999999997</v>
      </c>
      <c r="E3176">
        <v>0.4795874</v>
      </c>
      <c r="F3176" t="s">
        <v>71</v>
      </c>
      <c r="G3176">
        <v>-191.8997</v>
      </c>
      <c r="H3176" s="1">
        <v>-1.111653E-5</v>
      </c>
      <c r="I3176">
        <v>149.8134</v>
      </c>
      <c r="J3176">
        <v>-189.2679</v>
      </c>
      <c r="K3176">
        <v>1.1088420000000001</v>
      </c>
      <c r="L3176">
        <v>185.9436</v>
      </c>
      <c r="M3176">
        <v>-4.078333E-2</v>
      </c>
      <c r="N3176">
        <v>0</v>
      </c>
      <c r="O3176">
        <v>-0.99907559999999995</v>
      </c>
      <c r="P3176">
        <v>-0.13456570000000001</v>
      </c>
      <c r="Q3176">
        <v>0.11583839999999999</v>
      </c>
      <c r="R3176">
        <v>-0.9841107</v>
      </c>
      <c r="S3176">
        <v>-0.22021479999999999</v>
      </c>
      <c r="T3176">
        <v>-9.2543959999999995E-2</v>
      </c>
      <c r="U3176">
        <v>-3.0289760000000001</v>
      </c>
      <c r="V3176">
        <v>9.4387209999999999E-2</v>
      </c>
      <c r="W3176">
        <v>0.1292142</v>
      </c>
      <c r="X3176">
        <v>0.98711439999999995</v>
      </c>
      <c r="Y3176">
        <v>3.1737620000000001E-2</v>
      </c>
      <c r="Z3176">
        <v>3.0452710000000001E-2</v>
      </c>
      <c r="AA3176">
        <v>0.99903220000000004</v>
      </c>
      <c r="AB3176">
        <v>29</v>
      </c>
      <c r="AC3176">
        <v>-2.6317999999999899</v>
      </c>
      <c r="AD3176">
        <v>-1.10885311653</v>
      </c>
      <c r="AE3176">
        <v>-36.130200000000002</v>
      </c>
      <c r="AF3176">
        <v>1.1548819844470199</v>
      </c>
      <c r="AG3176">
        <v>-1.10885311653</v>
      </c>
      <c r="AH3176">
        <v>36.17358583467</v>
      </c>
      <c r="AI3176">
        <v>91.754882476980896</v>
      </c>
      <c r="AJ3176">
        <v>88.171389593880605</v>
      </c>
      <c r="AK3176">
        <v>36.2089991544958</v>
      </c>
      <c r="AL3176">
        <v>82.575814037881003</v>
      </c>
      <c r="AM3176">
        <v>84.538022383793901</v>
      </c>
      <c r="AN3176">
        <v>1.0000000467902901</v>
      </c>
    </row>
    <row r="3177" spans="1:40" x14ac:dyDescent="0.25">
      <c r="A3177" t="str">
        <f>"20190312164534792"</f>
        <v>20190312164534792</v>
      </c>
      <c r="B3177" t="str">
        <f>"1552380334784543"</f>
        <v>1552380334784543</v>
      </c>
      <c r="C3177" t="s">
        <v>40</v>
      </c>
      <c r="D3177">
        <v>5.0547250000000004</v>
      </c>
      <c r="E3177">
        <v>0.47965930000000001</v>
      </c>
      <c r="F3177" t="s">
        <v>71</v>
      </c>
      <c r="G3177">
        <v>-191.91229999999999</v>
      </c>
      <c r="H3177" s="1">
        <v>-1.120057E-5</v>
      </c>
      <c r="I3177">
        <v>150.00399999999999</v>
      </c>
      <c r="J3177">
        <v>-189.2749</v>
      </c>
      <c r="K3177">
        <v>1.1088420000000001</v>
      </c>
      <c r="L3177">
        <v>185.7764</v>
      </c>
      <c r="M3177">
        <v>-4.093745E-2</v>
      </c>
      <c r="N3177">
        <v>0</v>
      </c>
      <c r="O3177">
        <v>-0.9990694</v>
      </c>
      <c r="P3177">
        <v>-0.13559669999999999</v>
      </c>
      <c r="Q3177">
        <v>0.1158647</v>
      </c>
      <c r="R3177">
        <v>-0.98396620000000001</v>
      </c>
      <c r="S3177">
        <v>-0.22286990000000001</v>
      </c>
      <c r="T3177">
        <v>-9.3453759999999997E-2</v>
      </c>
      <c r="U3177">
        <v>-3.0289760000000001</v>
      </c>
      <c r="V3177">
        <v>9.5270919999999995E-2</v>
      </c>
      <c r="W3177">
        <v>0.12923499999999999</v>
      </c>
      <c r="X3177">
        <v>0.98702679999999998</v>
      </c>
      <c r="Y3177">
        <v>3.2453799999999998E-2</v>
      </c>
      <c r="Z3177">
        <v>3.0750179999999998E-2</v>
      </c>
      <c r="AA3177">
        <v>0.99900009999999995</v>
      </c>
      <c r="AB3177">
        <v>29</v>
      </c>
      <c r="AC3177">
        <v>-2.63739999999998</v>
      </c>
      <c r="AD3177">
        <v>-1.10885320057</v>
      </c>
      <c r="AE3177">
        <v>-35.772399999999998</v>
      </c>
      <c r="AF3177">
        <v>1.16950513575774</v>
      </c>
      <c r="AG3177">
        <v>-1.10885320057</v>
      </c>
      <c r="AH3177">
        <v>35.816157638618698</v>
      </c>
      <c r="AI3177">
        <v>91.772342858409402</v>
      </c>
      <c r="AJ3177">
        <v>88.129785184084497</v>
      </c>
      <c r="AK3177">
        <v>35.852398046398001</v>
      </c>
      <c r="AL3177">
        <v>82.574612372192206</v>
      </c>
      <c r="AM3177">
        <v>84.486711382259898</v>
      </c>
      <c r="AN3177">
        <v>1.00000006867044</v>
      </c>
    </row>
    <row r="3178" spans="1:40" x14ac:dyDescent="0.25">
      <c r="A3178" t="str">
        <f>"20190312164534804"</f>
        <v>20190312164534804</v>
      </c>
      <c r="B3178" t="str">
        <f>"1552380334794302"</f>
        <v>1552380334794302</v>
      </c>
      <c r="C3178" t="s">
        <v>40</v>
      </c>
      <c r="D3178">
        <v>4.9239790000000001</v>
      </c>
      <c r="E3178">
        <v>0.47973949999999999</v>
      </c>
      <c r="F3178" t="s">
        <v>71</v>
      </c>
      <c r="G3178">
        <v>-191.96709999999999</v>
      </c>
      <c r="H3178" s="1">
        <v>-1.1088840000000001E-5</v>
      </c>
      <c r="I3178">
        <v>149.7209</v>
      </c>
      <c r="J3178">
        <v>-189.2818</v>
      </c>
      <c r="K3178">
        <v>1.108843</v>
      </c>
      <c r="L3178">
        <v>185.61189999999999</v>
      </c>
      <c r="M3178">
        <v>-4.1093570000000003E-2</v>
      </c>
      <c r="N3178">
        <v>0</v>
      </c>
      <c r="O3178">
        <v>-0.99906320000000004</v>
      </c>
      <c r="P3178">
        <v>-0.1365933</v>
      </c>
      <c r="Q3178">
        <v>0.11611059999999999</v>
      </c>
      <c r="R3178">
        <v>-0.98379930000000004</v>
      </c>
      <c r="S3178">
        <v>-0.2261505</v>
      </c>
      <c r="T3178">
        <v>-9.3144539999999998E-2</v>
      </c>
      <c r="U3178">
        <v>-3.0286870000000001</v>
      </c>
      <c r="V3178">
        <v>9.6119930000000006E-2</v>
      </c>
      <c r="W3178">
        <v>0.1294747</v>
      </c>
      <c r="X3178">
        <v>0.98691300000000004</v>
      </c>
      <c r="Y3178">
        <v>3.3381040000000001E-2</v>
      </c>
      <c r="Z3178">
        <v>3.064946E-2</v>
      </c>
      <c r="AA3178">
        <v>0.99897270000000005</v>
      </c>
      <c r="AB3178">
        <v>29</v>
      </c>
      <c r="AC3178">
        <v>-2.6852999999999798</v>
      </c>
      <c r="AD3178">
        <v>-1.10885408884</v>
      </c>
      <c r="AE3178">
        <v>-35.890999999999899</v>
      </c>
      <c r="AF3178">
        <v>1.20686071575049</v>
      </c>
      <c r="AG3178">
        <v>-1.10885408884</v>
      </c>
      <c r="AH3178">
        <v>35.936925109820301</v>
      </c>
      <c r="AI3178">
        <v>91.766337728753399</v>
      </c>
      <c r="AJ3178">
        <v>88.076573113391902</v>
      </c>
      <c r="AK3178">
        <v>35.9742777068059</v>
      </c>
      <c r="AL3178">
        <v>82.560761728674606</v>
      </c>
      <c r="AM3178">
        <v>84.4372489363315</v>
      </c>
      <c r="AN3178">
        <v>1.0000000042261401</v>
      </c>
    </row>
    <row r="3179" spans="1:40" x14ac:dyDescent="0.25">
      <c r="A3179" t="str">
        <f>"20190312164534815"</f>
        <v>20190312164534815</v>
      </c>
      <c r="B3179" t="str">
        <f>"1552380334805039"</f>
        <v>1552380334805039</v>
      </c>
      <c r="C3179" t="s">
        <v>40</v>
      </c>
      <c r="D3179">
        <v>4.9241590000000004</v>
      </c>
      <c r="E3179">
        <v>0.47976679999999999</v>
      </c>
      <c r="F3179" t="s">
        <v>71</v>
      </c>
      <c r="G3179">
        <v>-192.047</v>
      </c>
      <c r="H3179" s="1">
        <v>-1.093029E-5</v>
      </c>
      <c r="I3179">
        <v>149.13149999999999</v>
      </c>
      <c r="J3179">
        <v>-189.28809999999999</v>
      </c>
      <c r="K3179">
        <v>1.10884</v>
      </c>
      <c r="L3179">
        <v>185.4623</v>
      </c>
      <c r="M3179">
        <v>-4.1239829999999998E-2</v>
      </c>
      <c r="N3179">
        <v>0</v>
      </c>
      <c r="O3179">
        <v>-0.99905719999999998</v>
      </c>
      <c r="P3179">
        <v>-0.1376424</v>
      </c>
      <c r="Q3179">
        <v>0.11648790000000001</v>
      </c>
      <c r="R3179">
        <v>-0.9836085</v>
      </c>
      <c r="S3179">
        <v>-0.22955320000000001</v>
      </c>
      <c r="T3179">
        <v>-9.2051859999999999E-2</v>
      </c>
      <c r="U3179">
        <v>-3.0284270000000002</v>
      </c>
      <c r="V3179">
        <v>9.7032499999999994E-2</v>
      </c>
      <c r="W3179">
        <v>0.12984589999999999</v>
      </c>
      <c r="X3179">
        <v>0.98677490000000001</v>
      </c>
      <c r="Y3179">
        <v>3.4358E-2</v>
      </c>
      <c r="Z3179">
        <v>3.0290790000000001E-2</v>
      </c>
      <c r="AA3179">
        <v>0.99895040000000002</v>
      </c>
      <c r="AB3179">
        <v>29</v>
      </c>
      <c r="AC3179">
        <v>-2.7589000000000099</v>
      </c>
      <c r="AD3179">
        <v>-1.10885093029</v>
      </c>
      <c r="AE3179">
        <v>-36.330800000000004</v>
      </c>
      <c r="AF3179">
        <v>1.2569744448176099</v>
      </c>
      <c r="AG3179">
        <v>-1.10885093029</v>
      </c>
      <c r="AH3179">
        <v>36.379979171166603</v>
      </c>
      <c r="AI3179">
        <v>91.744777306367993</v>
      </c>
      <c r="AJ3179">
        <v>88.021145307467293</v>
      </c>
      <c r="AK3179">
        <v>36.4185724546562</v>
      </c>
      <c r="AL3179">
        <v>82.539312315566903</v>
      </c>
      <c r="AM3179">
        <v>84.383990871919096</v>
      </c>
      <c r="AN3179">
        <v>0.99999998353653397</v>
      </c>
    </row>
    <row r="3180" spans="1:40" x14ac:dyDescent="0.25">
      <c r="A3180" t="str">
        <f>"20190312164534834"</f>
        <v>20190312164534834</v>
      </c>
      <c r="B3180" t="str">
        <f>"1552380334824562"</f>
        <v>1552380334824562</v>
      </c>
      <c r="C3180" t="s">
        <v>40</v>
      </c>
      <c r="D3180">
        <v>5.1152499999999996</v>
      </c>
      <c r="E3180">
        <v>0.47982170000000002</v>
      </c>
      <c r="F3180" t="s">
        <v>71</v>
      </c>
      <c r="G3180">
        <v>-192.14760000000001</v>
      </c>
      <c r="H3180" s="1">
        <v>-1.0721790000000001E-5</v>
      </c>
      <c r="I3180">
        <v>148.27330000000001</v>
      </c>
      <c r="J3180">
        <v>-189.29820000000001</v>
      </c>
      <c r="K3180">
        <v>1.1088370000000001</v>
      </c>
      <c r="L3180">
        <v>185.22489999999999</v>
      </c>
      <c r="M3180">
        <v>-4.1479799999999997E-2</v>
      </c>
      <c r="N3180">
        <v>0</v>
      </c>
      <c r="O3180">
        <v>-0.99904720000000002</v>
      </c>
      <c r="P3180">
        <v>-0.13988100000000001</v>
      </c>
      <c r="Q3180">
        <v>0.11707869999999999</v>
      </c>
      <c r="R3180">
        <v>-0.98322240000000005</v>
      </c>
      <c r="S3180">
        <v>-0.23283390000000001</v>
      </c>
      <c r="T3180">
        <v>-9.0288519999999997E-2</v>
      </c>
      <c r="U3180">
        <v>-3.0281220000000002</v>
      </c>
      <c r="V3180">
        <v>9.9050250000000006E-2</v>
      </c>
      <c r="W3180">
        <v>0.13042599999999999</v>
      </c>
      <c r="X3180">
        <v>0.98649790000000004</v>
      </c>
      <c r="Y3180">
        <v>3.5202829999999997E-2</v>
      </c>
      <c r="Z3180">
        <v>2.9711939999999999E-2</v>
      </c>
      <c r="AA3180">
        <v>0.9989384</v>
      </c>
      <c r="AB3180">
        <v>29</v>
      </c>
      <c r="AC3180">
        <v>-2.8494000000000002</v>
      </c>
      <c r="AD3180">
        <v>-1.1088477217899999</v>
      </c>
      <c r="AE3180">
        <v>-36.9515999999999</v>
      </c>
      <c r="AF3180">
        <v>1.3128858429413699</v>
      </c>
      <c r="AG3180">
        <v>-1.1088477217899999</v>
      </c>
      <c r="AH3180">
        <v>37.004869478689002</v>
      </c>
      <c r="AI3180">
        <v>91.715270956776493</v>
      </c>
      <c r="AJ3180">
        <v>87.968070671304602</v>
      </c>
      <c r="AK3180">
        <v>37.0447510133557</v>
      </c>
      <c r="AL3180">
        <v>82.505790088953106</v>
      </c>
      <c r="AM3180">
        <v>84.2663793642336</v>
      </c>
      <c r="AN3180">
        <v>1.00000000010273</v>
      </c>
    </row>
    <row r="3181" spans="1:40" x14ac:dyDescent="0.25">
      <c r="A3181" t="str">
        <f>"20190312164534846"</f>
        <v>20190312164534846</v>
      </c>
      <c r="B3181" t="str">
        <f>"1552380334834318"</f>
        <v>1552380334834318</v>
      </c>
      <c r="C3181" t="s">
        <v>40</v>
      </c>
      <c r="D3181">
        <v>4.8435540000000001</v>
      </c>
      <c r="E3181">
        <v>0.47983009999999898</v>
      </c>
      <c r="F3181" t="s">
        <v>71</v>
      </c>
      <c r="G3181">
        <v>-192.31739999999999</v>
      </c>
      <c r="H3181" s="1">
        <v>-1.0439210000000001E-5</v>
      </c>
      <c r="I3181">
        <v>147.08750000000001</v>
      </c>
      <c r="J3181">
        <v>-189.3049</v>
      </c>
      <c r="K3181">
        <v>1.1088290000000001</v>
      </c>
      <c r="L3181">
        <v>185.0667</v>
      </c>
      <c r="M3181">
        <v>-4.1646290000000002E-2</v>
      </c>
      <c r="N3181">
        <v>0</v>
      </c>
      <c r="O3181">
        <v>-0.99904029999999999</v>
      </c>
      <c r="P3181">
        <v>-0.14095479999999999</v>
      </c>
      <c r="Q3181">
        <v>0.1173787</v>
      </c>
      <c r="R3181">
        <v>-0.98303320000000005</v>
      </c>
      <c r="S3181">
        <v>-0.23968510000000001</v>
      </c>
      <c r="T3181">
        <v>-8.8027359999999999E-2</v>
      </c>
      <c r="U3181">
        <v>-3.0275880000000002</v>
      </c>
      <c r="V3181">
        <v>9.9968440000000006E-2</v>
      </c>
      <c r="W3181">
        <v>0.13071959999999999</v>
      </c>
      <c r="X3181">
        <v>0.98636639999999998</v>
      </c>
      <c r="Y3181">
        <v>3.7298249999999998E-2</v>
      </c>
      <c r="Z3181">
        <v>2.8969620000000001E-2</v>
      </c>
      <c r="AA3181">
        <v>0.9988842</v>
      </c>
      <c r="AB3181">
        <v>29</v>
      </c>
      <c r="AC3181">
        <v>-3.0124999999999802</v>
      </c>
      <c r="AD3181">
        <v>-1.1088394392100001</v>
      </c>
      <c r="AE3181">
        <v>-37.979199999999899</v>
      </c>
      <c r="AF3181">
        <v>1.42683892024527</v>
      </c>
      <c r="AG3181">
        <v>-1.1088394392100001</v>
      </c>
      <c r="AH3181">
        <v>38.039492514436802</v>
      </c>
      <c r="AI3181">
        <v>91.668508760875099</v>
      </c>
      <c r="AJ3181">
        <v>87.851876176734294</v>
      </c>
      <c r="AK3181">
        <v>38.082389433466098</v>
      </c>
      <c r="AL3181">
        <v>82.488822701897902</v>
      </c>
      <c r="AM3181">
        <v>84.212821867850593</v>
      </c>
      <c r="AN3181">
        <v>0.99999998893457598</v>
      </c>
    </row>
    <row r="3182" spans="1:40" x14ac:dyDescent="0.25">
      <c r="A3182" t="str">
        <f>"20190312164534858"</f>
        <v>20190312164534858</v>
      </c>
      <c r="B3182" t="str">
        <f>"1552380334854815"</f>
        <v>1552380334854815</v>
      </c>
      <c r="C3182" t="s">
        <v>40</v>
      </c>
      <c r="D3182">
        <v>4.827064</v>
      </c>
      <c r="E3182">
        <v>0.47987000000000002</v>
      </c>
      <c r="F3182" t="s">
        <v>71</v>
      </c>
      <c r="G3182">
        <v>-192.3869</v>
      </c>
      <c r="H3182" s="1">
        <v>-1.0324379999999999E-5</v>
      </c>
      <c r="I3182">
        <v>146.6053</v>
      </c>
      <c r="J3182">
        <v>-189.3116</v>
      </c>
      <c r="K3182">
        <v>1.108822</v>
      </c>
      <c r="L3182">
        <v>184.91050000000001</v>
      </c>
      <c r="M3182">
        <v>-4.1819620000000002E-2</v>
      </c>
      <c r="N3182">
        <v>0</v>
      </c>
      <c r="O3182">
        <v>-0.99903319999999995</v>
      </c>
      <c r="P3182">
        <v>-0.1421713</v>
      </c>
      <c r="Q3182">
        <v>0.11774229999999999</v>
      </c>
      <c r="R3182">
        <v>-0.98281470000000004</v>
      </c>
      <c r="S3182">
        <v>-0.2425995</v>
      </c>
      <c r="T3182">
        <v>-8.7280750000000004E-2</v>
      </c>
      <c r="U3182">
        <v>-3.0274350000000001</v>
      </c>
      <c r="V3182">
        <v>0.1010243</v>
      </c>
      <c r="W3182">
        <v>0.1310761</v>
      </c>
      <c r="X3182">
        <v>0.98621150000000002</v>
      </c>
      <c r="Y3182">
        <v>3.8084920000000001E-2</v>
      </c>
      <c r="Z3182">
        <v>2.8723720000000001E-2</v>
      </c>
      <c r="AA3182">
        <v>0.99886160000000002</v>
      </c>
      <c r="AB3182">
        <v>29</v>
      </c>
      <c r="AC3182">
        <v>-3.0752999999999902</v>
      </c>
      <c r="AD3182">
        <v>-1.10883232438</v>
      </c>
      <c r="AE3182">
        <v>-38.305199999999999</v>
      </c>
      <c r="AF3182">
        <v>1.4693296960959901</v>
      </c>
      <c r="AG3182">
        <v>-1.10883232438</v>
      </c>
      <c r="AH3182">
        <v>38.368358535592201</v>
      </c>
      <c r="AI3182">
        <v>91.654155695470294</v>
      </c>
      <c r="AJ3182">
        <v>87.806909765660293</v>
      </c>
      <c r="AK3182">
        <v>38.41248983853</v>
      </c>
      <c r="AL3182">
        <v>82.4682194757888</v>
      </c>
      <c r="AM3182">
        <v>84.151207363961802</v>
      </c>
      <c r="AN3182">
        <v>0.99999998795697398</v>
      </c>
    </row>
    <row r="3183" spans="1:40" x14ac:dyDescent="0.25">
      <c r="A3183" t="str">
        <f>"20190312164534870"</f>
        <v>20190312164534870</v>
      </c>
      <c r="B3183" t="str">
        <f>"1552380334864576"</f>
        <v>1552380334864576</v>
      </c>
      <c r="C3183" t="s">
        <v>40</v>
      </c>
      <c r="D3183">
        <v>5.0723659999999997</v>
      </c>
      <c r="E3183">
        <v>0.47987000000000002</v>
      </c>
      <c r="F3183" t="s">
        <v>71</v>
      </c>
      <c r="G3183">
        <v>-192.4556</v>
      </c>
      <c r="H3183" s="1">
        <v>-1.024736E-5</v>
      </c>
      <c r="I3183">
        <v>146.2671</v>
      </c>
      <c r="J3183">
        <v>-189.31829999999999</v>
      </c>
      <c r="K3183">
        <v>1.1088119999999999</v>
      </c>
      <c r="L3183">
        <v>184.7534</v>
      </c>
      <c r="M3183">
        <v>-4.1998569999999999E-2</v>
      </c>
      <c r="N3183">
        <v>0</v>
      </c>
      <c r="O3183">
        <v>-0.99902550000000001</v>
      </c>
      <c r="P3183">
        <v>-0.1434087</v>
      </c>
      <c r="Q3183">
        <v>0.1182892</v>
      </c>
      <c r="R3183">
        <v>-0.98256889999999997</v>
      </c>
      <c r="S3183">
        <v>-0.24629210000000001</v>
      </c>
      <c r="T3183">
        <v>-8.6863880000000004E-2</v>
      </c>
      <c r="U3183">
        <v>-3.0272519999999998</v>
      </c>
      <c r="V3183">
        <v>0.1020972</v>
      </c>
      <c r="W3183">
        <v>0.13161489999999901</v>
      </c>
      <c r="X3183">
        <v>0.9860293</v>
      </c>
      <c r="Y3183">
        <v>3.9121549999999998E-2</v>
      </c>
      <c r="Z3183">
        <v>2.8586070000000002E-2</v>
      </c>
      <c r="AA3183">
        <v>0.99882550000000003</v>
      </c>
      <c r="AB3183">
        <v>29</v>
      </c>
      <c r="AC3183">
        <v>-3.13730000000001</v>
      </c>
      <c r="AD3183">
        <v>-1.10882224736</v>
      </c>
      <c r="AE3183">
        <v>-38.4863</v>
      </c>
      <c r="AF3183">
        <v>1.5167622309426301</v>
      </c>
      <c r="AG3183">
        <v>-1.10882224736</v>
      </c>
      <c r="AH3183">
        <v>38.552320758536197</v>
      </c>
      <c r="AI3183">
        <v>91.646185061523099</v>
      </c>
      <c r="AJ3183">
        <v>87.746976691333401</v>
      </c>
      <c r="AK3183">
        <v>38.598076251421098</v>
      </c>
      <c r="AL3183">
        <v>82.437079200171993</v>
      </c>
      <c r="AM3183">
        <v>84.088444946268297</v>
      </c>
      <c r="AN3183">
        <v>1.0000000503041599</v>
      </c>
    </row>
    <row r="3184" spans="1:40" x14ac:dyDescent="0.25">
      <c r="A3184" t="str">
        <f>"20190312164534884"</f>
        <v>20190312164534884</v>
      </c>
      <c r="B3184" t="str">
        <f>"1552380334875310"</f>
        <v>1552380334875310</v>
      </c>
      <c r="C3184" t="s">
        <v>40</v>
      </c>
      <c r="D3184">
        <v>4.9924679999999997</v>
      </c>
      <c r="E3184">
        <v>0.4798327</v>
      </c>
      <c r="F3184" t="s">
        <v>71</v>
      </c>
      <c r="G3184">
        <v>-192.57509999999999</v>
      </c>
      <c r="H3184" s="1">
        <v>-1.0013369999999999E-5</v>
      </c>
      <c r="I3184">
        <v>145.29939999999999</v>
      </c>
      <c r="J3184">
        <v>-189.32599999999999</v>
      </c>
      <c r="K3184">
        <v>1.108798</v>
      </c>
      <c r="L3184">
        <v>184.57669999999999</v>
      </c>
      <c r="M3184">
        <v>-4.2218100000000001E-2</v>
      </c>
      <c r="N3184">
        <v>0</v>
      </c>
      <c r="O3184">
        <v>-0.99901649999999997</v>
      </c>
      <c r="P3184">
        <v>-0.1444907</v>
      </c>
      <c r="Q3184">
        <v>0.1185039</v>
      </c>
      <c r="R3184">
        <v>-0.98238440000000005</v>
      </c>
      <c r="S3184">
        <v>-0.24986269999999999</v>
      </c>
      <c r="T3184">
        <v>-8.5070610000000005E-2</v>
      </c>
      <c r="U3184">
        <v>-3.0269780000000002</v>
      </c>
      <c r="V3184">
        <v>0.10297389999999999</v>
      </c>
      <c r="W3184">
        <v>0.13182099999999999</v>
      </c>
      <c r="X3184">
        <v>0.98591050000000002</v>
      </c>
      <c r="Y3184">
        <v>4.0080980000000002E-2</v>
      </c>
      <c r="Z3184">
        <v>2.7996650000000001E-2</v>
      </c>
      <c r="AA3184">
        <v>0.99880420000000003</v>
      </c>
      <c r="AB3184">
        <v>29</v>
      </c>
      <c r="AC3184">
        <v>-3.2490999999999901</v>
      </c>
      <c r="AD3184">
        <v>-1.10880801337</v>
      </c>
      <c r="AE3184">
        <v>-39.277299999999997</v>
      </c>
      <c r="AF3184">
        <v>1.5865815247128301</v>
      </c>
      <c r="AG3184">
        <v>-1.10880801337</v>
      </c>
      <c r="AH3184">
        <v>39.348312684545199</v>
      </c>
      <c r="AI3184">
        <v>91.612818108058804</v>
      </c>
      <c r="AJ3184">
        <v>87.691001156913202</v>
      </c>
      <c r="AK3184">
        <v>39.395893279196201</v>
      </c>
      <c r="AL3184">
        <v>82.425166039810094</v>
      </c>
      <c r="AM3184">
        <v>84.037333786620593</v>
      </c>
      <c r="AN3184">
        <v>0.99999995706622902</v>
      </c>
    </row>
    <row r="3185" spans="1:40" x14ac:dyDescent="0.25">
      <c r="A3185" t="str">
        <f>"20190312164534902"</f>
        <v>20190312164534902</v>
      </c>
      <c r="B3185" t="str">
        <f>"1552380334894830"</f>
        <v>1552380334894830</v>
      </c>
      <c r="C3185" t="s">
        <v>40</v>
      </c>
      <c r="D3185">
        <v>4.7876440000000002</v>
      </c>
      <c r="E3185">
        <v>0.47975630000000002</v>
      </c>
      <c r="F3185" t="s">
        <v>71</v>
      </c>
      <c r="G3185">
        <v>-192.6354</v>
      </c>
      <c r="H3185" s="1">
        <v>-9.926618E-6</v>
      </c>
      <c r="I3185">
        <v>144.9299</v>
      </c>
      <c r="J3185">
        <v>-189.3366</v>
      </c>
      <c r="K3185">
        <v>1.1087689999999999</v>
      </c>
      <c r="L3185">
        <v>184.334</v>
      </c>
      <c r="M3185">
        <v>-4.2545189999999997E-2</v>
      </c>
      <c r="N3185">
        <v>0</v>
      </c>
      <c r="O3185">
        <v>-0.99900250000000002</v>
      </c>
      <c r="P3185">
        <v>-0.14619009999999999</v>
      </c>
      <c r="Q3185">
        <v>0.1193201</v>
      </c>
      <c r="R3185">
        <v>-0.98203430000000003</v>
      </c>
      <c r="S3185">
        <v>-0.25265500000000002</v>
      </c>
      <c r="T3185">
        <v>-8.4652069999999996E-2</v>
      </c>
      <c r="U3185">
        <v>-3.02684</v>
      </c>
      <c r="V3185">
        <v>0.10437200000000001</v>
      </c>
      <c r="W3185">
        <v>0.13262360000000001</v>
      </c>
      <c r="X3185">
        <v>0.98565579999999997</v>
      </c>
      <c r="Y3185">
        <v>4.0673000000000001E-2</v>
      </c>
      <c r="Z3185">
        <v>2.7858299999999999E-2</v>
      </c>
      <c r="AA3185">
        <v>0.99878409999999995</v>
      </c>
      <c r="AB3185">
        <v>29</v>
      </c>
      <c r="AC3185">
        <v>-3.2988</v>
      </c>
      <c r="AD3185">
        <v>-1.1087789266179999</v>
      </c>
      <c r="AE3185">
        <v>-39.4041</v>
      </c>
      <c r="AF3185">
        <v>1.6179312905065399</v>
      </c>
      <c r="AG3185">
        <v>-1.1087789266179999</v>
      </c>
      <c r="AH3185">
        <v>39.477735396673701</v>
      </c>
      <c r="AI3185">
        <v>91.6074481603425</v>
      </c>
      <c r="AJ3185">
        <v>87.653138290962502</v>
      </c>
      <c r="AK3185">
        <v>39.526430200799702</v>
      </c>
      <c r="AL3185">
        <v>82.378773024559194</v>
      </c>
      <c r="AM3185">
        <v>83.955422393160703</v>
      </c>
      <c r="AN3185">
        <v>0.99999994486729804</v>
      </c>
    </row>
    <row r="3186" spans="1:40" x14ac:dyDescent="0.25">
      <c r="A3186" t="str">
        <f>"20190312164534924"</f>
        <v>20190312164534924</v>
      </c>
      <c r="B3186" t="str">
        <f>"1552380334915327"</f>
        <v>1552380334915327</v>
      </c>
      <c r="C3186" t="s">
        <v>40</v>
      </c>
      <c r="D3186">
        <v>4.8630019999999998</v>
      </c>
      <c r="E3186">
        <v>0.47959410000000002</v>
      </c>
      <c r="F3186" t="s">
        <v>71</v>
      </c>
      <c r="G3186">
        <v>-192.78870000000001</v>
      </c>
      <c r="H3186" s="1">
        <v>-9.6548669999999994E-6</v>
      </c>
      <c r="I3186">
        <v>143.7963</v>
      </c>
      <c r="J3186">
        <v>-189.34899999999999</v>
      </c>
      <c r="K3186">
        <v>1.1087320000000001</v>
      </c>
      <c r="L3186">
        <v>184.0531</v>
      </c>
      <c r="M3186">
        <v>-4.297488E-2</v>
      </c>
      <c r="N3186">
        <v>0</v>
      </c>
      <c r="O3186">
        <v>-0.99898419999999999</v>
      </c>
      <c r="P3186">
        <v>-0.14819660000000001</v>
      </c>
      <c r="Q3186">
        <v>0.1206005</v>
      </c>
      <c r="R3186">
        <v>-0.98157700000000003</v>
      </c>
      <c r="S3186">
        <v>-0.25773620000000003</v>
      </c>
      <c r="T3186">
        <v>-8.2783700000000002E-2</v>
      </c>
      <c r="U3186">
        <v>-3.026627</v>
      </c>
      <c r="V3186">
        <v>0.1059857</v>
      </c>
      <c r="W3186">
        <v>0.133884</v>
      </c>
      <c r="X3186">
        <v>0.9853132</v>
      </c>
      <c r="Y3186">
        <v>4.1915420000000002E-2</v>
      </c>
      <c r="Z3186">
        <v>2.724244E-2</v>
      </c>
      <c r="AA3186">
        <v>0.99874969999999996</v>
      </c>
      <c r="AB3186">
        <v>29</v>
      </c>
      <c r="AC3186">
        <v>-3.4396999999999802</v>
      </c>
      <c r="AD3186">
        <v>-1.1087416548669999</v>
      </c>
      <c r="AE3186">
        <v>-40.256799999999998</v>
      </c>
      <c r="AF3186">
        <v>1.7050475770740701</v>
      </c>
      <c r="AG3186">
        <v>-1.1087416548669999</v>
      </c>
      <c r="AH3186">
        <v>40.337060544570697</v>
      </c>
      <c r="AI3186">
        <v>91.573084180510094</v>
      </c>
      <c r="AJ3186">
        <v>87.579548257294604</v>
      </c>
      <c r="AK3186">
        <v>40.388302126651503</v>
      </c>
      <c r="AL3186">
        <v>82.305908008982698</v>
      </c>
      <c r="AM3186">
        <v>83.860557089002796</v>
      </c>
      <c r="AN3186">
        <v>0.99999999807736495</v>
      </c>
    </row>
    <row r="3187" spans="1:40" x14ac:dyDescent="0.25">
      <c r="A3187" t="str">
        <f>"20190312164534936"</f>
        <v>20190312164534936</v>
      </c>
      <c r="B3187" t="str">
        <f>"1552380334925086"</f>
        <v>1552380334925086</v>
      </c>
      <c r="C3187" t="s">
        <v>40</v>
      </c>
      <c r="D3187">
        <v>4.8075749999999999</v>
      </c>
      <c r="E3187">
        <v>0.47952099999999998</v>
      </c>
      <c r="F3187" t="s">
        <v>71</v>
      </c>
      <c r="G3187">
        <v>-192.99510000000001</v>
      </c>
      <c r="H3187" s="1">
        <v>-9.2250640000000007E-6</v>
      </c>
      <c r="I3187">
        <v>142.09870000000001</v>
      </c>
      <c r="J3187">
        <v>-189.35599999999999</v>
      </c>
      <c r="K3187">
        <v>1.1087100000000001</v>
      </c>
      <c r="L3187">
        <v>183.8974</v>
      </c>
      <c r="M3187">
        <v>-4.3246119999999999E-2</v>
      </c>
      <c r="N3187">
        <v>0</v>
      </c>
      <c r="O3187">
        <v>-0.99897270000000005</v>
      </c>
      <c r="P3187">
        <v>-0.149084299999999</v>
      </c>
      <c r="Q3187">
        <v>0.12155299999999999</v>
      </c>
      <c r="R3187">
        <v>-0.98132549999999996</v>
      </c>
      <c r="S3187">
        <v>-0.26301570000000002</v>
      </c>
      <c r="T3187">
        <v>-7.9980369999999995E-2</v>
      </c>
      <c r="U3187">
        <v>-3.0264280000000001</v>
      </c>
      <c r="V3187">
        <v>0.1066255</v>
      </c>
      <c r="W3187">
        <v>0.13482469999999999</v>
      </c>
      <c r="X3187">
        <v>0.98511590000000004</v>
      </c>
      <c r="Y3187">
        <v>4.3381280000000001E-2</v>
      </c>
      <c r="Z3187">
        <v>2.631905E-2</v>
      </c>
      <c r="AA3187">
        <v>0.99871189999999999</v>
      </c>
      <c r="AB3187">
        <v>29</v>
      </c>
      <c r="AC3187">
        <v>-3.6391000000000102</v>
      </c>
      <c r="AD3187">
        <v>-1.1087192250639999</v>
      </c>
      <c r="AE3187">
        <v>-41.798699999999997</v>
      </c>
      <c r="AF3187">
        <v>1.8266219886291399</v>
      </c>
      <c r="AG3187">
        <v>-1.1087192250639999</v>
      </c>
      <c r="AH3187">
        <v>41.887729452968301</v>
      </c>
      <c r="AI3187">
        <v>91.514759386802695</v>
      </c>
      <c r="AJ3187">
        <v>87.503052375320905</v>
      </c>
      <c r="AK3187">
        <v>41.942194565073002</v>
      </c>
      <c r="AL3187">
        <v>82.2515168655341</v>
      </c>
      <c r="AM3187">
        <v>83.822553507803804</v>
      </c>
      <c r="AN3187">
        <v>1.0000000167065699</v>
      </c>
    </row>
    <row r="3188" spans="1:40" x14ac:dyDescent="0.25">
      <c r="A3188" t="str">
        <f>"20190312164534947"</f>
        <v>20190312164534947</v>
      </c>
      <c r="B3188" t="str">
        <f>"1552380334944606"</f>
        <v>1552380334944606</v>
      </c>
      <c r="C3188" t="s">
        <v>40</v>
      </c>
      <c r="D3188">
        <v>5.6333630000000001</v>
      </c>
      <c r="E3188">
        <v>0.47941630000000002</v>
      </c>
      <c r="F3188" t="s">
        <v>71</v>
      </c>
      <c r="G3188">
        <v>-193.14750000000001</v>
      </c>
      <c r="H3188" s="1">
        <v>-8.8179290000000001E-6</v>
      </c>
      <c r="I3188">
        <v>140.6566</v>
      </c>
      <c r="J3188">
        <v>-189.3631</v>
      </c>
      <c r="K3188">
        <v>1.1086800000000001</v>
      </c>
      <c r="L3188">
        <v>183.74170000000001</v>
      </c>
      <c r="M3188">
        <v>-4.3532870000000001E-2</v>
      </c>
      <c r="N3188">
        <v>0</v>
      </c>
      <c r="O3188">
        <v>-0.99896010000000002</v>
      </c>
      <c r="P3188">
        <v>-0.15030660000000001</v>
      </c>
      <c r="Q3188">
        <v>0.1222785</v>
      </c>
      <c r="R3188">
        <v>-0.98104849999999999</v>
      </c>
      <c r="S3188">
        <v>-0.26536559999999998</v>
      </c>
      <c r="T3188">
        <v>-7.7598570000000006E-2</v>
      </c>
      <c r="U3188">
        <v>-3.0263979999999999</v>
      </c>
      <c r="V3188">
        <v>0.1075863</v>
      </c>
      <c r="W3188">
        <v>0.13553670000000001</v>
      </c>
      <c r="X3188">
        <v>0.9849137</v>
      </c>
      <c r="Y3188">
        <v>4.3866719999999998E-2</v>
      </c>
      <c r="Z3188">
        <v>2.5534439999999999E-2</v>
      </c>
      <c r="AA3188">
        <v>0.99871100000000002</v>
      </c>
      <c r="AB3188">
        <v>29</v>
      </c>
      <c r="AC3188">
        <v>-3.7844000000000002</v>
      </c>
      <c r="AD3188">
        <v>-1.108688817929</v>
      </c>
      <c r="AE3188">
        <v>-43.085099999999997</v>
      </c>
      <c r="AF3188">
        <v>1.9037704858780999</v>
      </c>
      <c r="AG3188">
        <v>-1.108688817929</v>
      </c>
      <c r="AH3188">
        <v>43.180634808639297</v>
      </c>
      <c r="AI3188">
        <v>91.469353779364894</v>
      </c>
      <c r="AJ3188">
        <v>87.475548435329401</v>
      </c>
      <c r="AK3188">
        <v>43.236798626112197</v>
      </c>
      <c r="AL3188">
        <v>82.210344236542298</v>
      </c>
      <c r="AM3188">
        <v>83.766055358481196</v>
      </c>
      <c r="AN3188">
        <v>1.00000000272113</v>
      </c>
    </row>
    <row r="3189" spans="1:40" x14ac:dyDescent="0.25">
      <c r="A3189" t="str">
        <f>"20190312164534961"</f>
        <v>20190312164534961</v>
      </c>
      <c r="B3189" t="str">
        <f>"1552380334955342"</f>
        <v>1552380334955342</v>
      </c>
      <c r="C3189" t="s">
        <v>40</v>
      </c>
      <c r="D3189">
        <v>4.8186790000000004</v>
      </c>
      <c r="E3189">
        <v>0.47935100000000003</v>
      </c>
      <c r="F3189" t="s">
        <v>71</v>
      </c>
      <c r="G3189">
        <v>-193.26060000000001</v>
      </c>
      <c r="H3189" s="1">
        <v>-8.5626899999999995E-6</v>
      </c>
      <c r="I3189">
        <v>139.7441</v>
      </c>
      <c r="J3189">
        <v>-189.3706</v>
      </c>
      <c r="K3189">
        <v>1.108643</v>
      </c>
      <c r="L3189">
        <v>183.57749999999999</v>
      </c>
      <c r="M3189">
        <v>-4.388326E-2</v>
      </c>
      <c r="N3189">
        <v>0</v>
      </c>
      <c r="O3189">
        <v>-0.99894470000000002</v>
      </c>
      <c r="P3189">
        <v>-0.15162030000000001</v>
      </c>
      <c r="Q3189">
        <v>0.1227951</v>
      </c>
      <c r="R3189">
        <v>-0.98078169999999998</v>
      </c>
      <c r="S3189">
        <v>-0.26809690000000003</v>
      </c>
      <c r="T3189">
        <v>-7.6262120000000003E-2</v>
      </c>
      <c r="U3189">
        <v>-3.0264129999999998</v>
      </c>
      <c r="V3189">
        <v>0.1085781</v>
      </c>
      <c r="W3189">
        <v>0.13603789999999999</v>
      </c>
      <c r="X3189">
        <v>0.98473569999999999</v>
      </c>
      <c r="Y3189">
        <v>4.4411230000000003E-2</v>
      </c>
      <c r="Z3189">
        <v>2.5092949999999999E-2</v>
      </c>
      <c r="AA3189">
        <v>0.99869819999999998</v>
      </c>
      <c r="AB3189">
        <v>29</v>
      </c>
      <c r="AC3189">
        <v>-3.8900000000000099</v>
      </c>
      <c r="AD3189">
        <v>-1.10865156269</v>
      </c>
      <c r="AE3189">
        <v>-43.833399999999898</v>
      </c>
      <c r="AF3189">
        <v>1.96127786952598</v>
      </c>
      <c r="AG3189">
        <v>-1.10865156269</v>
      </c>
      <c r="AH3189">
        <v>43.934002395560903</v>
      </c>
      <c r="AI3189">
        <v>91.444084640093294</v>
      </c>
      <c r="AJ3189">
        <v>87.443929996182902</v>
      </c>
      <c r="AK3189">
        <v>43.9917297416469</v>
      </c>
      <c r="AL3189">
        <v>82.181358767848906</v>
      </c>
      <c r="AM3189">
        <v>83.707917489794397</v>
      </c>
      <c r="AN3189">
        <v>0.99999995644525397</v>
      </c>
    </row>
    <row r="3190" spans="1:40" x14ac:dyDescent="0.25">
      <c r="A3190" t="str">
        <f>"20190312164534972"</f>
        <v>20190312164534972</v>
      </c>
      <c r="B3190" t="str">
        <f>"1552380334965103"</f>
        <v>1552380334965103</v>
      </c>
      <c r="C3190" t="s">
        <v>40</v>
      </c>
      <c r="D3190">
        <v>5.0299170000000002</v>
      </c>
      <c r="E3190">
        <v>0.47929709999999998</v>
      </c>
      <c r="F3190" t="s">
        <v>71</v>
      </c>
      <c r="G3190">
        <v>-193.39689999999999</v>
      </c>
      <c r="H3190" s="1">
        <v>-8.2519669999999997E-6</v>
      </c>
      <c r="I3190">
        <v>138.70259999999999</v>
      </c>
      <c r="J3190">
        <v>-189.37790000000001</v>
      </c>
      <c r="K3190">
        <v>1.1086020000000001</v>
      </c>
      <c r="L3190">
        <v>183.4179</v>
      </c>
      <c r="M3190">
        <v>-4.4246389999999997E-2</v>
      </c>
      <c r="N3190">
        <v>0</v>
      </c>
      <c r="O3190">
        <v>-0.99892879999999995</v>
      </c>
      <c r="P3190">
        <v>-0.15281020000000001</v>
      </c>
      <c r="Q3190">
        <v>0.12335409999999999</v>
      </c>
      <c r="R3190">
        <v>-0.98052669999999997</v>
      </c>
      <c r="S3190">
        <v>-0.2715149</v>
      </c>
      <c r="T3190">
        <v>-7.4761869999999994E-2</v>
      </c>
      <c r="U3190">
        <v>-3.026138</v>
      </c>
      <c r="V3190">
        <v>0.10943410000000001</v>
      </c>
      <c r="W3190">
        <v>0.13658120000000001</v>
      </c>
      <c r="X3190">
        <v>0.98456580000000005</v>
      </c>
      <c r="Y3190">
        <v>4.5176250000000001E-2</v>
      </c>
      <c r="Z3190">
        <v>2.4599590000000001E-2</v>
      </c>
      <c r="AA3190">
        <v>0.99867609999999996</v>
      </c>
      <c r="AB3190">
        <v>29</v>
      </c>
      <c r="AC3190">
        <v>-4.0189999999999699</v>
      </c>
      <c r="AD3190">
        <v>-1.108610251967</v>
      </c>
      <c r="AE3190">
        <v>-44.715299999999999</v>
      </c>
      <c r="AF3190">
        <v>2.0351501705252999</v>
      </c>
      <c r="AG3190">
        <v>-1.108610251967</v>
      </c>
      <c r="AH3190">
        <v>44.822012358227099</v>
      </c>
      <c r="AI3190">
        <v>91.415385041378897</v>
      </c>
      <c r="AJ3190">
        <v>87.400262150026407</v>
      </c>
      <c r="AK3190">
        <v>44.881885485665798</v>
      </c>
      <c r="AL3190">
        <v>82.149937269431305</v>
      </c>
      <c r="AM3190">
        <v>83.657629609300599</v>
      </c>
      <c r="AN3190">
        <v>1.00000003048294</v>
      </c>
    </row>
    <row r="3191" spans="1:40" x14ac:dyDescent="0.25">
      <c r="A3191" t="str">
        <f>"20190312164534992"</f>
        <v>20190312164534992</v>
      </c>
      <c r="B3191" t="str">
        <f>"1552380334984622"</f>
        <v>1552380334984622</v>
      </c>
      <c r="C3191" t="s">
        <v>40</v>
      </c>
      <c r="D3191">
        <v>4.9266750000000004</v>
      </c>
      <c r="E3191">
        <v>0.4791126</v>
      </c>
      <c r="F3191" t="s">
        <v>71</v>
      </c>
      <c r="G3191">
        <v>-193.54079999999999</v>
      </c>
      <c r="H3191" s="1">
        <v>-7.9045909999999992E-6</v>
      </c>
      <c r="I3191">
        <v>137.55199999999999</v>
      </c>
      <c r="J3191">
        <v>-189.3897</v>
      </c>
      <c r="K3191">
        <v>1.1085309999999999</v>
      </c>
      <c r="L3191">
        <v>183.16679999999999</v>
      </c>
      <c r="M3191">
        <v>-4.4895310000000001E-2</v>
      </c>
      <c r="N3191">
        <v>0</v>
      </c>
      <c r="O3191">
        <v>-0.99890020000000002</v>
      </c>
      <c r="P3191">
        <v>-0.15486349999999999</v>
      </c>
      <c r="Q3191">
        <v>0.1237587</v>
      </c>
      <c r="R3191">
        <v>-0.98015410000000003</v>
      </c>
      <c r="S3191">
        <v>-0.27464290000000002</v>
      </c>
      <c r="T3191">
        <v>-7.3140140000000006E-2</v>
      </c>
      <c r="U3191">
        <v>-3.0259860000000001</v>
      </c>
      <c r="V3191">
        <v>0.1108866</v>
      </c>
      <c r="W3191">
        <v>0.13695959999999999</v>
      </c>
      <c r="X3191">
        <v>0.98435070000000002</v>
      </c>
      <c r="Y3191">
        <v>4.5556970000000002E-2</v>
      </c>
      <c r="Z3191">
        <v>2.4065139999999999E-2</v>
      </c>
      <c r="AA3191">
        <v>0.9986718</v>
      </c>
      <c r="AB3191">
        <v>29</v>
      </c>
      <c r="AC3191">
        <v>-4.15109999999998</v>
      </c>
      <c r="AD3191">
        <v>-1.1085389045909999</v>
      </c>
      <c r="AE3191">
        <v>-45.614799999999903</v>
      </c>
      <c r="AF3191">
        <v>2.0976072150242802</v>
      </c>
      <c r="AG3191">
        <v>-1.1085389045909999</v>
      </c>
      <c r="AH3191">
        <v>45.728394843060997</v>
      </c>
      <c r="AI3191">
        <v>91.387223098876106</v>
      </c>
      <c r="AJ3191">
        <v>87.373626340014098</v>
      </c>
      <c r="AK3191">
        <v>45.789899644511102</v>
      </c>
      <c r="AL3191">
        <v>82.128050914114596</v>
      </c>
      <c r="AM3191">
        <v>83.572755561244193</v>
      </c>
      <c r="AN3191">
        <v>1.0000000353411</v>
      </c>
    </row>
    <row r="3192" spans="1:40" x14ac:dyDescent="0.25">
      <c r="A3192" t="str">
        <f>"20190312164535013"</f>
        <v>20190312164535013</v>
      </c>
      <c r="B3192" t="str">
        <f>"1552380335005118"</f>
        <v>1552380335005118</v>
      </c>
      <c r="C3192" t="s">
        <v>40</v>
      </c>
      <c r="D3192">
        <v>4.8058430000000003</v>
      </c>
      <c r="E3192">
        <v>0.47894510000000001</v>
      </c>
      <c r="F3192" t="s">
        <v>71</v>
      </c>
      <c r="G3192">
        <v>-193.66749999999999</v>
      </c>
      <c r="H3192" s="1">
        <v>-7.6790679999999998E-6</v>
      </c>
      <c r="I3192">
        <v>136.7901</v>
      </c>
      <c r="J3192">
        <v>-189.40360000000001</v>
      </c>
      <c r="K3192">
        <v>1.1084350000000001</v>
      </c>
      <c r="L3192">
        <v>182.87979999999999</v>
      </c>
      <c r="M3192">
        <v>-4.5748990000000003E-2</v>
      </c>
      <c r="N3192">
        <v>0</v>
      </c>
      <c r="O3192">
        <v>-0.99886129999999995</v>
      </c>
      <c r="P3192">
        <v>-0.15676779999999901</v>
      </c>
      <c r="Q3192">
        <v>0.12391779999999999</v>
      </c>
      <c r="R3192">
        <v>-0.97983120000000001</v>
      </c>
      <c r="S3192">
        <v>-0.27909850000000003</v>
      </c>
      <c r="T3192">
        <v>-7.2325230000000004E-2</v>
      </c>
      <c r="U3192">
        <v>-3.0257869999999998</v>
      </c>
      <c r="V3192">
        <v>0.1119909</v>
      </c>
      <c r="W3192">
        <v>0.1370895</v>
      </c>
      <c r="X3192">
        <v>0.98420759999999996</v>
      </c>
      <c r="Y3192">
        <v>4.6168059999999997E-2</v>
      </c>
      <c r="Z3192">
        <v>2.3795400000000001E-2</v>
      </c>
      <c r="AA3192">
        <v>0.99865029999999999</v>
      </c>
      <c r="AB3192">
        <v>29</v>
      </c>
      <c r="AC3192">
        <v>-4.2638999999999703</v>
      </c>
      <c r="AD3192">
        <v>-1.108442679068</v>
      </c>
      <c r="AE3192">
        <v>-46.089699999999901</v>
      </c>
      <c r="AF3192">
        <v>2.1494517471019399</v>
      </c>
      <c r="AG3192">
        <v>-1.108442679068</v>
      </c>
      <c r="AH3192">
        <v>46.210020215673303</v>
      </c>
      <c r="AI3192">
        <v>91.372610447710201</v>
      </c>
      <c r="AJ3192">
        <v>87.336815529542505</v>
      </c>
      <c r="AK3192">
        <v>46.273261786033999</v>
      </c>
      <c r="AL3192">
        <v>82.120537408661306</v>
      </c>
      <c r="AM3192">
        <v>83.508355664856794</v>
      </c>
      <c r="AN3192">
        <v>1.0000000462954</v>
      </c>
    </row>
    <row r="3193" spans="1:40" x14ac:dyDescent="0.25">
      <c r="A3193" t="str">
        <f>"20190312164535026"</f>
        <v>20190312164535026</v>
      </c>
      <c r="B3193" t="str">
        <f>"1552380335014878"</f>
        <v>1552380335014878</v>
      </c>
      <c r="C3193" t="s">
        <v>40</v>
      </c>
      <c r="D3193">
        <v>4.8042930000000004</v>
      </c>
      <c r="E3193">
        <v>0.47897440000000002</v>
      </c>
      <c r="F3193" t="s">
        <v>71</v>
      </c>
      <c r="G3193">
        <v>-193.732</v>
      </c>
      <c r="H3193" s="1">
        <v>-7.6351840000000006E-6</v>
      </c>
      <c r="I3193">
        <v>136.624</v>
      </c>
      <c r="J3193">
        <v>-189.41139999999999</v>
      </c>
      <c r="K3193">
        <v>1.1083860000000001</v>
      </c>
      <c r="L3193">
        <v>182.721</v>
      </c>
      <c r="M3193">
        <v>-4.6262959999999999E-2</v>
      </c>
      <c r="N3193">
        <v>0</v>
      </c>
      <c r="O3193">
        <v>-0.99883759999999999</v>
      </c>
      <c r="P3193">
        <v>-0.15799750000000001</v>
      </c>
      <c r="Q3193">
        <v>0.1240545</v>
      </c>
      <c r="R3193">
        <v>-0.9796163</v>
      </c>
      <c r="S3193">
        <v>-0.28312680000000001</v>
      </c>
      <c r="T3193">
        <v>-7.2504639999999995E-2</v>
      </c>
      <c r="U3193">
        <v>-3.0256500000000002</v>
      </c>
      <c r="V3193">
        <v>0.1127383</v>
      </c>
      <c r="W3193">
        <v>0.137209</v>
      </c>
      <c r="X3193">
        <v>0.98410560000000002</v>
      </c>
      <c r="Y3193">
        <v>4.6976270000000001E-2</v>
      </c>
      <c r="Z3193">
        <v>2.3852709999999999E-2</v>
      </c>
      <c r="AA3193">
        <v>0.99861120000000003</v>
      </c>
      <c r="AB3193">
        <v>29</v>
      </c>
      <c r="AC3193">
        <v>-4.3206000000000104</v>
      </c>
      <c r="AD3193">
        <v>-1.108393635184</v>
      </c>
      <c r="AE3193">
        <v>-46.096999999999902</v>
      </c>
      <c r="AF3193">
        <v>2.1819435321213199</v>
      </c>
      <c r="AG3193">
        <v>-1.108393635184</v>
      </c>
      <c r="AH3193">
        <v>46.221046651476001</v>
      </c>
      <c r="AI3193">
        <v>91.372178055862904</v>
      </c>
      <c r="AJ3193">
        <v>87.297261237317699</v>
      </c>
      <c r="AK3193">
        <v>46.285792286465302</v>
      </c>
      <c r="AL3193">
        <v>82.113625140275801</v>
      </c>
      <c r="AM3193">
        <v>83.464734061703993</v>
      </c>
      <c r="AN3193">
        <v>1.0000000329596199</v>
      </c>
    </row>
    <row r="3194" spans="1:40" x14ac:dyDescent="0.25">
      <c r="A3194" t="str">
        <f>"20190312164535039"</f>
        <v>20190312164535039</v>
      </c>
      <c r="B3194" t="str">
        <f>"1552380335035375"</f>
        <v>1552380335035375</v>
      </c>
      <c r="C3194" t="s">
        <v>40</v>
      </c>
      <c r="D3194">
        <v>4.8245389999999997</v>
      </c>
      <c r="E3194">
        <v>0.51075669999999995</v>
      </c>
      <c r="F3194" t="s">
        <v>71</v>
      </c>
      <c r="G3194">
        <v>-193.8313</v>
      </c>
      <c r="H3194" s="1">
        <v>-7.4815779999999902E-6</v>
      </c>
      <c r="I3194">
        <v>136.0992</v>
      </c>
      <c r="J3194">
        <v>-189.41909999999999</v>
      </c>
      <c r="K3194">
        <v>1.1083459999999901</v>
      </c>
      <c r="L3194">
        <v>182.5669</v>
      </c>
      <c r="M3194">
        <v>-4.6805909999999999E-2</v>
      </c>
      <c r="N3194">
        <v>0</v>
      </c>
      <c r="O3194">
        <v>-0.99881229999999999</v>
      </c>
      <c r="P3194">
        <v>-0.15956809999999999</v>
      </c>
      <c r="Q3194">
        <v>0.1239614</v>
      </c>
      <c r="R3194">
        <v>-0.97937350000000001</v>
      </c>
      <c r="S3194">
        <v>-0.28680420000000001</v>
      </c>
      <c r="T3194">
        <v>-7.1923139999999997E-2</v>
      </c>
      <c r="U3194">
        <v>-3.0252690000000002</v>
      </c>
      <c r="V3194">
        <v>0.1137973</v>
      </c>
      <c r="W3194">
        <v>0.13709979999999999</v>
      </c>
      <c r="X3194">
        <v>0.98399890000000001</v>
      </c>
      <c r="Y3194">
        <v>4.764856E-2</v>
      </c>
      <c r="Z3194">
        <v>2.366186E-2</v>
      </c>
      <c r="AA3194">
        <v>0.99858389999999997</v>
      </c>
      <c r="AB3194">
        <v>29</v>
      </c>
      <c r="AC3194">
        <v>-4.4122000000000101</v>
      </c>
      <c r="AD3194">
        <v>-1.1083534815779901</v>
      </c>
      <c r="AE3194">
        <v>-46.467700000000001</v>
      </c>
      <c r="AF3194">
        <v>2.2309432246308201</v>
      </c>
      <c r="AG3194">
        <v>-1.1083534815779901</v>
      </c>
      <c r="AH3194">
        <v>46.597024861703403</v>
      </c>
      <c r="AI3194">
        <v>91.361017948796103</v>
      </c>
      <c r="AJ3194">
        <v>87.258921616085402</v>
      </c>
      <c r="AK3194">
        <v>46.663564813180002</v>
      </c>
      <c r="AL3194">
        <v>82.119941332566498</v>
      </c>
      <c r="AM3194">
        <v>83.403175005445306</v>
      </c>
      <c r="AN3194">
        <v>1.0000000079242699</v>
      </c>
    </row>
    <row r="3195" spans="1:40" x14ac:dyDescent="0.25">
      <c r="A3195" t="str">
        <f>"20190312164535051"</f>
        <v>20190312164535051</v>
      </c>
      <c r="B3195" t="str">
        <f>"1552380335045134"</f>
        <v>1552380335045134</v>
      </c>
      <c r="C3195" t="s">
        <v>40</v>
      </c>
      <c r="D3195">
        <v>5.0349329999999997</v>
      </c>
      <c r="E3195">
        <v>0.51634650000000004</v>
      </c>
      <c r="F3195" t="s">
        <v>71</v>
      </c>
      <c r="G3195">
        <v>-194.15880000000001</v>
      </c>
      <c r="H3195" s="1">
        <v>-1.3917029999999999E-5</v>
      </c>
      <c r="I3195">
        <v>156.2758</v>
      </c>
      <c r="J3195">
        <v>-189.42750000000001</v>
      </c>
      <c r="K3195">
        <v>1.1082939999999999</v>
      </c>
      <c r="L3195">
        <v>182.3998</v>
      </c>
      <c r="M3195">
        <v>-4.7417649999999999E-2</v>
      </c>
      <c r="N3195">
        <v>0</v>
      </c>
      <c r="O3195">
        <v>-0.99878350000000005</v>
      </c>
      <c r="P3195">
        <v>-0.16112109999999999</v>
      </c>
      <c r="Q3195">
        <v>0.1242997</v>
      </c>
      <c r="R3195">
        <v>-0.97907599999999995</v>
      </c>
      <c r="S3195">
        <v>-0.53926090000000004</v>
      </c>
      <c r="T3195">
        <v>-0.12610260000000001</v>
      </c>
      <c r="U3195">
        <v>-2.991241</v>
      </c>
      <c r="V3195">
        <v>0.1147755</v>
      </c>
      <c r="W3195">
        <v>0.13742009999999999</v>
      </c>
      <c r="X3195">
        <v>0.98384059999999995</v>
      </c>
      <c r="Y3195">
        <v>0.1303975</v>
      </c>
      <c r="Z3195">
        <v>4.1534969999999997E-2</v>
      </c>
      <c r="AA3195">
        <v>0.99059140000000001</v>
      </c>
      <c r="AB3195">
        <v>29</v>
      </c>
      <c r="AC3195">
        <v>-4.7313000000000001</v>
      </c>
      <c r="AD3195">
        <v>-1.1083079170299901</v>
      </c>
      <c r="AE3195">
        <v>-26.123999999999899</v>
      </c>
      <c r="AF3195">
        <v>3.4810584482090801</v>
      </c>
      <c r="AG3195">
        <v>-1.1083079170299901</v>
      </c>
      <c r="AH3195">
        <v>26.2731901747058</v>
      </c>
      <c r="AI3195">
        <v>92.394629749954603</v>
      </c>
      <c r="AJ3195">
        <v>82.452572659065396</v>
      </c>
      <c r="AK3195">
        <v>26.525961553072001</v>
      </c>
      <c r="AL3195">
        <v>82.101414173985106</v>
      </c>
      <c r="AM3195">
        <v>83.3459141292292</v>
      </c>
      <c r="AN3195">
        <v>1.00000001274631</v>
      </c>
    </row>
    <row r="3196" spans="1:40" x14ac:dyDescent="0.25">
      <c r="A3196" t="str">
        <f>"20190312164535068"</f>
        <v>20190312164535068</v>
      </c>
      <c r="B3196" t="str">
        <f>"1552380335064654"</f>
        <v>1552380335064654</v>
      </c>
      <c r="C3196" t="s">
        <v>40</v>
      </c>
      <c r="D3196">
        <v>5.2512660000000002</v>
      </c>
      <c r="E3196">
        <v>0.52011640000000003</v>
      </c>
      <c r="F3196" t="s">
        <v>71</v>
      </c>
      <c r="G3196">
        <v>-194.58269999999999</v>
      </c>
      <c r="H3196" s="1">
        <v>-1.3929669999999999E-5</v>
      </c>
      <c r="I3196">
        <v>156.2176</v>
      </c>
      <c r="J3196">
        <v>-189.4391</v>
      </c>
      <c r="K3196">
        <v>1.108231</v>
      </c>
      <c r="L3196">
        <v>182.17619999999999</v>
      </c>
      <c r="M3196">
        <v>-4.8304960000000001E-2</v>
      </c>
      <c r="N3196">
        <v>0</v>
      </c>
      <c r="O3196">
        <v>-0.99874099999999999</v>
      </c>
      <c r="P3196">
        <v>-0.1644774</v>
      </c>
      <c r="Q3196">
        <v>0.12405670000000001</v>
      </c>
      <c r="R3196">
        <v>-0.97854890000000005</v>
      </c>
      <c r="S3196">
        <v>-0.58743290000000004</v>
      </c>
      <c r="T3196">
        <v>-0.12629219999999999</v>
      </c>
      <c r="U3196">
        <v>-2.9834749999999999</v>
      </c>
      <c r="V3196">
        <v>0.1172985</v>
      </c>
      <c r="W3196">
        <v>0.13714989999999999</v>
      </c>
      <c r="X3196">
        <v>0.98358069999999997</v>
      </c>
      <c r="Y3196">
        <v>0.14539440000000001</v>
      </c>
      <c r="Z3196">
        <v>4.1595569999999998E-2</v>
      </c>
      <c r="AA3196">
        <v>0.98849900000000002</v>
      </c>
      <c r="AB3196">
        <v>29</v>
      </c>
      <c r="AC3196">
        <v>-5.1435999999999904</v>
      </c>
      <c r="AD3196">
        <v>-1.1082449296700001</v>
      </c>
      <c r="AE3196">
        <v>-25.958599999999901</v>
      </c>
      <c r="AF3196">
        <v>3.87675141553698</v>
      </c>
      <c r="AG3196">
        <v>-1.1082449296700001</v>
      </c>
      <c r="AH3196">
        <v>26.130946534728398</v>
      </c>
      <c r="AI3196">
        <v>92.402265605433698</v>
      </c>
      <c r="AJ3196">
        <v>81.561230645510705</v>
      </c>
      <c r="AK3196">
        <v>26.440192419172</v>
      </c>
      <c r="AL3196">
        <v>82.117043482466798</v>
      </c>
      <c r="AM3196">
        <v>83.199218744896797</v>
      </c>
      <c r="AN3196">
        <v>1.0000000132923701</v>
      </c>
    </row>
    <row r="3197" spans="1:40" x14ac:dyDescent="0.25">
      <c r="A3197" t="str">
        <f>"20190312164535083"</f>
        <v>20190312164535083</v>
      </c>
      <c r="B3197" t="str">
        <f>"1552380335075391"</f>
        <v>1552380335075391</v>
      </c>
      <c r="C3197" t="s">
        <v>40</v>
      </c>
      <c r="D3197">
        <v>5.0285719999999996</v>
      </c>
      <c r="E3197">
        <v>0.52241369999999998</v>
      </c>
      <c r="F3197" t="s">
        <v>71</v>
      </c>
      <c r="G3197">
        <v>-194.4813</v>
      </c>
      <c r="H3197" s="1">
        <v>-1.461193E-5</v>
      </c>
      <c r="I3197">
        <v>158.1634</v>
      </c>
      <c r="J3197">
        <v>-189.4487</v>
      </c>
      <c r="K3197">
        <v>1.1081780000000001</v>
      </c>
      <c r="L3197">
        <v>181.9941</v>
      </c>
      <c r="M3197">
        <v>-4.9086869999999998E-2</v>
      </c>
      <c r="N3197">
        <v>0</v>
      </c>
      <c r="O3197">
        <v>-0.9987028</v>
      </c>
      <c r="P3197">
        <v>-0.166658</v>
      </c>
      <c r="Q3197">
        <v>0.12419040000000001</v>
      </c>
      <c r="R3197">
        <v>-0.97816289999999995</v>
      </c>
      <c r="S3197">
        <v>-0.62533570000000005</v>
      </c>
      <c r="T3197">
        <v>-0.13744439999999999</v>
      </c>
      <c r="U3197">
        <v>-2.9780579999999999</v>
      </c>
      <c r="V3197">
        <v>0.118741</v>
      </c>
      <c r="W3197">
        <v>0.13726279999999999</v>
      </c>
      <c r="X3197">
        <v>0.98339180000000004</v>
      </c>
      <c r="Y3197">
        <v>0.15699769999999999</v>
      </c>
      <c r="Z3197">
        <v>4.5242039999999997E-2</v>
      </c>
      <c r="AA3197">
        <v>0.9865621</v>
      </c>
      <c r="AB3197">
        <v>29</v>
      </c>
      <c r="AC3197">
        <v>-5.0326000000000004</v>
      </c>
      <c r="AD3197">
        <v>-1.1081926119299901</v>
      </c>
      <c r="AE3197">
        <v>-23.8307</v>
      </c>
      <c r="AF3197">
        <v>3.8486830542570498</v>
      </c>
      <c r="AG3197">
        <v>-1.1081926119299901</v>
      </c>
      <c r="AH3197">
        <v>23.999341415399599</v>
      </c>
      <c r="AI3197">
        <v>92.610502146553401</v>
      </c>
      <c r="AJ3197">
        <v>80.889266563802707</v>
      </c>
      <c r="AK3197">
        <v>24.3312317914686</v>
      </c>
      <c r="AL3197">
        <v>82.110512658244204</v>
      </c>
      <c r="AM3197">
        <v>83.115072957310304</v>
      </c>
      <c r="AN3197">
        <v>0.99999996682603898</v>
      </c>
    </row>
    <row r="3198" spans="1:40" x14ac:dyDescent="0.25">
      <c r="A3198" t="str">
        <f>"20190312164535104"</f>
        <v>20190312164535104</v>
      </c>
      <c r="B3198" t="str">
        <f>"1552380335094910"</f>
        <v>1552380335094910</v>
      </c>
      <c r="C3198" t="s">
        <v>40</v>
      </c>
      <c r="D3198">
        <v>5.2312029999999998</v>
      </c>
      <c r="E3198">
        <v>0.52357449999999905</v>
      </c>
      <c r="F3198" t="s">
        <v>71</v>
      </c>
      <c r="G3198">
        <v>-194.7835</v>
      </c>
      <c r="H3198" s="1">
        <v>-1.446641E-5</v>
      </c>
      <c r="I3198">
        <v>157.58510000000001</v>
      </c>
      <c r="J3198">
        <v>-189.46360000000001</v>
      </c>
      <c r="K3198">
        <v>1.1081030000000001</v>
      </c>
      <c r="L3198">
        <v>181.71789999999999</v>
      </c>
      <c r="M3198">
        <v>-5.0334299999999998E-2</v>
      </c>
      <c r="N3198">
        <v>0</v>
      </c>
      <c r="O3198">
        <v>-0.99864070000000005</v>
      </c>
      <c r="P3198">
        <v>-0.1705171</v>
      </c>
      <c r="Q3198">
        <v>0.1244266</v>
      </c>
      <c r="R3198">
        <v>-0.97746739999999999</v>
      </c>
      <c r="S3198">
        <v>-0.64985660000000001</v>
      </c>
      <c r="T3198">
        <v>-0.13499459999999999</v>
      </c>
      <c r="U3198">
        <v>-2.9733890000000001</v>
      </c>
      <c r="V3198">
        <v>0.12142509999999999</v>
      </c>
      <c r="W3198">
        <v>0.13746539999999999</v>
      </c>
      <c r="X3198">
        <v>0.98303569999999996</v>
      </c>
      <c r="Y3198">
        <v>0.1638578</v>
      </c>
      <c r="Z3198">
        <v>4.4438350000000001E-2</v>
      </c>
      <c r="AA3198">
        <v>0.98548250000000004</v>
      </c>
      <c r="AB3198">
        <v>29</v>
      </c>
      <c r="AC3198">
        <v>-5.3198999999999899</v>
      </c>
      <c r="AD3198">
        <v>-1.10811746641</v>
      </c>
      <c r="AE3198">
        <v>-24.1327999999999</v>
      </c>
      <c r="AF3198">
        <v>4.0901125009773596</v>
      </c>
      <c r="AG3198">
        <v>-1.10811746641</v>
      </c>
      <c r="AH3198">
        <v>24.321099689653501</v>
      </c>
      <c r="AI3198">
        <v>92.572629203319707</v>
      </c>
      <c r="AJ3198">
        <v>80.453815601778999</v>
      </c>
      <c r="AK3198">
        <v>24.687503614259501</v>
      </c>
      <c r="AL3198">
        <v>82.098793620661795</v>
      </c>
      <c r="AM3198">
        <v>82.958461530325806</v>
      </c>
      <c r="AN3198">
        <v>0.99999998929082901</v>
      </c>
    </row>
    <row r="3199" spans="1:40" x14ac:dyDescent="0.25">
      <c r="A3199" t="str">
        <f>"20190312164535125"</f>
        <v>20190312164535125</v>
      </c>
      <c r="B3199" t="str">
        <f>"1552380335114430"</f>
        <v>1552380335114430</v>
      </c>
      <c r="C3199" t="s">
        <v>40</v>
      </c>
      <c r="D3199">
        <v>5.0318699999999996</v>
      </c>
      <c r="E3199">
        <v>0.52580899999999997</v>
      </c>
      <c r="F3199" t="s">
        <v>71</v>
      </c>
      <c r="G3199">
        <v>-195.1549</v>
      </c>
      <c r="H3199" s="1">
        <v>-1.4098989999999999E-5</v>
      </c>
      <c r="I3199">
        <v>156.494</v>
      </c>
      <c r="J3199">
        <v>-189.47909999999999</v>
      </c>
      <c r="K3199">
        <v>1.1080289999999999</v>
      </c>
      <c r="L3199">
        <v>181.4385</v>
      </c>
      <c r="M3199">
        <v>-5.167795E-2</v>
      </c>
      <c r="N3199">
        <v>0</v>
      </c>
      <c r="O3199">
        <v>-0.99857189999999996</v>
      </c>
      <c r="P3199">
        <v>-0.1748316</v>
      </c>
      <c r="Q3199">
        <v>0.1245979</v>
      </c>
      <c r="R3199">
        <v>-0.97668279999999996</v>
      </c>
      <c r="S3199">
        <v>-0.66987609999999997</v>
      </c>
      <c r="T3199">
        <v>-0.13042709999999999</v>
      </c>
      <c r="U3199">
        <v>-2.9688870000000001</v>
      </c>
      <c r="V3199">
        <v>0.1244734</v>
      </c>
      <c r="W3199">
        <v>0.13760240000000001</v>
      </c>
      <c r="X3199">
        <v>0.98263520000000004</v>
      </c>
      <c r="Y3199">
        <v>0.16918659999999999</v>
      </c>
      <c r="Z3199">
        <v>4.2946190000000002E-2</v>
      </c>
      <c r="AA3199">
        <v>0.98464790000000002</v>
      </c>
      <c r="AB3199">
        <v>29</v>
      </c>
      <c r="AC3199">
        <v>-5.6757999999999997</v>
      </c>
      <c r="AD3199">
        <v>-1.1080430989899901</v>
      </c>
      <c r="AE3199">
        <v>-24.944500000000001</v>
      </c>
      <c r="AF3199">
        <v>4.3708158524252996</v>
      </c>
      <c r="AG3199">
        <v>-1.1080430989899901</v>
      </c>
      <c r="AH3199">
        <v>25.157307653682601</v>
      </c>
      <c r="AI3199">
        <v>92.484763454257902</v>
      </c>
      <c r="AJ3199">
        <v>80.143849599959296</v>
      </c>
      <c r="AK3199">
        <v>25.558206492378702</v>
      </c>
      <c r="AL3199">
        <v>82.090868811436195</v>
      </c>
      <c r="AM3199">
        <v>82.780619087731793</v>
      </c>
      <c r="AN3199">
        <v>0.99999999203617995</v>
      </c>
    </row>
    <row r="3200" spans="1:40" x14ac:dyDescent="0.25">
      <c r="A3200" t="str">
        <f>"20190312164535137"</f>
        <v>20190312164535137</v>
      </c>
      <c r="B3200" t="str">
        <f>"1552380335134927"</f>
        <v>1552380335134927</v>
      </c>
      <c r="C3200" t="s">
        <v>40</v>
      </c>
      <c r="D3200">
        <v>4.9903490000000001</v>
      </c>
      <c r="E3200">
        <v>0.52810459999999904</v>
      </c>
      <c r="F3200" t="s">
        <v>71</v>
      </c>
      <c r="G3200">
        <v>-195.5025</v>
      </c>
      <c r="H3200" s="1">
        <v>-1.3895039999999999E-5</v>
      </c>
      <c r="I3200">
        <v>155.9468</v>
      </c>
      <c r="J3200">
        <v>-189.48769999999999</v>
      </c>
      <c r="K3200">
        <v>1.1079939999999999</v>
      </c>
      <c r="L3200">
        <v>181.2876</v>
      </c>
      <c r="M3200">
        <v>-5.2437789999999998E-2</v>
      </c>
      <c r="N3200">
        <v>0</v>
      </c>
      <c r="O3200">
        <v>-0.99853230000000004</v>
      </c>
      <c r="P3200">
        <v>-0.17706440000000001</v>
      </c>
      <c r="Q3200">
        <v>0.1247374</v>
      </c>
      <c r="R3200">
        <v>-0.97626270000000004</v>
      </c>
      <c r="S3200">
        <v>-0.70005799999999996</v>
      </c>
      <c r="T3200">
        <v>-0.12878139999999999</v>
      </c>
      <c r="U3200">
        <v>-2.9627530000000002</v>
      </c>
      <c r="V3200">
        <v>0.12598809999999999</v>
      </c>
      <c r="W3200">
        <v>0.13772429999999999</v>
      </c>
      <c r="X3200">
        <v>0.98242510000000005</v>
      </c>
      <c r="Y3200">
        <v>0.17839379999999999</v>
      </c>
      <c r="Z3200">
        <v>4.2405449999999997E-2</v>
      </c>
      <c r="AA3200">
        <v>0.98304499999999995</v>
      </c>
      <c r="AB3200">
        <v>29</v>
      </c>
      <c r="AC3200">
        <v>-6.0148000000000001</v>
      </c>
      <c r="AD3200">
        <v>-1.1080078950399901</v>
      </c>
      <c r="AE3200">
        <v>-25.340800000000002</v>
      </c>
      <c r="AF3200">
        <v>4.66913534746329</v>
      </c>
      <c r="AG3200">
        <v>-1.1080078950399901</v>
      </c>
      <c r="AH3200">
        <v>25.575074300937999</v>
      </c>
      <c r="AI3200">
        <v>92.4404294541458</v>
      </c>
      <c r="AJ3200">
        <v>79.653691220360002</v>
      </c>
      <c r="AK3200">
        <v>26.021393734519702</v>
      </c>
      <c r="AL3200">
        <v>82.083817626620402</v>
      </c>
      <c r="AM3200">
        <v>82.6921654643875</v>
      </c>
      <c r="AN3200">
        <v>1.0000000306310499</v>
      </c>
    </row>
    <row r="3201" spans="1:40" x14ac:dyDescent="0.25">
      <c r="A3201" t="str">
        <f>"20190312164535150"</f>
        <v>20190312164535150</v>
      </c>
      <c r="B3201" t="str">
        <f>"1552380335144687"</f>
        <v>1552380335144687</v>
      </c>
      <c r="C3201" t="s">
        <v>40</v>
      </c>
      <c r="D3201">
        <v>4.8777999999999997</v>
      </c>
      <c r="E3201">
        <v>0.52888109999999999</v>
      </c>
      <c r="F3201" t="s">
        <v>71</v>
      </c>
      <c r="G3201">
        <v>-196.8399</v>
      </c>
      <c r="H3201" s="1">
        <v>-1.26204E-5</v>
      </c>
      <c r="I3201">
        <v>151.34739999999999</v>
      </c>
      <c r="J3201">
        <v>-189.49709999999999</v>
      </c>
      <c r="K3201">
        <v>1.107958</v>
      </c>
      <c r="L3201">
        <v>181.12389999999999</v>
      </c>
      <c r="M3201">
        <v>-5.3275429999999999E-2</v>
      </c>
      <c r="N3201">
        <v>0</v>
      </c>
      <c r="O3201">
        <v>-0.99848809999999999</v>
      </c>
      <c r="P3201">
        <v>-0.179562</v>
      </c>
      <c r="Q3201">
        <v>0.1250175</v>
      </c>
      <c r="R3201">
        <v>-0.97577069999999999</v>
      </c>
      <c r="S3201">
        <v>-0.72570800000000002</v>
      </c>
      <c r="T3201">
        <v>-0.10936750000000001</v>
      </c>
      <c r="U3201">
        <v>-2.955292</v>
      </c>
      <c r="V3201">
        <v>0.12769549999999999</v>
      </c>
      <c r="W3201">
        <v>0.13798450000000001</v>
      </c>
      <c r="X3201">
        <v>0.98216809999999999</v>
      </c>
      <c r="Y3201">
        <v>0.18624060000000001</v>
      </c>
      <c r="Z3201">
        <v>3.6045279999999999E-2</v>
      </c>
      <c r="AA3201">
        <v>0.98184280000000002</v>
      </c>
      <c r="AB3201">
        <v>29</v>
      </c>
      <c r="AC3201">
        <v>-7.3428000000000102</v>
      </c>
      <c r="AD3201">
        <v>-1.1079706203999999</v>
      </c>
      <c r="AE3201">
        <v>-29.776499999999999</v>
      </c>
      <c r="AF3201">
        <v>5.7383794104809098</v>
      </c>
      <c r="AG3201">
        <v>-1.1079706203999999</v>
      </c>
      <c r="AH3201">
        <v>30.086164036209102</v>
      </c>
      <c r="AI3201">
        <v>92.071741320278406</v>
      </c>
      <c r="AJ3201">
        <v>79.201586388170696</v>
      </c>
      <c r="AK3201">
        <v>30.648554020834101</v>
      </c>
      <c r="AL3201">
        <v>82.068765469252497</v>
      </c>
      <c r="AM3201">
        <v>82.592304991897294</v>
      </c>
      <c r="AN3201">
        <v>1.00000001980905</v>
      </c>
    </row>
    <row r="3202" spans="1:40" x14ac:dyDescent="0.25">
      <c r="A3202" t="str">
        <f>"20190312164535162"</f>
        <v>20190312164535162</v>
      </c>
      <c r="B3202" t="str">
        <f>"1552380335154447"</f>
        <v>1552380335154447</v>
      </c>
      <c r="C3202" t="s">
        <v>40</v>
      </c>
      <c r="D3202">
        <v>4.9902660000000001</v>
      </c>
      <c r="E3202">
        <v>0.52962240000000005</v>
      </c>
      <c r="F3202" t="s">
        <v>71</v>
      </c>
      <c r="G3202">
        <v>-197.56870000000001</v>
      </c>
      <c r="H3202" s="1">
        <v>-1.1849189999999999E-5</v>
      </c>
      <c r="I3202">
        <v>148.90190000000001</v>
      </c>
      <c r="J3202">
        <v>-189.50659999999999</v>
      </c>
      <c r="K3202">
        <v>1.1079289999999999</v>
      </c>
      <c r="L3202">
        <v>180.96289999999999</v>
      </c>
      <c r="M3202">
        <v>-5.4129080000000003E-2</v>
      </c>
      <c r="N3202">
        <v>0</v>
      </c>
      <c r="O3202">
        <v>-0.99844219999999895</v>
      </c>
      <c r="P3202">
        <v>-0.18190799999999999</v>
      </c>
      <c r="Q3202">
        <v>0.1250684</v>
      </c>
      <c r="R3202">
        <v>-0.97532940000000001</v>
      </c>
      <c r="S3202">
        <v>-0.73933409999999999</v>
      </c>
      <c r="T3202">
        <v>-0.1014872</v>
      </c>
      <c r="U3202">
        <v>-2.9514469999999999</v>
      </c>
      <c r="V3202">
        <v>0.12923119999999999</v>
      </c>
      <c r="W3202">
        <v>0.13801849999999999</v>
      </c>
      <c r="X3202">
        <v>0.98196240000000001</v>
      </c>
      <c r="Y3202">
        <v>0.18998719999999999</v>
      </c>
      <c r="Z3202">
        <v>3.346064E-2</v>
      </c>
      <c r="AA3202">
        <v>0.98121619999999998</v>
      </c>
      <c r="AB3202">
        <v>29</v>
      </c>
      <c r="AC3202">
        <v>-8.0621000000000098</v>
      </c>
      <c r="AD3202">
        <v>-1.10794084919</v>
      </c>
      <c r="AE3202">
        <v>-32.0609999999999</v>
      </c>
      <c r="AF3202">
        <v>6.3076023348687302</v>
      </c>
      <c r="AG3202">
        <v>-1.10794084919</v>
      </c>
      <c r="AH3202">
        <v>32.4140154006353</v>
      </c>
      <c r="AI3202">
        <v>91.921642524386897</v>
      </c>
      <c r="AJ3202">
        <v>78.988152543621496</v>
      </c>
      <c r="AK3202">
        <v>33.040607962517399</v>
      </c>
      <c r="AL3202">
        <v>82.066798293518801</v>
      </c>
      <c r="AM3202">
        <v>82.502672863370606</v>
      </c>
      <c r="AN3202">
        <v>0.99999998220472397</v>
      </c>
    </row>
    <row r="3203" spans="1:40" x14ac:dyDescent="0.25">
      <c r="A3203" t="str">
        <f>"20190312164535180"</f>
        <v>20190312164535180</v>
      </c>
      <c r="B3203" t="str">
        <f>"1552380335174942"</f>
        <v>1552380335174942</v>
      </c>
      <c r="C3203" t="s">
        <v>40</v>
      </c>
      <c r="D3203">
        <v>5.0776219999999999</v>
      </c>
      <c r="E3203">
        <v>0.52966959999999996</v>
      </c>
      <c r="F3203" t="s">
        <v>71</v>
      </c>
      <c r="G3203">
        <v>-198.3158</v>
      </c>
      <c r="H3203" s="1">
        <v>-1.1280490000000001E-5</v>
      </c>
      <c r="I3203">
        <v>146.43950000000001</v>
      </c>
      <c r="J3203">
        <v>-189.52099999999999</v>
      </c>
      <c r="K3203">
        <v>1.107893</v>
      </c>
      <c r="L3203">
        <v>180.7235</v>
      </c>
      <c r="M3203">
        <v>-5.5424960000000002E-2</v>
      </c>
      <c r="N3203">
        <v>0</v>
      </c>
      <c r="O3203">
        <v>-0.99837109999999996</v>
      </c>
      <c r="P3203">
        <v>-0.18655440000000001</v>
      </c>
      <c r="Q3203">
        <v>0.12538160000000001</v>
      </c>
      <c r="R3203">
        <v>-0.97441129999999998</v>
      </c>
      <c r="S3203">
        <v>-0.75215149999999997</v>
      </c>
      <c r="T3203">
        <v>-9.4599009999999997E-2</v>
      </c>
      <c r="U3203">
        <v>-2.947708</v>
      </c>
      <c r="V3203">
        <v>0.1326589</v>
      </c>
      <c r="W3203">
        <v>0.138301799999999</v>
      </c>
      <c r="X3203">
        <v>0.98146529999999998</v>
      </c>
      <c r="Y3203">
        <v>0.19303339999999999</v>
      </c>
      <c r="Z3203">
        <v>3.1201159999999999E-2</v>
      </c>
      <c r="AA3203">
        <v>0.98069600000000001</v>
      </c>
      <c r="AB3203">
        <v>29</v>
      </c>
      <c r="AC3203">
        <v>-8.7948000000000093</v>
      </c>
      <c r="AD3203">
        <v>-1.1079042804899999</v>
      </c>
      <c r="AE3203">
        <v>-34.283999999999899</v>
      </c>
      <c r="AF3203">
        <v>6.8741798031237202</v>
      </c>
      <c r="AG3203">
        <v>-1.1079042804899999</v>
      </c>
      <c r="AH3203">
        <v>34.6848023577544</v>
      </c>
      <c r="AI3203">
        <v>91.794640472423595</v>
      </c>
      <c r="AJ3203">
        <v>78.789820709017903</v>
      </c>
      <c r="AK3203">
        <v>35.376790618382699</v>
      </c>
      <c r="AL3203">
        <v>82.050408995337705</v>
      </c>
      <c r="AM3203">
        <v>82.302316989243906</v>
      </c>
      <c r="AN3203">
        <v>0.99999995336826897</v>
      </c>
    </row>
    <row r="3204" spans="1:40" x14ac:dyDescent="0.25">
      <c r="A3204" t="str">
        <f>"20190312164535193"</f>
        <v>20190312164535193</v>
      </c>
      <c r="B3204" t="str">
        <f>"1552380335184702"</f>
        <v>1552380335184702</v>
      </c>
      <c r="C3204" t="s">
        <v>40</v>
      </c>
      <c r="D3204">
        <v>4.8940460000000003</v>
      </c>
      <c r="E3204">
        <v>0.53011229999999998</v>
      </c>
      <c r="F3204" t="s">
        <v>71</v>
      </c>
      <c r="G3204">
        <v>-197.94110000000001</v>
      </c>
      <c r="H3204" s="1">
        <v>-1.176301E-5</v>
      </c>
      <c r="I3204">
        <v>148.3246</v>
      </c>
      <c r="J3204">
        <v>-189.5308</v>
      </c>
      <c r="K3204">
        <v>1.1078709999999901</v>
      </c>
      <c r="L3204">
        <v>180.56360000000001</v>
      </c>
      <c r="M3204">
        <v>-5.6307580000000003E-2</v>
      </c>
      <c r="N3204">
        <v>0</v>
      </c>
      <c r="O3204">
        <v>-0.99832189999999998</v>
      </c>
      <c r="P3204">
        <v>-0.18917729999999999</v>
      </c>
      <c r="Q3204">
        <v>0.1256612</v>
      </c>
      <c r="R3204">
        <v>-0.97386950000000005</v>
      </c>
      <c r="S3204">
        <v>-0.76542659999999996</v>
      </c>
      <c r="T3204">
        <v>-0.1007136</v>
      </c>
      <c r="U3204">
        <v>-2.9452060000000002</v>
      </c>
      <c r="V3204">
        <v>0.1344476</v>
      </c>
      <c r="W3204">
        <v>0.13856389999999999</v>
      </c>
      <c r="X3204">
        <v>0.98118499999999997</v>
      </c>
      <c r="Y3204">
        <v>0.19649330000000001</v>
      </c>
      <c r="Z3204">
        <v>3.321064E-2</v>
      </c>
      <c r="AA3204">
        <v>0.9799426</v>
      </c>
      <c r="AB3204">
        <v>29</v>
      </c>
      <c r="AC3204">
        <v>-8.4102999999999994</v>
      </c>
      <c r="AD3204">
        <v>-1.1078827630100001</v>
      </c>
      <c r="AE3204">
        <v>-32.238999999999997</v>
      </c>
      <c r="AF3204">
        <v>6.5742193057971896</v>
      </c>
      <c r="AG3204">
        <v>-1.1078827630100001</v>
      </c>
      <c r="AH3204">
        <v>32.625376082805403</v>
      </c>
      <c r="AI3204">
        <v>91.906591526744194</v>
      </c>
      <c r="AJ3204">
        <v>78.6071055729319</v>
      </c>
      <c r="AK3204">
        <v>33.299593514662902</v>
      </c>
      <c r="AL3204">
        <v>82.035246614389294</v>
      </c>
      <c r="AM3204">
        <v>82.197594122916598</v>
      </c>
      <c r="AN3204">
        <v>1.0000000578769801</v>
      </c>
    </row>
    <row r="3205" spans="1:40" x14ac:dyDescent="0.25">
      <c r="A3205" t="str">
        <f>"20190312164535204"</f>
        <v>20190312164535204</v>
      </c>
      <c r="B3205" t="str">
        <f>"1552380335194463"</f>
        <v>1552380335194463</v>
      </c>
      <c r="C3205" t="s">
        <v>40</v>
      </c>
      <c r="D3205">
        <v>4.9104999999999999</v>
      </c>
      <c r="E3205">
        <v>0.53049950000000001</v>
      </c>
      <c r="F3205" t="s">
        <v>71</v>
      </c>
      <c r="G3205">
        <v>-198.5222</v>
      </c>
      <c r="H3205" s="1">
        <v>-1.133247E-5</v>
      </c>
      <c r="I3205">
        <v>146.5146</v>
      </c>
      <c r="J3205">
        <v>-189.54</v>
      </c>
      <c r="K3205">
        <v>1.1078570000000001</v>
      </c>
      <c r="L3205">
        <v>180.4151</v>
      </c>
      <c r="M3205">
        <v>-5.7139839999999997E-2</v>
      </c>
      <c r="N3205">
        <v>0</v>
      </c>
      <c r="O3205">
        <v>-0.99827460000000001</v>
      </c>
      <c r="P3205">
        <v>-0.19164100000000001</v>
      </c>
      <c r="Q3205">
        <v>0.1258331</v>
      </c>
      <c r="R3205">
        <v>-0.97336560000000005</v>
      </c>
      <c r="S3205">
        <v>-0.77688599999999997</v>
      </c>
      <c r="T3205">
        <v>-9.5724580000000004E-2</v>
      </c>
      <c r="U3205">
        <v>-2.9419400000000002</v>
      </c>
      <c r="V3205">
        <v>0.13612360000000001</v>
      </c>
      <c r="W3205">
        <v>0.13872119999999999</v>
      </c>
      <c r="X3205">
        <v>0.98093160000000001</v>
      </c>
      <c r="Y3205">
        <v>0.1995248</v>
      </c>
      <c r="Z3205">
        <v>3.1573709999999998E-2</v>
      </c>
      <c r="AA3205">
        <v>0.97938389999999997</v>
      </c>
      <c r="AB3205">
        <v>29</v>
      </c>
      <c r="AC3205">
        <v>-8.9822000000000006</v>
      </c>
      <c r="AD3205">
        <v>-1.1078683324699901</v>
      </c>
      <c r="AE3205">
        <v>-33.900499999999901</v>
      </c>
      <c r="AF3205">
        <v>7.0232670828510004</v>
      </c>
      <c r="AG3205">
        <v>-1.1078683324699901</v>
      </c>
      <c r="AH3205">
        <v>34.324138178308203</v>
      </c>
      <c r="AI3205">
        <v>91.811173946655202</v>
      </c>
      <c r="AJ3205">
        <v>78.435990863359805</v>
      </c>
      <c r="AK3205">
        <v>35.052818922916003</v>
      </c>
      <c r="AL3205">
        <v>82.026145674829493</v>
      </c>
      <c r="AM3205">
        <v>82.0995362611757</v>
      </c>
      <c r="AN3205">
        <v>1.00000000484248</v>
      </c>
    </row>
    <row r="3206" spans="1:40" x14ac:dyDescent="0.25">
      <c r="A3206" t="str">
        <f>"20190312164535217"</f>
        <v>20190312164535217</v>
      </c>
      <c r="B3206" t="str">
        <f>"1552380335205199"</f>
        <v>1552380335205199</v>
      </c>
      <c r="C3206" t="s">
        <v>40</v>
      </c>
      <c r="D3206">
        <v>4.8635599999999997</v>
      </c>
      <c r="E3206">
        <v>0.53075119999999998</v>
      </c>
      <c r="F3206" t="s">
        <v>71</v>
      </c>
      <c r="G3206">
        <v>-199.05850000000001</v>
      </c>
      <c r="H3206" s="1">
        <v>-1.09212E-5</v>
      </c>
      <c r="I3206">
        <v>144.8732</v>
      </c>
      <c r="J3206">
        <v>-189.54990000000001</v>
      </c>
      <c r="K3206">
        <v>1.107839</v>
      </c>
      <c r="L3206">
        <v>180.2593</v>
      </c>
      <c r="M3206">
        <v>-5.8024329999999999E-2</v>
      </c>
      <c r="N3206">
        <v>0</v>
      </c>
      <c r="O3206">
        <v>-0.99822339999999998</v>
      </c>
      <c r="P3206">
        <v>-0.1943356</v>
      </c>
      <c r="Q3206">
        <v>0.12611539999999999</v>
      </c>
      <c r="R3206">
        <v>-0.97279439999999995</v>
      </c>
      <c r="S3206">
        <v>-0.78709410000000002</v>
      </c>
      <c r="T3206">
        <v>-9.1610430000000007E-2</v>
      </c>
      <c r="U3206">
        <v>-2.9389799999999999</v>
      </c>
      <c r="V3206">
        <v>0.13798270000000001</v>
      </c>
      <c r="W3206">
        <v>0.13898750000000001</v>
      </c>
      <c r="X3206">
        <v>0.98063409999999995</v>
      </c>
      <c r="Y3206">
        <v>0.20208709999999999</v>
      </c>
      <c r="Z3206">
        <v>3.0223759999999999E-2</v>
      </c>
      <c r="AA3206">
        <v>0.97890109999999997</v>
      </c>
      <c r="AB3206">
        <v>29</v>
      </c>
      <c r="AC3206">
        <v>-9.5085999999999995</v>
      </c>
      <c r="AD3206">
        <v>-1.1078499211999999</v>
      </c>
      <c r="AE3206">
        <v>-35.386099999999999</v>
      </c>
      <c r="AF3206">
        <v>7.4323395197858799</v>
      </c>
      <c r="AG3206">
        <v>-1.1078499211999999</v>
      </c>
      <c r="AH3206">
        <v>35.845481937656302</v>
      </c>
      <c r="AI3206">
        <v>91.733389797879198</v>
      </c>
      <c r="AJ3206">
        <v>78.286057809047307</v>
      </c>
      <c r="AK3206">
        <v>36.624658053395102</v>
      </c>
      <c r="AL3206">
        <v>82.010738472935998</v>
      </c>
      <c r="AM3206">
        <v>81.990628659638105</v>
      </c>
      <c r="AN3206">
        <v>0.99999999436917497</v>
      </c>
    </row>
    <row r="3207" spans="1:40" x14ac:dyDescent="0.25">
      <c r="A3207" t="str">
        <f>"20190312164535230"</f>
        <v>20190312164535230</v>
      </c>
      <c r="B3207" t="str">
        <f>"1552380335224719"</f>
        <v>1552380335224719</v>
      </c>
      <c r="C3207" t="s">
        <v>40</v>
      </c>
      <c r="D3207">
        <v>4.8982619999999999</v>
      </c>
      <c r="E3207">
        <v>0.53083089999999999</v>
      </c>
      <c r="F3207" t="s">
        <v>71</v>
      </c>
      <c r="G3207">
        <v>-199.64349999999999</v>
      </c>
      <c r="H3207" s="1">
        <v>-1.04695899999999E-5</v>
      </c>
      <c r="I3207">
        <v>143.0728</v>
      </c>
      <c r="J3207">
        <v>-189.56059999999999</v>
      </c>
      <c r="K3207">
        <v>1.1078209999999999</v>
      </c>
      <c r="L3207">
        <v>180.09110000000001</v>
      </c>
      <c r="M3207">
        <v>-5.8986320000000002E-2</v>
      </c>
      <c r="N3207">
        <v>0</v>
      </c>
      <c r="O3207">
        <v>-0.99816709999999997</v>
      </c>
      <c r="P3207">
        <v>-0.1973723</v>
      </c>
      <c r="Q3207">
        <v>0.1262662</v>
      </c>
      <c r="R3207">
        <v>-0.972163</v>
      </c>
      <c r="S3207">
        <v>-0.79693599999999998</v>
      </c>
      <c r="T3207">
        <v>-8.7469099999999994E-2</v>
      </c>
      <c r="U3207">
        <v>-2.9360200000000001</v>
      </c>
      <c r="V3207">
        <v>0.14011080000000001</v>
      </c>
      <c r="W3207">
        <v>0.1391212</v>
      </c>
      <c r="X3207">
        <v>0.9803134</v>
      </c>
      <c r="Y3207">
        <v>0.20445859999999999</v>
      </c>
      <c r="Z3207">
        <v>2.88647E-2</v>
      </c>
      <c r="AA3207">
        <v>0.97844949999999997</v>
      </c>
      <c r="AB3207">
        <v>29</v>
      </c>
      <c r="AC3207">
        <v>-10.082899999999899</v>
      </c>
      <c r="AD3207">
        <v>-1.10783146959</v>
      </c>
      <c r="AE3207">
        <v>-37.018300000000004</v>
      </c>
      <c r="AF3207">
        <v>7.8750014218470703</v>
      </c>
      <c r="AG3207">
        <v>-1.10783146959</v>
      </c>
      <c r="AH3207">
        <v>37.517359250264299</v>
      </c>
      <c r="AI3207">
        <v>91.655314990454599</v>
      </c>
      <c r="AJ3207">
        <v>78.145551006506906</v>
      </c>
      <c r="AK3207">
        <v>38.350947616356201</v>
      </c>
      <c r="AL3207">
        <v>82.0030033489939</v>
      </c>
      <c r="AM3207">
        <v>81.866115732493299</v>
      </c>
      <c r="AN3207">
        <v>1.00000005339281</v>
      </c>
    </row>
    <row r="3208" spans="1:40" x14ac:dyDescent="0.25">
      <c r="A3208" t="str">
        <f>"20190312164535246"</f>
        <v>20190312164535246</v>
      </c>
      <c r="B3208" t="str">
        <f>"1552380335234478"</f>
        <v>1552380335234478</v>
      </c>
      <c r="C3208" t="s">
        <v>40</v>
      </c>
      <c r="D3208">
        <v>5.2121810000000002</v>
      </c>
      <c r="E3208">
        <v>0.53092159999999999</v>
      </c>
      <c r="F3208" t="s">
        <v>71</v>
      </c>
      <c r="G3208">
        <v>-198.13290000000001</v>
      </c>
      <c r="H3208" s="1">
        <v>-1.193093E-5</v>
      </c>
      <c r="I3208">
        <v>148.83240000000001</v>
      </c>
      <c r="J3208">
        <v>-189.5746</v>
      </c>
      <c r="K3208">
        <v>1.1078049999999999</v>
      </c>
      <c r="L3208">
        <v>179.87649999999999</v>
      </c>
      <c r="M3208">
        <v>-6.0229009999999999E-2</v>
      </c>
      <c r="N3208">
        <v>0</v>
      </c>
      <c r="O3208">
        <v>-0.99809309999999996</v>
      </c>
      <c r="P3208">
        <v>-0.20263010000000001</v>
      </c>
      <c r="Q3208">
        <v>0.12624859999999999</v>
      </c>
      <c r="R3208">
        <v>-0.97108329999999998</v>
      </c>
      <c r="S3208">
        <v>-0.80514529999999995</v>
      </c>
      <c r="T3208">
        <v>-0.10405209999999999</v>
      </c>
      <c r="U3208">
        <v>-2.9359440000000001</v>
      </c>
      <c r="V3208">
        <v>0.1442071</v>
      </c>
      <c r="W3208">
        <v>0.13907630000000001</v>
      </c>
      <c r="X3208">
        <v>0.97972550000000003</v>
      </c>
      <c r="Y3208">
        <v>0.20574700000000001</v>
      </c>
      <c r="Z3208">
        <v>3.4310920000000002E-2</v>
      </c>
      <c r="AA3208">
        <v>0.97800359999999997</v>
      </c>
      <c r="AB3208">
        <v>29</v>
      </c>
      <c r="AC3208">
        <v>-8.5582999999999991</v>
      </c>
      <c r="AD3208">
        <v>-1.1078169309300001</v>
      </c>
      <c r="AE3208">
        <v>-31.044099999999901</v>
      </c>
      <c r="AF3208">
        <v>6.6649462154604802</v>
      </c>
      <c r="AG3208">
        <v>-1.1078169309300001</v>
      </c>
      <c r="AH3208">
        <v>31.465997035306799</v>
      </c>
      <c r="AI3208">
        <v>91.972637751836501</v>
      </c>
      <c r="AJ3208">
        <v>78.040699554646594</v>
      </c>
      <c r="AK3208">
        <v>32.183190268110003</v>
      </c>
      <c r="AL3208">
        <v>82.005600594655903</v>
      </c>
      <c r="AM3208">
        <v>81.626682633296696</v>
      </c>
      <c r="AN3208">
        <v>0.99999998013117397</v>
      </c>
    </row>
    <row r="3209" spans="1:40" x14ac:dyDescent="0.25">
      <c r="A3209" t="str">
        <f>"20190312164535259"</f>
        <v>20190312164535259</v>
      </c>
      <c r="B3209" t="str">
        <f>"1552380335254974"</f>
        <v>1552380335254974</v>
      </c>
      <c r="C3209" t="s">
        <v>40</v>
      </c>
      <c r="D3209">
        <v>4.9271260000000003</v>
      </c>
      <c r="E3209">
        <v>0.53118160000000003</v>
      </c>
      <c r="F3209" t="s">
        <v>71</v>
      </c>
      <c r="G3209">
        <v>-198.10290000000001</v>
      </c>
      <c r="H3209" s="1">
        <v>-1.207255E-5</v>
      </c>
      <c r="I3209">
        <v>149.3896</v>
      </c>
      <c r="J3209">
        <v>-189.58539999999999</v>
      </c>
      <c r="K3209">
        <v>1.1077950000000001</v>
      </c>
      <c r="L3209">
        <v>179.71520000000001</v>
      </c>
      <c r="M3209">
        <v>-6.116916E-2</v>
      </c>
      <c r="N3209">
        <v>0</v>
      </c>
      <c r="O3209">
        <v>-0.99803569999999997</v>
      </c>
      <c r="P3209">
        <v>-0.2056714</v>
      </c>
      <c r="Q3209">
        <v>0.12594820000000001</v>
      </c>
      <c r="R3209">
        <v>-0.97048279999999998</v>
      </c>
      <c r="S3209">
        <v>-0.82019039999999999</v>
      </c>
      <c r="T3209">
        <v>-0.10654230000000001</v>
      </c>
      <c r="U3209">
        <v>-2.9320219999999999</v>
      </c>
      <c r="V3209">
        <v>0.1463573</v>
      </c>
      <c r="W3209">
        <v>0.138761299999999</v>
      </c>
      <c r="X3209">
        <v>0.97945130000000002</v>
      </c>
      <c r="Y3209">
        <v>0.20980969999999999</v>
      </c>
      <c r="Z3209">
        <v>3.5134279999999997E-2</v>
      </c>
      <c r="AA3209">
        <v>0.97711079999999995</v>
      </c>
      <c r="AB3209">
        <v>29</v>
      </c>
      <c r="AC3209">
        <v>-8.5175000000000107</v>
      </c>
      <c r="AD3209">
        <v>-1.10780707255</v>
      </c>
      <c r="AE3209">
        <v>-30.325600000000001</v>
      </c>
      <c r="AF3209">
        <v>6.6381752805640701</v>
      </c>
      <c r="AG3209">
        <v>-1.10780707255</v>
      </c>
      <c r="AH3209">
        <v>30.751821473385</v>
      </c>
      <c r="AI3209">
        <v>92.016725648622099</v>
      </c>
      <c r="AJ3209">
        <v>77.818875812217101</v>
      </c>
      <c r="AK3209">
        <v>31.479630421852502</v>
      </c>
      <c r="AL3209">
        <v>82.023825664672202</v>
      </c>
      <c r="AM3209">
        <v>81.501297609603498</v>
      </c>
      <c r="AN3209">
        <v>1.0000000033563301</v>
      </c>
    </row>
    <row r="3210" spans="1:40" x14ac:dyDescent="0.25">
      <c r="A3210" t="str">
        <f>"20190312164535271"</f>
        <v>20190312164535271</v>
      </c>
      <c r="B3210" t="str">
        <f>"1552380335264734"</f>
        <v>1552380335264734</v>
      </c>
      <c r="C3210" t="s">
        <v>40</v>
      </c>
      <c r="D3210">
        <v>4.9207910000000004</v>
      </c>
      <c r="E3210">
        <v>0.53105380000000002</v>
      </c>
      <c r="F3210" t="s">
        <v>71</v>
      </c>
      <c r="G3210">
        <v>-198.51499999999999</v>
      </c>
      <c r="H3210" s="1">
        <v>-1.18454E-5</v>
      </c>
      <c r="I3210">
        <v>148.251</v>
      </c>
      <c r="J3210">
        <v>-189.59559999999999</v>
      </c>
      <c r="K3210">
        <v>1.107783</v>
      </c>
      <c r="L3210">
        <v>179.56319999999999</v>
      </c>
      <c r="M3210">
        <v>-6.2057590000000003E-2</v>
      </c>
      <c r="N3210">
        <v>0</v>
      </c>
      <c r="O3210">
        <v>-0.9979808</v>
      </c>
      <c r="P3210">
        <v>-0.20838760000000001</v>
      </c>
      <c r="Q3210">
        <v>0.12572700000000001</v>
      </c>
      <c r="R3210">
        <v>-0.96993169999999995</v>
      </c>
      <c r="S3210">
        <v>-0.83111569999999901</v>
      </c>
      <c r="T3210">
        <v>-0.1031075</v>
      </c>
      <c r="U3210">
        <v>-2.9284819999999998</v>
      </c>
      <c r="V3210">
        <v>0.1482311</v>
      </c>
      <c r="W3210">
        <v>0.13852709999999999</v>
      </c>
      <c r="X3210">
        <v>0.97920260000000003</v>
      </c>
      <c r="Y3210">
        <v>0.2126324</v>
      </c>
      <c r="Z3210">
        <v>3.4012239999999999E-2</v>
      </c>
      <c r="AA3210">
        <v>0.97654010000000002</v>
      </c>
      <c r="AB3210">
        <v>29</v>
      </c>
      <c r="AC3210">
        <v>-8.9193999999999907</v>
      </c>
      <c r="AD3210">
        <v>-1.1077948454</v>
      </c>
      <c r="AE3210">
        <v>-31.312199999999901</v>
      </c>
      <c r="AF3210">
        <v>6.950820460898</v>
      </c>
      <c r="AG3210">
        <v>-1.1077948454</v>
      </c>
      <c r="AH3210">
        <v>31.768624412438701</v>
      </c>
      <c r="AI3210">
        <v>91.951019832141597</v>
      </c>
      <c r="AJ3210">
        <v>77.6584448058194</v>
      </c>
      <c r="AK3210">
        <v>32.5390013915259</v>
      </c>
      <c r="AL3210">
        <v>82.037374959981094</v>
      </c>
      <c r="AM3210">
        <v>81.3919555248427</v>
      </c>
      <c r="AN3210">
        <v>0.99999997414418895</v>
      </c>
    </row>
    <row r="3211" spans="1:40" x14ac:dyDescent="0.25">
      <c r="A3211" t="str">
        <f>"20190312164535283"</f>
        <v>20190312164535283</v>
      </c>
      <c r="B3211" t="str">
        <f>"1552380335274495"</f>
        <v>1552380335274495</v>
      </c>
      <c r="C3211" t="s">
        <v>40</v>
      </c>
      <c r="D3211">
        <v>4.932315</v>
      </c>
      <c r="E3211">
        <v>0.53093429999999997</v>
      </c>
      <c r="F3211" t="s">
        <v>71</v>
      </c>
      <c r="G3211">
        <v>-198.00919999999999</v>
      </c>
      <c r="H3211" s="1">
        <v>-1.234515E-5</v>
      </c>
      <c r="I3211">
        <v>150.15110000000001</v>
      </c>
      <c r="J3211">
        <v>-189.60650000000001</v>
      </c>
      <c r="K3211">
        <v>1.107775</v>
      </c>
      <c r="L3211">
        <v>179.4041</v>
      </c>
      <c r="M3211">
        <v>-6.2991800000000001E-2</v>
      </c>
      <c r="N3211">
        <v>0</v>
      </c>
      <c r="O3211">
        <v>-0.99792239999999999</v>
      </c>
      <c r="P3211">
        <v>-0.21131520000000001</v>
      </c>
      <c r="Q3211">
        <v>0.12522849999999999</v>
      </c>
      <c r="R3211">
        <v>-0.96936270000000002</v>
      </c>
      <c r="S3211">
        <v>-0.83740230000000004</v>
      </c>
      <c r="T3211">
        <v>-0.11025890000000001</v>
      </c>
      <c r="U3211">
        <v>-2.9273829999999998</v>
      </c>
      <c r="V3211">
        <v>0.15027099999999999</v>
      </c>
      <c r="W3211">
        <v>0.13801559999999999</v>
      </c>
      <c r="X3211">
        <v>0.9789639</v>
      </c>
      <c r="Y3211">
        <v>0.2137307</v>
      </c>
      <c r="Z3211">
        <v>3.6363199999999901E-2</v>
      </c>
      <c r="AA3211">
        <v>0.97621559999999996</v>
      </c>
      <c r="AB3211">
        <v>29</v>
      </c>
      <c r="AC3211">
        <v>-8.4026999999999799</v>
      </c>
      <c r="AD3211">
        <v>-1.10778734515</v>
      </c>
      <c r="AE3211">
        <v>-29.252999999999901</v>
      </c>
      <c r="AF3211">
        <v>6.5344851812500702</v>
      </c>
      <c r="AG3211">
        <v>-1.10778734515</v>
      </c>
      <c r="AH3211">
        <v>29.684918102451999</v>
      </c>
      <c r="AI3211">
        <v>92.087256459073103</v>
      </c>
      <c r="AJ3211">
        <v>77.585579875690897</v>
      </c>
      <c r="AK3211">
        <v>30.4158026712322</v>
      </c>
      <c r="AL3211">
        <v>82.066966186057101</v>
      </c>
      <c r="AM3211">
        <v>81.273210964707204</v>
      </c>
      <c r="AN3211">
        <v>0.99999999839378495</v>
      </c>
    </row>
    <row r="3212" spans="1:40" x14ac:dyDescent="0.25">
      <c r="A3212" t="str">
        <f>"20190312164535296"</f>
        <v>20190312164535296</v>
      </c>
      <c r="B3212" t="str">
        <f>"1552380335285231"</f>
        <v>1552380335285231</v>
      </c>
      <c r="C3212" t="s">
        <v>40</v>
      </c>
      <c r="D3212">
        <v>5.0719510000000003</v>
      </c>
      <c r="E3212">
        <v>0.53084039999999999</v>
      </c>
      <c r="F3212" t="s">
        <v>71</v>
      </c>
      <c r="G3212">
        <v>-197.58969999999999</v>
      </c>
      <c r="H3212" s="1">
        <v>-1.278526E-5</v>
      </c>
      <c r="I3212">
        <v>151.73830000000001</v>
      </c>
      <c r="J3212">
        <v>-189.61779999999999</v>
      </c>
      <c r="K3212">
        <v>1.1077699999999999</v>
      </c>
      <c r="L3212">
        <v>179.24090000000001</v>
      </c>
      <c r="M3212">
        <v>-6.3952229999999999E-2</v>
      </c>
      <c r="N3212">
        <v>0</v>
      </c>
      <c r="O3212">
        <v>-0.99786109999999995</v>
      </c>
      <c r="P3212">
        <v>-0.2144577</v>
      </c>
      <c r="Q3212">
        <v>0.1247699</v>
      </c>
      <c r="R3212">
        <v>-0.96873129999999996</v>
      </c>
      <c r="S3212">
        <v>-0.84429929999999997</v>
      </c>
      <c r="T3212">
        <v>-0.11715830000000001</v>
      </c>
      <c r="U3212">
        <v>-2.9259029999999999</v>
      </c>
      <c r="V3212">
        <v>0.15250369999999999</v>
      </c>
      <c r="W3212">
        <v>0.13754430000000001</v>
      </c>
      <c r="X3212">
        <v>0.97868500000000003</v>
      </c>
      <c r="Y3212">
        <v>0.21502279999999999</v>
      </c>
      <c r="Z3212">
        <v>3.863254E-2</v>
      </c>
      <c r="AA3212">
        <v>0.97584459999999995</v>
      </c>
      <c r="AB3212">
        <v>29</v>
      </c>
      <c r="AC3212">
        <v>-7.9718999999999998</v>
      </c>
      <c r="AD3212">
        <v>-1.10778278526</v>
      </c>
      <c r="AE3212">
        <v>-27.502600000000001</v>
      </c>
      <c r="AF3212">
        <v>6.1873040309622596</v>
      </c>
      <c r="AG3212">
        <v>-1.10778278526</v>
      </c>
      <c r="AH3212">
        <v>27.914379786644702</v>
      </c>
      <c r="AI3212">
        <v>92.218796293860393</v>
      </c>
      <c r="AJ3212">
        <v>77.502279184588801</v>
      </c>
      <c r="AK3212">
        <v>28.613327537074699</v>
      </c>
      <c r="AL3212">
        <v>82.094230281598797</v>
      </c>
      <c r="AM3212">
        <v>81.143106483978301</v>
      </c>
      <c r="AN3212">
        <v>1.0000000711005801</v>
      </c>
    </row>
    <row r="3213" spans="1:40" x14ac:dyDescent="0.25">
      <c r="A3213" t="str">
        <f>"20190312164535315"</f>
        <v>20190312164535315</v>
      </c>
      <c r="B3213" t="str">
        <f>"1552380335304750"</f>
        <v>1552380335304750</v>
      </c>
      <c r="C3213" t="s">
        <v>40</v>
      </c>
      <c r="D3213">
        <v>4.9383249999999999</v>
      </c>
      <c r="E3213">
        <v>0.53109719999999905</v>
      </c>
      <c r="F3213" t="s">
        <v>71</v>
      </c>
      <c r="G3213">
        <v>-197.47499999999999</v>
      </c>
      <c r="H3213" s="1">
        <v>-1.2912210000000001E-5</v>
      </c>
      <c r="I3213">
        <v>152.2833</v>
      </c>
      <c r="J3213">
        <v>-189.63509999999999</v>
      </c>
      <c r="K3213">
        <v>1.1077589999999999</v>
      </c>
      <c r="L3213">
        <v>178.99639999999999</v>
      </c>
      <c r="M3213">
        <v>-6.5394220000000003E-2</v>
      </c>
      <c r="N3213">
        <v>0</v>
      </c>
      <c r="O3213">
        <v>-0.99776790000000004</v>
      </c>
      <c r="P3213">
        <v>-0.22006690000000001</v>
      </c>
      <c r="Q3213">
        <v>0.1240272</v>
      </c>
      <c r="R3213">
        <v>-0.96756819999999999</v>
      </c>
      <c r="S3213">
        <v>-0.85214230000000002</v>
      </c>
      <c r="T3213">
        <v>-0.1201435</v>
      </c>
      <c r="U3213">
        <v>-2.9236599999999999</v>
      </c>
      <c r="V3213">
        <v>0.15675919999999999</v>
      </c>
      <c r="W3213">
        <v>0.13677719999999999</v>
      </c>
      <c r="X3213">
        <v>0.97811990000000004</v>
      </c>
      <c r="Y3213">
        <v>0.21621460000000001</v>
      </c>
      <c r="Z3213">
        <v>3.9619120000000001E-2</v>
      </c>
      <c r="AA3213">
        <v>0.97554169999999996</v>
      </c>
      <c r="AB3213">
        <v>29</v>
      </c>
      <c r="AC3213">
        <v>-7.8399000000000001</v>
      </c>
      <c r="AD3213">
        <v>-1.10777191221</v>
      </c>
      <c r="AE3213">
        <v>-26.713100000000001</v>
      </c>
      <c r="AF3213">
        <v>6.0664684762193604</v>
      </c>
      <c r="AG3213">
        <v>-1.10777191221</v>
      </c>
      <c r="AH3213">
        <v>27.125692678780801</v>
      </c>
      <c r="AI3213">
        <v>92.282256111800606</v>
      </c>
      <c r="AJ3213">
        <v>77.393647559616497</v>
      </c>
      <c r="AK3213">
        <v>27.817843224917802</v>
      </c>
      <c r="AL3213">
        <v>82.138600620726905</v>
      </c>
      <c r="AM3213">
        <v>80.894872801368905</v>
      </c>
      <c r="AN3213">
        <v>0.99999999400024497</v>
      </c>
    </row>
    <row r="3214" spans="1:40" x14ac:dyDescent="0.25">
      <c r="A3214" t="str">
        <f>"20190312164535336"</f>
        <v>20190312164535336</v>
      </c>
      <c r="B3214" t="str">
        <f>"1552380335325247"</f>
        <v>1552380335325247</v>
      </c>
      <c r="C3214" t="s">
        <v>40</v>
      </c>
      <c r="D3214">
        <v>4.9386190000000001</v>
      </c>
      <c r="E3214">
        <v>0.53129569999999904</v>
      </c>
      <c r="F3214" t="s">
        <v>71</v>
      </c>
      <c r="G3214">
        <v>-197.78270000000001</v>
      </c>
      <c r="H3214" s="1">
        <v>-1.2787500000000001E-5</v>
      </c>
      <c r="I3214">
        <v>151.67920000000001</v>
      </c>
      <c r="J3214">
        <v>-189.65479999999999</v>
      </c>
      <c r="K3214">
        <v>1.1077520000000001</v>
      </c>
      <c r="L3214">
        <v>178.72309999999999</v>
      </c>
      <c r="M3214">
        <v>-6.7009990000000005E-2</v>
      </c>
      <c r="N3214">
        <v>0</v>
      </c>
      <c r="O3214">
        <v>-0.99766069999999996</v>
      </c>
      <c r="P3214">
        <v>-0.22597100000000001</v>
      </c>
      <c r="Q3214">
        <v>0.1232037</v>
      </c>
      <c r="R3214">
        <v>-0.9663119</v>
      </c>
      <c r="S3214">
        <v>-0.87025450000000004</v>
      </c>
      <c r="T3214">
        <v>-0.1183212</v>
      </c>
      <c r="U3214">
        <v>-2.9177550000000001</v>
      </c>
      <c r="V3214">
        <v>0.16114539999999999</v>
      </c>
      <c r="W3214">
        <v>0.1359293</v>
      </c>
      <c r="X3214">
        <v>0.97752510000000004</v>
      </c>
      <c r="Y3214">
        <v>0.2207385</v>
      </c>
      <c r="Z3214">
        <v>3.9034819999999998E-2</v>
      </c>
      <c r="AA3214">
        <v>0.97455159999999996</v>
      </c>
      <c r="AB3214">
        <v>29</v>
      </c>
      <c r="AC3214">
        <v>-8.1279000000000092</v>
      </c>
      <c r="AD3214">
        <v>-1.1077647875000001</v>
      </c>
      <c r="AE3214">
        <v>-27.043899999999901</v>
      </c>
      <c r="AF3214">
        <v>6.2875747854259103</v>
      </c>
      <c r="AG3214">
        <v>-1.1077647875000001</v>
      </c>
      <c r="AH3214">
        <v>27.485506306004201</v>
      </c>
      <c r="AI3214">
        <v>92.249919396531396</v>
      </c>
      <c r="AJ3214">
        <v>77.114750049923003</v>
      </c>
      <c r="AK3214">
        <v>28.217260611266799</v>
      </c>
      <c r="AL3214">
        <v>82.187639519837205</v>
      </c>
      <c r="AM3214">
        <v>80.638959593379397</v>
      </c>
      <c r="AN3214">
        <v>0.99999996783482903</v>
      </c>
    </row>
    <row r="3215" spans="1:40" x14ac:dyDescent="0.25">
      <c r="A3215" t="str">
        <f>"20190312164535359"</f>
        <v>20190312164535359</v>
      </c>
      <c r="B3215" t="str">
        <f>"1552380335354527"</f>
        <v>1552380335354527</v>
      </c>
      <c r="C3215" t="s">
        <v>40</v>
      </c>
      <c r="D3215">
        <v>4.9424099999999997</v>
      </c>
      <c r="E3215">
        <v>0.53135379999999999</v>
      </c>
      <c r="F3215" t="s">
        <v>71</v>
      </c>
      <c r="G3215">
        <v>-197.9177</v>
      </c>
      <c r="H3215" s="1">
        <v>-1.279163E-5</v>
      </c>
      <c r="I3215">
        <v>151.648</v>
      </c>
      <c r="J3215">
        <v>-189.67590000000001</v>
      </c>
      <c r="K3215">
        <v>1.107747</v>
      </c>
      <c r="L3215">
        <v>178.4367</v>
      </c>
      <c r="M3215">
        <v>-6.8706310000000007E-2</v>
      </c>
      <c r="N3215">
        <v>0</v>
      </c>
      <c r="O3215">
        <v>-0.99754529999999997</v>
      </c>
      <c r="P3215">
        <v>-0.23193279999999999</v>
      </c>
      <c r="Q3215">
        <v>0.1224625</v>
      </c>
      <c r="R3215">
        <v>-0.96499250000000003</v>
      </c>
      <c r="S3215">
        <v>-0.88868709999999995</v>
      </c>
      <c r="T3215">
        <v>-0.1191416</v>
      </c>
      <c r="U3215">
        <v>-2.9119570000000001</v>
      </c>
      <c r="V3215">
        <v>0.16551660000000001</v>
      </c>
      <c r="W3215">
        <v>0.13516349999999999</v>
      </c>
      <c r="X3215">
        <v>0.97690080000000001</v>
      </c>
      <c r="Y3215">
        <v>0.22525919999999999</v>
      </c>
      <c r="Z3215">
        <v>3.9317209999999998E-2</v>
      </c>
      <c r="AA3215">
        <v>0.97350530000000002</v>
      </c>
      <c r="AB3215">
        <v>29</v>
      </c>
      <c r="AC3215">
        <v>-8.24179999999998</v>
      </c>
      <c r="AD3215">
        <v>-1.1077597916299999</v>
      </c>
      <c r="AE3215">
        <v>-26.788699999999999</v>
      </c>
      <c r="AF3215">
        <v>6.3716462915402499</v>
      </c>
      <c r="AG3215">
        <v>-1.1077597916299999</v>
      </c>
      <c r="AH3215">
        <v>27.249134183199001</v>
      </c>
      <c r="AI3215">
        <v>92.266883853245801</v>
      </c>
      <c r="AJ3215">
        <v>76.839030471423399</v>
      </c>
      <c r="AK3215">
        <v>28.006076518399301</v>
      </c>
      <c r="AL3215">
        <v>82.231925946026493</v>
      </c>
      <c r="AM3215">
        <v>80.3836819827238</v>
      </c>
      <c r="AN3215">
        <v>1.0000000448242199</v>
      </c>
    </row>
    <row r="3216" spans="1:40" x14ac:dyDescent="0.25">
      <c r="A3216" t="str">
        <f>"20190312164535372"</f>
        <v>20190312164535372</v>
      </c>
      <c r="B3216" t="str">
        <f>"1552380335365262"</f>
        <v>1552380335365262</v>
      </c>
      <c r="C3216" t="s">
        <v>40</v>
      </c>
      <c r="D3216">
        <v>4.9861420000000001</v>
      </c>
      <c r="E3216">
        <v>0.53134169999999903</v>
      </c>
      <c r="F3216" t="s">
        <v>71</v>
      </c>
      <c r="G3216">
        <v>-198.11699999999999</v>
      </c>
      <c r="H3216" s="1">
        <v>-1.273857E-5</v>
      </c>
      <c r="I3216">
        <v>151.36680000000001</v>
      </c>
      <c r="J3216">
        <v>-189.68799999999999</v>
      </c>
      <c r="K3216">
        <v>1.107737</v>
      </c>
      <c r="L3216">
        <v>178.27629999999999</v>
      </c>
      <c r="M3216">
        <v>-6.9658100000000001E-2</v>
      </c>
      <c r="N3216">
        <v>0</v>
      </c>
      <c r="O3216">
        <v>-0.99747909999999995</v>
      </c>
      <c r="P3216">
        <v>-0.23508689999999999</v>
      </c>
      <c r="Q3216">
        <v>0.12215719999999999</v>
      </c>
      <c r="R3216">
        <v>-0.9642676</v>
      </c>
      <c r="S3216">
        <v>-0.90620420000000002</v>
      </c>
      <c r="T3216">
        <v>-0.1189253</v>
      </c>
      <c r="U3216">
        <v>-2.9061279999999998</v>
      </c>
      <c r="V3216">
        <v>0.16777899999999901</v>
      </c>
      <c r="W3216">
        <v>0.1348451</v>
      </c>
      <c r="X3216">
        <v>0.9765587</v>
      </c>
      <c r="Y3216">
        <v>0.2302294</v>
      </c>
      <c r="Z3216">
        <v>3.9259879999999997E-2</v>
      </c>
      <c r="AA3216">
        <v>0.97234410000000004</v>
      </c>
      <c r="AB3216">
        <v>29</v>
      </c>
      <c r="AC3216">
        <v>-8.4290000000000305</v>
      </c>
      <c r="AD3216">
        <v>-1.1077497385699999</v>
      </c>
      <c r="AE3216">
        <v>-26.909499999999898</v>
      </c>
      <c r="AF3216">
        <v>6.5238176133629704</v>
      </c>
      <c r="AG3216">
        <v>-1.1077497385699999</v>
      </c>
      <c r="AH3216">
        <v>27.389057767842299</v>
      </c>
      <c r="AI3216">
        <v>92.253098883994497</v>
      </c>
      <c r="AJ3216">
        <v>76.602328657254404</v>
      </c>
      <c r="AK3216">
        <v>28.177079180531301</v>
      </c>
      <c r="AL3216">
        <v>82.250336694154797</v>
      </c>
      <c r="AM3216">
        <v>80.251394787315704</v>
      </c>
      <c r="AN3216">
        <v>0.99999994419034799</v>
      </c>
    </row>
    <row r="3217" spans="1:40" x14ac:dyDescent="0.25">
      <c r="A3217" t="str">
        <f>"20190312164535383"</f>
        <v>20190312164535383</v>
      </c>
      <c r="B3217" t="str">
        <f>"1552380335375022"</f>
        <v>1552380335375022</v>
      </c>
      <c r="C3217" t="s">
        <v>40</v>
      </c>
      <c r="D3217">
        <v>4.9525309999999996</v>
      </c>
      <c r="E3217">
        <v>0.53117349999999997</v>
      </c>
      <c r="F3217" t="s">
        <v>71</v>
      </c>
      <c r="G3217">
        <v>-198.15180000000001</v>
      </c>
      <c r="H3217" s="1">
        <v>-1.2755829999999999E-5</v>
      </c>
      <c r="I3217">
        <v>151.42320000000001</v>
      </c>
      <c r="J3217">
        <v>-189.70009999999999</v>
      </c>
      <c r="K3217">
        <v>1.1077330000000001</v>
      </c>
      <c r="L3217">
        <v>178.11689999999999</v>
      </c>
      <c r="M3217">
        <v>-7.0606310000000005E-2</v>
      </c>
      <c r="N3217">
        <v>0</v>
      </c>
      <c r="O3217">
        <v>-0.99741259999999998</v>
      </c>
      <c r="P3217">
        <v>-0.23810680000000001</v>
      </c>
      <c r="Q3217">
        <v>0.122160199999999</v>
      </c>
      <c r="R3217">
        <v>-0.96352610000000005</v>
      </c>
      <c r="S3217">
        <v>-0.91508480000000003</v>
      </c>
      <c r="T3217">
        <v>-0.1197664</v>
      </c>
      <c r="U3217">
        <v>-2.9032749999999998</v>
      </c>
      <c r="V3217">
        <v>0.16991419999999999</v>
      </c>
      <c r="W3217">
        <v>0.1348347</v>
      </c>
      <c r="X3217">
        <v>0.97619100000000003</v>
      </c>
      <c r="Y3217">
        <v>0.23227990000000001</v>
      </c>
      <c r="Z3217">
        <v>3.9542649999999999E-2</v>
      </c>
      <c r="AA3217">
        <v>0.97184490000000001</v>
      </c>
      <c r="AB3217">
        <v>29</v>
      </c>
      <c r="AC3217">
        <v>-8.4517000000000095</v>
      </c>
      <c r="AD3217">
        <v>-1.1077457558299999</v>
      </c>
      <c r="AE3217">
        <v>-26.6936999999999</v>
      </c>
      <c r="AF3217">
        <v>6.5354575339692804</v>
      </c>
      <c r="AG3217">
        <v>-1.1077457558299999</v>
      </c>
      <c r="AH3217">
        <v>27.181320720127601</v>
      </c>
      <c r="AI3217">
        <v>92.269138367632706</v>
      </c>
      <c r="AJ3217">
        <v>76.480470275664999</v>
      </c>
      <c r="AK3217">
        <v>27.977910964336001</v>
      </c>
      <c r="AL3217">
        <v>82.250938887963301</v>
      </c>
      <c r="AM3217">
        <v>80.126111922272699</v>
      </c>
      <c r="AN3217">
        <v>1.0000000500833599</v>
      </c>
    </row>
    <row r="3218" spans="1:40" x14ac:dyDescent="0.25">
      <c r="A3218" t="str">
        <f>"20190312164535395"</f>
        <v>20190312164535395</v>
      </c>
      <c r="B3218" t="str">
        <f>"1552380335384783"</f>
        <v>1552380335384783</v>
      </c>
      <c r="C3218" t="s">
        <v>40</v>
      </c>
      <c r="D3218">
        <v>4.9439950000000001</v>
      </c>
      <c r="E3218">
        <v>0.53097700000000003</v>
      </c>
      <c r="F3218" t="s">
        <v>71</v>
      </c>
      <c r="G3218">
        <v>-198.1104</v>
      </c>
      <c r="H3218" s="1">
        <v>-1.2813969999999999E-5</v>
      </c>
      <c r="I3218">
        <v>151.66890000000001</v>
      </c>
      <c r="J3218">
        <v>-189.7116</v>
      </c>
      <c r="K3218">
        <v>1.1077319999999999</v>
      </c>
      <c r="L3218">
        <v>177.96789999999999</v>
      </c>
      <c r="M3218">
        <v>-7.1496039999999997E-2</v>
      </c>
      <c r="N3218">
        <v>0</v>
      </c>
      <c r="O3218">
        <v>-0.99734909999999999</v>
      </c>
      <c r="P3218">
        <v>-0.24104229999999999</v>
      </c>
      <c r="Q3218">
        <v>0.12214</v>
      </c>
      <c r="R3218">
        <v>-0.96279840000000005</v>
      </c>
      <c r="S3218">
        <v>-0.9225006</v>
      </c>
      <c r="T3218">
        <v>-0.12150619999999999</v>
      </c>
      <c r="U3218">
        <v>-2.9010310000000001</v>
      </c>
      <c r="V3218">
        <v>0.17202239999999999</v>
      </c>
      <c r="W3218">
        <v>0.13480159999999999</v>
      </c>
      <c r="X3218">
        <v>0.97582630000000004</v>
      </c>
      <c r="Y3218">
        <v>0.23387830000000001</v>
      </c>
      <c r="Z3218">
        <v>4.0118910000000001E-2</v>
      </c>
      <c r="AA3218">
        <v>0.97143780000000002</v>
      </c>
      <c r="AB3218">
        <v>29</v>
      </c>
      <c r="AC3218">
        <v>-8.3987999999999907</v>
      </c>
      <c r="AD3218">
        <v>-1.1077448139699999</v>
      </c>
      <c r="AE3218">
        <v>-26.2989999999999</v>
      </c>
      <c r="AF3218">
        <v>6.4864129766339698</v>
      </c>
      <c r="AG3218">
        <v>-1.1077448139699999</v>
      </c>
      <c r="AH3218">
        <v>26.789091178066599</v>
      </c>
      <c r="AI3218">
        <v>92.301438423952703</v>
      </c>
      <c r="AJ3218">
        <v>76.3889892149476</v>
      </c>
      <c r="AK3218">
        <v>27.585431989060599</v>
      </c>
      <c r="AL3218">
        <v>82.252853027625605</v>
      </c>
      <c r="AM3218">
        <v>80.002397682710694</v>
      </c>
      <c r="AN3218">
        <v>1.0000000726180001</v>
      </c>
    </row>
    <row r="3219" spans="1:40" x14ac:dyDescent="0.25">
      <c r="A3219" t="str">
        <f>"20190312164535408"</f>
        <v>20190312164535408</v>
      </c>
      <c r="B3219" t="str">
        <f>"1552380335405279"</f>
        <v>1552380335405279</v>
      </c>
      <c r="C3219" t="s">
        <v>40</v>
      </c>
      <c r="D3219">
        <v>4.9654480000000003</v>
      </c>
      <c r="E3219">
        <v>0.53078440000000005</v>
      </c>
      <c r="F3219" t="s">
        <v>71</v>
      </c>
      <c r="G3219">
        <v>-198.0189</v>
      </c>
      <c r="H3219" s="1">
        <v>-1.2902260000000001E-5</v>
      </c>
      <c r="I3219">
        <v>152.05199999999999</v>
      </c>
      <c r="J3219">
        <v>-189.72399999999999</v>
      </c>
      <c r="K3219">
        <v>1.1077319999999999</v>
      </c>
      <c r="L3219">
        <v>177.80889999999999</v>
      </c>
      <c r="M3219">
        <v>-7.2447869999999998E-2</v>
      </c>
      <c r="N3219">
        <v>0</v>
      </c>
      <c r="O3219">
        <v>-0.99728039999999996</v>
      </c>
      <c r="P3219">
        <v>-0.2441537</v>
      </c>
      <c r="Q3219">
        <v>0.1222502</v>
      </c>
      <c r="R3219">
        <v>-0.96200010000000002</v>
      </c>
      <c r="S3219">
        <v>-0.92926030000000004</v>
      </c>
      <c r="T3219">
        <v>-0.123913</v>
      </c>
      <c r="U3219">
        <v>-2.8989720000000001</v>
      </c>
      <c r="V3219">
        <v>0.17425179999999901</v>
      </c>
      <c r="W3219">
        <v>0.13489699999999999</v>
      </c>
      <c r="X3219">
        <v>0.97541739999999999</v>
      </c>
      <c r="Y3219">
        <v>0.23519509999999999</v>
      </c>
      <c r="Z3219">
        <v>4.0914880000000001E-2</v>
      </c>
      <c r="AA3219">
        <v>0.97108660000000002</v>
      </c>
      <c r="AB3219">
        <v>29</v>
      </c>
      <c r="AC3219">
        <v>-8.2948999999999806</v>
      </c>
      <c r="AD3219">
        <v>-1.1077449022600001</v>
      </c>
      <c r="AE3219">
        <v>-25.756899999999899</v>
      </c>
      <c r="AF3219">
        <v>6.39617620405091</v>
      </c>
      <c r="AG3219">
        <v>-1.1077449022600001</v>
      </c>
      <c r="AH3219">
        <v>26.246221663431299</v>
      </c>
      <c r="AI3219">
        <v>92.348143286404905</v>
      </c>
      <c r="AJ3219">
        <v>76.304044879142893</v>
      </c>
      <c r="AK3219">
        <v>27.0370545808474</v>
      </c>
      <c r="AL3219">
        <v>82.247336037125294</v>
      </c>
      <c r="AM3219">
        <v>79.871336762866306</v>
      </c>
      <c r="AN3219">
        <v>0.9999999973175</v>
      </c>
    </row>
    <row r="3220" spans="1:40" x14ac:dyDescent="0.25">
      <c r="A3220" t="str">
        <f>"20190312164535425"</f>
        <v>20190312164535425</v>
      </c>
      <c r="B3220" t="str">
        <f>"1552380335415038"</f>
        <v>1552380335415038</v>
      </c>
      <c r="C3220" t="s">
        <v>40</v>
      </c>
      <c r="D3220">
        <v>4.9473989999999999</v>
      </c>
      <c r="E3220">
        <v>0.53070859999999997</v>
      </c>
      <c r="F3220" t="s">
        <v>71</v>
      </c>
      <c r="G3220">
        <v>-198.16030000000001</v>
      </c>
      <c r="H3220" s="1">
        <v>-1.283328E-5</v>
      </c>
      <c r="I3220">
        <v>151.72799999999901</v>
      </c>
      <c r="J3220">
        <v>-189.74170000000001</v>
      </c>
      <c r="K3220">
        <v>1.107728</v>
      </c>
      <c r="L3220">
        <v>177.58619999999999</v>
      </c>
      <c r="M3220">
        <v>-7.3791510000000005E-2</v>
      </c>
      <c r="N3220">
        <v>0</v>
      </c>
      <c r="O3220">
        <v>-0.99718220000000002</v>
      </c>
      <c r="P3220">
        <v>-0.24961630000000001</v>
      </c>
      <c r="Q3220">
        <v>0.1230112</v>
      </c>
      <c r="R3220">
        <v>-0.96050029999999997</v>
      </c>
      <c r="S3220">
        <v>-0.9368744</v>
      </c>
      <c r="T3220">
        <v>-0.12301860000000001</v>
      </c>
      <c r="U3220">
        <v>-2.8963619999999999</v>
      </c>
      <c r="V3220">
        <v>0.17849799999999999</v>
      </c>
      <c r="W3220">
        <v>0.13562839999999901</v>
      </c>
      <c r="X3220">
        <v>0.97454779999999996</v>
      </c>
      <c r="Y3220">
        <v>0.23645620000000001</v>
      </c>
      <c r="Z3220">
        <v>4.0626490000000001E-2</v>
      </c>
      <c r="AA3220">
        <v>0.9707924</v>
      </c>
      <c r="AB3220">
        <v>29</v>
      </c>
      <c r="AC3220">
        <v>-8.4185999999999908</v>
      </c>
      <c r="AD3220">
        <v>-1.1077408332799901</v>
      </c>
      <c r="AE3220">
        <v>-25.8582</v>
      </c>
      <c r="AF3220">
        <v>6.4766076739839997</v>
      </c>
      <c r="AG3220">
        <v>-1.1077408332799901</v>
      </c>
      <c r="AH3220">
        <v>26.3652195439415</v>
      </c>
      <c r="AI3220">
        <v>92.336497003923796</v>
      </c>
      <c r="AJ3220">
        <v>76.198588655438996</v>
      </c>
      <c r="AK3220">
        <v>27.171645852186799</v>
      </c>
      <c r="AL3220">
        <v>82.205041277152603</v>
      </c>
      <c r="AM3220">
        <v>79.620760759325094</v>
      </c>
      <c r="AN3220">
        <v>1.0000000066876999</v>
      </c>
    </row>
    <row r="3221" spans="1:40" x14ac:dyDescent="0.25">
      <c r="A3221" t="str">
        <f>"20190312164535439"</f>
        <v>20190312164535439</v>
      </c>
      <c r="B3221" t="str">
        <f>"1552380335434531"</f>
        <v>1552380335434531</v>
      </c>
      <c r="C3221" t="s">
        <v>40</v>
      </c>
      <c r="D3221">
        <v>5.113931</v>
      </c>
      <c r="E3221">
        <v>0.53051040000000005</v>
      </c>
      <c r="F3221" t="s">
        <v>71</v>
      </c>
      <c r="G3221">
        <v>-198.4761</v>
      </c>
      <c r="H3221" s="1">
        <v>-1.269469E-5</v>
      </c>
      <c r="I3221">
        <v>151.0659</v>
      </c>
      <c r="J3221">
        <v>-189.75479999999999</v>
      </c>
      <c r="K3221">
        <v>1.1077239999999999</v>
      </c>
      <c r="L3221">
        <v>177.42359999999999</v>
      </c>
      <c r="M3221">
        <v>-7.478108E-2</v>
      </c>
      <c r="N3221">
        <v>0</v>
      </c>
      <c r="O3221">
        <v>-0.9971082</v>
      </c>
      <c r="P3221">
        <v>-0.25253170000000003</v>
      </c>
      <c r="Q3221">
        <v>0.1233158</v>
      </c>
      <c r="R3221">
        <v>-0.9596983</v>
      </c>
      <c r="S3221">
        <v>-0.95227050000000002</v>
      </c>
      <c r="T3221">
        <v>-0.1207715</v>
      </c>
      <c r="U3221">
        <v>-2.8913730000000002</v>
      </c>
      <c r="V3221">
        <v>0.1804994</v>
      </c>
      <c r="W3221">
        <v>0.1359175</v>
      </c>
      <c r="X3221">
        <v>0.97413879999999997</v>
      </c>
      <c r="Y3221">
        <v>0.24066029999999999</v>
      </c>
      <c r="Z3221">
        <v>3.9893409999999997E-2</v>
      </c>
      <c r="AA3221">
        <v>0.96978920000000002</v>
      </c>
      <c r="AB3221">
        <v>29</v>
      </c>
      <c r="AC3221">
        <v>-8.72130000000001</v>
      </c>
      <c r="AD3221">
        <v>-1.10773669469</v>
      </c>
      <c r="AE3221">
        <v>-26.357699999999902</v>
      </c>
      <c r="AF3221">
        <v>6.7149479329055497</v>
      </c>
      <c r="AG3221">
        <v>-1.10773669469</v>
      </c>
      <c r="AH3221">
        <v>26.893318577548602</v>
      </c>
      <c r="AI3221">
        <v>92.288500977842105</v>
      </c>
      <c r="AJ3221">
        <v>75.980564447002607</v>
      </c>
      <c r="AK3221">
        <v>27.7410920916953</v>
      </c>
      <c r="AL3221">
        <v>82.188322203582203</v>
      </c>
      <c r="AM3221">
        <v>79.502647295566803</v>
      </c>
      <c r="AN3221">
        <v>1.0000000009360199</v>
      </c>
    </row>
    <row r="3222" spans="1:40" x14ac:dyDescent="0.25">
      <c r="A3222" t="str">
        <f>"20190312164535452"</f>
        <v>20190312164535452</v>
      </c>
      <c r="B3222" t="str">
        <f>"1552380335445266"</f>
        <v>1552380335445266</v>
      </c>
      <c r="C3222" t="s">
        <v>40</v>
      </c>
      <c r="D3222">
        <v>4.9006350000000003</v>
      </c>
      <c r="E3222">
        <v>0.53039259999999999</v>
      </c>
      <c r="F3222" t="s">
        <v>71</v>
      </c>
      <c r="G3222">
        <v>-198.6566</v>
      </c>
      <c r="H3222" s="1">
        <v>-1.25982399999999E-5</v>
      </c>
      <c r="I3222">
        <v>150.6189</v>
      </c>
      <c r="J3222">
        <v>-189.76920000000001</v>
      </c>
      <c r="K3222">
        <v>1.1077170000000001</v>
      </c>
      <c r="L3222">
        <v>177.24599999999899</v>
      </c>
      <c r="M3222">
        <v>-7.5868320000000003E-2</v>
      </c>
      <c r="N3222">
        <v>0</v>
      </c>
      <c r="O3222">
        <v>-0.99702619999999997</v>
      </c>
      <c r="P3222">
        <v>-0.25555359999999999</v>
      </c>
      <c r="Q3222">
        <v>0.12370440000000001</v>
      </c>
      <c r="R3222">
        <v>-0.95884809999999998</v>
      </c>
      <c r="S3222">
        <v>-0.95939640000000004</v>
      </c>
      <c r="T3222">
        <v>-0.1193864</v>
      </c>
      <c r="U3222">
        <v>-2.8888699999999998</v>
      </c>
      <c r="V3222">
        <v>0.18251680000000001</v>
      </c>
      <c r="W3222">
        <v>0.13628970000000001</v>
      </c>
      <c r="X3222">
        <v>0.97371079999999999</v>
      </c>
      <c r="Y3222">
        <v>0.24201310000000001</v>
      </c>
      <c r="Z3222">
        <v>3.944247E-2</v>
      </c>
      <c r="AA3222">
        <v>0.96947099999999997</v>
      </c>
      <c r="AB3222">
        <v>29</v>
      </c>
      <c r="AC3222">
        <v>-8.88739999999998</v>
      </c>
      <c r="AD3222">
        <v>-1.1077295982399999</v>
      </c>
      <c r="AE3222">
        <v>-26.627099999999899</v>
      </c>
      <c r="AF3222">
        <v>6.8308054752544898</v>
      </c>
      <c r="AG3222">
        <v>-1.1077295982399999</v>
      </c>
      <c r="AH3222">
        <v>27.1823475903923</v>
      </c>
      <c r="AI3222">
        <v>92.263321672830102</v>
      </c>
      <c r="AJ3222">
        <v>75.893909822452798</v>
      </c>
      <c r="AK3222">
        <v>28.0493669951478</v>
      </c>
      <c r="AL3222">
        <v>82.166796348401107</v>
      </c>
      <c r="AM3222">
        <v>79.383412924426295</v>
      </c>
      <c r="AN3222">
        <v>0.99999999332248501</v>
      </c>
    </row>
    <row r="3223" spans="1:40" x14ac:dyDescent="0.25">
      <c r="A3223" t="str">
        <f>"20190312164535472"</f>
        <v>20190312164535472</v>
      </c>
      <c r="B3223" t="str">
        <f>"1552380335464786"</f>
        <v>1552380335464786</v>
      </c>
      <c r="C3223" t="s">
        <v>40</v>
      </c>
      <c r="D3223">
        <v>4.8737709999999996</v>
      </c>
      <c r="E3223">
        <v>0.53016549999999996</v>
      </c>
      <c r="F3223" t="s">
        <v>71</v>
      </c>
      <c r="G3223">
        <v>-198.84049999999999</v>
      </c>
      <c r="H3223" s="1">
        <v>-1.2503809999999999E-5</v>
      </c>
      <c r="I3223">
        <v>150.1788</v>
      </c>
      <c r="J3223">
        <v>-189.78989999999999</v>
      </c>
      <c r="K3223">
        <v>1.1077030000000001</v>
      </c>
      <c r="L3223">
        <v>176.99700000000001</v>
      </c>
      <c r="M3223">
        <v>-7.7410399999999893E-2</v>
      </c>
      <c r="N3223">
        <v>0</v>
      </c>
      <c r="O3223">
        <v>-0.9969074</v>
      </c>
      <c r="P3223">
        <v>-0.26075769999999998</v>
      </c>
      <c r="Q3223">
        <v>0.1244136</v>
      </c>
      <c r="R3223">
        <v>-0.95735400000000004</v>
      </c>
      <c r="S3223">
        <v>-0.96726990000000002</v>
      </c>
      <c r="T3223">
        <v>-0.11811770000000001</v>
      </c>
      <c r="U3223">
        <v>-2.8861849999999998</v>
      </c>
      <c r="V3223">
        <v>0.18631890000000001</v>
      </c>
      <c r="W3223">
        <v>0.13696810000000001</v>
      </c>
      <c r="X3223">
        <v>0.97289519999999996</v>
      </c>
      <c r="Y3223">
        <v>0.24316679999999999</v>
      </c>
      <c r="Z3223">
        <v>3.9029220000000003E-2</v>
      </c>
      <c r="AA3223">
        <v>0.96919889999999997</v>
      </c>
      <c r="AB3223">
        <v>29</v>
      </c>
      <c r="AC3223">
        <v>-9.0505999999999993</v>
      </c>
      <c r="AD3223">
        <v>-1.1077155038099999</v>
      </c>
      <c r="AE3223">
        <v>-26.818200000000001</v>
      </c>
      <c r="AF3223">
        <v>6.9366148217379804</v>
      </c>
      <c r="AG3223">
        <v>-1.1077155038099999</v>
      </c>
      <c r="AH3223">
        <v>27.396425783908398</v>
      </c>
      <c r="AI3223">
        <v>92.244615690508994</v>
      </c>
      <c r="AJ3223">
        <v>75.791640302003302</v>
      </c>
      <c r="AK3223">
        <v>28.282641399907099</v>
      </c>
      <c r="AL3223">
        <v>82.127559236701302</v>
      </c>
      <c r="AM3223">
        <v>79.158568644753899</v>
      </c>
      <c r="AN3223">
        <v>1.0000000315489199</v>
      </c>
    </row>
    <row r="3224" spans="1:40" x14ac:dyDescent="0.25">
      <c r="A3224" t="str">
        <f>"20190312164535485"</f>
        <v>20190312164535485</v>
      </c>
      <c r="B3224" t="str">
        <f>"1552380335474547"</f>
        <v>1552380335474547</v>
      </c>
      <c r="C3224" t="s">
        <v>40</v>
      </c>
      <c r="D3224">
        <v>4.8692320000000002</v>
      </c>
      <c r="E3224">
        <v>0.53003059999999902</v>
      </c>
      <c r="F3224" t="s">
        <v>71</v>
      </c>
      <c r="G3224">
        <v>-199.16759999999999</v>
      </c>
      <c r="H3224" s="1">
        <v>-1.2277409999999999E-5</v>
      </c>
      <c r="I3224">
        <v>149.4502</v>
      </c>
      <c r="J3224">
        <v>-189.80449999999999</v>
      </c>
      <c r="K3224">
        <v>1.107693</v>
      </c>
      <c r="L3224">
        <v>176.8237</v>
      </c>
      <c r="M3224">
        <v>-7.8495529999999994E-2</v>
      </c>
      <c r="N3224">
        <v>0</v>
      </c>
      <c r="O3224">
        <v>-0.99682300000000001</v>
      </c>
      <c r="P3224">
        <v>-0.2637256</v>
      </c>
      <c r="Q3224">
        <v>0.1247212</v>
      </c>
      <c r="R3224">
        <v>-0.95650109999999999</v>
      </c>
      <c r="S3224">
        <v>-0.98094179999999997</v>
      </c>
      <c r="T3224">
        <v>-0.1158714</v>
      </c>
      <c r="U3224">
        <v>-2.8815</v>
      </c>
      <c r="V3224">
        <v>0.18828780000000001</v>
      </c>
      <c r="W3224">
        <v>0.13725809999999999</v>
      </c>
      <c r="X3224">
        <v>0.97247519999999998</v>
      </c>
      <c r="Y3224">
        <v>0.2467201</v>
      </c>
      <c r="Z3224">
        <v>3.8296289999999997E-2</v>
      </c>
      <c r="AA3224">
        <v>0.96832980000000002</v>
      </c>
      <c r="AB3224">
        <v>29</v>
      </c>
      <c r="AC3224">
        <v>-9.3630999999999993</v>
      </c>
      <c r="AD3224">
        <v>-1.10770527741</v>
      </c>
      <c r="AE3224">
        <v>-27.3735</v>
      </c>
      <c r="AF3224">
        <v>7.1747929414391596</v>
      </c>
      <c r="AG3224">
        <v>-1.10770527741</v>
      </c>
      <c r="AH3224">
        <v>27.983027963875401</v>
      </c>
      <c r="AI3224">
        <v>92.195906356327399</v>
      </c>
      <c r="AJ3224">
        <v>75.619263297224606</v>
      </c>
      <c r="AK3224">
        <v>28.9094192048398</v>
      </c>
      <c r="AL3224">
        <v>82.110785167113207</v>
      </c>
      <c r="AM3224">
        <v>79.042144195595796</v>
      </c>
      <c r="AN3224">
        <v>1.00000004812974</v>
      </c>
    </row>
    <row r="3225" spans="1:40" x14ac:dyDescent="0.25">
      <c r="A3225" t="str">
        <f>"20190312164535506"</f>
        <v>20190312164535506</v>
      </c>
      <c r="B3225" t="str">
        <f>"1552380335495042"</f>
        <v>1552380335495042</v>
      </c>
      <c r="C3225" t="s">
        <v>40</v>
      </c>
      <c r="D3225">
        <v>4.9750189999999996</v>
      </c>
      <c r="E3225">
        <v>0.52976650000000003</v>
      </c>
      <c r="F3225" t="s">
        <v>71</v>
      </c>
      <c r="G3225">
        <v>-199.33629999999999</v>
      </c>
      <c r="H3225" s="1">
        <v>-1.22091E-5</v>
      </c>
      <c r="I3225">
        <v>149.0778</v>
      </c>
      <c r="J3225">
        <v>-189.827</v>
      </c>
      <c r="K3225">
        <v>1.1076859999999999</v>
      </c>
      <c r="L3225">
        <v>176.5615</v>
      </c>
      <c r="M3225">
        <v>-8.0154450000000002E-2</v>
      </c>
      <c r="N3225">
        <v>0</v>
      </c>
      <c r="O3225">
        <v>-0.99669059999999998</v>
      </c>
      <c r="P3225">
        <v>-0.26865450000000002</v>
      </c>
      <c r="Q3225">
        <v>0.1259586</v>
      </c>
      <c r="R3225">
        <v>-0.95496530000000002</v>
      </c>
      <c r="S3225">
        <v>-0.98895259999999996</v>
      </c>
      <c r="T3225">
        <v>-0.11492819999999999</v>
      </c>
      <c r="U3225">
        <v>-2.8787379999999998</v>
      </c>
      <c r="V3225">
        <v>0.1917113</v>
      </c>
      <c r="W3225">
        <v>0.13846520000000001</v>
      </c>
      <c r="X3225">
        <v>0.97163480000000002</v>
      </c>
      <c r="Y3225">
        <v>0.24780659999999999</v>
      </c>
      <c r="Z3225">
        <v>3.7989870000000002E-2</v>
      </c>
      <c r="AA3225">
        <v>0.96806440000000005</v>
      </c>
      <c r="AB3225">
        <v>29</v>
      </c>
      <c r="AC3225">
        <v>-9.5092999999999908</v>
      </c>
      <c r="AD3225">
        <v>-1.1076982091000001</v>
      </c>
      <c r="AE3225">
        <v>-27.483699999999999</v>
      </c>
      <c r="AF3225">
        <v>7.2650156737006997</v>
      </c>
      <c r="AG3225">
        <v>-1.1076982091000001</v>
      </c>
      <c r="AH3225">
        <v>28.116746586067599</v>
      </c>
      <c r="AI3225">
        <v>92.184410889713902</v>
      </c>
      <c r="AJ3225">
        <v>75.512357468977598</v>
      </c>
      <c r="AK3225">
        <v>29.061295336696599</v>
      </c>
      <c r="AL3225">
        <v>82.040956362322603</v>
      </c>
      <c r="AM3225">
        <v>78.838453018599594</v>
      </c>
      <c r="AN3225">
        <v>1.00000000936488</v>
      </c>
    </row>
    <row r="3226" spans="1:40" x14ac:dyDescent="0.25">
      <c r="A3226" t="str">
        <f>"20190312164535528"</f>
        <v>20190312164535528</v>
      </c>
      <c r="B3226" t="str">
        <f>"1552380335514562"</f>
        <v>1552380335514562</v>
      </c>
      <c r="C3226" t="s">
        <v>40</v>
      </c>
      <c r="D3226">
        <v>4.7968169999999999</v>
      </c>
      <c r="E3226">
        <v>0.52948809999999902</v>
      </c>
      <c r="F3226" t="s">
        <v>71</v>
      </c>
      <c r="G3226">
        <v>-199.85059999999999</v>
      </c>
      <c r="H3226" s="1">
        <v>-1.19019899999999E-5</v>
      </c>
      <c r="I3226">
        <v>147.7877</v>
      </c>
      <c r="J3226">
        <v>-189.8503</v>
      </c>
      <c r="K3226">
        <v>1.1076760000000001</v>
      </c>
      <c r="L3226">
        <v>176.29499999999999</v>
      </c>
      <c r="M3226">
        <v>-8.1857849999999996E-2</v>
      </c>
      <c r="N3226">
        <v>0</v>
      </c>
      <c r="O3226">
        <v>-0.9965522</v>
      </c>
      <c r="P3226">
        <v>-0.27377479999999998</v>
      </c>
      <c r="Q3226">
        <v>0.1274264</v>
      </c>
      <c r="R3226">
        <v>-0.95331520000000003</v>
      </c>
      <c r="S3226">
        <v>-1.001312</v>
      </c>
      <c r="T3226">
        <v>-0.1106538</v>
      </c>
      <c r="U3226">
        <v>-2.8743590000000001</v>
      </c>
      <c r="V3226">
        <v>0.19529460000000001</v>
      </c>
      <c r="W3226">
        <v>0.1399021</v>
      </c>
      <c r="X3226">
        <v>0.97071490000000005</v>
      </c>
      <c r="Y3226">
        <v>0.25033739999999999</v>
      </c>
      <c r="Z3226">
        <v>3.6586689999999998E-2</v>
      </c>
      <c r="AA3226">
        <v>0.96746710000000002</v>
      </c>
      <c r="AB3226">
        <v>28</v>
      </c>
      <c r="AC3226">
        <v>-10.0002999999999</v>
      </c>
      <c r="AD3226">
        <v>-1.1076879019899999</v>
      </c>
      <c r="AE3226">
        <v>-28.507299999999901</v>
      </c>
      <c r="AF3226">
        <v>7.6227253548048797</v>
      </c>
      <c r="AG3226">
        <v>-1.1076879019899999</v>
      </c>
      <c r="AH3226">
        <v>29.191046679457401</v>
      </c>
      <c r="AI3226">
        <v>92.102669809638797</v>
      </c>
      <c r="AJ3226">
        <v>75.365032128824595</v>
      </c>
      <c r="AK3226">
        <v>30.1902322045602</v>
      </c>
      <c r="AL3226">
        <v>81.957818743734606</v>
      </c>
      <c r="AM3226">
        <v>78.624723252154794</v>
      </c>
      <c r="AN3226">
        <v>0.99999999772779002</v>
      </c>
    </row>
    <row r="3227" spans="1:40" x14ac:dyDescent="0.25">
      <c r="A3227" t="str">
        <f>"20190312164535550"</f>
        <v>20190312164535550</v>
      </c>
      <c r="B3227" t="str">
        <f>"1552380335544818"</f>
        <v>1552380335544818</v>
      </c>
      <c r="C3227" t="s">
        <v>40</v>
      </c>
      <c r="D3227">
        <v>4.9829819999999998</v>
      </c>
      <c r="E3227">
        <v>0.52898579999999995</v>
      </c>
      <c r="F3227" t="s">
        <v>71</v>
      </c>
      <c r="G3227">
        <v>-200.37690000000001</v>
      </c>
      <c r="H3227" s="1">
        <v>-1.135415E-5</v>
      </c>
      <c r="I3227">
        <v>146.51929999999999</v>
      </c>
      <c r="J3227">
        <v>-189.87559999999999</v>
      </c>
      <c r="K3227">
        <v>1.107669</v>
      </c>
      <c r="L3227">
        <v>176.01240000000001</v>
      </c>
      <c r="M3227">
        <v>-8.3679829999999997E-2</v>
      </c>
      <c r="N3227">
        <v>0</v>
      </c>
      <c r="O3227">
        <v>-0.99640119999999999</v>
      </c>
      <c r="P3227">
        <v>-0.2791362</v>
      </c>
      <c r="Q3227">
        <v>0.12858410000000001</v>
      </c>
      <c r="R3227">
        <v>-0.95160389999999995</v>
      </c>
      <c r="S3227">
        <v>-1.0145569999999999</v>
      </c>
      <c r="T3227">
        <v>-0.1067593</v>
      </c>
      <c r="U3227">
        <v>-2.8697970000000002</v>
      </c>
      <c r="V3227">
        <v>0.19900880000000001</v>
      </c>
      <c r="W3227">
        <v>0.14102909999999999</v>
      </c>
      <c r="X3227">
        <v>0.96979700000000002</v>
      </c>
      <c r="Y3227">
        <v>0.25303419999999999</v>
      </c>
      <c r="Z3227">
        <v>3.5306669999999998E-2</v>
      </c>
      <c r="AA3227">
        <v>0.96681280000000003</v>
      </c>
      <c r="AB3227">
        <v>28</v>
      </c>
      <c r="AC3227">
        <v>-10.501300000000001</v>
      </c>
      <c r="AD3227">
        <v>-1.10768035415</v>
      </c>
      <c r="AE3227">
        <v>-29.493099999999998</v>
      </c>
      <c r="AF3227">
        <v>7.9862618197842696</v>
      </c>
      <c r="AG3227">
        <v>-1.10768035415</v>
      </c>
      <c r="AH3227">
        <v>30.230622886361498</v>
      </c>
      <c r="AI3227">
        <v>92.028893051236295</v>
      </c>
      <c r="AJ3227">
        <v>75.201795155953704</v>
      </c>
      <c r="AK3227">
        <v>31.287343986323201</v>
      </c>
      <c r="AL3227">
        <v>81.892599522782902</v>
      </c>
      <c r="AM3227">
        <v>78.403511214386</v>
      </c>
      <c r="AN3227">
        <v>0.99999996536662406</v>
      </c>
    </row>
    <row r="3228" spans="1:40" x14ac:dyDescent="0.25">
      <c r="A3228" t="str">
        <f>"20190312164535563"</f>
        <v>20190312164535563</v>
      </c>
      <c r="B3228" t="str">
        <f>"1552380335554580"</f>
        <v>1552380335554580</v>
      </c>
      <c r="C3228" t="s">
        <v>40</v>
      </c>
      <c r="D3228">
        <v>5.0535759999999996</v>
      </c>
      <c r="E3228">
        <v>0.52882249999999997</v>
      </c>
      <c r="F3228" t="s">
        <v>71</v>
      </c>
      <c r="G3228">
        <v>-200.86660000000001</v>
      </c>
      <c r="H3228" s="1">
        <v>-1.0781269999999999E-5</v>
      </c>
      <c r="I3228">
        <v>145.3235</v>
      </c>
      <c r="J3228">
        <v>-189.89160000000001</v>
      </c>
      <c r="K3228">
        <v>1.107666</v>
      </c>
      <c r="L3228">
        <v>175.8364</v>
      </c>
      <c r="M3228">
        <v>-8.4819950000000005E-2</v>
      </c>
      <c r="N3228">
        <v>0</v>
      </c>
      <c r="O3228">
        <v>-0.99630459999999998</v>
      </c>
      <c r="P3228">
        <v>-0.28214080000000002</v>
      </c>
      <c r="Q3228">
        <v>0.128886</v>
      </c>
      <c r="R3228">
        <v>-0.95067639999999998</v>
      </c>
      <c r="S3228">
        <v>-1.02626</v>
      </c>
      <c r="T3228">
        <v>-0.1034273</v>
      </c>
      <c r="U3228">
        <v>-2.8655089999999999</v>
      </c>
      <c r="V3228">
        <v>0.20097129999999999</v>
      </c>
      <c r="W3228">
        <v>0.1413161</v>
      </c>
      <c r="X3228">
        <v>0.9693505</v>
      </c>
      <c r="Y3228">
        <v>0.25589780000000001</v>
      </c>
      <c r="Z3228">
        <v>3.4213349999999997E-2</v>
      </c>
      <c r="AA3228">
        <v>0.96609820000000002</v>
      </c>
      <c r="AB3228">
        <v>28</v>
      </c>
      <c r="AC3228">
        <v>-10.9749999999999</v>
      </c>
      <c r="AD3228">
        <v>-1.1076767812699999</v>
      </c>
      <c r="AE3228">
        <v>-30.512899999999998</v>
      </c>
      <c r="AF3228">
        <v>8.3373743398475906</v>
      </c>
      <c r="AG3228">
        <v>-1.1076767812699999</v>
      </c>
      <c r="AH3228">
        <v>31.297384446810302</v>
      </c>
      <c r="AI3228">
        <v>91.958713095663796</v>
      </c>
      <c r="AJ3228">
        <v>75.083273703014797</v>
      </c>
      <c r="AK3228">
        <v>32.407792765721602</v>
      </c>
      <c r="AL3228">
        <v>81.875989955198307</v>
      </c>
      <c r="AM3228">
        <v>78.2870521318697</v>
      </c>
      <c r="AN3228">
        <v>1.00000004769657</v>
      </c>
    </row>
    <row r="3229" spans="1:40" x14ac:dyDescent="0.25">
      <c r="A3229" t="str">
        <f>"20190312164535583"</f>
        <v>20190312164535583</v>
      </c>
      <c r="B3229" t="str">
        <f>"1552380335575074"</f>
        <v>1552380335575074</v>
      </c>
      <c r="C3229" t="s">
        <v>40</v>
      </c>
      <c r="D3229">
        <v>4.9899839999999998</v>
      </c>
      <c r="E3229">
        <v>0.52846230000000005</v>
      </c>
      <c r="F3229" t="s">
        <v>71</v>
      </c>
      <c r="G3229">
        <v>-201.02789999999999</v>
      </c>
      <c r="H3229" s="1">
        <v>-1.061252E-5</v>
      </c>
      <c r="I3229">
        <v>144.99680000000001</v>
      </c>
      <c r="J3229">
        <v>-189.91550000000001</v>
      </c>
      <c r="K3229">
        <v>1.1076629999999901</v>
      </c>
      <c r="L3229">
        <v>175.57759999999999</v>
      </c>
      <c r="M3229">
        <v>-8.6500339999999995E-2</v>
      </c>
      <c r="N3229">
        <v>0</v>
      </c>
      <c r="O3229">
        <v>-0.99616009999999999</v>
      </c>
      <c r="P3229">
        <v>-0.28771089999999999</v>
      </c>
      <c r="Q3229">
        <v>0.12925619999999999</v>
      </c>
      <c r="R3229">
        <v>-0.94895510000000005</v>
      </c>
      <c r="S3229">
        <v>-1.033768</v>
      </c>
      <c r="T3229">
        <v>-0.1028239</v>
      </c>
      <c r="U3229">
        <v>-2.8627929999999999</v>
      </c>
      <c r="V3229">
        <v>0.2050332</v>
      </c>
      <c r="W3229">
        <v>0.14165739999999999</v>
      </c>
      <c r="X3229">
        <v>0.96844960000000002</v>
      </c>
      <c r="Y3229">
        <v>0.25680350000000002</v>
      </c>
      <c r="Z3229">
        <v>3.4018029999999998E-2</v>
      </c>
      <c r="AA3229">
        <v>0.96586479999999997</v>
      </c>
      <c r="AB3229">
        <v>28</v>
      </c>
      <c r="AC3229">
        <v>-11.1123999999999</v>
      </c>
      <c r="AD3229">
        <v>-1.10767361251999</v>
      </c>
      <c r="AE3229">
        <v>-30.580799999999901</v>
      </c>
      <c r="AF3229">
        <v>8.4154966797770197</v>
      </c>
      <c r="AG3229">
        <v>-1.10767361251999</v>
      </c>
      <c r="AH3229">
        <v>31.391090386543802</v>
      </c>
      <c r="AI3229">
        <v>91.9520410017046</v>
      </c>
      <c r="AJ3229">
        <v>74.992712678574307</v>
      </c>
      <c r="AK3229">
        <v>32.518426789366302</v>
      </c>
      <c r="AL3229">
        <v>81.856236040695094</v>
      </c>
      <c r="AM3229">
        <v>78.046260800337706</v>
      </c>
      <c r="AN3229">
        <v>1.0000000299085701</v>
      </c>
    </row>
    <row r="3230" spans="1:40" x14ac:dyDescent="0.25">
      <c r="A3230" t="str">
        <f>"20190312164535595"</f>
        <v>20190312164535595</v>
      </c>
      <c r="B3230" t="str">
        <f>"1552380335584834"</f>
        <v>1552380335584834</v>
      </c>
      <c r="C3230" t="s">
        <v>40</v>
      </c>
      <c r="D3230">
        <v>5.0725040000000003</v>
      </c>
      <c r="E3230">
        <v>0.52826709999999999</v>
      </c>
      <c r="F3230" t="s">
        <v>71</v>
      </c>
      <c r="G3230">
        <v>-201.21860000000001</v>
      </c>
      <c r="H3230" s="1">
        <v>-1.044864E-5</v>
      </c>
      <c r="I3230">
        <v>144.73009999999999</v>
      </c>
      <c r="J3230">
        <v>-189.92930000000001</v>
      </c>
      <c r="K3230">
        <v>1.1076629999999901</v>
      </c>
      <c r="L3230">
        <v>175.43049999999999</v>
      </c>
      <c r="M3230">
        <v>-8.7456030000000004E-2</v>
      </c>
      <c r="N3230">
        <v>0</v>
      </c>
      <c r="O3230">
        <v>-0.99607670000000004</v>
      </c>
      <c r="P3230">
        <v>-0.29070400000000002</v>
      </c>
      <c r="Q3230">
        <v>0.1294466</v>
      </c>
      <c r="R3230">
        <v>-0.94801679999999999</v>
      </c>
      <c r="S3230">
        <v>-1.0471649999999999</v>
      </c>
      <c r="T3230">
        <v>-0.1026198</v>
      </c>
      <c r="U3230">
        <v>-2.8578489999999999</v>
      </c>
      <c r="V3230">
        <v>0.20716660000000001</v>
      </c>
      <c r="W3230">
        <v>0.14183289999999901</v>
      </c>
      <c r="X3230">
        <v>0.96796979999999999</v>
      </c>
      <c r="Y3230">
        <v>0.26040679999999999</v>
      </c>
      <c r="Z3230">
        <v>3.395832E-2</v>
      </c>
      <c r="AA3230">
        <v>0.96490160000000003</v>
      </c>
      <c r="AB3230">
        <v>28</v>
      </c>
      <c r="AC3230">
        <v>-11.2892999999999</v>
      </c>
      <c r="AD3230">
        <v>-1.1076734486399999</v>
      </c>
      <c r="AE3230">
        <v>-30.700399999999998</v>
      </c>
      <c r="AF3230">
        <v>8.5510498427612998</v>
      </c>
      <c r="AG3230">
        <v>-1.1076734486399999</v>
      </c>
      <c r="AH3230">
        <v>31.5339933199242</v>
      </c>
      <c r="AI3230">
        <v>91.941696964490703</v>
      </c>
      <c r="AJ3230">
        <v>74.828001250325997</v>
      </c>
      <c r="AK3230">
        <v>32.691591098985</v>
      </c>
      <c r="AL3230">
        <v>81.846078255564294</v>
      </c>
      <c r="AM3230">
        <v>77.919703226771304</v>
      </c>
      <c r="AN3230">
        <v>1.0000000526949999</v>
      </c>
    </row>
    <row r="3231" spans="1:40" x14ac:dyDescent="0.25">
      <c r="A3231" t="str">
        <f>"20190312164535607"</f>
        <v>20190312164535607</v>
      </c>
      <c r="B3231" t="str">
        <f>"1552380335605331"</f>
        <v>1552380335605331</v>
      </c>
      <c r="C3231" t="s">
        <v>40</v>
      </c>
      <c r="D3231">
        <v>5.2591850000000004</v>
      </c>
      <c r="E3231">
        <v>0.52780819999999995</v>
      </c>
      <c r="F3231" t="s">
        <v>71</v>
      </c>
      <c r="G3231">
        <v>-201.34219999999999</v>
      </c>
      <c r="H3231" s="1">
        <v>-1.0330749999999999E-5</v>
      </c>
      <c r="I3231">
        <v>144.5181</v>
      </c>
      <c r="J3231">
        <v>-189.94380000000001</v>
      </c>
      <c r="K3231">
        <v>1.1076619999999999</v>
      </c>
      <c r="L3231">
        <v>175.2773</v>
      </c>
      <c r="M3231">
        <v>-8.8452379999999997E-2</v>
      </c>
      <c r="N3231">
        <v>0</v>
      </c>
      <c r="O3231">
        <v>-0.99598850000000005</v>
      </c>
      <c r="P3231">
        <v>-0.29370180000000001</v>
      </c>
      <c r="Q3231">
        <v>0.1296688</v>
      </c>
      <c r="R3231">
        <v>-0.94706129999999999</v>
      </c>
      <c r="S3231">
        <v>-1.0541529999999999</v>
      </c>
      <c r="T3231">
        <v>-0.1023102</v>
      </c>
      <c r="U3231">
        <v>-2.8552249999999999</v>
      </c>
      <c r="V3231">
        <v>0.2092676</v>
      </c>
      <c r="W3231">
        <v>0.14204059999999999</v>
      </c>
      <c r="X3231">
        <v>0.96748719999999999</v>
      </c>
      <c r="Y3231">
        <v>0.2618084</v>
      </c>
      <c r="Z3231">
        <v>3.3860229999999998E-2</v>
      </c>
      <c r="AA3231">
        <v>0.96452570000000004</v>
      </c>
      <c r="AB3231">
        <v>28</v>
      </c>
      <c r="AC3231">
        <v>-11.398399999999899</v>
      </c>
      <c r="AD3231">
        <v>-1.10767233075</v>
      </c>
      <c r="AE3231">
        <v>-30.7592</v>
      </c>
      <c r="AF3231">
        <v>8.6229091373600699</v>
      </c>
      <c r="AG3231">
        <v>-1.10767233075</v>
      </c>
      <c r="AH3231">
        <v>31.6108788203926</v>
      </c>
      <c r="AI3231">
        <v>91.936185128913493</v>
      </c>
      <c r="AJ3231">
        <v>74.741911508955297</v>
      </c>
      <c r="AK3231">
        <v>32.784587229077999</v>
      </c>
      <c r="AL3231">
        <v>81.834055539198602</v>
      </c>
      <c r="AM3231">
        <v>77.7949385786671</v>
      </c>
      <c r="AN3231">
        <v>0.99999997131097895</v>
      </c>
    </row>
    <row r="3232" spans="1:40" x14ac:dyDescent="0.25">
      <c r="A3232" t="str">
        <f>"20190312164535619"</f>
        <v>20190312164535619</v>
      </c>
      <c r="B3232" t="str">
        <f>"1552380335615090"</f>
        <v>1552380335615090</v>
      </c>
      <c r="C3232" t="s">
        <v>40</v>
      </c>
      <c r="D3232">
        <v>5.2065869999999999</v>
      </c>
      <c r="E3232">
        <v>0.52757310000000002</v>
      </c>
      <c r="F3232" t="s">
        <v>71</v>
      </c>
      <c r="G3232">
        <v>-201.40020000000001</v>
      </c>
      <c r="H3232" s="1">
        <v>-1.027427E-5</v>
      </c>
      <c r="I3232">
        <v>144.41470000000001</v>
      </c>
      <c r="J3232">
        <v>-189.95830000000001</v>
      </c>
      <c r="K3232">
        <v>1.1076619999999999</v>
      </c>
      <c r="L3232">
        <v>175.12599999999901</v>
      </c>
      <c r="M3232">
        <v>-8.9435420000000002E-2</v>
      </c>
      <c r="N3232">
        <v>0</v>
      </c>
      <c r="O3232">
        <v>-0.99590089999999998</v>
      </c>
      <c r="P3232">
        <v>-0.29695480000000002</v>
      </c>
      <c r="Q3232">
        <v>0.13008690000000001</v>
      </c>
      <c r="R3232">
        <v>-0.94598939999999998</v>
      </c>
      <c r="S3232">
        <v>-1.0591429999999999</v>
      </c>
      <c r="T3232">
        <v>-0.1024038</v>
      </c>
      <c r="U3232">
        <v>-2.8532259999999998</v>
      </c>
      <c r="V3232">
        <v>0.21164769999999999</v>
      </c>
      <c r="W3232">
        <v>0.14244279999999901</v>
      </c>
      <c r="X3232">
        <v>0.96691020000000005</v>
      </c>
      <c r="Y3232">
        <v>0.26255820000000002</v>
      </c>
      <c r="Z3232">
        <v>3.3895389999999997E-2</v>
      </c>
      <c r="AA3232">
        <v>0.96432070000000003</v>
      </c>
      <c r="AB3232">
        <v>28</v>
      </c>
      <c r="AC3232">
        <v>-11.4419</v>
      </c>
      <c r="AD3232">
        <v>-1.10767227427</v>
      </c>
      <c r="AE3232">
        <v>-30.711299999999898</v>
      </c>
      <c r="AF3232">
        <v>8.6392420948535396</v>
      </c>
      <c r="AG3232">
        <v>-1.10767227427</v>
      </c>
      <c r="AH3232">
        <v>31.575541828515799</v>
      </c>
      <c r="AI3232">
        <v>91.937945239834306</v>
      </c>
      <c r="AJ3232">
        <v>74.698056320985998</v>
      </c>
      <c r="AK3232">
        <v>32.754820768934501</v>
      </c>
      <c r="AL3232">
        <v>81.810774833756099</v>
      </c>
      <c r="AM3232">
        <v>77.653216773347197</v>
      </c>
      <c r="AN3232">
        <v>1.0000000175255801</v>
      </c>
    </row>
    <row r="3233" spans="1:40" x14ac:dyDescent="0.25">
      <c r="A3233" t="str">
        <f>"20190312164535631"</f>
        <v>20190312164535631</v>
      </c>
      <c r="B3233" t="str">
        <f>"1552380335624850"</f>
        <v>1552380335624850</v>
      </c>
      <c r="C3233" t="s">
        <v>40</v>
      </c>
      <c r="D3233">
        <v>4.9045170000000002</v>
      </c>
      <c r="E3233">
        <v>0.52731619999999901</v>
      </c>
      <c r="F3233" t="s">
        <v>71</v>
      </c>
      <c r="G3233">
        <v>-201.58009999999999</v>
      </c>
      <c r="H3233" s="1">
        <v>-1.009281E-5</v>
      </c>
      <c r="I3233">
        <v>144.0729</v>
      </c>
      <c r="J3233">
        <v>-189.97329999999999</v>
      </c>
      <c r="K3233">
        <v>1.1076680000000001</v>
      </c>
      <c r="L3233">
        <v>174.97040000000001</v>
      </c>
      <c r="M3233">
        <v>-9.0446550000000001E-2</v>
      </c>
      <c r="N3233">
        <v>0</v>
      </c>
      <c r="O3233">
        <v>-0.99580959999999996</v>
      </c>
      <c r="P3233">
        <v>-0.30025039999999997</v>
      </c>
      <c r="Q3233">
        <v>0.1305231</v>
      </c>
      <c r="R3233">
        <v>-0.94488810000000001</v>
      </c>
      <c r="S3233">
        <v>-1.0667719999999901</v>
      </c>
      <c r="T3233">
        <v>-0.1016741</v>
      </c>
      <c r="U3233">
        <v>-2.8503880000000001</v>
      </c>
      <c r="V3233">
        <v>0.21404699999999999</v>
      </c>
      <c r="W3233">
        <v>0.142862299999999</v>
      </c>
      <c r="X3233">
        <v>0.96631990000000001</v>
      </c>
      <c r="Y3233">
        <v>0.26416020000000001</v>
      </c>
      <c r="Z3233">
        <v>3.3658109999999998E-2</v>
      </c>
      <c r="AA3233">
        <v>0.96389130000000001</v>
      </c>
      <c r="AB3233">
        <v>28</v>
      </c>
      <c r="AC3233">
        <v>-11.6067999999999</v>
      </c>
      <c r="AD3233">
        <v>-1.1076780928100001</v>
      </c>
      <c r="AE3233">
        <v>-30.897500000000001</v>
      </c>
      <c r="AF3233">
        <v>8.7545309398482303</v>
      </c>
      <c r="AG3233">
        <v>-1.1076780928100001</v>
      </c>
      <c r="AH3233">
        <v>31.784929424028501</v>
      </c>
      <c r="AI3233">
        <v>91.924302591318394</v>
      </c>
      <c r="AJ3233">
        <v>74.600833158440693</v>
      </c>
      <c r="AK3233">
        <v>32.987126295337099</v>
      </c>
      <c r="AL3233">
        <v>81.786490357020696</v>
      </c>
      <c r="AM3233">
        <v>77.510227622028296</v>
      </c>
      <c r="AN3233">
        <v>0.99999995205314796</v>
      </c>
    </row>
    <row r="3234" spans="1:40" x14ac:dyDescent="0.25">
      <c r="A3234" t="str">
        <f>"20190312164535650"</f>
        <v>20190312164535650</v>
      </c>
      <c r="B3234" t="str">
        <f>"1552380335644370"</f>
        <v>1552380335644370</v>
      </c>
      <c r="C3234" t="s">
        <v>40</v>
      </c>
      <c r="D3234">
        <v>5.0190489999999999</v>
      </c>
      <c r="E3234">
        <v>0.52682499999999999</v>
      </c>
      <c r="F3234" t="s">
        <v>71</v>
      </c>
      <c r="G3234">
        <v>-201.7884</v>
      </c>
      <c r="H3234" s="1">
        <v>-9.8775270000000004E-6</v>
      </c>
      <c r="I3234">
        <v>143.65969999999999</v>
      </c>
      <c r="J3234">
        <v>-189.99510000000001</v>
      </c>
      <c r="K3234">
        <v>1.1076729999999999</v>
      </c>
      <c r="L3234">
        <v>174.74789999999999</v>
      </c>
      <c r="M3234">
        <v>-9.1890280000000005E-2</v>
      </c>
      <c r="N3234">
        <v>0</v>
      </c>
      <c r="O3234">
        <v>-0.99567720000000004</v>
      </c>
      <c r="P3234">
        <v>-0.30631950000000002</v>
      </c>
      <c r="Q3234">
        <v>0.13207969999999999</v>
      </c>
      <c r="R3234">
        <v>-0.94272100000000003</v>
      </c>
      <c r="S3234">
        <v>-1.074478</v>
      </c>
      <c r="T3234">
        <v>-0.100734</v>
      </c>
      <c r="U3234">
        <v>-2.8474430000000002</v>
      </c>
      <c r="V3234">
        <v>0.21889040000000001</v>
      </c>
      <c r="W3234">
        <v>0.1443847</v>
      </c>
      <c r="X3234">
        <v>0.96500779999999997</v>
      </c>
      <c r="Y3234">
        <v>0.2653778</v>
      </c>
      <c r="Z3234">
        <v>3.3351749999999999E-2</v>
      </c>
      <c r="AA3234">
        <v>0.96356750000000002</v>
      </c>
      <c r="AB3234">
        <v>28</v>
      </c>
      <c r="AC3234">
        <v>-11.793299999999901</v>
      </c>
      <c r="AD3234">
        <v>-1.107682877527</v>
      </c>
      <c r="AE3234">
        <v>-31.088200000000001</v>
      </c>
      <c r="AF3234">
        <v>8.8765787335994606</v>
      </c>
      <c r="AG3234">
        <v>-1.107682877527</v>
      </c>
      <c r="AH3234">
        <v>32.004915410819002</v>
      </c>
      <c r="AI3234">
        <v>91.910152607074494</v>
      </c>
      <c r="AJ3234">
        <v>74.498619979030494</v>
      </c>
      <c r="AK3234">
        <v>33.2315395644655</v>
      </c>
      <c r="AL3234">
        <v>81.698349852066499</v>
      </c>
      <c r="AM3234">
        <v>77.2199877162289</v>
      </c>
      <c r="AN3234">
        <v>1.00000000143354</v>
      </c>
    </row>
    <row r="3235" spans="1:40" x14ac:dyDescent="0.25">
      <c r="A3235" t="str">
        <f>"20190312164535660"</f>
        <v>20190312164535660</v>
      </c>
      <c r="B3235" t="str">
        <f>"1552380335655106"</f>
        <v>1552380335655106</v>
      </c>
      <c r="C3235" t="s">
        <v>40</v>
      </c>
      <c r="D3235">
        <v>5.1105159999999996</v>
      </c>
      <c r="E3235">
        <v>0.52682499999999999</v>
      </c>
      <c r="F3235" t="s">
        <v>71</v>
      </c>
      <c r="G3235">
        <v>-202.33619999999999</v>
      </c>
      <c r="H3235" s="1">
        <v>-9.3586599999999996E-6</v>
      </c>
      <c r="I3235">
        <v>142.524</v>
      </c>
      <c r="J3235">
        <v>-190.01070000000001</v>
      </c>
      <c r="K3235">
        <v>1.107677</v>
      </c>
      <c r="L3235">
        <v>174.59129999999999</v>
      </c>
      <c r="M3235">
        <v>-9.2905440000000006E-2</v>
      </c>
      <c r="N3235">
        <v>0</v>
      </c>
      <c r="O3235">
        <v>-0.99558340000000001</v>
      </c>
      <c r="P3235">
        <v>-0.30958819999999998</v>
      </c>
      <c r="Q3235">
        <v>0.13274029999999901</v>
      </c>
      <c r="R3235">
        <v>-0.94156039999999996</v>
      </c>
      <c r="S3235">
        <v>-1.0885309999999999</v>
      </c>
      <c r="T3235">
        <v>-9.7701670000000004E-2</v>
      </c>
      <c r="U3235">
        <v>-2.8422700000000001</v>
      </c>
      <c r="V3235">
        <v>0.22126860000000001</v>
      </c>
      <c r="W3235">
        <v>0.1450282</v>
      </c>
      <c r="X3235">
        <v>0.96436869999999997</v>
      </c>
      <c r="Y3235">
        <v>0.26914549999999998</v>
      </c>
      <c r="Z3235">
        <v>3.235445E-2</v>
      </c>
      <c r="AA3235">
        <v>0.96255590000000002</v>
      </c>
      <c r="AB3235">
        <v>28</v>
      </c>
      <c r="AC3235">
        <v>-12.3254999999999</v>
      </c>
      <c r="AD3235">
        <v>-1.1076863586599901</v>
      </c>
      <c r="AE3235">
        <v>-32.067299999999904</v>
      </c>
      <c r="AF3235">
        <v>9.2830328621884508</v>
      </c>
      <c r="AG3235">
        <v>-1.1076863586599901</v>
      </c>
      <c r="AH3235">
        <v>33.0394440580055</v>
      </c>
      <c r="AI3235">
        <v>91.848658491126002</v>
      </c>
      <c r="AJ3235">
        <v>74.306326094987199</v>
      </c>
      <c r="AK3235">
        <v>34.336664541735999</v>
      </c>
      <c r="AL3235">
        <v>81.661087647696206</v>
      </c>
      <c r="AM3235">
        <v>77.077495751925795</v>
      </c>
      <c r="AN3235">
        <v>0.99999998084044395</v>
      </c>
    </row>
    <row r="3236" spans="1:40" x14ac:dyDescent="0.25">
      <c r="A3236" t="str">
        <f>"20190312164535673"</f>
        <v>20190312164535673</v>
      </c>
      <c r="B3236" t="str">
        <f>"1552380335664865"</f>
        <v>1552380335664865</v>
      </c>
      <c r="C3236" t="s">
        <v>40</v>
      </c>
      <c r="D3236">
        <v>5.1205020000000001</v>
      </c>
      <c r="E3236">
        <v>0.50816430000000001</v>
      </c>
      <c r="F3236" t="s">
        <v>71</v>
      </c>
      <c r="G3236">
        <v>-202.70830000000001</v>
      </c>
      <c r="H3236" s="1">
        <v>-9.0183680000000007E-6</v>
      </c>
      <c r="I3236">
        <v>141.7655</v>
      </c>
      <c r="J3236">
        <v>-190.02529999999999</v>
      </c>
      <c r="K3236">
        <v>1.107677</v>
      </c>
      <c r="L3236">
        <v>174.44560000000001</v>
      </c>
      <c r="M3236">
        <v>-9.3850020000000006E-2</v>
      </c>
      <c r="N3236">
        <v>0</v>
      </c>
      <c r="O3236">
        <v>-0.99549469999999995</v>
      </c>
      <c r="P3236">
        <v>-0.31308560000000002</v>
      </c>
      <c r="Q3236">
        <v>0.13376360000000001</v>
      </c>
      <c r="R3236">
        <v>-0.94025820000000004</v>
      </c>
      <c r="S3236">
        <v>-1.0980529999999999</v>
      </c>
      <c r="T3236">
        <v>-9.5789429999999995E-2</v>
      </c>
      <c r="U3236">
        <v>-2.8386840000000002</v>
      </c>
      <c r="V3236">
        <v>0.22395899999999999</v>
      </c>
      <c r="W3236">
        <v>0.1460312</v>
      </c>
      <c r="X3236">
        <v>0.96359600000000001</v>
      </c>
      <c r="Y3236">
        <v>0.27145570000000002</v>
      </c>
      <c r="Z3236">
        <v>3.1725959999999997E-2</v>
      </c>
      <c r="AA3236">
        <v>0.96192789999999995</v>
      </c>
      <c r="AB3236">
        <v>28</v>
      </c>
      <c r="AC3236">
        <v>-12.683</v>
      </c>
      <c r="AD3236">
        <v>-1.107686018368</v>
      </c>
      <c r="AE3236">
        <v>-32.680100000000003</v>
      </c>
      <c r="AF3236">
        <v>9.5501679254547494</v>
      </c>
      <c r="AG3236">
        <v>-1.107686018368</v>
      </c>
      <c r="AH3236">
        <v>33.692602324019099</v>
      </c>
      <c r="AI3236">
        <v>91.811669483593207</v>
      </c>
      <c r="AJ3236">
        <v>74.174618794456094</v>
      </c>
      <c r="AK3236">
        <v>35.037467475320902</v>
      </c>
      <c r="AL3236">
        <v>81.603001732382097</v>
      </c>
      <c r="AM3236">
        <v>76.915614883346095</v>
      </c>
      <c r="AN3236">
        <v>0.999999998135219</v>
      </c>
    </row>
    <row r="3237" spans="1:40" x14ac:dyDescent="0.25">
      <c r="A3237" t="str">
        <f>"20190312164535684"</f>
        <v>20190312164535684</v>
      </c>
      <c r="B3237" t="str">
        <f>"1552380335674626"</f>
        <v>1552380335674626</v>
      </c>
      <c r="C3237" t="s">
        <v>40</v>
      </c>
      <c r="D3237">
        <v>5.000705</v>
      </c>
      <c r="E3237">
        <v>0.50926859999999996</v>
      </c>
      <c r="F3237" t="s">
        <v>71</v>
      </c>
      <c r="G3237">
        <v>-195.80449999999999</v>
      </c>
      <c r="H3237" s="1">
        <v>-1.431898E-5</v>
      </c>
      <c r="I3237">
        <v>156.9991</v>
      </c>
      <c r="J3237">
        <v>-190.0401</v>
      </c>
      <c r="K3237">
        <v>1.1076790000000001</v>
      </c>
      <c r="L3237">
        <v>174.29929999999999</v>
      </c>
      <c r="M3237">
        <v>-9.4796969999999994E-2</v>
      </c>
      <c r="N3237">
        <v>0</v>
      </c>
      <c r="O3237">
        <v>-0.99540479999999998</v>
      </c>
      <c r="P3237">
        <v>-0.31635829999999998</v>
      </c>
      <c r="Q3237">
        <v>0.13452539999999999</v>
      </c>
      <c r="R3237">
        <v>-0.93905300000000003</v>
      </c>
      <c r="S3237">
        <v>-0.95971680000000004</v>
      </c>
      <c r="T3237">
        <v>-0.18394720000000001</v>
      </c>
      <c r="U3237">
        <v>-2.8972169999999999</v>
      </c>
      <c r="V3237">
        <v>0.2264147</v>
      </c>
      <c r="W3237">
        <v>0.14677599999999999</v>
      </c>
      <c r="X3237">
        <v>0.96290869999999995</v>
      </c>
      <c r="Y3237">
        <v>0.2224614</v>
      </c>
      <c r="Z3237">
        <v>6.0533780000000002E-2</v>
      </c>
      <c r="AA3237">
        <v>0.97306040000000005</v>
      </c>
      <c r="AB3237">
        <v>28</v>
      </c>
      <c r="AC3237">
        <v>-5.7643999999999904</v>
      </c>
      <c r="AD3237">
        <v>-1.10769331897999</v>
      </c>
      <c r="AE3237">
        <v>-17.300199999999901</v>
      </c>
      <c r="AF3237">
        <v>4.0832128837938297</v>
      </c>
      <c r="AG3237">
        <v>-1.10769331897999</v>
      </c>
      <c r="AH3237">
        <v>17.703450138255</v>
      </c>
      <c r="AI3237">
        <v>93.488929312531496</v>
      </c>
      <c r="AJ3237">
        <v>77.012139471328297</v>
      </c>
      <c r="AK3237">
        <v>18.201971287225302</v>
      </c>
      <c r="AL3237">
        <v>81.559862922392</v>
      </c>
      <c r="AM3237">
        <v>76.768053337755802</v>
      </c>
      <c r="AN3237">
        <v>0.99999998754388897</v>
      </c>
    </row>
    <row r="3238" spans="1:40" x14ac:dyDescent="0.25">
      <c r="A3238" t="str">
        <f>"20190312164535697"</f>
        <v>20190312164535697</v>
      </c>
      <c r="B3238" t="str">
        <f>"1552380335685362"</f>
        <v>1552380335685362</v>
      </c>
      <c r="C3238" t="s">
        <v>40</v>
      </c>
      <c r="D3238">
        <v>5.0108889999999997</v>
      </c>
      <c r="E3238">
        <v>0.51011359999999994</v>
      </c>
      <c r="F3238" t="s">
        <v>71</v>
      </c>
      <c r="G3238">
        <v>-196.66669999999999</v>
      </c>
      <c r="H3238" s="1">
        <v>-1.348293E-5</v>
      </c>
      <c r="I3238">
        <v>154.74539999999999</v>
      </c>
      <c r="J3238">
        <v>-190.05439999999999</v>
      </c>
      <c r="K3238">
        <v>1.1076859999999999</v>
      </c>
      <c r="L3238">
        <v>174.15940000000001</v>
      </c>
      <c r="M3238">
        <v>-9.5702899999999994E-2</v>
      </c>
      <c r="N3238">
        <v>0</v>
      </c>
      <c r="O3238">
        <v>-0.99531820000000004</v>
      </c>
      <c r="P3238">
        <v>-0.31975110000000001</v>
      </c>
      <c r="Q3238">
        <v>0.13509099999999999</v>
      </c>
      <c r="R3238">
        <v>-0.93782169999999998</v>
      </c>
      <c r="S3238">
        <v>-0.97883609999999999</v>
      </c>
      <c r="T3238">
        <v>-0.1636215</v>
      </c>
      <c r="U3238">
        <v>-2.888382</v>
      </c>
      <c r="V3238">
        <v>0.22903309999999999</v>
      </c>
      <c r="W3238">
        <v>0.1473227</v>
      </c>
      <c r="X3238">
        <v>0.9622058</v>
      </c>
      <c r="Y3238">
        <v>0.2283693</v>
      </c>
      <c r="Z3238">
        <v>5.392226E-2</v>
      </c>
      <c r="AA3238">
        <v>0.97208019999999995</v>
      </c>
      <c r="AB3238">
        <v>28</v>
      </c>
      <c r="AC3238">
        <v>-6.6123000000000003</v>
      </c>
      <c r="AD3238">
        <v>-1.10769948293</v>
      </c>
      <c r="AE3238">
        <v>-19.414000000000001</v>
      </c>
      <c r="AF3238">
        <v>4.7100582176475898</v>
      </c>
      <c r="AG3238">
        <v>-1.10769948293</v>
      </c>
      <c r="AH3238">
        <v>19.899697452962801</v>
      </c>
      <c r="AI3238">
        <v>93.100540325282296</v>
      </c>
      <c r="AJ3238">
        <v>76.683724311430794</v>
      </c>
      <c r="AK3238">
        <v>20.479492310054098</v>
      </c>
      <c r="AL3238">
        <v>81.528195767895497</v>
      </c>
      <c r="AM3238">
        <v>76.611081708378094</v>
      </c>
      <c r="AN3238">
        <v>1.00000007019226</v>
      </c>
    </row>
    <row r="3239" spans="1:40" x14ac:dyDescent="0.25">
      <c r="A3239" t="str">
        <f>"20190312164535710"</f>
        <v>20190312164535710</v>
      </c>
      <c r="B3239" t="str">
        <f>"1552380335704882"</f>
        <v>1552380335704882</v>
      </c>
      <c r="C3239" t="s">
        <v>40</v>
      </c>
      <c r="D3239">
        <v>4.8992620000000002</v>
      </c>
      <c r="E3239">
        <v>0.51025029999999905</v>
      </c>
      <c r="F3239" t="s">
        <v>71</v>
      </c>
      <c r="G3239">
        <v>-197.57689999999999</v>
      </c>
      <c r="H3239" s="1">
        <v>-1.2955150000000001E-5</v>
      </c>
      <c r="I3239">
        <v>152.41800000000001</v>
      </c>
      <c r="J3239">
        <v>-190.07329999999999</v>
      </c>
      <c r="K3239">
        <v>1.107694</v>
      </c>
      <c r="L3239">
        <v>173.97569999999999</v>
      </c>
      <c r="M3239">
        <v>-9.6892329999999999E-2</v>
      </c>
      <c r="N3239">
        <v>0</v>
      </c>
      <c r="O3239">
        <v>-0.99520330000000001</v>
      </c>
      <c r="P3239">
        <v>-0.32325660000000001</v>
      </c>
      <c r="Q3239">
        <v>0.13565569999999999</v>
      </c>
      <c r="R3239">
        <v>-0.93653799999999998</v>
      </c>
      <c r="S3239">
        <v>-0.99656679999999997</v>
      </c>
      <c r="T3239">
        <v>-0.1467454</v>
      </c>
      <c r="U3239">
        <v>-2.8802490000000001</v>
      </c>
      <c r="V3239">
        <v>0.23149529999999999</v>
      </c>
      <c r="W3239">
        <v>0.14787020000000001</v>
      </c>
      <c r="X3239">
        <v>0.96153230000000001</v>
      </c>
      <c r="Y3239">
        <v>0.23348369999999999</v>
      </c>
      <c r="Z3239">
        <v>4.8418500000000003E-2</v>
      </c>
      <c r="AA3239">
        <v>0.97115450000000003</v>
      </c>
      <c r="AB3239">
        <v>28</v>
      </c>
      <c r="AC3239">
        <v>-7.5035999999999996</v>
      </c>
      <c r="AD3239">
        <v>-1.1077069551500001</v>
      </c>
      <c r="AE3239">
        <v>-21.557699999999901</v>
      </c>
      <c r="AF3239">
        <v>5.3666837384340296</v>
      </c>
      <c r="AG3239">
        <v>-1.1077069551500001</v>
      </c>
      <c r="AH3239">
        <v>22.131239459341501</v>
      </c>
      <c r="AI3239">
        <v>92.784787094281398</v>
      </c>
      <c r="AJ3239">
        <v>76.369252349749104</v>
      </c>
      <c r="AK3239">
        <v>22.799562913652</v>
      </c>
      <c r="AL3239">
        <v>81.496478501327701</v>
      </c>
      <c r="AM3239">
        <v>76.463281777213894</v>
      </c>
      <c r="AN3239">
        <v>1.0000000169567</v>
      </c>
    </row>
    <row r="3240" spans="1:40" x14ac:dyDescent="0.25">
      <c r="A3240" t="str">
        <f>"20190312164535728"</f>
        <v>20190312164535728</v>
      </c>
      <c r="B3240" t="str">
        <f>"1552380335724402"</f>
        <v>1552380335724402</v>
      </c>
      <c r="C3240" t="s">
        <v>40</v>
      </c>
      <c r="D3240">
        <v>5.0676059999999996</v>
      </c>
      <c r="E3240">
        <v>0.51026689999999997</v>
      </c>
      <c r="F3240" t="s">
        <v>71</v>
      </c>
      <c r="G3240">
        <v>-199.52869999999999</v>
      </c>
      <c r="H3240" s="1">
        <v>-1.1650009999999999E-5</v>
      </c>
      <c r="I3240">
        <v>147.09610000000001</v>
      </c>
      <c r="J3240">
        <v>-190.09639999999999</v>
      </c>
      <c r="K3240">
        <v>1.107702</v>
      </c>
      <c r="L3240">
        <v>173.75460000000001</v>
      </c>
      <c r="M3240">
        <v>-9.8323110000000005E-2</v>
      </c>
      <c r="N3240">
        <v>0</v>
      </c>
      <c r="O3240">
        <v>-0.99506289999999997</v>
      </c>
      <c r="P3240">
        <v>-0.32931129999999997</v>
      </c>
      <c r="Q3240">
        <v>0.13640350000000001</v>
      </c>
      <c r="R3240">
        <v>-0.93431710000000001</v>
      </c>
      <c r="S3240">
        <v>-1.0101929999999999</v>
      </c>
      <c r="T3240">
        <v>-0.11834450000000001</v>
      </c>
      <c r="U3240">
        <v>-2.87175</v>
      </c>
      <c r="V3240">
        <v>0.23635519999999999</v>
      </c>
      <c r="W3240">
        <v>0.14858370000000001</v>
      </c>
      <c r="X3240">
        <v>0.96023910000000001</v>
      </c>
      <c r="Y3240">
        <v>0.23721419999999999</v>
      </c>
      <c r="Z3240">
        <v>3.911717E-2</v>
      </c>
      <c r="AA3240">
        <v>0.97066949999999996</v>
      </c>
      <c r="AB3240">
        <v>28</v>
      </c>
      <c r="AC3240">
        <v>-9.4322999999999908</v>
      </c>
      <c r="AD3240">
        <v>-1.10771365001</v>
      </c>
      <c r="AE3240">
        <v>-26.6585</v>
      </c>
      <c r="AF3240">
        <v>6.75483705378086</v>
      </c>
      <c r="AG3240">
        <v>-1.10771365001</v>
      </c>
      <c r="AH3240">
        <v>27.4147343565696</v>
      </c>
      <c r="AI3240">
        <v>92.2466998381407</v>
      </c>
      <c r="AJ3240">
        <v>76.158354380797405</v>
      </c>
      <c r="AK3240">
        <v>28.256371192968601</v>
      </c>
      <c r="AL3240">
        <v>81.455141290389093</v>
      </c>
      <c r="AM3240">
        <v>76.171987443713206</v>
      </c>
      <c r="AN3240">
        <v>1.00000001282077</v>
      </c>
    </row>
    <row r="3241" spans="1:40" x14ac:dyDescent="0.25">
      <c r="A3241" t="str">
        <f>"20190312164535751"</f>
        <v>20190312164535751</v>
      </c>
      <c r="B3241" t="str">
        <f>"1552380335745272"</f>
        <v>1552380335745272</v>
      </c>
      <c r="C3241" t="s">
        <v>40</v>
      </c>
      <c r="D3241">
        <v>5.1020289999999999</v>
      </c>
      <c r="E3241">
        <v>0.51142219999999905</v>
      </c>
      <c r="F3241" t="s">
        <v>71</v>
      </c>
      <c r="G3241">
        <v>-201.32249999999999</v>
      </c>
      <c r="H3241" s="1">
        <v>-9.7534489999999995E-6</v>
      </c>
      <c r="I3241">
        <v>142.54820000000001</v>
      </c>
      <c r="J3241">
        <v>-190.1259</v>
      </c>
      <c r="K3241">
        <v>1.107712</v>
      </c>
      <c r="L3241">
        <v>173.47730000000001</v>
      </c>
      <c r="M3241">
        <v>-0.1001176</v>
      </c>
      <c r="N3241">
        <v>0</v>
      </c>
      <c r="O3241">
        <v>-0.99488379999999998</v>
      </c>
      <c r="P3241">
        <v>-0.33562829999999999</v>
      </c>
      <c r="Q3241">
        <v>0.13682620000000001</v>
      </c>
      <c r="R3241">
        <v>-0.93200419999999995</v>
      </c>
      <c r="S3241">
        <v>-1.02984599999999</v>
      </c>
      <c r="T3241">
        <v>-0.10161770000000001</v>
      </c>
      <c r="U3241">
        <v>-2.862762</v>
      </c>
      <c r="V3241">
        <v>0.24113670000000001</v>
      </c>
      <c r="W3241">
        <v>0.14897360000000001</v>
      </c>
      <c r="X3241">
        <v>0.95898899999999998</v>
      </c>
      <c r="Y3241">
        <v>0.2423932</v>
      </c>
      <c r="Z3241">
        <v>3.3625950000000002E-2</v>
      </c>
      <c r="AA3241">
        <v>0.96959519999999999</v>
      </c>
      <c r="AB3241">
        <v>28</v>
      </c>
      <c r="AC3241">
        <v>-11.196599999999901</v>
      </c>
      <c r="AD3241">
        <v>-1.107721753449</v>
      </c>
      <c r="AE3241">
        <v>-30.929099999999998</v>
      </c>
      <c r="AF3241">
        <v>8.0343917942930201</v>
      </c>
      <c r="AG3241">
        <v>-1.107721753449</v>
      </c>
      <c r="AH3241">
        <v>31.858620502428199</v>
      </c>
      <c r="AI3241">
        <v>91.930958186418593</v>
      </c>
      <c r="AJ3241">
        <v>75.845777810210194</v>
      </c>
      <c r="AK3241">
        <v>32.874765387832198</v>
      </c>
      <c r="AL3241">
        <v>81.432549885903995</v>
      </c>
      <c r="AM3241">
        <v>75.885652277507106</v>
      </c>
      <c r="AN3241">
        <v>0.99999997185242395</v>
      </c>
    </row>
    <row r="3242" spans="1:40" x14ac:dyDescent="0.25">
      <c r="A3242" t="str">
        <f>"20190312164535762"</f>
        <v>20190312164535762</v>
      </c>
      <c r="B3242" t="str">
        <f>"1552380335755031"</f>
        <v>1552380335755031</v>
      </c>
      <c r="C3242" t="s">
        <v>40</v>
      </c>
      <c r="D3242">
        <v>4.9397469999999997</v>
      </c>
      <c r="E3242">
        <v>0.52902389999999999</v>
      </c>
      <c r="F3242" t="s">
        <v>71</v>
      </c>
      <c r="G3242">
        <v>-201.55500000000001</v>
      </c>
      <c r="H3242" s="1">
        <v>-9.6827809999999995E-6</v>
      </c>
      <c r="I3242">
        <v>142.6378</v>
      </c>
      <c r="J3242">
        <v>-190.1429</v>
      </c>
      <c r="K3242">
        <v>1.1077140000000001</v>
      </c>
      <c r="L3242">
        <v>173.3193</v>
      </c>
      <c r="M3242">
        <v>-0.1011401</v>
      </c>
      <c r="N3242">
        <v>0</v>
      </c>
      <c r="O3242">
        <v>-0.99478040000000001</v>
      </c>
      <c r="P3242">
        <v>-0.33874589999999999</v>
      </c>
      <c r="Q3242">
        <v>0.13731009999999999</v>
      </c>
      <c r="R3242">
        <v>-0.93080469999999904</v>
      </c>
      <c r="S3242">
        <v>-1.057388</v>
      </c>
      <c r="T3242">
        <v>-0.10248259999999999</v>
      </c>
      <c r="U3242">
        <v>-2.8531650000000002</v>
      </c>
      <c r="V3242">
        <v>0.2433728</v>
      </c>
      <c r="W3242">
        <v>0.1494414</v>
      </c>
      <c r="X3242">
        <v>0.95835110000000001</v>
      </c>
      <c r="Y3242">
        <v>0.25067729999999999</v>
      </c>
      <c r="Z3242">
        <v>3.3922550000000003E-2</v>
      </c>
      <c r="AA3242">
        <v>0.96747609999999995</v>
      </c>
      <c r="AB3242">
        <v>28</v>
      </c>
      <c r="AC3242">
        <v>-11.412100000000001</v>
      </c>
      <c r="AD3242">
        <v>-1.107723682781</v>
      </c>
      <c r="AE3242">
        <v>-30.6815</v>
      </c>
      <c r="AF3242">
        <v>8.2407206012387899</v>
      </c>
      <c r="AG3242">
        <v>-1.107723682781</v>
      </c>
      <c r="AH3242">
        <v>31.6422359812168</v>
      </c>
      <c r="AI3242">
        <v>91.940307684670501</v>
      </c>
      <c r="AJ3242">
        <v>75.402483376049702</v>
      </c>
      <c r="AK3242">
        <v>32.716473307434597</v>
      </c>
      <c r="AL3242">
        <v>81.405443223465596</v>
      </c>
      <c r="AM3242">
        <v>75.750975749387393</v>
      </c>
      <c r="AN3242">
        <v>0.99999994134250303</v>
      </c>
    </row>
    <row r="3243" spans="1:40" x14ac:dyDescent="0.25">
      <c r="A3243" t="str">
        <f>"20190312164535775"</f>
        <v>20190312164535775</v>
      </c>
      <c r="B3243" t="str">
        <f>"1552380335764791"</f>
        <v>1552380335764791</v>
      </c>
      <c r="C3243" t="s">
        <v>40</v>
      </c>
      <c r="D3243">
        <v>5.0333509999999997</v>
      </c>
      <c r="E3243">
        <v>0.52735279999999995</v>
      </c>
      <c r="F3243" t="s">
        <v>43</v>
      </c>
      <c r="G3243">
        <v>-216.39429999999999</v>
      </c>
      <c r="H3243">
        <v>-0.05</v>
      </c>
      <c r="I3243">
        <v>112.36499999999999</v>
      </c>
      <c r="J3243">
        <v>-190.15969999999999</v>
      </c>
      <c r="K3243">
        <v>1.1077140000000001</v>
      </c>
      <c r="L3243">
        <v>173.16480000000001</v>
      </c>
      <c r="M3243">
        <v>-0.1021406</v>
      </c>
      <c r="N3243">
        <v>0</v>
      </c>
      <c r="O3243">
        <v>-0.99467839999999996</v>
      </c>
      <c r="P3243">
        <v>-0.34203889999999998</v>
      </c>
      <c r="Q3243">
        <v>0.1373529</v>
      </c>
      <c r="R3243">
        <v>-0.92959369999999997</v>
      </c>
      <c r="S3243">
        <v>-1.2029110000000001</v>
      </c>
      <c r="T3243">
        <v>-5.3049560000000003E-2</v>
      </c>
      <c r="U3243">
        <v>-2.793091</v>
      </c>
      <c r="V3243">
        <v>0.24580579999999999</v>
      </c>
      <c r="W3243">
        <v>0.14946770000000001</v>
      </c>
      <c r="X3243">
        <v>0.95772590000000002</v>
      </c>
      <c r="Y3243">
        <v>0.29960049999999999</v>
      </c>
      <c r="Z3243">
        <v>1.7623449999999999E-2</v>
      </c>
      <c r="AA3243">
        <v>0.95390189999999997</v>
      </c>
      <c r="AB3243">
        <v>28</v>
      </c>
      <c r="AC3243">
        <v>-26.2346</v>
      </c>
      <c r="AD3243">
        <v>-1.1577139999999999</v>
      </c>
      <c r="AE3243">
        <v>-60.799799999999998</v>
      </c>
      <c r="AF3243">
        <v>19.880596639916501</v>
      </c>
      <c r="AG3243">
        <v>-1.1577139999999999</v>
      </c>
      <c r="AH3243">
        <v>63.142318769419603</v>
      </c>
      <c r="AI3243">
        <v>91.001922243044902</v>
      </c>
      <c r="AJ3243">
        <v>72.523195447803801</v>
      </c>
      <c r="AK3243">
        <v>66.2082384907185</v>
      </c>
      <c r="AL3243">
        <v>81.403919667329205</v>
      </c>
      <c r="AM3243">
        <v>75.605411482812698</v>
      </c>
      <c r="AN3243">
        <v>0.99999999209386903</v>
      </c>
    </row>
    <row r="3244" spans="1:40" x14ac:dyDescent="0.25">
      <c r="A3244" t="str">
        <f>"20190312164535795"</f>
        <v>20190312164535795</v>
      </c>
      <c r="B3244" t="str">
        <f>"1552380335785290"</f>
        <v>1552380335785290</v>
      </c>
      <c r="C3244" t="s">
        <v>40</v>
      </c>
      <c r="D3244">
        <v>4.991752</v>
      </c>
      <c r="E3244">
        <v>0.52765509999999904</v>
      </c>
      <c r="F3244" t="s">
        <v>71</v>
      </c>
      <c r="G3244">
        <v>-207.03299999999999</v>
      </c>
      <c r="H3244" s="1">
        <v>-4.8100410000000002E-6</v>
      </c>
      <c r="I3244">
        <v>133.7595</v>
      </c>
      <c r="J3244">
        <v>-190.18629999999999</v>
      </c>
      <c r="K3244">
        <v>1.107715</v>
      </c>
      <c r="L3244">
        <v>172.9222</v>
      </c>
      <c r="M3244">
        <v>-0.103710999999999</v>
      </c>
      <c r="N3244">
        <v>0</v>
      </c>
      <c r="O3244">
        <v>-0.99451579999999995</v>
      </c>
      <c r="P3244">
        <v>-0.34807919999999998</v>
      </c>
      <c r="Q3244">
        <v>0.1379378</v>
      </c>
      <c r="R3244">
        <v>-0.92726180000000002</v>
      </c>
      <c r="S3244">
        <v>-1.198105</v>
      </c>
      <c r="T3244">
        <v>-7.865453E-2</v>
      </c>
      <c r="U3244">
        <v>-2.7980040000000002</v>
      </c>
      <c r="V3244">
        <v>0.25054090000000001</v>
      </c>
      <c r="W3244">
        <v>0.15001889999999901</v>
      </c>
      <c r="X3244">
        <v>0.95641180000000003</v>
      </c>
      <c r="Y3244">
        <v>0.29602659999999997</v>
      </c>
      <c r="Z3244">
        <v>2.6099359999999999E-2</v>
      </c>
      <c r="AA3244">
        <v>0.95482310000000004</v>
      </c>
      <c r="AB3244">
        <v>28</v>
      </c>
      <c r="AC3244">
        <v>-16.846699999999998</v>
      </c>
      <c r="AD3244">
        <v>-1.107719810041</v>
      </c>
      <c r="AE3244">
        <v>-39.162700000000001</v>
      </c>
      <c r="AF3244">
        <v>12.685299923075601</v>
      </c>
      <c r="AG3244">
        <v>-1.107719810041</v>
      </c>
      <c r="AH3244">
        <v>40.671365045227802</v>
      </c>
      <c r="AI3244">
        <v>91.489385835837496</v>
      </c>
      <c r="AJ3244">
        <v>72.677426574769299</v>
      </c>
      <c r="AK3244">
        <v>42.618116006671599</v>
      </c>
      <c r="AL3244">
        <v>81.3719779145205</v>
      </c>
      <c r="AM3244">
        <v>75.320686362876501</v>
      </c>
      <c r="AN3244">
        <v>0.99999997205462898</v>
      </c>
    </row>
    <row r="3245" spans="1:40" x14ac:dyDescent="0.25">
      <c r="A3245" t="str">
        <f>"20190312164535816"</f>
        <v>20190312164535816</v>
      </c>
      <c r="B3245" t="str">
        <f>"1552380335804807"</f>
        <v>1552380335804807</v>
      </c>
      <c r="C3245" t="s">
        <v>40</v>
      </c>
      <c r="D3245">
        <v>5.1017510000000001</v>
      </c>
      <c r="E3245">
        <v>0.52788539999999995</v>
      </c>
      <c r="F3245" t="s">
        <v>71</v>
      </c>
      <c r="G3245">
        <v>-206.79900000000001</v>
      </c>
      <c r="H3245" s="1">
        <v>-5.2672049999999997E-6</v>
      </c>
      <c r="I3245">
        <v>134.8629</v>
      </c>
      <c r="J3245">
        <v>-190.21680000000001</v>
      </c>
      <c r="K3245">
        <v>1.1077170000000001</v>
      </c>
      <c r="L3245">
        <v>172.64920000000001</v>
      </c>
      <c r="M3245">
        <v>-0.1054789</v>
      </c>
      <c r="N3245">
        <v>0</v>
      </c>
      <c r="O3245">
        <v>-0.99433000000000005</v>
      </c>
      <c r="P3245">
        <v>-0.35383439999999999</v>
      </c>
      <c r="Q3245">
        <v>0.13802729999999999</v>
      </c>
      <c r="R3245">
        <v>-0.92506759999999999</v>
      </c>
      <c r="S3245">
        <v>-1.2179260000000001</v>
      </c>
      <c r="T3245">
        <v>-8.1210260000000006E-2</v>
      </c>
      <c r="U3245">
        <v>-2.7902369999999999</v>
      </c>
      <c r="V3245">
        <v>0.25479049999999998</v>
      </c>
      <c r="W3245">
        <v>0.1500783</v>
      </c>
      <c r="X3245">
        <v>0.9552792</v>
      </c>
      <c r="Y3245">
        <v>0.3009889</v>
      </c>
      <c r="Z3245">
        <v>2.694997E-2</v>
      </c>
      <c r="AA3245">
        <v>0.95324679999999995</v>
      </c>
      <c r="AB3245">
        <v>28</v>
      </c>
      <c r="AC3245">
        <v>-16.5822</v>
      </c>
      <c r="AD3245">
        <v>-1.107722267205</v>
      </c>
      <c r="AE3245">
        <v>-37.786299999999997</v>
      </c>
      <c r="AF3245">
        <v>12.4946559138472</v>
      </c>
      <c r="AG3245">
        <v>-1.107722267205</v>
      </c>
      <c r="AH3245">
        <v>39.296385979294499</v>
      </c>
      <c r="AI3245">
        <v>91.538804491447493</v>
      </c>
      <c r="AJ3245">
        <v>72.361447792079701</v>
      </c>
      <c r="AK3245">
        <v>41.249841527700397</v>
      </c>
      <c r="AL3245">
        <v>81.368536011698296</v>
      </c>
      <c r="AM3245">
        <v>75.065817769993501</v>
      </c>
      <c r="AN3245">
        <v>1.0000000224868799</v>
      </c>
    </row>
    <row r="3246" spans="1:40" x14ac:dyDescent="0.25">
      <c r="A3246" t="str">
        <f>"20190312164535828"</f>
        <v>20190312164535828</v>
      </c>
      <c r="B3246" t="str">
        <f>"1552380335825303"</f>
        <v>1552380335825303</v>
      </c>
      <c r="C3246" t="s">
        <v>40</v>
      </c>
      <c r="D3246">
        <v>5.0389939999999998</v>
      </c>
      <c r="E3246">
        <v>0.52684240000000004</v>
      </c>
      <c r="F3246" t="s">
        <v>71</v>
      </c>
      <c r="G3246">
        <v>-208.10759999999999</v>
      </c>
      <c r="H3246" s="1">
        <v>-3.687412E-6</v>
      </c>
      <c r="I3246">
        <v>132.42850000000001</v>
      </c>
      <c r="J3246">
        <v>-190.2336</v>
      </c>
      <c r="K3246">
        <v>1.10772</v>
      </c>
      <c r="L3246">
        <v>172.50069999999999</v>
      </c>
      <c r="M3246">
        <v>-0.1064409</v>
      </c>
      <c r="N3246">
        <v>0</v>
      </c>
      <c r="O3246">
        <v>-0.99422730000000004</v>
      </c>
      <c r="P3246">
        <v>-0.35682150000000001</v>
      </c>
      <c r="Q3246">
        <v>0.13809679999999999</v>
      </c>
      <c r="R3246">
        <v>-0.92390910000000004</v>
      </c>
      <c r="S3246">
        <v>-1.2371369999999999</v>
      </c>
      <c r="T3246">
        <v>-7.6598289999999999E-2</v>
      </c>
      <c r="U3246">
        <v>-2.7812350000000001</v>
      </c>
      <c r="V3246">
        <v>0.2569574</v>
      </c>
      <c r="W3246">
        <v>0.15013299999999999</v>
      </c>
      <c r="X3246">
        <v>0.95469000000000004</v>
      </c>
      <c r="Y3246">
        <v>0.30671859999999901</v>
      </c>
      <c r="Z3246">
        <v>2.5433959999999999E-2</v>
      </c>
      <c r="AA3246">
        <v>0.95146039999999998</v>
      </c>
      <c r="AB3246">
        <v>28</v>
      </c>
      <c r="AC3246">
        <v>-17.873999999999899</v>
      </c>
      <c r="AD3246">
        <v>-1.107723687412</v>
      </c>
      <c r="AE3246">
        <v>-40.072199999999903</v>
      </c>
      <c r="AF3246">
        <v>13.4981267324786</v>
      </c>
      <c r="AG3246">
        <v>-1.107723687412</v>
      </c>
      <c r="AH3246">
        <v>41.720617255563297</v>
      </c>
      <c r="AI3246">
        <v>91.447083553981699</v>
      </c>
      <c r="AJ3246">
        <v>72.071732177567199</v>
      </c>
      <c r="AK3246">
        <v>43.863839107389097</v>
      </c>
      <c r="AL3246">
        <v>81.365365904357006</v>
      </c>
      <c r="AM3246">
        <v>74.935682149511706</v>
      </c>
      <c r="AN3246">
        <v>1.00000000960188</v>
      </c>
    </row>
    <row r="3247" spans="1:40" x14ac:dyDescent="0.25">
      <c r="A3247" t="str">
        <f>"20190312164535839"</f>
        <v>20190312164535839</v>
      </c>
      <c r="B3247" t="str">
        <f>"1552380335835063"</f>
        <v>1552380335835063</v>
      </c>
      <c r="C3247" t="s">
        <v>40</v>
      </c>
      <c r="D3247">
        <v>4.8917809999999999</v>
      </c>
      <c r="E3247">
        <v>0.52684240000000004</v>
      </c>
      <c r="F3247" t="s">
        <v>71</v>
      </c>
      <c r="G3247">
        <v>-205.4222</v>
      </c>
      <c r="H3247" s="1">
        <v>-6.9860569999999998E-6</v>
      </c>
      <c r="I3247">
        <v>138.32769999999999</v>
      </c>
      <c r="J3247">
        <v>-190.2492</v>
      </c>
      <c r="K3247">
        <v>1.1077269999999999</v>
      </c>
      <c r="L3247">
        <v>172.36349999999999</v>
      </c>
      <c r="M3247">
        <v>-0.1073296</v>
      </c>
      <c r="N3247">
        <v>0</v>
      </c>
      <c r="O3247">
        <v>-0.99413200000000002</v>
      </c>
      <c r="P3247">
        <v>-0.35983399999999999</v>
      </c>
      <c r="Q3247">
        <v>0.13853099999999999</v>
      </c>
      <c r="R3247">
        <v>-0.92267520000000003</v>
      </c>
      <c r="S3247">
        <v>-1.236877</v>
      </c>
      <c r="T3247">
        <v>-9.020686E-2</v>
      </c>
      <c r="U3247">
        <v>-2.7828520000000001</v>
      </c>
      <c r="V3247">
        <v>0.25923079999999998</v>
      </c>
      <c r="W3247">
        <v>0.1505502</v>
      </c>
      <c r="X3247">
        <v>0.95400949999999995</v>
      </c>
      <c r="Y3247">
        <v>0.30553760000000002</v>
      </c>
      <c r="Z3247">
        <v>2.9934780000000001E-2</v>
      </c>
      <c r="AA3247">
        <v>0.95170929999999998</v>
      </c>
      <c r="AB3247">
        <v>28</v>
      </c>
      <c r="AC3247">
        <v>-15.173</v>
      </c>
      <c r="AD3247">
        <v>-1.1077339860569999</v>
      </c>
      <c r="AE3247">
        <v>-34.035799999999902</v>
      </c>
      <c r="AF3247">
        <v>11.4218631152601</v>
      </c>
      <c r="AG3247">
        <v>-1.1077339860569999</v>
      </c>
      <c r="AH3247">
        <v>35.436503121845803</v>
      </c>
      <c r="AI3247">
        <v>91.704183398610596</v>
      </c>
      <c r="AJ3247">
        <v>72.134875551213497</v>
      </c>
      <c r="AK3247">
        <v>37.248245396423599</v>
      </c>
      <c r="AL3247">
        <v>81.341187630885102</v>
      </c>
      <c r="AM3247">
        <v>74.798201576768804</v>
      </c>
      <c r="AN3247">
        <v>1.00000004823946</v>
      </c>
    </row>
    <row r="3248" spans="1:40" x14ac:dyDescent="0.25">
      <c r="A3248" t="str">
        <f>"20190312164535851"</f>
        <v>20190312164535851</v>
      </c>
      <c r="B3248" t="str">
        <f>"1552380335844824"</f>
        <v>1552380335844824</v>
      </c>
      <c r="C3248" t="s">
        <v>40</v>
      </c>
      <c r="D3248">
        <v>5.2077059999999999</v>
      </c>
      <c r="E3248">
        <v>0.52645520000000001</v>
      </c>
      <c r="F3248" t="s">
        <v>71</v>
      </c>
      <c r="G3248">
        <v>-205.77699999999999</v>
      </c>
      <c r="H3248" s="1">
        <v>-6.6385500000000002E-6</v>
      </c>
      <c r="I3248">
        <v>137.73310000000001</v>
      </c>
      <c r="J3248">
        <v>-190.26660000000001</v>
      </c>
      <c r="K3248">
        <v>1.1077300000000001</v>
      </c>
      <c r="L3248">
        <v>172.21260000000001</v>
      </c>
      <c r="M3248">
        <v>-0.1083084</v>
      </c>
      <c r="N3248">
        <v>0</v>
      </c>
      <c r="O3248">
        <v>-0.99402570000000001</v>
      </c>
      <c r="P3248">
        <v>-0.36275439999999998</v>
      </c>
      <c r="Q3248">
        <v>0.13888629999999999</v>
      </c>
      <c r="R3248">
        <v>-0.92147699999999999</v>
      </c>
      <c r="S3248">
        <v>-1.245987</v>
      </c>
      <c r="T3248">
        <v>-8.8887450000000007E-2</v>
      </c>
      <c r="U3248">
        <v>-2.7788390000000001</v>
      </c>
      <c r="V3248">
        <v>0.26132319999999998</v>
      </c>
      <c r="W3248">
        <v>0.1508901</v>
      </c>
      <c r="X3248">
        <v>0.95338469999999997</v>
      </c>
      <c r="Y3248">
        <v>0.30771530000000002</v>
      </c>
      <c r="Z3248">
        <v>2.9501920000000001E-2</v>
      </c>
      <c r="AA3248">
        <v>0.95102100000000001</v>
      </c>
      <c r="AB3248">
        <v>28</v>
      </c>
      <c r="AC3248">
        <v>-15.510400000000001</v>
      </c>
      <c r="AD3248">
        <v>-1.10773663854999</v>
      </c>
      <c r="AE3248">
        <v>-34.479500000000002</v>
      </c>
      <c r="AF3248">
        <v>11.674359331821201</v>
      </c>
      <c r="AG3248">
        <v>-1.10773663854999</v>
      </c>
      <c r="AH3248">
        <v>35.925850835317497</v>
      </c>
      <c r="AI3248">
        <v>91.679690260862699</v>
      </c>
      <c r="AJ3248">
        <v>71.998062989235507</v>
      </c>
      <c r="AK3248">
        <v>37.791328430082302</v>
      </c>
      <c r="AL3248">
        <v>81.321487434287505</v>
      </c>
      <c r="AM3248">
        <v>74.671675098296404</v>
      </c>
      <c r="AN3248">
        <v>1.0000000116651699</v>
      </c>
    </row>
    <row r="3249" spans="1:40" x14ac:dyDescent="0.25">
      <c r="A3249" t="str">
        <f>"20190312164535863"</f>
        <v>20190312164535863</v>
      </c>
      <c r="B3249" t="str">
        <f>"1552380335854583"</f>
        <v>1552380335854583</v>
      </c>
      <c r="C3249" t="s">
        <v>40</v>
      </c>
      <c r="D3249">
        <v>5.0203959999999999</v>
      </c>
      <c r="E3249">
        <v>0.52639060000000004</v>
      </c>
      <c r="F3249" t="s">
        <v>71</v>
      </c>
      <c r="G3249">
        <v>-203.52119999999999</v>
      </c>
      <c r="H3249" s="1">
        <v>-8.9744770000000006E-6</v>
      </c>
      <c r="I3249">
        <v>142.75839999999999</v>
      </c>
      <c r="J3249">
        <v>-190.28469999999999</v>
      </c>
      <c r="K3249">
        <v>1.1077300000000001</v>
      </c>
      <c r="L3249">
        <v>172.05599999999899</v>
      </c>
      <c r="M3249">
        <v>-0.10932600000000001</v>
      </c>
      <c r="N3249">
        <v>0</v>
      </c>
      <c r="O3249">
        <v>-0.99391450000000003</v>
      </c>
      <c r="P3249">
        <v>-0.36570259999999999</v>
      </c>
      <c r="Q3249">
        <v>0.1393045</v>
      </c>
      <c r="R3249">
        <v>-0.92024819999999996</v>
      </c>
      <c r="S3249">
        <v>-1.25061</v>
      </c>
      <c r="T3249">
        <v>-0.10451770000000001</v>
      </c>
      <c r="U3249">
        <v>-2.7790680000000001</v>
      </c>
      <c r="V3249">
        <v>0.26341120000000001</v>
      </c>
      <c r="W3249">
        <v>0.1512917</v>
      </c>
      <c r="X3249">
        <v>0.95274619999999999</v>
      </c>
      <c r="Y3249">
        <v>0.30796059999999997</v>
      </c>
      <c r="Z3249">
        <v>3.466234E-2</v>
      </c>
      <c r="AA3249">
        <v>0.95076749999999999</v>
      </c>
      <c r="AB3249">
        <v>28</v>
      </c>
      <c r="AC3249">
        <v>-13.236499999999999</v>
      </c>
      <c r="AD3249">
        <v>-1.1077389744770001</v>
      </c>
      <c r="AE3249">
        <v>-29.2975999999999</v>
      </c>
      <c r="AF3249">
        <v>9.9420609758209402</v>
      </c>
      <c r="AG3249">
        <v>-1.1077389744770001</v>
      </c>
      <c r="AH3249">
        <v>30.5329316304503</v>
      </c>
      <c r="AI3249">
        <v>91.975770687948895</v>
      </c>
      <c r="AJ3249">
        <v>71.963837100492796</v>
      </c>
      <c r="AK3249">
        <v>32.129917149477201</v>
      </c>
      <c r="AL3249">
        <v>81.298209948040295</v>
      </c>
      <c r="AM3249">
        <v>74.5451701672241</v>
      </c>
      <c r="AN3249">
        <v>0.99999998019438396</v>
      </c>
    </row>
    <row r="3250" spans="1:40" x14ac:dyDescent="0.25">
      <c r="A3250" t="str">
        <f>"20190312164535876"</f>
        <v>20190312164535876</v>
      </c>
      <c r="B3250" t="str">
        <f>"1552380335865320"</f>
        <v>1552380335865320</v>
      </c>
      <c r="C3250" t="s">
        <v>40</v>
      </c>
      <c r="D3250">
        <v>5.4752320000000001</v>
      </c>
      <c r="E3250">
        <v>0.52623199999999903</v>
      </c>
      <c r="F3250" t="s">
        <v>71</v>
      </c>
      <c r="G3250">
        <v>-204.1765</v>
      </c>
      <c r="H3250" s="1">
        <v>-8.3825369999999993E-6</v>
      </c>
      <c r="I3250">
        <v>141.45050000000001</v>
      </c>
      <c r="J3250">
        <v>-190.30189999999999</v>
      </c>
      <c r="K3250">
        <v>1.107734</v>
      </c>
      <c r="L3250">
        <v>171.90899999999999</v>
      </c>
      <c r="M3250">
        <v>-0.1102818</v>
      </c>
      <c r="N3250">
        <v>0</v>
      </c>
      <c r="O3250">
        <v>-0.99380869999999999</v>
      </c>
      <c r="P3250">
        <v>-0.3686372</v>
      </c>
      <c r="Q3250">
        <v>0.1397118</v>
      </c>
      <c r="R3250">
        <v>-0.91901449999999996</v>
      </c>
      <c r="S3250">
        <v>-1.2594299999999901</v>
      </c>
      <c r="T3250">
        <v>-0.1004279</v>
      </c>
      <c r="U3250">
        <v>-2.7747039999999998</v>
      </c>
      <c r="V3250">
        <v>0.26554699999999998</v>
      </c>
      <c r="W3250">
        <v>0.1516824</v>
      </c>
      <c r="X3250">
        <v>0.95209100000000002</v>
      </c>
      <c r="Y3250">
        <v>0.31013210000000002</v>
      </c>
      <c r="Z3250">
        <v>3.3316970000000001E-2</v>
      </c>
      <c r="AA3250">
        <v>0.95010950000000005</v>
      </c>
      <c r="AB3250">
        <v>28</v>
      </c>
      <c r="AC3250">
        <v>-13.874599999999999</v>
      </c>
      <c r="AD3250">
        <v>-1.1077423825370001</v>
      </c>
      <c r="AE3250">
        <v>-30.458500000000001</v>
      </c>
      <c r="AF3250">
        <v>10.4192170167453</v>
      </c>
      <c r="AG3250">
        <v>-1.1077423825370001</v>
      </c>
      <c r="AH3250">
        <v>31.768136621222499</v>
      </c>
      <c r="AI3250">
        <v>91.897690753335496</v>
      </c>
      <c r="AJ3250">
        <v>71.841701177477503</v>
      </c>
      <c r="AK3250">
        <v>33.451482490507999</v>
      </c>
      <c r="AL3250">
        <v>81.275563439519701</v>
      </c>
      <c r="AM3250">
        <v>74.415721139204294</v>
      </c>
      <c r="AN3250">
        <v>1.0000000159798701</v>
      </c>
    </row>
    <row r="3251" spans="1:40" x14ac:dyDescent="0.25">
      <c r="A3251" t="str">
        <f>"20190312164535887"</f>
        <v>20190312164535887</v>
      </c>
      <c r="B3251" t="str">
        <f>"1552380335884840"</f>
        <v>1552380335884840</v>
      </c>
      <c r="C3251" t="s">
        <v>40</v>
      </c>
      <c r="D3251">
        <v>5.0550930000000003</v>
      </c>
      <c r="E3251">
        <v>0.52557810000000005</v>
      </c>
      <c r="F3251" t="s">
        <v>71</v>
      </c>
      <c r="G3251">
        <v>-204.84</v>
      </c>
      <c r="H3251" s="1">
        <v>-7.780552E-6</v>
      </c>
      <c r="I3251">
        <v>140.11619999999999</v>
      </c>
      <c r="J3251">
        <v>-190.31979999999999</v>
      </c>
      <c r="K3251">
        <v>1.1077349999999999</v>
      </c>
      <c r="L3251">
        <v>171.7568</v>
      </c>
      <c r="M3251">
        <v>-0.1112731</v>
      </c>
      <c r="N3251">
        <v>0</v>
      </c>
      <c r="O3251">
        <v>-0.99369830000000003</v>
      </c>
      <c r="P3251">
        <v>-0.37144949999999999</v>
      </c>
      <c r="Q3251">
        <v>0.1398701</v>
      </c>
      <c r="R3251">
        <v>-0.91785749999999999</v>
      </c>
      <c r="S3251">
        <v>-1.267029</v>
      </c>
      <c r="T3251">
        <v>-9.6542600000000006E-2</v>
      </c>
      <c r="U3251">
        <v>-2.7708279999999998</v>
      </c>
      <c r="V3251">
        <v>0.26751950000000002</v>
      </c>
      <c r="W3251">
        <v>0.15182470000000001</v>
      </c>
      <c r="X3251">
        <v>0.95151589999999997</v>
      </c>
      <c r="Y3251">
        <v>0.31185810000000003</v>
      </c>
      <c r="Z3251">
        <v>3.203806E-2</v>
      </c>
      <c r="AA3251">
        <v>0.9495884</v>
      </c>
      <c r="AB3251">
        <v>28</v>
      </c>
      <c r="AC3251">
        <v>-14.520200000000001</v>
      </c>
      <c r="AD3251">
        <v>-1.1077427805519999</v>
      </c>
      <c r="AE3251">
        <v>-31.640599999999999</v>
      </c>
      <c r="AF3251">
        <v>10.8979091294506</v>
      </c>
      <c r="AG3251">
        <v>-1.1077427805519999</v>
      </c>
      <c r="AH3251">
        <v>33.026487658921802</v>
      </c>
      <c r="AI3251">
        <v>91.824355331377504</v>
      </c>
      <c r="AJ3251">
        <v>71.738411392424098</v>
      </c>
      <c r="AK3251">
        <v>34.795695201368503</v>
      </c>
      <c r="AL3251">
        <v>81.267314269431296</v>
      </c>
      <c r="AM3251">
        <v>74.296626984629697</v>
      </c>
      <c r="AN3251">
        <v>0.99999996518157397</v>
      </c>
    </row>
    <row r="3252" spans="1:40" x14ac:dyDescent="0.25">
      <c r="A3252" t="str">
        <f>"20190312164535907"</f>
        <v>20190312164535907</v>
      </c>
      <c r="B3252" t="str">
        <f>"1552380335894600"</f>
        <v>1552380335894600</v>
      </c>
      <c r="C3252" t="s">
        <v>40</v>
      </c>
      <c r="D3252">
        <v>5.0443889999999998</v>
      </c>
      <c r="E3252">
        <v>0.52512709999999996</v>
      </c>
      <c r="F3252" t="s">
        <v>71</v>
      </c>
      <c r="G3252">
        <v>-204.72579999999999</v>
      </c>
      <c r="H3252" s="1">
        <v>-7.8849169999999995E-6</v>
      </c>
      <c r="I3252">
        <v>140.34880000000001</v>
      </c>
      <c r="J3252">
        <v>-190.3475</v>
      </c>
      <c r="K3252">
        <v>1.107729</v>
      </c>
      <c r="L3252">
        <v>171.52510000000001</v>
      </c>
      <c r="M3252">
        <v>-0.1127838</v>
      </c>
      <c r="N3252">
        <v>0</v>
      </c>
      <c r="O3252">
        <v>-0.99352779999999996</v>
      </c>
      <c r="P3252">
        <v>-0.37656440000000002</v>
      </c>
      <c r="Q3252">
        <v>0.14036219999999999</v>
      </c>
      <c r="R3252">
        <v>-0.91569529999999999</v>
      </c>
      <c r="S3252">
        <v>-1.270203</v>
      </c>
      <c r="T3252">
        <v>-9.7671750000000002E-2</v>
      </c>
      <c r="U3252">
        <v>-2.7693020000000002</v>
      </c>
      <c r="V3252">
        <v>0.27139750000000001</v>
      </c>
      <c r="W3252">
        <v>0.15228659999999999</v>
      </c>
      <c r="X3252">
        <v>0.95034319999999906</v>
      </c>
      <c r="Y3252">
        <v>0.3115059</v>
      </c>
      <c r="Z3252">
        <v>3.2414690000000003E-2</v>
      </c>
      <c r="AA3252">
        <v>0.94969119999999996</v>
      </c>
      <c r="AB3252">
        <v>28</v>
      </c>
      <c r="AC3252">
        <v>-14.3782999999999</v>
      </c>
      <c r="AD3252">
        <v>-1.107736884917</v>
      </c>
      <c r="AE3252">
        <v>-31.176300000000001</v>
      </c>
      <c r="AF3252">
        <v>10.7588405764714</v>
      </c>
      <c r="AG3252">
        <v>-1.107736884917</v>
      </c>
      <c r="AH3252">
        <v>32.565230032317203</v>
      </c>
      <c r="AI3252">
        <v>91.849946028749201</v>
      </c>
      <c r="AJ3252">
        <v>71.717573419261299</v>
      </c>
      <c r="AK3252">
        <v>34.314340130823801</v>
      </c>
      <c r="AL3252">
        <v>81.240538339918203</v>
      </c>
      <c r="AM3252">
        <v>74.061801907830699</v>
      </c>
      <c r="AN3252">
        <v>1.00000000466602</v>
      </c>
    </row>
    <row r="3253" spans="1:40" x14ac:dyDescent="0.25">
      <c r="A3253" t="str">
        <f>"20190312164535929"</f>
        <v>20190312164535929</v>
      </c>
      <c r="B3253" t="str">
        <f>"1552380335924856"</f>
        <v>1552380335924856</v>
      </c>
      <c r="C3253" t="s">
        <v>40</v>
      </c>
      <c r="D3253">
        <v>5.0282629999999999</v>
      </c>
      <c r="E3253">
        <v>0.52407539999999997</v>
      </c>
      <c r="F3253" t="s">
        <v>71</v>
      </c>
      <c r="G3253">
        <v>-204.7903</v>
      </c>
      <c r="H3253" s="1">
        <v>-7.8732350000000002E-6</v>
      </c>
      <c r="I3253">
        <v>140.3965</v>
      </c>
      <c r="J3253">
        <v>-190.3809</v>
      </c>
      <c r="K3253">
        <v>1.107729</v>
      </c>
      <c r="L3253">
        <v>171.24870000000001</v>
      </c>
      <c r="M3253">
        <v>-0.1145888</v>
      </c>
      <c r="N3253">
        <v>0</v>
      </c>
      <c r="O3253">
        <v>-0.99332120000000002</v>
      </c>
      <c r="P3253">
        <v>-0.38191510000000001</v>
      </c>
      <c r="Q3253">
        <v>0.14076739999999999</v>
      </c>
      <c r="R3253">
        <v>-0.91341410000000001</v>
      </c>
      <c r="S3253">
        <v>-1.2823789999999999</v>
      </c>
      <c r="T3253">
        <v>-9.8355650000000003E-2</v>
      </c>
      <c r="U3253">
        <v>-2.7639010000000002</v>
      </c>
      <c r="V3253">
        <v>0.27524520000000002</v>
      </c>
      <c r="W3253">
        <v>0.15266080000000001</v>
      </c>
      <c r="X3253">
        <v>0.94917580000000001</v>
      </c>
      <c r="Y3253">
        <v>0.31392690000000001</v>
      </c>
      <c r="Z3253">
        <v>3.264682E-2</v>
      </c>
      <c r="AA3253">
        <v>0.94888570000000005</v>
      </c>
      <c r="AB3253">
        <v>28</v>
      </c>
      <c r="AC3253">
        <v>-14.4094</v>
      </c>
      <c r="AD3253">
        <v>-1.1077368732349999</v>
      </c>
      <c r="AE3253">
        <v>-30.8522</v>
      </c>
      <c r="AF3253">
        <v>10.767433883975601</v>
      </c>
      <c r="AG3253">
        <v>-1.1077368732349999</v>
      </c>
      <c r="AH3253">
        <v>32.266099069193601</v>
      </c>
      <c r="AI3253">
        <v>91.865227582339202</v>
      </c>
      <c r="AJ3253">
        <v>71.545767571614405</v>
      </c>
      <c r="AK3253">
        <v>34.033305196074103</v>
      </c>
      <c r="AL3253">
        <v>81.218844295844704</v>
      </c>
      <c r="AM3253">
        <v>73.828719744867897</v>
      </c>
      <c r="AN3253">
        <v>0.99999996964265903</v>
      </c>
    </row>
    <row r="3254" spans="1:40" x14ac:dyDescent="0.25">
      <c r="A3254" t="str">
        <f>"20190312164535952"</f>
        <v>20190312164535952</v>
      </c>
      <c r="B3254" t="str">
        <f>"1552380335945351"</f>
        <v>1552380335945351</v>
      </c>
      <c r="C3254" t="s">
        <v>40</v>
      </c>
      <c r="D3254">
        <v>5.027488</v>
      </c>
      <c r="E3254">
        <v>0.52360109999999904</v>
      </c>
      <c r="F3254" t="s">
        <v>71</v>
      </c>
      <c r="G3254">
        <v>-204.31530000000001</v>
      </c>
      <c r="H3254" s="1">
        <v>-8.3260929999999905E-6</v>
      </c>
      <c r="I3254">
        <v>141.43459999999999</v>
      </c>
      <c r="J3254">
        <v>-190.41540000000001</v>
      </c>
      <c r="K3254">
        <v>1.107739</v>
      </c>
      <c r="L3254">
        <v>170.96780000000001</v>
      </c>
      <c r="M3254">
        <v>-0.1164268</v>
      </c>
      <c r="N3254">
        <v>0</v>
      </c>
      <c r="O3254">
        <v>-0.99310770000000004</v>
      </c>
      <c r="P3254">
        <v>-0.38738440000000002</v>
      </c>
      <c r="Q3254">
        <v>0.1411925</v>
      </c>
      <c r="R3254">
        <v>-0.91104260000000004</v>
      </c>
      <c r="S3254">
        <v>-1.2902830000000001</v>
      </c>
      <c r="T3254">
        <v>-0.10257289999999999</v>
      </c>
      <c r="U3254">
        <v>-2.7606959999999998</v>
      </c>
      <c r="V3254">
        <v>0.27919389999999999</v>
      </c>
      <c r="W3254">
        <v>0.1530552</v>
      </c>
      <c r="X3254">
        <v>0.94795830000000003</v>
      </c>
      <c r="Y3254">
        <v>0.31480279999999999</v>
      </c>
      <c r="Z3254">
        <v>3.4044930000000001E-2</v>
      </c>
      <c r="AA3254">
        <v>0.94854640000000001</v>
      </c>
      <c r="AB3254">
        <v>28</v>
      </c>
      <c r="AC3254">
        <v>-13.899900000000001</v>
      </c>
      <c r="AD3254">
        <v>-1.107747326093</v>
      </c>
      <c r="AE3254">
        <v>-29.533200000000001</v>
      </c>
      <c r="AF3254">
        <v>10.3546585399286</v>
      </c>
      <c r="AG3254">
        <v>-1.107747326093</v>
      </c>
      <c r="AH3254">
        <v>30.915177404936099</v>
      </c>
      <c r="AI3254">
        <v>91.9459711022497</v>
      </c>
      <c r="AJ3254">
        <v>71.482359731716002</v>
      </c>
      <c r="AK3254">
        <v>32.621990307086598</v>
      </c>
      <c r="AL3254">
        <v>81.195978684790504</v>
      </c>
      <c r="AM3254">
        <v>73.589176357016299</v>
      </c>
      <c r="AN3254">
        <v>1.00000003329156</v>
      </c>
    </row>
    <row r="3255" spans="1:40" x14ac:dyDescent="0.25">
      <c r="A3255" t="str">
        <f>"20190312164535962"</f>
        <v>20190312164535962</v>
      </c>
      <c r="B3255" t="str">
        <f>"1552380335955111"</f>
        <v>1552380335955111</v>
      </c>
      <c r="C3255" t="s">
        <v>40</v>
      </c>
      <c r="D3255">
        <v>5.0548789999999997</v>
      </c>
      <c r="E3255">
        <v>0.52335589999999999</v>
      </c>
      <c r="F3255" t="s">
        <v>71</v>
      </c>
      <c r="G3255">
        <v>-204.25700000000001</v>
      </c>
      <c r="H3255" s="1">
        <v>-8.4193469999999994E-6</v>
      </c>
      <c r="I3255">
        <v>141.7047</v>
      </c>
      <c r="J3255">
        <v>-190.4342</v>
      </c>
      <c r="K3255">
        <v>1.107742</v>
      </c>
      <c r="L3255">
        <v>170.81620000000001</v>
      </c>
      <c r="M3255">
        <v>-0.11742039999999999</v>
      </c>
      <c r="N3255">
        <v>0</v>
      </c>
      <c r="O3255">
        <v>-0.99299059999999995</v>
      </c>
      <c r="P3255">
        <v>-0.39003500000000002</v>
      </c>
      <c r="Q3255">
        <v>0.1413404</v>
      </c>
      <c r="R3255">
        <v>-0.90988800000000003</v>
      </c>
      <c r="S3255">
        <v>-1.303131</v>
      </c>
      <c r="T3255">
        <v>-0.1042902</v>
      </c>
      <c r="U3255">
        <v>-2.75502</v>
      </c>
      <c r="V3255">
        <v>0.28101130000000002</v>
      </c>
      <c r="W3255">
        <v>0.15318899999999999</v>
      </c>
      <c r="X3255">
        <v>0.94739949999999995</v>
      </c>
      <c r="Y3255">
        <v>0.31821329999999998</v>
      </c>
      <c r="Z3255">
        <v>3.461943E-2</v>
      </c>
      <c r="AA3255">
        <v>0.94738690000000003</v>
      </c>
      <c r="AB3255">
        <v>28</v>
      </c>
      <c r="AC3255">
        <v>-13.822800000000001</v>
      </c>
      <c r="AD3255">
        <v>-1.107750419347</v>
      </c>
      <c r="AE3255">
        <v>-29.111499999999999</v>
      </c>
      <c r="AF3255">
        <v>10.296399380312</v>
      </c>
      <c r="AG3255">
        <v>-1.107750419347</v>
      </c>
      <c r="AH3255">
        <v>30.497270579365502</v>
      </c>
      <c r="AI3255">
        <v>91.971026616758394</v>
      </c>
      <c r="AJ3255">
        <v>71.344439340673304</v>
      </c>
      <c r="AK3255">
        <v>32.207552902719698</v>
      </c>
      <c r="AL3255">
        <v>81.188220876900104</v>
      </c>
      <c r="AM3255">
        <v>73.478942511884796</v>
      </c>
      <c r="AN3255">
        <v>1.00000001652446</v>
      </c>
    </row>
    <row r="3256" spans="1:40" x14ac:dyDescent="0.25">
      <c r="A3256" t="str">
        <f>"20190312164535974"</f>
        <v>20190312164535974</v>
      </c>
      <c r="B3256" t="str">
        <f>"1552380335964872"</f>
        <v>1552380335964872</v>
      </c>
      <c r="C3256" t="s">
        <v>40</v>
      </c>
      <c r="D3256">
        <v>5.0278660000000004</v>
      </c>
      <c r="E3256">
        <v>0.52298869999999997</v>
      </c>
      <c r="F3256" t="s">
        <v>71</v>
      </c>
      <c r="G3256">
        <v>-204.1413</v>
      </c>
      <c r="H3256" s="1">
        <v>-8.5408160000000001E-6</v>
      </c>
      <c r="I3256">
        <v>141.9999</v>
      </c>
      <c r="J3256">
        <v>-190.45179999999999</v>
      </c>
      <c r="K3256">
        <v>1.1077459999999999</v>
      </c>
      <c r="L3256">
        <v>170.6756</v>
      </c>
      <c r="M3256">
        <v>-0.1183413</v>
      </c>
      <c r="N3256">
        <v>0</v>
      </c>
      <c r="O3256">
        <v>-0.99288149999999997</v>
      </c>
      <c r="P3256">
        <v>-0.39252629999999999</v>
      </c>
      <c r="Q3256">
        <v>0.14137620000000001</v>
      </c>
      <c r="R3256">
        <v>-0.90881060000000002</v>
      </c>
      <c r="S3256">
        <v>-1.309204</v>
      </c>
      <c r="T3256">
        <v>-0.1058043</v>
      </c>
      <c r="U3256">
        <v>-2.752319</v>
      </c>
      <c r="V3256">
        <v>0.28273169999999997</v>
      </c>
      <c r="W3256">
        <v>0.15321170000000001</v>
      </c>
      <c r="X3256">
        <v>0.94688380000000005</v>
      </c>
      <c r="Y3256">
        <v>0.3193917</v>
      </c>
      <c r="Z3256">
        <v>3.5123620000000001E-2</v>
      </c>
      <c r="AA3256">
        <v>0.94697160000000002</v>
      </c>
      <c r="AB3256">
        <v>28</v>
      </c>
      <c r="AC3256">
        <v>-13.689500000000001</v>
      </c>
      <c r="AD3256">
        <v>-1.1077545408160001</v>
      </c>
      <c r="AE3256">
        <v>-28.675699999999999</v>
      </c>
      <c r="AF3256">
        <v>10.1870774579314</v>
      </c>
      <c r="AG3256">
        <v>-1.1077545408160001</v>
      </c>
      <c r="AH3256">
        <v>30.057808639397599</v>
      </c>
      <c r="AI3256">
        <v>91.999040552227697</v>
      </c>
      <c r="AJ3256">
        <v>71.277649137448805</v>
      </c>
      <c r="AK3256">
        <v>31.7565037033241</v>
      </c>
      <c r="AL3256">
        <v>81.186904445293607</v>
      </c>
      <c r="AM3256">
        <v>73.374808491195793</v>
      </c>
      <c r="AN3256">
        <v>0.99999998495210896</v>
      </c>
    </row>
    <row r="3257" spans="1:40" x14ac:dyDescent="0.25">
      <c r="A3257" t="str">
        <f>"20190312164535996"</f>
        <v>20190312164535996</v>
      </c>
      <c r="B3257" t="str">
        <f>"1552380335984392"</f>
        <v>1552380335984392</v>
      </c>
      <c r="C3257" t="s">
        <v>40</v>
      </c>
      <c r="D3257">
        <v>5.1095319999999997</v>
      </c>
      <c r="E3257">
        <v>0.52266509999999999</v>
      </c>
      <c r="F3257" t="s">
        <v>71</v>
      </c>
      <c r="G3257">
        <v>-204.0128</v>
      </c>
      <c r="H3257" s="1">
        <v>-8.6662390000000002E-6</v>
      </c>
      <c r="I3257">
        <v>142.29179999999999</v>
      </c>
      <c r="J3257">
        <v>-190.4846</v>
      </c>
      <c r="K3257">
        <v>1.107748</v>
      </c>
      <c r="L3257">
        <v>170.41730000000001</v>
      </c>
      <c r="M3257">
        <v>-0.1200358</v>
      </c>
      <c r="N3257">
        <v>0</v>
      </c>
      <c r="O3257">
        <v>-0.9926779</v>
      </c>
      <c r="P3257">
        <v>-0.39723269999999999</v>
      </c>
      <c r="Q3257">
        <v>0.14139740000000001</v>
      </c>
      <c r="R3257">
        <v>-0.90675969999999995</v>
      </c>
      <c r="S3257">
        <v>-1.3139799999999999</v>
      </c>
      <c r="T3257">
        <v>-0.107335</v>
      </c>
      <c r="U3257">
        <v>-2.750229</v>
      </c>
      <c r="V3257">
        <v>0.2860298</v>
      </c>
      <c r="W3257">
        <v>0.15320790000000001</v>
      </c>
      <c r="X3257">
        <v>0.94589330000000005</v>
      </c>
      <c r="Y3257">
        <v>0.31938559999999999</v>
      </c>
      <c r="Z3257">
        <v>3.5631790000000003E-2</v>
      </c>
      <c r="AA3257">
        <v>0.94695469999999904</v>
      </c>
      <c r="AB3257">
        <v>28</v>
      </c>
      <c r="AC3257">
        <v>-13.528199999999901</v>
      </c>
      <c r="AD3257">
        <v>-1.1077566662389999</v>
      </c>
      <c r="AE3257">
        <v>-28.125499999999999</v>
      </c>
      <c r="AF3257">
        <v>10.0413430182913</v>
      </c>
      <c r="AG3257">
        <v>-1.1077566662389999</v>
      </c>
      <c r="AH3257">
        <v>29.508943665740802</v>
      </c>
      <c r="AI3257">
        <v>92.035350001493299</v>
      </c>
      <c r="AJ3257">
        <v>71.207518537763903</v>
      </c>
      <c r="AK3257">
        <v>31.1902781441662</v>
      </c>
      <c r="AL3257">
        <v>81.187124202822204</v>
      </c>
      <c r="AM3257">
        <v>73.1751459200444</v>
      </c>
      <c r="AN3257">
        <v>0.999999921047666</v>
      </c>
    </row>
    <row r="3258" spans="1:40" x14ac:dyDescent="0.25">
      <c r="A3258" t="str">
        <f>"20190312164536007"</f>
        <v>20190312164536007</v>
      </c>
      <c r="B3258" t="str">
        <f>"1552380336004888"</f>
        <v>1552380336004888</v>
      </c>
      <c r="C3258" t="s">
        <v>40</v>
      </c>
      <c r="D3258">
        <v>5.0879000000000003</v>
      </c>
      <c r="E3258">
        <v>0.52227760000000001</v>
      </c>
      <c r="F3258" t="s">
        <v>71</v>
      </c>
      <c r="G3258">
        <v>-204.63900000000001</v>
      </c>
      <c r="H3258" s="1">
        <v>-8.125523E-6</v>
      </c>
      <c r="I3258">
        <v>141.13650000000001</v>
      </c>
      <c r="J3258">
        <v>-190.50409999999999</v>
      </c>
      <c r="K3258">
        <v>1.10775</v>
      </c>
      <c r="L3258">
        <v>170.26429999999999</v>
      </c>
      <c r="M3258">
        <v>-0.1210411</v>
      </c>
      <c r="N3258">
        <v>0</v>
      </c>
      <c r="O3258">
        <v>-0.99255590000000005</v>
      </c>
      <c r="P3258">
        <v>-0.39950350000000001</v>
      </c>
      <c r="Q3258">
        <v>0.1414472</v>
      </c>
      <c r="R3258">
        <v>-0.90575410000000001</v>
      </c>
      <c r="S3258">
        <v>-1.3262940000000001</v>
      </c>
      <c r="T3258">
        <v>-0.1037983</v>
      </c>
      <c r="U3258">
        <v>-2.743652</v>
      </c>
      <c r="V3258">
        <v>0.28744560000000002</v>
      </c>
      <c r="W3258">
        <v>0.15324599999999999</v>
      </c>
      <c r="X3258">
        <v>0.94545789999999996</v>
      </c>
      <c r="Y3258">
        <v>0.32277519999999998</v>
      </c>
      <c r="Z3258">
        <v>3.4474820000000003E-2</v>
      </c>
      <c r="AA3258">
        <v>0.94584760000000001</v>
      </c>
      <c r="AB3258">
        <v>28</v>
      </c>
      <c r="AC3258">
        <v>-14.1349</v>
      </c>
      <c r="AD3258">
        <v>-1.107758125523</v>
      </c>
      <c r="AE3258">
        <v>-29.127799999999901</v>
      </c>
      <c r="AF3258">
        <v>10.4926890690927</v>
      </c>
      <c r="AG3258">
        <v>-1.107758125523</v>
      </c>
      <c r="AH3258">
        <v>30.588848520355398</v>
      </c>
      <c r="AI3258">
        <v>91.961908897082907</v>
      </c>
      <c r="AJ3258">
        <v>71.066835109856598</v>
      </c>
      <c r="AK3258">
        <v>32.357399551981402</v>
      </c>
      <c r="AL3258">
        <v>81.184915626797505</v>
      </c>
      <c r="AM3258">
        <v>73.089263766208305</v>
      </c>
      <c r="AN3258">
        <v>0.99999997507388405</v>
      </c>
    </row>
    <row r="3259" spans="1:40" x14ac:dyDescent="0.25">
      <c r="A3259" t="str">
        <f>"20190312164536020"</f>
        <v>20190312164536020</v>
      </c>
      <c r="B3259" t="str">
        <f>"1552380336014648"</f>
        <v>1552380336014648</v>
      </c>
      <c r="C3259" t="s">
        <v>40</v>
      </c>
      <c r="D3259">
        <v>5.040915</v>
      </c>
      <c r="E3259">
        <v>0.5221112</v>
      </c>
      <c r="F3259" t="s">
        <v>71</v>
      </c>
      <c r="G3259">
        <v>-205.12809999999999</v>
      </c>
      <c r="H3259" s="1">
        <v>-7.6665229999999998E-6</v>
      </c>
      <c r="I3259">
        <v>140.13829999999999</v>
      </c>
      <c r="J3259">
        <v>-190.52369999999999</v>
      </c>
      <c r="K3259">
        <v>1.1077490000000001</v>
      </c>
      <c r="L3259">
        <v>170.1131</v>
      </c>
      <c r="M3259">
        <v>-0.1220406</v>
      </c>
      <c r="N3259">
        <v>0</v>
      </c>
      <c r="O3259">
        <v>-0.99243329999999996</v>
      </c>
      <c r="P3259">
        <v>-0.40202139999999997</v>
      </c>
      <c r="Q3259">
        <v>0.141615299999999</v>
      </c>
      <c r="R3259">
        <v>-0.90461259999999999</v>
      </c>
      <c r="S3259">
        <v>-1.3305659999999999</v>
      </c>
      <c r="T3259">
        <v>-0.1007898</v>
      </c>
      <c r="U3259">
        <v>-2.741028</v>
      </c>
      <c r="V3259">
        <v>0.28913109999999997</v>
      </c>
      <c r="W3259">
        <v>0.1533987</v>
      </c>
      <c r="X3259">
        <v>0.94491899999999995</v>
      </c>
      <c r="Y3259">
        <v>0.32338549999999999</v>
      </c>
      <c r="Z3259">
        <v>3.3484939999999998E-2</v>
      </c>
      <c r="AA3259">
        <v>0.94567469999999998</v>
      </c>
      <c r="AB3259">
        <v>28</v>
      </c>
      <c r="AC3259">
        <v>-14.604399999999901</v>
      </c>
      <c r="AD3259">
        <v>-1.1077566665230001</v>
      </c>
      <c r="AE3259">
        <v>-29.974799999999998</v>
      </c>
      <c r="AF3259">
        <v>10.824789912086301</v>
      </c>
      <c r="AG3259">
        <v>-1.1077566665230001</v>
      </c>
      <c r="AH3259">
        <v>31.498426396296999</v>
      </c>
      <c r="AI3259">
        <v>91.904921852316093</v>
      </c>
      <c r="AJ3259">
        <v>71.034137795671697</v>
      </c>
      <c r="AK3259">
        <v>33.3249766228871</v>
      </c>
      <c r="AL3259">
        <v>81.176061523028395</v>
      </c>
      <c r="AM3259">
        <v>72.986671833069906</v>
      </c>
      <c r="AN3259">
        <v>0.99999993535494702</v>
      </c>
    </row>
    <row r="3260" spans="1:40" x14ac:dyDescent="0.25">
      <c r="A3260" t="str">
        <f>"20190312164536033"</f>
        <v>20190312164536033</v>
      </c>
      <c r="B3260" t="str">
        <f>"1552380336024408"</f>
        <v>1552380336024408</v>
      </c>
      <c r="C3260" t="s">
        <v>40</v>
      </c>
      <c r="D3260">
        <v>5.0358589999999896</v>
      </c>
      <c r="E3260">
        <v>0.52195570000000002</v>
      </c>
      <c r="F3260" t="s">
        <v>71</v>
      </c>
      <c r="G3260">
        <v>-205.3546</v>
      </c>
      <c r="H3260" s="1">
        <v>-7.4621500000000002E-6</v>
      </c>
      <c r="I3260">
        <v>139.74459999999999</v>
      </c>
      <c r="J3260">
        <v>-190.54419999999999</v>
      </c>
      <c r="K3260">
        <v>1.1077459999999999</v>
      </c>
      <c r="L3260">
        <v>169.9554</v>
      </c>
      <c r="M3260">
        <v>-0.123087</v>
      </c>
      <c r="N3260">
        <v>0</v>
      </c>
      <c r="O3260">
        <v>-0.99230410000000002</v>
      </c>
      <c r="P3260">
        <v>-0.40437529999999999</v>
      </c>
      <c r="Q3260">
        <v>0.14212439999999901</v>
      </c>
      <c r="R3260">
        <v>-0.90348289999999998</v>
      </c>
      <c r="S3260">
        <v>-1.3370359999999999</v>
      </c>
      <c r="T3260">
        <v>-9.9866510000000006E-2</v>
      </c>
      <c r="U3260">
        <v>-2.737778</v>
      </c>
      <c r="V3260">
        <v>0.2906107</v>
      </c>
      <c r="W3260">
        <v>0.15389249999999999</v>
      </c>
      <c r="X3260">
        <v>0.94438480000000002</v>
      </c>
      <c r="Y3260">
        <v>0.32463890000000001</v>
      </c>
      <c r="Z3260">
        <v>3.3183730000000002E-2</v>
      </c>
      <c r="AA3260">
        <v>0.94525579999999998</v>
      </c>
      <c r="AB3260">
        <v>28</v>
      </c>
      <c r="AC3260">
        <v>-14.8104</v>
      </c>
      <c r="AD3260">
        <v>-1.10775346214999</v>
      </c>
      <c r="AE3260">
        <v>-30.210799999999999</v>
      </c>
      <c r="AF3260">
        <v>10.9669758572487</v>
      </c>
      <c r="AG3260">
        <v>-1.10775346214999</v>
      </c>
      <c r="AH3260">
        <v>31.7697273306227</v>
      </c>
      <c r="AI3260">
        <v>91.887765798319506</v>
      </c>
      <c r="AJ3260">
        <v>70.955219645385895</v>
      </c>
      <c r="AK3260">
        <v>33.627626318973199</v>
      </c>
      <c r="AL3260">
        <v>81.147430042769898</v>
      </c>
      <c r="AM3260">
        <v>72.895566155346003</v>
      </c>
      <c r="AN3260">
        <v>1.0000000654908801</v>
      </c>
    </row>
    <row r="3261" spans="1:40" x14ac:dyDescent="0.25">
      <c r="A3261" t="str">
        <f>"20190312164536043"</f>
        <v>20190312164536043</v>
      </c>
      <c r="B3261" t="str">
        <f>"1552380336035144"</f>
        <v>1552380336035144</v>
      </c>
      <c r="C3261" t="s">
        <v>40</v>
      </c>
      <c r="D3261">
        <v>5.0566019999999998</v>
      </c>
      <c r="E3261">
        <v>0.52182580000000001</v>
      </c>
      <c r="F3261" t="s">
        <v>71</v>
      </c>
      <c r="G3261">
        <v>-205.7586</v>
      </c>
      <c r="H3261" s="1">
        <v>-7.0448160000000003E-6</v>
      </c>
      <c r="I3261">
        <v>138.9776</v>
      </c>
      <c r="J3261">
        <v>-190.56299999999999</v>
      </c>
      <c r="K3261">
        <v>1.1077429999999999</v>
      </c>
      <c r="L3261">
        <v>169.81190000000001</v>
      </c>
      <c r="M3261">
        <v>-0.12404800000000001</v>
      </c>
      <c r="N3261">
        <v>0</v>
      </c>
      <c r="O3261">
        <v>-0.99218459999999997</v>
      </c>
      <c r="P3261">
        <v>-0.40681499999999998</v>
      </c>
      <c r="Q3261">
        <v>0.14237710000000001</v>
      </c>
      <c r="R3261">
        <v>-0.90234740000000002</v>
      </c>
      <c r="S3261">
        <v>-1.343124</v>
      </c>
      <c r="T3261">
        <v>-9.7792149999999994E-2</v>
      </c>
      <c r="U3261">
        <v>-2.7347109999999999</v>
      </c>
      <c r="V3261">
        <v>0.29225889999999999</v>
      </c>
      <c r="W3261">
        <v>0.1541266</v>
      </c>
      <c r="X3261">
        <v>0.94383779999999995</v>
      </c>
      <c r="Y3261">
        <v>0.32584750000000001</v>
      </c>
      <c r="Z3261">
        <v>3.2499899999999998E-2</v>
      </c>
      <c r="AA3261">
        <v>0.94486360000000003</v>
      </c>
      <c r="AB3261">
        <v>28</v>
      </c>
      <c r="AC3261">
        <v>-15.195600000000001</v>
      </c>
      <c r="AD3261">
        <v>-1.10775004481599</v>
      </c>
      <c r="AE3261">
        <v>-30.834299999999999</v>
      </c>
      <c r="AF3261">
        <v>11.2412564480607</v>
      </c>
      <c r="AG3261">
        <v>-1.10775004481599</v>
      </c>
      <c r="AH3261">
        <v>32.4475587160779</v>
      </c>
      <c r="AI3261">
        <v>91.847643891649895</v>
      </c>
      <c r="AJ3261">
        <v>70.891672396849302</v>
      </c>
      <c r="AK3261">
        <v>34.357488606214801</v>
      </c>
      <c r="AL3261">
        <v>81.133854854764905</v>
      </c>
      <c r="AM3261">
        <v>72.794887259340797</v>
      </c>
      <c r="AN3261">
        <v>1.0000000330828001</v>
      </c>
    </row>
    <row r="3262" spans="1:40" x14ac:dyDescent="0.25">
      <c r="A3262" t="str">
        <f>"20190312164536055"</f>
        <v>20190312164536055</v>
      </c>
      <c r="B3262" t="str">
        <f>"1552380336044905"</f>
        <v>1552380336044905</v>
      </c>
      <c r="C3262" t="s">
        <v>40</v>
      </c>
      <c r="D3262">
        <v>4.4858779999999996</v>
      </c>
      <c r="E3262">
        <v>0.52171210000000001</v>
      </c>
      <c r="F3262" t="s">
        <v>71</v>
      </c>
      <c r="G3262">
        <v>-205.99350000000001</v>
      </c>
      <c r="H3262" s="1">
        <v>-6.8137329999999999E-6</v>
      </c>
      <c r="I3262">
        <v>138.58090000000001</v>
      </c>
      <c r="J3262">
        <v>-190.58090000000001</v>
      </c>
      <c r="K3262">
        <v>1.1077379999999999</v>
      </c>
      <c r="L3262">
        <v>169.67689999999999</v>
      </c>
      <c r="M3262">
        <v>-0.12496019999999899</v>
      </c>
      <c r="N3262">
        <v>0</v>
      </c>
      <c r="O3262">
        <v>-0.99207000000000001</v>
      </c>
      <c r="P3262">
        <v>-0.40885070000000001</v>
      </c>
      <c r="Q3262">
        <v>0.14280229999999999</v>
      </c>
      <c r="R3262">
        <v>-0.90135960000000004</v>
      </c>
      <c r="S3262">
        <v>-1.3495790000000001</v>
      </c>
      <c r="T3262">
        <v>-9.6885799999999994E-2</v>
      </c>
      <c r="U3262">
        <v>-2.731522</v>
      </c>
      <c r="V3262">
        <v>0.29353699999999999</v>
      </c>
      <c r="W3262">
        <v>0.15453510000000001</v>
      </c>
      <c r="X3262">
        <v>0.94337420000000005</v>
      </c>
      <c r="Y3262">
        <v>0.32721489999999998</v>
      </c>
      <c r="Z3262">
        <v>3.2203259999999997E-2</v>
      </c>
      <c r="AA3262">
        <v>0.94440109999999999</v>
      </c>
      <c r="AB3262">
        <v>28</v>
      </c>
      <c r="AC3262">
        <v>-15.4125999999999</v>
      </c>
      <c r="AD3262">
        <v>-1.1077448137329999</v>
      </c>
      <c r="AE3262">
        <v>-31.095999999999901</v>
      </c>
      <c r="AF3262">
        <v>11.3940462989467</v>
      </c>
      <c r="AG3262">
        <v>-1.1077448137329999</v>
      </c>
      <c r="AH3262">
        <v>32.744995217574399</v>
      </c>
      <c r="AI3262">
        <v>91.830002782483703</v>
      </c>
      <c r="AJ3262">
        <v>70.813995096766007</v>
      </c>
      <c r="AK3262">
        <v>34.6884145131176</v>
      </c>
      <c r="AL3262">
        <v>81.110165188958106</v>
      </c>
      <c r="AM3262">
        <v>72.716131355116801</v>
      </c>
      <c r="AN3262">
        <v>0.999999974363324</v>
      </c>
    </row>
    <row r="3263" spans="1:40" x14ac:dyDescent="0.25">
      <c r="A3263" t="str">
        <f>"20190312164536074"</f>
        <v>20190312164536074</v>
      </c>
      <c r="B3263" t="str">
        <f>"1552380336064427"</f>
        <v>1552380336064427</v>
      </c>
      <c r="C3263" t="s">
        <v>40</v>
      </c>
      <c r="D3263">
        <v>5.2121639999999996</v>
      </c>
      <c r="E3263">
        <v>0.52151610000000004</v>
      </c>
      <c r="F3263" t="s">
        <v>71</v>
      </c>
      <c r="G3263">
        <v>-206.34270000000001</v>
      </c>
      <c r="H3263" s="1">
        <v>-6.4517200000000001E-6</v>
      </c>
      <c r="I3263">
        <v>137.9333</v>
      </c>
      <c r="J3263">
        <v>-190.6123</v>
      </c>
      <c r="K3263">
        <v>1.107723</v>
      </c>
      <c r="L3263">
        <v>169.44139999999999</v>
      </c>
      <c r="M3263">
        <v>-0.1265732</v>
      </c>
      <c r="N3263">
        <v>0</v>
      </c>
      <c r="O3263">
        <v>-0.99186580000000002</v>
      </c>
      <c r="P3263">
        <v>-0.41315590000000002</v>
      </c>
      <c r="Q3263">
        <v>0.14406679999999999</v>
      </c>
      <c r="R3263">
        <v>-0.89919259999999901</v>
      </c>
      <c r="S3263">
        <v>-1.354935</v>
      </c>
      <c r="T3263">
        <v>-9.5224859999999995E-2</v>
      </c>
      <c r="U3263">
        <v>-2.7287750000000002</v>
      </c>
      <c r="V3263">
        <v>0.29655609999999999</v>
      </c>
      <c r="W3263">
        <v>0.15575849999999999</v>
      </c>
      <c r="X3263">
        <v>0.94222810000000001</v>
      </c>
      <c r="Y3263">
        <v>0.3275517</v>
      </c>
      <c r="Z3263">
        <v>3.16554E-2</v>
      </c>
      <c r="AA3263">
        <v>0.9443028</v>
      </c>
      <c r="AB3263">
        <v>28</v>
      </c>
      <c r="AC3263">
        <v>-15.730399999999999</v>
      </c>
      <c r="AD3263">
        <v>-1.10772945172</v>
      </c>
      <c r="AE3263">
        <v>-31.508099999999899</v>
      </c>
      <c r="AF3263">
        <v>11.6039376696716</v>
      </c>
      <c r="AG3263">
        <v>-1.10772945172</v>
      </c>
      <c r="AH3263">
        <v>33.213009328281601</v>
      </c>
      <c r="AI3263">
        <v>91.803414157441907</v>
      </c>
      <c r="AJ3263">
        <v>70.741642738216996</v>
      </c>
      <c r="AK3263">
        <v>35.199182129992003</v>
      </c>
      <c r="AL3263">
        <v>81.039210700345294</v>
      </c>
      <c r="AM3263">
        <v>72.529168597191401</v>
      </c>
      <c r="AN3263">
        <v>1.00000001159953</v>
      </c>
    </row>
    <row r="3264" spans="1:40" x14ac:dyDescent="0.25">
      <c r="A3264" t="str">
        <f>"20190312164536086"</f>
        <v>20190312164536086</v>
      </c>
      <c r="B3264" t="str">
        <f>"1552380336075160"</f>
        <v>1552380336075160</v>
      </c>
      <c r="C3264" t="s">
        <v>40</v>
      </c>
      <c r="D3264">
        <v>5.0868129999999896</v>
      </c>
      <c r="E3264">
        <v>0.5213856</v>
      </c>
      <c r="F3264" t="s">
        <v>71</v>
      </c>
      <c r="G3264">
        <v>-207.41200000000001</v>
      </c>
      <c r="H3264" s="1">
        <v>-5.3502659999999997E-6</v>
      </c>
      <c r="I3264">
        <v>135.97239999999999</v>
      </c>
      <c r="J3264">
        <v>-190.63229999999999</v>
      </c>
      <c r="K3264">
        <v>1.10771</v>
      </c>
      <c r="L3264">
        <v>169.29329999999999</v>
      </c>
      <c r="M3264">
        <v>-0.12760239999999901</v>
      </c>
      <c r="N3264">
        <v>0</v>
      </c>
      <c r="O3264">
        <v>-0.99173359999999999</v>
      </c>
      <c r="P3264">
        <v>-0.4153348</v>
      </c>
      <c r="Q3264">
        <v>0.1446067</v>
      </c>
      <c r="R3264">
        <v>-0.89810140000000005</v>
      </c>
      <c r="S3264">
        <v>-1.366714</v>
      </c>
      <c r="T3264">
        <v>-9.011769E-2</v>
      </c>
      <c r="U3264">
        <v>-2.7228240000000001</v>
      </c>
      <c r="V3264">
        <v>0.29788429999999999</v>
      </c>
      <c r="W3264">
        <v>0.1562752</v>
      </c>
      <c r="X3264">
        <v>0.94172339999999999</v>
      </c>
      <c r="Y3264">
        <v>0.33068360000000002</v>
      </c>
      <c r="Z3264">
        <v>2.9967420000000002E-2</v>
      </c>
      <c r="AA3264">
        <v>0.94326580000000004</v>
      </c>
      <c r="AB3264">
        <v>28</v>
      </c>
      <c r="AC3264">
        <v>-16.779699999999998</v>
      </c>
      <c r="AD3264">
        <v>-1.107715350266</v>
      </c>
      <c r="AE3264">
        <v>-33.320899999999902</v>
      </c>
      <c r="AF3264">
        <v>12.3793800874199</v>
      </c>
      <c r="AG3264">
        <v>-1.107715350266</v>
      </c>
      <c r="AH3264">
        <v>35.158794523822699</v>
      </c>
      <c r="AI3264">
        <v>91.702201389690998</v>
      </c>
      <c r="AJ3264">
        <v>70.602879343861701</v>
      </c>
      <c r="AK3264">
        <v>37.2909763483662</v>
      </c>
      <c r="AL3264">
        <v>81.009238646149498</v>
      </c>
      <c r="AM3264">
        <v>72.446886345349199</v>
      </c>
      <c r="AN3264">
        <v>0.99999997821454401</v>
      </c>
    </row>
    <row r="3265" spans="1:40" x14ac:dyDescent="0.25">
      <c r="A3265" t="str">
        <f>"20190312164536099"</f>
        <v>20190312164536099</v>
      </c>
      <c r="B3265" t="str">
        <f>"1552380336094680"</f>
        <v>1552380336094680</v>
      </c>
      <c r="C3265" t="s">
        <v>40</v>
      </c>
      <c r="D3265">
        <v>5.187335</v>
      </c>
      <c r="E3265">
        <v>0.52117479999999905</v>
      </c>
      <c r="F3265" t="s">
        <v>71</v>
      </c>
      <c r="G3265">
        <v>-207.8571</v>
      </c>
      <c r="H3265" s="1">
        <v>-4.8771950000000002E-6</v>
      </c>
      <c r="I3265">
        <v>135.16079999999999</v>
      </c>
      <c r="J3265">
        <v>-190.65360000000001</v>
      </c>
      <c r="K3265">
        <v>1.107693</v>
      </c>
      <c r="L3265">
        <v>169.13740000000001</v>
      </c>
      <c r="M3265">
        <v>-0.12870709999999999</v>
      </c>
      <c r="N3265">
        <v>0</v>
      </c>
      <c r="O3265">
        <v>-0.99159090000000005</v>
      </c>
      <c r="P3265">
        <v>-0.41769729999999999</v>
      </c>
      <c r="Q3265">
        <v>0.14511389999999999</v>
      </c>
      <c r="R3265">
        <v>-0.89692309999999997</v>
      </c>
      <c r="S3265">
        <v>-1.3725590000000001</v>
      </c>
      <c r="T3265">
        <v>-8.8268280000000005E-2</v>
      </c>
      <c r="U3265">
        <v>-2.719849</v>
      </c>
      <c r="V3265">
        <v>0.29933650000000001</v>
      </c>
      <c r="W3265">
        <v>0.15675559999999999</v>
      </c>
      <c r="X3265">
        <v>0.94118299999999999</v>
      </c>
      <c r="Y3265">
        <v>0.33167069999999998</v>
      </c>
      <c r="Z3265">
        <v>2.9356549999999999E-2</v>
      </c>
      <c r="AA3265">
        <v>0.94293839999999995</v>
      </c>
      <c r="AB3265">
        <v>28</v>
      </c>
      <c r="AC3265">
        <v>-17.203499999999899</v>
      </c>
      <c r="AD3265">
        <v>-1.1076978771949999</v>
      </c>
      <c r="AE3265">
        <v>-33.976599999999998</v>
      </c>
      <c r="AF3265">
        <v>12.6762348309017</v>
      </c>
      <c r="AG3265">
        <v>-1.1076978771949999</v>
      </c>
      <c r="AH3265">
        <v>35.878014879653499</v>
      </c>
      <c r="AI3265">
        <v>91.667436134049495</v>
      </c>
      <c r="AJ3265">
        <v>70.540929921365702</v>
      </c>
      <c r="AK3265">
        <v>38.067648676795699</v>
      </c>
      <c r="AL3265">
        <v>80.981370932760399</v>
      </c>
      <c r="AM3265">
        <v>72.357107677512701</v>
      </c>
      <c r="AN3265">
        <v>1.0000000489262999</v>
      </c>
    </row>
    <row r="3266" spans="1:40" x14ac:dyDescent="0.25">
      <c r="A3266" t="str">
        <f>"20190312164536112"</f>
        <v>20190312164536112</v>
      </c>
      <c r="B3266" t="str">
        <f>"1552380336105416"</f>
        <v>1552380336105416</v>
      </c>
      <c r="C3266" t="s">
        <v>40</v>
      </c>
      <c r="D3266">
        <v>5.1247400000000001</v>
      </c>
      <c r="E3266">
        <v>0.52108290000000002</v>
      </c>
      <c r="F3266" t="s">
        <v>71</v>
      </c>
      <c r="G3266">
        <v>-208.43389999999999</v>
      </c>
      <c r="H3266" s="1">
        <v>-4.1380839999999998E-6</v>
      </c>
      <c r="I3266">
        <v>134.09</v>
      </c>
      <c r="J3266">
        <v>-190.6755</v>
      </c>
      <c r="K3266">
        <v>1.107664</v>
      </c>
      <c r="L3266">
        <v>168.9776</v>
      </c>
      <c r="M3266">
        <v>-0.1298541</v>
      </c>
      <c r="N3266">
        <v>0</v>
      </c>
      <c r="O3266">
        <v>-0.99144140000000003</v>
      </c>
      <c r="P3266">
        <v>-0.41981039999999997</v>
      </c>
      <c r="Q3266">
        <v>0.14554549999999999</v>
      </c>
      <c r="R3266">
        <v>-0.89586599999999905</v>
      </c>
      <c r="S3266">
        <v>-1.3782810000000001</v>
      </c>
      <c r="T3266">
        <v>-8.5865739999999996E-2</v>
      </c>
      <c r="U3266">
        <v>-2.7167819999999998</v>
      </c>
      <c r="V3266">
        <v>0.30048730000000001</v>
      </c>
      <c r="W3266">
        <v>0.15716150000000001</v>
      </c>
      <c r="X3266">
        <v>0.94074849999999999</v>
      </c>
      <c r="Y3266">
        <v>0.33259850000000002</v>
      </c>
      <c r="Z3266">
        <v>2.856272E-2</v>
      </c>
      <c r="AA3266">
        <v>0.94263589999999997</v>
      </c>
      <c r="AB3266">
        <v>28</v>
      </c>
      <c r="AC3266">
        <v>-17.758399999999899</v>
      </c>
      <c r="AD3266">
        <v>-1.1076681380840001</v>
      </c>
      <c r="AE3266">
        <v>-34.8875999999999</v>
      </c>
      <c r="AF3266">
        <v>13.0668428960699</v>
      </c>
      <c r="AG3266">
        <v>-1.1076681380840001</v>
      </c>
      <c r="AH3266">
        <v>36.868850095272997</v>
      </c>
      <c r="AI3266">
        <v>91.622044640978999</v>
      </c>
      <c r="AJ3266">
        <v>70.484952107718897</v>
      </c>
      <c r="AK3266">
        <v>39.131591065562603</v>
      </c>
      <c r="AL3266">
        <v>80.957822687079201</v>
      </c>
      <c r="AM3266">
        <v>72.285842153525607</v>
      </c>
      <c r="AN3266">
        <v>1.0000000473978901</v>
      </c>
    </row>
    <row r="3267" spans="1:40" x14ac:dyDescent="0.25">
      <c r="A3267" t="str">
        <f>"20190312164536132"</f>
        <v>20190312164536132</v>
      </c>
      <c r="B3267" t="str">
        <f>"1552380336124936"</f>
        <v>1552380336124936</v>
      </c>
      <c r="C3267" t="s">
        <v>40</v>
      </c>
      <c r="D3267">
        <v>5.1651449999999999</v>
      </c>
      <c r="E3267">
        <v>0.5209414</v>
      </c>
      <c r="F3267" t="s">
        <v>71</v>
      </c>
      <c r="G3267">
        <v>-208.80250000000001</v>
      </c>
      <c r="H3267" s="1">
        <v>-3.6749269999999999E-6</v>
      </c>
      <c r="I3267">
        <v>133.4298</v>
      </c>
      <c r="J3267">
        <v>-190.70959999999999</v>
      </c>
      <c r="K3267">
        <v>1.1076269999999999</v>
      </c>
      <c r="L3267">
        <v>168.73269999999999</v>
      </c>
      <c r="M3267">
        <v>-0.1316592</v>
      </c>
      <c r="N3267">
        <v>0</v>
      </c>
      <c r="O3267">
        <v>-0.99120339999999996</v>
      </c>
      <c r="P3267">
        <v>-0.42388049999999999</v>
      </c>
      <c r="Q3267">
        <v>0.14619109999999999</v>
      </c>
      <c r="R3267">
        <v>-0.89384249999999899</v>
      </c>
      <c r="S3267">
        <v>-1.383926</v>
      </c>
      <c r="T3267">
        <v>-8.4566349999999998E-2</v>
      </c>
      <c r="U3267">
        <v>-2.713943</v>
      </c>
      <c r="V3267">
        <v>0.30308819999999997</v>
      </c>
      <c r="W3267">
        <v>0.15775620000000001</v>
      </c>
      <c r="X3267">
        <v>0.93981409999999999</v>
      </c>
      <c r="Y3267">
        <v>0.33284229999999998</v>
      </c>
      <c r="Z3267">
        <v>2.8132999999999998E-2</v>
      </c>
      <c r="AA3267">
        <v>0.94256280000000003</v>
      </c>
      <c r="AB3267">
        <v>28</v>
      </c>
      <c r="AC3267">
        <v>-18.0929</v>
      </c>
      <c r="AD3267">
        <v>-1.107630674927</v>
      </c>
      <c r="AE3267">
        <v>-35.302899999999902</v>
      </c>
      <c r="AF3267">
        <v>13.2766487084165</v>
      </c>
      <c r="AG3267">
        <v>-1.107630674927</v>
      </c>
      <c r="AH3267">
        <v>37.348728932938002</v>
      </c>
      <c r="AI3267">
        <v>91.600623886270995</v>
      </c>
      <c r="AJ3267">
        <v>70.430822912213202</v>
      </c>
      <c r="AK3267">
        <v>39.653799307819398</v>
      </c>
      <c r="AL3267">
        <v>80.923318116249106</v>
      </c>
      <c r="AM3267">
        <v>72.125590640946001</v>
      </c>
      <c r="AN3267">
        <v>1.0000000090882399</v>
      </c>
    </row>
    <row r="3268" spans="1:40" x14ac:dyDescent="0.25">
      <c r="A3268" t="str">
        <f>"20190312164536155"</f>
        <v>20190312164536155</v>
      </c>
      <c r="B3268" t="str">
        <f>"1552380336144455"</f>
        <v>1552380336144455</v>
      </c>
      <c r="C3268" t="s">
        <v>40</v>
      </c>
      <c r="D3268">
        <v>5.2394879999999997</v>
      </c>
      <c r="E3268">
        <v>0.52063820000000005</v>
      </c>
      <c r="F3268" t="s">
        <v>71</v>
      </c>
      <c r="G3268">
        <v>-209.21</v>
      </c>
      <c r="H3268" s="1">
        <v>-3.2077229999999998E-6</v>
      </c>
      <c r="I3268">
        <v>132.8168</v>
      </c>
      <c r="J3268">
        <v>-190.7483</v>
      </c>
      <c r="K3268">
        <v>1.107588</v>
      </c>
      <c r="L3268">
        <v>168.45949999999999</v>
      </c>
      <c r="M3268">
        <v>-0.13373860000000001</v>
      </c>
      <c r="N3268">
        <v>0</v>
      </c>
      <c r="O3268">
        <v>-0.99092469999999999</v>
      </c>
      <c r="P3268">
        <v>-0.42807790000000001</v>
      </c>
      <c r="Q3268">
        <v>0.14675839999999901</v>
      </c>
      <c r="R3268">
        <v>-0.89174580000000003</v>
      </c>
      <c r="S3268">
        <v>-1.3950959999999999</v>
      </c>
      <c r="T3268">
        <v>-8.3525059999999998E-2</v>
      </c>
      <c r="U3268">
        <v>-2.7083740000000001</v>
      </c>
      <c r="V3268">
        <v>0.30557109999999998</v>
      </c>
      <c r="W3268">
        <v>0.15826899999999999</v>
      </c>
      <c r="X3268">
        <v>0.93892350000000002</v>
      </c>
      <c r="Y3268">
        <v>0.33472879999999999</v>
      </c>
      <c r="Z3268">
        <v>2.77915E-2</v>
      </c>
      <c r="AA3268">
        <v>0.94190459999999998</v>
      </c>
      <c r="AB3268">
        <v>28</v>
      </c>
      <c r="AC3268">
        <v>-18.4617</v>
      </c>
      <c r="AD3268">
        <v>-1.1075912077229999</v>
      </c>
      <c r="AE3268">
        <v>-35.642699999999898</v>
      </c>
      <c r="AF3268">
        <v>13.5182899059307</v>
      </c>
      <c r="AG3268">
        <v>-1.1075912077229999</v>
      </c>
      <c r="AH3268">
        <v>37.762965334662603</v>
      </c>
      <c r="AI3268">
        <v>91.581767614894702</v>
      </c>
      <c r="AJ3268">
        <v>70.303778032187694</v>
      </c>
      <c r="AK3268">
        <v>40.124960699434297</v>
      </c>
      <c r="AL3268">
        <v>80.893563462662797</v>
      </c>
      <c r="AM3268">
        <v>71.972607243147394</v>
      </c>
      <c r="AN3268">
        <v>1.0000000561842199</v>
      </c>
    </row>
    <row r="3269" spans="1:40" x14ac:dyDescent="0.25">
      <c r="A3269" t="str">
        <f>"20190312164536174"</f>
        <v>20190312164536174</v>
      </c>
      <c r="B3269" t="str">
        <f>"1552380336164951"</f>
        <v>1552380336164951</v>
      </c>
      <c r="C3269" t="s">
        <v>40</v>
      </c>
      <c r="D3269">
        <v>4.9003500000000004</v>
      </c>
      <c r="E3269">
        <v>0.52038660000000003</v>
      </c>
      <c r="F3269" t="s">
        <v>71</v>
      </c>
      <c r="G3269">
        <v>-209.642</v>
      </c>
      <c r="H3269" s="1">
        <v>-2.68963E-6</v>
      </c>
      <c r="I3269">
        <v>132.10740000000001</v>
      </c>
      <c r="J3269">
        <v>-190.78380000000001</v>
      </c>
      <c r="K3269">
        <v>1.1075489999999999</v>
      </c>
      <c r="L3269">
        <v>168.21209999999999</v>
      </c>
      <c r="M3269">
        <v>-0.13567560000000001</v>
      </c>
      <c r="N3269">
        <v>0</v>
      </c>
      <c r="O3269">
        <v>-0.99066140000000003</v>
      </c>
      <c r="P3269">
        <v>-0.43215920000000002</v>
      </c>
      <c r="Q3269">
        <v>0.14758679999999999</v>
      </c>
      <c r="R3269">
        <v>-0.88963879999999995</v>
      </c>
      <c r="S3269">
        <v>-1.4049990000000001</v>
      </c>
      <c r="T3269">
        <v>-8.2364080000000006E-2</v>
      </c>
      <c r="U3269">
        <v>-2.7032620000000001</v>
      </c>
      <c r="V3269">
        <v>0.30807909999999999</v>
      </c>
      <c r="W3269">
        <v>0.15904489999999999</v>
      </c>
      <c r="X3269">
        <v>0.93797229999999998</v>
      </c>
      <c r="Y3269">
        <v>0.33633659999999999</v>
      </c>
      <c r="Z3269">
        <v>2.7410520000000001E-2</v>
      </c>
      <c r="AA3269">
        <v>0.94134280000000004</v>
      </c>
      <c r="AB3269">
        <v>28</v>
      </c>
      <c r="AC3269">
        <v>-18.858199999999901</v>
      </c>
      <c r="AD3269">
        <v>-1.1075516896299999</v>
      </c>
      <c r="AE3269">
        <v>-36.104699999999902</v>
      </c>
      <c r="AF3269">
        <v>13.774635390615501</v>
      </c>
      <c r="AG3269">
        <v>-1.1075516896299999</v>
      </c>
      <c r="AH3269">
        <v>38.301303708012497</v>
      </c>
      <c r="AI3269">
        <v>91.558667779263502</v>
      </c>
      <c r="AJ3269">
        <v>70.219445962487399</v>
      </c>
      <c r="AK3269">
        <v>40.718019556739399</v>
      </c>
      <c r="AL3269">
        <v>80.848537058915298</v>
      </c>
      <c r="AM3269">
        <v>71.817118269569306</v>
      </c>
      <c r="AN3269">
        <v>1.0000000238200499</v>
      </c>
    </row>
    <row r="3270" spans="1:40" x14ac:dyDescent="0.25">
      <c r="A3270" t="str">
        <f>"20190312164536187"</f>
        <v>20190312164536187</v>
      </c>
      <c r="B3270" t="str">
        <f>"1552380336184472"</f>
        <v>1552380336184472</v>
      </c>
      <c r="C3270" t="s">
        <v>40</v>
      </c>
      <c r="D3270">
        <v>5.0737860000000001</v>
      </c>
      <c r="E3270">
        <v>0.52010219999999996</v>
      </c>
      <c r="F3270" t="s">
        <v>42</v>
      </c>
      <c r="G3270">
        <v>-210.3528</v>
      </c>
      <c r="H3270" s="1">
        <v>-6.0850810000000001E-6</v>
      </c>
      <c r="I3270">
        <v>130.9102</v>
      </c>
      <c r="J3270">
        <v>-190.80779999999999</v>
      </c>
      <c r="K3270">
        <v>1.107524</v>
      </c>
      <c r="L3270">
        <v>168.0472</v>
      </c>
      <c r="M3270">
        <v>-0.13699140000000001</v>
      </c>
      <c r="N3270">
        <v>0</v>
      </c>
      <c r="O3270">
        <v>-0.99048020000000003</v>
      </c>
      <c r="P3270">
        <v>-0.4345386</v>
      </c>
      <c r="Q3270">
        <v>0.1478391</v>
      </c>
      <c r="R3270">
        <v>-0.88843689999999997</v>
      </c>
      <c r="S3270">
        <v>-1.415359</v>
      </c>
      <c r="T3270">
        <v>-8.0105780000000001E-2</v>
      </c>
      <c r="U3270">
        <v>-2.6979220000000002</v>
      </c>
      <c r="V3270">
        <v>0.309363</v>
      </c>
      <c r="W3270">
        <v>0.15926560000000001</v>
      </c>
      <c r="X3270">
        <v>0.93751220000000002</v>
      </c>
      <c r="Y3270">
        <v>0.33869559999999999</v>
      </c>
      <c r="Z3270">
        <v>2.666483E-2</v>
      </c>
      <c r="AA3270">
        <v>0.94051810000000002</v>
      </c>
      <c r="AB3270">
        <v>28</v>
      </c>
      <c r="AC3270">
        <v>-19.545000000000002</v>
      </c>
      <c r="AD3270">
        <v>-1.1075300850809999</v>
      </c>
      <c r="AE3270">
        <v>-37.137</v>
      </c>
      <c r="AF3270">
        <v>14.262853270227399</v>
      </c>
      <c r="AG3270">
        <v>-1.1075300850809999</v>
      </c>
      <c r="AH3270">
        <v>39.437090732023897</v>
      </c>
      <c r="AI3270">
        <v>91.512793772122706</v>
      </c>
      <c r="AJ3270">
        <v>70.116924386531394</v>
      </c>
      <c r="AK3270">
        <v>41.951635626078698</v>
      </c>
      <c r="AL3270">
        <v>80.835728963608204</v>
      </c>
      <c r="AM3270">
        <v>71.737993301750393</v>
      </c>
      <c r="AN3270">
        <v>1.0000000611305899</v>
      </c>
    </row>
    <row r="3271" spans="1:40" x14ac:dyDescent="0.25">
      <c r="A3271" t="str">
        <f>"20190312164536200"</f>
        <v>20190312164536200</v>
      </c>
      <c r="B3271" t="str">
        <f>"1552380336195208"</f>
        <v>1552380336195208</v>
      </c>
      <c r="C3271" t="s">
        <v>40</v>
      </c>
      <c r="D3271">
        <v>5.0423859999999996</v>
      </c>
      <c r="E3271">
        <v>0.51999189999999995</v>
      </c>
      <c r="F3271" t="s">
        <v>42</v>
      </c>
      <c r="G3271">
        <v>-210.52930000000001</v>
      </c>
      <c r="H3271" s="1">
        <v>-6.0534569999999996E-6</v>
      </c>
      <c r="I3271">
        <v>130.6182</v>
      </c>
      <c r="J3271">
        <v>-190.82919999999999</v>
      </c>
      <c r="K3271">
        <v>1.107502</v>
      </c>
      <c r="L3271">
        <v>167.9015</v>
      </c>
      <c r="M3271">
        <v>-0.13818369999999999</v>
      </c>
      <c r="N3271">
        <v>0</v>
      </c>
      <c r="O3271">
        <v>-0.99031469999999999</v>
      </c>
      <c r="P3271">
        <v>-0.43681629999999999</v>
      </c>
      <c r="Q3271">
        <v>0.14831510000000001</v>
      </c>
      <c r="R3271">
        <v>-0.88723969999999897</v>
      </c>
      <c r="S3271">
        <v>-1.420212</v>
      </c>
      <c r="T3271">
        <v>-7.9756859999999999E-2</v>
      </c>
      <c r="U3271">
        <v>-2.695389</v>
      </c>
      <c r="V3271">
        <v>0.31066369999999999</v>
      </c>
      <c r="W3271">
        <v>0.15971279999999999</v>
      </c>
      <c r="X3271">
        <v>0.9370058</v>
      </c>
      <c r="Y3271">
        <v>0.3392539</v>
      </c>
      <c r="Z3271">
        <v>2.6550830000000001E-2</v>
      </c>
      <c r="AA3271">
        <v>0.94032009999999999</v>
      </c>
      <c r="AB3271">
        <v>28</v>
      </c>
      <c r="AC3271">
        <v>-19.700099999999999</v>
      </c>
      <c r="AD3271">
        <v>-1.1075080534569901</v>
      </c>
      <c r="AE3271">
        <v>-37.283299999999997</v>
      </c>
      <c r="AF3271">
        <v>14.3487635160058</v>
      </c>
      <c r="AG3271">
        <v>-1.1075080534569901</v>
      </c>
      <c r="AH3271">
        <v>39.620711405199003</v>
      </c>
      <c r="AI3271">
        <v>91.505519044933706</v>
      </c>
      <c r="AJ3271">
        <v>70.091988657057499</v>
      </c>
      <c r="AK3271">
        <v>42.153462026040003</v>
      </c>
      <c r="AL3271">
        <v>80.809773412048003</v>
      </c>
      <c r="AM3271">
        <v>71.657091615922099</v>
      </c>
      <c r="AN3271">
        <v>0.99999999110758497</v>
      </c>
    </row>
    <row r="3272" spans="1:40" x14ac:dyDescent="0.25">
      <c r="A3272" t="str">
        <f>"20190312164536212"</f>
        <v>20190312164536212</v>
      </c>
      <c r="B3272" t="str">
        <f>"1552380336204968"</f>
        <v>1552380336204968</v>
      </c>
      <c r="C3272" t="s">
        <v>40</v>
      </c>
      <c r="D3272">
        <v>5.0298119999999997</v>
      </c>
      <c r="E3272">
        <v>0.51988789999999996</v>
      </c>
      <c r="F3272" t="s">
        <v>42</v>
      </c>
      <c r="G3272">
        <v>-210.93049999999999</v>
      </c>
      <c r="H3272" s="1">
        <v>-6.0402939999999998E-6</v>
      </c>
      <c r="I3272">
        <v>129.9451</v>
      </c>
      <c r="J3272">
        <v>-190.8518</v>
      </c>
      <c r="K3272">
        <v>1.1074790000000001</v>
      </c>
      <c r="L3272">
        <v>167.7492</v>
      </c>
      <c r="M3272">
        <v>-0.13944300000000001</v>
      </c>
      <c r="N3272">
        <v>0</v>
      </c>
      <c r="O3272">
        <v>-0.99013830000000003</v>
      </c>
      <c r="P3272">
        <v>-0.43923699999999999</v>
      </c>
      <c r="Q3272">
        <v>0.1485397</v>
      </c>
      <c r="R3272">
        <v>-0.88600639999999997</v>
      </c>
      <c r="S3272">
        <v>-1.4258729999999999</v>
      </c>
      <c r="T3272">
        <v>-7.8560350000000001E-2</v>
      </c>
      <c r="U3272">
        <v>-2.6924130000000002</v>
      </c>
      <c r="V3272">
        <v>0.31204860000000001</v>
      </c>
      <c r="W3272">
        <v>0.1599063</v>
      </c>
      <c r="X3272">
        <v>0.93651249999999997</v>
      </c>
      <c r="Y3272">
        <v>0.34003630000000001</v>
      </c>
      <c r="Z3272">
        <v>2.6155339999999999E-2</v>
      </c>
      <c r="AA3272">
        <v>0.94004849999999995</v>
      </c>
      <c r="AB3272">
        <v>28</v>
      </c>
      <c r="AC3272">
        <v>-20.078700000000001</v>
      </c>
      <c r="AD3272">
        <v>-1.107485040294</v>
      </c>
      <c r="AE3272">
        <v>-37.804099999999998</v>
      </c>
      <c r="AF3272">
        <v>14.6007273409703</v>
      </c>
      <c r="AG3272">
        <v>-1.107485040294</v>
      </c>
      <c r="AH3272">
        <v>40.207864233880301</v>
      </c>
      <c r="AI3272">
        <v>91.483048400615303</v>
      </c>
      <c r="AJ3272">
        <v>70.042464410978297</v>
      </c>
      <c r="AK3272">
        <v>42.791121839115</v>
      </c>
      <c r="AL3272">
        <v>80.798542492982506</v>
      </c>
      <c r="AM3272">
        <v>71.571781845903899</v>
      </c>
      <c r="AN3272">
        <v>1.00000000809895</v>
      </c>
    </row>
    <row r="3273" spans="1:40" x14ac:dyDescent="0.25">
      <c r="A3273" t="str">
        <f>"20190312164536224"</f>
        <v>20190312164536224</v>
      </c>
      <c r="B3273" t="str">
        <f>"1552380336214728"</f>
        <v>1552380336214728</v>
      </c>
      <c r="C3273" t="s">
        <v>40</v>
      </c>
      <c r="D3273">
        <v>5.0057169999999998</v>
      </c>
      <c r="E3273">
        <v>0.51988789999999996</v>
      </c>
      <c r="F3273" t="s">
        <v>42</v>
      </c>
      <c r="G3273">
        <v>-210.8767</v>
      </c>
      <c r="H3273" s="1">
        <v>-6.0053269999999996E-6</v>
      </c>
      <c r="I3273">
        <v>130.1542</v>
      </c>
      <c r="J3273">
        <v>-190.87430000000001</v>
      </c>
      <c r="K3273">
        <v>1.107456</v>
      </c>
      <c r="L3273">
        <v>167.59899999999999</v>
      </c>
      <c r="M3273">
        <v>-0.14070929999999901</v>
      </c>
      <c r="N3273">
        <v>0</v>
      </c>
      <c r="O3273">
        <v>-0.98995920000000004</v>
      </c>
      <c r="P3273">
        <v>-0.44157869999999999</v>
      </c>
      <c r="Q3273">
        <v>0.14874200000000001</v>
      </c>
      <c r="R3273">
        <v>-0.88480780000000003</v>
      </c>
      <c r="S3273">
        <v>-1.432388</v>
      </c>
      <c r="T3273">
        <v>-7.9218750000000004E-2</v>
      </c>
      <c r="U3273">
        <v>-2.6891780000000001</v>
      </c>
      <c r="V3273">
        <v>0.31334580000000001</v>
      </c>
      <c r="W3273">
        <v>0.16007759999999999</v>
      </c>
      <c r="X3273">
        <v>0.93605000000000005</v>
      </c>
      <c r="Y3273">
        <v>0.3410743</v>
      </c>
      <c r="Z3273">
        <v>2.6375869999999999E-2</v>
      </c>
      <c r="AA3273">
        <v>0.93966629999999995</v>
      </c>
      <c r="AB3273">
        <v>28</v>
      </c>
      <c r="AC3273">
        <v>-20.002399999999898</v>
      </c>
      <c r="AD3273">
        <v>-1.1074620053269999</v>
      </c>
      <c r="AE3273">
        <v>-37.444800000000001</v>
      </c>
      <c r="AF3273">
        <v>14.524164355138801</v>
      </c>
      <c r="AG3273">
        <v>-1.1074620053269999</v>
      </c>
      <c r="AH3273">
        <v>39.859845209328</v>
      </c>
      <c r="AI3273">
        <v>91.495359846763293</v>
      </c>
      <c r="AJ3273">
        <v>69.979228179399797</v>
      </c>
      <c r="AK3273">
        <v>42.4380145909292</v>
      </c>
      <c r="AL3273">
        <v>80.788599713731102</v>
      </c>
      <c r="AM3273">
        <v>71.491861564916206</v>
      </c>
      <c r="AN3273">
        <v>1.0000000154497</v>
      </c>
    </row>
    <row r="3274" spans="1:40" x14ac:dyDescent="0.25">
      <c r="A3274" t="str">
        <f>"20190312164536243"</f>
        <v>20190312164536243</v>
      </c>
      <c r="B3274" t="str">
        <f>"1552380336235226"</f>
        <v>1552380336235226</v>
      </c>
      <c r="C3274" t="s">
        <v>40</v>
      </c>
      <c r="D3274">
        <v>5.2414519999999998</v>
      </c>
      <c r="E3274">
        <v>0.51339869999999999</v>
      </c>
      <c r="F3274" t="s">
        <v>42</v>
      </c>
      <c r="G3274">
        <v>-211.15280000000001</v>
      </c>
      <c r="H3274" s="1">
        <v>-6.0040459999999996E-6</v>
      </c>
      <c r="I3274">
        <v>129.76050000000001</v>
      </c>
      <c r="J3274">
        <v>-190.90809999999999</v>
      </c>
      <c r="K3274">
        <v>1.1074120000000001</v>
      </c>
      <c r="L3274">
        <v>167.37569999999999</v>
      </c>
      <c r="M3274">
        <v>-0.14262900000000001</v>
      </c>
      <c r="N3274">
        <v>0</v>
      </c>
      <c r="O3274">
        <v>-0.98968429999999996</v>
      </c>
      <c r="P3274">
        <v>-0.44608510000000001</v>
      </c>
      <c r="Q3274">
        <v>0.14904039999999999</v>
      </c>
      <c r="R3274">
        <v>-0.88249379999999999</v>
      </c>
      <c r="S3274">
        <v>-1.4392400000000001</v>
      </c>
      <c r="T3274">
        <v>-7.8600530000000002E-2</v>
      </c>
      <c r="U3274">
        <v>-2.6855319999999998</v>
      </c>
      <c r="V3274">
        <v>0.31633230000000001</v>
      </c>
      <c r="W3274">
        <v>0.16031999999999999</v>
      </c>
      <c r="X3274">
        <v>0.93500340000000004</v>
      </c>
      <c r="Y3274">
        <v>0.34164729999999999</v>
      </c>
      <c r="Z3274">
        <v>2.6172839999999999E-2</v>
      </c>
      <c r="AA3274">
        <v>0.93946370000000001</v>
      </c>
      <c r="AB3274">
        <v>28</v>
      </c>
      <c r="AC3274">
        <v>-20.244700000000002</v>
      </c>
      <c r="AD3274">
        <v>-1.107418004046</v>
      </c>
      <c r="AE3274">
        <v>-37.615199999999902</v>
      </c>
      <c r="AF3274">
        <v>14.6623240623017</v>
      </c>
      <c r="AG3274">
        <v>-1.107418004046</v>
      </c>
      <c r="AH3274">
        <v>40.091359709968302</v>
      </c>
      <c r="AI3274">
        <v>91.486027256722807</v>
      </c>
      <c r="AJ3274">
        <v>69.911381981603796</v>
      </c>
      <c r="AK3274">
        <v>42.702777953403803</v>
      </c>
      <c r="AL3274">
        <v>80.774529280682003</v>
      </c>
      <c r="AM3274">
        <v>71.308186344347703</v>
      </c>
      <c r="AN3274">
        <v>0.99999999221742497</v>
      </c>
    </row>
    <row r="3275" spans="1:40" x14ac:dyDescent="0.25">
      <c r="A3275" t="str">
        <f>"20190312164536255"</f>
        <v>20190312164536255</v>
      </c>
      <c r="B3275" t="str">
        <f>"1552380336244984"</f>
        <v>1552380336244984</v>
      </c>
      <c r="C3275" t="s">
        <v>40</v>
      </c>
      <c r="D3275">
        <v>5.1357530000000002</v>
      </c>
      <c r="E3275">
        <v>0.51476619999999995</v>
      </c>
      <c r="F3275" t="s">
        <v>71</v>
      </c>
      <c r="G3275">
        <v>-206.2972</v>
      </c>
      <c r="H3275" s="1">
        <v>-6.4039629999999996E-6</v>
      </c>
      <c r="I3275">
        <v>137.7209</v>
      </c>
      <c r="J3275">
        <v>-190.93129999999999</v>
      </c>
      <c r="K3275">
        <v>1.1073850000000001</v>
      </c>
      <c r="L3275">
        <v>167.22460000000001</v>
      </c>
      <c r="M3275">
        <v>-0.1439511</v>
      </c>
      <c r="N3275">
        <v>0</v>
      </c>
      <c r="O3275">
        <v>-0.98949279999999995</v>
      </c>
      <c r="P3275">
        <v>-0.44873259999999998</v>
      </c>
      <c r="Q3275">
        <v>0.14955170000000001</v>
      </c>
      <c r="R3275">
        <v>-0.88106399999999996</v>
      </c>
      <c r="S3275">
        <v>-1.404541</v>
      </c>
      <c r="T3275">
        <v>-0.1010728</v>
      </c>
      <c r="U3275">
        <v>-2.7065579999999998</v>
      </c>
      <c r="V3275">
        <v>0.31791819999999998</v>
      </c>
      <c r="W3275">
        <v>0.16079679999999999</v>
      </c>
      <c r="X3275">
        <v>0.93438350000000003</v>
      </c>
      <c r="Y3275">
        <v>0.32777040000000002</v>
      </c>
      <c r="Z3275">
        <v>3.3587270000000002E-2</v>
      </c>
      <c r="AA3275">
        <v>0.94416020000000001</v>
      </c>
      <c r="AB3275">
        <v>28</v>
      </c>
      <c r="AC3275">
        <v>-15.3659</v>
      </c>
      <c r="AD3275">
        <v>-1.107391403963</v>
      </c>
      <c r="AE3275">
        <v>-29.503699999999998</v>
      </c>
      <c r="AF3275">
        <v>10.9462243861602</v>
      </c>
      <c r="AG3275">
        <v>-1.107391403963</v>
      </c>
      <c r="AH3275">
        <v>31.373727986222999</v>
      </c>
      <c r="AI3275">
        <v>91.908766669500494</v>
      </c>
      <c r="AJ3275">
        <v>70.766233176188706</v>
      </c>
      <c r="AK3275">
        <v>33.246908905750203</v>
      </c>
      <c r="AL3275">
        <v>80.746852194071295</v>
      </c>
      <c r="AM3275">
        <v>71.209446052636494</v>
      </c>
      <c r="AN3275">
        <v>1.0000000589268601</v>
      </c>
    </row>
    <row r="3276" spans="1:40" x14ac:dyDescent="0.25">
      <c r="A3276" t="str">
        <f>"20190312164536274"</f>
        <v>20190312164536274</v>
      </c>
      <c r="B3276" t="str">
        <f>"1552380336264507"</f>
        <v>1552380336264507</v>
      </c>
      <c r="C3276" t="s">
        <v>40</v>
      </c>
      <c r="D3276">
        <v>4.8952799999999996</v>
      </c>
      <c r="E3276">
        <v>0.51452900000000001</v>
      </c>
      <c r="F3276" t="s">
        <v>71</v>
      </c>
      <c r="G3276">
        <v>-206.41749999999999</v>
      </c>
      <c r="H3276" s="1">
        <v>-6.3915779999999997E-6</v>
      </c>
      <c r="I3276">
        <v>137.84889999999999</v>
      </c>
      <c r="J3276">
        <v>-190.9684</v>
      </c>
      <c r="K3276">
        <v>1.107345</v>
      </c>
      <c r="L3276">
        <v>166.98589999999999</v>
      </c>
      <c r="M3276">
        <v>-0.14607729999999999</v>
      </c>
      <c r="N3276">
        <v>0</v>
      </c>
      <c r="O3276">
        <v>-0.98918110000000004</v>
      </c>
      <c r="P3276">
        <v>-0.45365889999999998</v>
      </c>
      <c r="Q3276">
        <v>0.14988379999999901</v>
      </c>
      <c r="R3276">
        <v>-0.87848110000000001</v>
      </c>
      <c r="S3276">
        <v>-1.422256</v>
      </c>
      <c r="T3276">
        <v>-0.1017034</v>
      </c>
      <c r="U3276">
        <v>-2.6978759999999999</v>
      </c>
      <c r="V3276">
        <v>0.32117279999999998</v>
      </c>
      <c r="W3276">
        <v>0.16106790000000001</v>
      </c>
      <c r="X3276">
        <v>0.93322300000000002</v>
      </c>
      <c r="Y3276">
        <v>0.33183970000000002</v>
      </c>
      <c r="Z3276">
        <v>3.3803239999999998E-2</v>
      </c>
      <c r="AA3276">
        <v>0.94272990000000001</v>
      </c>
      <c r="AB3276">
        <v>28</v>
      </c>
      <c r="AC3276">
        <v>-15.4490999999999</v>
      </c>
      <c r="AD3276">
        <v>-1.107351391578</v>
      </c>
      <c r="AE3276">
        <v>-29.136999999999901</v>
      </c>
      <c r="AF3276">
        <v>11.014290139132401</v>
      </c>
      <c r="AG3276">
        <v>-1.107351391578</v>
      </c>
      <c r="AH3276">
        <v>31.0463614539193</v>
      </c>
      <c r="AI3276">
        <v>91.925269222045003</v>
      </c>
      <c r="AJ3276">
        <v>70.466886763061893</v>
      </c>
      <c r="AK3276">
        <v>32.960846073801299</v>
      </c>
      <c r="AL3276">
        <v>80.731113636743004</v>
      </c>
      <c r="AM3276">
        <v>71.008873021006707</v>
      </c>
      <c r="AN3276">
        <v>1.00000000179962</v>
      </c>
    </row>
    <row r="3277" spans="1:40" x14ac:dyDescent="0.25">
      <c r="A3277" t="str">
        <f>"20190312164536286"</f>
        <v>20190312164536286</v>
      </c>
      <c r="B3277" t="str">
        <f>"1552380336275240"</f>
        <v>1552380336275240</v>
      </c>
      <c r="C3277" t="s">
        <v>40</v>
      </c>
      <c r="D3277">
        <v>4.9810980000000002</v>
      </c>
      <c r="E3277">
        <v>0.51438569999999995</v>
      </c>
      <c r="F3277" t="s">
        <v>71</v>
      </c>
      <c r="G3277">
        <v>-207.1917</v>
      </c>
      <c r="H3277" s="1">
        <v>-5.6419780000000002E-6</v>
      </c>
      <c r="I3277">
        <v>136.5788</v>
      </c>
      <c r="J3277">
        <v>-190.99189999999999</v>
      </c>
      <c r="K3277">
        <v>1.1073200000000001</v>
      </c>
      <c r="L3277">
        <v>166.83619999999999</v>
      </c>
      <c r="M3277">
        <v>-0.14743020000000001</v>
      </c>
      <c r="N3277">
        <v>0</v>
      </c>
      <c r="O3277">
        <v>-0.98898039999999998</v>
      </c>
      <c r="P3277">
        <v>-0.45648030000000001</v>
      </c>
      <c r="Q3277">
        <v>0.1500737</v>
      </c>
      <c r="R3277">
        <v>-0.87698560000000003</v>
      </c>
      <c r="S3277">
        <v>-1.43544</v>
      </c>
      <c r="T3277">
        <v>-9.7978949999999995E-2</v>
      </c>
      <c r="U3277">
        <v>-2.6904300000000001</v>
      </c>
      <c r="V3277">
        <v>0.32291439999999999</v>
      </c>
      <c r="W3277">
        <v>0.1612227</v>
      </c>
      <c r="X3277">
        <v>0.93259499999999995</v>
      </c>
      <c r="Y3277">
        <v>0.33524540000000003</v>
      </c>
      <c r="Z3277">
        <v>3.2580680000000001E-2</v>
      </c>
      <c r="AA3277">
        <v>0.9415673</v>
      </c>
      <c r="AB3277">
        <v>28</v>
      </c>
      <c r="AC3277">
        <v>-16.1998</v>
      </c>
      <c r="AD3277">
        <v>-1.107325641978</v>
      </c>
      <c r="AE3277">
        <v>-30.257399999999901</v>
      </c>
      <c r="AF3277">
        <v>11.5494605895543</v>
      </c>
      <c r="AG3277">
        <v>-1.107325641978</v>
      </c>
      <c r="AH3277">
        <v>32.281654519872603</v>
      </c>
      <c r="AI3277">
        <v>91.849850413947095</v>
      </c>
      <c r="AJ3277">
        <v>70.3142309380097</v>
      </c>
      <c r="AK3277">
        <v>34.303373427805397</v>
      </c>
      <c r="AL3277">
        <v>80.722126326351798</v>
      </c>
      <c r="AM3277">
        <v>70.901402934251493</v>
      </c>
      <c r="AN3277">
        <v>0.99999995137382303</v>
      </c>
    </row>
    <row r="3278" spans="1:40" x14ac:dyDescent="0.25">
      <c r="A3278" t="str">
        <f>"20190312164536300"</f>
        <v>20190312164536300</v>
      </c>
      <c r="B3278" t="str">
        <f>"1552380336294761"</f>
        <v>1552380336294761</v>
      </c>
      <c r="C3278" t="s">
        <v>40</v>
      </c>
      <c r="D3278">
        <v>5.0329639999999998</v>
      </c>
      <c r="E3278">
        <v>0.51410730000000004</v>
      </c>
      <c r="F3278" t="s">
        <v>71</v>
      </c>
      <c r="G3278">
        <v>-207.62450000000001</v>
      </c>
      <c r="H3278" s="1">
        <v>-5.2263439999999998E-6</v>
      </c>
      <c r="I3278">
        <v>135.8794</v>
      </c>
      <c r="J3278">
        <v>-191.01679999999999</v>
      </c>
      <c r="K3278">
        <v>1.1072959999999901</v>
      </c>
      <c r="L3278">
        <v>166.68010000000001</v>
      </c>
      <c r="M3278">
        <v>-0.14886460000000001</v>
      </c>
      <c r="N3278">
        <v>0</v>
      </c>
      <c r="O3278">
        <v>-0.98876569999999997</v>
      </c>
      <c r="P3278">
        <v>-0.45926339999999999</v>
      </c>
      <c r="Q3278">
        <v>0.15057770000000001</v>
      </c>
      <c r="R3278">
        <v>-0.87544489999999997</v>
      </c>
      <c r="S3278">
        <v>-1.443176</v>
      </c>
      <c r="T3278">
        <v>-9.6080780000000005E-2</v>
      </c>
      <c r="U3278">
        <v>-2.6860659999999998</v>
      </c>
      <c r="V3278">
        <v>0.32455099999999998</v>
      </c>
      <c r="W3278">
        <v>0.1616928</v>
      </c>
      <c r="X3278">
        <v>0.93194529999999998</v>
      </c>
      <c r="Y3278">
        <v>0.33663019999999999</v>
      </c>
      <c r="Z3278">
        <v>3.1956730000000003E-2</v>
      </c>
      <c r="AA3278">
        <v>0.94109449999999994</v>
      </c>
      <c r="AB3278">
        <v>28</v>
      </c>
      <c r="AC3278">
        <v>-16.607700000000001</v>
      </c>
      <c r="AD3278">
        <v>-1.1073012263440001</v>
      </c>
      <c r="AE3278">
        <v>-30.800699999999999</v>
      </c>
      <c r="AF3278">
        <v>11.8252249610014</v>
      </c>
      <c r="AG3278">
        <v>-1.1073012263440001</v>
      </c>
      <c r="AH3278">
        <v>32.897026015807</v>
      </c>
      <c r="AI3278">
        <v>91.814256530428196</v>
      </c>
      <c r="AJ3278">
        <v>70.228425811306906</v>
      </c>
      <c r="AK3278">
        <v>34.975368219202998</v>
      </c>
      <c r="AL3278">
        <v>80.694833733480706</v>
      </c>
      <c r="AM3278">
        <v>70.799270212808906</v>
      </c>
      <c r="AN3278">
        <v>0.99999997768246396</v>
      </c>
    </row>
    <row r="3279" spans="1:40" x14ac:dyDescent="0.25">
      <c r="A3279" t="str">
        <f>"20190312164536314"</f>
        <v>20190312164536314</v>
      </c>
      <c r="B3279" t="str">
        <f>"1552380336304520"</f>
        <v>1552380336304520</v>
      </c>
      <c r="C3279" t="s">
        <v>40</v>
      </c>
      <c r="D3279">
        <v>5.2374679999999998</v>
      </c>
      <c r="E3279">
        <v>0.51400109999999999</v>
      </c>
      <c r="F3279" t="s">
        <v>71</v>
      </c>
      <c r="G3279">
        <v>-207.98769999999999</v>
      </c>
      <c r="H3279" s="1">
        <v>-4.8495330000000002E-6</v>
      </c>
      <c r="I3279">
        <v>135.28290000000001</v>
      </c>
      <c r="J3279">
        <v>-191.0438</v>
      </c>
      <c r="K3279">
        <v>1.107281</v>
      </c>
      <c r="L3279">
        <v>166.51140000000001</v>
      </c>
      <c r="M3279">
        <v>-0.15042939999999999</v>
      </c>
      <c r="N3279">
        <v>0</v>
      </c>
      <c r="O3279">
        <v>-0.98852859999999998</v>
      </c>
      <c r="P3279">
        <v>-0.46209689999999998</v>
      </c>
      <c r="Q3279">
        <v>0.15080260000000001</v>
      </c>
      <c r="R3279">
        <v>-0.87391379999999996</v>
      </c>
      <c r="S3279">
        <v>-1.449921</v>
      </c>
      <c r="T3279">
        <v>-9.4602939999999996E-2</v>
      </c>
      <c r="U3279">
        <v>-2.6824340000000002</v>
      </c>
      <c r="V3279">
        <v>0.32611420000000002</v>
      </c>
      <c r="W3279">
        <v>0.1618839</v>
      </c>
      <c r="X3279">
        <v>0.93136629999999998</v>
      </c>
      <c r="Y3279">
        <v>0.33751120000000001</v>
      </c>
      <c r="Z3279">
        <v>3.1468959999999997E-2</v>
      </c>
      <c r="AA3279">
        <v>0.94079539999999995</v>
      </c>
      <c r="AB3279">
        <v>28</v>
      </c>
      <c r="AC3279">
        <v>-16.9438999999999</v>
      </c>
      <c r="AD3279">
        <v>-1.107285849533</v>
      </c>
      <c r="AE3279">
        <v>-31.2285</v>
      </c>
      <c r="AF3279">
        <v>12.0412476961345</v>
      </c>
      <c r="AG3279">
        <v>-1.107285849533</v>
      </c>
      <c r="AH3279">
        <v>33.389739704299203</v>
      </c>
      <c r="AI3279">
        <v>91.786813883665999</v>
      </c>
      <c r="AJ3279">
        <v>70.169318027498804</v>
      </c>
      <c r="AK3279">
        <v>35.511863448052097</v>
      </c>
      <c r="AL3279">
        <v>80.683738793424993</v>
      </c>
      <c r="AM3279">
        <v>70.702500990029804</v>
      </c>
      <c r="AN3279">
        <v>1.00000002664826</v>
      </c>
    </row>
    <row r="3280" spans="1:40" x14ac:dyDescent="0.25">
      <c r="A3280" t="str">
        <f>"20190312164536332"</f>
        <v>20190312164536332</v>
      </c>
      <c r="B3280" t="str">
        <f>"1552380336325017"</f>
        <v>1552380336325017</v>
      </c>
      <c r="C3280" t="s">
        <v>40</v>
      </c>
      <c r="D3280">
        <v>4.8640470000000002</v>
      </c>
      <c r="E3280">
        <v>0.51415</v>
      </c>
      <c r="F3280" t="s">
        <v>71</v>
      </c>
      <c r="G3280">
        <v>-208.2483</v>
      </c>
      <c r="H3280" s="1">
        <v>-4.5557630000000001E-6</v>
      </c>
      <c r="I3280">
        <v>134.90389999999999</v>
      </c>
      <c r="J3280">
        <v>-191.08109999999999</v>
      </c>
      <c r="K3280">
        <v>1.107251</v>
      </c>
      <c r="L3280">
        <v>166.2824</v>
      </c>
      <c r="M3280">
        <v>-0.1525879</v>
      </c>
      <c r="N3280">
        <v>0</v>
      </c>
      <c r="O3280">
        <v>-0.98819769999999896</v>
      </c>
      <c r="P3280">
        <v>-0.46758379999999999</v>
      </c>
      <c r="Q3280">
        <v>0.15151870000000001</v>
      </c>
      <c r="R3280">
        <v>-0.87086620000000003</v>
      </c>
      <c r="S3280">
        <v>-1.4577789999999999</v>
      </c>
      <c r="T3280">
        <v>-9.3823429999999999E-2</v>
      </c>
      <c r="U3280">
        <v>-2.6781920000000001</v>
      </c>
      <c r="V3280">
        <v>0.32997799999999999</v>
      </c>
      <c r="W3280">
        <v>0.1625374</v>
      </c>
      <c r="X3280">
        <v>0.92989040000000001</v>
      </c>
      <c r="Y3280">
        <v>0.33821459999999998</v>
      </c>
      <c r="Z3280">
        <v>3.1212899999999998E-2</v>
      </c>
      <c r="AA3280">
        <v>0.94055120000000003</v>
      </c>
      <c r="AB3280">
        <v>28</v>
      </c>
      <c r="AC3280">
        <v>-17.167200000000001</v>
      </c>
      <c r="AD3280">
        <v>-1.1072555557629999</v>
      </c>
      <c r="AE3280">
        <v>-31.378499999999999</v>
      </c>
      <c r="AF3280">
        <v>12.1660586994859</v>
      </c>
      <c r="AG3280">
        <v>-1.1072555557629999</v>
      </c>
      <c r="AH3280">
        <v>33.598534556802797</v>
      </c>
      <c r="AI3280">
        <v>91.7748328206916</v>
      </c>
      <c r="AJ3280">
        <v>70.094634192104493</v>
      </c>
      <c r="AK3280">
        <v>35.750531793384198</v>
      </c>
      <c r="AL3280">
        <v>80.645793410507395</v>
      </c>
      <c r="AM3280">
        <v>70.462420741652593</v>
      </c>
      <c r="AN3280">
        <v>1.00000002144745</v>
      </c>
    </row>
    <row r="3281" spans="1:40" x14ac:dyDescent="0.25">
      <c r="A3281" t="str">
        <f>"20190312164536356"</f>
        <v>20190312164536356</v>
      </c>
      <c r="B3281" t="str">
        <f>"1552380336344536"</f>
        <v>1552380336344536</v>
      </c>
      <c r="C3281" t="s">
        <v>40</v>
      </c>
      <c r="D3281">
        <v>5.0423970000000002</v>
      </c>
      <c r="E3281">
        <v>0.51415559999999905</v>
      </c>
      <c r="F3281" t="s">
        <v>71</v>
      </c>
      <c r="G3281">
        <v>-208.7295</v>
      </c>
      <c r="H3281" s="1">
        <v>-4.074597E-6</v>
      </c>
      <c r="I3281">
        <v>134.36410000000001</v>
      </c>
      <c r="J3281">
        <v>-191.12700000000001</v>
      </c>
      <c r="K3281">
        <v>1.1072109999999999</v>
      </c>
      <c r="L3281">
        <v>166.00470000000001</v>
      </c>
      <c r="M3281">
        <v>-0.15525620000000001</v>
      </c>
      <c r="N3281">
        <v>0</v>
      </c>
      <c r="O3281">
        <v>-0.9877821</v>
      </c>
      <c r="P3281">
        <v>-0.47343069999999998</v>
      </c>
      <c r="Q3281">
        <v>0.15292359999999999</v>
      </c>
      <c r="R3281">
        <v>-0.86745479999999997</v>
      </c>
      <c r="S3281">
        <v>-1.4755860000000001</v>
      </c>
      <c r="T3281">
        <v>-9.2577930000000003E-2</v>
      </c>
      <c r="U3281">
        <v>-2.668701</v>
      </c>
      <c r="V3281">
        <v>0.33378600000000003</v>
      </c>
      <c r="W3281">
        <v>0.16387489999999999</v>
      </c>
      <c r="X3281">
        <v>0.92829519999999999</v>
      </c>
      <c r="Y3281">
        <v>0.34190019999999999</v>
      </c>
      <c r="Z3281">
        <v>3.0807480000000002E-2</v>
      </c>
      <c r="AA3281">
        <v>0.93923120000000004</v>
      </c>
      <c r="AB3281">
        <v>27</v>
      </c>
      <c r="AC3281">
        <v>-17.6024999999999</v>
      </c>
      <c r="AD3281">
        <v>-1.107215074597</v>
      </c>
      <c r="AE3281">
        <v>-31.640599999999999</v>
      </c>
      <c r="AF3281">
        <v>12.464514825134501</v>
      </c>
      <c r="AG3281">
        <v>-1.107215074597</v>
      </c>
      <c r="AH3281">
        <v>33.958254213604398</v>
      </c>
      <c r="AI3281">
        <v>91.753184734698905</v>
      </c>
      <c r="AJ3281">
        <v>69.844133873752696</v>
      </c>
      <c r="AK3281">
        <v>36.190510970186601</v>
      </c>
      <c r="AL3281">
        <v>80.568118896790907</v>
      </c>
      <c r="AM3281">
        <v>70.222997570461303</v>
      </c>
      <c r="AN3281">
        <v>1.00000002749452</v>
      </c>
    </row>
    <row r="3282" spans="1:40" x14ac:dyDescent="0.25">
      <c r="A3282" t="str">
        <f>"20190312164536374"</f>
        <v>20190312164536374</v>
      </c>
      <c r="B3282" t="str">
        <f>"1552380336365032"</f>
        <v>1552380336365032</v>
      </c>
      <c r="C3282" t="s">
        <v>40</v>
      </c>
      <c r="D3282">
        <v>4.9792719999999999</v>
      </c>
      <c r="E3282">
        <v>0.51283679999999998</v>
      </c>
      <c r="F3282" t="s">
        <v>71</v>
      </c>
      <c r="G3282">
        <v>-209.7139</v>
      </c>
      <c r="H3282" s="1">
        <v>-2.954982E-6</v>
      </c>
      <c r="I3282">
        <v>132.9068</v>
      </c>
      <c r="J3282">
        <v>-191.16749999999999</v>
      </c>
      <c r="K3282">
        <v>1.1071959999999901</v>
      </c>
      <c r="L3282">
        <v>165.7637</v>
      </c>
      <c r="M3282">
        <v>-0.1576079</v>
      </c>
      <c r="N3282">
        <v>0</v>
      </c>
      <c r="O3282">
        <v>-0.98740969999999995</v>
      </c>
      <c r="P3282">
        <v>-0.47924270000000002</v>
      </c>
      <c r="Q3282">
        <v>0.15456919999999999</v>
      </c>
      <c r="R3282">
        <v>-0.86396450000000002</v>
      </c>
      <c r="S3282">
        <v>-1.493271</v>
      </c>
      <c r="T3282">
        <v>-8.8953850000000001E-2</v>
      </c>
      <c r="U3282">
        <v>-2.6590880000000001</v>
      </c>
      <c r="V3282">
        <v>0.33787820000000002</v>
      </c>
      <c r="W3282">
        <v>0.1654542</v>
      </c>
      <c r="X3282">
        <v>0.92653289999999999</v>
      </c>
      <c r="Y3282">
        <v>0.34587649999999998</v>
      </c>
      <c r="Z3282">
        <v>2.9611729999999999E-2</v>
      </c>
      <c r="AA3282">
        <v>0.93781270000000005</v>
      </c>
      <c r="AB3282">
        <v>27</v>
      </c>
      <c r="AC3282">
        <v>-18.546399999999998</v>
      </c>
      <c r="AD3282">
        <v>-1.1071989549819901</v>
      </c>
      <c r="AE3282">
        <v>-32.856900000000003</v>
      </c>
      <c r="AF3282">
        <v>13.124280543858699</v>
      </c>
      <c r="AG3282">
        <v>-1.1071989549819901</v>
      </c>
      <c r="AH3282">
        <v>35.339064434788497</v>
      </c>
      <c r="AI3282">
        <v>91.6823320762186</v>
      </c>
      <c r="AJ3282">
        <v>69.625926606609994</v>
      </c>
      <c r="AK3282">
        <v>37.713685903739901</v>
      </c>
      <c r="AL3282">
        <v>80.476379049886901</v>
      </c>
      <c r="AM3282">
        <v>69.964634568329004</v>
      </c>
      <c r="AN3282">
        <v>0.99999999255764405</v>
      </c>
    </row>
    <row r="3283" spans="1:40" x14ac:dyDescent="0.25">
      <c r="A3283" t="str">
        <f>"20190312164536387"</f>
        <v>20190312164536387</v>
      </c>
      <c r="B3283" t="str">
        <f>"1552380336374791"</f>
        <v>1552380336374791</v>
      </c>
      <c r="C3283" t="s">
        <v>40</v>
      </c>
      <c r="D3283">
        <v>4.9743700000000004</v>
      </c>
      <c r="E3283">
        <v>0.51213520000000001</v>
      </c>
      <c r="F3283" t="s">
        <v>71</v>
      </c>
      <c r="G3283">
        <v>-204</v>
      </c>
      <c r="H3283" s="1">
        <v>-8.8517390000000003E-6</v>
      </c>
      <c r="I3283">
        <v>142.97620000000001</v>
      </c>
      <c r="J3283">
        <v>-191.19280000000001</v>
      </c>
      <c r="K3283">
        <v>1.1071850000000001</v>
      </c>
      <c r="L3283">
        <v>165.6147</v>
      </c>
      <c r="M3283">
        <v>-0.15907679999999999</v>
      </c>
      <c r="N3283">
        <v>0</v>
      </c>
      <c r="O3283">
        <v>-0.987174</v>
      </c>
      <c r="P3283">
        <v>-0.48248619999999998</v>
      </c>
      <c r="Q3283">
        <v>0.1554053</v>
      </c>
      <c r="R3283">
        <v>-0.86200739999999998</v>
      </c>
      <c r="S3283">
        <v>-1.499924</v>
      </c>
      <c r="T3283">
        <v>-0.1294159</v>
      </c>
      <c r="U3283">
        <v>-2.6635279999999999</v>
      </c>
      <c r="V3283">
        <v>0.34002059999999901</v>
      </c>
      <c r="W3283">
        <v>0.16625309999999999</v>
      </c>
      <c r="X3283">
        <v>0.92560569999999998</v>
      </c>
      <c r="Y3283">
        <v>0.34535460000000001</v>
      </c>
      <c r="Z3283">
        <v>4.2960159999999997E-2</v>
      </c>
      <c r="AA3283">
        <v>0.93748849999999995</v>
      </c>
      <c r="AB3283">
        <v>27</v>
      </c>
      <c r="AC3283">
        <v>-12.8071999999999</v>
      </c>
      <c r="AD3283">
        <v>-1.1071938517389901</v>
      </c>
      <c r="AE3283">
        <v>-22.638500000000001</v>
      </c>
      <c r="AF3283">
        <v>9.0261423729584909</v>
      </c>
      <c r="AG3283">
        <v>-1.1071938517389901</v>
      </c>
      <c r="AH3283">
        <v>24.3435761420407</v>
      </c>
      <c r="AI3283">
        <v>92.441896270018802</v>
      </c>
      <c r="AJ3283">
        <v>69.656162422436395</v>
      </c>
      <c r="AK3283">
        <v>25.986666268407301</v>
      </c>
      <c r="AL3283">
        <v>80.429962736976705</v>
      </c>
      <c r="AM3283">
        <v>69.829227711349205</v>
      </c>
      <c r="AN3283">
        <v>1.00000000677823</v>
      </c>
    </row>
    <row r="3284" spans="1:40" x14ac:dyDescent="0.25">
      <c r="A3284" t="str">
        <f>"20190312164536399"</f>
        <v>20190312164536399</v>
      </c>
      <c r="B3284" t="str">
        <f>"1552380336395288"</f>
        <v>1552380336395288</v>
      </c>
      <c r="C3284" t="s">
        <v>40</v>
      </c>
      <c r="D3284">
        <v>5.0403760000000002</v>
      </c>
      <c r="E3284">
        <v>0.51330770000000003</v>
      </c>
      <c r="F3284" t="s">
        <v>71</v>
      </c>
      <c r="G3284">
        <v>-204.38749999999999</v>
      </c>
      <c r="H3284" s="1">
        <v>-8.5257379999999993E-6</v>
      </c>
      <c r="I3284">
        <v>142.29390000000001</v>
      </c>
      <c r="J3284">
        <v>-191.21690000000001</v>
      </c>
      <c r="K3284">
        <v>1.1071740000000001</v>
      </c>
      <c r="L3284">
        <v>165.47489999999999</v>
      </c>
      <c r="M3284">
        <v>-0.16047439999999999</v>
      </c>
      <c r="N3284">
        <v>0</v>
      </c>
      <c r="O3284">
        <v>-0.98694780000000004</v>
      </c>
      <c r="P3284">
        <v>-0.4860738</v>
      </c>
      <c r="Q3284">
        <v>0.1567703</v>
      </c>
      <c r="R3284">
        <v>-0.8597418</v>
      </c>
      <c r="S3284">
        <v>-1.50528</v>
      </c>
      <c r="T3284">
        <v>-0.12631120000000001</v>
      </c>
      <c r="U3284">
        <v>-2.6604920000000001</v>
      </c>
      <c r="V3284">
        <v>0.3426245</v>
      </c>
      <c r="W3284">
        <v>0.16757620000000001</v>
      </c>
      <c r="X3284">
        <v>0.92440610000000001</v>
      </c>
      <c r="Y3284">
        <v>0.34593550000000001</v>
      </c>
      <c r="Z3284">
        <v>4.1934489999999998E-2</v>
      </c>
      <c r="AA3284">
        <v>0.93732070000000001</v>
      </c>
      <c r="AB3284">
        <v>27</v>
      </c>
      <c r="AC3284">
        <v>-13.170599999999901</v>
      </c>
      <c r="AD3284">
        <v>-1.1071825257379999</v>
      </c>
      <c r="AE3284">
        <v>-23.180999999999901</v>
      </c>
      <c r="AF3284">
        <v>9.2636065554912896</v>
      </c>
      <c r="AG3284">
        <v>-1.1071825257379999</v>
      </c>
      <c r="AH3284">
        <v>24.951226027009501</v>
      </c>
      <c r="AI3284">
        <v>92.382094395812302</v>
      </c>
      <c r="AJ3284">
        <v>69.631620106003396</v>
      </c>
      <c r="AK3284">
        <v>26.638392215206199</v>
      </c>
      <c r="AL3284">
        <v>80.353075849880398</v>
      </c>
      <c r="AM3284">
        <v>69.663136305351998</v>
      </c>
      <c r="AN3284">
        <v>0.99999998426194903</v>
      </c>
    </row>
    <row r="3285" spans="1:40" x14ac:dyDescent="0.25">
      <c r="A3285" t="str">
        <f>"20190312164536412"</f>
        <v>20190312164536412</v>
      </c>
      <c r="B3285" t="str">
        <f>"1552380336405049"</f>
        <v>1552380336405049</v>
      </c>
      <c r="C3285" t="s">
        <v>40</v>
      </c>
      <c r="D3285">
        <v>5.1460109999999997</v>
      </c>
      <c r="E3285">
        <v>0.51503659999999996</v>
      </c>
      <c r="F3285" t="s">
        <v>71</v>
      </c>
      <c r="G3285">
        <v>-205.47309999999999</v>
      </c>
      <c r="H3285" s="1">
        <v>-7.6683519999999997E-6</v>
      </c>
      <c r="I3285">
        <v>140.72489999999999</v>
      </c>
      <c r="J3285">
        <v>-191.24619999999999</v>
      </c>
      <c r="K3285">
        <v>1.1071569999999999</v>
      </c>
      <c r="L3285">
        <v>165.30619999999999</v>
      </c>
      <c r="M3285">
        <v>-0.1621737</v>
      </c>
      <c r="N3285">
        <v>0</v>
      </c>
      <c r="O3285">
        <v>-0.98667000000000005</v>
      </c>
      <c r="P3285">
        <v>-0.49020069999999999</v>
      </c>
      <c r="Q3285">
        <v>0.1577604</v>
      </c>
      <c r="R3285">
        <v>-0.85721369999999897</v>
      </c>
      <c r="S3285">
        <v>-1.525574</v>
      </c>
      <c r="T3285">
        <v>-0.1184809</v>
      </c>
      <c r="U3285">
        <v>-2.6485289999999999</v>
      </c>
      <c r="V3285">
        <v>0.3455241</v>
      </c>
      <c r="W3285">
        <v>0.16851769999999999</v>
      </c>
      <c r="X3285">
        <v>0.9231549</v>
      </c>
      <c r="Y3285">
        <v>0.351589599999999</v>
      </c>
      <c r="Z3285">
        <v>3.9363599999999999E-2</v>
      </c>
      <c r="AA3285">
        <v>0.93532630000000005</v>
      </c>
      <c r="AB3285">
        <v>27</v>
      </c>
      <c r="AC3285">
        <v>-14.226900000000001</v>
      </c>
      <c r="AD3285">
        <v>-1.107164668352</v>
      </c>
      <c r="AE3285">
        <v>-24.581299999999999</v>
      </c>
      <c r="AF3285">
        <v>10.0364779327404</v>
      </c>
      <c r="AG3285">
        <v>-1.107164668352</v>
      </c>
      <c r="AH3285">
        <v>26.522972192060099</v>
      </c>
      <c r="AI3285">
        <v>92.235798121899293</v>
      </c>
      <c r="AJ3285">
        <v>69.273007396449103</v>
      </c>
      <c r="AK3285">
        <v>28.3800062860815</v>
      </c>
      <c r="AL3285">
        <v>80.298354252362401</v>
      </c>
      <c r="AM3285">
        <v>69.479820886011595</v>
      </c>
      <c r="AN3285">
        <v>1.00000004414405</v>
      </c>
    </row>
    <row r="3286" spans="1:40" x14ac:dyDescent="0.25">
      <c r="A3286" t="str">
        <f>"20190312164536424"</f>
        <v>20190312164536424</v>
      </c>
      <c r="B3286" t="str">
        <f>"1552380336414808"</f>
        <v>1552380336414808</v>
      </c>
      <c r="C3286" t="s">
        <v>40</v>
      </c>
      <c r="D3286">
        <v>5.0065910000000002</v>
      </c>
      <c r="E3286">
        <v>0.51548769999999999</v>
      </c>
      <c r="F3286" t="s">
        <v>71</v>
      </c>
      <c r="G3286">
        <v>-206.2389</v>
      </c>
      <c r="H3286" s="1">
        <v>-7.0967869999999998E-6</v>
      </c>
      <c r="I3286">
        <v>139.84620000000001</v>
      </c>
      <c r="J3286">
        <v>-191.27160000000001</v>
      </c>
      <c r="K3286">
        <v>1.107143</v>
      </c>
      <c r="L3286">
        <v>165.1609</v>
      </c>
      <c r="M3286">
        <v>-0.16365829999999901</v>
      </c>
      <c r="N3286">
        <v>0</v>
      </c>
      <c r="O3286">
        <v>-0.98642470000000004</v>
      </c>
      <c r="P3286">
        <v>-0.49428939999999999</v>
      </c>
      <c r="Q3286">
        <v>0.15868499999999999</v>
      </c>
      <c r="R3286">
        <v>-0.85469099999999998</v>
      </c>
      <c r="S3286">
        <v>-1.55101</v>
      </c>
      <c r="T3286">
        <v>-0.1145366</v>
      </c>
      <c r="U3286">
        <v>-2.6338499999999998</v>
      </c>
      <c r="V3286">
        <v>0.34859069999999998</v>
      </c>
      <c r="W3286">
        <v>0.16939279999999901</v>
      </c>
      <c r="X3286">
        <v>0.92184089999999996</v>
      </c>
      <c r="Y3286">
        <v>0.35918169999999999</v>
      </c>
      <c r="Z3286">
        <v>3.808019E-2</v>
      </c>
      <c r="AA3286">
        <v>0.93249040000000005</v>
      </c>
      <c r="AB3286">
        <v>27</v>
      </c>
      <c r="AC3286">
        <v>-14.9672999999999</v>
      </c>
      <c r="AD3286">
        <v>-1.107150096787</v>
      </c>
      <c r="AE3286">
        <v>-25.314699999999899</v>
      </c>
      <c r="AF3286">
        <v>10.607088032006301</v>
      </c>
      <c r="AG3286">
        <v>-1.107150096787</v>
      </c>
      <c r="AH3286">
        <v>27.384255117779698</v>
      </c>
      <c r="AI3286">
        <v>92.159072253077596</v>
      </c>
      <c r="AJ3286">
        <v>68.8264928889934</v>
      </c>
      <c r="AK3286">
        <v>29.387642406480801</v>
      </c>
      <c r="AL3286">
        <v>80.2474831532423</v>
      </c>
      <c r="AM3286">
        <v>69.286075202214803</v>
      </c>
      <c r="AN3286">
        <v>1.0000000208655699</v>
      </c>
    </row>
    <row r="3287" spans="1:40" x14ac:dyDescent="0.25">
      <c r="A3287" t="str">
        <f>"20190312164536445"</f>
        <v>20190312164536445</v>
      </c>
      <c r="B3287" t="str">
        <f>"1552380336435307"</f>
        <v>1552380336435307</v>
      </c>
      <c r="C3287" t="s">
        <v>40</v>
      </c>
      <c r="D3287">
        <v>5.0339140000000002</v>
      </c>
      <c r="E3287">
        <v>0.517563</v>
      </c>
      <c r="F3287" t="s">
        <v>71</v>
      </c>
      <c r="G3287">
        <v>-207.46250000000001</v>
      </c>
      <c r="H3287" s="1">
        <v>-5.9989250000000003E-6</v>
      </c>
      <c r="I3287">
        <v>138.0702</v>
      </c>
      <c r="J3287">
        <v>-191.3142</v>
      </c>
      <c r="K3287">
        <v>1.1071150000000001</v>
      </c>
      <c r="L3287">
        <v>164.92099999999999</v>
      </c>
      <c r="M3287">
        <v>-0.16615070000000001</v>
      </c>
      <c r="N3287">
        <v>0</v>
      </c>
      <c r="O3287">
        <v>-0.986008</v>
      </c>
      <c r="P3287">
        <v>-0.50289729999999999</v>
      </c>
      <c r="Q3287">
        <v>0.1611062</v>
      </c>
      <c r="R3287">
        <v>-0.84919929999999999</v>
      </c>
      <c r="S3287">
        <v>-1.56778</v>
      </c>
      <c r="T3287">
        <v>-0.1072065</v>
      </c>
      <c r="U3287">
        <v>-2.62323</v>
      </c>
      <c r="V3287">
        <v>0.35568260000000002</v>
      </c>
      <c r="W3287">
        <v>0.171704</v>
      </c>
      <c r="X3287">
        <v>0.91869880000000004</v>
      </c>
      <c r="Y3287">
        <v>0.36292000000000002</v>
      </c>
      <c r="Z3287">
        <v>3.5666570000000002E-2</v>
      </c>
      <c r="AA3287">
        <v>0.9311374</v>
      </c>
      <c r="AB3287">
        <v>27</v>
      </c>
      <c r="AC3287">
        <v>-16.148299999999999</v>
      </c>
      <c r="AD3287">
        <v>-1.1071209989249999</v>
      </c>
      <c r="AE3287">
        <v>-26.8507999999999</v>
      </c>
      <c r="AF3287">
        <v>11.4478249588003</v>
      </c>
      <c r="AG3287">
        <v>-1.1071209989249999</v>
      </c>
      <c r="AH3287">
        <v>29.124448609526301</v>
      </c>
      <c r="AI3287">
        <v>92.026197648160206</v>
      </c>
      <c r="AJ3287">
        <v>68.541907207114207</v>
      </c>
      <c r="AK3287">
        <v>31.3131269598315</v>
      </c>
      <c r="AL3287">
        <v>80.113091291802405</v>
      </c>
      <c r="AM3287">
        <v>68.835634635903304</v>
      </c>
      <c r="AN3287">
        <v>0.99999993034009704</v>
      </c>
    </row>
    <row r="3288" spans="1:40" x14ac:dyDescent="0.25">
      <c r="A3288" t="str">
        <f>"20190312164536466"</f>
        <v>20190312164536466</v>
      </c>
      <c r="B3288" t="str">
        <f>"1552380336454825"</f>
        <v>1552380336454825</v>
      </c>
      <c r="C3288" t="s">
        <v>40</v>
      </c>
      <c r="D3288">
        <v>5.0208750000000002</v>
      </c>
      <c r="E3288">
        <v>0.5181867</v>
      </c>
      <c r="F3288" t="s">
        <v>42</v>
      </c>
      <c r="G3288">
        <v>-210.48169999999999</v>
      </c>
      <c r="H3288" s="1">
        <v>-5.4699860000000002E-6</v>
      </c>
      <c r="I3288">
        <v>134.0343</v>
      </c>
      <c r="J3288">
        <v>-191.36060000000001</v>
      </c>
      <c r="K3288">
        <v>1.1070719999999901</v>
      </c>
      <c r="L3288">
        <v>164.66399999999999</v>
      </c>
      <c r="M3288">
        <v>-0.16888410000000001</v>
      </c>
      <c r="N3288">
        <v>0</v>
      </c>
      <c r="O3288">
        <v>-0.98554339999999996</v>
      </c>
      <c r="P3288">
        <v>-0.51268630000000004</v>
      </c>
      <c r="Q3288">
        <v>0.16337279999999901</v>
      </c>
      <c r="R3288">
        <v>-0.84288909999999995</v>
      </c>
      <c r="S3288">
        <v>-1.6111759999999999</v>
      </c>
      <c r="T3288">
        <v>-9.3062160000000005E-2</v>
      </c>
      <c r="U3288">
        <v>-2.5962679999999998</v>
      </c>
      <c r="V3288">
        <v>0.36387320000000001</v>
      </c>
      <c r="W3288">
        <v>0.17383860000000001</v>
      </c>
      <c r="X3288">
        <v>0.91508279999999997</v>
      </c>
      <c r="Y3288">
        <v>0.37595060000000002</v>
      </c>
      <c r="Z3288">
        <v>3.1008930000000001E-2</v>
      </c>
      <c r="AA3288">
        <v>0.92612079999999997</v>
      </c>
      <c r="AB3288">
        <v>27</v>
      </c>
      <c r="AC3288">
        <v>-19.121099999999899</v>
      </c>
      <c r="AD3288">
        <v>-1.10707746998599</v>
      </c>
      <c r="AE3288">
        <v>-30.6297</v>
      </c>
      <c r="AF3288">
        <v>13.660210249398901</v>
      </c>
      <c r="AG3288">
        <v>-1.10707746998599</v>
      </c>
      <c r="AH3288">
        <v>33.387809965105497</v>
      </c>
      <c r="AI3288">
        <v>91.757793155442698</v>
      </c>
      <c r="AJ3288">
        <v>67.748682049159399</v>
      </c>
      <c r="AK3288">
        <v>36.091173697295197</v>
      </c>
      <c r="AL3288">
        <v>79.988921586975295</v>
      </c>
      <c r="AM3288">
        <v>68.315270115694503</v>
      </c>
      <c r="AN3288">
        <v>1.0000000476920099</v>
      </c>
    </row>
    <row r="3289" spans="1:40" x14ac:dyDescent="0.25">
      <c r="A3289" t="str">
        <f>"20190312164536488"</f>
        <v>20190312164536488</v>
      </c>
      <c r="B3289" t="str">
        <f>"1552380336485080"</f>
        <v>1552380336485080</v>
      </c>
      <c r="C3289" t="s">
        <v>40</v>
      </c>
      <c r="D3289">
        <v>4.8586039999999997</v>
      </c>
      <c r="E3289">
        <v>0.51890809999999998</v>
      </c>
      <c r="F3289" t="s">
        <v>42</v>
      </c>
      <c r="G3289">
        <v>-213.71969999999999</v>
      </c>
      <c r="H3289" s="1">
        <v>-5.0214769999999997E-6</v>
      </c>
      <c r="I3289">
        <v>129.74860000000001</v>
      </c>
      <c r="J3289">
        <v>-191.40870000000001</v>
      </c>
      <c r="K3289">
        <v>1.1070230000000001</v>
      </c>
      <c r="L3289">
        <v>164.4023</v>
      </c>
      <c r="M3289">
        <v>-0.1717437</v>
      </c>
      <c r="N3289">
        <v>0</v>
      </c>
      <c r="O3289">
        <v>-0.98504919999999996</v>
      </c>
      <c r="P3289">
        <v>-0.52210199999999996</v>
      </c>
      <c r="Q3289">
        <v>0.16487299999999999</v>
      </c>
      <c r="R3289">
        <v>-0.83679559999999997</v>
      </c>
      <c r="S3289">
        <v>-1.6475979999999999</v>
      </c>
      <c r="T3289">
        <v>-8.1578369999999997E-2</v>
      </c>
      <c r="U3289">
        <v>-2.572845</v>
      </c>
      <c r="V3289">
        <v>0.37156289999999997</v>
      </c>
      <c r="W3289">
        <v>0.1752049</v>
      </c>
      <c r="X3289">
        <v>0.91172589999999998</v>
      </c>
      <c r="Y3289">
        <v>0.38642280000000001</v>
      </c>
      <c r="Z3289">
        <v>2.7217430000000001E-2</v>
      </c>
      <c r="AA3289">
        <v>0.92192010000000002</v>
      </c>
      <c r="AB3289">
        <v>27</v>
      </c>
      <c r="AC3289">
        <v>-22.3109999999999</v>
      </c>
      <c r="AD3289">
        <v>-1.1070280214770001</v>
      </c>
      <c r="AE3289">
        <v>-34.653699999999901</v>
      </c>
      <c r="AF3289">
        <v>16.015783292073401</v>
      </c>
      <c r="AG3289">
        <v>-1.1070280214770001</v>
      </c>
      <c r="AH3289">
        <v>37.943457381536703</v>
      </c>
      <c r="AI3289">
        <v>91.539702142804202</v>
      </c>
      <c r="AJ3289">
        <v>67.115584240269101</v>
      </c>
      <c r="AK3289">
        <v>41.1999609655577</v>
      </c>
      <c r="AL3289">
        <v>79.909417060105696</v>
      </c>
      <c r="AM3289">
        <v>67.827239894318694</v>
      </c>
      <c r="AN3289">
        <v>0.99999993118561203</v>
      </c>
    </row>
    <row r="3290" spans="1:40" x14ac:dyDescent="0.25">
      <c r="A3290" t="str">
        <f>"20190312164536510"</f>
        <v>20190312164536510</v>
      </c>
      <c r="B3290" t="str">
        <f>"1552380336504600"</f>
        <v>1552380336504600</v>
      </c>
      <c r="C3290" t="s">
        <v>40</v>
      </c>
      <c r="D3290">
        <v>5.029712</v>
      </c>
      <c r="E3290">
        <v>0.51890670000000005</v>
      </c>
      <c r="F3290" t="s">
        <v>42</v>
      </c>
      <c r="G3290">
        <v>-214.38390000000001</v>
      </c>
      <c r="H3290">
        <v>7.8353809999999996E-2</v>
      </c>
      <c r="I3290">
        <v>129.58799999999999</v>
      </c>
      <c r="J3290">
        <v>-191.4588</v>
      </c>
      <c r="K3290">
        <v>1.106962</v>
      </c>
      <c r="L3290">
        <v>164.13460000000001</v>
      </c>
      <c r="M3290">
        <v>-0.17476</v>
      </c>
      <c r="N3290">
        <v>0</v>
      </c>
      <c r="O3290">
        <v>-0.98451869999999997</v>
      </c>
      <c r="P3290">
        <v>-0.53154089999999998</v>
      </c>
      <c r="Q3290">
        <v>0.166219899999999</v>
      </c>
      <c r="R3290">
        <v>-0.83056359999999996</v>
      </c>
      <c r="S3290">
        <v>-1.682831</v>
      </c>
      <c r="T3290">
        <v>-7.5345640000000005E-2</v>
      </c>
      <c r="U3290">
        <v>-2.5500029999999998</v>
      </c>
      <c r="V3290">
        <v>0.37917800000000002</v>
      </c>
      <c r="W3290">
        <v>0.17640989999999901</v>
      </c>
      <c r="X3290">
        <v>0.9083521</v>
      </c>
      <c r="Y3290">
        <v>0.39627630000000003</v>
      </c>
      <c r="Z3290">
        <v>2.5164720000000002E-2</v>
      </c>
      <c r="AA3290">
        <v>0.9177864</v>
      </c>
      <c r="AB3290">
        <v>27</v>
      </c>
      <c r="AC3290">
        <v>-22.9251</v>
      </c>
      <c r="AD3290">
        <v>-1.0286081899999999</v>
      </c>
      <c r="AE3290">
        <v>-34.546599999999998</v>
      </c>
      <c r="AF3290">
        <v>16.524159103060999</v>
      </c>
      <c r="AG3290">
        <v>-1.0286081899999999</v>
      </c>
      <c r="AH3290">
        <v>37.9982345629303</v>
      </c>
      <c r="AI3290">
        <v>91.422031430417505</v>
      </c>
      <c r="AJ3290">
        <v>66.497392210929107</v>
      </c>
      <c r="AK3290">
        <v>41.448422150562998</v>
      </c>
      <c r="AL3290">
        <v>79.839283702902605</v>
      </c>
      <c r="AM3290">
        <v>67.342632987834506</v>
      </c>
      <c r="AN3290">
        <v>0.99999997303820898</v>
      </c>
    </row>
    <row r="3291" spans="1:40" x14ac:dyDescent="0.25">
      <c r="A3291" t="str">
        <f>"20190312164536523"</f>
        <v>20190312164536523</v>
      </c>
      <c r="B3291" t="str">
        <f>"1552380336515338"</f>
        <v>1552380336515338</v>
      </c>
      <c r="C3291" t="s">
        <v>40</v>
      </c>
      <c r="D3291">
        <v>4.8540190000000001</v>
      </c>
      <c r="E3291">
        <v>0.51884140000000001</v>
      </c>
      <c r="F3291" t="s">
        <v>42</v>
      </c>
      <c r="G3291">
        <v>-215.32509999999999</v>
      </c>
      <c r="H3291">
        <v>7.9986559999999998E-2</v>
      </c>
      <c r="I3291">
        <v>128.86009999999999</v>
      </c>
      <c r="J3291">
        <v>-191.4898</v>
      </c>
      <c r="K3291">
        <v>1.106924</v>
      </c>
      <c r="L3291">
        <v>163.97200000000001</v>
      </c>
      <c r="M3291">
        <v>-0.17664360000000001</v>
      </c>
      <c r="N3291">
        <v>0</v>
      </c>
      <c r="O3291">
        <v>-0.98418229999999995</v>
      </c>
      <c r="P3291">
        <v>-0.53640750000000004</v>
      </c>
      <c r="Q3291">
        <v>0.16690859999999999</v>
      </c>
      <c r="R3291">
        <v>-0.82728989999999902</v>
      </c>
      <c r="S3291">
        <v>-1.7123569999999999</v>
      </c>
      <c r="T3291">
        <v>-7.3683380000000007E-2</v>
      </c>
      <c r="U3291">
        <v>-2.530869</v>
      </c>
      <c r="V3291">
        <v>0.38282389999999999</v>
      </c>
      <c r="W3291">
        <v>0.1770205</v>
      </c>
      <c r="X3291">
        <v>0.90670260000000003</v>
      </c>
      <c r="Y3291">
        <v>0.40507599999999999</v>
      </c>
      <c r="Z3291">
        <v>2.4628500000000001E-2</v>
      </c>
      <c r="AA3291">
        <v>0.91395130000000002</v>
      </c>
      <c r="AB3291">
        <v>27</v>
      </c>
      <c r="AC3291">
        <v>-23.835299999999901</v>
      </c>
      <c r="AD3291">
        <v>-1.02693744</v>
      </c>
      <c r="AE3291">
        <v>-35.111899999999999</v>
      </c>
      <c r="AF3291">
        <v>17.247460853333902</v>
      </c>
      <c r="AG3291">
        <v>-1.02693744</v>
      </c>
      <c r="AH3291">
        <v>38.747706925670499</v>
      </c>
      <c r="AI3291">
        <v>91.387021285023195</v>
      </c>
      <c r="AJ3291">
        <v>66.005096581258101</v>
      </c>
      <c r="AK3291">
        <v>42.425396856017898</v>
      </c>
      <c r="AL3291">
        <v>79.803739786060405</v>
      </c>
      <c r="AM3291">
        <v>67.109774775899595</v>
      </c>
      <c r="AN3291">
        <v>1.0000000003391101</v>
      </c>
    </row>
    <row r="3292" spans="1:40" x14ac:dyDescent="0.25">
      <c r="A3292" t="str">
        <f>"20190312164536546"</f>
        <v>20190312164536546</v>
      </c>
      <c r="B3292" t="str">
        <f>"1552380336534856"</f>
        <v>1552380336534856</v>
      </c>
      <c r="C3292" t="s">
        <v>40</v>
      </c>
      <c r="D3292">
        <v>5.0019400000000003</v>
      </c>
      <c r="E3292">
        <v>0.51833809999999902</v>
      </c>
      <c r="F3292" t="s">
        <v>42</v>
      </c>
      <c r="G3292">
        <v>-216.51650000000001</v>
      </c>
      <c r="H3292">
        <v>7.9986329999999994E-2</v>
      </c>
      <c r="I3292">
        <v>127.43680000000001</v>
      </c>
      <c r="J3292">
        <v>-191.54079999999999</v>
      </c>
      <c r="K3292">
        <v>1.1068610000000001</v>
      </c>
      <c r="L3292">
        <v>163.70750000000001</v>
      </c>
      <c r="M3292">
        <v>-0.1797638</v>
      </c>
      <c r="N3292">
        <v>0</v>
      </c>
      <c r="O3292">
        <v>-0.98361719999999997</v>
      </c>
      <c r="P3292">
        <v>-0.54513409999999995</v>
      </c>
      <c r="Q3292">
        <v>0.16793749999999999</v>
      </c>
      <c r="R3292">
        <v>-0.82135609999999903</v>
      </c>
      <c r="S3292">
        <v>-1.726837</v>
      </c>
      <c r="T3292">
        <v>-7.0858359999999995E-2</v>
      </c>
      <c r="U3292">
        <v>-2.5209199999999998</v>
      </c>
      <c r="V3292">
        <v>0.38962239999999998</v>
      </c>
      <c r="W3292">
        <v>0.1779135</v>
      </c>
      <c r="X3292">
        <v>0.9036267</v>
      </c>
      <c r="Y3292">
        <v>0.407443</v>
      </c>
      <c r="Z3292">
        <v>2.369317E-2</v>
      </c>
      <c r="AA3292">
        <v>0.91292320000000005</v>
      </c>
      <c r="AB3292">
        <v>27</v>
      </c>
      <c r="AC3292">
        <v>-24.9757</v>
      </c>
      <c r="AD3292">
        <v>-1.02687467</v>
      </c>
      <c r="AE3292">
        <v>-36.270699999999998</v>
      </c>
      <c r="AF3292">
        <v>18.038205497345999</v>
      </c>
      <c r="AG3292">
        <v>-1.02687467</v>
      </c>
      <c r="AH3292">
        <v>40.148040886443397</v>
      </c>
      <c r="AI3292">
        <v>91.336501194839798</v>
      </c>
      <c r="AJ3292">
        <v>65.805983704809094</v>
      </c>
      <c r="AK3292">
        <v>44.0260890401578</v>
      </c>
      <c r="AL3292">
        <v>79.751749605633506</v>
      </c>
      <c r="AM3292">
        <v>66.675440465736898</v>
      </c>
      <c r="AN3292">
        <v>1.0000000205084401</v>
      </c>
    </row>
    <row r="3293" spans="1:40" x14ac:dyDescent="0.25">
      <c r="A3293" t="str">
        <f>"20190312164536567"</f>
        <v>20190312164536567</v>
      </c>
      <c r="B3293" t="str">
        <f>"1552380336554376"</f>
        <v>1552380336554376</v>
      </c>
      <c r="C3293" t="s">
        <v>40</v>
      </c>
      <c r="D3293">
        <v>4.993919</v>
      </c>
      <c r="E3293">
        <v>0.51784889999999995</v>
      </c>
      <c r="F3293" t="s">
        <v>42</v>
      </c>
      <c r="G3293">
        <v>-215.79429999999999</v>
      </c>
      <c r="H3293">
        <v>7.9986440000000006E-2</v>
      </c>
      <c r="I3293">
        <v>128.9683</v>
      </c>
      <c r="J3293">
        <v>-191.59020000000001</v>
      </c>
      <c r="K3293">
        <v>1.1068070000000001</v>
      </c>
      <c r="L3293">
        <v>163.45590000000001</v>
      </c>
      <c r="M3293">
        <v>-0.18282080000000001</v>
      </c>
      <c r="N3293">
        <v>0</v>
      </c>
      <c r="O3293">
        <v>-0.98305339999999997</v>
      </c>
      <c r="P3293">
        <v>-0.55271899999999996</v>
      </c>
      <c r="Q3293">
        <v>0.16792449999999901</v>
      </c>
      <c r="R3293">
        <v>-0.81627419999999995</v>
      </c>
      <c r="S3293">
        <v>-1.7498020000000001</v>
      </c>
      <c r="T3293">
        <v>-7.4085120000000004E-2</v>
      </c>
      <c r="U3293">
        <v>-2.5063019999999998</v>
      </c>
      <c r="V3293">
        <v>0.3952155</v>
      </c>
      <c r="W3293">
        <v>0.1777812</v>
      </c>
      <c r="X3293">
        <v>0.90122060000000004</v>
      </c>
      <c r="Y3293">
        <v>0.41270790000000002</v>
      </c>
      <c r="Z3293">
        <v>2.4778600000000001E-2</v>
      </c>
      <c r="AA3293">
        <v>0.91052630000000001</v>
      </c>
      <c r="AB3293">
        <v>27</v>
      </c>
      <c r="AC3293">
        <v>-24.204099999999901</v>
      </c>
      <c r="AD3293">
        <v>-1.02682055999999</v>
      </c>
      <c r="AE3293">
        <v>-34.4876</v>
      </c>
      <c r="AF3293">
        <v>17.480086936457699</v>
      </c>
      <c r="AG3293">
        <v>-1.02682055999999</v>
      </c>
      <c r="AH3293">
        <v>38.308911854746903</v>
      </c>
      <c r="AI3293">
        <v>91.396887107391805</v>
      </c>
      <c r="AJ3293">
        <v>65.473119630878202</v>
      </c>
      <c r="AK3293">
        <v>42.121022391002498</v>
      </c>
      <c r="AL3293">
        <v>79.759452510659202</v>
      </c>
      <c r="AM3293">
        <v>66.320935155903996</v>
      </c>
      <c r="AN3293">
        <v>1.0000000081890199</v>
      </c>
    </row>
    <row r="3294" spans="1:40" x14ac:dyDescent="0.25">
      <c r="A3294" t="str">
        <f>"20190312164536592"</f>
        <v>20190312164536592</v>
      </c>
      <c r="B3294" t="str">
        <f>"1552380336584632"</f>
        <v>1552380336584632</v>
      </c>
      <c r="C3294" t="s">
        <v>40</v>
      </c>
      <c r="D3294">
        <v>5.0104389999999999</v>
      </c>
      <c r="E3294">
        <v>0.51724139999999996</v>
      </c>
      <c r="F3294" t="s">
        <v>42</v>
      </c>
      <c r="G3294">
        <v>-215.6054</v>
      </c>
      <c r="H3294">
        <v>8.3705129999999996E-3</v>
      </c>
      <c r="I3294">
        <v>129.6163</v>
      </c>
      <c r="J3294">
        <v>-191.6508</v>
      </c>
      <c r="K3294">
        <v>1.106725</v>
      </c>
      <c r="L3294">
        <v>163.15360000000001</v>
      </c>
      <c r="M3294">
        <v>-0.1866312</v>
      </c>
      <c r="N3294">
        <v>0</v>
      </c>
      <c r="O3294">
        <v>-0.98233729999999997</v>
      </c>
      <c r="P3294">
        <v>-0.56053180000000002</v>
      </c>
      <c r="Q3294">
        <v>0.1681771</v>
      </c>
      <c r="R3294">
        <v>-0.81087670000000001</v>
      </c>
      <c r="S3294">
        <v>-1.7696529999999999</v>
      </c>
      <c r="T3294">
        <v>-8.0942630000000002E-2</v>
      </c>
      <c r="U3294">
        <v>-2.4936069999999999</v>
      </c>
      <c r="V3294">
        <v>0.40042860000000002</v>
      </c>
      <c r="W3294">
        <v>0.17789479999999999</v>
      </c>
      <c r="X3294">
        <v>0.89889399999999997</v>
      </c>
      <c r="Y3294">
        <v>0.41614990000000002</v>
      </c>
      <c r="Z3294">
        <v>2.707408E-2</v>
      </c>
      <c r="AA3294">
        <v>0.9088929</v>
      </c>
      <c r="AB3294">
        <v>27</v>
      </c>
      <c r="AC3294">
        <v>-23.954599999999999</v>
      </c>
      <c r="AD3294">
        <v>-1.0983544869999999</v>
      </c>
      <c r="AE3294">
        <v>-33.537300000000002</v>
      </c>
      <c r="AF3294">
        <v>17.2617046522873</v>
      </c>
      <c r="AG3294">
        <v>-1.0983544869999999</v>
      </c>
      <c r="AH3294">
        <v>37.392468597226497</v>
      </c>
      <c r="AI3294">
        <v>91.527666015162296</v>
      </c>
      <c r="AJ3294">
        <v>65.220258754095994</v>
      </c>
      <c r="AK3294">
        <v>41.199144868267403</v>
      </c>
      <c r="AL3294">
        <v>79.752838435372496</v>
      </c>
      <c r="AM3294">
        <v>65.988553030857702</v>
      </c>
      <c r="AN3294">
        <v>1.00000002340049</v>
      </c>
    </row>
    <row r="3295" spans="1:40" x14ac:dyDescent="0.25">
      <c r="A3295" t="str">
        <f>"20190312164536604"</f>
        <v>20190312164536604</v>
      </c>
      <c r="B3295" t="str">
        <f>"1552380336594392"</f>
        <v>1552380336594392</v>
      </c>
      <c r="C3295" t="s">
        <v>40</v>
      </c>
      <c r="D3295">
        <v>4.9494870000000004</v>
      </c>
      <c r="E3295">
        <v>0.51700779999999902</v>
      </c>
      <c r="F3295" t="s">
        <v>42</v>
      </c>
      <c r="G3295">
        <v>-215.8579</v>
      </c>
      <c r="H3295">
        <v>4.0807860000000003E-3</v>
      </c>
      <c r="I3295">
        <v>129.6163</v>
      </c>
      <c r="J3295">
        <v>-191.68109999999999</v>
      </c>
      <c r="K3295">
        <v>1.1066800000000001</v>
      </c>
      <c r="L3295">
        <v>163.0052</v>
      </c>
      <c r="M3295">
        <v>-0.18855949999999999</v>
      </c>
      <c r="N3295">
        <v>0</v>
      </c>
      <c r="O3295">
        <v>-0.98196890000000003</v>
      </c>
      <c r="P3295">
        <v>-0.56439930000000005</v>
      </c>
      <c r="Q3295">
        <v>0.1688347</v>
      </c>
      <c r="R3295">
        <v>-0.80805269999999996</v>
      </c>
      <c r="S3295">
        <v>-1.7896729999999901</v>
      </c>
      <c r="T3295">
        <v>-8.1520560000000006E-2</v>
      </c>
      <c r="U3295">
        <v>-2.4794770000000002</v>
      </c>
      <c r="V3295">
        <v>0.40301239999999999</v>
      </c>
      <c r="W3295">
        <v>0.178477</v>
      </c>
      <c r="X3295">
        <v>0.897622899999999</v>
      </c>
      <c r="Y3295">
        <v>0.42163709999999999</v>
      </c>
      <c r="Z3295">
        <v>2.7283129999999999E-2</v>
      </c>
      <c r="AA3295">
        <v>0.90635410000000005</v>
      </c>
      <c r="AB3295">
        <v>27</v>
      </c>
      <c r="AC3295">
        <v>-24.1768</v>
      </c>
      <c r="AD3295">
        <v>-1.1025992139999901</v>
      </c>
      <c r="AE3295">
        <v>-33.3889</v>
      </c>
      <c r="AF3295">
        <v>17.4341899482373</v>
      </c>
      <c r="AG3295">
        <v>-1.1025992139999901</v>
      </c>
      <c r="AH3295">
        <v>37.322332175124103</v>
      </c>
      <c r="AI3295">
        <v>91.5332308505714</v>
      </c>
      <c r="AJ3295">
        <v>64.961551608547495</v>
      </c>
      <c r="AK3295">
        <v>41.208290223791501</v>
      </c>
      <c r="AL3295">
        <v>79.718937585488803</v>
      </c>
      <c r="AM3295">
        <v>65.820997146127795</v>
      </c>
      <c r="AN3295">
        <v>0.99999995234358297</v>
      </c>
    </row>
    <row r="3296" spans="1:40" x14ac:dyDescent="0.25">
      <c r="A3296" t="str">
        <f>"20190312164536622"</f>
        <v>20190312164536622</v>
      </c>
      <c r="B3296" t="str">
        <f>"1552380336614889"</f>
        <v>1552380336614889</v>
      </c>
      <c r="C3296" t="s">
        <v>40</v>
      </c>
      <c r="D3296">
        <v>4.9697879999999897</v>
      </c>
      <c r="E3296">
        <v>0.51655640000000003</v>
      </c>
      <c r="F3296" t="s">
        <v>42</v>
      </c>
      <c r="G3296">
        <v>-215.9958</v>
      </c>
      <c r="H3296">
        <v>3.2439910000000002E-2</v>
      </c>
      <c r="I3296">
        <v>129.6163</v>
      </c>
      <c r="J3296">
        <v>-191.72630000000001</v>
      </c>
      <c r="K3296">
        <v>1.1066119999999999</v>
      </c>
      <c r="L3296">
        <v>162.78659999999999</v>
      </c>
      <c r="M3296">
        <v>-0.19145390000000001</v>
      </c>
      <c r="N3296">
        <v>0</v>
      </c>
      <c r="O3296">
        <v>-0.98140870000000002</v>
      </c>
      <c r="P3296">
        <v>-0.57148959999999904</v>
      </c>
      <c r="Q3296">
        <v>0.1699909</v>
      </c>
      <c r="R3296">
        <v>-0.8028092</v>
      </c>
      <c r="S3296">
        <v>-1.800125</v>
      </c>
      <c r="T3296">
        <v>-7.9530600000000007E-2</v>
      </c>
      <c r="U3296">
        <v>-2.471924</v>
      </c>
      <c r="V3296">
        <v>0.40835579999999999</v>
      </c>
      <c r="W3296">
        <v>0.179503</v>
      </c>
      <c r="X3296">
        <v>0.89499959999999901</v>
      </c>
      <c r="Y3296">
        <v>0.42279620000000001</v>
      </c>
      <c r="Z3296">
        <v>2.662281E-2</v>
      </c>
      <c r="AA3296">
        <v>0.90583360000000002</v>
      </c>
      <c r="AB3296">
        <v>27</v>
      </c>
      <c r="AC3296">
        <v>-24.269499999999901</v>
      </c>
      <c r="AD3296">
        <v>-1.07417209</v>
      </c>
      <c r="AE3296">
        <v>-33.170299999999997</v>
      </c>
      <c r="AF3296">
        <v>17.4573840288806</v>
      </c>
      <c r="AG3296">
        <v>-1.07417209</v>
      </c>
      <c r="AH3296">
        <v>37.178109770003701</v>
      </c>
      <c r="AI3296">
        <v>91.498109506340199</v>
      </c>
      <c r="AJ3296">
        <v>64.847088893621404</v>
      </c>
      <c r="AK3296">
        <v>41.0868099136596</v>
      </c>
      <c r="AL3296">
        <v>79.659188060677906</v>
      </c>
      <c r="AM3296">
        <v>65.474508947092204</v>
      </c>
      <c r="AN3296">
        <v>1.00000003520139</v>
      </c>
    </row>
    <row r="3297" spans="1:40" x14ac:dyDescent="0.25">
      <c r="A3297" t="str">
        <f>"20190312164536637"</f>
        <v>20190312164536637</v>
      </c>
      <c r="B3297" t="str">
        <f>"1552380336624648"</f>
        <v>1552380336624648</v>
      </c>
      <c r="C3297" t="s">
        <v>40</v>
      </c>
      <c r="D3297">
        <v>4.9651940000000003</v>
      </c>
      <c r="E3297">
        <v>0.51623739999999996</v>
      </c>
      <c r="F3297" t="s">
        <v>42</v>
      </c>
      <c r="G3297">
        <v>-216.25210000000001</v>
      </c>
      <c r="H3297">
        <v>2.2227239999999999E-2</v>
      </c>
      <c r="I3297">
        <v>129.6163</v>
      </c>
      <c r="J3297">
        <v>-191.7621</v>
      </c>
      <c r="K3297">
        <v>1.10656</v>
      </c>
      <c r="L3297">
        <v>162.61600000000001</v>
      </c>
      <c r="M3297">
        <v>-0.19376699999999999</v>
      </c>
      <c r="N3297">
        <v>0</v>
      </c>
      <c r="O3297">
        <v>-0.98095449999999995</v>
      </c>
      <c r="P3297">
        <v>-0.57570580000000005</v>
      </c>
      <c r="Q3297">
        <v>0.17065920000000001</v>
      </c>
      <c r="R3297">
        <v>-0.7996491</v>
      </c>
      <c r="S3297">
        <v>-1.8184659999999999</v>
      </c>
      <c r="T3297">
        <v>-8.0401780000000006E-2</v>
      </c>
      <c r="U3297">
        <v>-2.4594119999999999</v>
      </c>
      <c r="V3297">
        <v>0.41101520000000002</v>
      </c>
      <c r="W3297">
        <v>0.18008560000000001</v>
      </c>
      <c r="X3297">
        <v>0.89366420000000002</v>
      </c>
      <c r="Y3297">
        <v>0.42722250000000001</v>
      </c>
      <c r="Z3297">
        <v>2.6922169999999999E-2</v>
      </c>
      <c r="AA3297">
        <v>0.90374569999999999</v>
      </c>
      <c r="AB3297">
        <v>27</v>
      </c>
      <c r="AC3297">
        <v>-24.49</v>
      </c>
      <c r="AD3297">
        <v>-1.0843327599999999</v>
      </c>
      <c r="AE3297">
        <v>-32.999699999999997</v>
      </c>
      <c r="AF3297">
        <v>17.6186658634027</v>
      </c>
      <c r="AG3297">
        <v>-1.0843327599999999</v>
      </c>
      <c r="AH3297">
        <v>37.094120987373302</v>
      </c>
      <c r="AI3297">
        <v>91.512534000887101</v>
      </c>
      <c r="AJ3297">
        <v>64.593594598560202</v>
      </c>
      <c r="AK3297">
        <v>41.080007012737099</v>
      </c>
      <c r="AL3297">
        <v>79.625254305098494</v>
      </c>
      <c r="AM3297">
        <v>65.301291588676605</v>
      </c>
      <c r="AN3297">
        <v>1.0000000101600199</v>
      </c>
    </row>
    <row r="3298" spans="1:40" x14ac:dyDescent="0.25">
      <c r="A3298" t="str">
        <f>"20190312164536659"</f>
        <v>20190312164536659</v>
      </c>
      <c r="B3298" t="str">
        <f>"1552380336654905"</f>
        <v>1552380336654905</v>
      </c>
      <c r="C3298" t="s">
        <v>40</v>
      </c>
      <c r="D3298">
        <v>5.232869</v>
      </c>
      <c r="E3298">
        <v>0.51536519999999997</v>
      </c>
      <c r="F3298" t="s">
        <v>42</v>
      </c>
      <c r="G3298">
        <v>-216.37569999999999</v>
      </c>
      <c r="H3298">
        <v>1.530928E-2</v>
      </c>
      <c r="I3298">
        <v>129.6163</v>
      </c>
      <c r="J3298">
        <v>-191.81659999999999</v>
      </c>
      <c r="K3298">
        <v>1.106482</v>
      </c>
      <c r="L3298">
        <v>162.3605</v>
      </c>
      <c r="M3298">
        <v>-0.19732759999999999</v>
      </c>
      <c r="N3298">
        <v>0</v>
      </c>
      <c r="O3298">
        <v>-0.98024440000000002</v>
      </c>
      <c r="P3298">
        <v>-0.58327320000000005</v>
      </c>
      <c r="Q3298">
        <v>0.17208670000000001</v>
      </c>
      <c r="R3298">
        <v>-0.79383800000000004</v>
      </c>
      <c r="S3298">
        <v>-1.8289949999999999</v>
      </c>
      <c r="T3298">
        <v>-8.1089019999999998E-2</v>
      </c>
      <c r="U3298">
        <v>-2.4521480000000002</v>
      </c>
      <c r="V3298">
        <v>0.41637030000000003</v>
      </c>
      <c r="W3298">
        <v>0.1813603</v>
      </c>
      <c r="X3298">
        <v>0.89092320000000003</v>
      </c>
      <c r="Y3298">
        <v>0.4277126</v>
      </c>
      <c r="Z3298">
        <v>2.7152039999999999E-2</v>
      </c>
      <c r="AA3298">
        <v>0.9035069</v>
      </c>
      <c r="AB3298">
        <v>27</v>
      </c>
      <c r="AC3298">
        <v>-24.559100000000001</v>
      </c>
      <c r="AD3298">
        <v>-1.0911727200000001</v>
      </c>
      <c r="AE3298">
        <v>-32.744199999999999</v>
      </c>
      <c r="AF3298">
        <v>17.601685766520401</v>
      </c>
      <c r="AG3298">
        <v>-1.0911727200000001</v>
      </c>
      <c r="AH3298">
        <v>36.920643345071802</v>
      </c>
      <c r="AI3298">
        <v>91.528168457597801</v>
      </c>
      <c r="AJ3298">
        <v>64.510820046127705</v>
      </c>
      <c r="AK3298">
        <v>40.916303654438202</v>
      </c>
      <c r="AL3298">
        <v>79.550996187718198</v>
      </c>
      <c r="AM3298">
        <v>64.951104751488302</v>
      </c>
      <c r="AN3298">
        <v>0.99999996671820901</v>
      </c>
    </row>
    <row r="3299" spans="1:40" x14ac:dyDescent="0.25">
      <c r="A3299" t="str">
        <f>"20190312164536677"</f>
        <v>20190312164536677</v>
      </c>
      <c r="B3299" t="str">
        <f>"1552380336664664"</f>
        <v>1552380336664664</v>
      </c>
      <c r="C3299" t="s">
        <v>40</v>
      </c>
      <c r="D3299">
        <v>4.9466460000000003</v>
      </c>
      <c r="E3299">
        <v>0.51502729999999997</v>
      </c>
      <c r="F3299" t="s">
        <v>42</v>
      </c>
      <c r="G3299">
        <v>-216.5986</v>
      </c>
      <c r="H3299">
        <v>4.0327509999999997E-2</v>
      </c>
      <c r="I3299">
        <v>129.6163</v>
      </c>
      <c r="J3299">
        <v>-191.86539999999999</v>
      </c>
      <c r="K3299">
        <v>1.106403</v>
      </c>
      <c r="L3299">
        <v>162.1361</v>
      </c>
      <c r="M3299">
        <v>-0.20055919999999999</v>
      </c>
      <c r="N3299">
        <v>0</v>
      </c>
      <c r="O3299">
        <v>-0.97958820000000002</v>
      </c>
      <c r="P3299">
        <v>-0.59003309999999998</v>
      </c>
      <c r="Q3299">
        <v>0.173066</v>
      </c>
      <c r="R3299">
        <v>-0.78861230000000004</v>
      </c>
      <c r="S3299">
        <v>-1.846436</v>
      </c>
      <c r="T3299">
        <v>-7.9436300000000001E-2</v>
      </c>
      <c r="U3299">
        <v>-2.4396819999999999</v>
      </c>
      <c r="V3299">
        <v>0.4211338</v>
      </c>
      <c r="W3299">
        <v>0.18219869999999999</v>
      </c>
      <c r="X3299">
        <v>0.88851000000000002</v>
      </c>
      <c r="Y3299">
        <v>0.43106729999999999</v>
      </c>
      <c r="Z3299">
        <v>2.660655E-2</v>
      </c>
      <c r="AA3299">
        <v>0.90192740000000005</v>
      </c>
      <c r="AB3299">
        <v>27</v>
      </c>
      <c r="AC3299">
        <v>-24.7332</v>
      </c>
      <c r="AD3299">
        <v>-1.06607549</v>
      </c>
      <c r="AE3299">
        <v>-32.519799999999996</v>
      </c>
      <c r="AF3299">
        <v>17.695777710772401</v>
      </c>
      <c r="AG3299">
        <v>-1.06607549</v>
      </c>
      <c r="AH3299">
        <v>36.794800052018303</v>
      </c>
      <c r="AI3299">
        <v>91.495699684721998</v>
      </c>
      <c r="AJ3299">
        <v>64.315633823346303</v>
      </c>
      <c r="AK3299">
        <v>40.842800792886997</v>
      </c>
      <c r="AL3299">
        <v>79.502146209886803</v>
      </c>
      <c r="AM3299">
        <v>64.640098167666494</v>
      </c>
      <c r="AN3299">
        <v>1.0000000319420601</v>
      </c>
    </row>
    <row r="3300" spans="1:40" x14ac:dyDescent="0.25">
      <c r="A3300" t="str">
        <f>"20190312164536700"</f>
        <v>20190312164536700</v>
      </c>
      <c r="B3300" t="str">
        <f>"1552380336694920"</f>
        <v>1552380336694920</v>
      </c>
      <c r="C3300" t="s">
        <v>40</v>
      </c>
      <c r="D3300">
        <v>4.9315639999999998</v>
      </c>
      <c r="E3300">
        <v>0.51407729999999996</v>
      </c>
      <c r="F3300" t="s">
        <v>42</v>
      </c>
      <c r="G3300">
        <v>-216.8689</v>
      </c>
      <c r="H3300">
        <v>4.7612069999999999E-2</v>
      </c>
      <c r="I3300">
        <v>129.6163</v>
      </c>
      <c r="J3300">
        <v>-191.92679999999999</v>
      </c>
      <c r="K3300">
        <v>1.1063080000000001</v>
      </c>
      <c r="L3300">
        <v>161.85910000000001</v>
      </c>
      <c r="M3300">
        <v>-0.2046771</v>
      </c>
      <c r="N3300">
        <v>0</v>
      </c>
      <c r="O3300">
        <v>-0.97873600000000005</v>
      </c>
      <c r="P3300">
        <v>-0.59700529999999996</v>
      </c>
      <c r="Q3300">
        <v>0.17445949999999999</v>
      </c>
      <c r="R3300">
        <v>-0.78303809999999996</v>
      </c>
      <c r="S3300">
        <v>-1.8652500000000001</v>
      </c>
      <c r="T3300">
        <v>-7.8985570000000005E-2</v>
      </c>
      <c r="U3300">
        <v>-2.425964</v>
      </c>
      <c r="V3300">
        <v>0.42540210000000001</v>
      </c>
      <c r="W3300">
        <v>0.18343590000000001</v>
      </c>
      <c r="X3300">
        <v>0.88621909999999904</v>
      </c>
      <c r="Y3300">
        <v>0.43413429999999997</v>
      </c>
      <c r="Z3300">
        <v>2.6462880000000001E-2</v>
      </c>
      <c r="AA3300">
        <v>0.90045940000000002</v>
      </c>
      <c r="AB3300">
        <v>27</v>
      </c>
      <c r="AC3300">
        <v>-24.9421</v>
      </c>
      <c r="AD3300">
        <v>-1.0586959300000001</v>
      </c>
      <c r="AE3300">
        <v>-32.242800000000003</v>
      </c>
      <c r="AF3300">
        <v>17.8019919575441</v>
      </c>
      <c r="AG3300">
        <v>-1.0586959300000001</v>
      </c>
      <c r="AH3300">
        <v>36.6409085375535</v>
      </c>
      <c r="AI3300">
        <v>91.488715824044803</v>
      </c>
      <c r="AJ3300">
        <v>64.087192495610907</v>
      </c>
      <c r="AK3300">
        <v>40.750312062437303</v>
      </c>
      <c r="AL3300">
        <v>79.430044229949601</v>
      </c>
      <c r="AM3300">
        <v>64.358104482585503</v>
      </c>
      <c r="AN3300">
        <v>0.99999998464901396</v>
      </c>
    </row>
    <row r="3301" spans="1:40" x14ac:dyDescent="0.25">
      <c r="A3301" t="str">
        <f>"20190312164536713"</f>
        <v>20190312164536713</v>
      </c>
      <c r="B3301" t="str">
        <f>"1552380336704681"</f>
        <v>1552380336704681</v>
      </c>
      <c r="C3301" t="s">
        <v>40</v>
      </c>
      <c r="D3301">
        <v>4.9321349999999997</v>
      </c>
      <c r="E3301">
        <v>0.51400210000000002</v>
      </c>
      <c r="F3301" t="s">
        <v>42</v>
      </c>
      <c r="G3301">
        <v>-217.04480000000001</v>
      </c>
      <c r="H3301">
        <v>5.6553470000000002E-2</v>
      </c>
      <c r="I3301">
        <v>129.60980000000001</v>
      </c>
      <c r="J3301">
        <v>-191.96129999999999</v>
      </c>
      <c r="K3301">
        <v>1.106255</v>
      </c>
      <c r="L3301">
        <v>161.7064</v>
      </c>
      <c r="M3301">
        <v>-0.20700479999999999</v>
      </c>
      <c r="N3301">
        <v>0</v>
      </c>
      <c r="O3301">
        <v>-0.97824630000000001</v>
      </c>
      <c r="P3301">
        <v>-0.60054169999999996</v>
      </c>
      <c r="Q3301">
        <v>0.1749647</v>
      </c>
      <c r="R3301">
        <v>-0.78021619999999903</v>
      </c>
      <c r="S3301">
        <v>-1.8807830000000001</v>
      </c>
      <c r="T3301">
        <v>-7.8603510000000001E-2</v>
      </c>
      <c r="U3301">
        <v>-2.4147639999999999</v>
      </c>
      <c r="V3301">
        <v>0.42735869999999998</v>
      </c>
      <c r="W3301">
        <v>0.1838591</v>
      </c>
      <c r="X3301">
        <v>0.88518949999999996</v>
      </c>
      <c r="Y3301">
        <v>0.4376215</v>
      </c>
      <c r="Z3301">
        <v>2.6341300000000002E-2</v>
      </c>
      <c r="AA3301">
        <v>0.89877339999999994</v>
      </c>
      <c r="AB3301">
        <v>27</v>
      </c>
      <c r="AC3301">
        <v>-25.083500000000001</v>
      </c>
      <c r="AD3301">
        <v>-1.0497015300000001</v>
      </c>
      <c r="AE3301">
        <v>-32.096599999999903</v>
      </c>
      <c r="AF3301">
        <v>17.883454850191299</v>
      </c>
      <c r="AG3301">
        <v>-1.0497015300000001</v>
      </c>
      <c r="AH3301">
        <v>36.569853608057301</v>
      </c>
      <c r="AI3301">
        <v>91.477094977532502</v>
      </c>
      <c r="AJ3301">
        <v>63.940359784233401</v>
      </c>
      <c r="AK3301">
        <v>40.721910853932897</v>
      </c>
      <c r="AL3301">
        <v>79.405377703981799</v>
      </c>
      <c r="AM3301">
        <v>64.229316073700403</v>
      </c>
      <c r="AN3301">
        <v>1.00000003901437</v>
      </c>
    </row>
    <row r="3302" spans="1:40" x14ac:dyDescent="0.25">
      <c r="A3302" t="str">
        <f>"20190312164536727"</f>
        <v>20190312164536727</v>
      </c>
      <c r="B3302" t="str">
        <f>"1552380336714441"</f>
        <v>1552380336714441</v>
      </c>
      <c r="C3302" t="s">
        <v>40</v>
      </c>
      <c r="D3302">
        <v>4.8029960000000003</v>
      </c>
      <c r="E3302">
        <v>0.51409199999999999</v>
      </c>
      <c r="F3302" t="s">
        <v>42</v>
      </c>
      <c r="G3302">
        <v>-217.18029999999999</v>
      </c>
      <c r="H3302">
        <v>5.0034420000000003E-2</v>
      </c>
      <c r="I3302">
        <v>129.6163</v>
      </c>
      <c r="J3302">
        <v>-191.99950000000001</v>
      </c>
      <c r="K3302">
        <v>1.106196</v>
      </c>
      <c r="L3302">
        <v>161.53880000000001</v>
      </c>
      <c r="M3302">
        <v>-0.2096075</v>
      </c>
      <c r="N3302">
        <v>0</v>
      </c>
      <c r="O3302">
        <v>-0.9776918</v>
      </c>
      <c r="P3302">
        <v>-0.6040063</v>
      </c>
      <c r="Q3302">
        <v>0.17565819999999999</v>
      </c>
      <c r="R3302">
        <v>-0.77738030000000002</v>
      </c>
      <c r="S3302">
        <v>-1.8915409999999999</v>
      </c>
      <c r="T3302">
        <v>-7.9221369999999999E-2</v>
      </c>
      <c r="U3302">
        <v>-2.4069060000000002</v>
      </c>
      <c r="V3302">
        <v>0.42900850000000001</v>
      </c>
      <c r="W3302">
        <v>0.1844703</v>
      </c>
      <c r="X3302">
        <v>0.88426380000000004</v>
      </c>
      <c r="Y3302">
        <v>0.43913419999999997</v>
      </c>
      <c r="Z3302">
        <v>2.655041E-2</v>
      </c>
      <c r="AA3302">
        <v>0.89802909999999903</v>
      </c>
      <c r="AB3302">
        <v>27</v>
      </c>
      <c r="AC3302">
        <v>-25.180799999999898</v>
      </c>
      <c r="AD3302">
        <v>-1.0561615799999999</v>
      </c>
      <c r="AE3302">
        <v>-31.922499999999999</v>
      </c>
      <c r="AF3302">
        <v>17.9174206664967</v>
      </c>
      <c r="AG3302">
        <v>-1.0561615799999999</v>
      </c>
      <c r="AH3302">
        <v>36.467191186468199</v>
      </c>
      <c r="AI3302">
        <v>91.489004955597096</v>
      </c>
      <c r="AJ3302">
        <v>63.833734444301697</v>
      </c>
      <c r="AK3302">
        <v>40.644870200969997</v>
      </c>
      <c r="AL3302">
        <v>79.369748974947598</v>
      </c>
      <c r="AM3302">
        <v>64.119242183663104</v>
      </c>
      <c r="AN3302">
        <v>1.0000000263223801</v>
      </c>
    </row>
    <row r="3303" spans="1:40" x14ac:dyDescent="0.25">
      <c r="A3303" t="str">
        <f>"20190312164536748"</f>
        <v>20190312164536748</v>
      </c>
      <c r="B3303" t="str">
        <f>"1552380336744696"</f>
        <v>1552380336744696</v>
      </c>
      <c r="C3303" t="s">
        <v>40</v>
      </c>
      <c r="D3303">
        <v>4.9171559999999896</v>
      </c>
      <c r="E3303">
        <v>0.51490029999999998</v>
      </c>
      <c r="F3303" t="s">
        <v>42</v>
      </c>
      <c r="G3303">
        <v>-217.32149999999999</v>
      </c>
      <c r="H3303">
        <v>3.2864339999999999E-2</v>
      </c>
      <c r="I3303">
        <v>129.6163</v>
      </c>
      <c r="J3303">
        <v>-192.0556</v>
      </c>
      <c r="K3303">
        <v>1.106125</v>
      </c>
      <c r="L3303">
        <v>161.29759999999999</v>
      </c>
      <c r="M3303">
        <v>-0.21345620000000001</v>
      </c>
      <c r="N3303">
        <v>0</v>
      </c>
      <c r="O3303">
        <v>-0.97685860000000002</v>
      </c>
      <c r="P3303">
        <v>-0.61019899999999905</v>
      </c>
      <c r="Q3303">
        <v>0.17660670000000001</v>
      </c>
      <c r="R3303">
        <v>-0.77231309999999997</v>
      </c>
      <c r="S3303">
        <v>-1.902847</v>
      </c>
      <c r="T3303">
        <v>-8.0656649999999996E-2</v>
      </c>
      <c r="U3303">
        <v>-2.3988489999999998</v>
      </c>
      <c r="V3303">
        <v>0.43268960000000001</v>
      </c>
      <c r="W3303">
        <v>0.185281</v>
      </c>
      <c r="X3303">
        <v>0.88229849999999999</v>
      </c>
      <c r="Y3303">
        <v>0.43965559999999998</v>
      </c>
      <c r="Z3303">
        <v>2.702833E-2</v>
      </c>
      <c r="AA3303">
        <v>0.89775969999999905</v>
      </c>
      <c r="AB3303">
        <v>27</v>
      </c>
      <c r="AC3303">
        <v>-25.265899999999899</v>
      </c>
      <c r="AD3303">
        <v>-1.0732606600000001</v>
      </c>
      <c r="AE3303">
        <v>-31.6813</v>
      </c>
      <c r="AF3303">
        <v>17.9077260741084</v>
      </c>
      <c r="AG3303">
        <v>-1.0732606600000001</v>
      </c>
      <c r="AH3303">
        <v>36.319174884618697</v>
      </c>
      <c r="AI3303">
        <v>91.518220424703102</v>
      </c>
      <c r="AJ3303">
        <v>63.753691395005902</v>
      </c>
      <c r="AK3303">
        <v>40.508283176272997</v>
      </c>
      <c r="AL3303">
        <v>79.322484156705997</v>
      </c>
      <c r="AM3303">
        <v>63.876122643349298</v>
      </c>
      <c r="AN3303">
        <v>0.99999999100570502</v>
      </c>
    </row>
    <row r="3304" spans="1:40" x14ac:dyDescent="0.25">
      <c r="A3304" t="str">
        <f>"20190312164536767"</f>
        <v>20190312164536767</v>
      </c>
      <c r="B3304" t="str">
        <f>"1552380336754457"</f>
        <v>1552380336754457</v>
      </c>
      <c r="C3304" t="s">
        <v>40</v>
      </c>
      <c r="D3304">
        <v>4.9623780000000002</v>
      </c>
      <c r="E3304">
        <v>0.51522690000000004</v>
      </c>
      <c r="F3304" t="s">
        <v>42</v>
      </c>
      <c r="G3304">
        <v>-217.72370000000001</v>
      </c>
      <c r="H3304">
        <v>2.9794810000000001E-2</v>
      </c>
      <c r="I3304">
        <v>129.6163</v>
      </c>
      <c r="J3304">
        <v>-192.10890000000001</v>
      </c>
      <c r="K3304">
        <v>1.1060449999999999</v>
      </c>
      <c r="L3304">
        <v>161.0728</v>
      </c>
      <c r="M3304">
        <v>-0.21715509999999999</v>
      </c>
      <c r="N3304">
        <v>0</v>
      </c>
      <c r="O3304">
        <v>-0.97604299999999999</v>
      </c>
      <c r="P3304">
        <v>-0.61545709999999998</v>
      </c>
      <c r="Q3304">
        <v>0.17742479999999999</v>
      </c>
      <c r="R3304">
        <v>-0.76794119999999999</v>
      </c>
      <c r="S3304">
        <v>-1.9279790000000001</v>
      </c>
      <c r="T3304">
        <v>-8.0845E-2</v>
      </c>
      <c r="U3304">
        <v>-2.3796390000000001</v>
      </c>
      <c r="V3304">
        <v>0.43546000000000001</v>
      </c>
      <c r="W3304">
        <v>0.18597630000000001</v>
      </c>
      <c r="X3304">
        <v>0.88078799999999902</v>
      </c>
      <c r="Y3304">
        <v>0.44551420000000003</v>
      </c>
      <c r="Z3304">
        <v>2.7105790000000001E-2</v>
      </c>
      <c r="AA3304">
        <v>0.8948644</v>
      </c>
      <c r="AB3304">
        <v>27</v>
      </c>
      <c r="AC3304">
        <v>-25.614799999999999</v>
      </c>
      <c r="AD3304">
        <v>-1.0762501900000001</v>
      </c>
      <c r="AE3304">
        <v>-31.456499999999998</v>
      </c>
      <c r="AF3304">
        <v>18.159094520508301</v>
      </c>
      <c r="AG3304">
        <v>-1.0762501900000001</v>
      </c>
      <c r="AH3304">
        <v>36.243102408161498</v>
      </c>
      <c r="AI3304">
        <v>91.520804646684596</v>
      </c>
      <c r="AJ3304">
        <v>63.3874874961028</v>
      </c>
      <c r="AK3304">
        <v>40.552108458682099</v>
      </c>
      <c r="AL3304">
        <v>79.281942393955305</v>
      </c>
      <c r="AM3304">
        <v>63.692291420066802</v>
      </c>
      <c r="AN3304">
        <v>1.00000004835284</v>
      </c>
    </row>
    <row r="3305" spans="1:40" x14ac:dyDescent="0.25">
      <c r="A3305" t="str">
        <f>"20190312164536792"</f>
        <v>20190312164536792</v>
      </c>
      <c r="B3305" t="str">
        <f>"1552380336784711"</f>
        <v>1552380336784711</v>
      </c>
      <c r="C3305" t="s">
        <v>40</v>
      </c>
      <c r="D3305">
        <v>4.8032859999999999</v>
      </c>
      <c r="E3305">
        <v>0.51594759999999995</v>
      </c>
      <c r="F3305" t="s">
        <v>42</v>
      </c>
      <c r="G3305">
        <v>-218.03639999999999</v>
      </c>
      <c r="H3305">
        <v>7.0109340000000006E-2</v>
      </c>
      <c r="I3305">
        <v>129.59620000000001</v>
      </c>
      <c r="J3305">
        <v>-192.18039999999999</v>
      </c>
      <c r="K3305">
        <v>1.1059349999999999</v>
      </c>
      <c r="L3305">
        <v>160.77770000000001</v>
      </c>
      <c r="M3305">
        <v>-0.22216910000000001</v>
      </c>
      <c r="N3305">
        <v>0</v>
      </c>
      <c r="O3305">
        <v>-0.97491380000000005</v>
      </c>
      <c r="P3305">
        <v>-0.62143530000000002</v>
      </c>
      <c r="Q3305">
        <v>0.17776939999999999</v>
      </c>
      <c r="R3305">
        <v>-0.76303120000000002</v>
      </c>
      <c r="S3305">
        <v>-1.94722</v>
      </c>
      <c r="T3305">
        <v>-7.7801229999999999E-2</v>
      </c>
      <c r="U3305">
        <v>-2.3639679999999998</v>
      </c>
      <c r="V3305">
        <v>0.43788709999999997</v>
      </c>
      <c r="W3305">
        <v>0.18617400000000001</v>
      </c>
      <c r="X3305">
        <v>0.87954209999999999</v>
      </c>
      <c r="Y3305">
        <v>0.44817879999999899</v>
      </c>
      <c r="Z3305">
        <v>2.6095730000000001E-2</v>
      </c>
      <c r="AA3305">
        <v>0.893562999999999</v>
      </c>
      <c r="AB3305">
        <v>27</v>
      </c>
      <c r="AC3305">
        <v>-25.855999999999899</v>
      </c>
      <c r="AD3305">
        <v>-1.03582566</v>
      </c>
      <c r="AE3305">
        <v>-31.1815</v>
      </c>
      <c r="AF3305">
        <v>18.269540662562701</v>
      </c>
      <c r="AG3305">
        <v>-1.03582566</v>
      </c>
      <c r="AH3305">
        <v>36.123382947649397</v>
      </c>
      <c r="AI3305">
        <v>91.465777788876494</v>
      </c>
      <c r="AJ3305">
        <v>63.1718183877706</v>
      </c>
      <c r="AK3305">
        <v>40.493800098304803</v>
      </c>
      <c r="AL3305">
        <v>79.270414107809103</v>
      </c>
      <c r="AM3305">
        <v>63.5332134456605</v>
      </c>
      <c r="AN3305">
        <v>1.0000000881474</v>
      </c>
    </row>
    <row r="3306" spans="1:40" x14ac:dyDescent="0.25">
      <c r="A3306" t="str">
        <f>"20190312164536804"</f>
        <v>20190312164536804</v>
      </c>
      <c r="B3306" t="str">
        <f>"1552380336794472"</f>
        <v>1552380336794472</v>
      </c>
      <c r="C3306" t="s">
        <v>40</v>
      </c>
      <c r="D3306">
        <v>4.8724949999999998</v>
      </c>
      <c r="E3306">
        <v>0.51618520000000001</v>
      </c>
      <c r="F3306" t="s">
        <v>42</v>
      </c>
      <c r="G3306">
        <v>-218.39859999999999</v>
      </c>
      <c r="H3306">
        <v>7.7053720000000006E-2</v>
      </c>
      <c r="I3306">
        <v>129.58930000000001</v>
      </c>
      <c r="J3306">
        <v>-192.21799999999999</v>
      </c>
      <c r="K3306">
        <v>1.1058760000000001</v>
      </c>
      <c r="L3306">
        <v>160.62540000000001</v>
      </c>
      <c r="M3306">
        <v>-0.22482279999999999</v>
      </c>
      <c r="N3306">
        <v>0</v>
      </c>
      <c r="O3306">
        <v>-0.97430539999999999</v>
      </c>
      <c r="P3306">
        <v>-0.62434100000000003</v>
      </c>
      <c r="Q3306">
        <v>0.17772189999999999</v>
      </c>
      <c r="R3306">
        <v>-0.76066669999999903</v>
      </c>
      <c r="S3306">
        <v>-1.970901</v>
      </c>
      <c r="T3306">
        <v>-7.7344179999999998E-2</v>
      </c>
      <c r="U3306">
        <v>-2.3445279999999999</v>
      </c>
      <c r="V3306">
        <v>0.4388725</v>
      </c>
      <c r="W3306">
        <v>0.1860541</v>
      </c>
      <c r="X3306">
        <v>0.87907610000000003</v>
      </c>
      <c r="Y3306">
        <v>0.45467400000000002</v>
      </c>
      <c r="Z3306">
        <v>2.5963130000000001E-2</v>
      </c>
      <c r="AA3306">
        <v>0.89027939999999905</v>
      </c>
      <c r="AB3306">
        <v>27</v>
      </c>
      <c r="AC3306">
        <v>-26.180599999999998</v>
      </c>
      <c r="AD3306">
        <v>-1.02882228</v>
      </c>
      <c r="AE3306">
        <v>-31.036100000000001</v>
      </c>
      <c r="AF3306">
        <v>18.520088984090101</v>
      </c>
      <c r="AG3306">
        <v>-1.02882228</v>
      </c>
      <c r="AH3306">
        <v>36.104774060610701</v>
      </c>
      <c r="AI3306">
        <v>91.452388181481794</v>
      </c>
      <c r="AJ3306">
        <v>62.844262042048598</v>
      </c>
      <c r="AK3306">
        <v>40.590724078663499</v>
      </c>
      <c r="AL3306">
        <v>79.277405016865302</v>
      </c>
      <c r="AM3306">
        <v>63.4696623164836</v>
      </c>
      <c r="AN3306">
        <v>0.99999999448713495</v>
      </c>
    </row>
    <row r="3307" spans="1:40" x14ac:dyDescent="0.25">
      <c r="A3307" t="str">
        <f>"20190312164536824"</f>
        <v>20190312164536824</v>
      </c>
      <c r="B3307" t="str">
        <f>"1552380336814968"</f>
        <v>1552380336814968</v>
      </c>
      <c r="C3307" t="s">
        <v>40</v>
      </c>
      <c r="D3307">
        <v>4.7498269999999998</v>
      </c>
      <c r="E3307">
        <v>0.51642579999999905</v>
      </c>
      <c r="F3307" t="s">
        <v>42</v>
      </c>
      <c r="G3307">
        <v>-218.54560000000001</v>
      </c>
      <c r="H3307">
        <v>7.5237100000000001E-2</v>
      </c>
      <c r="I3307">
        <v>129.59110000000001</v>
      </c>
      <c r="J3307">
        <v>-192.27539999999999</v>
      </c>
      <c r="K3307">
        <v>1.1057950000000001</v>
      </c>
      <c r="L3307">
        <v>160.39660000000001</v>
      </c>
      <c r="M3307">
        <v>-0.22887979999999999</v>
      </c>
      <c r="N3307">
        <v>0</v>
      </c>
      <c r="O3307">
        <v>-0.97335989999999994</v>
      </c>
      <c r="P3307">
        <v>-0.62900009999999995</v>
      </c>
      <c r="Q3307">
        <v>0.17740719999999999</v>
      </c>
      <c r="R3307">
        <v>-0.75689209999999996</v>
      </c>
      <c r="S3307">
        <v>-1.9814609999999999</v>
      </c>
      <c r="T3307">
        <v>-7.7567460000000005E-2</v>
      </c>
      <c r="U3307">
        <v>-2.335693</v>
      </c>
      <c r="V3307">
        <v>0.44062869999999998</v>
      </c>
      <c r="W3307">
        <v>0.18563569999999999</v>
      </c>
      <c r="X3307">
        <v>0.87828569999999995</v>
      </c>
      <c r="Y3307">
        <v>0.45496419999999999</v>
      </c>
      <c r="Z3307">
        <v>2.603929E-2</v>
      </c>
      <c r="AA3307">
        <v>0.89012899999999995</v>
      </c>
      <c r="AB3307">
        <v>27</v>
      </c>
      <c r="AC3307">
        <v>-26.270199999999999</v>
      </c>
      <c r="AD3307">
        <v>-1.0305579</v>
      </c>
      <c r="AE3307">
        <v>-30.805499999999899</v>
      </c>
      <c r="AF3307">
        <v>18.509318589743099</v>
      </c>
      <c r="AG3307">
        <v>-1.0305579</v>
      </c>
      <c r="AH3307">
        <v>35.977566998517702</v>
      </c>
      <c r="AI3307">
        <v>91.459081062639001</v>
      </c>
      <c r="AJ3307">
        <v>62.775614765840103</v>
      </c>
      <c r="AK3307">
        <v>40.472734666373803</v>
      </c>
      <c r="AL3307">
        <v>79.301802849572198</v>
      </c>
      <c r="AM3307">
        <v>63.3574566709054</v>
      </c>
      <c r="AN3307">
        <v>1.0000000176013299</v>
      </c>
    </row>
    <row r="3308" spans="1:40" x14ac:dyDescent="0.25">
      <c r="A3308" t="str">
        <f>"20190312164536845"</f>
        <v>20190312164536845</v>
      </c>
      <c r="B3308" t="str">
        <f>"1552380336834492"</f>
        <v>1552380336834492</v>
      </c>
      <c r="C3308" t="s">
        <v>40</v>
      </c>
      <c r="D3308">
        <v>4.7784750000000003</v>
      </c>
      <c r="E3308">
        <v>0.51685909999999902</v>
      </c>
      <c r="F3308" t="s">
        <v>42</v>
      </c>
      <c r="G3308">
        <v>-218.41759999999999</v>
      </c>
      <c r="H3308" s="1">
        <v>-3.1544600000000002E-6</v>
      </c>
      <c r="I3308">
        <v>129.98519999999999</v>
      </c>
      <c r="J3308">
        <v>-192.3381</v>
      </c>
      <c r="K3308">
        <v>1.1057110000000001</v>
      </c>
      <c r="L3308">
        <v>160.1514</v>
      </c>
      <c r="M3308">
        <v>-0.23333090000000001</v>
      </c>
      <c r="N3308">
        <v>0</v>
      </c>
      <c r="O3308">
        <v>-0.97230260000000002</v>
      </c>
      <c r="P3308">
        <v>-0.63350340000000005</v>
      </c>
      <c r="Q3308">
        <v>0.1768198</v>
      </c>
      <c r="R3308">
        <v>-0.75326539999999997</v>
      </c>
      <c r="S3308">
        <v>-1.9973449999999999</v>
      </c>
      <c r="T3308">
        <v>-8.4486249999999999E-2</v>
      </c>
      <c r="U3308">
        <v>-2.3235169999999998</v>
      </c>
      <c r="V3308">
        <v>0.4418511</v>
      </c>
      <c r="W3308">
        <v>0.18495020000000001</v>
      </c>
      <c r="X3308">
        <v>0.87781609999999999</v>
      </c>
      <c r="Y3308">
        <v>0.45665509999999898</v>
      </c>
      <c r="Z3308">
        <v>2.8357429999999999E-2</v>
      </c>
      <c r="AA3308">
        <v>0.88919169999999903</v>
      </c>
      <c r="AB3308">
        <v>27</v>
      </c>
      <c r="AC3308">
        <v>-26.079499999999999</v>
      </c>
      <c r="AD3308">
        <v>-1.10571415446</v>
      </c>
      <c r="AE3308">
        <v>-30.1662</v>
      </c>
      <c r="AF3308">
        <v>18.3060728456174</v>
      </c>
      <c r="AG3308">
        <v>-1.10571415446</v>
      </c>
      <c r="AH3308">
        <v>35.391881120445198</v>
      </c>
      <c r="AI3308">
        <v>91.589535293108199</v>
      </c>
      <c r="AJ3308">
        <v>62.650216895325698</v>
      </c>
      <c r="AK3308">
        <v>39.861261345624101</v>
      </c>
      <c r="AL3308">
        <v>79.341771448358699</v>
      </c>
      <c r="AM3308">
        <v>63.281478768682199</v>
      </c>
      <c r="AN3308">
        <v>1.0000000382352201</v>
      </c>
    </row>
    <row r="3309" spans="1:40" x14ac:dyDescent="0.25">
      <c r="A3309" t="str">
        <f>"20190312164536858"</f>
        <v>20190312164536858</v>
      </c>
      <c r="B3309" t="str">
        <f>"1552380336854984"</f>
        <v>1552380336854984</v>
      </c>
      <c r="C3309" t="s">
        <v>40</v>
      </c>
      <c r="D3309">
        <v>4.7720010000000004</v>
      </c>
      <c r="E3309">
        <v>0.51717329999999995</v>
      </c>
      <c r="F3309" t="s">
        <v>42</v>
      </c>
      <c r="G3309">
        <v>-218.12700000000001</v>
      </c>
      <c r="H3309" s="1">
        <v>-3.1075829999999999E-6</v>
      </c>
      <c r="I3309">
        <v>130.58080000000001</v>
      </c>
      <c r="J3309">
        <v>-192.37819999999999</v>
      </c>
      <c r="K3309">
        <v>1.105658</v>
      </c>
      <c r="L3309">
        <v>159.99780000000001</v>
      </c>
      <c r="M3309">
        <v>-0.2361849</v>
      </c>
      <c r="N3309">
        <v>0</v>
      </c>
      <c r="O3309">
        <v>-0.97161330000000001</v>
      </c>
      <c r="P3309">
        <v>-0.63627210000000001</v>
      </c>
      <c r="Q3309">
        <v>0.17629</v>
      </c>
      <c r="R3309">
        <v>-0.75105250000000001</v>
      </c>
      <c r="S3309">
        <v>-2.013916</v>
      </c>
      <c r="T3309">
        <v>-8.6347820000000006E-2</v>
      </c>
      <c r="U3309">
        <v>-2.3092350000000001</v>
      </c>
      <c r="V3309">
        <v>0.44249559999999999</v>
      </c>
      <c r="W3309">
        <v>0.184362</v>
      </c>
      <c r="X3309">
        <v>0.87761520000000004</v>
      </c>
      <c r="Y3309">
        <v>0.4603757</v>
      </c>
      <c r="Z3309">
        <v>2.8996109999999999E-2</v>
      </c>
      <c r="AA3309">
        <v>0.88725049999999905</v>
      </c>
      <c r="AB3309">
        <v>27</v>
      </c>
      <c r="AC3309">
        <v>-25.748799999999999</v>
      </c>
      <c r="AD3309">
        <v>-1.1056611075830001</v>
      </c>
      <c r="AE3309">
        <v>-29.416999999999899</v>
      </c>
      <c r="AF3309">
        <v>18.0572472014893</v>
      </c>
      <c r="AG3309">
        <v>-1.1056611075830001</v>
      </c>
      <c r="AH3309">
        <v>34.638914118836396</v>
      </c>
      <c r="AI3309">
        <v>91.621298764916901</v>
      </c>
      <c r="AJ3309">
        <v>62.466993178327101</v>
      </c>
      <c r="AK3309">
        <v>39.0786518998883</v>
      </c>
      <c r="AL3309">
        <v>79.376062875847595</v>
      </c>
      <c r="AM3309">
        <v>63.242653658320897</v>
      </c>
      <c r="AN3309">
        <v>1.0000000711671899</v>
      </c>
    </row>
    <row r="3310" spans="1:40" x14ac:dyDescent="0.25">
      <c r="A3310" t="str">
        <f>"20190312164536880"</f>
        <v>20190312164536880</v>
      </c>
      <c r="B3310" t="str">
        <f>"1552380336874505"</f>
        <v>1552380336874505</v>
      </c>
      <c r="C3310" t="s">
        <v>40</v>
      </c>
      <c r="D3310">
        <v>4.903632</v>
      </c>
      <c r="E3310">
        <v>0.51738509999999904</v>
      </c>
      <c r="F3310" t="s">
        <v>42</v>
      </c>
      <c r="G3310">
        <v>-217.95609999999999</v>
      </c>
      <c r="H3310" s="1">
        <v>-3.0763099999999902E-6</v>
      </c>
      <c r="I3310">
        <v>130.94499999999999</v>
      </c>
      <c r="J3310">
        <v>-192.4461</v>
      </c>
      <c r="K3310">
        <v>1.105561</v>
      </c>
      <c r="L3310">
        <v>159.7415</v>
      </c>
      <c r="M3310">
        <v>-0.2410429</v>
      </c>
      <c r="N3310">
        <v>0</v>
      </c>
      <c r="O3310">
        <v>-0.97041929999999998</v>
      </c>
      <c r="P3310">
        <v>-0.64171029999999996</v>
      </c>
      <c r="Q3310">
        <v>0.1756576</v>
      </c>
      <c r="R3310">
        <v>-0.74656</v>
      </c>
      <c r="S3310">
        <v>-2.0246430000000002</v>
      </c>
      <c r="T3310">
        <v>-8.7519529999999998E-2</v>
      </c>
      <c r="U3310">
        <v>-2.2996979999999998</v>
      </c>
      <c r="V3310">
        <v>0.44448140000000003</v>
      </c>
      <c r="W3310">
        <v>0.183613</v>
      </c>
      <c r="X3310">
        <v>0.876768199999999</v>
      </c>
      <c r="Y3310">
        <v>0.46008329999999997</v>
      </c>
      <c r="Z3310">
        <v>2.9388839999999999E-2</v>
      </c>
      <c r="AA3310">
        <v>0.88738919999999999</v>
      </c>
      <c r="AB3310">
        <v>27</v>
      </c>
      <c r="AC3310">
        <v>-25.509999999999899</v>
      </c>
      <c r="AD3310">
        <v>-1.1055640763099901</v>
      </c>
      <c r="AE3310">
        <v>-28.796500000000002</v>
      </c>
      <c r="AF3310">
        <v>17.801148604692401</v>
      </c>
      <c r="AG3310">
        <v>-1.1055640763099901</v>
      </c>
      <c r="AH3310">
        <v>34.0686968006735</v>
      </c>
      <c r="AI3310">
        <v>91.647459396994194</v>
      </c>
      <c r="AJ3310">
        <v>62.412596069735301</v>
      </c>
      <c r="AK3310">
        <v>38.454899106217802</v>
      </c>
      <c r="AL3310">
        <v>79.419721586909205</v>
      </c>
      <c r="AM3310">
        <v>63.117075171369997</v>
      </c>
      <c r="AN3310">
        <v>0.99999996262309898</v>
      </c>
    </row>
    <row r="3311" spans="1:40" x14ac:dyDescent="0.25">
      <c r="A3311" t="str">
        <f>"20190312164536894"</f>
        <v>20190312164536894</v>
      </c>
      <c r="B3311" t="str">
        <f>"1552380336885241"</f>
        <v>1552380336885241</v>
      </c>
      <c r="C3311" t="s">
        <v>40</v>
      </c>
      <c r="D3311">
        <v>4.7644640000000003</v>
      </c>
      <c r="E3311">
        <v>0.51746979999999998</v>
      </c>
      <c r="F3311" t="s">
        <v>42</v>
      </c>
      <c r="G3311">
        <v>-217.43049999999999</v>
      </c>
      <c r="H3311" s="1">
        <v>-3.0465789999999998E-6</v>
      </c>
      <c r="I3311">
        <v>131.81530000000001</v>
      </c>
      <c r="J3311">
        <v>-192.488</v>
      </c>
      <c r="K3311">
        <v>1.105504</v>
      </c>
      <c r="L3311">
        <v>159.58600000000001</v>
      </c>
      <c r="M3311">
        <v>-0.2440503</v>
      </c>
      <c r="N3311">
        <v>0</v>
      </c>
      <c r="O3311">
        <v>-0.96966739999999996</v>
      </c>
      <c r="P3311">
        <v>-0.64541919999999897</v>
      </c>
      <c r="Q3311">
        <v>0.17585580000000001</v>
      </c>
      <c r="R3311">
        <v>-0.74330969999999996</v>
      </c>
      <c r="S3311">
        <v>-2.0430450000000002</v>
      </c>
      <c r="T3311">
        <v>-9.0404990000000005E-2</v>
      </c>
      <c r="U3311">
        <v>-2.2835999999999999</v>
      </c>
      <c r="V3311">
        <v>0.44616939999999999</v>
      </c>
      <c r="W3311">
        <v>0.18373020000000001</v>
      </c>
      <c r="X3311">
        <v>0.8758859</v>
      </c>
      <c r="Y3311">
        <v>0.46438659999999998</v>
      </c>
      <c r="Z3311">
        <v>3.0373239999999999E-2</v>
      </c>
      <c r="AA3311">
        <v>0.8851116</v>
      </c>
      <c r="AB3311">
        <v>27</v>
      </c>
      <c r="AC3311">
        <v>-24.9424999999999</v>
      </c>
      <c r="AD3311">
        <v>-1.105507046579</v>
      </c>
      <c r="AE3311">
        <v>-27.770700000000001</v>
      </c>
      <c r="AF3311">
        <v>17.394830752380301</v>
      </c>
      <c r="AG3311">
        <v>-1.105507046579</v>
      </c>
      <c r="AH3311">
        <v>32.989678209640402</v>
      </c>
      <c r="AI3311">
        <v>91.697888616874394</v>
      </c>
      <c r="AJ3311">
        <v>62.198170018937198</v>
      </c>
      <c r="AK3311">
        <v>37.311139772320203</v>
      </c>
      <c r="AL3311">
        <v>79.412890864562598</v>
      </c>
      <c r="AM3311">
        <v>63.006063771817402</v>
      </c>
      <c r="AN3311">
        <v>1.0000000148535999</v>
      </c>
    </row>
    <row r="3312" spans="1:40" x14ac:dyDescent="0.25">
      <c r="A3312" t="str">
        <f>"20190312164536913"</f>
        <v>20190312164536913</v>
      </c>
      <c r="B3312" t="str">
        <f>"1552380336904764"</f>
        <v>1552380336904764</v>
      </c>
      <c r="C3312" t="s">
        <v>40</v>
      </c>
      <c r="D3312">
        <v>4.776097</v>
      </c>
      <c r="E3312">
        <v>0.51758159999999998</v>
      </c>
      <c r="F3312" t="s">
        <v>42</v>
      </c>
      <c r="G3312">
        <v>-217.00579999999999</v>
      </c>
      <c r="H3312" s="1">
        <v>-3.0345930000000002E-6</v>
      </c>
      <c r="I3312">
        <v>132.4734</v>
      </c>
      <c r="J3312">
        <v>-192.55099999999999</v>
      </c>
      <c r="K3312">
        <v>1.1054280000000001</v>
      </c>
      <c r="L3312">
        <v>159.3563</v>
      </c>
      <c r="M3312">
        <v>-0.24857779999999999</v>
      </c>
      <c r="N3312">
        <v>0</v>
      </c>
      <c r="O3312">
        <v>-0.9685165</v>
      </c>
      <c r="P3312">
        <v>-0.65235889999999996</v>
      </c>
      <c r="Q3312">
        <v>0.175703</v>
      </c>
      <c r="R3312">
        <v>-0.7372628</v>
      </c>
      <c r="S3312">
        <v>-2.0555270000000001</v>
      </c>
      <c r="T3312">
        <v>-9.2683550000000003E-2</v>
      </c>
      <c r="U3312">
        <v>-2.2730709999999998</v>
      </c>
      <c r="V3312">
        <v>0.45032050000000001</v>
      </c>
      <c r="W3312">
        <v>0.1834307</v>
      </c>
      <c r="X3312">
        <v>0.87382179999999998</v>
      </c>
      <c r="Y3312">
        <v>0.46494770000000002</v>
      </c>
      <c r="Z3312">
        <v>3.1134330000000002E-2</v>
      </c>
      <c r="AA3312">
        <v>0.88479050000000004</v>
      </c>
      <c r="AB3312">
        <v>27</v>
      </c>
      <c r="AC3312">
        <v>-24.454799999999999</v>
      </c>
      <c r="AD3312">
        <v>-1.1054310345930001</v>
      </c>
      <c r="AE3312">
        <v>-26.882899999999999</v>
      </c>
      <c r="AF3312">
        <v>16.988238927496301</v>
      </c>
      <c r="AG3312">
        <v>-1.1054310345930001</v>
      </c>
      <c r="AH3312">
        <v>32.088732067544299</v>
      </c>
      <c r="AI3312">
        <v>91.743874261765399</v>
      </c>
      <c r="AJ3312">
        <v>62.102608113510499</v>
      </c>
      <c r="AK3312">
        <v>36.325045978396098</v>
      </c>
      <c r="AL3312">
        <v>79.430347007429901</v>
      </c>
      <c r="AM3312">
        <v>62.735869744887601</v>
      </c>
      <c r="AN3312">
        <v>0.99999995628898897</v>
      </c>
    </row>
    <row r="3313" spans="1:40" x14ac:dyDescent="0.25">
      <c r="A3313" t="str">
        <f>"20190312164536937"</f>
        <v>20190312164536937</v>
      </c>
      <c r="B3313" t="str">
        <f>"1552380336925256"</f>
        <v>1552380336925256</v>
      </c>
      <c r="C3313" t="s">
        <v>40</v>
      </c>
      <c r="D3313">
        <v>4.8885420000000002</v>
      </c>
      <c r="E3313">
        <v>0.51779189999999997</v>
      </c>
      <c r="F3313" t="s">
        <v>42</v>
      </c>
      <c r="G3313">
        <v>-216.21469999999999</v>
      </c>
      <c r="H3313" s="1">
        <v>-3.0128289999999999E-6</v>
      </c>
      <c r="I3313">
        <v>133.6969</v>
      </c>
      <c r="J3313">
        <v>-192.6258</v>
      </c>
      <c r="K3313">
        <v>1.10534</v>
      </c>
      <c r="L3313">
        <v>159.08940000000001</v>
      </c>
      <c r="M3313">
        <v>-0.25396600000000003</v>
      </c>
      <c r="N3313">
        <v>0</v>
      </c>
      <c r="O3313">
        <v>-0.96711740000000002</v>
      </c>
      <c r="P3313">
        <v>-0.66007079999999996</v>
      </c>
      <c r="Q3313">
        <v>0.1754609</v>
      </c>
      <c r="R3313">
        <v>-0.73042479999999999</v>
      </c>
      <c r="S3313">
        <v>-2.0781559999999999</v>
      </c>
      <c r="T3313">
        <v>-9.7079280000000004E-2</v>
      </c>
      <c r="U3313">
        <v>-2.2534179999999999</v>
      </c>
      <c r="V3313">
        <v>0.45467000000000002</v>
      </c>
      <c r="W3313">
        <v>0.1830234</v>
      </c>
      <c r="X3313">
        <v>0.87165219999999899</v>
      </c>
      <c r="Y3313">
        <v>0.4686322</v>
      </c>
      <c r="Z3313">
        <v>3.2617269999999997E-2</v>
      </c>
      <c r="AA3313">
        <v>0.88279099999999999</v>
      </c>
      <c r="AB3313">
        <v>27</v>
      </c>
      <c r="AC3313">
        <v>-23.588899999999899</v>
      </c>
      <c r="AD3313">
        <v>-1.105343012829</v>
      </c>
      <c r="AE3313">
        <v>-25.392499999999998</v>
      </c>
      <c r="AF3313">
        <v>16.349290348333898</v>
      </c>
      <c r="AG3313">
        <v>-1.105343012829</v>
      </c>
      <c r="AH3313">
        <v>30.5200937297734</v>
      </c>
      <c r="AI3313">
        <v>91.828535138669295</v>
      </c>
      <c r="AJ3313">
        <v>61.822518304191597</v>
      </c>
      <c r="AK3313">
        <v>34.640975727370702</v>
      </c>
      <c r="AL3313">
        <v>79.454085558361697</v>
      </c>
      <c r="AM3313">
        <v>62.452616956092797</v>
      </c>
      <c r="AN3313">
        <v>0.99999996580619899</v>
      </c>
    </row>
    <row r="3314" spans="1:40" x14ac:dyDescent="0.25">
      <c r="A3314" t="str">
        <f>"20190312164536961"</f>
        <v>20190312164536961</v>
      </c>
      <c r="B3314" t="str">
        <f>"1552380336955116"</f>
        <v>1552380336955116</v>
      </c>
      <c r="C3314" t="s">
        <v>40</v>
      </c>
      <c r="D3314">
        <v>4.890695</v>
      </c>
      <c r="E3314">
        <v>0.51798230000000001</v>
      </c>
      <c r="F3314" t="s">
        <v>42</v>
      </c>
      <c r="G3314">
        <v>-216.23949999999999</v>
      </c>
      <c r="H3314" s="1">
        <v>-2.9048250000000002E-6</v>
      </c>
      <c r="I3314">
        <v>134.06700000000001</v>
      </c>
      <c r="J3314">
        <v>-192.70910000000001</v>
      </c>
      <c r="K3314">
        <v>1.1052379999999999</v>
      </c>
      <c r="L3314">
        <v>158.79949999999999</v>
      </c>
      <c r="M3314">
        <v>-0.25997389999999998</v>
      </c>
      <c r="N3314">
        <v>0</v>
      </c>
      <c r="O3314">
        <v>-0.96551940000000003</v>
      </c>
      <c r="P3314">
        <v>-0.66846359999999905</v>
      </c>
      <c r="Q3314">
        <v>0.17557159999999999</v>
      </c>
      <c r="R3314">
        <v>-0.72272460000000005</v>
      </c>
      <c r="S3314">
        <v>-2.1040040000000002</v>
      </c>
      <c r="T3314">
        <v>-9.8487019999999995E-2</v>
      </c>
      <c r="U3314">
        <v>-2.2295229999999999</v>
      </c>
      <c r="V3314">
        <v>0.45937840000000002</v>
      </c>
      <c r="W3314">
        <v>0.18295259999999999</v>
      </c>
      <c r="X3314">
        <v>0.86919489999999999</v>
      </c>
      <c r="Y3314">
        <v>0.47326000000000001</v>
      </c>
      <c r="Z3314">
        <v>3.3108110000000003E-2</v>
      </c>
      <c r="AA3314">
        <v>0.88030039999999998</v>
      </c>
      <c r="AB3314">
        <v>27</v>
      </c>
      <c r="AC3314">
        <v>-23.530399999999901</v>
      </c>
      <c r="AD3314">
        <v>-1.105240904825</v>
      </c>
      <c r="AE3314">
        <v>-24.732499999999899</v>
      </c>
      <c r="AF3314">
        <v>16.273708933711799</v>
      </c>
      <c r="AG3314">
        <v>-1.105240904825</v>
      </c>
      <c r="AH3314">
        <v>29.9683733127927</v>
      </c>
      <c r="AI3314">
        <v>91.856305685704299</v>
      </c>
      <c r="AJ3314">
        <v>61.4967371070911</v>
      </c>
      <c r="AK3314">
        <v>34.119767861633797</v>
      </c>
      <c r="AL3314">
        <v>79.458211827790194</v>
      </c>
      <c r="AM3314">
        <v>62.143089895858701</v>
      </c>
      <c r="AN3314">
        <v>0.999999971209664</v>
      </c>
    </row>
    <row r="3315" spans="1:40" x14ac:dyDescent="0.25">
      <c r="A3315" t="str">
        <f>"20190312164536985"</f>
        <v>20190312164536985</v>
      </c>
      <c r="B3315" t="str">
        <f>"1552380336974636"</f>
        <v>1552380336974636</v>
      </c>
      <c r="C3315" t="s">
        <v>40</v>
      </c>
      <c r="D3315">
        <v>4.9329460000000003</v>
      </c>
      <c r="E3315">
        <v>0.5180032</v>
      </c>
      <c r="F3315" t="s">
        <v>42</v>
      </c>
      <c r="G3315">
        <v>-216.50280000000001</v>
      </c>
      <c r="H3315" s="1">
        <v>-2.7669799999999998E-6</v>
      </c>
      <c r="I3315">
        <v>134.20509999999999</v>
      </c>
      <c r="J3315">
        <v>-192.78819999999999</v>
      </c>
      <c r="K3315">
        <v>1.105138</v>
      </c>
      <c r="L3315">
        <v>158.53059999999999</v>
      </c>
      <c r="M3315">
        <v>-0.26569559999999998</v>
      </c>
      <c r="N3315">
        <v>0</v>
      </c>
      <c r="O3315">
        <v>-0.96396059999999995</v>
      </c>
      <c r="P3315">
        <v>-0.67656810000000001</v>
      </c>
      <c r="Q3315">
        <v>0.175238</v>
      </c>
      <c r="R3315">
        <v>-0.71522549999999996</v>
      </c>
      <c r="S3315">
        <v>-2.1316679999999999</v>
      </c>
      <c r="T3315">
        <v>-9.9018220000000004E-2</v>
      </c>
      <c r="U3315">
        <v>-2.2033999999999998</v>
      </c>
      <c r="V3315">
        <v>0.4640455</v>
      </c>
      <c r="W3315">
        <v>0.18244160000000001</v>
      </c>
      <c r="X3315">
        <v>0.86682000000000003</v>
      </c>
      <c r="Y3315">
        <v>0.47894740000000002</v>
      </c>
      <c r="Z3315">
        <v>3.3309810000000002E-2</v>
      </c>
      <c r="AA3315">
        <v>0.87721139999999997</v>
      </c>
      <c r="AB3315">
        <v>27</v>
      </c>
      <c r="AC3315">
        <v>-23.714600000000001</v>
      </c>
      <c r="AD3315">
        <v>-1.10514076698</v>
      </c>
      <c r="AE3315">
        <v>-24.325500000000002</v>
      </c>
      <c r="AF3315">
        <v>16.3809501825098</v>
      </c>
      <c r="AG3315">
        <v>-1.10514076698</v>
      </c>
      <c r="AH3315">
        <v>29.721000559563102</v>
      </c>
      <c r="AI3315">
        <v>91.865185851974701</v>
      </c>
      <c r="AJ3315">
        <v>61.138317011029898</v>
      </c>
      <c r="AK3315">
        <v>33.954303692731798</v>
      </c>
      <c r="AL3315">
        <v>79.487991890731195</v>
      </c>
      <c r="AM3315">
        <v>61.837968471341398</v>
      </c>
      <c r="AN3315">
        <v>1.0000000379403999</v>
      </c>
    </row>
    <row r="3316" spans="1:40" x14ac:dyDescent="0.25">
      <c r="A3316" t="str">
        <f>"20190312164537003"</f>
        <v>20190312164537003</v>
      </c>
      <c r="B3316" t="str">
        <f>"1552380336995132"</f>
        <v>1552380336995132</v>
      </c>
      <c r="C3316" t="s">
        <v>40</v>
      </c>
      <c r="D3316">
        <v>4.9679679999999999</v>
      </c>
      <c r="E3316">
        <v>0.51798809999999995</v>
      </c>
      <c r="F3316" t="s">
        <v>42</v>
      </c>
      <c r="G3316">
        <v>-216.34559999999999</v>
      </c>
      <c r="H3316" s="1">
        <v>-2.686063E-6</v>
      </c>
      <c r="I3316">
        <v>134.73609999999999</v>
      </c>
      <c r="J3316">
        <v>-192.85310000000001</v>
      </c>
      <c r="K3316">
        <v>1.1050580000000001</v>
      </c>
      <c r="L3316">
        <v>158.3152</v>
      </c>
      <c r="M3316">
        <v>-0.27040720000000001</v>
      </c>
      <c r="N3316">
        <v>0</v>
      </c>
      <c r="O3316">
        <v>-0.96264950000000005</v>
      </c>
      <c r="P3316">
        <v>-0.68367299999999998</v>
      </c>
      <c r="Q3316">
        <v>0.1744251</v>
      </c>
      <c r="R3316">
        <v>-0.70863769999999904</v>
      </c>
      <c r="S3316">
        <v>-2.157089</v>
      </c>
      <c r="T3316">
        <v>-0.1011949</v>
      </c>
      <c r="U3316">
        <v>-2.1788020000000001</v>
      </c>
      <c r="V3316">
        <v>0.46843869999999999</v>
      </c>
      <c r="W3316">
        <v>0.1814672</v>
      </c>
      <c r="X3316">
        <v>0.86465879999999995</v>
      </c>
      <c r="Y3316">
        <v>0.48474669999999997</v>
      </c>
      <c r="Z3316">
        <v>3.4066989999999998E-2</v>
      </c>
      <c r="AA3316">
        <v>0.87399090000000001</v>
      </c>
      <c r="AB3316">
        <v>27</v>
      </c>
      <c r="AC3316">
        <v>-23.4924999999999</v>
      </c>
      <c r="AD3316">
        <v>-1.1050606860629999</v>
      </c>
      <c r="AE3316">
        <v>-23.5791</v>
      </c>
      <c r="AF3316">
        <v>16.222712893009099</v>
      </c>
      <c r="AG3316">
        <v>-1.1050606860629999</v>
      </c>
      <c r="AH3316">
        <v>29.0216611064603</v>
      </c>
      <c r="AI3316">
        <v>91.903630525633105</v>
      </c>
      <c r="AJ3316">
        <v>60.795404795089297</v>
      </c>
      <c r="AK3316">
        <v>33.266415287901403</v>
      </c>
      <c r="AL3316">
        <v>79.544768278042397</v>
      </c>
      <c r="AM3316">
        <v>61.552878175960302</v>
      </c>
      <c r="AN3316">
        <v>1.0000000003754801</v>
      </c>
    </row>
    <row r="3317" spans="1:40" x14ac:dyDescent="0.25">
      <c r="A3317" t="str">
        <f>"20190312164537025"</f>
        <v>20190312164537025</v>
      </c>
      <c r="B3317" t="str">
        <f>"1552380337014656"</f>
        <v>1552380337014656</v>
      </c>
      <c r="C3317" t="s">
        <v>40</v>
      </c>
      <c r="D3317">
        <v>4.7423109999999999</v>
      </c>
      <c r="E3317">
        <v>0.51788259999999997</v>
      </c>
      <c r="F3317" t="s">
        <v>42</v>
      </c>
      <c r="G3317">
        <v>-215.73859999999999</v>
      </c>
      <c r="H3317" s="1">
        <v>-2.697452E-6</v>
      </c>
      <c r="I3317">
        <v>135.65549999999999</v>
      </c>
      <c r="J3317">
        <v>-192.92920000000001</v>
      </c>
      <c r="K3317">
        <v>1.1049469999999999</v>
      </c>
      <c r="L3317">
        <v>158.06739999999999</v>
      </c>
      <c r="M3317">
        <v>-0.27596929999999997</v>
      </c>
      <c r="N3317">
        <v>0</v>
      </c>
      <c r="O3317">
        <v>-0.96106950000000002</v>
      </c>
      <c r="P3317">
        <v>-0.69128009999999995</v>
      </c>
      <c r="Q3317">
        <v>0.17384929999999901</v>
      </c>
      <c r="R3317">
        <v>-0.70136209999999999</v>
      </c>
      <c r="S3317">
        <v>-2.1788180000000001</v>
      </c>
      <c r="T3317">
        <v>-0.1052073</v>
      </c>
      <c r="U3317">
        <v>-2.1573180000000001</v>
      </c>
      <c r="V3317">
        <v>0.47277780000000003</v>
      </c>
      <c r="W3317">
        <v>0.1807028</v>
      </c>
      <c r="X3317">
        <v>0.86245439999999995</v>
      </c>
      <c r="Y3317">
        <v>0.4883615</v>
      </c>
      <c r="Z3317">
        <v>3.5430490000000002E-2</v>
      </c>
      <c r="AA3317">
        <v>0.87192190000000003</v>
      </c>
      <c r="AB3317">
        <v>27</v>
      </c>
      <c r="AC3317">
        <v>-22.809399999999901</v>
      </c>
      <c r="AD3317">
        <v>-1.1049496974519999</v>
      </c>
      <c r="AE3317">
        <v>-22.411899999999999</v>
      </c>
      <c r="AF3317">
        <v>15.719120593364799</v>
      </c>
      <c r="AG3317">
        <v>-1.1049496974519999</v>
      </c>
      <c r="AH3317">
        <v>27.803484967625099</v>
      </c>
      <c r="AI3317">
        <v>91.981369054587702</v>
      </c>
      <c r="AJ3317">
        <v>60.517696568396303</v>
      </c>
      <c r="AK3317">
        <v>31.958495621784198</v>
      </c>
      <c r="AL3317">
        <v>79.589301111260994</v>
      </c>
      <c r="AM3317">
        <v>61.269453215769602</v>
      </c>
      <c r="AN3317">
        <v>0.99999997109001904</v>
      </c>
    </row>
    <row r="3318" spans="1:40" x14ac:dyDescent="0.25">
      <c r="A3318" t="str">
        <f>"20190312164537046"</f>
        <v>20190312164537046</v>
      </c>
      <c r="B3318" t="str">
        <f>"1552380337035152"</f>
        <v>1552380337035152</v>
      </c>
      <c r="C3318" t="s">
        <v>40</v>
      </c>
      <c r="D3318">
        <v>4.8447769999999997</v>
      </c>
      <c r="E3318">
        <v>0.51792499999999997</v>
      </c>
      <c r="F3318" t="s">
        <v>42</v>
      </c>
      <c r="G3318">
        <v>-215.10900000000001</v>
      </c>
      <c r="H3318" s="1">
        <v>-2.835386E-6</v>
      </c>
      <c r="I3318">
        <v>136.5558</v>
      </c>
      <c r="J3318">
        <v>-193.0042</v>
      </c>
      <c r="K3318">
        <v>1.1048209999999901</v>
      </c>
      <c r="L3318">
        <v>157.82859999999999</v>
      </c>
      <c r="M3318">
        <v>-0.28148430000000002</v>
      </c>
      <c r="N3318">
        <v>0</v>
      </c>
      <c r="O3318">
        <v>-0.9594684</v>
      </c>
      <c r="P3318">
        <v>-0.69863299999999995</v>
      </c>
      <c r="Q3318">
        <v>0.173258299999999</v>
      </c>
      <c r="R3318">
        <v>-0.69418570000000002</v>
      </c>
      <c r="S3318">
        <v>-2.201279</v>
      </c>
      <c r="T3318">
        <v>-0.1096631</v>
      </c>
      <c r="U3318">
        <v>-2.1349640000000001</v>
      </c>
      <c r="V3318">
        <v>0.47692230000000002</v>
      </c>
      <c r="W3318">
        <v>0.17991670000000001</v>
      </c>
      <c r="X3318">
        <v>0.8603343</v>
      </c>
      <c r="Y3318">
        <v>0.49231570000000002</v>
      </c>
      <c r="Z3318">
        <v>3.6943240000000002E-2</v>
      </c>
      <c r="AA3318">
        <v>0.86963239999999997</v>
      </c>
      <c r="AB3318">
        <v>27</v>
      </c>
      <c r="AC3318">
        <v>-22.104800000000001</v>
      </c>
      <c r="AD3318">
        <v>-1.10482383538599</v>
      </c>
      <c r="AE3318">
        <v>-21.272799999999901</v>
      </c>
      <c r="AF3318">
        <v>15.202603949027999</v>
      </c>
      <c r="AG3318">
        <v>-1.10482383538599</v>
      </c>
      <c r="AH3318">
        <v>26.600723782780399</v>
      </c>
      <c r="AI3318">
        <v>92.065190104769698</v>
      </c>
      <c r="AJ3318">
        <v>60.2515622934677</v>
      </c>
      <c r="AK3318">
        <v>30.658413336407701</v>
      </c>
      <c r="AL3318">
        <v>79.635092181103104</v>
      </c>
      <c r="AM3318">
        <v>60.998410047073399</v>
      </c>
      <c r="AN3318">
        <v>1.0000000034663299</v>
      </c>
    </row>
    <row r="3319" spans="1:40" x14ac:dyDescent="0.25">
      <c r="A3319" t="str">
        <f>"20190312164537072"</f>
        <v>20190312164537072</v>
      </c>
      <c r="B3319" t="str">
        <f>"1552380337065014"</f>
        <v>1552380337065014</v>
      </c>
      <c r="C3319" t="s">
        <v>40</v>
      </c>
      <c r="D3319">
        <v>4.7851839999999903</v>
      </c>
      <c r="E3319">
        <v>0.544023699999999</v>
      </c>
      <c r="F3319" t="s">
        <v>42</v>
      </c>
      <c r="G3319">
        <v>-214.71549999999999</v>
      </c>
      <c r="H3319" s="1">
        <v>-2.906728E-6</v>
      </c>
      <c r="I3319">
        <v>137.2022</v>
      </c>
      <c r="J3319">
        <v>-193.10069999999999</v>
      </c>
      <c r="K3319">
        <v>1.1046689999999999</v>
      </c>
      <c r="L3319">
        <v>157.5292</v>
      </c>
      <c r="M3319">
        <v>-0.28863220000000001</v>
      </c>
      <c r="N3319">
        <v>0</v>
      </c>
      <c r="O3319">
        <v>-0.95734229999999998</v>
      </c>
      <c r="P3319">
        <v>-0.70697940000000004</v>
      </c>
      <c r="Q3319">
        <v>0.17269189999999901</v>
      </c>
      <c r="R3319">
        <v>-0.68582650000000001</v>
      </c>
      <c r="S3319">
        <v>-2.2233429999999998</v>
      </c>
      <c r="T3319">
        <v>-0.11313960000000001</v>
      </c>
      <c r="U3319">
        <v>-2.112244</v>
      </c>
      <c r="V3319">
        <v>0.48094009999999998</v>
      </c>
      <c r="W3319">
        <v>0.179112299999999</v>
      </c>
      <c r="X3319">
        <v>0.85826309999999995</v>
      </c>
      <c r="Y3319">
        <v>0.49477199999999999</v>
      </c>
      <c r="Z3319">
        <v>3.8117869999999998E-2</v>
      </c>
      <c r="AA3319">
        <v>0.86818639999999903</v>
      </c>
      <c r="AB3319">
        <v>27</v>
      </c>
      <c r="AC3319">
        <v>-21.614799999999999</v>
      </c>
      <c r="AD3319">
        <v>-1.104671906728</v>
      </c>
      <c r="AE3319">
        <v>-20.327000000000002</v>
      </c>
      <c r="AF3319">
        <v>14.806599940083199</v>
      </c>
      <c r="AG3319">
        <v>-1.104671906728</v>
      </c>
      <c r="AH3319">
        <v>25.665454821755599</v>
      </c>
      <c r="AI3319">
        <v>92.135107352822004</v>
      </c>
      <c r="AJ3319">
        <v>60.0190192604177</v>
      </c>
      <c r="AK3319">
        <v>29.650822467762399</v>
      </c>
      <c r="AL3319">
        <v>79.681942684935805</v>
      </c>
      <c r="AM3319">
        <v>60.735281305609902</v>
      </c>
      <c r="AN3319">
        <v>1.0000000723104501</v>
      </c>
    </row>
    <row r="3320" spans="1:40" x14ac:dyDescent="0.25">
      <c r="A3320" t="str">
        <f>"20190312164537092"</f>
        <v>20190312164537092</v>
      </c>
      <c r="B3320" t="str">
        <f>"1552380337084533"</f>
        <v>1552380337084533</v>
      </c>
      <c r="C3320" t="s">
        <v>40</v>
      </c>
      <c r="D3320">
        <v>4.7983079999999996</v>
      </c>
      <c r="E3320">
        <v>0.54512799999999995</v>
      </c>
      <c r="F3320" t="s">
        <v>72</v>
      </c>
      <c r="G3320">
        <v>-240.62309999999999</v>
      </c>
      <c r="H3320">
        <v>0.36569750000000001</v>
      </c>
      <c r="I3320">
        <v>119.3841</v>
      </c>
      <c r="J3320">
        <v>-193.17830000000001</v>
      </c>
      <c r="K3320">
        <v>1.1045389999999999</v>
      </c>
      <c r="L3320">
        <v>157.2945</v>
      </c>
      <c r="M3320">
        <v>-0.29442049999999997</v>
      </c>
      <c r="N3320">
        <v>0</v>
      </c>
      <c r="O3320">
        <v>-0.95557789999999998</v>
      </c>
      <c r="P3320">
        <v>-0.71405240000000003</v>
      </c>
      <c r="Q3320">
        <v>0.17221259999999999</v>
      </c>
      <c r="R3320">
        <v>-0.67858090000000004</v>
      </c>
      <c r="S3320">
        <v>-2.390854</v>
      </c>
      <c r="T3320">
        <v>-3.717732E-2</v>
      </c>
      <c r="U3320">
        <v>-1.9190830000000001</v>
      </c>
      <c r="V3320">
        <v>0.48466369999999998</v>
      </c>
      <c r="W3320">
        <v>0.17843149999999999</v>
      </c>
      <c r="X3320">
        <v>0.85630790000000001</v>
      </c>
      <c r="Y3320">
        <v>0.56089809999999996</v>
      </c>
      <c r="Z3320">
        <v>1.2683760000000001E-2</v>
      </c>
      <c r="AA3320">
        <v>0.82778759999999996</v>
      </c>
      <c r="AB3320">
        <v>27</v>
      </c>
      <c r="AC3320">
        <v>-47.444800000000001</v>
      </c>
      <c r="AD3320">
        <v>-0.73884149999999904</v>
      </c>
      <c r="AE3320">
        <v>-37.910400000000003</v>
      </c>
      <c r="AF3320">
        <v>34.173748908923201</v>
      </c>
      <c r="AG3320">
        <v>-0.73884149999999904</v>
      </c>
      <c r="AH3320">
        <v>50.192338354830099</v>
      </c>
      <c r="AI3320">
        <v>90.697122475962601</v>
      </c>
      <c r="AJ3320">
        <v>55.750778285768398</v>
      </c>
      <c r="AK3320">
        <v>60.726121486375199</v>
      </c>
      <c r="AL3320">
        <v>79.7215871619768</v>
      </c>
      <c r="AM3320">
        <v>60.490471945868798</v>
      </c>
      <c r="AN3320">
        <v>0.99999996094617405</v>
      </c>
    </row>
    <row r="3321" spans="1:40" x14ac:dyDescent="0.25">
      <c r="A3321" t="str">
        <f>"20190312164537114"</f>
        <v>20190312164537114</v>
      </c>
      <c r="B3321" t="str">
        <f>"1552380337105030"</f>
        <v>1552380337105030</v>
      </c>
      <c r="C3321" t="s">
        <v>40</v>
      </c>
      <c r="D3321">
        <v>4.7782589999999896</v>
      </c>
      <c r="E3321">
        <v>0.54602799999999996</v>
      </c>
      <c r="F3321" t="s">
        <v>72</v>
      </c>
      <c r="G3321">
        <v>-241.5009</v>
      </c>
      <c r="H3321">
        <v>0.63349140000000004</v>
      </c>
      <c r="I3321">
        <v>119.5971</v>
      </c>
      <c r="J3321">
        <v>-193.26310000000001</v>
      </c>
      <c r="K3321">
        <v>1.1044160000000001</v>
      </c>
      <c r="L3321">
        <v>157.04409999999999</v>
      </c>
      <c r="M3321">
        <v>-0.30075960000000002</v>
      </c>
      <c r="N3321">
        <v>0</v>
      </c>
      <c r="O3321">
        <v>-0.95360140000000004</v>
      </c>
      <c r="P3321">
        <v>-0.72095469999999995</v>
      </c>
      <c r="Q3321">
        <v>0.1711705</v>
      </c>
      <c r="R3321">
        <v>-0.67150980000000005</v>
      </c>
      <c r="S3321">
        <v>-2.4159549999999999</v>
      </c>
      <c r="T3321">
        <v>-2.3550390000000001E-2</v>
      </c>
      <c r="U3321">
        <v>-1.884735</v>
      </c>
      <c r="V3321">
        <v>0.48770029999999998</v>
      </c>
      <c r="W3321">
        <v>0.17720350000000001</v>
      </c>
      <c r="X3321">
        <v>0.85483759999999998</v>
      </c>
      <c r="Y3321">
        <v>0.56690589999999996</v>
      </c>
      <c r="Z3321">
        <v>8.0482319999999902E-3</v>
      </c>
      <c r="AA3321">
        <v>0.82374319999999901</v>
      </c>
      <c r="AB3321">
        <v>27</v>
      </c>
      <c r="AC3321">
        <v>-48.237799999999901</v>
      </c>
      <c r="AD3321">
        <v>-0.47092460000000003</v>
      </c>
      <c r="AE3321">
        <v>-37.446999999999903</v>
      </c>
      <c r="AF3321">
        <v>34.738289335765103</v>
      </c>
      <c r="AG3321">
        <v>-0.47092460000000003</v>
      </c>
      <c r="AH3321">
        <v>50.2192285033247</v>
      </c>
      <c r="AI3321">
        <v>90.441860860499105</v>
      </c>
      <c r="AJ3321">
        <v>55.327117777697403</v>
      </c>
      <c r="AK3321">
        <v>61.065058973387998</v>
      </c>
      <c r="AL3321">
        <v>79.793086154437603</v>
      </c>
      <c r="AM3321">
        <v>60.294460574462001</v>
      </c>
      <c r="AN3321">
        <v>0.99999999270304996</v>
      </c>
    </row>
    <row r="3322" spans="1:40" x14ac:dyDescent="0.25">
      <c r="A3322" t="str">
        <f>"20190312164537138"</f>
        <v>20190312164537138</v>
      </c>
      <c r="B3322" t="str">
        <f>"1552380337135286"</f>
        <v>1552380337135286</v>
      </c>
      <c r="C3322" t="s">
        <v>40</v>
      </c>
      <c r="D3322">
        <v>4.9562280000000003</v>
      </c>
      <c r="E3322">
        <v>0.54618669999999903</v>
      </c>
      <c r="F3322" t="s">
        <v>73</v>
      </c>
      <c r="G3322">
        <v>-245.4195</v>
      </c>
      <c r="H3322">
        <v>0.7612833</v>
      </c>
      <c r="I3322">
        <v>117.4213</v>
      </c>
      <c r="J3322">
        <v>-193.3509</v>
      </c>
      <c r="K3322">
        <v>1.104287</v>
      </c>
      <c r="L3322">
        <v>156.79079999999999</v>
      </c>
      <c r="M3322">
        <v>-0.30735620000000002</v>
      </c>
      <c r="N3322">
        <v>0</v>
      </c>
      <c r="O3322">
        <v>-0.95149550000000005</v>
      </c>
      <c r="P3322">
        <v>-0.7279485</v>
      </c>
      <c r="Q3322">
        <v>0.16983110000000001</v>
      </c>
      <c r="R3322">
        <v>-0.66426560000000001</v>
      </c>
      <c r="S3322">
        <v>-2.4390869999999998</v>
      </c>
      <c r="T3322">
        <v>-1.6045210000000001E-2</v>
      </c>
      <c r="U3322">
        <v>-1.852951</v>
      </c>
      <c r="V3322">
        <v>0.49066979999999999</v>
      </c>
      <c r="W3322">
        <v>0.17567949999999999</v>
      </c>
      <c r="X3322">
        <v>0.85345179999999998</v>
      </c>
      <c r="Y3322">
        <v>0.57177140000000004</v>
      </c>
      <c r="Z3322">
        <v>5.4902869999999999E-3</v>
      </c>
      <c r="AA3322">
        <v>0.82039459999999997</v>
      </c>
      <c r="AB3322">
        <v>27</v>
      </c>
      <c r="AC3322">
        <v>-52.068600000000004</v>
      </c>
      <c r="AD3322">
        <v>-0.34300369999999902</v>
      </c>
      <c r="AE3322">
        <v>-39.369499999999903</v>
      </c>
      <c r="AF3322">
        <v>37.4450738773075</v>
      </c>
      <c r="AG3322">
        <v>-0.34300369999999902</v>
      </c>
      <c r="AH3322">
        <v>53.467071971461898</v>
      </c>
      <c r="AI3322">
        <v>90.301070871158004</v>
      </c>
      <c r="AJ3322">
        <v>54.994947449243703</v>
      </c>
      <c r="AK3322">
        <v>65.276174783888194</v>
      </c>
      <c r="AL3322">
        <v>79.881797359855796</v>
      </c>
      <c r="AM3322">
        <v>60.104376964718597</v>
      </c>
      <c r="AN3322">
        <v>1.0000000571377601</v>
      </c>
    </row>
    <row r="3323" spans="1:40" x14ac:dyDescent="0.25">
      <c r="A3323" t="str">
        <f>"20190312164537160"</f>
        <v>20190312164537160</v>
      </c>
      <c r="B3323" t="str">
        <f>"1552380337154806"</f>
        <v>1552380337154806</v>
      </c>
      <c r="C3323" t="s">
        <v>40</v>
      </c>
      <c r="D3323">
        <v>4.8302259999999997</v>
      </c>
      <c r="E3323">
        <v>0.54456599999999999</v>
      </c>
      <c r="F3323" t="s">
        <v>73</v>
      </c>
      <c r="G3323">
        <v>-245.22489999999999</v>
      </c>
      <c r="H3323">
        <v>0.92204569999999997</v>
      </c>
      <c r="I3323">
        <v>118.276</v>
      </c>
      <c r="J3323">
        <v>-193.4419</v>
      </c>
      <c r="K3323">
        <v>1.104152</v>
      </c>
      <c r="L3323">
        <v>156.535</v>
      </c>
      <c r="M3323">
        <v>-0.31422699999999998</v>
      </c>
      <c r="N3323">
        <v>0</v>
      </c>
      <c r="O3323">
        <v>-0.94924830000000004</v>
      </c>
      <c r="P3323">
        <v>-0.73470459999999904</v>
      </c>
      <c r="Q3323">
        <v>0.1691145</v>
      </c>
      <c r="R3323">
        <v>-0.65696999999999905</v>
      </c>
      <c r="S3323">
        <v>-2.457932</v>
      </c>
      <c r="T3323">
        <v>-8.6337329999999993E-3</v>
      </c>
      <c r="U3323">
        <v>-1.8249359999999999</v>
      </c>
      <c r="V3323">
        <v>0.49322319999999997</v>
      </c>
      <c r="W3323">
        <v>0.17477210000000001</v>
      </c>
      <c r="X3323">
        <v>0.85216530000000001</v>
      </c>
      <c r="Y3323">
        <v>0.574878</v>
      </c>
      <c r="Z3323">
        <v>2.9575729999999998E-3</v>
      </c>
      <c r="AA3323">
        <v>0.81823380000000001</v>
      </c>
      <c r="AB3323">
        <v>27</v>
      </c>
      <c r="AC3323">
        <v>-51.782999999999902</v>
      </c>
      <c r="AD3323">
        <v>-0.182106299999999</v>
      </c>
      <c r="AE3323">
        <v>-38.258999999999901</v>
      </c>
      <c r="AF3323">
        <v>37.136127453354497</v>
      </c>
      <c r="AG3323">
        <v>-0.182106299999999</v>
      </c>
      <c r="AH3323">
        <v>52.593458558599401</v>
      </c>
      <c r="AI3323">
        <v>90.1620599102406</v>
      </c>
      <c r="AJ3323">
        <v>54.774167388410802</v>
      </c>
      <c r="AK3323">
        <v>64.383204394402497</v>
      </c>
      <c r="AL3323">
        <v>79.934604548580893</v>
      </c>
      <c r="AM3323">
        <v>59.938248960147902</v>
      </c>
      <c r="AN3323">
        <v>1.0000000552403601</v>
      </c>
    </row>
    <row r="3324" spans="1:40" x14ac:dyDescent="0.25">
      <c r="A3324" t="str">
        <f>"20190312164537183"</f>
        <v>20190312164537183</v>
      </c>
      <c r="B3324" t="str">
        <f>"1552380337175302"</f>
        <v>1552380337175302</v>
      </c>
      <c r="C3324" t="s">
        <v>40</v>
      </c>
      <c r="D3324">
        <v>4.8457420000000004</v>
      </c>
      <c r="E3324">
        <v>0.54433640000000005</v>
      </c>
      <c r="F3324" t="s">
        <v>73</v>
      </c>
      <c r="G3324">
        <v>-245.22489999999999</v>
      </c>
      <c r="H3324">
        <v>0.64107199999999998</v>
      </c>
      <c r="I3324">
        <v>118.5099</v>
      </c>
      <c r="J3324">
        <v>-193.53630000000001</v>
      </c>
      <c r="K3324">
        <v>1.1040030000000001</v>
      </c>
      <c r="L3324">
        <v>156.27610000000001</v>
      </c>
      <c r="M3324">
        <v>-0.3214014</v>
      </c>
      <c r="N3324">
        <v>0</v>
      </c>
      <c r="O3324">
        <v>-0.94684299999999999</v>
      </c>
      <c r="P3324">
        <v>-0.74160029999999999</v>
      </c>
      <c r="Q3324">
        <v>0.16874129999999901</v>
      </c>
      <c r="R3324">
        <v>-0.64927299999999999</v>
      </c>
      <c r="S3324">
        <v>-2.4678960000000001</v>
      </c>
      <c r="T3324">
        <v>-2.2068259999999999E-2</v>
      </c>
      <c r="U3324">
        <v>-1.8122100000000001</v>
      </c>
      <c r="V3324">
        <v>0.49580459999999899</v>
      </c>
      <c r="W3324">
        <v>0.17418520000000001</v>
      </c>
      <c r="X3324">
        <v>0.8507863</v>
      </c>
      <c r="Y3324">
        <v>0.5729824</v>
      </c>
      <c r="Z3324">
        <v>7.5545019999999899E-3</v>
      </c>
      <c r="AA3324">
        <v>0.81953290000000001</v>
      </c>
      <c r="AB3324">
        <v>26</v>
      </c>
      <c r="AC3324">
        <v>-51.688599999999902</v>
      </c>
      <c r="AD3324">
        <v>-0.46293099999999998</v>
      </c>
      <c r="AE3324">
        <v>-37.766199999999998</v>
      </c>
      <c r="AF3324">
        <v>36.804441925158301</v>
      </c>
      <c r="AG3324">
        <v>-0.46293099999999998</v>
      </c>
      <c r="AH3324">
        <v>52.373673829273102</v>
      </c>
      <c r="AI3324">
        <v>90.414350823115399</v>
      </c>
      <c r="AJ3324">
        <v>54.903216684992302</v>
      </c>
      <c r="AK3324">
        <v>64.013927866583799</v>
      </c>
      <c r="AL3324">
        <v>79.968754788523896</v>
      </c>
      <c r="AM3324">
        <v>59.768059591112099</v>
      </c>
      <c r="AN3324">
        <v>1.0000000067739401</v>
      </c>
    </row>
    <row r="3325" spans="1:40" x14ac:dyDescent="0.25">
      <c r="A3325" t="str">
        <f>"20190312164537204"</f>
        <v>20190312164537204</v>
      </c>
      <c r="B3325" t="str">
        <f>"1552380337194825"</f>
        <v>1552380337194825</v>
      </c>
      <c r="C3325" t="s">
        <v>40</v>
      </c>
      <c r="D3325">
        <v>4.806711</v>
      </c>
      <c r="E3325">
        <v>0.544095</v>
      </c>
      <c r="F3325" t="s">
        <v>73</v>
      </c>
      <c r="G3325">
        <v>-245.22489999999999</v>
      </c>
      <c r="H3325">
        <v>0.3644174</v>
      </c>
      <c r="I3325">
        <v>119.0605</v>
      </c>
      <c r="J3325">
        <v>-193.6259</v>
      </c>
      <c r="K3325">
        <v>1.103847</v>
      </c>
      <c r="L3325">
        <v>156.03639999999999</v>
      </c>
      <c r="M3325">
        <v>-0.32826159999999999</v>
      </c>
      <c r="N3325">
        <v>0</v>
      </c>
      <c r="O3325">
        <v>-0.9444863</v>
      </c>
      <c r="P3325">
        <v>-0.747614</v>
      </c>
      <c r="Q3325">
        <v>0.1683624</v>
      </c>
      <c r="R3325">
        <v>-0.64243919999999999</v>
      </c>
      <c r="S3325">
        <v>-2.4861909999999998</v>
      </c>
      <c r="T3325">
        <v>-3.557217E-2</v>
      </c>
      <c r="U3325">
        <v>-1.7900389999999999</v>
      </c>
      <c r="V3325">
        <v>0.49758740000000001</v>
      </c>
      <c r="W3325">
        <v>0.17360100000000001</v>
      </c>
      <c r="X3325">
        <v>0.84986439999999996</v>
      </c>
      <c r="Y3325">
        <v>0.57467509999999999</v>
      </c>
      <c r="Z3325">
        <v>1.217185E-2</v>
      </c>
      <c r="AA3325">
        <v>0.81829110000000005</v>
      </c>
      <c r="AB3325">
        <v>26</v>
      </c>
      <c r="AC3325">
        <v>-51.598999999999897</v>
      </c>
      <c r="AD3325">
        <v>-0.73942959999999902</v>
      </c>
      <c r="AE3325">
        <v>-36.975899999999903</v>
      </c>
      <c r="AF3325">
        <v>36.595291452797397</v>
      </c>
      <c r="AG3325">
        <v>-0.73942959999999902</v>
      </c>
      <c r="AH3325">
        <v>51.859091156165803</v>
      </c>
      <c r="AI3325">
        <v>90.667457756706199</v>
      </c>
      <c r="AJ3325">
        <v>54.790612136861199</v>
      </c>
      <c r="AK3325">
        <v>63.475408216033202</v>
      </c>
      <c r="AL3325">
        <v>80.002744901441901</v>
      </c>
      <c r="AM3325">
        <v>59.651438954564398</v>
      </c>
      <c r="AN3325">
        <v>1.00000001311356</v>
      </c>
    </row>
    <row r="3326" spans="1:40" x14ac:dyDescent="0.25">
      <c r="A3326" t="str">
        <f>"20190312164537227"</f>
        <v>20190312164537227</v>
      </c>
      <c r="B3326" t="str">
        <f>"1552380337215321"</f>
        <v>1552380337215321</v>
      </c>
      <c r="C3326" t="s">
        <v>40</v>
      </c>
      <c r="D3326">
        <v>4.9741929999999996</v>
      </c>
      <c r="E3326">
        <v>0.54393939999999996</v>
      </c>
      <c r="F3326" t="s">
        <v>73</v>
      </c>
      <c r="G3326">
        <v>-245.5472</v>
      </c>
      <c r="H3326">
        <v>0.47384769999999998</v>
      </c>
      <c r="I3326">
        <v>119.3436</v>
      </c>
      <c r="J3326">
        <v>-193.71950000000001</v>
      </c>
      <c r="K3326">
        <v>1.103674</v>
      </c>
      <c r="L3326">
        <v>155.7921</v>
      </c>
      <c r="M3326">
        <v>-0.33548220000000001</v>
      </c>
      <c r="N3326">
        <v>0</v>
      </c>
      <c r="O3326">
        <v>-0.94194520000000004</v>
      </c>
      <c r="P3326">
        <v>-0.75336550000000002</v>
      </c>
      <c r="Q3326">
        <v>0.1686279</v>
      </c>
      <c r="R3326">
        <v>-0.63561429999999997</v>
      </c>
      <c r="S3326">
        <v>-2.5008539999999999</v>
      </c>
      <c r="T3326">
        <v>-3.0343289999999998E-2</v>
      </c>
      <c r="U3326">
        <v>-1.7673490000000001</v>
      </c>
      <c r="V3326">
        <v>0.49883339999999998</v>
      </c>
      <c r="W3326">
        <v>0.17365129999999901</v>
      </c>
      <c r="X3326">
        <v>0.84912339999999997</v>
      </c>
      <c r="Y3326">
        <v>0.575636699999999</v>
      </c>
      <c r="Z3326">
        <v>1.0386619999999999E-2</v>
      </c>
      <c r="AA3326">
        <v>0.81763960000000002</v>
      </c>
      <c r="AB3326">
        <v>26</v>
      </c>
      <c r="AC3326">
        <v>-51.827699999999901</v>
      </c>
      <c r="AD3326">
        <v>-0.62982629999999995</v>
      </c>
      <c r="AE3326">
        <v>-36.448500000000003</v>
      </c>
      <c r="AF3326">
        <v>36.590908474584602</v>
      </c>
      <c r="AG3326">
        <v>-0.62982629999999995</v>
      </c>
      <c r="AH3326">
        <v>51.719588279300801</v>
      </c>
      <c r="AI3326">
        <v>90.569574701368893</v>
      </c>
      <c r="AJ3326">
        <v>54.721110213357797</v>
      </c>
      <c r="AK3326">
        <v>63.357770446441599</v>
      </c>
      <c r="AL3326">
        <v>79.999818764842004</v>
      </c>
      <c r="AM3326">
        <v>59.567098461646601</v>
      </c>
      <c r="AN3326">
        <v>1.0000000416874</v>
      </c>
    </row>
    <row r="3327" spans="1:40" x14ac:dyDescent="0.25">
      <c r="A3327" t="str">
        <f>"20190312164537250"</f>
        <v>20190312164537250</v>
      </c>
      <c r="B3327" t="str">
        <f>"1552380337244598"</f>
        <v>1552380337244598</v>
      </c>
      <c r="C3327" t="s">
        <v>40</v>
      </c>
      <c r="D3327">
        <v>4.7354580000000004</v>
      </c>
      <c r="E3327">
        <v>0.5432863</v>
      </c>
      <c r="F3327" t="s">
        <v>73</v>
      </c>
      <c r="G3327">
        <v>-246.29169999999999</v>
      </c>
      <c r="H3327">
        <v>0.58279539999999996</v>
      </c>
      <c r="I3327">
        <v>119.3436</v>
      </c>
      <c r="J3327">
        <v>-193.81890000000001</v>
      </c>
      <c r="K3327">
        <v>1.1034919999999999</v>
      </c>
      <c r="L3327">
        <v>155.5395</v>
      </c>
      <c r="M3327">
        <v>-0.34320580000000001</v>
      </c>
      <c r="N3327">
        <v>0</v>
      </c>
      <c r="O3327">
        <v>-0.9391583</v>
      </c>
      <c r="P3327">
        <v>-0.75894150000000005</v>
      </c>
      <c r="Q3327">
        <v>0.16871159999999999</v>
      </c>
      <c r="R3327">
        <v>-0.62892369999999898</v>
      </c>
      <c r="S3327">
        <v>-2.516006</v>
      </c>
      <c r="T3327">
        <v>-2.4926899999999998E-2</v>
      </c>
      <c r="U3327">
        <v>-1.744354</v>
      </c>
      <c r="V3327">
        <v>0.4994382</v>
      </c>
      <c r="W3327">
        <v>0.17351839999999999</v>
      </c>
      <c r="X3327">
        <v>0.84879490000000002</v>
      </c>
      <c r="Y3327">
        <v>0.57628749999999995</v>
      </c>
      <c r="Z3327">
        <v>8.5332910000000001E-3</v>
      </c>
      <c r="AA3327">
        <v>0.81720249999999905</v>
      </c>
      <c r="AB3327">
        <v>26</v>
      </c>
      <c r="AC3327">
        <v>-52.4727999999999</v>
      </c>
      <c r="AD3327">
        <v>-0.52069659999999895</v>
      </c>
      <c r="AE3327">
        <v>-36.195900000000002</v>
      </c>
      <c r="AF3327">
        <v>36.858692569073597</v>
      </c>
      <c r="AG3327">
        <v>-0.52069659999999895</v>
      </c>
      <c r="AH3327">
        <v>52.004158517513702</v>
      </c>
      <c r="AI3327">
        <v>90.468030905584101</v>
      </c>
      <c r="AJ3327">
        <v>54.672346075095497</v>
      </c>
      <c r="AK3327">
        <v>63.743759270735097</v>
      </c>
      <c r="AL3327">
        <v>80.007549994681696</v>
      </c>
      <c r="AM3327">
        <v>59.527079507098698</v>
      </c>
      <c r="AN3327">
        <v>0.99999996651190404</v>
      </c>
    </row>
    <row r="3328" spans="1:40" x14ac:dyDescent="0.25">
      <c r="A3328" t="str">
        <f>"20190312164537264"</f>
        <v>20190312164537264</v>
      </c>
      <c r="B3328" t="str">
        <f>"1552380337255334"</f>
        <v>1552380337255334</v>
      </c>
      <c r="C3328" t="s">
        <v>40</v>
      </c>
      <c r="D3328">
        <v>4.7546379999999999</v>
      </c>
      <c r="E3328">
        <v>0.54272940000000003</v>
      </c>
      <c r="F3328" t="s">
        <v>73</v>
      </c>
      <c r="G3328">
        <v>-247.20760000000001</v>
      </c>
      <c r="H3328">
        <v>0.54341229999999996</v>
      </c>
      <c r="I3328">
        <v>119.0955</v>
      </c>
      <c r="J3328">
        <v>-193.88740000000001</v>
      </c>
      <c r="K3328">
        <v>1.1033660000000001</v>
      </c>
      <c r="L3328">
        <v>155.3699</v>
      </c>
      <c r="M3328">
        <v>-0.34856859999999901</v>
      </c>
      <c r="N3328">
        <v>0</v>
      </c>
      <c r="O3328">
        <v>-0.93718080000000004</v>
      </c>
      <c r="P3328">
        <v>-0.76272769999999901</v>
      </c>
      <c r="Q3328">
        <v>0.16877320000000001</v>
      </c>
      <c r="R3328">
        <v>-0.62430929999999996</v>
      </c>
      <c r="S3328">
        <v>-2.5284879999999998</v>
      </c>
      <c r="T3328">
        <v>-2.6523950000000001E-2</v>
      </c>
      <c r="U3328">
        <v>-1.725983</v>
      </c>
      <c r="V3328">
        <v>0.4997762</v>
      </c>
      <c r="W3328">
        <v>0.17343620000000001</v>
      </c>
      <c r="X3328">
        <v>0.84861279999999994</v>
      </c>
      <c r="Y3328">
        <v>0.57753959999999904</v>
      </c>
      <c r="Z3328">
        <v>9.0805160000000003E-3</v>
      </c>
      <c r="AA3328">
        <v>0.81631219999999904</v>
      </c>
      <c r="AB3328">
        <v>26</v>
      </c>
      <c r="AC3328">
        <v>-53.3202</v>
      </c>
      <c r="AD3328">
        <v>-0.559953699999999</v>
      </c>
      <c r="AE3328">
        <v>-36.2744</v>
      </c>
      <c r="AF3328">
        <v>37.327322010918401</v>
      </c>
      <c r="AG3328">
        <v>-0.559953699999999</v>
      </c>
      <c r="AH3328">
        <v>52.5825049756223</v>
      </c>
      <c r="AI3328">
        <v>90.497517773538107</v>
      </c>
      <c r="AJ3328">
        <v>54.6297809085832</v>
      </c>
      <c r="AK3328">
        <v>64.486916085081006</v>
      </c>
      <c r="AL3328">
        <v>80.012332806149004</v>
      </c>
      <c r="AM3328">
        <v>59.504759129879702</v>
      </c>
      <c r="AN3328">
        <v>1.00000002494035</v>
      </c>
    </row>
    <row r="3329" spans="1:40" x14ac:dyDescent="0.25">
      <c r="A3329" t="str">
        <f>"20190312164537282"</f>
        <v>20190312164537282</v>
      </c>
      <c r="B3329" t="str">
        <f>"1552380337274854"</f>
        <v>1552380337274854</v>
      </c>
      <c r="C3329" t="s">
        <v>40</v>
      </c>
      <c r="D3329">
        <v>4.611542</v>
      </c>
      <c r="E3329">
        <v>0.54208239999999996</v>
      </c>
      <c r="F3329" t="s">
        <v>73</v>
      </c>
      <c r="G3329">
        <v>-247.54400000000001</v>
      </c>
      <c r="H3329">
        <v>0.46797169999999999</v>
      </c>
      <c r="I3329">
        <v>119.0955</v>
      </c>
      <c r="J3329">
        <v>-193.9674</v>
      </c>
      <c r="K3329">
        <v>1.103235</v>
      </c>
      <c r="L3329">
        <v>155.17509999999999</v>
      </c>
      <c r="M3329">
        <v>-0.35484250000000001</v>
      </c>
      <c r="N3329">
        <v>0</v>
      </c>
      <c r="O3329">
        <v>-0.93482319999999997</v>
      </c>
      <c r="P3329">
        <v>-0.76720290000000002</v>
      </c>
      <c r="Q3329">
        <v>0.168651</v>
      </c>
      <c r="R3329">
        <v>-0.61883500000000002</v>
      </c>
      <c r="S3329">
        <v>-2.5363769999999999</v>
      </c>
      <c r="T3329">
        <v>-3.003407E-2</v>
      </c>
      <c r="U3329">
        <v>-1.7147060000000001</v>
      </c>
      <c r="V3329">
        <v>0.50024219999999997</v>
      </c>
      <c r="W3329">
        <v>0.1731615</v>
      </c>
      <c r="X3329">
        <v>0.84839430000000005</v>
      </c>
      <c r="Y3329">
        <v>0.57572559999999995</v>
      </c>
      <c r="Z3329">
        <v>1.027368E-2</v>
      </c>
      <c r="AA3329">
        <v>0.81757840000000004</v>
      </c>
      <c r="AB3329">
        <v>26</v>
      </c>
      <c r="AC3329">
        <v>-53.576599999999999</v>
      </c>
      <c r="AD3329">
        <v>-0.63526329999999898</v>
      </c>
      <c r="AE3329">
        <v>-36.0795999999999</v>
      </c>
      <c r="AF3329">
        <v>37.282053820122201</v>
      </c>
      <c r="AG3329">
        <v>-0.63526329999999898</v>
      </c>
      <c r="AH3329">
        <v>52.7392744057206</v>
      </c>
      <c r="AI3329">
        <v>90.563536929479895</v>
      </c>
      <c r="AJ3329">
        <v>54.743030903712203</v>
      </c>
      <c r="AK3329">
        <v>64.589365698609498</v>
      </c>
      <c r="AL3329">
        <v>80.028313770438103</v>
      </c>
      <c r="AM3329">
        <v>59.474949283143197</v>
      </c>
      <c r="AN3329">
        <v>1.0000000260077899</v>
      </c>
    </row>
    <row r="3330" spans="1:40" x14ac:dyDescent="0.25">
      <c r="A3330" t="str">
        <f>"20190312164537305"</f>
        <v>20190312164537305</v>
      </c>
      <c r="B3330" t="str">
        <f>"1552380337295350"</f>
        <v>1552380337295350</v>
      </c>
      <c r="C3330" t="s">
        <v>40</v>
      </c>
      <c r="D3330">
        <v>4.564368</v>
      </c>
      <c r="E3330">
        <v>0.54139510000000002</v>
      </c>
      <c r="F3330" t="s">
        <v>73</v>
      </c>
      <c r="G3330">
        <v>-247.9802</v>
      </c>
      <c r="H3330">
        <v>0.45331900000000003</v>
      </c>
      <c r="I3330">
        <v>119.0955</v>
      </c>
      <c r="J3330">
        <v>-194.07149999999999</v>
      </c>
      <c r="K3330">
        <v>1.1030740000000001</v>
      </c>
      <c r="L3330">
        <v>154.92760000000001</v>
      </c>
      <c r="M3330">
        <v>-0.36301119999999998</v>
      </c>
      <c r="N3330">
        <v>0</v>
      </c>
      <c r="O3330">
        <v>-0.93168099999999998</v>
      </c>
      <c r="P3330">
        <v>-0.77260769999999901</v>
      </c>
      <c r="Q3330">
        <v>0.16754330000000001</v>
      </c>
      <c r="R3330">
        <v>-0.61237839999999999</v>
      </c>
      <c r="S3330">
        <v>-2.5455019999999999</v>
      </c>
      <c r="T3330">
        <v>-3.0627729999999999E-2</v>
      </c>
      <c r="U3330">
        <v>-1.700348</v>
      </c>
      <c r="V3330">
        <v>0.50020710000000002</v>
      </c>
      <c r="W3330">
        <v>0.17188809999999999</v>
      </c>
      <c r="X3330">
        <v>0.84867389999999998</v>
      </c>
      <c r="Y3330">
        <v>0.57310609999999995</v>
      </c>
      <c r="Z3330">
        <v>1.046628E-2</v>
      </c>
      <c r="AA3330">
        <v>0.81941439999999999</v>
      </c>
      <c r="AB3330">
        <v>26</v>
      </c>
      <c r="AC3330">
        <v>-53.908700000000003</v>
      </c>
      <c r="AD3330">
        <v>-0.64975499999999897</v>
      </c>
      <c r="AE3330">
        <v>-35.832099999999997</v>
      </c>
      <c r="AF3330">
        <v>37.218107121691702</v>
      </c>
      <c r="AG3330">
        <v>-0.64975499999999897</v>
      </c>
      <c r="AH3330">
        <v>52.953334105178001</v>
      </c>
      <c r="AI3330">
        <v>90.575161613222406</v>
      </c>
      <c r="AJ3330">
        <v>54.898637988202701</v>
      </c>
      <c r="AK3330">
        <v>64.727623717670596</v>
      </c>
      <c r="AL3330">
        <v>80.102384895081798</v>
      </c>
      <c r="AM3330">
        <v>59.484967497589402</v>
      </c>
      <c r="AN3330">
        <v>1.0000000251766099</v>
      </c>
    </row>
    <row r="3331" spans="1:40" x14ac:dyDescent="0.25">
      <c r="A3331" t="str">
        <f>"20190312164537325"</f>
        <v>20190312164537325</v>
      </c>
      <c r="B3331" t="str">
        <f>"1552380337314873"</f>
        <v>1552380337314873</v>
      </c>
      <c r="C3331" t="s">
        <v>40</v>
      </c>
      <c r="D3331">
        <v>4.7020730000000004</v>
      </c>
      <c r="E3331">
        <v>0.54068890000000003</v>
      </c>
      <c r="F3331" t="s">
        <v>73</v>
      </c>
      <c r="G3331">
        <v>-248.49510000000001</v>
      </c>
      <c r="H3331">
        <v>0.2163669</v>
      </c>
      <c r="I3331">
        <v>119.0955</v>
      </c>
      <c r="J3331">
        <v>-194.17089999999999</v>
      </c>
      <c r="K3331">
        <v>1.1029279999999999</v>
      </c>
      <c r="L3331">
        <v>154.69739999999999</v>
      </c>
      <c r="M3331">
        <v>-0.37082500000000002</v>
      </c>
      <c r="N3331">
        <v>0</v>
      </c>
      <c r="O3331">
        <v>-0.92859820000000004</v>
      </c>
      <c r="P3331">
        <v>-0.77785749999999998</v>
      </c>
      <c r="Q3331">
        <v>0.1669293</v>
      </c>
      <c r="R3331">
        <v>-0.60586509999999905</v>
      </c>
      <c r="S3331">
        <v>-2.557404</v>
      </c>
      <c r="T3331">
        <v>-4.1665670000000002E-2</v>
      </c>
      <c r="U3331">
        <v>-1.6837770000000001</v>
      </c>
      <c r="V3331">
        <v>0.50038130000000003</v>
      </c>
      <c r="W3331">
        <v>0.17112189999999999</v>
      </c>
      <c r="X3331">
        <v>0.84872599999999998</v>
      </c>
      <c r="Y3331">
        <v>0.57163759999999997</v>
      </c>
      <c r="Z3331">
        <v>1.4220780000000001E-2</v>
      </c>
      <c r="AA3331">
        <v>0.82038299999999997</v>
      </c>
      <c r="AB3331">
        <v>26</v>
      </c>
      <c r="AC3331">
        <v>-54.324199999999998</v>
      </c>
      <c r="AD3331">
        <v>-0.88656109999999999</v>
      </c>
      <c r="AE3331">
        <v>-35.601899999999901</v>
      </c>
      <c r="AF3331">
        <v>37.239958303060099</v>
      </c>
      <c r="AG3331">
        <v>-0.88656109999999999</v>
      </c>
      <c r="AH3331">
        <v>53.199886775108801</v>
      </c>
      <c r="AI3331">
        <v>90.782168529420602</v>
      </c>
      <c r="AJ3331">
        <v>55.007952652262901</v>
      </c>
      <c r="AK3331">
        <v>64.944810707877906</v>
      </c>
      <c r="AL3331">
        <v>80.146944775478303</v>
      </c>
      <c r="AM3331">
        <v>59.477778667442401</v>
      </c>
      <c r="AN3331">
        <v>0.99999998656264899</v>
      </c>
    </row>
    <row r="3332" spans="1:40" x14ac:dyDescent="0.25">
      <c r="A3332" t="str">
        <f>"20190312164537340"</f>
        <v>20190312164537340</v>
      </c>
      <c r="B3332" t="str">
        <f>"1552380337335365"</f>
        <v>1552380337335365</v>
      </c>
      <c r="C3332" t="s">
        <v>40</v>
      </c>
      <c r="D3332">
        <v>4.8523519999999998</v>
      </c>
      <c r="E3332">
        <v>0.53976139999999995</v>
      </c>
      <c r="F3332" t="s">
        <v>43</v>
      </c>
      <c r="G3332">
        <v>-252.5797</v>
      </c>
      <c r="H3332">
        <v>-0.05</v>
      </c>
      <c r="I3332">
        <v>116.78959999999999</v>
      </c>
      <c r="J3332">
        <v>-194.24039999999999</v>
      </c>
      <c r="K3332">
        <v>1.1028260000000001</v>
      </c>
      <c r="L3332">
        <v>154.5402</v>
      </c>
      <c r="M3332">
        <v>-0.37628739999999999</v>
      </c>
      <c r="N3332">
        <v>0</v>
      </c>
      <c r="O3332">
        <v>-0.92639769999999999</v>
      </c>
      <c r="P3332">
        <v>-0.7815936</v>
      </c>
      <c r="Q3332">
        <v>0.16644700000000001</v>
      </c>
      <c r="R3332">
        <v>-0.60117159999999903</v>
      </c>
      <c r="S3332">
        <v>-2.5689850000000001</v>
      </c>
      <c r="T3332">
        <v>-5.0709129999999998E-2</v>
      </c>
      <c r="U3332">
        <v>-1.667297</v>
      </c>
      <c r="V3332">
        <v>0.5006195</v>
      </c>
      <c r="W3332">
        <v>0.17053750000000001</v>
      </c>
      <c r="X3332">
        <v>0.84870309999999904</v>
      </c>
      <c r="Y3332">
        <v>0.572156</v>
      </c>
      <c r="Z3332">
        <v>1.7297050000000001E-2</v>
      </c>
      <c r="AA3332">
        <v>0.81996239999999998</v>
      </c>
      <c r="AB3332">
        <v>26</v>
      </c>
      <c r="AC3332">
        <v>-58.339300000000001</v>
      </c>
      <c r="AD3332">
        <v>-1.1528259999999999</v>
      </c>
      <c r="AE3332">
        <v>-37.750599999999999</v>
      </c>
      <c r="AF3332">
        <v>39.833241479898298</v>
      </c>
      <c r="AG3332">
        <v>-1.1528259999999999</v>
      </c>
      <c r="AH3332">
        <v>56.914301185713903</v>
      </c>
      <c r="AI3332">
        <v>90.950727941368001</v>
      </c>
      <c r="AJ3332">
        <v>55.012553696530802</v>
      </c>
      <c r="AK3332">
        <v>69.478441361621805</v>
      </c>
      <c r="AL3332">
        <v>80.180927475185598</v>
      </c>
      <c r="AM3332">
        <v>59.465170909660301</v>
      </c>
      <c r="AN3332">
        <v>0.99999993731805203</v>
      </c>
    </row>
    <row r="3333" spans="1:40" x14ac:dyDescent="0.25">
      <c r="A3333" t="str">
        <f>"20190312164537361"</f>
        <v>20190312164537361</v>
      </c>
      <c r="B3333" t="str">
        <f>"1552380337355395"</f>
        <v>1552380337355395</v>
      </c>
      <c r="C3333" t="s">
        <v>40</v>
      </c>
      <c r="D3333">
        <v>4.547059</v>
      </c>
      <c r="E3333">
        <v>0.53957909999999998</v>
      </c>
      <c r="F3333" t="s">
        <v>48</v>
      </c>
      <c r="G3333">
        <v>-239.42250000000001</v>
      </c>
      <c r="H3333">
        <v>0.16227079999999999</v>
      </c>
      <c r="I3333">
        <v>125.4513</v>
      </c>
      <c r="J3333">
        <v>-194.3426</v>
      </c>
      <c r="K3333">
        <v>1.1026860000000001</v>
      </c>
      <c r="L3333">
        <v>154.3134</v>
      </c>
      <c r="M3333">
        <v>-0.3842971</v>
      </c>
      <c r="N3333">
        <v>0</v>
      </c>
      <c r="O3333">
        <v>-0.92310349999999997</v>
      </c>
      <c r="P3333">
        <v>-0.7866493</v>
      </c>
      <c r="Q3333">
        <v>0.1649651</v>
      </c>
      <c r="R3333">
        <v>-0.59495319999999996</v>
      </c>
      <c r="S3333">
        <v>-2.574722</v>
      </c>
      <c r="T3333">
        <v>-5.359614E-2</v>
      </c>
      <c r="U3333">
        <v>-1.6576390000000001</v>
      </c>
      <c r="V3333">
        <v>0.5003185</v>
      </c>
      <c r="W3333">
        <v>0.16892939999999901</v>
      </c>
      <c r="X3333">
        <v>0.84920209999999996</v>
      </c>
      <c r="Y3333">
        <v>0.56803630000000005</v>
      </c>
      <c r="Z3333">
        <v>1.8252020000000001E-2</v>
      </c>
      <c r="AA3333">
        <v>0.82280109999999995</v>
      </c>
      <c r="AB3333">
        <v>26</v>
      </c>
      <c r="AC3333">
        <v>-45.079900000000002</v>
      </c>
      <c r="AD3333">
        <v>-0.94041520000000001</v>
      </c>
      <c r="AE3333">
        <v>-28.862100000000002</v>
      </c>
      <c r="AF3333">
        <v>30.515359737567302</v>
      </c>
      <c r="AG3333">
        <v>-0.94041520000000001</v>
      </c>
      <c r="AH3333">
        <v>43.957514461060804</v>
      </c>
      <c r="AI3333">
        <v>91.006822114316094</v>
      </c>
      <c r="AJ3333">
        <v>55.231571806578202</v>
      </c>
      <c r="AK3333">
        <v>53.519479054414496</v>
      </c>
      <c r="AL3333">
        <v>80.274421803228904</v>
      </c>
      <c r="AM3333">
        <v>59.494979469707602</v>
      </c>
      <c r="AN3333">
        <v>0.99999997513550898</v>
      </c>
    </row>
    <row r="3334" spans="1:40" x14ac:dyDescent="0.25">
      <c r="A3334" t="str">
        <f>"20190312164537383"</f>
        <v>20190312164537383</v>
      </c>
      <c r="B3334" t="str">
        <f>"1552380337374915"</f>
        <v>1552380337374915</v>
      </c>
      <c r="C3334" t="s">
        <v>40</v>
      </c>
      <c r="D3334">
        <v>4.4808329999999996</v>
      </c>
      <c r="E3334">
        <v>0.53931770000000001</v>
      </c>
      <c r="F3334" t="s">
        <v>42</v>
      </c>
      <c r="G3334">
        <v>-235.8725</v>
      </c>
      <c r="H3334">
        <v>7.9986650000000006E-2</v>
      </c>
      <c r="I3334">
        <v>128.01859999999999</v>
      </c>
      <c r="J3334">
        <v>-194.45349999999999</v>
      </c>
      <c r="K3334">
        <v>1.1025469999999999</v>
      </c>
      <c r="L3334">
        <v>154.0735</v>
      </c>
      <c r="M3334">
        <v>-0.3929473</v>
      </c>
      <c r="N3334">
        <v>0</v>
      </c>
      <c r="O3334">
        <v>-0.91945410000000005</v>
      </c>
      <c r="P3334">
        <v>-0.79168680000000002</v>
      </c>
      <c r="Q3334">
        <v>0.16197700000000001</v>
      </c>
      <c r="R3334">
        <v>-0.58906329999999996</v>
      </c>
      <c r="S3334">
        <v>-2.587799</v>
      </c>
      <c r="T3334">
        <v>-6.3726190000000002E-2</v>
      </c>
      <c r="U3334">
        <v>-1.638474</v>
      </c>
      <c r="V3334">
        <v>0.49925429999999998</v>
      </c>
      <c r="W3334">
        <v>0.1658394</v>
      </c>
      <c r="X3334">
        <v>0.85043670000000005</v>
      </c>
      <c r="Y3334">
        <v>0.56647829999999999</v>
      </c>
      <c r="Z3334">
        <v>2.1667329999999999E-2</v>
      </c>
      <c r="AA3334">
        <v>0.82379169999999902</v>
      </c>
      <c r="AB3334">
        <v>26</v>
      </c>
      <c r="AC3334">
        <v>-41.418999999999997</v>
      </c>
      <c r="AD3334">
        <v>-1.02256035</v>
      </c>
      <c r="AE3334">
        <v>-26.0549</v>
      </c>
      <c r="AF3334">
        <v>27.8352483401999</v>
      </c>
      <c r="AG3334">
        <v>-1.02256035</v>
      </c>
      <c r="AH3334">
        <v>40.2181605073065</v>
      </c>
      <c r="AI3334">
        <v>91.197678805946794</v>
      </c>
      <c r="AJ3334">
        <v>55.312641665002502</v>
      </c>
      <c r="AK3334">
        <v>48.921847005417398</v>
      </c>
      <c r="AL3334">
        <v>80.4540003080688</v>
      </c>
      <c r="AM3334">
        <v>59.584663047037097</v>
      </c>
      <c r="AN3334">
        <v>1.00000007168386</v>
      </c>
    </row>
    <row r="3335" spans="1:40" x14ac:dyDescent="0.25">
      <c r="A3335" t="str">
        <f>"20190312164537406"</f>
        <v>20190312164537406</v>
      </c>
      <c r="B3335" t="str">
        <f>"1552380337395411"</f>
        <v>1552380337395411</v>
      </c>
      <c r="C3335" t="s">
        <v>40</v>
      </c>
      <c r="D3335">
        <v>4.7936079999999999</v>
      </c>
      <c r="E3335">
        <v>0.53886230000000002</v>
      </c>
      <c r="F3335" t="s">
        <v>42</v>
      </c>
      <c r="G3335">
        <v>-232.56630000000001</v>
      </c>
      <c r="H3335" s="1">
        <v>-4.9774329999999901E-6</v>
      </c>
      <c r="I3335">
        <v>130.36449999999999</v>
      </c>
      <c r="J3335">
        <v>-194.56569999999999</v>
      </c>
      <c r="K3335">
        <v>1.1024179999999999</v>
      </c>
      <c r="L3335">
        <v>153.83699999999999</v>
      </c>
      <c r="M3335">
        <v>-0.40163700000000002</v>
      </c>
      <c r="N3335">
        <v>0</v>
      </c>
      <c r="O3335">
        <v>-0.91569129999999999</v>
      </c>
      <c r="P3335">
        <v>-0.79660969999999998</v>
      </c>
      <c r="Q3335">
        <v>0.15941159999999999</v>
      </c>
      <c r="R3335">
        <v>-0.58309599999999995</v>
      </c>
      <c r="S3335">
        <v>-2.6009060000000002</v>
      </c>
      <c r="T3335">
        <v>-7.5240609999999999E-2</v>
      </c>
      <c r="U3335">
        <v>-1.61795</v>
      </c>
      <c r="V3335">
        <v>0.49806739999999999</v>
      </c>
      <c r="W3335">
        <v>0.16318949999999999</v>
      </c>
      <c r="X3335">
        <v>0.85164430000000002</v>
      </c>
      <c r="Y3335">
        <v>0.56514119999999901</v>
      </c>
      <c r="Z3335">
        <v>2.554406E-2</v>
      </c>
      <c r="AA3335">
        <v>0.82459869999999902</v>
      </c>
      <c r="AB3335">
        <v>26</v>
      </c>
      <c r="AC3335">
        <v>-38.000599999999999</v>
      </c>
      <c r="AD3335">
        <v>-1.1024229774330001</v>
      </c>
      <c r="AE3335">
        <v>-23.4725</v>
      </c>
      <c r="AF3335">
        <v>25.356448764065</v>
      </c>
      <c r="AG3335">
        <v>-1.1024229774330001</v>
      </c>
      <c r="AH3335">
        <v>36.737255057403097</v>
      </c>
      <c r="AI3335">
        <v>91.4147354399703</v>
      </c>
      <c r="AJ3335">
        <v>55.386144435811801</v>
      </c>
      <c r="AK3335">
        <v>44.651883941201397</v>
      </c>
      <c r="AL3335">
        <v>80.607924855057007</v>
      </c>
      <c r="AM3335">
        <v>59.679610000486001</v>
      </c>
      <c r="AN3335">
        <v>0.99999998078774999</v>
      </c>
    </row>
    <row r="3336" spans="1:40" x14ac:dyDescent="0.25">
      <c r="A3336" t="str">
        <f>"20190312164537426"</f>
        <v>20190312164537426</v>
      </c>
      <c r="B3336" t="str">
        <f>"1552380337414931"</f>
        <v>1552380337414931</v>
      </c>
      <c r="C3336" t="s">
        <v>40</v>
      </c>
      <c r="D3336">
        <v>4.7077849999999897</v>
      </c>
      <c r="E3336">
        <v>0.53844309999999995</v>
      </c>
      <c r="F3336" t="s">
        <v>42</v>
      </c>
      <c r="G3336">
        <v>-228.0779</v>
      </c>
      <c r="H3336" s="1">
        <v>-2.317945E-6</v>
      </c>
      <c r="I3336">
        <v>133.31049999999999</v>
      </c>
      <c r="J3336">
        <v>-194.67449999999999</v>
      </c>
      <c r="K3336">
        <v>1.102306</v>
      </c>
      <c r="L3336">
        <v>153.61349999999999</v>
      </c>
      <c r="M3336">
        <v>-0.40999279999999999</v>
      </c>
      <c r="N3336">
        <v>0</v>
      </c>
      <c r="O3336">
        <v>-0.91198020000000002</v>
      </c>
      <c r="P3336">
        <v>-0.80136879999999999</v>
      </c>
      <c r="Q3336">
        <v>0.15769939999999999</v>
      </c>
      <c r="R3336">
        <v>-0.57700879999999999</v>
      </c>
      <c r="S3336">
        <v>-2.6120610000000002</v>
      </c>
      <c r="T3336">
        <v>-8.5926409999999995E-2</v>
      </c>
      <c r="U3336">
        <v>-1.599899</v>
      </c>
      <c r="V3336">
        <v>0.49708720000000001</v>
      </c>
      <c r="W3336">
        <v>0.16140479999999999</v>
      </c>
      <c r="X3336">
        <v>0.852556599999999</v>
      </c>
      <c r="Y3336">
        <v>0.56322119999999998</v>
      </c>
      <c r="Z3336">
        <v>2.91235E-2</v>
      </c>
      <c r="AA3336">
        <v>0.82579279999999999</v>
      </c>
      <c r="AB3336">
        <v>26</v>
      </c>
      <c r="AC3336">
        <v>-33.403399999999998</v>
      </c>
      <c r="AD3336">
        <v>-1.1023083179449999</v>
      </c>
      <c r="AE3336">
        <v>-20.303000000000001</v>
      </c>
      <c r="AF3336">
        <v>22.1237548208458</v>
      </c>
      <c r="AG3336">
        <v>-1.1023083179449999</v>
      </c>
      <c r="AH3336">
        <v>32.188680333458102</v>
      </c>
      <c r="AI3336">
        <v>91.616568631606697</v>
      </c>
      <c r="AJ3336">
        <v>55.498684995636303</v>
      </c>
      <c r="AK3336">
        <v>39.074118705484103</v>
      </c>
      <c r="AL3336">
        <v>80.711554526153193</v>
      </c>
      <c r="AM3336">
        <v>59.755472250120498</v>
      </c>
      <c r="AN3336">
        <v>0.99999997503521898</v>
      </c>
    </row>
    <row r="3337" spans="1:40" x14ac:dyDescent="0.25">
      <c r="A3337" t="str">
        <f>"20190312164537451"</f>
        <v>20190312164537451</v>
      </c>
      <c r="B3337" t="str">
        <f>"1552380337444719"</f>
        <v>1552380337444719</v>
      </c>
      <c r="C3337" t="s">
        <v>40</v>
      </c>
      <c r="D3337">
        <v>4.654388</v>
      </c>
      <c r="E3337">
        <v>0.53774849999999996</v>
      </c>
      <c r="F3337" t="s">
        <v>42</v>
      </c>
      <c r="G3337">
        <v>-224.89859999999999</v>
      </c>
      <c r="H3337" s="1">
        <v>-2.9212920000000001E-6</v>
      </c>
      <c r="I3337">
        <v>135.3853</v>
      </c>
      <c r="J3337">
        <v>-194.80080000000001</v>
      </c>
      <c r="K3337">
        <v>1.1021920000000001</v>
      </c>
      <c r="L3337">
        <v>153.36070000000001</v>
      </c>
      <c r="M3337">
        <v>-0.4195971</v>
      </c>
      <c r="N3337">
        <v>0</v>
      </c>
      <c r="O3337">
        <v>-0.90760110000000005</v>
      </c>
      <c r="P3337">
        <v>-0.80655019999999999</v>
      </c>
      <c r="Q3337">
        <v>0.156353399999999</v>
      </c>
      <c r="R3337">
        <v>-0.57011440000000002</v>
      </c>
      <c r="S3337">
        <v>-2.6232760000000002</v>
      </c>
      <c r="T3337">
        <v>-9.5674040000000002E-2</v>
      </c>
      <c r="U3337">
        <v>-1.5820920000000001</v>
      </c>
      <c r="V3337">
        <v>0.49564999999999998</v>
      </c>
      <c r="W3337">
        <v>0.15999759999999999</v>
      </c>
      <c r="X3337">
        <v>0.85365789999999997</v>
      </c>
      <c r="Y3337">
        <v>0.56007779999999996</v>
      </c>
      <c r="Z3337">
        <v>3.2349900000000001E-2</v>
      </c>
      <c r="AA3337">
        <v>0.82780810000000005</v>
      </c>
      <c r="AB3337">
        <v>26</v>
      </c>
      <c r="AC3337">
        <v>-30.0977999999999</v>
      </c>
      <c r="AD3337">
        <v>-1.1021949212919999</v>
      </c>
      <c r="AE3337">
        <v>-17.9754</v>
      </c>
      <c r="AF3337">
        <v>19.7568045512071</v>
      </c>
      <c r="AG3337">
        <v>-1.1021949212919999</v>
      </c>
      <c r="AH3337">
        <v>28.9177311421162</v>
      </c>
      <c r="AI3337">
        <v>91.802570128288806</v>
      </c>
      <c r="AJ3337">
        <v>55.658826114627097</v>
      </c>
      <c r="AK3337">
        <v>35.039710816826698</v>
      </c>
      <c r="AL3337">
        <v>80.793242919420393</v>
      </c>
      <c r="AM3337">
        <v>59.859735262739001</v>
      </c>
      <c r="AN3337">
        <v>0.99999998236908405</v>
      </c>
    </row>
    <row r="3338" spans="1:40" x14ac:dyDescent="0.25">
      <c r="A3338" t="str">
        <f>"20190312164537474"</f>
        <v>20190312164537474</v>
      </c>
      <c r="B3338" t="str">
        <f>"1552380337465216"</f>
        <v>1552380337465216</v>
      </c>
      <c r="C3338" t="s">
        <v>40</v>
      </c>
      <c r="D3338">
        <v>4.9482470000000003</v>
      </c>
      <c r="E3338">
        <v>0.53734819999999905</v>
      </c>
      <c r="F3338" t="s">
        <v>42</v>
      </c>
      <c r="G3338">
        <v>-223.07130000000001</v>
      </c>
      <c r="H3338" s="1">
        <v>-3.494216E-6</v>
      </c>
      <c r="I3338">
        <v>136.57480000000001</v>
      </c>
      <c r="J3338">
        <v>-194.92769999999999</v>
      </c>
      <c r="K3338">
        <v>1.102109</v>
      </c>
      <c r="L3338">
        <v>153.11420000000001</v>
      </c>
      <c r="M3338">
        <v>-0.42911280000000002</v>
      </c>
      <c r="N3338">
        <v>0</v>
      </c>
      <c r="O3338">
        <v>-0.90314050000000001</v>
      </c>
      <c r="P3338">
        <v>-0.8113186</v>
      </c>
      <c r="Q3338">
        <v>0.1554121</v>
      </c>
      <c r="R3338">
        <v>-0.56356830000000002</v>
      </c>
      <c r="S3338">
        <v>-2.6339570000000001</v>
      </c>
      <c r="T3338">
        <v>-0.1026917</v>
      </c>
      <c r="U3338">
        <v>-1.5639339999999999</v>
      </c>
      <c r="V3338">
        <v>0.49376150000000002</v>
      </c>
      <c r="W3338">
        <v>0.1590241</v>
      </c>
      <c r="X3338">
        <v>0.85493330000000001</v>
      </c>
      <c r="Y3338">
        <v>0.5569904</v>
      </c>
      <c r="Z3338">
        <v>3.4641520000000002E-2</v>
      </c>
      <c r="AA3338">
        <v>0.82979609999999904</v>
      </c>
      <c r="AB3338">
        <v>26</v>
      </c>
      <c r="AC3338">
        <v>-28.143599999999999</v>
      </c>
      <c r="AD3338">
        <v>-1.1021124942159899</v>
      </c>
      <c r="AE3338">
        <v>-16.539400000000001</v>
      </c>
      <c r="AF3338">
        <v>18.301322963627999</v>
      </c>
      <c r="AG3338">
        <v>-1.1021124942159899</v>
      </c>
      <c r="AH3338">
        <v>26.986114846362799</v>
      </c>
      <c r="AI3338">
        <v>91.935878301371304</v>
      </c>
      <c r="AJ3338">
        <v>55.855839617984799</v>
      </c>
      <c r="AK3338">
        <v>32.625196837260702</v>
      </c>
      <c r="AL3338">
        <v>80.849744095908903</v>
      </c>
      <c r="AM3338">
        <v>59.991680645714602</v>
      </c>
      <c r="AN3338">
        <v>1.0000000153559701</v>
      </c>
    </row>
    <row r="3339" spans="1:40" x14ac:dyDescent="0.25">
      <c r="A3339" t="str">
        <f>"20190312164537499"</f>
        <v>20190312164537499</v>
      </c>
      <c r="B3339" t="str">
        <f>"1552380337494496"</f>
        <v>1552380337494496</v>
      </c>
      <c r="C3339" t="s">
        <v>40</v>
      </c>
      <c r="D3339">
        <v>4.9315199999999999</v>
      </c>
      <c r="E3339">
        <v>0.53749080000000005</v>
      </c>
      <c r="F3339" t="s">
        <v>42</v>
      </c>
      <c r="G3339">
        <v>-222.42930000000001</v>
      </c>
      <c r="H3339" s="1">
        <v>-3.6827290000000001E-6</v>
      </c>
      <c r="I3339">
        <v>137.06469999999999</v>
      </c>
      <c r="J3339">
        <v>-195.0643</v>
      </c>
      <c r="K3339">
        <v>1.1020350000000001</v>
      </c>
      <c r="L3339">
        <v>152.85570000000001</v>
      </c>
      <c r="M3339">
        <v>-0.43920540000000002</v>
      </c>
      <c r="N3339">
        <v>0</v>
      </c>
      <c r="O3339">
        <v>-0.8982753</v>
      </c>
      <c r="P3339">
        <v>-0.81668450000000004</v>
      </c>
      <c r="Q3339">
        <v>0.15372739999999999</v>
      </c>
      <c r="R3339">
        <v>-0.55623239999999996</v>
      </c>
      <c r="S3339">
        <v>-2.6455540000000002</v>
      </c>
      <c r="T3339">
        <v>-0.10601910000000001</v>
      </c>
      <c r="U3339">
        <v>-1.5439000000000001</v>
      </c>
      <c r="V3339">
        <v>0.49216749999999998</v>
      </c>
      <c r="W3339">
        <v>0.15732019999999999</v>
      </c>
      <c r="X3339">
        <v>0.85616680000000001</v>
      </c>
      <c r="Y3339">
        <v>0.5539193</v>
      </c>
      <c r="Z3339">
        <v>3.5672330000000002E-2</v>
      </c>
      <c r="AA3339">
        <v>0.83180580000000004</v>
      </c>
      <c r="AB3339">
        <v>26</v>
      </c>
      <c r="AC3339">
        <v>-27.364999999999998</v>
      </c>
      <c r="AD3339">
        <v>-1.1020386827290001</v>
      </c>
      <c r="AE3339">
        <v>-15.791</v>
      </c>
      <c r="AF3339">
        <v>17.626131486845502</v>
      </c>
      <c r="AG3339">
        <v>-1.1020386827290001</v>
      </c>
      <c r="AH3339">
        <v>26.174297355386798</v>
      </c>
      <c r="AI3339">
        <v>92.000149854499497</v>
      </c>
      <c r="AJ3339">
        <v>56.043133714324902</v>
      </c>
      <c r="AK3339">
        <v>31.575130126382799</v>
      </c>
      <c r="AL3339">
        <v>80.948615255434703</v>
      </c>
      <c r="AM3339">
        <v>60.107556719370102</v>
      </c>
      <c r="AN3339">
        <v>1.0000000414032599</v>
      </c>
    </row>
    <row r="3340" spans="1:40" x14ac:dyDescent="0.25">
      <c r="A3340" t="str">
        <f>"20190312164537516"</f>
        <v>20190312164537516</v>
      </c>
      <c r="B3340" t="str">
        <f>"1552380337505231"</f>
        <v>1552380337505231</v>
      </c>
      <c r="C3340" t="s">
        <v>40</v>
      </c>
      <c r="D3340">
        <v>4.5293950000000001</v>
      </c>
      <c r="E3340">
        <v>0.53749080000000005</v>
      </c>
      <c r="F3340" t="s">
        <v>42</v>
      </c>
      <c r="G3340">
        <v>-221.5283</v>
      </c>
      <c r="H3340" s="1">
        <v>-3.9442560000000001E-6</v>
      </c>
      <c r="I3340">
        <v>137.76929999999999</v>
      </c>
      <c r="J3340">
        <v>-195.16550000000001</v>
      </c>
      <c r="K3340">
        <v>1.1019859999999999</v>
      </c>
      <c r="L3340">
        <v>152.6687</v>
      </c>
      <c r="M3340">
        <v>-0.44657380000000002</v>
      </c>
      <c r="N3340">
        <v>0</v>
      </c>
      <c r="O3340">
        <v>-0.89463479999999995</v>
      </c>
      <c r="P3340">
        <v>-0.82063809999999904</v>
      </c>
      <c r="Q3340">
        <v>0.1527859</v>
      </c>
      <c r="R3340">
        <v>-0.55064489999999999</v>
      </c>
      <c r="S3340">
        <v>-2.661041</v>
      </c>
      <c r="T3340">
        <v>-0.1108136</v>
      </c>
      <c r="U3340">
        <v>-1.516983</v>
      </c>
      <c r="V3340">
        <v>0.49112840000000002</v>
      </c>
      <c r="W3340">
        <v>0.15637029999999999</v>
      </c>
      <c r="X3340">
        <v>0.85693709999999901</v>
      </c>
      <c r="Y3340">
        <v>0.55545599999999995</v>
      </c>
      <c r="Z3340">
        <v>3.7249619999999997E-2</v>
      </c>
      <c r="AA3340">
        <v>0.83071119999999898</v>
      </c>
      <c r="AB3340">
        <v>26</v>
      </c>
      <c r="AC3340">
        <v>-26.3628</v>
      </c>
      <c r="AD3340">
        <v>-1.1019899442559999</v>
      </c>
      <c r="AE3340">
        <v>-14.8994</v>
      </c>
      <c r="AF3340">
        <v>16.910698469409699</v>
      </c>
      <c r="AG3340">
        <v>-1.1019899442559999</v>
      </c>
      <c r="AH3340">
        <v>25.0717704593389</v>
      </c>
      <c r="AI3340">
        <v>92.086895821753899</v>
      </c>
      <c r="AJ3340">
        <v>56.000666344406199</v>
      </c>
      <c r="AK3340">
        <v>30.261853520997601</v>
      </c>
      <c r="AL3340">
        <v>81.003722054520594</v>
      </c>
      <c r="AM3340">
        <v>60.182084744499903</v>
      </c>
      <c r="AN3340">
        <v>0.99999998468252904</v>
      </c>
    </row>
    <row r="3341" spans="1:40" x14ac:dyDescent="0.25">
      <c r="A3341" t="str">
        <f>"20190312164537539"</f>
        <v>20190312164537539</v>
      </c>
      <c r="B3341" t="str">
        <f>"1552380337534512"</f>
        <v>1552380337534512</v>
      </c>
      <c r="C3341" t="s">
        <v>40</v>
      </c>
      <c r="D3341">
        <v>4.667084</v>
      </c>
      <c r="E3341">
        <v>0.56276579999999998</v>
      </c>
      <c r="F3341" t="s">
        <v>42</v>
      </c>
      <c r="G3341">
        <v>-221.0899</v>
      </c>
      <c r="H3341" s="1">
        <v>-4.0684489999999997E-6</v>
      </c>
      <c r="I3341">
        <v>138.12950000000001</v>
      </c>
      <c r="J3341">
        <v>-195.29490000000001</v>
      </c>
      <c r="K3341">
        <v>1.101939</v>
      </c>
      <c r="L3341">
        <v>152.43510000000001</v>
      </c>
      <c r="M3341">
        <v>-0.4558527</v>
      </c>
      <c r="N3341">
        <v>0</v>
      </c>
      <c r="O3341">
        <v>-0.88994240000000002</v>
      </c>
      <c r="P3341">
        <v>-0.825771699999999</v>
      </c>
      <c r="Q3341">
        <v>0.15231689999999901</v>
      </c>
      <c r="R3341">
        <v>-0.54304799999999998</v>
      </c>
      <c r="S3341">
        <v>-2.6715089999999999</v>
      </c>
      <c r="T3341">
        <v>-0.1135603</v>
      </c>
      <c r="U3341">
        <v>-1.4982599999999999</v>
      </c>
      <c r="V3341">
        <v>0.49020979999999997</v>
      </c>
      <c r="W3341">
        <v>0.15588750000000001</v>
      </c>
      <c r="X3341">
        <v>0.85755079999999995</v>
      </c>
      <c r="Y3341">
        <v>0.55259510000000001</v>
      </c>
      <c r="Z3341">
        <v>3.8072080000000001E-2</v>
      </c>
      <c r="AA3341">
        <v>0.83257990000000004</v>
      </c>
      <c r="AB3341">
        <v>26</v>
      </c>
      <c r="AC3341">
        <v>-25.794999999999899</v>
      </c>
      <c r="AD3341">
        <v>-1.1019430684489999</v>
      </c>
      <c r="AE3341">
        <v>-14.305599999999901</v>
      </c>
      <c r="AF3341">
        <v>16.413560534200101</v>
      </c>
      <c r="AG3341">
        <v>-1.1019430684489999</v>
      </c>
      <c r="AH3341">
        <v>24.458204444569599</v>
      </c>
      <c r="AI3341">
        <v>92.142482812105598</v>
      </c>
      <c r="AJ3341">
        <v>56.134988060367398</v>
      </c>
      <c r="AK3341">
        <v>29.475803849739599</v>
      </c>
      <c r="AL3341">
        <v>81.0317277477955</v>
      </c>
      <c r="AM3341">
        <v>60.2460146275493</v>
      </c>
      <c r="AN3341">
        <v>0.99999996762646404</v>
      </c>
    </row>
    <row r="3342" spans="1:40" x14ac:dyDescent="0.25">
      <c r="A3342" t="str">
        <f>"20190312164537563"</f>
        <v>20190312164537563</v>
      </c>
      <c r="B3342" t="str">
        <f>"1552380337555009"</f>
        <v>1552380337555009</v>
      </c>
      <c r="C3342" t="s">
        <v>40</v>
      </c>
      <c r="D3342">
        <v>4.568244</v>
      </c>
      <c r="E3342">
        <v>0.56175209999999998</v>
      </c>
      <c r="F3342" t="s">
        <v>42</v>
      </c>
      <c r="G3342">
        <v>-230.96209999999999</v>
      </c>
      <c r="H3342" s="1">
        <v>-4.5283710000000004E-6</v>
      </c>
      <c r="I3342">
        <v>135.84569999999999</v>
      </c>
      <c r="J3342">
        <v>-195.43719999999999</v>
      </c>
      <c r="K3342">
        <v>1.101898</v>
      </c>
      <c r="L3342">
        <v>152.18469999999999</v>
      </c>
      <c r="M3342">
        <v>-0.4658833</v>
      </c>
      <c r="N3342">
        <v>0</v>
      </c>
      <c r="O3342">
        <v>-0.88473239999999997</v>
      </c>
      <c r="P3342">
        <v>-0.83107719999999896</v>
      </c>
      <c r="Q3342">
        <v>0.1526421</v>
      </c>
      <c r="R3342">
        <v>-0.53480039999999995</v>
      </c>
      <c r="S3342">
        <v>-2.794235</v>
      </c>
      <c r="T3342">
        <v>-8.6328390000000005E-2</v>
      </c>
      <c r="U3342">
        <v>-1.2996369999999999</v>
      </c>
      <c r="V3342">
        <v>0.4890198</v>
      </c>
      <c r="W3342">
        <v>0.15620690000000001</v>
      </c>
      <c r="X3342">
        <v>0.85817189999999999</v>
      </c>
      <c r="Y3342">
        <v>0.6053733</v>
      </c>
      <c r="Z3342">
        <v>2.917784E-2</v>
      </c>
      <c r="AA3342">
        <v>0.79540669999999902</v>
      </c>
      <c r="AB3342">
        <v>26</v>
      </c>
      <c r="AC3342">
        <v>-35.524900000000002</v>
      </c>
      <c r="AD3342">
        <v>-1.101902528371</v>
      </c>
      <c r="AE3342">
        <v>-16.338999999999999</v>
      </c>
      <c r="AF3342">
        <v>23.801459680725198</v>
      </c>
      <c r="AG3342">
        <v>-1.101902528371</v>
      </c>
      <c r="AH3342">
        <v>30.984616655293799</v>
      </c>
      <c r="AI3342">
        <v>91.615453067839795</v>
      </c>
      <c r="AJ3342">
        <v>52.469603449589499</v>
      </c>
      <c r="AK3342">
        <v>39.086700313415101</v>
      </c>
      <c r="AL3342">
        <v>81.013200668039602</v>
      </c>
      <c r="AM3342">
        <v>60.323823679471097</v>
      </c>
      <c r="AN3342">
        <v>0.99999998517462996</v>
      </c>
    </row>
    <row r="3343" spans="1:40" x14ac:dyDescent="0.25">
      <c r="A3343" t="str">
        <f>"20190312164537585"</f>
        <v>20190312164537585</v>
      </c>
      <c r="B3343" t="str">
        <f>"1552380337574528"</f>
        <v>1552380337574528</v>
      </c>
      <c r="C3343" t="s">
        <v>40</v>
      </c>
      <c r="D3343">
        <v>4.5375430000000003</v>
      </c>
      <c r="E3343">
        <v>0.56093689999999996</v>
      </c>
      <c r="F3343" t="s">
        <v>42</v>
      </c>
      <c r="G3343">
        <v>-231.75739999999999</v>
      </c>
      <c r="H3343" s="1">
        <v>-4.2251429999999997E-6</v>
      </c>
      <c r="I3343">
        <v>135.6318</v>
      </c>
      <c r="J3343">
        <v>-195.56469999999999</v>
      </c>
      <c r="K3343">
        <v>1.1018669999999999</v>
      </c>
      <c r="L3343">
        <v>151.96600000000001</v>
      </c>
      <c r="M3343">
        <v>-0.47471219999999997</v>
      </c>
      <c r="N3343">
        <v>0</v>
      </c>
      <c r="O3343">
        <v>-0.88002639999999999</v>
      </c>
      <c r="P3343">
        <v>-0.83535899999999996</v>
      </c>
      <c r="Q3343">
        <v>0.1531323</v>
      </c>
      <c r="R3343">
        <v>-0.527945</v>
      </c>
      <c r="S3343">
        <v>-2.8032840000000001</v>
      </c>
      <c r="T3343">
        <v>-8.5047719999999993E-2</v>
      </c>
      <c r="U3343">
        <v>-1.2775879999999999</v>
      </c>
      <c r="V3343">
        <v>0.48743229999999999</v>
      </c>
      <c r="W3343">
        <v>0.15670889999999901</v>
      </c>
      <c r="X3343">
        <v>0.85898319999999995</v>
      </c>
      <c r="Y3343">
        <v>0.60357019999999995</v>
      </c>
      <c r="Z3343">
        <v>2.869041E-2</v>
      </c>
      <c r="AA3343">
        <v>0.79679350000000004</v>
      </c>
      <c r="AB3343">
        <v>26</v>
      </c>
      <c r="AC3343">
        <v>-36.192700000000002</v>
      </c>
      <c r="AD3343">
        <v>-1.1018712251429901</v>
      </c>
      <c r="AE3343">
        <v>-16.334199999999999</v>
      </c>
      <c r="AF3343">
        <v>24.080377308690601</v>
      </c>
      <c r="AG3343">
        <v>-1.1018712251429901</v>
      </c>
      <c r="AH3343">
        <v>31.534546342992002</v>
      </c>
      <c r="AI3343">
        <v>91.590739981738494</v>
      </c>
      <c r="AJ3343">
        <v>52.633960650767598</v>
      </c>
      <c r="AK3343">
        <v>39.692647991586703</v>
      </c>
      <c r="AL3343">
        <v>80.984079975629697</v>
      </c>
      <c r="AM3343">
        <v>60.427141271175401</v>
      </c>
      <c r="AN3343">
        <v>1.0000000321523601</v>
      </c>
    </row>
    <row r="3344" spans="1:40" x14ac:dyDescent="0.25">
      <c r="A3344" t="str">
        <f>"20190312164537605"</f>
        <v>20190312164537605</v>
      </c>
      <c r="B3344" t="str">
        <f>"1552380337595023"</f>
        <v>1552380337595023</v>
      </c>
      <c r="C3344" t="s">
        <v>40</v>
      </c>
      <c r="D3344">
        <v>4.5992759999999997</v>
      </c>
      <c r="E3344">
        <v>0.5604481</v>
      </c>
      <c r="F3344" t="s">
        <v>42</v>
      </c>
      <c r="G3344">
        <v>-233.60409999999999</v>
      </c>
      <c r="H3344" s="1">
        <v>-3.5558590000000001E-6</v>
      </c>
      <c r="I3344">
        <v>134.9385</v>
      </c>
      <c r="J3344">
        <v>-195.68819999999999</v>
      </c>
      <c r="K3344">
        <v>1.1018399999999999</v>
      </c>
      <c r="L3344">
        <v>151.75899999999999</v>
      </c>
      <c r="M3344">
        <v>-0.48312060000000001</v>
      </c>
      <c r="N3344">
        <v>0</v>
      </c>
      <c r="O3344">
        <v>-0.875438099999999</v>
      </c>
      <c r="P3344">
        <v>-0.8399662</v>
      </c>
      <c r="Q3344">
        <v>0.1537559</v>
      </c>
      <c r="R3344">
        <v>-0.52040010000000003</v>
      </c>
      <c r="S3344">
        <v>-2.810959</v>
      </c>
      <c r="T3344">
        <v>-8.1423759999999998E-2</v>
      </c>
      <c r="U3344">
        <v>-1.2582549999999999</v>
      </c>
      <c r="V3344">
        <v>0.4868614</v>
      </c>
      <c r="W3344">
        <v>0.15732349999999901</v>
      </c>
      <c r="X3344">
        <v>0.85919449999999997</v>
      </c>
      <c r="Y3344">
        <v>0.60134169999999998</v>
      </c>
      <c r="Z3344">
        <v>2.7410710000000001E-2</v>
      </c>
      <c r="AA3344">
        <v>0.79852159999999905</v>
      </c>
      <c r="AB3344">
        <v>26</v>
      </c>
      <c r="AC3344">
        <v>-37.915899999999901</v>
      </c>
      <c r="AD3344">
        <v>-1.1018435558589901</v>
      </c>
      <c r="AE3344">
        <v>-16.8204999999999</v>
      </c>
      <c r="AF3344">
        <v>25.051556280145899</v>
      </c>
      <c r="AG3344">
        <v>-1.1018435558589901</v>
      </c>
      <c r="AH3344">
        <v>33.023304955062002</v>
      </c>
      <c r="AI3344">
        <v>91.522697615414003</v>
      </c>
      <c r="AJ3344">
        <v>52.815961014105298</v>
      </c>
      <c r="AK3344">
        <v>41.464842956822203</v>
      </c>
      <c r="AL3344">
        <v>80.948422939409198</v>
      </c>
      <c r="AM3344">
        <v>60.461999295574401</v>
      </c>
      <c r="AN3344">
        <v>0.99999994764622802</v>
      </c>
    </row>
    <row r="3345" spans="1:40" x14ac:dyDescent="0.25">
      <c r="A3345" t="str">
        <f>"20190312164537628"</f>
        <v>20190312164537628</v>
      </c>
      <c r="B3345" t="str">
        <f>"1552380337625281"</f>
        <v>1552380337625281</v>
      </c>
      <c r="C3345" t="s">
        <v>40</v>
      </c>
      <c r="D3345">
        <v>4.6830970000000001</v>
      </c>
      <c r="E3345">
        <v>0.55640819999999902</v>
      </c>
      <c r="F3345" t="s">
        <v>42</v>
      </c>
      <c r="G3345">
        <v>-234.5067</v>
      </c>
      <c r="H3345" s="1">
        <v>-3.2048950000000001E-6</v>
      </c>
      <c r="I3345">
        <v>134.73429999999999</v>
      </c>
      <c r="J3345">
        <v>-195.8235</v>
      </c>
      <c r="K3345">
        <v>1.1018190000000001</v>
      </c>
      <c r="L3345">
        <v>151.53739999999999</v>
      </c>
      <c r="M3345">
        <v>-0.49216749999999998</v>
      </c>
      <c r="N3345">
        <v>0</v>
      </c>
      <c r="O3345">
        <v>-0.87038389999999999</v>
      </c>
      <c r="P3345">
        <v>-0.84532790000000002</v>
      </c>
      <c r="Q3345">
        <v>0.1539807</v>
      </c>
      <c r="R3345">
        <v>-0.51157680000000005</v>
      </c>
      <c r="S3345">
        <v>-2.8199770000000002</v>
      </c>
      <c r="T3345">
        <v>-8.0043669999999997E-2</v>
      </c>
      <c r="U3345">
        <v>-1.2367549999999901</v>
      </c>
      <c r="V3345">
        <v>0.48693130000000001</v>
      </c>
      <c r="W3345">
        <v>0.15752739999999901</v>
      </c>
      <c r="X3345">
        <v>0.85911759999999904</v>
      </c>
      <c r="Y3345">
        <v>0.5991185</v>
      </c>
      <c r="Z3345">
        <v>2.6877950000000001E-2</v>
      </c>
      <c r="AA3345">
        <v>0.80020909999999901</v>
      </c>
      <c r="AB3345">
        <v>26</v>
      </c>
      <c r="AC3345">
        <v>-38.683199999999999</v>
      </c>
      <c r="AD3345">
        <v>-1.1018222048949999</v>
      </c>
      <c r="AE3345">
        <v>-16.803100000000001</v>
      </c>
      <c r="AF3345">
        <v>25.384548091131599</v>
      </c>
      <c r="AG3345">
        <v>-1.1018222048949999</v>
      </c>
      <c r="AH3345">
        <v>33.644216578780501</v>
      </c>
      <c r="AI3345">
        <v>91.497531736467707</v>
      </c>
      <c r="AJ3345">
        <v>52.965461072175401</v>
      </c>
      <c r="AK3345">
        <v>42.1606760282857</v>
      </c>
      <c r="AL3345">
        <v>80.936593403027203</v>
      </c>
      <c r="AM3345">
        <v>60.456271150006103</v>
      </c>
      <c r="AN3345">
        <v>1.0000000116501</v>
      </c>
    </row>
    <row r="3346" spans="1:40" x14ac:dyDescent="0.25">
      <c r="A3346" t="str">
        <f>"20190312164537650"</f>
        <v>20190312164537650</v>
      </c>
      <c r="B3346" t="str">
        <f>"1552380337644799"</f>
        <v>1552380337644799</v>
      </c>
      <c r="C3346" t="s">
        <v>40</v>
      </c>
      <c r="D3346">
        <v>4.7377560000000001</v>
      </c>
      <c r="E3346">
        <v>0.55353560000000002</v>
      </c>
      <c r="F3346" t="s">
        <v>42</v>
      </c>
      <c r="G3346">
        <v>-231.40129999999999</v>
      </c>
      <c r="H3346" s="1">
        <v>-4.3300250000000001E-6</v>
      </c>
      <c r="I3346">
        <v>135.90170000000001</v>
      </c>
      <c r="J3346">
        <v>-195.96539999999999</v>
      </c>
      <c r="K3346">
        <v>1.101799</v>
      </c>
      <c r="L3346">
        <v>151.31049999999999</v>
      </c>
      <c r="M3346">
        <v>-0.50147770000000003</v>
      </c>
      <c r="N3346">
        <v>0</v>
      </c>
      <c r="O3346">
        <v>-0.86505319999999997</v>
      </c>
      <c r="P3346">
        <v>-0.85058429999999996</v>
      </c>
      <c r="Q3346">
        <v>0.154089</v>
      </c>
      <c r="R3346">
        <v>-0.50275550000000002</v>
      </c>
      <c r="S3346">
        <v>-2.815887</v>
      </c>
      <c r="T3346">
        <v>-8.7206240000000004E-2</v>
      </c>
      <c r="U3346">
        <v>-1.2375179999999999</v>
      </c>
      <c r="V3346">
        <v>0.4866412</v>
      </c>
      <c r="W3346">
        <v>0.15763429999999901</v>
      </c>
      <c r="X3346">
        <v>0.85926229999999904</v>
      </c>
      <c r="Y3346">
        <v>0.58981539999999999</v>
      </c>
      <c r="Z3346">
        <v>2.916001E-2</v>
      </c>
      <c r="AA3346">
        <v>0.80701140000000005</v>
      </c>
      <c r="AB3346">
        <v>26</v>
      </c>
      <c r="AC3346">
        <v>-35.435899999999997</v>
      </c>
      <c r="AD3346">
        <v>-1.1018033300250001</v>
      </c>
      <c r="AE3346">
        <v>-15.4087999999999</v>
      </c>
      <c r="AF3346">
        <v>22.910470398553699</v>
      </c>
      <c r="AG3346">
        <v>-1.1018033300250001</v>
      </c>
      <c r="AH3346">
        <v>31.077636477162301</v>
      </c>
      <c r="AI3346">
        <v>91.634603433030307</v>
      </c>
      <c r="AJ3346">
        <v>53.602316361475303</v>
      </c>
      <c r="AK3346">
        <v>38.625420560399199</v>
      </c>
      <c r="AL3346">
        <v>80.930390566485002</v>
      </c>
      <c r="AM3346">
        <v>60.475054400337001</v>
      </c>
      <c r="AN3346">
        <v>0.99999996513760903</v>
      </c>
    </row>
    <row r="3347" spans="1:40" x14ac:dyDescent="0.25">
      <c r="A3347" t="str">
        <f>"20190312164537674"</f>
        <v>20190312164537674</v>
      </c>
      <c r="B3347" t="str">
        <f>"1552380337665295"</f>
        <v>1552380337665295</v>
      </c>
      <c r="C3347" t="s">
        <v>40</v>
      </c>
      <c r="D3347">
        <v>4.802772</v>
      </c>
      <c r="E3347">
        <v>0.55590989999999996</v>
      </c>
      <c r="F3347" t="s">
        <v>42</v>
      </c>
      <c r="G3347">
        <v>-219.95009999999999</v>
      </c>
      <c r="H3347" s="1">
        <v>-3.2136649999999998E-7</v>
      </c>
      <c r="I3347">
        <v>140.80889999999999</v>
      </c>
      <c r="J3347">
        <v>-196.114</v>
      </c>
      <c r="K3347">
        <v>1.10179</v>
      </c>
      <c r="L3347">
        <v>151.0789</v>
      </c>
      <c r="M3347">
        <v>-0.51101980000000002</v>
      </c>
      <c r="N3347">
        <v>0</v>
      </c>
      <c r="O3347">
        <v>-0.85945049999999901</v>
      </c>
      <c r="P3347">
        <v>-0.85586519999999999</v>
      </c>
      <c r="Q3347">
        <v>0.15335760000000001</v>
      </c>
      <c r="R3347">
        <v>-0.49393939999999997</v>
      </c>
      <c r="S3347">
        <v>-2.820541</v>
      </c>
      <c r="T3347">
        <v>-0.12956860000000001</v>
      </c>
      <c r="U3347">
        <v>-1.234955</v>
      </c>
      <c r="V3347">
        <v>0.48611149999999997</v>
      </c>
      <c r="W3347">
        <v>0.15692130000000001</v>
      </c>
      <c r="X3347">
        <v>0.85969259999999903</v>
      </c>
      <c r="Y3347">
        <v>0.58144719999999905</v>
      </c>
      <c r="Z3347">
        <v>4.3037270000000002E-2</v>
      </c>
      <c r="AA3347">
        <v>0.81244499999999997</v>
      </c>
      <c r="AB3347">
        <v>26</v>
      </c>
      <c r="AC3347">
        <v>-23.836099999999899</v>
      </c>
      <c r="AD3347">
        <v>-1.1017903213664999</v>
      </c>
      <c r="AE3347">
        <v>-10.27</v>
      </c>
      <c r="AF3347">
        <v>15.211913042464699</v>
      </c>
      <c r="AG3347">
        <v>-1.1017903213664999</v>
      </c>
      <c r="AH3347">
        <v>20.971621971445199</v>
      </c>
      <c r="AI3347">
        <v>92.435176057384695</v>
      </c>
      <c r="AJ3347">
        <v>54.044482612794901</v>
      </c>
      <c r="AK3347">
        <v>25.931162111193</v>
      </c>
      <c r="AL3347">
        <v>80.971757844397303</v>
      </c>
      <c r="AM3347">
        <v>60.514096238960001</v>
      </c>
      <c r="AN3347">
        <v>1.0000000256603401</v>
      </c>
    </row>
    <row r="3348" spans="1:40" x14ac:dyDescent="0.25">
      <c r="A3348" t="str">
        <f>"20190312164537696"</f>
        <v>20190312164537696</v>
      </c>
      <c r="B3348" t="str">
        <f>"1552380337684819"</f>
        <v>1552380337684819</v>
      </c>
      <c r="C3348" t="s">
        <v>40</v>
      </c>
      <c r="D3348">
        <v>4.5999249999999998</v>
      </c>
      <c r="E3348">
        <v>0.5576392</v>
      </c>
      <c r="F3348" t="s">
        <v>42</v>
      </c>
      <c r="G3348">
        <v>-225.64340000000001</v>
      </c>
      <c r="H3348" s="1">
        <v>-2.0015900000000002E-6</v>
      </c>
      <c r="I3348">
        <v>138.76900000000001</v>
      </c>
      <c r="J3348">
        <v>-196.25360000000001</v>
      </c>
      <c r="K3348">
        <v>1.1017889999999999</v>
      </c>
      <c r="L3348">
        <v>150.86609999999999</v>
      </c>
      <c r="M3348">
        <v>-0.51980139999999997</v>
      </c>
      <c r="N3348">
        <v>0</v>
      </c>
      <c r="O3348">
        <v>-0.85416800000000004</v>
      </c>
      <c r="P3348">
        <v>-0.86066790000000004</v>
      </c>
      <c r="Q3348">
        <v>0.15200649999999999</v>
      </c>
      <c r="R3348">
        <v>-0.48594730000000003</v>
      </c>
      <c r="S3348">
        <v>-2.8407589999999998</v>
      </c>
      <c r="T3348">
        <v>-0.1059937</v>
      </c>
      <c r="U3348">
        <v>-1.1842189999999999</v>
      </c>
      <c r="V3348">
        <v>0.48548370000000002</v>
      </c>
      <c r="W3348">
        <v>0.15560070000000001</v>
      </c>
      <c r="X3348">
        <v>0.86028719999999903</v>
      </c>
      <c r="Y3348">
        <v>0.58782140000000005</v>
      </c>
      <c r="Z3348">
        <v>3.5222469999999999E-2</v>
      </c>
      <c r="AA3348">
        <v>0.80822360000000004</v>
      </c>
      <c r="AB3348">
        <v>26</v>
      </c>
      <c r="AC3348">
        <v>-29.389800000000001</v>
      </c>
      <c r="AD3348">
        <v>-1.1017910015900001</v>
      </c>
      <c r="AE3348">
        <v>-12.0970999999999</v>
      </c>
      <c r="AF3348">
        <v>18.795064266538098</v>
      </c>
      <c r="AG3348">
        <v>-1.1017910015900001</v>
      </c>
      <c r="AH3348">
        <v>25.5816773220829</v>
      </c>
      <c r="AI3348">
        <v>91.987865279344604</v>
      </c>
      <c r="AJ3348">
        <v>53.694975509274997</v>
      </c>
      <c r="AK3348">
        <v>31.763038248971998</v>
      </c>
      <c r="AL3348">
        <v>81.048363768629002</v>
      </c>
      <c r="AM3348">
        <v>60.562769004640202</v>
      </c>
      <c r="AN3348">
        <v>1.0000000336449999</v>
      </c>
    </row>
    <row r="3349" spans="1:40" x14ac:dyDescent="0.25">
      <c r="A3349" t="str">
        <f>"20190312164537718"</f>
        <v>20190312164537718</v>
      </c>
      <c r="B3349" t="str">
        <f>"1552380337715072"</f>
        <v>1552380337715072</v>
      </c>
      <c r="C3349" t="s">
        <v>40</v>
      </c>
      <c r="D3349">
        <v>4.5345639999999996</v>
      </c>
      <c r="E3349">
        <v>0.55877699999999997</v>
      </c>
      <c r="F3349" t="s">
        <v>42</v>
      </c>
      <c r="G3349">
        <v>-230.67259999999999</v>
      </c>
      <c r="H3349" s="1">
        <v>-4.429618E-6</v>
      </c>
      <c r="I3349">
        <v>137.1026</v>
      </c>
      <c r="J3349">
        <v>-196.39930000000001</v>
      </c>
      <c r="K3349">
        <v>1.101796</v>
      </c>
      <c r="L3349">
        <v>150.64920000000001</v>
      </c>
      <c r="M3349">
        <v>-0.52876789999999996</v>
      </c>
      <c r="N3349">
        <v>0</v>
      </c>
      <c r="O3349">
        <v>-0.84864649999999997</v>
      </c>
      <c r="P3349">
        <v>-0.86566880000000002</v>
      </c>
      <c r="Q3349">
        <v>0.1504308</v>
      </c>
      <c r="R3349">
        <v>-0.4774815</v>
      </c>
      <c r="S3349">
        <v>-2.8568120000000001</v>
      </c>
      <c r="T3349">
        <v>-9.1450210000000004E-2</v>
      </c>
      <c r="U3349">
        <v>-1.14238</v>
      </c>
      <c r="V3349">
        <v>0.48506250000000001</v>
      </c>
      <c r="W3349">
        <v>0.15405739999999901</v>
      </c>
      <c r="X3349">
        <v>0.86080239999999997</v>
      </c>
      <c r="Y3349">
        <v>0.59123249999999905</v>
      </c>
      <c r="Z3349">
        <v>3.0361630000000001E-2</v>
      </c>
      <c r="AA3349">
        <v>0.80592940000000002</v>
      </c>
      <c r="AB3349">
        <v>26</v>
      </c>
      <c r="AC3349">
        <v>-34.2732999999999</v>
      </c>
      <c r="AD3349">
        <v>-1.101800429618</v>
      </c>
      <c r="AE3349">
        <v>-13.5466</v>
      </c>
      <c r="AF3349">
        <v>21.905561519847101</v>
      </c>
      <c r="AG3349">
        <v>-1.101800429618</v>
      </c>
      <c r="AH3349">
        <v>29.5954584676753</v>
      </c>
      <c r="AI3349">
        <v>91.713985023168703</v>
      </c>
      <c r="AJ3349">
        <v>53.492401891579298</v>
      </c>
      <c r="AK3349">
        <v>36.8369210385234</v>
      </c>
      <c r="AL3349">
        <v>81.137867725666297</v>
      </c>
      <c r="AM3349">
        <v>60.598723104684296</v>
      </c>
      <c r="AN3349">
        <v>1.0000000416233801</v>
      </c>
    </row>
    <row r="3350" spans="1:40" x14ac:dyDescent="0.25">
      <c r="A3350" t="str">
        <f>"20190312164537740"</f>
        <v>20190312164537740</v>
      </c>
      <c r="B3350" t="str">
        <f>"1552380337734592"</f>
        <v>1552380337734592</v>
      </c>
      <c r="C3350" t="s">
        <v>40</v>
      </c>
      <c r="D3350">
        <v>4.6244110000000003</v>
      </c>
      <c r="E3350">
        <v>0.55895649999999997</v>
      </c>
      <c r="F3350" t="s">
        <v>42</v>
      </c>
      <c r="G3350">
        <v>-233.9659</v>
      </c>
      <c r="H3350" s="1">
        <v>-3.1760589999999999E-6</v>
      </c>
      <c r="I3350">
        <v>136.2047</v>
      </c>
      <c r="J3350">
        <v>-196.54259999999999</v>
      </c>
      <c r="K3350">
        <v>1.1017969999999999</v>
      </c>
      <c r="L3350">
        <v>150.44049999999999</v>
      </c>
      <c r="M3350">
        <v>-0.53740290000000002</v>
      </c>
      <c r="N3350">
        <v>0</v>
      </c>
      <c r="O3350">
        <v>-0.84320459999999997</v>
      </c>
      <c r="P3350">
        <v>-0.87009780000000003</v>
      </c>
      <c r="Q3350">
        <v>0.148967299999999</v>
      </c>
      <c r="R3350">
        <v>-0.46982839999999998</v>
      </c>
      <c r="S3350">
        <v>-2.871216</v>
      </c>
      <c r="T3350">
        <v>-8.4210519999999997E-2</v>
      </c>
      <c r="U3350">
        <v>-1.1039890000000001</v>
      </c>
      <c r="V3350">
        <v>0.48404469999999999</v>
      </c>
      <c r="W3350">
        <v>0.15264430000000001</v>
      </c>
      <c r="X3350">
        <v>0.86162659999999902</v>
      </c>
      <c r="Y3350">
        <v>0.59381439999999996</v>
      </c>
      <c r="Z3350">
        <v>2.7919490000000002E-2</v>
      </c>
      <c r="AA3350">
        <v>0.80411759999999999</v>
      </c>
      <c r="AB3350">
        <v>26</v>
      </c>
      <c r="AC3350">
        <v>-37.423299999999998</v>
      </c>
      <c r="AD3350">
        <v>-1.1018001760589999</v>
      </c>
      <c r="AE3350">
        <v>-14.2357999999999</v>
      </c>
      <c r="AF3350">
        <v>23.889488838987202</v>
      </c>
      <c r="AG3350">
        <v>-1.1018001760589999</v>
      </c>
      <c r="AH3350">
        <v>32.094057631549703</v>
      </c>
      <c r="AI3350">
        <v>91.577450843019705</v>
      </c>
      <c r="AJ3350">
        <v>53.337528133243097</v>
      </c>
      <c r="AK3350">
        <v>40.0243697748421</v>
      </c>
      <c r="AL3350">
        <v>81.219800942713604</v>
      </c>
      <c r="AM3350">
        <v>60.673588167450703</v>
      </c>
      <c r="AN3350">
        <v>0.99999997587406897</v>
      </c>
    </row>
    <row r="3351" spans="1:40" x14ac:dyDescent="0.25">
      <c r="A3351" t="str">
        <f>"20190312164537763"</f>
        <v>20190312164537763</v>
      </c>
      <c r="B3351" t="str">
        <f>"1552380337755088"</f>
        <v>1552380337755088</v>
      </c>
      <c r="C3351" t="s">
        <v>40</v>
      </c>
      <c r="D3351">
        <v>4.726324</v>
      </c>
      <c r="E3351">
        <v>0.5593359</v>
      </c>
      <c r="F3351" t="s">
        <v>42</v>
      </c>
      <c r="G3351">
        <v>-234.35390000000001</v>
      </c>
      <c r="H3351" s="1">
        <v>-2.9885019999999999E-6</v>
      </c>
      <c r="I3351">
        <v>136.32390000000001</v>
      </c>
      <c r="J3351">
        <v>-196.70330000000001</v>
      </c>
      <c r="K3351">
        <v>1.1018129999999999</v>
      </c>
      <c r="L3351">
        <v>150.21170000000001</v>
      </c>
      <c r="M3351">
        <v>-0.54687569999999996</v>
      </c>
      <c r="N3351">
        <v>0</v>
      </c>
      <c r="O3351">
        <v>-0.83709219999999895</v>
      </c>
      <c r="P3351">
        <v>-0.87476799999999999</v>
      </c>
      <c r="Q3351">
        <v>0.1482349</v>
      </c>
      <c r="R3351">
        <v>-0.46131100000000003</v>
      </c>
      <c r="S3351">
        <v>-2.8813780000000002</v>
      </c>
      <c r="T3351">
        <v>-8.3961839999999996E-2</v>
      </c>
      <c r="U3351">
        <v>-1.075745</v>
      </c>
      <c r="V3351">
        <v>0.48282360000000002</v>
      </c>
      <c r="W3351">
        <v>0.15196889999999999</v>
      </c>
      <c r="X3351">
        <v>0.86243080000000005</v>
      </c>
      <c r="Y3351">
        <v>0.59259399999999995</v>
      </c>
      <c r="Z3351">
        <v>2.774743E-2</v>
      </c>
      <c r="AA3351">
        <v>0.8050233</v>
      </c>
      <c r="AB3351">
        <v>26</v>
      </c>
      <c r="AC3351">
        <v>-37.650599999999997</v>
      </c>
      <c r="AD3351">
        <v>-1.101815988502</v>
      </c>
      <c r="AE3351">
        <v>-13.8878</v>
      </c>
      <c r="AF3351">
        <v>23.906537604334599</v>
      </c>
      <c r="AG3351">
        <v>-1.101815988502</v>
      </c>
      <c r="AH3351">
        <v>32.1945783435565</v>
      </c>
      <c r="AI3351">
        <v>91.573901726316606</v>
      </c>
      <c r="AJ3351">
        <v>53.403746779061301</v>
      </c>
      <c r="AK3351">
        <v>40.115176846417903</v>
      </c>
      <c r="AL3351">
        <v>81.258955793678595</v>
      </c>
      <c r="AM3351">
        <v>60.758135674191102</v>
      </c>
      <c r="AN3351">
        <v>1.0000000300364</v>
      </c>
    </row>
    <row r="3352" spans="1:40" x14ac:dyDescent="0.25">
      <c r="A3352" t="str">
        <f>"20190312164537787"</f>
        <v>20190312164537787</v>
      </c>
      <c r="B3352" t="str">
        <f>"1552380337774607"</f>
        <v>1552380337774607</v>
      </c>
      <c r="C3352" t="s">
        <v>40</v>
      </c>
      <c r="D3352">
        <v>4.5659679999999998</v>
      </c>
      <c r="E3352">
        <v>0.55960650000000001</v>
      </c>
      <c r="F3352" t="s">
        <v>42</v>
      </c>
      <c r="G3352">
        <v>-236.5198</v>
      </c>
      <c r="H3352" s="1">
        <v>-2.1704040000000001E-6</v>
      </c>
      <c r="I3352">
        <v>135.8578</v>
      </c>
      <c r="J3352">
        <v>-196.85890000000001</v>
      </c>
      <c r="K3352">
        <v>1.101834</v>
      </c>
      <c r="L3352">
        <v>149.99520000000001</v>
      </c>
      <c r="M3352">
        <v>-0.55583719999999903</v>
      </c>
      <c r="N3352">
        <v>0</v>
      </c>
      <c r="O3352">
        <v>-0.83116840000000003</v>
      </c>
      <c r="P3352">
        <v>-0.87923009999999902</v>
      </c>
      <c r="Q3352">
        <v>0.147949</v>
      </c>
      <c r="R3352">
        <v>-0.45284190000000002</v>
      </c>
      <c r="S3352">
        <v>-2.8930509999999998</v>
      </c>
      <c r="T3352">
        <v>-8.0057500000000004E-2</v>
      </c>
      <c r="U3352">
        <v>-1.0429379999999999</v>
      </c>
      <c r="V3352">
        <v>0.48191240000000002</v>
      </c>
      <c r="W3352">
        <v>0.15173</v>
      </c>
      <c r="X3352">
        <v>0.86298229999999998</v>
      </c>
      <c r="Y3352">
        <v>0.59309469999999997</v>
      </c>
      <c r="Z3352">
        <v>2.6388120000000001E-2</v>
      </c>
      <c r="AA3352">
        <v>0.80470010000000003</v>
      </c>
      <c r="AB3352">
        <v>26</v>
      </c>
      <c r="AC3352">
        <v>-39.660899999999998</v>
      </c>
      <c r="AD3352">
        <v>-1.1018361704040001</v>
      </c>
      <c r="AE3352">
        <v>-14.1374</v>
      </c>
      <c r="AF3352">
        <v>25.092173455320399</v>
      </c>
      <c r="AG3352">
        <v>-1.1018361704040001</v>
      </c>
      <c r="AH3352">
        <v>33.775883479277702</v>
      </c>
      <c r="AI3352">
        <v>91.500034841287999</v>
      </c>
      <c r="AJ3352">
        <v>53.391266781203498</v>
      </c>
      <c r="AK3352">
        <v>42.0908721276245</v>
      </c>
      <c r="AL3352">
        <v>81.272804102590001</v>
      </c>
      <c r="AM3352">
        <v>60.819840770568398</v>
      </c>
      <c r="AN3352">
        <v>1.00000000214352</v>
      </c>
    </row>
    <row r="3353" spans="1:40" x14ac:dyDescent="0.25">
      <c r="A3353" t="str">
        <f>"20190312164537806"</f>
        <v>20190312164537806</v>
      </c>
      <c r="B3353" t="str">
        <f>"1552380337795104"</f>
        <v>1552380337795104</v>
      </c>
      <c r="C3353" t="s">
        <v>40</v>
      </c>
      <c r="D3353">
        <v>4.5554269999999999</v>
      </c>
      <c r="E3353">
        <v>0.55913380000000001</v>
      </c>
      <c r="F3353" t="s">
        <v>42</v>
      </c>
      <c r="G3353">
        <v>-240.11089999999999</v>
      </c>
      <c r="H3353" s="1">
        <v>-5.0576069999999996E-6</v>
      </c>
      <c r="I3353">
        <v>134.92080000000001</v>
      </c>
      <c r="J3353">
        <v>-196.99860000000001</v>
      </c>
      <c r="K3353">
        <v>1.10185</v>
      </c>
      <c r="L3353">
        <v>149.8049</v>
      </c>
      <c r="M3353">
        <v>-0.56371530000000003</v>
      </c>
      <c r="N3353">
        <v>0</v>
      </c>
      <c r="O3353">
        <v>-0.82584559999999996</v>
      </c>
      <c r="P3353">
        <v>-0.88325119999999901</v>
      </c>
      <c r="Q3353">
        <v>0.1474269</v>
      </c>
      <c r="R3353">
        <v>-0.4451214</v>
      </c>
      <c r="S3353">
        <v>-2.9033509999999998</v>
      </c>
      <c r="T3353">
        <v>-7.3962570000000005E-2</v>
      </c>
      <c r="U3353">
        <v>-1.011887</v>
      </c>
      <c r="V3353">
        <v>0.481323</v>
      </c>
      <c r="W3353">
        <v>0.15124360000000001</v>
      </c>
      <c r="X3353">
        <v>0.86339650000000001</v>
      </c>
      <c r="Y3353">
        <v>0.59405569999999996</v>
      </c>
      <c r="Z3353">
        <v>2.4328510000000001E-2</v>
      </c>
      <c r="AA3353">
        <v>0.80405599999999999</v>
      </c>
      <c r="AB3353">
        <v>26</v>
      </c>
      <c r="AC3353">
        <v>-43.112299999999898</v>
      </c>
      <c r="AD3353">
        <v>-1.1018550576070001</v>
      </c>
      <c r="AE3353">
        <v>-14.884099999999901</v>
      </c>
      <c r="AF3353">
        <v>27.200610754930199</v>
      </c>
      <c r="AG3353">
        <v>-1.1018550576070001</v>
      </c>
      <c r="AH3353">
        <v>36.577418903223297</v>
      </c>
      <c r="AI3353">
        <v>91.384722249022801</v>
      </c>
      <c r="AJ3353">
        <v>53.363851431151197</v>
      </c>
      <c r="AK3353">
        <v>45.5959963552841</v>
      </c>
      <c r="AL3353">
        <v>81.300998012791595</v>
      </c>
      <c r="AM3353">
        <v>60.861373612402097</v>
      </c>
      <c r="AN3353">
        <v>0.999999986541104</v>
      </c>
    </row>
    <row r="3354" spans="1:40" x14ac:dyDescent="0.25">
      <c r="A3354" t="str">
        <f>"20190312164537830"</f>
        <v>20190312164537830</v>
      </c>
      <c r="B3354" t="str">
        <f>"1552380337825360"</f>
        <v>1552380337825360</v>
      </c>
      <c r="C3354" t="s">
        <v>40</v>
      </c>
      <c r="D3354">
        <v>4.6385610000000002</v>
      </c>
      <c r="E3354">
        <v>0.55816759999999999</v>
      </c>
      <c r="F3354" t="s">
        <v>42</v>
      </c>
      <c r="G3354">
        <v>-240.03700000000001</v>
      </c>
      <c r="H3354" s="1">
        <v>-5.0452149999999998E-6</v>
      </c>
      <c r="I3354">
        <v>135.16929999999999</v>
      </c>
      <c r="J3354">
        <v>-197.155</v>
      </c>
      <c r="K3354">
        <v>1.10186299999999</v>
      </c>
      <c r="L3354">
        <v>149.59639999999999</v>
      </c>
      <c r="M3354">
        <v>-0.57235249999999904</v>
      </c>
      <c r="N3354">
        <v>0</v>
      </c>
      <c r="O3354">
        <v>-0.81988340000000004</v>
      </c>
      <c r="P3354">
        <v>-0.88739129999999999</v>
      </c>
      <c r="Q3354">
        <v>0.14629990000000001</v>
      </c>
      <c r="R3354">
        <v>-0.43718790000000002</v>
      </c>
      <c r="S3354">
        <v>-2.9102480000000002</v>
      </c>
      <c r="T3354">
        <v>-7.4507359999999995E-2</v>
      </c>
      <c r="U3354">
        <v>-0.98965449999999999</v>
      </c>
      <c r="V3354">
        <v>0.48012129999999997</v>
      </c>
      <c r="W3354">
        <v>0.15017069999999999</v>
      </c>
      <c r="X3354">
        <v>0.86425249999999998</v>
      </c>
      <c r="Y3354">
        <v>0.59169300000000002</v>
      </c>
      <c r="Z3354">
        <v>2.4415249999999999E-2</v>
      </c>
      <c r="AA3354">
        <v>0.80579350000000005</v>
      </c>
      <c r="AB3354">
        <v>26</v>
      </c>
      <c r="AC3354">
        <v>-42.881999999999998</v>
      </c>
      <c r="AD3354">
        <v>-1.10186804521499</v>
      </c>
      <c r="AE3354">
        <v>-14.4270999999999</v>
      </c>
      <c r="AF3354">
        <v>26.887647673220201</v>
      </c>
      <c r="AG3354">
        <v>-1.10186804521499</v>
      </c>
      <c r="AH3354">
        <v>36.354304741752898</v>
      </c>
      <c r="AI3354">
        <v>91.3959315110597</v>
      </c>
      <c r="AJ3354">
        <v>53.513366690558698</v>
      </c>
      <c r="AK3354">
        <v>45.230467428985598</v>
      </c>
      <c r="AL3354">
        <v>81.363181373020595</v>
      </c>
      <c r="AM3354">
        <v>60.946357315155197</v>
      </c>
      <c r="AN3354">
        <v>1.00000004280421</v>
      </c>
    </row>
    <row r="3355" spans="1:40" x14ac:dyDescent="0.25">
      <c r="A3355" t="str">
        <f>"20190312164537851"</f>
        <v>20190312164537851</v>
      </c>
      <c r="B3355" t="str">
        <f>"1552380337844880"</f>
        <v>1552380337844880</v>
      </c>
      <c r="C3355" t="s">
        <v>40</v>
      </c>
      <c r="D3355">
        <v>5.0602269999999896</v>
      </c>
      <c r="E3355">
        <v>0.55745690000000003</v>
      </c>
      <c r="F3355" t="s">
        <v>42</v>
      </c>
      <c r="G3355">
        <v>-240.0307</v>
      </c>
      <c r="H3355" s="1">
        <v>-5.0177640000000003E-6</v>
      </c>
      <c r="I3355">
        <v>135.33930000000001</v>
      </c>
      <c r="J3355">
        <v>-197.31370000000001</v>
      </c>
      <c r="K3355">
        <v>1.101872</v>
      </c>
      <c r="L3355">
        <v>149.3896</v>
      </c>
      <c r="M3355">
        <v>-0.58092779999999999</v>
      </c>
      <c r="N3355">
        <v>0</v>
      </c>
      <c r="O3355">
        <v>-0.81382969999999999</v>
      </c>
      <c r="P3355">
        <v>-0.89145039999999998</v>
      </c>
      <c r="Q3355">
        <v>0.1453448</v>
      </c>
      <c r="R3355">
        <v>-0.42917529999999998</v>
      </c>
      <c r="S3355">
        <v>-2.9154209999999998</v>
      </c>
      <c r="T3355">
        <v>-7.4923749999999997E-2</v>
      </c>
      <c r="U3355">
        <v>-0.96943659999999998</v>
      </c>
      <c r="V3355">
        <v>0.47893560000000002</v>
      </c>
      <c r="W3355">
        <v>0.14926739999999999</v>
      </c>
      <c r="X3355">
        <v>0.86506649999999996</v>
      </c>
      <c r="Y3355">
        <v>0.58868229999999999</v>
      </c>
      <c r="Z3355">
        <v>2.4455660000000001E-2</v>
      </c>
      <c r="AA3355">
        <v>0.80799449999999995</v>
      </c>
      <c r="AB3355">
        <v>26</v>
      </c>
      <c r="AC3355">
        <v>-42.716999999999899</v>
      </c>
      <c r="AD3355">
        <v>-1.101877017764</v>
      </c>
      <c r="AE3355">
        <v>-14.050299999999901</v>
      </c>
      <c r="AF3355">
        <v>26.588904330054302</v>
      </c>
      <c r="AG3355">
        <v>-1.101877017764</v>
      </c>
      <c r="AH3355">
        <v>36.231990076417901</v>
      </c>
      <c r="AI3355">
        <v>91.4045022118883</v>
      </c>
      <c r="AJ3355">
        <v>53.7268565785524</v>
      </c>
      <c r="AK3355">
        <v>44.9548781705913</v>
      </c>
      <c r="AL3355">
        <v>81.415526783371604</v>
      </c>
      <c r="AM3355">
        <v>61.029322873102501</v>
      </c>
      <c r="AN3355">
        <v>1.00000005753618</v>
      </c>
    </row>
    <row r="3356" spans="1:40" x14ac:dyDescent="0.25">
      <c r="A3356" t="str">
        <f>"20190312164537874"</f>
        <v>20190312164537874</v>
      </c>
      <c r="B3356" t="str">
        <f>"1552380337865379"</f>
        <v>1552380337865379</v>
      </c>
      <c r="C3356" t="s">
        <v>40</v>
      </c>
      <c r="D3356">
        <v>4.9584359999999998</v>
      </c>
      <c r="E3356">
        <v>0.55699009999999904</v>
      </c>
      <c r="F3356" t="s">
        <v>42</v>
      </c>
      <c r="G3356">
        <v>-239.5547</v>
      </c>
      <c r="H3356" s="1">
        <v>-1.1810100000000001E-6</v>
      </c>
      <c r="I3356">
        <v>135.69470000000001</v>
      </c>
      <c r="J3356">
        <v>-197.4778</v>
      </c>
      <c r="K3356">
        <v>1.1018790000000001</v>
      </c>
      <c r="L3356">
        <v>149.18039999999999</v>
      </c>
      <c r="M3356">
        <v>-0.58961109999999906</v>
      </c>
      <c r="N3356">
        <v>0</v>
      </c>
      <c r="O3356">
        <v>-0.80756079999999997</v>
      </c>
      <c r="P3356">
        <v>-0.89561119999999905</v>
      </c>
      <c r="Q3356">
        <v>0.1443605</v>
      </c>
      <c r="R3356">
        <v>-0.42076210000000003</v>
      </c>
      <c r="S3356">
        <v>-2.9216920000000002</v>
      </c>
      <c r="T3356">
        <v>-7.6213359999999994E-2</v>
      </c>
      <c r="U3356">
        <v>-0.9472351</v>
      </c>
      <c r="V3356">
        <v>0.47791790000000001</v>
      </c>
      <c r="W3356">
        <v>0.14833089999999999</v>
      </c>
      <c r="X3356">
        <v>0.86579010000000001</v>
      </c>
      <c r="Y3356">
        <v>0.58607549999999997</v>
      </c>
      <c r="Z3356">
        <v>2.4772860000000001E-2</v>
      </c>
      <c r="AA3356">
        <v>0.80987769999999903</v>
      </c>
      <c r="AB3356">
        <v>26</v>
      </c>
      <c r="AC3356">
        <v>-42.076900000000002</v>
      </c>
      <c r="AD3356">
        <v>-1.1018801810100001</v>
      </c>
      <c r="AE3356">
        <v>-13.4856999999999</v>
      </c>
      <c r="AF3356">
        <v>26.014817451832801</v>
      </c>
      <c r="AG3356">
        <v>-1.1018801810100001</v>
      </c>
      <c r="AH3356">
        <v>35.680987577411699</v>
      </c>
      <c r="AI3356">
        <v>91.429421524362795</v>
      </c>
      <c r="AJ3356">
        <v>53.904409739155099</v>
      </c>
      <c r="AK3356">
        <v>44.1714584486962</v>
      </c>
      <c r="AL3356">
        <v>81.469788166224504</v>
      </c>
      <c r="AM3356">
        <v>61.101212884709199</v>
      </c>
      <c r="AN3356">
        <v>1.0000000361466099</v>
      </c>
    </row>
    <row r="3357" spans="1:40" x14ac:dyDescent="0.25">
      <c r="A3357" t="str">
        <f>"20190312164537896"</f>
        <v>20190312164537896</v>
      </c>
      <c r="B3357" t="str">
        <f>"1552380337884895"</f>
        <v>1552380337884895</v>
      </c>
      <c r="C3357" t="s">
        <v>40</v>
      </c>
      <c r="D3357">
        <v>4.6511480000000001</v>
      </c>
      <c r="E3357">
        <v>0.5561855</v>
      </c>
      <c r="F3357" t="s">
        <v>42</v>
      </c>
      <c r="G3357">
        <v>-240.76240000000001</v>
      </c>
      <c r="H3357" s="1">
        <v>-4.6667679999999999E-6</v>
      </c>
      <c r="I3357">
        <v>135.54830000000001</v>
      </c>
      <c r="J3357">
        <v>-197.6361</v>
      </c>
      <c r="K3357">
        <v>1.101899</v>
      </c>
      <c r="L3357">
        <v>148.9828</v>
      </c>
      <c r="M3357">
        <v>-0.5978137</v>
      </c>
      <c r="N3357">
        <v>0</v>
      </c>
      <c r="O3357">
        <v>-0.80150769999999905</v>
      </c>
      <c r="P3357">
        <v>-0.89961480000000005</v>
      </c>
      <c r="Q3357">
        <v>0.14401229999999901</v>
      </c>
      <c r="R3357">
        <v>-0.41225489999999998</v>
      </c>
      <c r="S3357">
        <v>-2.928375</v>
      </c>
      <c r="T3357">
        <v>-7.4546810000000005E-2</v>
      </c>
      <c r="U3357">
        <v>-0.92225650000000003</v>
      </c>
      <c r="V3357">
        <v>0.47732829999999898</v>
      </c>
      <c r="W3357">
        <v>0.14801589999999901</v>
      </c>
      <c r="X3357">
        <v>0.86616919999999897</v>
      </c>
      <c r="Y3357">
        <v>0.58464320000000003</v>
      </c>
      <c r="Z3357">
        <v>2.4144530000000001E-2</v>
      </c>
      <c r="AA3357">
        <v>0.81093119999999996</v>
      </c>
      <c r="AB3357">
        <v>26</v>
      </c>
      <c r="AC3357">
        <v>-43.126300000000001</v>
      </c>
      <c r="AD3357">
        <v>-1.101903666768</v>
      </c>
      <c r="AE3357">
        <v>-13.4344999999999</v>
      </c>
      <c r="AF3357">
        <v>26.5216601401997</v>
      </c>
      <c r="AG3357">
        <v>-1.101903666768</v>
      </c>
      <c r="AH3357">
        <v>36.531340899188201</v>
      </c>
      <c r="AI3357">
        <v>91.398249333992993</v>
      </c>
      <c r="AJ3357">
        <v>54.020446240159401</v>
      </c>
      <c r="AK3357">
        <v>45.156965311851899</v>
      </c>
      <c r="AL3357">
        <v>81.488037886706707</v>
      </c>
      <c r="AM3357">
        <v>61.141731016728301</v>
      </c>
      <c r="AN3357">
        <v>1.0000000478311599</v>
      </c>
    </row>
    <row r="3358" spans="1:40" x14ac:dyDescent="0.25">
      <c r="A3358" t="str">
        <f>"20190312164537918"</f>
        <v>20190312164537918</v>
      </c>
      <c r="B3358" t="str">
        <f>"1552380337915152"</f>
        <v>1552380337915152</v>
      </c>
      <c r="C3358" t="s">
        <v>40</v>
      </c>
      <c r="D3358">
        <v>4.9713070000000004</v>
      </c>
      <c r="E3358">
        <v>0.54240299999999997</v>
      </c>
      <c r="F3358" t="s">
        <v>42</v>
      </c>
      <c r="G3358">
        <v>-239.12219999999999</v>
      </c>
      <c r="H3358" s="1">
        <v>-1.180739E-6</v>
      </c>
      <c r="I3358">
        <v>136.24889999999999</v>
      </c>
      <c r="J3358">
        <v>-197.7944</v>
      </c>
      <c r="K3358">
        <v>1.101909</v>
      </c>
      <c r="L3358">
        <v>148.7893</v>
      </c>
      <c r="M3358">
        <v>-0.60585369999999905</v>
      </c>
      <c r="N3358">
        <v>0</v>
      </c>
      <c r="O3358">
        <v>-0.79544780000000004</v>
      </c>
      <c r="P3358">
        <v>-0.90320699999999998</v>
      </c>
      <c r="Q3358">
        <v>0.14362720000000001</v>
      </c>
      <c r="R3358">
        <v>-0.40446080000000001</v>
      </c>
      <c r="S3358">
        <v>-2.9344640000000002</v>
      </c>
      <c r="T3358">
        <v>-7.7941419999999997E-2</v>
      </c>
      <c r="U3358">
        <v>-0.90071109999999899</v>
      </c>
      <c r="V3358">
        <v>0.47612939999999998</v>
      </c>
      <c r="W3358">
        <v>0.14767920000000001</v>
      </c>
      <c r="X3358">
        <v>0.86688619999999905</v>
      </c>
      <c r="Y3358">
        <v>0.58235669999999995</v>
      </c>
      <c r="Z3358">
        <v>2.5136510000000001E-2</v>
      </c>
      <c r="AA3358">
        <v>0.81254469999999901</v>
      </c>
      <c r="AB3358">
        <v>25</v>
      </c>
      <c r="AC3358">
        <v>-41.327800000000003</v>
      </c>
      <c r="AD3358">
        <v>-1.1019101807389999</v>
      </c>
      <c r="AE3358">
        <v>-12.5404</v>
      </c>
      <c r="AF3358">
        <v>25.262594612169501</v>
      </c>
      <c r="AG3358">
        <v>-1.1019101807389999</v>
      </c>
      <c r="AH3358">
        <v>34.994627523635501</v>
      </c>
      <c r="AI3358">
        <v>91.462475978800299</v>
      </c>
      <c r="AJ3358">
        <v>54.174511183686697</v>
      </c>
      <c r="AK3358">
        <v>43.174493026591698</v>
      </c>
      <c r="AL3358">
        <v>81.507543483243097</v>
      </c>
      <c r="AM3358">
        <v>61.2226068731458</v>
      </c>
      <c r="AN3358">
        <v>1.0000000177037101</v>
      </c>
    </row>
    <row r="3359" spans="1:40" x14ac:dyDescent="0.25">
      <c r="A3359" t="str">
        <f>"20190312164537941"</f>
        <v>20190312164537941</v>
      </c>
      <c r="B3359" t="str">
        <f>"1552380337934672"</f>
        <v>1552380337934672</v>
      </c>
      <c r="C3359" t="s">
        <v>40</v>
      </c>
      <c r="D3359">
        <v>5.0306959999999998</v>
      </c>
      <c r="E3359">
        <v>0.54123619999999995</v>
      </c>
      <c r="F3359" t="s">
        <v>42</v>
      </c>
      <c r="G3359">
        <v>-218.08590000000001</v>
      </c>
      <c r="H3359" s="1">
        <v>-1.4915179999999999E-6</v>
      </c>
      <c r="I3359">
        <v>141.8948</v>
      </c>
      <c r="J3359">
        <v>-197.9657</v>
      </c>
      <c r="K3359">
        <v>1.1019289999999999</v>
      </c>
      <c r="L3359">
        <v>148.58420000000001</v>
      </c>
      <c r="M3359">
        <v>-0.61438199999999998</v>
      </c>
      <c r="N3359">
        <v>0</v>
      </c>
      <c r="O3359">
        <v>-0.78887959999999901</v>
      </c>
      <c r="P3359">
        <v>-0.90688480000000005</v>
      </c>
      <c r="Q3359">
        <v>0.14281540000000001</v>
      </c>
      <c r="R3359">
        <v>-0.3964394</v>
      </c>
      <c r="S3359">
        <v>-2.904633</v>
      </c>
      <c r="T3359">
        <v>-0.15773280000000001</v>
      </c>
      <c r="U3359">
        <v>-0.98690800000000001</v>
      </c>
      <c r="V3359">
        <v>0.47455730000000002</v>
      </c>
      <c r="W3359">
        <v>0.14692649999999999</v>
      </c>
      <c r="X3359">
        <v>0.86787559999999997</v>
      </c>
      <c r="Y3359">
        <v>0.547925</v>
      </c>
      <c r="Z3359">
        <v>4.9948159999999998E-2</v>
      </c>
      <c r="AA3359">
        <v>0.83503499999999997</v>
      </c>
      <c r="AB3359">
        <v>25</v>
      </c>
      <c r="AC3359">
        <v>-20.120200000000001</v>
      </c>
      <c r="AD3359">
        <v>-1.1019304915179999</v>
      </c>
      <c r="AE3359">
        <v>-6.6894</v>
      </c>
      <c r="AF3359">
        <v>11.732079457886</v>
      </c>
      <c r="AG3359">
        <v>-1.1019304915179999</v>
      </c>
      <c r="AH3359">
        <v>17.5929000969778</v>
      </c>
      <c r="AI3359">
        <v>92.983023537850002</v>
      </c>
      <c r="AJ3359">
        <v>56.302088281852797</v>
      </c>
      <c r="AK3359">
        <v>21.174656385323701</v>
      </c>
      <c r="AL3359">
        <v>81.551145862582999</v>
      </c>
      <c r="AM3359">
        <v>61.330013001214702</v>
      </c>
      <c r="AN3359">
        <v>1.00000004223044</v>
      </c>
    </row>
    <row r="3360" spans="1:40" x14ac:dyDescent="0.25">
      <c r="A3360" t="str">
        <f>"20190312164537954"</f>
        <v>20190312164537954</v>
      </c>
      <c r="B3360" t="str">
        <f>"1552380337945408"</f>
        <v>1552380337945408</v>
      </c>
      <c r="C3360" t="s">
        <v>40</v>
      </c>
      <c r="D3360">
        <v>5.0191749999999997</v>
      </c>
      <c r="E3360">
        <v>0.53978570000000003</v>
      </c>
      <c r="F3360" t="s">
        <v>42</v>
      </c>
      <c r="G3360">
        <v>-220.19550000000001</v>
      </c>
      <c r="H3360" s="1">
        <v>-4.48936999999999E-6</v>
      </c>
      <c r="I3360">
        <v>141.19409999999999</v>
      </c>
      <c r="J3360">
        <v>-198.0626</v>
      </c>
      <c r="K3360">
        <v>1.101939</v>
      </c>
      <c r="L3360">
        <v>148.47</v>
      </c>
      <c r="M3360">
        <v>-0.61913200000000002</v>
      </c>
      <c r="N3360">
        <v>0</v>
      </c>
      <c r="O3360">
        <v>-0.78515699999999999</v>
      </c>
      <c r="P3360">
        <v>-0.90893360000000001</v>
      </c>
      <c r="Q3360">
        <v>0.142564</v>
      </c>
      <c r="R3360">
        <v>-0.3918104</v>
      </c>
      <c r="S3360">
        <v>-2.908112</v>
      </c>
      <c r="T3360">
        <v>-0.14415539999999999</v>
      </c>
      <c r="U3360">
        <v>-0.96676640000000003</v>
      </c>
      <c r="V3360">
        <v>0.4737653</v>
      </c>
      <c r="W3360">
        <v>0.14670569999999999</v>
      </c>
      <c r="X3360">
        <v>0.86834549999999999</v>
      </c>
      <c r="Y3360">
        <v>0.54861579999999999</v>
      </c>
      <c r="Z3360">
        <v>4.5606569999999999E-2</v>
      </c>
      <c r="AA3360">
        <v>0.83482979999999996</v>
      </c>
      <c r="AB3360">
        <v>25</v>
      </c>
      <c r="AC3360">
        <v>-22.132899999999999</v>
      </c>
      <c r="AD3360">
        <v>-1.10194348937</v>
      </c>
      <c r="AE3360">
        <v>-7.2759</v>
      </c>
      <c r="AF3360">
        <v>12.845636108169201</v>
      </c>
      <c r="AG3360">
        <v>-1.10194348937</v>
      </c>
      <c r="AH3360">
        <v>19.374549859546999</v>
      </c>
      <c r="AI3360">
        <v>92.713975455177902</v>
      </c>
      <c r="AJ3360">
        <v>56.454985945697103</v>
      </c>
      <c r="AK3360">
        <v>23.272254483339999</v>
      </c>
      <c r="AL3360">
        <v>81.563935125160597</v>
      </c>
      <c r="AM3360">
        <v>61.3833213916283</v>
      </c>
      <c r="AN3360">
        <v>1.00000001463341</v>
      </c>
    </row>
    <row r="3361" spans="1:40" x14ac:dyDescent="0.25">
      <c r="A3361" t="str">
        <f>"20190312164537967"</f>
        <v>20190312164537967</v>
      </c>
      <c r="B3361" t="str">
        <f>"1552380337964928"</f>
        <v>1552380337964928</v>
      </c>
      <c r="C3361" t="s">
        <v>40</v>
      </c>
      <c r="D3361">
        <v>5.1609220000000002</v>
      </c>
      <c r="E3361">
        <v>0.53824369999999999</v>
      </c>
      <c r="F3361" t="s">
        <v>42</v>
      </c>
      <c r="G3361">
        <v>-220.9314</v>
      </c>
      <c r="H3361" s="1">
        <v>-4.187754E-6</v>
      </c>
      <c r="I3361">
        <v>140.90549999999999</v>
      </c>
      <c r="J3361">
        <v>-198.166</v>
      </c>
      <c r="K3361">
        <v>1.1019479999999999</v>
      </c>
      <c r="L3361">
        <v>148.34960000000001</v>
      </c>
      <c r="M3361">
        <v>-0.62414040000000004</v>
      </c>
      <c r="N3361">
        <v>0</v>
      </c>
      <c r="O3361">
        <v>-0.78118149999999997</v>
      </c>
      <c r="P3361">
        <v>-0.91109530000000005</v>
      </c>
      <c r="Q3361">
        <v>0.14218140000000001</v>
      </c>
      <c r="R3361">
        <v>-0.38689800000000002</v>
      </c>
      <c r="S3361">
        <v>-2.9078979999999999</v>
      </c>
      <c r="T3361">
        <v>-0.14011879999999999</v>
      </c>
      <c r="U3361">
        <v>-0.96186830000000001</v>
      </c>
      <c r="V3361">
        <v>0.47293429999999997</v>
      </c>
      <c r="W3361">
        <v>0.14635479999999901</v>
      </c>
      <c r="X3361">
        <v>0.86885759999999901</v>
      </c>
      <c r="Y3361">
        <v>0.54458459999999997</v>
      </c>
      <c r="Z3361">
        <v>4.4168489999999998E-2</v>
      </c>
      <c r="AA3361">
        <v>0.83754219999999902</v>
      </c>
      <c r="AB3361">
        <v>25</v>
      </c>
      <c r="AC3361">
        <v>-22.7654</v>
      </c>
      <c r="AD3361">
        <v>-1.1019521877539999</v>
      </c>
      <c r="AE3361">
        <v>-7.4441000000000104</v>
      </c>
      <c r="AF3361">
        <v>13.1113348714252</v>
      </c>
      <c r="AG3361">
        <v>-1.1019521877539999</v>
      </c>
      <c r="AH3361">
        <v>19.983744688817399</v>
      </c>
      <c r="AI3361">
        <v>92.639745876836798</v>
      </c>
      <c r="AJ3361">
        <v>56.731119723556901</v>
      </c>
      <c r="AK3361">
        <v>23.9263756662513</v>
      </c>
      <c r="AL3361">
        <v>81.584259929019595</v>
      </c>
      <c r="AM3361">
        <v>61.439778783530699</v>
      </c>
      <c r="AN3361">
        <v>1.00000005433864</v>
      </c>
    </row>
    <row r="3362" spans="1:40" x14ac:dyDescent="0.25">
      <c r="A3362" t="str">
        <f>"20190312164537988"</f>
        <v>20190312164537988</v>
      </c>
      <c r="B3362" t="str">
        <f>"1552380337985423"</f>
        <v>1552380337985423</v>
      </c>
      <c r="C3362" t="s">
        <v>40</v>
      </c>
      <c r="D3362">
        <v>5.0657899999999998</v>
      </c>
      <c r="E3362">
        <v>0.53901199999999905</v>
      </c>
      <c r="F3362" t="s">
        <v>42</v>
      </c>
      <c r="G3362">
        <v>-221.2337</v>
      </c>
      <c r="H3362" s="1">
        <v>-4.0467429999999999E-6</v>
      </c>
      <c r="I3362">
        <v>140.75790000000001</v>
      </c>
      <c r="J3362">
        <v>-198.32159999999999</v>
      </c>
      <c r="K3362">
        <v>1.1019639999999999</v>
      </c>
      <c r="L3362">
        <v>148.17169999999999</v>
      </c>
      <c r="M3362">
        <v>-0.63155340000000004</v>
      </c>
      <c r="N3362">
        <v>0</v>
      </c>
      <c r="O3362">
        <v>-0.77520080000000002</v>
      </c>
      <c r="P3362">
        <v>-0.91402530000000004</v>
      </c>
      <c r="Q3362">
        <v>0.1418972</v>
      </c>
      <c r="R3362">
        <v>-0.38003039999999999</v>
      </c>
      <c r="S3362">
        <v>-2.90802</v>
      </c>
      <c r="T3362">
        <v>-0.13891719999999999</v>
      </c>
      <c r="U3362">
        <v>-0.95704650000000002</v>
      </c>
      <c r="V3362">
        <v>0.47121610000000003</v>
      </c>
      <c r="W3362">
        <v>0.146128799999999</v>
      </c>
      <c r="X3362">
        <v>0.86982859999999995</v>
      </c>
      <c r="Y3362">
        <v>0.53787229999999997</v>
      </c>
      <c r="Z3362">
        <v>4.3514400000000002E-2</v>
      </c>
      <c r="AA3362">
        <v>0.84190259999999995</v>
      </c>
      <c r="AB3362">
        <v>25</v>
      </c>
      <c r="AC3362">
        <v>-22.912099999999999</v>
      </c>
      <c r="AD3362">
        <v>-1.101968046743</v>
      </c>
      <c r="AE3362">
        <v>-7.4137999999999797</v>
      </c>
      <c r="AF3362">
        <v>13.0532693823773</v>
      </c>
      <c r="AG3362">
        <v>-1.101968046743</v>
      </c>
      <c r="AH3362">
        <v>20.177211281465102</v>
      </c>
      <c r="AI3362">
        <v>92.625479452266106</v>
      </c>
      <c r="AJ3362">
        <v>57.099907895233201</v>
      </c>
      <c r="AK3362">
        <v>24.056642123160799</v>
      </c>
      <c r="AL3362">
        <v>81.597349179641199</v>
      </c>
      <c r="AM3362">
        <v>61.554069689723001</v>
      </c>
      <c r="AN3362">
        <v>1.0000000162333</v>
      </c>
    </row>
    <row r="3363" spans="1:40" x14ac:dyDescent="0.25">
      <c r="A3363" t="str">
        <f>"20190312164538009"</f>
        <v>20190312164538009</v>
      </c>
      <c r="B3363" t="str">
        <f>"1552380338004944"</f>
        <v>1552380338004944</v>
      </c>
      <c r="C3363" t="s">
        <v>40</v>
      </c>
      <c r="D3363">
        <v>4.9949300000000001</v>
      </c>
      <c r="E3363">
        <v>0.54009019999999996</v>
      </c>
      <c r="F3363" t="s">
        <v>42</v>
      </c>
      <c r="G3363">
        <v>-223.28800000000001</v>
      </c>
      <c r="H3363" s="1">
        <v>-3.024093E-6</v>
      </c>
      <c r="I3363">
        <v>140.22649999999999</v>
      </c>
      <c r="J3363">
        <v>-198.48079999999999</v>
      </c>
      <c r="K3363">
        <v>1.1019779999999999</v>
      </c>
      <c r="L3363">
        <v>147.9931</v>
      </c>
      <c r="M3363">
        <v>-0.6389996</v>
      </c>
      <c r="N3363">
        <v>0</v>
      </c>
      <c r="O3363">
        <v>-0.76907460000000005</v>
      </c>
      <c r="P3363">
        <v>-0.91702689999999998</v>
      </c>
      <c r="Q3363">
        <v>0.14113439999999999</v>
      </c>
      <c r="R3363">
        <v>-0.37301889999999999</v>
      </c>
      <c r="S3363">
        <v>-2.91629</v>
      </c>
      <c r="T3363">
        <v>-0.12871920000000001</v>
      </c>
      <c r="U3363">
        <v>-0.92805479999999996</v>
      </c>
      <c r="V3363">
        <v>0.46955760000000002</v>
      </c>
      <c r="W3363">
        <v>0.14542359999999999</v>
      </c>
      <c r="X3363">
        <v>0.87084309999999998</v>
      </c>
      <c r="Y3363">
        <v>0.53819349999999999</v>
      </c>
      <c r="Z3363">
        <v>4.0177339999999999E-2</v>
      </c>
      <c r="AA3363">
        <v>0.84186319999999903</v>
      </c>
      <c r="AB3363">
        <v>25</v>
      </c>
      <c r="AC3363">
        <v>-24.807199999999899</v>
      </c>
      <c r="AD3363">
        <v>-1.1019810240929999</v>
      </c>
      <c r="AE3363">
        <v>-7.7666000000000102</v>
      </c>
      <c r="AF3363">
        <v>14.091846433236601</v>
      </c>
      <c r="AG3363">
        <v>-1.1019810240929999</v>
      </c>
      <c r="AH3363">
        <v>21.787953521394599</v>
      </c>
      <c r="AI3363">
        <v>92.431829601993101</v>
      </c>
      <c r="AJ3363">
        <v>57.106327275281501</v>
      </c>
      <c r="AK3363">
        <v>25.971319117939199</v>
      </c>
      <c r="AL3363">
        <v>81.6381905961466</v>
      </c>
      <c r="AM3363">
        <v>61.666504774926103</v>
      </c>
      <c r="AN3363">
        <v>1.0000000339861601</v>
      </c>
    </row>
    <row r="3364" spans="1:40" x14ac:dyDescent="0.25">
      <c r="A3364" t="str">
        <f>"20190312164538031"</f>
        <v>20190312164538031</v>
      </c>
      <c r="B3364" t="str">
        <f>"1552380338025441"</f>
        <v>1552380338025441</v>
      </c>
      <c r="C3364" t="s">
        <v>40</v>
      </c>
      <c r="D3364">
        <v>5.1586319999999999</v>
      </c>
      <c r="E3364">
        <v>0.53888369999999997</v>
      </c>
      <c r="F3364" t="s">
        <v>42</v>
      </c>
      <c r="G3364">
        <v>-226.63290000000001</v>
      </c>
      <c r="H3364" s="1">
        <v>-1.4698849999999999E-6</v>
      </c>
      <c r="I3364">
        <v>139.3733</v>
      </c>
      <c r="J3364">
        <v>-198.64869999999999</v>
      </c>
      <c r="K3364">
        <v>1.1019939999999999</v>
      </c>
      <c r="L3364">
        <v>147.80860000000001</v>
      </c>
      <c r="M3364">
        <v>-0.64670190000000005</v>
      </c>
      <c r="N3364">
        <v>0</v>
      </c>
      <c r="O3364">
        <v>-0.76260909999999904</v>
      </c>
      <c r="P3364">
        <v>-0.92007209999999995</v>
      </c>
      <c r="Q3364">
        <v>0.14038680000000001</v>
      </c>
      <c r="R3364">
        <v>-0.36573070000000002</v>
      </c>
      <c r="S3364">
        <v>-2.9247890000000001</v>
      </c>
      <c r="T3364">
        <v>-0.1144873</v>
      </c>
      <c r="U3364">
        <v>-0.89552310000000002</v>
      </c>
      <c r="V3364">
        <v>0.4677733</v>
      </c>
      <c r="W3364">
        <v>0.14473710000000001</v>
      </c>
      <c r="X3364">
        <v>0.8719171</v>
      </c>
      <c r="Y3364">
        <v>0.53916319999999995</v>
      </c>
      <c r="Z3364">
        <v>3.561537E-2</v>
      </c>
      <c r="AA3364">
        <v>0.84144789999999903</v>
      </c>
      <c r="AB3364">
        <v>25</v>
      </c>
      <c r="AC3364">
        <v>-27.984200000000001</v>
      </c>
      <c r="AD3364">
        <v>-1.1019954698850001</v>
      </c>
      <c r="AE3364">
        <v>-8.4353000000000105</v>
      </c>
      <c r="AF3364">
        <v>15.864948805712</v>
      </c>
      <c r="AG3364">
        <v>-1.1019954698850001</v>
      </c>
      <c r="AH3364">
        <v>24.497949226143</v>
      </c>
      <c r="AI3364">
        <v>92.162298354768097</v>
      </c>
      <c r="AJ3364">
        <v>57.072779537326497</v>
      </c>
      <c r="AK3364">
        <v>29.207199641701202</v>
      </c>
      <c r="AL3364">
        <v>81.677944960025997</v>
      </c>
      <c r="AM3364">
        <v>61.786963641129802</v>
      </c>
      <c r="AN3364">
        <v>1.00000005879085</v>
      </c>
    </row>
    <row r="3365" spans="1:40" x14ac:dyDescent="0.25">
      <c r="A3365" t="str">
        <f>"20190312164538053"</f>
        <v>20190312164538053</v>
      </c>
      <c r="B3365" t="str">
        <f>"1552380338044959"</f>
        <v>1552380338044959</v>
      </c>
      <c r="C3365" t="s">
        <v>40</v>
      </c>
      <c r="D3365">
        <v>5.0637679999999996</v>
      </c>
      <c r="E3365">
        <v>0.53804890000000005</v>
      </c>
      <c r="F3365" t="s">
        <v>42</v>
      </c>
      <c r="G3365">
        <v>-225.20660000000001</v>
      </c>
      <c r="H3365" s="1">
        <v>-2.0901819999999998E-6</v>
      </c>
      <c r="I3365">
        <v>139.8099</v>
      </c>
      <c r="J3365">
        <v>-198.8271</v>
      </c>
      <c r="K3365">
        <v>1.102006</v>
      </c>
      <c r="L3365">
        <v>147.61660000000001</v>
      </c>
      <c r="M3365">
        <v>-0.65472450000000004</v>
      </c>
      <c r="N3365">
        <v>0</v>
      </c>
      <c r="O3365">
        <v>-0.75573299999999999</v>
      </c>
      <c r="P3365">
        <v>-0.92291829999999997</v>
      </c>
      <c r="Q3365">
        <v>0.13984099999999999</v>
      </c>
      <c r="R3365">
        <v>-0.35870190000000002</v>
      </c>
      <c r="S3365">
        <v>-2.9285429999999999</v>
      </c>
      <c r="T3365">
        <v>-0.1215174</v>
      </c>
      <c r="U3365">
        <v>-0.882019</v>
      </c>
      <c r="V3365">
        <v>0.46525109999999997</v>
      </c>
      <c r="W3365">
        <v>0.14427000000000001</v>
      </c>
      <c r="X3365">
        <v>0.87334279999999997</v>
      </c>
      <c r="Y3365">
        <v>0.53402289999999997</v>
      </c>
      <c r="Z3365">
        <v>3.7538670000000003E-2</v>
      </c>
      <c r="AA3365">
        <v>0.84463619999999995</v>
      </c>
      <c r="AB3365">
        <v>25</v>
      </c>
      <c r="AC3365">
        <v>-26.3795</v>
      </c>
      <c r="AD3365">
        <v>-1.102008090182</v>
      </c>
      <c r="AE3365">
        <v>-7.8067000000000002</v>
      </c>
      <c r="AF3365">
        <v>14.8023769021706</v>
      </c>
      <c r="AG3365">
        <v>-1.102008090182</v>
      </c>
      <c r="AH3365">
        <v>23.136318055008701</v>
      </c>
      <c r="AI3365">
        <v>92.297596810531402</v>
      </c>
      <c r="AJ3365">
        <v>57.389307681690497</v>
      </c>
      <c r="AK3365">
        <v>27.488433875491399</v>
      </c>
      <c r="AL3365">
        <v>81.704991473647496</v>
      </c>
      <c r="AM3365">
        <v>61.954678756513502</v>
      </c>
      <c r="AN3365">
        <v>1.0000000326315199</v>
      </c>
    </row>
    <row r="3366" spans="1:40" x14ac:dyDescent="0.25">
      <c r="A3366" t="str">
        <f>"20190312164538075"</f>
        <v>20190312164538075</v>
      </c>
      <c r="B3366" t="str">
        <f>"1552380338065459"</f>
        <v>1552380338065459</v>
      </c>
      <c r="C3366" t="s">
        <v>40</v>
      </c>
      <c r="D3366">
        <v>4.921805</v>
      </c>
      <c r="E3366">
        <v>0.53768130000000003</v>
      </c>
      <c r="F3366" t="s">
        <v>42</v>
      </c>
      <c r="G3366">
        <v>-223.78630000000001</v>
      </c>
      <c r="H3366" s="1">
        <v>-2.8167410000000001E-6</v>
      </c>
      <c r="I3366">
        <v>140.25059999999999</v>
      </c>
      <c r="J3366">
        <v>-199.00200000000001</v>
      </c>
      <c r="K3366">
        <v>1.102015</v>
      </c>
      <c r="L3366">
        <v>147.43219999999999</v>
      </c>
      <c r="M3366">
        <v>-0.66244230000000004</v>
      </c>
      <c r="N3366">
        <v>0</v>
      </c>
      <c r="O3366">
        <v>-0.748977</v>
      </c>
      <c r="P3366">
        <v>-0.92544219999999999</v>
      </c>
      <c r="Q3366">
        <v>0.1382891</v>
      </c>
      <c r="R3366">
        <v>-0.35275109999999998</v>
      </c>
      <c r="S3366">
        <v>-2.9337010000000001</v>
      </c>
      <c r="T3366">
        <v>-0.12953000000000001</v>
      </c>
      <c r="U3366">
        <v>-0.86579899999999999</v>
      </c>
      <c r="V3366">
        <v>0.46204899999999999</v>
      </c>
      <c r="W3366">
        <v>0.142813299999999</v>
      </c>
      <c r="X3366">
        <v>0.87527999999999995</v>
      </c>
      <c r="Y3366">
        <v>0.52993889999999999</v>
      </c>
      <c r="Z3366">
        <v>3.9742630000000001E-2</v>
      </c>
      <c r="AA3366">
        <v>0.84710409999999903</v>
      </c>
      <c r="AB3366">
        <v>25</v>
      </c>
      <c r="AC3366">
        <v>-24.784300000000002</v>
      </c>
      <c r="AD3366">
        <v>-1.102017816741</v>
      </c>
      <c r="AE3366">
        <v>-7.1816000000000004</v>
      </c>
      <c r="AF3366">
        <v>13.7817440089604</v>
      </c>
      <c r="AG3366">
        <v>-1.102017816741</v>
      </c>
      <c r="AH3366">
        <v>21.759553755943699</v>
      </c>
      <c r="AI3366">
        <v>92.449931403679699</v>
      </c>
      <c r="AJ3366">
        <v>57.651253594657703</v>
      </c>
      <c r="AK3366">
        <v>25.780401293516199</v>
      </c>
      <c r="AL3366">
        <v>81.789327313943303</v>
      </c>
      <c r="AM3366">
        <v>62.171005836941397</v>
      </c>
      <c r="AN3366">
        <v>0.99999999772894399</v>
      </c>
    </row>
    <row r="3367" spans="1:40" x14ac:dyDescent="0.25">
      <c r="A3367" t="str">
        <f>"20190312164538087"</f>
        <v>20190312164538087</v>
      </c>
      <c r="B3367" t="str">
        <f>"1552380338084976"</f>
        <v>1552380338084976</v>
      </c>
      <c r="C3367" t="s">
        <v>40</v>
      </c>
      <c r="D3367">
        <v>5.0072530000000004</v>
      </c>
      <c r="E3367">
        <v>0.53731580000000001</v>
      </c>
      <c r="F3367" t="s">
        <v>42</v>
      </c>
      <c r="G3367">
        <v>-222.7799</v>
      </c>
      <c r="H3367" s="1">
        <v>-3.3319109999999999E-6</v>
      </c>
      <c r="I3367">
        <v>140.5641</v>
      </c>
      <c r="J3367">
        <v>-199.10499999999999</v>
      </c>
      <c r="K3367">
        <v>1.1020209999999999</v>
      </c>
      <c r="L3367">
        <v>147.32499999999999</v>
      </c>
      <c r="M3367">
        <v>-0.66692410000000002</v>
      </c>
      <c r="N3367">
        <v>0</v>
      </c>
      <c r="O3367">
        <v>-0.74498920000000002</v>
      </c>
      <c r="P3367">
        <v>-0.92710329999999996</v>
      </c>
      <c r="Q3367">
        <v>0.1375634</v>
      </c>
      <c r="R3367">
        <v>-0.34864889999999998</v>
      </c>
      <c r="S3367">
        <v>-2.9385530000000002</v>
      </c>
      <c r="T3367">
        <v>-0.1361916</v>
      </c>
      <c r="U3367">
        <v>-0.84877009999999897</v>
      </c>
      <c r="V3367">
        <v>0.46073619999999998</v>
      </c>
      <c r="W3367">
        <v>0.14212839999999999</v>
      </c>
      <c r="X3367">
        <v>0.8760831</v>
      </c>
      <c r="Y3367">
        <v>0.52965869999999904</v>
      </c>
      <c r="Z3367">
        <v>4.1660219999999998E-2</v>
      </c>
      <c r="AA3367">
        <v>0.84718719999999903</v>
      </c>
      <c r="AB3367">
        <v>25</v>
      </c>
      <c r="AC3367">
        <v>-23.674900000000001</v>
      </c>
      <c r="AD3367">
        <v>-1.1020243319109999</v>
      </c>
      <c r="AE3367">
        <v>-6.7608999999999897</v>
      </c>
      <c r="AF3367">
        <v>13.103621365037601</v>
      </c>
      <c r="AG3367">
        <v>-1.1020243319109999</v>
      </c>
      <c r="AH3367">
        <v>20.786633450890701</v>
      </c>
      <c r="AI3367">
        <v>92.567912868612297</v>
      </c>
      <c r="AJ3367">
        <v>57.773205921776103</v>
      </c>
      <c r="AK3367">
        <v>24.596818508256</v>
      </c>
      <c r="AL3367">
        <v>81.828973341397898</v>
      </c>
      <c r="AM3367">
        <v>62.259907973499999</v>
      </c>
      <c r="AN3367">
        <v>0.99999996309130401</v>
      </c>
    </row>
    <row r="3368" spans="1:40" x14ac:dyDescent="0.25">
      <c r="A3368" t="str">
        <f>"20190312164538108"</f>
        <v>20190312164538108</v>
      </c>
      <c r="B3368" t="str">
        <f>"1552380338104495"</f>
        <v>1552380338104495</v>
      </c>
      <c r="C3368" t="s">
        <v>40</v>
      </c>
      <c r="D3368">
        <v>4.9291049999999998</v>
      </c>
      <c r="E3368">
        <v>0.5371264</v>
      </c>
      <c r="F3368" t="s">
        <v>42</v>
      </c>
      <c r="G3368">
        <v>-222.82239999999999</v>
      </c>
      <c r="H3368" s="1">
        <v>-3.3151869999999999E-6</v>
      </c>
      <c r="I3368">
        <v>140.56979999999999</v>
      </c>
      <c r="J3368">
        <v>-199.2646</v>
      </c>
      <c r="K3368">
        <v>1.102014</v>
      </c>
      <c r="L3368">
        <v>147.1619</v>
      </c>
      <c r="M3368">
        <v>-0.67376829999999999</v>
      </c>
      <c r="N3368">
        <v>0</v>
      </c>
      <c r="O3368">
        <v>-0.73880509999999999</v>
      </c>
      <c r="P3368">
        <v>-0.92938730000000003</v>
      </c>
      <c r="Q3368">
        <v>0.13610810000000001</v>
      </c>
      <c r="R3368">
        <v>-0.34309539999999999</v>
      </c>
      <c r="S3368">
        <v>-2.9411320000000001</v>
      </c>
      <c r="T3368">
        <v>-0.1366597</v>
      </c>
      <c r="U3368">
        <v>-0.83769229999999995</v>
      </c>
      <c r="V3368">
        <v>0.45801969999999997</v>
      </c>
      <c r="W3368">
        <v>0.14074679999999901</v>
      </c>
      <c r="X3368">
        <v>0.87772909999999904</v>
      </c>
      <c r="Y3368">
        <v>0.52497669999999996</v>
      </c>
      <c r="Z3368">
        <v>4.1532979999999997E-2</v>
      </c>
      <c r="AA3368">
        <v>0.85010269999999999</v>
      </c>
      <c r="AB3368">
        <v>25</v>
      </c>
      <c r="AC3368">
        <v>-23.557799999999901</v>
      </c>
      <c r="AD3368">
        <v>-1.1020173151870001</v>
      </c>
      <c r="AE3368">
        <v>-6.5921000000000101</v>
      </c>
      <c r="AF3368">
        <v>12.9381360971155</v>
      </c>
      <c r="AG3368">
        <v>-1.1020173151870001</v>
      </c>
      <c r="AH3368">
        <v>20.702870502644402</v>
      </c>
      <c r="AI3368">
        <v>92.584590046576196</v>
      </c>
      <c r="AJ3368">
        <v>57.996921357906203</v>
      </c>
      <c r="AK3368">
        <v>24.438057510361102</v>
      </c>
      <c r="AL3368">
        <v>81.908937689222995</v>
      </c>
      <c r="AM3368">
        <v>62.4433873698285</v>
      </c>
      <c r="AN3368">
        <v>1.0000000401425599</v>
      </c>
    </row>
    <row r="3369" spans="1:40" x14ac:dyDescent="0.25">
      <c r="A3369" t="str">
        <f>"20190312164538132"</f>
        <v>20190312164538132</v>
      </c>
      <c r="B3369" t="str">
        <f>"1552380338124994"</f>
        <v>1552380338124994</v>
      </c>
      <c r="C3369" t="s">
        <v>40</v>
      </c>
      <c r="D3369">
        <v>4.8721269999999999</v>
      </c>
      <c r="E3369">
        <v>0.53676380000000001</v>
      </c>
      <c r="F3369" t="s">
        <v>42</v>
      </c>
      <c r="G3369">
        <v>-222.39429999999999</v>
      </c>
      <c r="H3369" s="1">
        <v>-3.537999E-6</v>
      </c>
      <c r="I3369">
        <v>140.71700000000001</v>
      </c>
      <c r="J3369">
        <v>-199.45480000000001</v>
      </c>
      <c r="K3369">
        <v>1.101999</v>
      </c>
      <c r="L3369">
        <v>146.9717</v>
      </c>
      <c r="M3369">
        <v>-0.68180609999999997</v>
      </c>
      <c r="N3369">
        <v>0</v>
      </c>
      <c r="O3369">
        <v>-0.73139379999999998</v>
      </c>
      <c r="P3369">
        <v>-0.93213829999999998</v>
      </c>
      <c r="Q3369">
        <v>0.13535939999999999</v>
      </c>
      <c r="R3369">
        <v>-0.33585179999999998</v>
      </c>
      <c r="S3369">
        <v>-2.9454959999999999</v>
      </c>
      <c r="T3369">
        <v>-0.14033889999999999</v>
      </c>
      <c r="U3369">
        <v>-0.82073969999999896</v>
      </c>
      <c r="V3369">
        <v>0.45531719999999998</v>
      </c>
      <c r="W3369">
        <v>0.140050799999999</v>
      </c>
      <c r="X3369">
        <v>0.879245099999999</v>
      </c>
      <c r="Y3369">
        <v>0.52048399999999995</v>
      </c>
      <c r="Z3369">
        <v>4.2331029999999999E-2</v>
      </c>
      <c r="AA3369">
        <v>0.85282150000000001</v>
      </c>
      <c r="AB3369">
        <v>25</v>
      </c>
      <c r="AC3369">
        <v>-22.939499999999899</v>
      </c>
      <c r="AD3369">
        <v>-1.1020025379989999</v>
      </c>
      <c r="AE3369">
        <v>-6.2546999999999802</v>
      </c>
      <c r="AF3369">
        <v>12.487764271592599</v>
      </c>
      <c r="AG3369">
        <v>-1.1020025379989999</v>
      </c>
      <c r="AH3369">
        <v>20.173662540688799</v>
      </c>
      <c r="AI3369">
        <v>92.659313383069204</v>
      </c>
      <c r="AJ3369">
        <v>58.2419438646576</v>
      </c>
      <c r="AK3369">
        <v>23.751533137930501</v>
      </c>
      <c r="AL3369">
        <v>81.949213862400299</v>
      </c>
      <c r="AM3369">
        <v>62.6226135202526</v>
      </c>
      <c r="AN3369">
        <v>0.99999996253524404</v>
      </c>
    </row>
    <row r="3370" spans="1:40" x14ac:dyDescent="0.25">
      <c r="A3370" t="str">
        <f>"20190312164538145"</f>
        <v>20190312164538145</v>
      </c>
      <c r="B3370" t="str">
        <f>"1552380338134752"</f>
        <v>1552380338134752</v>
      </c>
      <c r="C3370" t="s">
        <v>40</v>
      </c>
      <c r="D3370">
        <v>4.8673099999999998</v>
      </c>
      <c r="E3370">
        <v>0.536744</v>
      </c>
      <c r="F3370" t="s">
        <v>42</v>
      </c>
      <c r="G3370">
        <v>-221.3203</v>
      </c>
      <c r="H3370" s="1">
        <v>-4.0793729999999997E-6</v>
      </c>
      <c r="I3370">
        <v>141.04060000000001</v>
      </c>
      <c r="J3370">
        <v>-199.57079999999999</v>
      </c>
      <c r="K3370">
        <v>1.1019760000000001</v>
      </c>
      <c r="L3370">
        <v>146.85759999999999</v>
      </c>
      <c r="M3370">
        <v>-0.68665750000000003</v>
      </c>
      <c r="N3370">
        <v>0</v>
      </c>
      <c r="O3370">
        <v>-0.72684110000000002</v>
      </c>
      <c r="P3370">
        <v>-0.93381840000000005</v>
      </c>
      <c r="Q3370">
        <v>0.1355507</v>
      </c>
      <c r="R3370">
        <v>-0.33107300000000001</v>
      </c>
      <c r="S3370">
        <v>-2.9515380000000002</v>
      </c>
      <c r="T3370">
        <v>-0.14875559999999999</v>
      </c>
      <c r="U3370">
        <v>-0.80061340000000003</v>
      </c>
      <c r="V3370">
        <v>0.45395730000000001</v>
      </c>
      <c r="W3370">
        <v>0.14025480000000001</v>
      </c>
      <c r="X3370">
        <v>0.87991549999999996</v>
      </c>
      <c r="Y3370">
        <v>0.52053059999999995</v>
      </c>
      <c r="Z3370">
        <v>4.4705109999999999E-2</v>
      </c>
      <c r="AA3370">
        <v>0.85267190000000004</v>
      </c>
      <c r="AB3370">
        <v>25</v>
      </c>
      <c r="AC3370">
        <v>-21.749500000000001</v>
      </c>
      <c r="AD3370">
        <v>-1.1019800793729999</v>
      </c>
      <c r="AE3370">
        <v>-5.81699999999997</v>
      </c>
      <c r="AF3370">
        <v>11.787106944622099</v>
      </c>
      <c r="AG3370">
        <v>-1.1019800793729999</v>
      </c>
      <c r="AH3370">
        <v>19.118638264666401</v>
      </c>
      <c r="AI3370">
        <v>92.808895950227694</v>
      </c>
      <c r="AJ3370">
        <v>58.345154901882999</v>
      </c>
      <c r="AK3370">
        <v>22.4871647682508</v>
      </c>
      <c r="AL3370">
        <v>81.937409012592994</v>
      </c>
      <c r="AM3370">
        <v>62.710333587618997</v>
      </c>
      <c r="AN3370">
        <v>0.99999996314328898</v>
      </c>
    </row>
    <row r="3371" spans="1:40" x14ac:dyDescent="0.25">
      <c r="A3371" t="str">
        <f>"20190312164538165"</f>
        <v>20190312164538165</v>
      </c>
      <c r="B3371" t="str">
        <f>"1552380338155248"</f>
        <v>1552380338155248</v>
      </c>
      <c r="C3371" t="s">
        <v>40</v>
      </c>
      <c r="D3371">
        <v>5.0418570000000003</v>
      </c>
      <c r="E3371">
        <v>0.53647250000000002</v>
      </c>
      <c r="F3371" t="s">
        <v>42</v>
      </c>
      <c r="G3371">
        <v>-221.2278</v>
      </c>
      <c r="H3371" s="1">
        <v>-4.1217979999999996E-6</v>
      </c>
      <c r="I3371">
        <v>141.10239999999999</v>
      </c>
      <c r="J3371">
        <v>-199.73679999999999</v>
      </c>
      <c r="K3371">
        <v>1.1019380000000001</v>
      </c>
      <c r="L3371">
        <v>146.69710000000001</v>
      </c>
      <c r="M3371">
        <v>-0.69352499999999995</v>
      </c>
      <c r="N3371">
        <v>0</v>
      </c>
      <c r="O3371">
        <v>-0.72029100000000001</v>
      </c>
      <c r="P3371">
        <v>-0.9355869</v>
      </c>
      <c r="Q3371">
        <v>0.13633499999999901</v>
      </c>
      <c r="R3371">
        <v>-0.32571470000000002</v>
      </c>
      <c r="S3371">
        <v>-2.9559630000000001</v>
      </c>
      <c r="T3371">
        <v>-0.1504093</v>
      </c>
      <c r="U3371">
        <v>-0.78552250000000001</v>
      </c>
      <c r="V3371">
        <v>0.45058409999999899</v>
      </c>
      <c r="W3371">
        <v>0.14108479999999901</v>
      </c>
      <c r="X3371">
        <v>0.88151520000000005</v>
      </c>
      <c r="Y3371">
        <v>0.51679129999999995</v>
      </c>
      <c r="Z3371">
        <v>4.4888789999999998E-2</v>
      </c>
      <c r="AA3371">
        <v>0.85493369999999902</v>
      </c>
      <c r="AB3371">
        <v>25</v>
      </c>
      <c r="AC3371">
        <v>-21.491</v>
      </c>
      <c r="AD3371">
        <v>-1.1019421217980001</v>
      </c>
      <c r="AE3371">
        <v>-5.5947000000000102</v>
      </c>
      <c r="AF3371">
        <v>11.5723988594658</v>
      </c>
      <c r="AG3371">
        <v>-1.1019421217980001</v>
      </c>
      <c r="AH3371">
        <v>18.889778212838401</v>
      </c>
      <c r="AI3371">
        <v>92.847711838711106</v>
      </c>
      <c r="AJ3371">
        <v>58.5072158866869</v>
      </c>
      <c r="AK3371">
        <v>22.180135543602599</v>
      </c>
      <c r="AL3371">
        <v>81.889376198421402</v>
      </c>
      <c r="AM3371">
        <v>62.926276526853201</v>
      </c>
      <c r="AN3371">
        <v>0.99999999989744404</v>
      </c>
    </row>
    <row r="3372" spans="1:40" x14ac:dyDescent="0.25">
      <c r="A3372" t="str">
        <f>"20190312164538188"</f>
        <v>20190312164538188</v>
      </c>
      <c r="B3372" t="str">
        <f>"1552380338184527"</f>
        <v>1552380338184527</v>
      </c>
      <c r="C3372" t="s">
        <v>40</v>
      </c>
      <c r="D3372">
        <v>4.9314619999999998</v>
      </c>
      <c r="E3372">
        <v>0.53639099999999995</v>
      </c>
      <c r="F3372" t="s">
        <v>42</v>
      </c>
      <c r="G3372">
        <v>-221.9127</v>
      </c>
      <c r="H3372" s="1">
        <v>-3.8013590000000001E-6</v>
      </c>
      <c r="I3372">
        <v>140.93039999999999</v>
      </c>
      <c r="J3372">
        <v>-199.9179</v>
      </c>
      <c r="K3372">
        <v>1.101898</v>
      </c>
      <c r="L3372">
        <v>146.52539999999999</v>
      </c>
      <c r="M3372">
        <v>-0.70094869999999898</v>
      </c>
      <c r="N3372">
        <v>0</v>
      </c>
      <c r="O3372">
        <v>-0.71306859999999905</v>
      </c>
      <c r="P3372">
        <v>-0.93769400000000003</v>
      </c>
      <c r="Q3372">
        <v>0.13725399999999999</v>
      </c>
      <c r="R3372">
        <v>-0.31920460000000001</v>
      </c>
      <c r="S3372">
        <v>-2.9600070000000001</v>
      </c>
      <c r="T3372">
        <v>-0.14708540000000001</v>
      </c>
      <c r="U3372">
        <v>-0.76972959999999901</v>
      </c>
      <c r="V3372">
        <v>0.4475113</v>
      </c>
      <c r="W3372">
        <v>0.1420227</v>
      </c>
      <c r="X3372">
        <v>0.88292879999999996</v>
      </c>
      <c r="Y3372">
        <v>0.51254489999999997</v>
      </c>
      <c r="Z3372">
        <v>4.3562289999999997E-2</v>
      </c>
      <c r="AA3372">
        <v>0.857554699999999</v>
      </c>
      <c r="AB3372">
        <v>25</v>
      </c>
      <c r="AC3372">
        <v>-21.994800000000001</v>
      </c>
      <c r="AD3372">
        <v>-1.1019018013590001</v>
      </c>
      <c r="AE3372">
        <v>-5.59499999999999</v>
      </c>
      <c r="AF3372">
        <v>11.7355295334637</v>
      </c>
      <c r="AG3372">
        <v>-1.1019018013590001</v>
      </c>
      <c r="AH3372">
        <v>19.363181121874199</v>
      </c>
      <c r="AI3372">
        <v>92.786186785337193</v>
      </c>
      <c r="AJ3372">
        <v>58.781016722466902</v>
      </c>
      <c r="AK3372">
        <v>22.668692599467299</v>
      </c>
      <c r="AL3372">
        <v>81.835092189090801</v>
      </c>
      <c r="AM3372">
        <v>63.121889033096998</v>
      </c>
      <c r="AN3372">
        <v>1.0000000384062</v>
      </c>
    </row>
    <row r="3373" spans="1:40" x14ac:dyDescent="0.25">
      <c r="A3373" t="str">
        <f>"20190312164538209"</f>
        <v>20190312164538209</v>
      </c>
      <c r="B3373" t="str">
        <f>"1552380338205024"</f>
        <v>1552380338205024</v>
      </c>
      <c r="C3373" t="s">
        <v>40</v>
      </c>
      <c r="D3373">
        <v>4.9330129999999999</v>
      </c>
      <c r="E3373">
        <v>0.53633769999999903</v>
      </c>
      <c r="F3373" t="s">
        <v>42</v>
      </c>
      <c r="G3373">
        <v>-221.78559999999999</v>
      </c>
      <c r="H3373" s="1">
        <v>-3.8729590000000004E-6</v>
      </c>
      <c r="I3373">
        <v>140.99449999999999</v>
      </c>
      <c r="J3373">
        <v>-200.0959</v>
      </c>
      <c r="K3373">
        <v>1.101834</v>
      </c>
      <c r="L3373">
        <v>146.3604</v>
      </c>
      <c r="M3373">
        <v>-0.70818999999999999</v>
      </c>
      <c r="N3373">
        <v>0</v>
      </c>
      <c r="O3373">
        <v>-0.70587719999999998</v>
      </c>
      <c r="P3373">
        <v>-0.93986360000000002</v>
      </c>
      <c r="Q3373">
        <v>0.13670470000000001</v>
      </c>
      <c r="R3373">
        <v>-0.31299900000000003</v>
      </c>
      <c r="S3373">
        <v>-2.9658359999999999</v>
      </c>
      <c r="T3373">
        <v>-0.1494472</v>
      </c>
      <c r="U3373">
        <v>-0.75013730000000001</v>
      </c>
      <c r="V3373">
        <v>0.4443993</v>
      </c>
      <c r="W3373">
        <v>0.14148129999999901</v>
      </c>
      <c r="X3373">
        <v>0.88458590000000004</v>
      </c>
      <c r="Y3373">
        <v>0.50947969999999998</v>
      </c>
      <c r="Z3373">
        <v>4.3929860000000001E-2</v>
      </c>
      <c r="AA3373">
        <v>0.85936060000000003</v>
      </c>
      <c r="AB3373">
        <v>25</v>
      </c>
      <c r="AC3373">
        <v>-21.689699999999899</v>
      </c>
      <c r="AD3373">
        <v>-1.1018378729589999</v>
      </c>
      <c r="AE3373">
        <v>-5.3659000000000097</v>
      </c>
      <c r="AF3373">
        <v>11.483438410735999</v>
      </c>
      <c r="AG3373">
        <v>-1.1018378729589999</v>
      </c>
      <c r="AH3373">
        <v>19.103595110073599</v>
      </c>
      <c r="AI3373">
        <v>92.830015754534202</v>
      </c>
      <c r="AJ3373">
        <v>58.989334681428097</v>
      </c>
      <c r="AK3373">
        <v>22.316602576581499</v>
      </c>
      <c r="AL3373">
        <v>81.866427870901902</v>
      </c>
      <c r="AM3373">
        <v>63.325907988881902</v>
      </c>
      <c r="AN3373">
        <v>0.99999995528449304</v>
      </c>
    </row>
    <row r="3374" spans="1:40" x14ac:dyDescent="0.25">
      <c r="A3374" t="str">
        <f>"20190312164538232"</f>
        <v>20190312164538232</v>
      </c>
      <c r="B3374" t="str">
        <f>"1552380338224544"</f>
        <v>1552380338224544</v>
      </c>
      <c r="C3374" t="s">
        <v>40</v>
      </c>
      <c r="D3374">
        <v>4.9003009999999998</v>
      </c>
      <c r="E3374">
        <v>0.53622130000000001</v>
      </c>
      <c r="F3374" t="s">
        <v>42</v>
      </c>
      <c r="G3374">
        <v>-220.82579999999999</v>
      </c>
      <c r="H3374" s="1">
        <v>-4.2868009999999996E-6</v>
      </c>
      <c r="I3374">
        <v>141.26130000000001</v>
      </c>
      <c r="J3374">
        <v>-200.2903</v>
      </c>
      <c r="K3374">
        <v>1.1017440000000001</v>
      </c>
      <c r="L3374">
        <v>146.18440000000001</v>
      </c>
      <c r="M3374">
        <v>-0.71605540000000001</v>
      </c>
      <c r="N3374">
        <v>0</v>
      </c>
      <c r="O3374">
        <v>-0.69789690000000004</v>
      </c>
      <c r="P3374">
        <v>-0.94209750000000003</v>
      </c>
      <c r="Q3374">
        <v>0.13670289999999999</v>
      </c>
      <c r="R3374">
        <v>-0.30621110000000001</v>
      </c>
      <c r="S3374">
        <v>-2.9715419999999999</v>
      </c>
      <c r="T3374">
        <v>-0.1579441</v>
      </c>
      <c r="U3374">
        <v>-0.73092650000000003</v>
      </c>
      <c r="V3374">
        <v>0.44089089999999997</v>
      </c>
      <c r="W3374">
        <v>0.14147750000000001</v>
      </c>
      <c r="X3374">
        <v>0.88634040000000003</v>
      </c>
      <c r="Y3374">
        <v>0.50532719999999998</v>
      </c>
      <c r="Z3374">
        <v>4.6014359999999997E-2</v>
      </c>
      <c r="AA3374">
        <v>0.86170020000000003</v>
      </c>
      <c r="AB3374">
        <v>25</v>
      </c>
      <c r="AC3374">
        <v>-20.5354999999999</v>
      </c>
      <c r="AD3374">
        <v>-1.101748286801</v>
      </c>
      <c r="AE3374">
        <v>-4.9230999999999998</v>
      </c>
      <c r="AF3374">
        <v>10.778216938024</v>
      </c>
      <c r="AG3374">
        <v>-1.101748286801</v>
      </c>
      <c r="AH3374">
        <v>18.092979060565899</v>
      </c>
      <c r="AI3374">
        <v>92.994675856080605</v>
      </c>
      <c r="AJ3374">
        <v>59.217206978382698</v>
      </c>
      <c r="AK3374">
        <v>21.088852527737298</v>
      </c>
      <c r="AL3374">
        <v>81.866648064335607</v>
      </c>
      <c r="AM3374">
        <v>63.552942819343798</v>
      </c>
      <c r="AN3374">
        <v>0.99999998669060997</v>
      </c>
    </row>
    <row r="3375" spans="1:40" x14ac:dyDescent="0.25">
      <c r="A3375" t="str">
        <f>"20190312164538254"</f>
        <v>20190312164538254</v>
      </c>
      <c r="B3375" t="str">
        <f>"1552380338245040"</f>
        <v>1552380338245040</v>
      </c>
      <c r="C3375" t="s">
        <v>40</v>
      </c>
      <c r="D3375">
        <v>4.9083139999999998</v>
      </c>
      <c r="E3375">
        <v>0.53613500000000003</v>
      </c>
      <c r="F3375" t="s">
        <v>42</v>
      </c>
      <c r="G3375">
        <v>-220.86250000000001</v>
      </c>
      <c r="H3375" s="1">
        <v>-4.277273E-6</v>
      </c>
      <c r="I3375">
        <v>141.27809999999999</v>
      </c>
      <c r="J3375">
        <v>-200.48240000000001</v>
      </c>
      <c r="K3375">
        <v>1.1016459999999999</v>
      </c>
      <c r="L3375">
        <v>146.0145</v>
      </c>
      <c r="M3375">
        <v>-0.72376600000000002</v>
      </c>
      <c r="N3375">
        <v>0</v>
      </c>
      <c r="O3375">
        <v>-0.68989659999999997</v>
      </c>
      <c r="P3375">
        <v>-0.94437800000000005</v>
      </c>
      <c r="Q3375">
        <v>0.1373743</v>
      </c>
      <c r="R3375">
        <v>-0.29879529999999999</v>
      </c>
      <c r="S3375">
        <v>-2.9767610000000002</v>
      </c>
      <c r="T3375">
        <v>-0.15942110000000001</v>
      </c>
      <c r="U3375">
        <v>-0.70991519999999997</v>
      </c>
      <c r="V3375">
        <v>0.43797950000000002</v>
      </c>
      <c r="W3375">
        <v>0.1421355</v>
      </c>
      <c r="X3375">
        <v>0.88767759999999996</v>
      </c>
      <c r="Y3375">
        <v>0.5018222</v>
      </c>
      <c r="Z3375">
        <v>4.6052790000000003E-2</v>
      </c>
      <c r="AA3375">
        <v>0.86374399999999996</v>
      </c>
      <c r="AB3375">
        <v>25</v>
      </c>
      <c r="AC3375">
        <v>-20.380099999999999</v>
      </c>
      <c r="AD3375">
        <v>-1.1016502772729999</v>
      </c>
      <c r="AE3375">
        <v>-4.7363999999999997</v>
      </c>
      <c r="AF3375">
        <v>10.603812580490301</v>
      </c>
      <c r="AG3375">
        <v>-1.1016502772729999</v>
      </c>
      <c r="AH3375">
        <v>17.970083731089499</v>
      </c>
      <c r="AI3375">
        <v>93.0222938369959</v>
      </c>
      <c r="AJ3375">
        <v>59.455934701343701</v>
      </c>
      <c r="AK3375">
        <v>20.894458209725101</v>
      </c>
      <c r="AL3375">
        <v>81.828562937299296</v>
      </c>
      <c r="AM3375">
        <v>63.738301066960702</v>
      </c>
      <c r="AN3375">
        <v>1.00000003216112</v>
      </c>
    </row>
    <row r="3376" spans="1:40" x14ac:dyDescent="0.25">
      <c r="A3376" t="str">
        <f>"20190312164538276"</f>
        <v>20190312164538276</v>
      </c>
      <c r="B3376" t="str">
        <f>"1552380338264563"</f>
        <v>1552380338264563</v>
      </c>
      <c r="C3376" t="s">
        <v>40</v>
      </c>
      <c r="D3376">
        <v>5.0043839999999999</v>
      </c>
      <c r="E3376">
        <v>0.53590850000000001</v>
      </c>
      <c r="F3376" t="s">
        <v>42</v>
      </c>
      <c r="G3376">
        <v>-221.03030000000001</v>
      </c>
      <c r="H3376" s="1">
        <v>-4.2200699999999899E-6</v>
      </c>
      <c r="I3376">
        <v>141.2775</v>
      </c>
      <c r="J3376">
        <v>-200.66409999999999</v>
      </c>
      <c r="K3376">
        <v>1.1015600000000001</v>
      </c>
      <c r="L3376">
        <v>145.85740000000001</v>
      </c>
      <c r="M3376">
        <v>-0.73100509999999996</v>
      </c>
      <c r="N3376">
        <v>0</v>
      </c>
      <c r="O3376">
        <v>-0.68222109999999903</v>
      </c>
      <c r="P3376">
        <v>-0.94609730000000003</v>
      </c>
      <c r="Q3376">
        <v>0.1381927</v>
      </c>
      <c r="R3376">
        <v>-0.2929215</v>
      </c>
      <c r="S3376">
        <v>-2.9824220000000001</v>
      </c>
      <c r="T3376">
        <v>-0.15989919999999999</v>
      </c>
      <c r="U3376">
        <v>-0.68754579999999998</v>
      </c>
      <c r="V3376">
        <v>0.43408150000000001</v>
      </c>
      <c r="W3376">
        <v>0.14297319999999999</v>
      </c>
      <c r="X3376">
        <v>0.88945599999999903</v>
      </c>
      <c r="Y3376">
        <v>0.49921270000000001</v>
      </c>
      <c r="Z3376">
        <v>4.5824230000000001E-2</v>
      </c>
      <c r="AA3376">
        <v>0.86526689999999995</v>
      </c>
      <c r="AB3376">
        <v>25</v>
      </c>
      <c r="AC3376">
        <v>-20.366199999999999</v>
      </c>
      <c r="AD3376">
        <v>-1.10156422007</v>
      </c>
      <c r="AE3376">
        <v>-4.5799000000000003</v>
      </c>
      <c r="AF3376">
        <v>10.51811754679</v>
      </c>
      <c r="AG3376">
        <v>-1.10156422007</v>
      </c>
      <c r="AH3376">
        <v>17.964130980807699</v>
      </c>
      <c r="AI3376">
        <v>93.029094228563693</v>
      </c>
      <c r="AJ3376">
        <v>59.650744639151199</v>
      </c>
      <c r="AK3376">
        <v>20.845964653971901</v>
      </c>
      <c r="AL3376">
        <v>81.780070997829</v>
      </c>
      <c r="AM3376">
        <v>63.986220838143701</v>
      </c>
      <c r="AN3376">
        <v>1.0000000302482399</v>
      </c>
    </row>
    <row r="3377" spans="1:40" x14ac:dyDescent="0.25">
      <c r="A3377" t="str">
        <f>"20190312164538298"</f>
        <v>20190312164538298</v>
      </c>
      <c r="B3377" t="str">
        <f>"1552380338294816"</f>
        <v>1552380338294816</v>
      </c>
      <c r="C3377" t="s">
        <v>40</v>
      </c>
      <c r="D3377">
        <v>4.9246499999999997</v>
      </c>
      <c r="E3377">
        <v>0.5354679</v>
      </c>
      <c r="F3377" t="s">
        <v>42</v>
      </c>
      <c r="G3377">
        <v>-221.35599999999999</v>
      </c>
      <c r="H3377" s="1">
        <v>-4.0973319999999998E-6</v>
      </c>
      <c r="I3377">
        <v>141.21029999999999</v>
      </c>
      <c r="J3377">
        <v>-200.8614</v>
      </c>
      <c r="K3377">
        <v>1.1014679999999999</v>
      </c>
      <c r="L3377">
        <v>145.6908</v>
      </c>
      <c r="M3377">
        <v>-0.73881779999999997</v>
      </c>
      <c r="N3377">
        <v>0</v>
      </c>
      <c r="O3377">
        <v>-0.67375209999999996</v>
      </c>
      <c r="P3377">
        <v>-0.94824900000000001</v>
      </c>
      <c r="Q3377">
        <v>0.13906729999999901</v>
      </c>
      <c r="R3377">
        <v>-0.28545429999999999</v>
      </c>
      <c r="S3377">
        <v>-2.9864959999999998</v>
      </c>
      <c r="T3377">
        <v>-0.15899099999999999</v>
      </c>
      <c r="U3377">
        <v>-0.67071530000000001</v>
      </c>
      <c r="V3377">
        <v>0.43079849999999997</v>
      </c>
      <c r="W3377">
        <v>0.1438458</v>
      </c>
      <c r="X3377">
        <v>0.89091019999999899</v>
      </c>
      <c r="Y3377">
        <v>0.49415130000000002</v>
      </c>
      <c r="Z3377">
        <v>4.5110200000000003E-2</v>
      </c>
      <c r="AA3377">
        <v>0.8682048</v>
      </c>
      <c r="AB3377">
        <v>25</v>
      </c>
      <c r="AC3377">
        <v>-20.494599999999899</v>
      </c>
      <c r="AD3377">
        <v>-1.101472097332</v>
      </c>
      <c r="AE3377">
        <v>-4.4805000000000001</v>
      </c>
      <c r="AF3377">
        <v>10.470226569534001</v>
      </c>
      <c r="AG3377">
        <v>-1.101472097332</v>
      </c>
      <c r="AH3377">
        <v>18.1124647787356</v>
      </c>
      <c r="AI3377">
        <v>93.0137935464506</v>
      </c>
      <c r="AJ3377">
        <v>59.969190422451597</v>
      </c>
      <c r="AK3377">
        <v>20.949946671996901</v>
      </c>
      <c r="AL3377">
        <v>81.729552037094706</v>
      </c>
      <c r="AM3377">
        <v>64.193969906094395</v>
      </c>
      <c r="AN3377">
        <v>0.99999997312196398</v>
      </c>
    </row>
    <row r="3378" spans="1:40" x14ac:dyDescent="0.25">
      <c r="A3378" t="str">
        <f>"20190312164538311"</f>
        <v>20190312164538311</v>
      </c>
      <c r="B3378" t="str">
        <f>"1552380338304576"</f>
        <v>1552380338304576</v>
      </c>
      <c r="C3378" t="s">
        <v>40</v>
      </c>
      <c r="D3378">
        <v>5.0908939999999996</v>
      </c>
      <c r="E3378">
        <v>0.53534419999999905</v>
      </c>
      <c r="F3378" t="s">
        <v>42</v>
      </c>
      <c r="G3378">
        <v>-222.19030000000001</v>
      </c>
      <c r="H3378" s="1">
        <v>-3.7156539999999998E-6</v>
      </c>
      <c r="I3378">
        <v>141.0558</v>
      </c>
      <c r="J3378">
        <v>-200.97640000000001</v>
      </c>
      <c r="K3378">
        <v>1.101416</v>
      </c>
      <c r="L3378">
        <v>145.59540000000001</v>
      </c>
      <c r="M3378">
        <v>-0.74334619999999996</v>
      </c>
      <c r="N3378">
        <v>0</v>
      </c>
      <c r="O3378">
        <v>-0.66875220000000002</v>
      </c>
      <c r="P3378">
        <v>-0.94961090000000004</v>
      </c>
      <c r="Q3378">
        <v>0.13912539999999901</v>
      </c>
      <c r="R3378">
        <v>-0.28086179999999999</v>
      </c>
      <c r="S3378">
        <v>-2.990723</v>
      </c>
      <c r="T3378">
        <v>-0.15444769999999999</v>
      </c>
      <c r="U3378">
        <v>-0.64991759999999998</v>
      </c>
      <c r="V3378">
        <v>0.42911169999999998</v>
      </c>
      <c r="W3378">
        <v>0.14389769999999999</v>
      </c>
      <c r="X3378">
        <v>0.89171549999999999</v>
      </c>
      <c r="Y3378">
        <v>0.49439149999999998</v>
      </c>
      <c r="Z3378">
        <v>4.3642220000000002E-2</v>
      </c>
      <c r="AA3378">
        <v>0.86814309999999995</v>
      </c>
      <c r="AB3378">
        <v>25</v>
      </c>
      <c r="AC3378">
        <v>-21.213899999999899</v>
      </c>
      <c r="AD3378">
        <v>-1.101419715654</v>
      </c>
      <c r="AE3378">
        <v>-4.5396000000000001</v>
      </c>
      <c r="AF3378">
        <v>10.785665352880599</v>
      </c>
      <c r="AG3378">
        <v>-1.101419715654</v>
      </c>
      <c r="AH3378">
        <v>18.758732427398598</v>
      </c>
      <c r="AI3378">
        <v>92.913906125283006</v>
      </c>
      <c r="AJ3378">
        <v>60.102488734042304</v>
      </c>
      <c r="AK3378">
        <v>21.666419749859401</v>
      </c>
      <c r="AL3378">
        <v>81.726547064973801</v>
      </c>
      <c r="AM3378">
        <v>64.302190583789297</v>
      </c>
      <c r="AN3378">
        <v>0.99999996604121399</v>
      </c>
    </row>
    <row r="3379" spans="1:40" x14ac:dyDescent="0.25">
      <c r="A3379" t="str">
        <f>"20190312164538332"</f>
        <v>20190312164538332</v>
      </c>
      <c r="B3379" t="str">
        <f>"1552380338325072"</f>
        <v>1552380338325072</v>
      </c>
      <c r="C3379" t="s">
        <v>40</v>
      </c>
      <c r="D3379">
        <v>5.0414269999999997</v>
      </c>
      <c r="E3379">
        <v>0.53536719999999904</v>
      </c>
      <c r="F3379" t="s">
        <v>42</v>
      </c>
      <c r="G3379">
        <v>-222.40209999999999</v>
      </c>
      <c r="H3379" s="1">
        <v>-3.6213270000000001E-6</v>
      </c>
      <c r="I3379">
        <v>141.0427</v>
      </c>
      <c r="J3379">
        <v>-201.16650000000001</v>
      </c>
      <c r="K3379">
        <v>1.101321</v>
      </c>
      <c r="L3379">
        <v>145.44110000000001</v>
      </c>
      <c r="M3379">
        <v>-0.75079580000000001</v>
      </c>
      <c r="N3379">
        <v>0</v>
      </c>
      <c r="O3379">
        <v>-0.66037760000000001</v>
      </c>
      <c r="P3379">
        <v>-0.95166229999999996</v>
      </c>
      <c r="Q3379">
        <v>0.13910729999999999</v>
      </c>
      <c r="R3379">
        <v>-0.27383980000000002</v>
      </c>
      <c r="S3379">
        <v>-2.9935909999999999</v>
      </c>
      <c r="T3379">
        <v>-0.15389040000000001</v>
      </c>
      <c r="U3379">
        <v>-0.63609309999999997</v>
      </c>
      <c r="V3379">
        <v>0.42572969999999999</v>
      </c>
      <c r="W3379">
        <v>0.1438835</v>
      </c>
      <c r="X3379">
        <v>0.89333739999999995</v>
      </c>
      <c r="Y3379">
        <v>0.48867109999999903</v>
      </c>
      <c r="Z3379">
        <v>4.3032260000000003E-2</v>
      </c>
      <c r="AA3379">
        <v>0.87140620000000002</v>
      </c>
      <c r="AB3379">
        <v>25</v>
      </c>
      <c r="AC3379">
        <v>-21.235599999999899</v>
      </c>
      <c r="AD3379">
        <v>-1.101324621327</v>
      </c>
      <c r="AE3379">
        <v>-4.3983999999999996</v>
      </c>
      <c r="AF3379">
        <v>10.694742411550299</v>
      </c>
      <c r="AG3379">
        <v>-1.101324621327</v>
      </c>
      <c r="AH3379">
        <v>18.8016657547359</v>
      </c>
      <c r="AI3379">
        <v>92.914713068282495</v>
      </c>
      <c r="AJ3379">
        <v>60.367963840901702</v>
      </c>
      <c r="AK3379">
        <v>21.658556422895899</v>
      </c>
      <c r="AL3379">
        <v>81.7273692923564</v>
      </c>
      <c r="AM3379">
        <v>64.519355470280004</v>
      </c>
      <c r="AN3379">
        <v>0.99999997463654899</v>
      </c>
    </row>
    <row r="3380" spans="1:40" x14ac:dyDescent="0.25">
      <c r="A3380" t="str">
        <f>"20190312164538355"</f>
        <v>20190312164538355</v>
      </c>
      <c r="B3380" t="str">
        <f>"1552380338344595"</f>
        <v>1552380338344595</v>
      </c>
      <c r="C3380" t="s">
        <v>40</v>
      </c>
      <c r="D3380">
        <v>5.2171500000000002</v>
      </c>
      <c r="E3380">
        <v>0.53572180000000003</v>
      </c>
      <c r="F3380" t="s">
        <v>42</v>
      </c>
      <c r="G3380">
        <v>-222.6037</v>
      </c>
      <c r="H3380" s="1">
        <v>-3.5389210000000001E-6</v>
      </c>
      <c r="I3380">
        <v>141.0581</v>
      </c>
      <c r="J3380">
        <v>-201.3647</v>
      </c>
      <c r="K3380">
        <v>1.1012200000000001</v>
      </c>
      <c r="L3380">
        <v>145.2841</v>
      </c>
      <c r="M3380">
        <v>-0.75850220000000002</v>
      </c>
      <c r="N3380">
        <v>0</v>
      </c>
      <c r="O3380">
        <v>-0.65151079999999995</v>
      </c>
      <c r="P3380">
        <v>-0.95333780000000001</v>
      </c>
      <c r="Q3380">
        <v>0.13949710000000001</v>
      </c>
      <c r="R3380">
        <v>-0.26774599999999998</v>
      </c>
      <c r="S3380">
        <v>-2.9985050000000002</v>
      </c>
      <c r="T3380">
        <v>-0.1540464</v>
      </c>
      <c r="U3380">
        <v>-0.61305240000000005</v>
      </c>
      <c r="V3380">
        <v>0.42094140000000002</v>
      </c>
      <c r="W3380">
        <v>0.144312</v>
      </c>
      <c r="X3380">
        <v>0.89553470000000002</v>
      </c>
      <c r="Y3380">
        <v>0.48514030000000002</v>
      </c>
      <c r="Z3380">
        <v>4.264743E-2</v>
      </c>
      <c r="AA3380">
        <v>0.8733957</v>
      </c>
      <c r="AB3380">
        <v>25</v>
      </c>
      <c r="AC3380">
        <v>-21.239000000000001</v>
      </c>
      <c r="AD3380">
        <v>-1.1012235389209999</v>
      </c>
      <c r="AE3380">
        <v>-4.2259999999999902</v>
      </c>
      <c r="AF3380">
        <v>10.605688158409</v>
      </c>
      <c r="AG3380">
        <v>-1.1012235389209999</v>
      </c>
      <c r="AH3380">
        <v>18.8164174244096</v>
      </c>
      <c r="AI3380">
        <v>92.918627362739102</v>
      </c>
      <c r="AJ3380">
        <v>60.592646719018397</v>
      </c>
      <c r="AK3380">
        <v>21.627549081801199</v>
      </c>
      <c r="AL3380">
        <v>81.702559390017996</v>
      </c>
      <c r="AM3380">
        <v>64.824374603800194</v>
      </c>
      <c r="AN3380">
        <v>1.00000000724102</v>
      </c>
    </row>
    <row r="3381" spans="1:40" x14ac:dyDescent="0.25">
      <c r="A3381" t="str">
        <f>"20190312164538388"</f>
        <v>20190312164538388</v>
      </c>
      <c r="B3381" t="str">
        <f>"1552380338384608"</f>
        <v>1552380338384608</v>
      </c>
      <c r="C3381" t="s">
        <v>40</v>
      </c>
      <c r="D3381">
        <v>5.0543089999999999</v>
      </c>
      <c r="E3381">
        <v>0.53695249999999894</v>
      </c>
      <c r="F3381" t="s">
        <v>42</v>
      </c>
      <c r="G3381">
        <v>-223.5531</v>
      </c>
      <c r="H3381" s="1">
        <v>-3.0958929999999999E-6</v>
      </c>
      <c r="I3381">
        <v>140.9238</v>
      </c>
      <c r="J3381">
        <v>-201.6592</v>
      </c>
      <c r="K3381">
        <v>1.1010770000000001</v>
      </c>
      <c r="L3381">
        <v>145.05779999999999</v>
      </c>
      <c r="M3381">
        <v>-0.76981040000000001</v>
      </c>
      <c r="N3381">
        <v>0</v>
      </c>
      <c r="O3381">
        <v>-0.63810880000000003</v>
      </c>
      <c r="P3381">
        <v>-0.95698519999999998</v>
      </c>
      <c r="Q3381">
        <v>0.14002819999999999</v>
      </c>
      <c r="R3381">
        <v>-0.2541099</v>
      </c>
      <c r="S3381">
        <v>-3.0029300000000001</v>
      </c>
      <c r="T3381">
        <v>-0.14903720000000001</v>
      </c>
      <c r="U3381">
        <v>-0.59011840000000004</v>
      </c>
      <c r="V3381">
        <v>0.4180256</v>
      </c>
      <c r="W3381">
        <v>0.1448036</v>
      </c>
      <c r="X3381">
        <v>0.89682019999999996</v>
      </c>
      <c r="Y3381">
        <v>0.47655910000000001</v>
      </c>
      <c r="Z3381">
        <v>4.0559869999999998E-2</v>
      </c>
      <c r="AA3381">
        <v>0.8782063</v>
      </c>
      <c r="AB3381">
        <v>25</v>
      </c>
      <c r="AC3381">
        <v>-21.893899999999999</v>
      </c>
      <c r="AD3381">
        <v>-1.101080095893</v>
      </c>
      <c r="AE3381">
        <v>-4.1339999999999799</v>
      </c>
      <c r="AF3381">
        <v>10.7631366983393</v>
      </c>
      <c r="AG3381">
        <v>-1.101080095893</v>
      </c>
      <c r="AH3381">
        <v>19.446639826891101</v>
      </c>
      <c r="AI3381">
        <v>92.836062143577294</v>
      </c>
      <c r="AJ3381">
        <v>61.036776662649302</v>
      </c>
      <c r="AK3381">
        <v>22.253747763501298</v>
      </c>
      <c r="AL3381">
        <v>81.674093546891498</v>
      </c>
      <c r="AM3381">
        <v>65.008844434283205</v>
      </c>
      <c r="AN3381">
        <v>0.99999997797817897</v>
      </c>
    </row>
    <row r="3382" spans="1:40" x14ac:dyDescent="0.25">
      <c r="A3382" t="str">
        <f>"20190312164538410"</f>
        <v>20190312164538410</v>
      </c>
      <c r="B3382" t="str">
        <f>"1552380338405104"</f>
        <v>1552380338405104</v>
      </c>
      <c r="C3382" t="s">
        <v>40</v>
      </c>
      <c r="D3382">
        <v>4.994974</v>
      </c>
      <c r="E3382">
        <v>0.53724839999999996</v>
      </c>
      <c r="F3382" t="s">
        <v>42</v>
      </c>
      <c r="G3382">
        <v>-226.4067</v>
      </c>
      <c r="H3382" s="1">
        <v>-1.794056E-6</v>
      </c>
      <c r="I3382">
        <v>140.6319</v>
      </c>
      <c r="J3382">
        <v>-201.86160000000001</v>
      </c>
      <c r="K3382">
        <v>1.1009949999999999</v>
      </c>
      <c r="L3382">
        <v>144.9075</v>
      </c>
      <c r="M3382">
        <v>-0.777474</v>
      </c>
      <c r="N3382">
        <v>0</v>
      </c>
      <c r="O3382">
        <v>-0.62874790000000003</v>
      </c>
      <c r="P3382">
        <v>-0.95932600000000001</v>
      </c>
      <c r="Q3382">
        <v>0.14043020000000001</v>
      </c>
      <c r="R3382">
        <v>-0.244894</v>
      </c>
      <c r="S3382">
        <v>-3.0114589999999999</v>
      </c>
      <c r="T3382">
        <v>-0.13398750000000001</v>
      </c>
      <c r="U3382">
        <v>-0.538574199999999</v>
      </c>
      <c r="V3382">
        <v>0.41579630000000001</v>
      </c>
      <c r="W3382">
        <v>0.14519949999999901</v>
      </c>
      <c r="X3382">
        <v>0.89779200000000003</v>
      </c>
      <c r="Y3382">
        <v>0.48114459999999998</v>
      </c>
      <c r="Z3382">
        <v>3.6252520000000003E-2</v>
      </c>
      <c r="AA3382">
        <v>0.87589130000000004</v>
      </c>
      <c r="AB3382">
        <v>25</v>
      </c>
      <c r="AC3382">
        <v>-24.545099999999898</v>
      </c>
      <c r="AD3382">
        <v>-1.1009967940559999</v>
      </c>
      <c r="AE3382">
        <v>-4.2755999999999901</v>
      </c>
      <c r="AF3382">
        <v>12.0861833526866</v>
      </c>
      <c r="AG3382">
        <v>-1.1009967940559999</v>
      </c>
      <c r="AH3382">
        <v>21.731303609543101</v>
      </c>
      <c r="AI3382">
        <v>92.535225448958499</v>
      </c>
      <c r="AJ3382">
        <v>60.918734063790303</v>
      </c>
      <c r="AK3382">
        <v>24.890511817667001</v>
      </c>
      <c r="AL3382">
        <v>81.651167759436603</v>
      </c>
      <c r="AM3382">
        <v>65.149630742399793</v>
      </c>
      <c r="AN3382">
        <v>0.99999996657896895</v>
      </c>
    </row>
    <row r="3383" spans="1:40" x14ac:dyDescent="0.25">
      <c r="A3383" t="str">
        <f>"20190312164538433"</f>
        <v>20190312164538433</v>
      </c>
      <c r="B3383" t="str">
        <f>"1552380338425600"</f>
        <v>1552380338425600</v>
      </c>
      <c r="C3383" t="s">
        <v>40</v>
      </c>
      <c r="D3383">
        <v>4.9163119999999996</v>
      </c>
      <c r="E3383">
        <v>0.53735200000000005</v>
      </c>
      <c r="F3383" t="s">
        <v>42</v>
      </c>
      <c r="G3383">
        <v>-227.42400000000001</v>
      </c>
      <c r="H3383" s="1">
        <v>-1.352234E-6</v>
      </c>
      <c r="I3383">
        <v>140.61160000000001</v>
      </c>
      <c r="J3383">
        <v>-202.07169999999999</v>
      </c>
      <c r="K3383">
        <v>1.100916</v>
      </c>
      <c r="L3383">
        <v>144.75579999999999</v>
      </c>
      <c r="M3383">
        <v>-0.78531809999999902</v>
      </c>
      <c r="N3383">
        <v>0</v>
      </c>
      <c r="O3383">
        <v>-0.61892239999999998</v>
      </c>
      <c r="P3383">
        <v>-0.96193090000000003</v>
      </c>
      <c r="Q3383">
        <v>0.1400672</v>
      </c>
      <c r="R3383">
        <v>-0.23467070000000001</v>
      </c>
      <c r="S3383">
        <v>-3.0167999999999999</v>
      </c>
      <c r="T3383">
        <v>-0.12993669999999999</v>
      </c>
      <c r="U3383">
        <v>-0.50698849999999995</v>
      </c>
      <c r="V3383">
        <v>0.41410979999999997</v>
      </c>
      <c r="W3383">
        <v>0.1448305</v>
      </c>
      <c r="X3383">
        <v>0.89863069999999901</v>
      </c>
      <c r="Y3383">
        <v>0.47936299999999998</v>
      </c>
      <c r="Z3383">
        <v>3.4791490000000001E-2</v>
      </c>
      <c r="AA3383">
        <v>0.87692680000000001</v>
      </c>
      <c r="AB3383">
        <v>25</v>
      </c>
      <c r="AC3383">
        <v>-25.3523</v>
      </c>
      <c r="AD3383">
        <v>-1.1009173522339999</v>
      </c>
      <c r="AE3383">
        <v>-4.1441999999999801</v>
      </c>
      <c r="AF3383">
        <v>12.415098545407201</v>
      </c>
      <c r="AG3383">
        <v>-1.1009173522339999</v>
      </c>
      <c r="AH3383">
        <v>22.435718414876099</v>
      </c>
      <c r="AI3383">
        <v>92.458465417175503</v>
      </c>
      <c r="AJ3383">
        <v>61.041476984339901</v>
      </c>
      <c r="AK3383">
        <v>25.665310278666698</v>
      </c>
      <c r="AL3383">
        <v>81.672535782889298</v>
      </c>
      <c r="AM3383">
        <v>65.258657279503794</v>
      </c>
      <c r="AN3383">
        <v>0.99999996758438903</v>
      </c>
    </row>
    <row r="3384" spans="1:40" x14ac:dyDescent="0.25">
      <c r="A3384" t="str">
        <f>"20190312164538455"</f>
        <v>20190312164538455</v>
      </c>
      <c r="B3384" t="str">
        <f>"1552380338445120"</f>
        <v>1552380338445120</v>
      </c>
      <c r="C3384" t="s">
        <v>40</v>
      </c>
      <c r="D3384">
        <v>5.0013769999999997</v>
      </c>
      <c r="E3384">
        <v>0.53740940000000004</v>
      </c>
      <c r="F3384" t="s">
        <v>42</v>
      </c>
      <c r="G3384">
        <v>-227.4151</v>
      </c>
      <c r="H3384" s="1">
        <v>-1.4009190000000001E-6</v>
      </c>
      <c r="I3384">
        <v>140.7801</v>
      </c>
      <c r="J3384">
        <v>-202.28120000000001</v>
      </c>
      <c r="K3384">
        <v>1.1008560000000001</v>
      </c>
      <c r="L3384">
        <v>144.6086</v>
      </c>
      <c r="M3384">
        <v>-0.79300999999999999</v>
      </c>
      <c r="N3384">
        <v>0</v>
      </c>
      <c r="O3384">
        <v>-0.6090352</v>
      </c>
      <c r="P3384">
        <v>-0.96470429999999996</v>
      </c>
      <c r="Q3384">
        <v>0.13871459999999999</v>
      </c>
      <c r="R3384">
        <v>-0.22384009999999999</v>
      </c>
      <c r="S3384">
        <v>-3.0221710000000002</v>
      </c>
      <c r="T3384">
        <v>-0.1312835</v>
      </c>
      <c r="U3384">
        <v>-0.47409059999999997</v>
      </c>
      <c r="V3384">
        <v>0.4130643</v>
      </c>
      <c r="W3384">
        <v>0.14347489999999999</v>
      </c>
      <c r="X3384">
        <v>0.89932909999999899</v>
      </c>
      <c r="Y3384">
        <v>0.47791699999999998</v>
      </c>
      <c r="Z3384">
        <v>3.4781920000000001E-2</v>
      </c>
      <c r="AA3384">
        <v>0.8777161</v>
      </c>
      <c r="AB3384">
        <v>25</v>
      </c>
      <c r="AC3384">
        <v>-25.133899999999901</v>
      </c>
      <c r="AD3384">
        <v>-1.100857400919</v>
      </c>
      <c r="AE3384">
        <v>-3.8284999999999898</v>
      </c>
      <c r="AF3384">
        <v>12.249720353439599</v>
      </c>
      <c r="AG3384">
        <v>-1.100857400919</v>
      </c>
      <c r="AH3384">
        <v>22.223809714566698</v>
      </c>
      <c r="AI3384">
        <v>92.484015329862601</v>
      </c>
      <c r="AJ3384">
        <v>61.136532244220398</v>
      </c>
      <c r="AK3384">
        <v>25.4001034246694</v>
      </c>
      <c r="AL3384">
        <v>81.751025982588303</v>
      </c>
      <c r="AM3384">
        <v>65.3305525148307</v>
      </c>
      <c r="AN3384">
        <v>0.99999999648565396</v>
      </c>
    </row>
    <row r="3385" spans="1:40" x14ac:dyDescent="0.25">
      <c r="A3385" t="str">
        <f>"20190312164538478"</f>
        <v>20190312164538478</v>
      </c>
      <c r="B3385" t="str">
        <f>"1552380338475378"</f>
        <v>1552380338475378</v>
      </c>
      <c r="C3385" t="s">
        <v>40</v>
      </c>
      <c r="D3385">
        <v>5.0340619999999996</v>
      </c>
      <c r="E3385">
        <v>0.53722510000000001</v>
      </c>
      <c r="F3385" t="s">
        <v>42</v>
      </c>
      <c r="G3385">
        <v>-227.3192</v>
      </c>
      <c r="H3385" s="1">
        <v>-1.4906479999999901E-6</v>
      </c>
      <c r="I3385">
        <v>140.96289999999999</v>
      </c>
      <c r="J3385">
        <v>-202.48670000000001</v>
      </c>
      <c r="K3385">
        <v>1.1008070000000001</v>
      </c>
      <c r="L3385">
        <v>144.46789999999999</v>
      </c>
      <c r="M3385">
        <v>-0.80041450000000003</v>
      </c>
      <c r="N3385">
        <v>0</v>
      </c>
      <c r="O3385">
        <v>-0.59927030000000003</v>
      </c>
      <c r="P3385">
        <v>-0.96730020000000005</v>
      </c>
      <c r="Q3385">
        <v>0.1366493</v>
      </c>
      <c r="R3385">
        <v>-0.21367659999999999</v>
      </c>
      <c r="S3385">
        <v>-3.0266419999999998</v>
      </c>
      <c r="T3385">
        <v>-0.13307389999999999</v>
      </c>
      <c r="U3385">
        <v>-0.4406891</v>
      </c>
      <c r="V3385">
        <v>0.41164790000000001</v>
      </c>
      <c r="W3385">
        <v>0.14143499999999901</v>
      </c>
      <c r="X3385">
        <v>0.90030119999999902</v>
      </c>
      <c r="Y3385">
        <v>0.47680650000000002</v>
      </c>
      <c r="Z3385">
        <v>3.4896429999999999E-2</v>
      </c>
      <c r="AA3385">
        <v>0.87831530000000002</v>
      </c>
      <c r="AB3385">
        <v>25</v>
      </c>
      <c r="AC3385">
        <v>-24.8324999999999</v>
      </c>
      <c r="AD3385">
        <v>-1.10080849064799</v>
      </c>
      <c r="AE3385">
        <v>-3.5049999999999901</v>
      </c>
      <c r="AF3385">
        <v>12.053981069540299</v>
      </c>
      <c r="AG3385">
        <v>-1.10080849064799</v>
      </c>
      <c r="AH3385">
        <v>21.936796695040201</v>
      </c>
      <c r="AI3385">
        <v>92.518179300268102</v>
      </c>
      <c r="AJ3385">
        <v>61.211784638184703</v>
      </c>
      <c r="AK3385">
        <v>25.054606127366</v>
      </c>
      <c r="AL3385">
        <v>81.869108402205399</v>
      </c>
      <c r="AM3385">
        <v>65.428531448012393</v>
      </c>
      <c r="AN3385">
        <v>1.00000005176042</v>
      </c>
    </row>
    <row r="3386" spans="1:40" x14ac:dyDescent="0.25">
      <c r="A3386" t="str">
        <f>"20190312164538500"</f>
        <v>20190312164538500</v>
      </c>
      <c r="B3386" t="str">
        <f>"1552380338494897"</f>
        <v>1552380338494897</v>
      </c>
      <c r="C3386" t="s">
        <v>40</v>
      </c>
      <c r="D3386">
        <v>5.0283509999999998</v>
      </c>
      <c r="E3386">
        <v>0.53730089999999997</v>
      </c>
      <c r="F3386" t="s">
        <v>42</v>
      </c>
      <c r="G3386">
        <v>-227.2938</v>
      </c>
      <c r="H3386" s="1">
        <v>-1.5405590000000001E-6</v>
      </c>
      <c r="I3386">
        <v>141.10939999999999</v>
      </c>
      <c r="J3386">
        <v>-202.69909999999999</v>
      </c>
      <c r="K3386">
        <v>1.1007830000000001</v>
      </c>
      <c r="L3386">
        <v>144.32650000000001</v>
      </c>
      <c r="M3386">
        <v>-0.80790810000000002</v>
      </c>
      <c r="N3386">
        <v>0</v>
      </c>
      <c r="O3386">
        <v>-0.58912810000000004</v>
      </c>
      <c r="P3386">
        <v>-0.96998430000000002</v>
      </c>
      <c r="Q3386">
        <v>0.13409090000000001</v>
      </c>
      <c r="R3386">
        <v>-0.20285510000000001</v>
      </c>
      <c r="S3386">
        <v>-3.0298159999999998</v>
      </c>
      <c r="T3386">
        <v>-0.13444779999999901</v>
      </c>
      <c r="U3386">
        <v>-0.41018680000000002</v>
      </c>
      <c r="V3386">
        <v>0.41051460000000001</v>
      </c>
      <c r="W3386">
        <v>0.13890959999999999</v>
      </c>
      <c r="X3386">
        <v>0.9012114</v>
      </c>
      <c r="Y3386">
        <v>0.4745162</v>
      </c>
      <c r="Z3386">
        <v>3.4857800000000001E-2</v>
      </c>
      <c r="AA3386">
        <v>0.87955629999999996</v>
      </c>
      <c r="AB3386">
        <v>25</v>
      </c>
      <c r="AC3386">
        <v>-24.5947</v>
      </c>
      <c r="AD3386">
        <v>-1.100784540559</v>
      </c>
      <c r="AE3386">
        <v>-3.2171000000000101</v>
      </c>
      <c r="AF3386">
        <v>11.8681974837891</v>
      </c>
      <c r="AG3386">
        <v>-1.100784540559</v>
      </c>
      <c r="AH3386">
        <v>21.725067927886499</v>
      </c>
      <c r="AI3386">
        <v>92.546056289221497</v>
      </c>
      <c r="AJ3386">
        <v>61.352640811997503</v>
      </c>
      <c r="AK3386">
        <v>24.779919584014699</v>
      </c>
      <c r="AL3386">
        <v>82.0152459867018</v>
      </c>
      <c r="AM3386">
        <v>65.510060738385803</v>
      </c>
      <c r="AN3386">
        <v>1.0000000506376301</v>
      </c>
    </row>
    <row r="3387" spans="1:40" x14ac:dyDescent="0.25">
      <c r="A3387" t="str">
        <f>"20190312164538524"</f>
        <v>20190312164538524</v>
      </c>
      <c r="B3387" t="str">
        <f>"1552380338515392"</f>
        <v>1552380338515392</v>
      </c>
      <c r="C3387" t="s">
        <v>40</v>
      </c>
      <c r="D3387">
        <v>5.0912499999999996</v>
      </c>
      <c r="E3387">
        <v>0.53727179999999997</v>
      </c>
      <c r="F3387" t="s">
        <v>42</v>
      </c>
      <c r="G3387">
        <v>-226.60669999999999</v>
      </c>
      <c r="H3387" s="1">
        <v>-1.9065329999999999E-6</v>
      </c>
      <c r="I3387">
        <v>141.37710000000001</v>
      </c>
      <c r="J3387">
        <v>-202.9128</v>
      </c>
      <c r="K3387">
        <v>1.1007670000000001</v>
      </c>
      <c r="L3387">
        <v>144.18799999999999</v>
      </c>
      <c r="M3387">
        <v>-0.81527769999999899</v>
      </c>
      <c r="N3387">
        <v>0</v>
      </c>
      <c r="O3387">
        <v>-0.57888629999999996</v>
      </c>
      <c r="P3387">
        <v>-0.97236809999999996</v>
      </c>
      <c r="Q3387">
        <v>0.13298889999999999</v>
      </c>
      <c r="R3387">
        <v>-0.19187109999999999</v>
      </c>
      <c r="S3387">
        <v>-3.03389</v>
      </c>
      <c r="T3387">
        <v>-0.13969039999999999</v>
      </c>
      <c r="U3387">
        <v>-0.37426759999999998</v>
      </c>
      <c r="V3387">
        <v>0.40939910000000002</v>
      </c>
      <c r="W3387">
        <v>0.1378489</v>
      </c>
      <c r="X3387">
        <v>0.90188140000000006</v>
      </c>
      <c r="Y3387">
        <v>0.47374539999999998</v>
      </c>
      <c r="Z3387">
        <v>3.5822300000000001E-2</v>
      </c>
      <c r="AA3387">
        <v>0.87993299999999997</v>
      </c>
      <c r="AB3387">
        <v>25</v>
      </c>
      <c r="AC3387">
        <v>-23.6938999999999</v>
      </c>
      <c r="AD3387">
        <v>-1.100768906533</v>
      </c>
      <c r="AE3387">
        <v>-2.81089999999997</v>
      </c>
      <c r="AF3387">
        <v>11.401360025707699</v>
      </c>
      <c r="AG3387">
        <v>-1.100768906533</v>
      </c>
      <c r="AH3387">
        <v>20.902042391749099</v>
      </c>
      <c r="AI3387">
        <v>92.647046865371294</v>
      </c>
      <c r="AJ3387">
        <v>61.389020647197</v>
      </c>
      <c r="AK3387">
        <v>23.8348081336493</v>
      </c>
      <c r="AL3387">
        <v>82.076609587878906</v>
      </c>
      <c r="AM3387">
        <v>65.584851356839593</v>
      </c>
      <c r="AN3387">
        <v>1.00000000098899</v>
      </c>
    </row>
    <row r="3388" spans="1:40" x14ac:dyDescent="0.25">
      <c r="A3388" t="str">
        <f>"20190312164538545"</f>
        <v>20190312164538545</v>
      </c>
      <c r="B3388" t="str">
        <f>"1552380338534912"</f>
        <v>1552380338534912</v>
      </c>
      <c r="C3388" t="s">
        <v>40</v>
      </c>
      <c r="D3388">
        <v>4.9449990000000001</v>
      </c>
      <c r="E3388">
        <v>0.53717369999999898</v>
      </c>
      <c r="F3388" t="s">
        <v>42</v>
      </c>
      <c r="G3388">
        <v>-226.40649999999999</v>
      </c>
      <c r="H3388" s="1">
        <v>-2.0419019999999999E-6</v>
      </c>
      <c r="I3388">
        <v>141.56299999999999</v>
      </c>
      <c r="J3388">
        <v>-203.1234</v>
      </c>
      <c r="K3388">
        <v>1.1007670000000001</v>
      </c>
      <c r="L3388">
        <v>144.05529999999999</v>
      </c>
      <c r="M3388">
        <v>-0.82236390000000004</v>
      </c>
      <c r="N3388">
        <v>0</v>
      </c>
      <c r="O3388">
        <v>-0.56877460000000002</v>
      </c>
      <c r="P3388">
        <v>-0.97455510000000001</v>
      </c>
      <c r="Q3388">
        <v>0.13279299999999999</v>
      </c>
      <c r="R3388">
        <v>-0.18057770000000001</v>
      </c>
      <c r="S3388">
        <v>-3.03775</v>
      </c>
      <c r="T3388">
        <v>-0.1423306</v>
      </c>
      <c r="U3388">
        <v>-0.33940120000000001</v>
      </c>
      <c r="V3388">
        <v>0.40873209999999999</v>
      </c>
      <c r="W3388">
        <v>0.13768839999999999</v>
      </c>
      <c r="X3388">
        <v>0.90220840000000002</v>
      </c>
      <c r="Y3388">
        <v>0.47294360000000002</v>
      </c>
      <c r="Z3388">
        <v>3.6095589999999997E-2</v>
      </c>
      <c r="AA3388">
        <v>0.88035300000000005</v>
      </c>
      <c r="AB3388">
        <v>25</v>
      </c>
      <c r="AC3388">
        <v>-23.283099999999902</v>
      </c>
      <c r="AD3388">
        <v>-1.100769041902</v>
      </c>
      <c r="AE3388">
        <v>-2.4923000000000002</v>
      </c>
      <c r="AF3388">
        <v>11.169767494662</v>
      </c>
      <c r="AG3388">
        <v>-1.100769041902</v>
      </c>
      <c r="AH3388">
        <v>20.521579457267801</v>
      </c>
      <c r="AI3388">
        <v>92.697377326991202</v>
      </c>
      <c r="AJ3388">
        <v>61.440823507321198</v>
      </c>
      <c r="AK3388">
        <v>23.3903959305818</v>
      </c>
      <c r="AL3388">
        <v>82.085894173605496</v>
      </c>
      <c r="AM3388">
        <v>65.627803545146193</v>
      </c>
      <c r="AN3388">
        <v>1.00000001104776</v>
      </c>
    </row>
    <row r="3389" spans="1:40" x14ac:dyDescent="0.25">
      <c r="A3389" t="str">
        <f>"20190312164538567"</f>
        <v>20190312164538567</v>
      </c>
      <c r="B3389" t="str">
        <f>"1552380338555408"</f>
        <v>1552380338555408</v>
      </c>
      <c r="C3389" t="s">
        <v>40</v>
      </c>
      <c r="D3389">
        <v>5.0458230000000004</v>
      </c>
      <c r="E3389">
        <v>0.53701960000000004</v>
      </c>
      <c r="F3389" t="s">
        <v>42</v>
      </c>
      <c r="G3389">
        <v>-226.21709999999999</v>
      </c>
      <c r="H3389" s="1">
        <v>-2.1681029999999999E-6</v>
      </c>
      <c r="I3389">
        <v>141.7321</v>
      </c>
      <c r="J3389">
        <v>-203.3262</v>
      </c>
      <c r="K3389">
        <v>1.1007769999999999</v>
      </c>
      <c r="L3389">
        <v>143.93090000000001</v>
      </c>
      <c r="M3389">
        <v>-0.82902730000000002</v>
      </c>
      <c r="N3389">
        <v>0</v>
      </c>
      <c r="O3389">
        <v>-0.55901719999999999</v>
      </c>
      <c r="P3389">
        <v>-0.97658420000000001</v>
      </c>
      <c r="Q3389">
        <v>0.13168350000000001</v>
      </c>
      <c r="R3389">
        <v>-0.17012650000000001</v>
      </c>
      <c r="S3389">
        <v>-3.041382</v>
      </c>
      <c r="T3389">
        <v>-0.1449684</v>
      </c>
      <c r="U3389">
        <v>-0.305954</v>
      </c>
      <c r="V3389">
        <v>0.4077924</v>
      </c>
      <c r="W3389">
        <v>0.1366251</v>
      </c>
      <c r="X3389">
        <v>0.90279509999999996</v>
      </c>
      <c r="Y3389">
        <v>0.47219680000000003</v>
      </c>
      <c r="Z3389">
        <v>3.6362199999999997E-2</v>
      </c>
      <c r="AA3389">
        <v>0.88074279999999905</v>
      </c>
      <c r="AB3389">
        <v>25</v>
      </c>
      <c r="AC3389">
        <v>-22.890899999999899</v>
      </c>
      <c r="AD3389">
        <v>-1.1007791681029999</v>
      </c>
      <c r="AE3389">
        <v>-2.1987999999999999</v>
      </c>
      <c r="AF3389">
        <v>10.9496241379838</v>
      </c>
      <c r="AG3389">
        <v>-1.1007791681029999</v>
      </c>
      <c r="AH3389">
        <v>20.162307155720899</v>
      </c>
      <c r="AI3389">
        <v>92.7467977362558</v>
      </c>
      <c r="AJ3389">
        <v>61.494766836585697</v>
      </c>
      <c r="AK3389">
        <v>22.9700808309784</v>
      </c>
      <c r="AL3389">
        <v>82.147398147718405</v>
      </c>
      <c r="AM3389">
        <v>65.691313694061193</v>
      </c>
      <c r="AN3389">
        <v>1.0000000260158799</v>
      </c>
    </row>
    <row r="3390" spans="1:40" x14ac:dyDescent="0.25">
      <c r="A3390" t="str">
        <f>"20190312164538591"</f>
        <v>20190312164538591</v>
      </c>
      <c r="B3390" t="str">
        <f>"1552380338584689"</f>
        <v>1552380338584689</v>
      </c>
      <c r="C3390" t="s">
        <v>40</v>
      </c>
      <c r="D3390">
        <v>4.8962019999999997</v>
      </c>
      <c r="E3390">
        <v>0.53667989999999999</v>
      </c>
      <c r="F3390" t="s">
        <v>42</v>
      </c>
      <c r="G3390">
        <v>-225.6371</v>
      </c>
      <c r="H3390" s="1">
        <v>-2.4658120000000001E-6</v>
      </c>
      <c r="I3390">
        <v>141.91579999999999</v>
      </c>
      <c r="J3390">
        <v>-203.55950000000001</v>
      </c>
      <c r="K3390">
        <v>1.100795</v>
      </c>
      <c r="L3390">
        <v>143.7919</v>
      </c>
      <c r="M3390">
        <v>-0.83649689999999999</v>
      </c>
      <c r="N3390">
        <v>0</v>
      </c>
      <c r="O3390">
        <v>-0.54777699999999996</v>
      </c>
      <c r="P3390">
        <v>-0.97867769999999998</v>
      </c>
      <c r="Q3390">
        <v>0.1304786</v>
      </c>
      <c r="R3390">
        <v>-0.15863679999999999</v>
      </c>
      <c r="S3390">
        <v>-3.0442809999999998</v>
      </c>
      <c r="T3390">
        <v>-0.15019939999999901</v>
      </c>
      <c r="U3390">
        <v>-0.27494809999999997</v>
      </c>
      <c r="V3390">
        <v>0.40627380000000002</v>
      </c>
      <c r="W3390">
        <v>0.13548379999999999</v>
      </c>
      <c r="X3390">
        <v>0.90365139999999999</v>
      </c>
      <c r="Y3390">
        <v>0.46921000000000002</v>
      </c>
      <c r="Z3390">
        <v>3.7139800000000001E-2</v>
      </c>
      <c r="AA3390">
        <v>0.88230529999999996</v>
      </c>
      <c r="AB3390">
        <v>25</v>
      </c>
      <c r="AC3390">
        <v>-22.077599999999901</v>
      </c>
      <c r="AD3390">
        <v>-1.1007974658120001</v>
      </c>
      <c r="AE3390">
        <v>-1.8761000000000001</v>
      </c>
      <c r="AF3390">
        <v>10.4994571098315</v>
      </c>
      <c r="AG3390">
        <v>-1.1007974658120001</v>
      </c>
      <c r="AH3390">
        <v>19.449601705257301</v>
      </c>
      <c r="AI3390">
        <v>92.851200071818994</v>
      </c>
      <c r="AJ3390">
        <v>61.638544262977703</v>
      </c>
      <c r="AK3390">
        <v>22.130010419226601</v>
      </c>
      <c r="AL3390">
        <v>82.213403823900805</v>
      </c>
      <c r="AM3390">
        <v>65.791731482734704</v>
      </c>
      <c r="AN3390">
        <v>1.0000000566754099</v>
      </c>
    </row>
    <row r="3391" spans="1:40" x14ac:dyDescent="0.25">
      <c r="A3391" t="str">
        <f>"20190312164538613"</f>
        <v>20190312164538613</v>
      </c>
      <c r="B3391" t="str">
        <f>"1552380338605184"</f>
        <v>1552380338605184</v>
      </c>
      <c r="C3391" t="s">
        <v>40</v>
      </c>
      <c r="D3391">
        <v>5.0476159999999997</v>
      </c>
      <c r="E3391">
        <v>0.53642650000000003</v>
      </c>
      <c r="F3391" t="s">
        <v>42</v>
      </c>
      <c r="G3391">
        <v>-225.25280000000001</v>
      </c>
      <c r="H3391" s="1">
        <v>-2.67341E-6</v>
      </c>
      <c r="I3391">
        <v>142.0763</v>
      </c>
      <c r="J3391">
        <v>-203.78579999999999</v>
      </c>
      <c r="K3391">
        <v>1.100803</v>
      </c>
      <c r="L3391">
        <v>143.66139999999999</v>
      </c>
      <c r="M3391">
        <v>-0.84354449999999903</v>
      </c>
      <c r="N3391">
        <v>0</v>
      </c>
      <c r="O3391">
        <v>-0.53686060000000002</v>
      </c>
      <c r="P3391">
        <v>-0.98035700000000003</v>
      </c>
      <c r="Q3391">
        <v>0.13025030000000001</v>
      </c>
      <c r="R3391">
        <v>-0.14810499999999999</v>
      </c>
      <c r="S3391">
        <v>-3.0469059999999999</v>
      </c>
      <c r="T3391">
        <v>-0.15461169999999999</v>
      </c>
      <c r="U3391">
        <v>-0.24095150000000001</v>
      </c>
      <c r="V3391">
        <v>0.40425030000000001</v>
      </c>
      <c r="W3391">
        <v>0.13532559999999999</v>
      </c>
      <c r="X3391">
        <v>0.90458209999999994</v>
      </c>
      <c r="Y3391">
        <v>0.46752640000000001</v>
      </c>
      <c r="Z3391">
        <v>3.7726580000000003E-2</v>
      </c>
      <c r="AA3391">
        <v>0.883173599999999</v>
      </c>
      <c r="AB3391">
        <v>25</v>
      </c>
      <c r="AC3391">
        <v>-21.466999999999999</v>
      </c>
      <c r="AD3391">
        <v>-1.10080567341</v>
      </c>
      <c r="AE3391">
        <v>-1.58509999999998</v>
      </c>
      <c r="AF3391">
        <v>10.162194252360001</v>
      </c>
      <c r="AG3391">
        <v>-1.10080567341</v>
      </c>
      <c r="AH3391">
        <v>18.9119107188477</v>
      </c>
      <c r="AI3391">
        <v>92.935184401807803</v>
      </c>
      <c r="AJ3391">
        <v>61.748923141558599</v>
      </c>
      <c r="AK3391">
        <v>21.497495951644598</v>
      </c>
      <c r="AL3391">
        <v>82.222552212156799</v>
      </c>
      <c r="AM3391">
        <v>65.920525103608398</v>
      </c>
      <c r="AN3391">
        <v>1.00000004935292</v>
      </c>
    </row>
    <row r="3392" spans="1:40" x14ac:dyDescent="0.25">
      <c r="A3392" t="str">
        <f>"20190312164538635"</f>
        <v>20190312164538635</v>
      </c>
      <c r="B3392" t="str">
        <f>"1552380338624708"</f>
        <v>1552380338624708</v>
      </c>
      <c r="C3392" t="s">
        <v>40</v>
      </c>
      <c r="D3392">
        <v>5.0561170000000004</v>
      </c>
      <c r="E3392">
        <v>0.536336699999999</v>
      </c>
      <c r="F3392" t="s">
        <v>42</v>
      </c>
      <c r="G3392">
        <v>-225.3314</v>
      </c>
      <c r="H3392" s="1">
        <v>-2.6687399999999998E-6</v>
      </c>
      <c r="I3392">
        <v>142.18549999999999</v>
      </c>
      <c r="J3392">
        <v>-203.9905</v>
      </c>
      <c r="K3392">
        <v>1.1008100000000001</v>
      </c>
      <c r="L3392">
        <v>143.54650000000001</v>
      </c>
      <c r="M3392">
        <v>-0.84976559999999901</v>
      </c>
      <c r="N3392">
        <v>0</v>
      </c>
      <c r="O3392">
        <v>-0.52695819999999904</v>
      </c>
      <c r="P3392">
        <v>-0.98160020000000003</v>
      </c>
      <c r="Q3392">
        <v>0.13093869999999999</v>
      </c>
      <c r="R3392">
        <v>-0.13898269999999999</v>
      </c>
      <c r="S3392">
        <v>-3.0492400000000002</v>
      </c>
      <c r="T3392">
        <v>-0.1557916</v>
      </c>
      <c r="U3392">
        <v>-0.2088623</v>
      </c>
      <c r="V3392">
        <v>0.40204030000000002</v>
      </c>
      <c r="W3392">
        <v>0.1360828</v>
      </c>
      <c r="X3392">
        <v>0.90545299999999995</v>
      </c>
      <c r="Y3392">
        <v>0.4664836</v>
      </c>
      <c r="Z3392">
        <v>3.7561850000000001E-2</v>
      </c>
      <c r="AA3392">
        <v>0.88373199999999996</v>
      </c>
      <c r="AB3392">
        <v>25</v>
      </c>
      <c r="AC3392">
        <v>-21.340900000000001</v>
      </c>
      <c r="AD3392">
        <v>-1.1008126687399999</v>
      </c>
      <c r="AE3392">
        <v>-1.36100000000001</v>
      </c>
      <c r="AF3392">
        <v>10.0636401676216</v>
      </c>
      <c r="AG3392">
        <v>-1.1008126687399999</v>
      </c>
      <c r="AH3392">
        <v>18.804135262104499</v>
      </c>
      <c r="AI3392">
        <v>92.954650166635403</v>
      </c>
      <c r="AJ3392">
        <v>61.845099175943602</v>
      </c>
      <c r="AK3392">
        <v>21.356126636413901</v>
      </c>
      <c r="AL3392">
        <v>82.178762643510694</v>
      </c>
      <c r="AM3392">
        <v>66.057765765542996</v>
      </c>
      <c r="AN3392">
        <v>1.0000000332444601</v>
      </c>
    </row>
    <row r="3393" spans="1:40" x14ac:dyDescent="0.25">
      <c r="A3393" t="str">
        <f>"20190312164538657"</f>
        <v>20190312164538657</v>
      </c>
      <c r="B3393" t="str">
        <f>"1552380338654960"</f>
        <v>1552380338654960</v>
      </c>
      <c r="C3393" t="s">
        <v>40</v>
      </c>
      <c r="D3393">
        <v>4.9310419999999997</v>
      </c>
      <c r="E3393">
        <v>0.5359815</v>
      </c>
      <c r="F3393" t="s">
        <v>42</v>
      </c>
      <c r="G3393">
        <v>-226.178</v>
      </c>
      <c r="H3393" s="1">
        <v>-2.3183950000000002E-6</v>
      </c>
      <c r="I3393">
        <v>142.2338</v>
      </c>
      <c r="J3393">
        <v>-204.21019999999999</v>
      </c>
      <c r="K3393">
        <v>1.1008150000000001</v>
      </c>
      <c r="L3393">
        <v>143.42679999999999</v>
      </c>
      <c r="M3393">
        <v>-0.85628059999999995</v>
      </c>
      <c r="N3393">
        <v>0</v>
      </c>
      <c r="O3393">
        <v>-0.51630370000000003</v>
      </c>
      <c r="P3393">
        <v>-0.98287480000000005</v>
      </c>
      <c r="Q3393">
        <v>0.13121769999999999</v>
      </c>
      <c r="R3393">
        <v>-0.12937979999999999</v>
      </c>
      <c r="S3393">
        <v>-3.0508730000000002</v>
      </c>
      <c r="T3393">
        <v>-0.15136669999999999</v>
      </c>
      <c r="U3393">
        <v>-0.1804962</v>
      </c>
      <c r="V3393">
        <v>0.39956320000000001</v>
      </c>
      <c r="W3393">
        <v>0.1364329</v>
      </c>
      <c r="X3393">
        <v>0.90649619999999997</v>
      </c>
      <c r="Y3393">
        <v>0.46373789999999998</v>
      </c>
      <c r="Z3393">
        <v>3.5981289999999999E-2</v>
      </c>
      <c r="AA3393">
        <v>0.88524150000000001</v>
      </c>
      <c r="AB3393">
        <v>25</v>
      </c>
      <c r="AC3393">
        <v>-21.9678</v>
      </c>
      <c r="AD3393">
        <v>-1.1008173183950001</v>
      </c>
      <c r="AE3393">
        <v>-1.1929999999999801</v>
      </c>
      <c r="AF3393">
        <v>10.295840790829899</v>
      </c>
      <c r="AG3393">
        <v>-1.1008173183950001</v>
      </c>
      <c r="AH3393">
        <v>19.3801089337591</v>
      </c>
      <c r="AI3393">
        <v>92.871666196371095</v>
      </c>
      <c r="AJ3393">
        <v>62.020161498099</v>
      </c>
      <c r="AK3393">
        <v>21.972818632186499</v>
      </c>
      <c r="AL3393">
        <v>82.1585144714157</v>
      </c>
      <c r="AM3393">
        <v>66.213190497035797</v>
      </c>
      <c r="AN3393">
        <v>1.00000002380554</v>
      </c>
    </row>
    <row r="3394" spans="1:40" x14ac:dyDescent="0.25">
      <c r="A3394" t="str">
        <f>"20190312164538679"</f>
        <v>20190312164538679</v>
      </c>
      <c r="B3394" t="str">
        <f>"1552380338675456"</f>
        <v>1552380338675456</v>
      </c>
      <c r="C3394" t="s">
        <v>40</v>
      </c>
      <c r="D3394">
        <v>5.0356779999999999</v>
      </c>
      <c r="E3394">
        <v>0.53579429999999995</v>
      </c>
      <c r="F3394" t="s">
        <v>42</v>
      </c>
      <c r="G3394">
        <v>-226.24250000000001</v>
      </c>
      <c r="H3394" s="1">
        <v>-2.3127229999999999E-6</v>
      </c>
      <c r="I3394">
        <v>142.31649999999999</v>
      </c>
      <c r="J3394">
        <v>-204.42740000000001</v>
      </c>
      <c r="K3394">
        <v>1.1008089999999999</v>
      </c>
      <c r="L3394">
        <v>143.31190000000001</v>
      </c>
      <c r="M3394">
        <v>-0.86256829999999995</v>
      </c>
      <c r="N3394">
        <v>0</v>
      </c>
      <c r="O3394">
        <v>-0.50572890000000004</v>
      </c>
      <c r="P3394">
        <v>-0.98393969999999997</v>
      </c>
      <c r="Q3394">
        <v>0.1310656</v>
      </c>
      <c r="R3394">
        <v>-0.1211798</v>
      </c>
      <c r="S3394">
        <v>-3.0523829999999998</v>
      </c>
      <c r="T3394">
        <v>-0.1525089</v>
      </c>
      <c r="U3394">
        <v>-0.15380859999999999</v>
      </c>
      <c r="V3394">
        <v>0.39596720000000002</v>
      </c>
      <c r="W3394">
        <v>0.13637759999999999</v>
      </c>
      <c r="X3394">
        <v>0.90808100000000003</v>
      </c>
      <c r="Y3394">
        <v>0.46057959999999898</v>
      </c>
      <c r="Z3394">
        <v>3.572053E-2</v>
      </c>
      <c r="AA3394">
        <v>0.8868994</v>
      </c>
      <c r="AB3394">
        <v>24</v>
      </c>
      <c r="AC3394">
        <v>-21.815100000000001</v>
      </c>
      <c r="AD3394">
        <v>-1.1008113127229999</v>
      </c>
      <c r="AE3394">
        <v>-0.99540000000001705</v>
      </c>
      <c r="AF3394">
        <v>10.1492264935717</v>
      </c>
      <c r="AG3394">
        <v>-1.1008113127229999</v>
      </c>
      <c r="AH3394">
        <v>19.273511511293901</v>
      </c>
      <c r="AI3394">
        <v>92.893073819989993</v>
      </c>
      <c r="AJ3394">
        <v>62.229185505712302</v>
      </c>
      <c r="AK3394">
        <v>21.810245985316499</v>
      </c>
      <c r="AL3394">
        <v>82.161712539411099</v>
      </c>
      <c r="AM3394">
        <v>66.440471751202395</v>
      </c>
      <c r="AN3394">
        <v>0.999999987909299</v>
      </c>
    </row>
    <row r="3395" spans="1:40" x14ac:dyDescent="0.25">
      <c r="A3395" t="str">
        <f>"20190312164538701"</f>
        <v>20190312164538701</v>
      </c>
      <c r="B3395" t="str">
        <f>"1552380338694977"</f>
        <v>1552380338694977</v>
      </c>
      <c r="C3395" t="s">
        <v>40</v>
      </c>
      <c r="D3395">
        <v>4.9235730000000002</v>
      </c>
      <c r="E3395">
        <v>0.535632199999999</v>
      </c>
      <c r="F3395" t="s">
        <v>42</v>
      </c>
      <c r="G3395">
        <v>-226.25309999999999</v>
      </c>
      <c r="H3395" s="1">
        <v>-2.3275059999999999E-6</v>
      </c>
      <c r="I3395">
        <v>142.38919999999999</v>
      </c>
      <c r="J3395">
        <v>-204.64699999999999</v>
      </c>
      <c r="K3395">
        <v>1.1008020000000001</v>
      </c>
      <c r="L3395">
        <v>143.19919999999999</v>
      </c>
      <c r="M3395">
        <v>-0.86877380000000004</v>
      </c>
      <c r="N3395">
        <v>0</v>
      </c>
      <c r="O3395">
        <v>-0.4949925</v>
      </c>
      <c r="P3395">
        <v>-0.98489819999999995</v>
      </c>
      <c r="Q3395">
        <v>0.13102179999999999</v>
      </c>
      <c r="R3395">
        <v>-0.1131766</v>
      </c>
      <c r="S3395">
        <v>-3.053604</v>
      </c>
      <c r="T3395">
        <v>-0.15401329999999999</v>
      </c>
      <c r="U3395">
        <v>-0.12908939999999999</v>
      </c>
      <c r="V3395">
        <v>0.39208159999999997</v>
      </c>
      <c r="W3395">
        <v>0.13643529999999901</v>
      </c>
      <c r="X3395">
        <v>0.90975680000000003</v>
      </c>
      <c r="Y3395">
        <v>0.4567484</v>
      </c>
      <c r="Z3395">
        <v>3.550735E-2</v>
      </c>
      <c r="AA3395">
        <v>0.88888699999999998</v>
      </c>
      <c r="AB3395">
        <v>24</v>
      </c>
      <c r="AC3395">
        <v>-21.606099999999898</v>
      </c>
      <c r="AD3395">
        <v>-1.100804327506</v>
      </c>
      <c r="AE3395">
        <v>-0.81000000000000205</v>
      </c>
      <c r="AF3395">
        <v>9.9663882272470694</v>
      </c>
      <c r="AG3395">
        <v>-1.100804327506</v>
      </c>
      <c r="AH3395">
        <v>19.124241509918399</v>
      </c>
      <c r="AI3395">
        <v>92.9221258941283</v>
      </c>
      <c r="AJ3395">
        <v>62.474222453891997</v>
      </c>
      <c r="AK3395">
        <v>21.593454512730201</v>
      </c>
      <c r="AL3395">
        <v>82.158375504494302</v>
      </c>
      <c r="AM3395">
        <v>66.685210250563799</v>
      </c>
      <c r="AN3395">
        <v>1.0000000036454399</v>
      </c>
    </row>
    <row r="3396" spans="1:40" x14ac:dyDescent="0.25">
      <c r="A3396" t="str">
        <f>"20190312164538725"</f>
        <v>20190312164538725</v>
      </c>
      <c r="B3396" t="str">
        <f>"1552380338715472"</f>
        <v>1552380338715472</v>
      </c>
      <c r="C3396" t="s">
        <v>40</v>
      </c>
      <c r="D3396">
        <v>5.0348240000000004</v>
      </c>
      <c r="E3396">
        <v>0.53535889999999997</v>
      </c>
      <c r="F3396" t="s">
        <v>42</v>
      </c>
      <c r="G3396">
        <v>-226.61539999999999</v>
      </c>
      <c r="H3396" s="1">
        <v>-2.1875140000000002E-6</v>
      </c>
      <c r="I3396">
        <v>142.44710000000001</v>
      </c>
      <c r="J3396">
        <v>-204.87729999999999</v>
      </c>
      <c r="K3396">
        <v>1.1007990000000001</v>
      </c>
      <c r="L3396">
        <v>143.0847</v>
      </c>
      <c r="M3396">
        <v>-0.87511740000000005</v>
      </c>
      <c r="N3396">
        <v>0</v>
      </c>
      <c r="O3396">
        <v>-0.48368909999999998</v>
      </c>
      <c r="P3396">
        <v>-0.98594729999999997</v>
      </c>
      <c r="Q3396">
        <v>0.1301928</v>
      </c>
      <c r="R3396">
        <v>-0.1046812</v>
      </c>
      <c r="S3396">
        <v>-3.0543520000000002</v>
      </c>
      <c r="T3396">
        <v>-0.15304960000000001</v>
      </c>
      <c r="U3396">
        <v>-0.1045532</v>
      </c>
      <c r="V3396">
        <v>0.38815949999999999</v>
      </c>
      <c r="W3396">
        <v>0.1357101</v>
      </c>
      <c r="X3396">
        <v>0.9115453</v>
      </c>
      <c r="Y3396">
        <v>0.45238810000000002</v>
      </c>
      <c r="Z3396">
        <v>3.468533E-2</v>
      </c>
      <c r="AA3396">
        <v>0.89114640000000001</v>
      </c>
      <c r="AB3396">
        <v>24</v>
      </c>
      <c r="AC3396">
        <v>-21.738099999999999</v>
      </c>
      <c r="AD3396">
        <v>-1.100801187514</v>
      </c>
      <c r="AE3396">
        <v>-0.63759999999999195</v>
      </c>
      <c r="AF3396">
        <v>9.9321272333098296</v>
      </c>
      <c r="AG3396">
        <v>-1.100801187514</v>
      </c>
      <c r="AH3396">
        <v>19.284453060696801</v>
      </c>
      <c r="AI3396">
        <v>92.905106836909695</v>
      </c>
      <c r="AJ3396">
        <v>62.750044010035502</v>
      </c>
      <c r="AK3396">
        <v>21.719784632525801</v>
      </c>
      <c r="AL3396">
        <v>82.200315936312904</v>
      </c>
      <c r="AM3396">
        <v>66.934444151783794</v>
      </c>
      <c r="AN3396">
        <v>0.99999993131717202</v>
      </c>
    </row>
    <row r="3397" spans="1:40" x14ac:dyDescent="0.25">
      <c r="A3397" t="str">
        <f>"20190312164538747"</f>
        <v>20190312164538747</v>
      </c>
      <c r="B3397" t="str">
        <f>"1552380338734992"</f>
        <v>1552380338734992</v>
      </c>
      <c r="C3397" t="s">
        <v>40</v>
      </c>
      <c r="D3397">
        <v>4.9505140000000001</v>
      </c>
      <c r="E3397">
        <v>0.53508290000000003</v>
      </c>
      <c r="F3397" t="s">
        <v>42</v>
      </c>
      <c r="G3397">
        <v>-226.2919</v>
      </c>
      <c r="H3397" s="1">
        <v>-2.346382E-6</v>
      </c>
      <c r="I3397">
        <v>142.52260000000001</v>
      </c>
      <c r="J3397">
        <v>-205.0994</v>
      </c>
      <c r="K3397">
        <v>1.100797</v>
      </c>
      <c r="L3397">
        <v>142.9778</v>
      </c>
      <c r="M3397">
        <v>-0.88107479999999905</v>
      </c>
      <c r="N3397">
        <v>0</v>
      </c>
      <c r="O3397">
        <v>-0.47274969999999999</v>
      </c>
      <c r="P3397">
        <v>-0.98682630000000005</v>
      </c>
      <c r="Q3397">
        <v>0.12912269999999901</v>
      </c>
      <c r="R3397">
        <v>-9.7472879999999998E-2</v>
      </c>
      <c r="S3397">
        <v>-3.0550079999999999</v>
      </c>
      <c r="T3397">
        <v>-0.15704119999999999</v>
      </c>
      <c r="U3397">
        <v>-8.0184939999999996E-2</v>
      </c>
      <c r="V3397">
        <v>0.38349749999999999</v>
      </c>
      <c r="W3397">
        <v>0.1347671</v>
      </c>
      <c r="X3397">
        <v>0.91365609999999997</v>
      </c>
      <c r="Y3397">
        <v>0.44834540000000001</v>
      </c>
      <c r="Z3397">
        <v>3.4992959999999997E-2</v>
      </c>
      <c r="AA3397">
        <v>0.89317519999999995</v>
      </c>
      <c r="AB3397">
        <v>24</v>
      </c>
      <c r="AC3397">
        <v>-21.1924999999999</v>
      </c>
      <c r="AD3397">
        <v>-1.1007993463820001</v>
      </c>
      <c r="AE3397">
        <v>-0.45519999999999</v>
      </c>
      <c r="AF3397">
        <v>9.5928462816840891</v>
      </c>
      <c r="AG3397">
        <v>-1.1007993463820001</v>
      </c>
      <c r="AH3397">
        <v>18.838599036353401</v>
      </c>
      <c r="AI3397">
        <v>92.980753261315002</v>
      </c>
      <c r="AJ3397">
        <v>63.014246091083798</v>
      </c>
      <c r="AK3397">
        <v>21.169016808475298</v>
      </c>
      <c r="AL3397">
        <v>82.254847263687097</v>
      </c>
      <c r="AM3397">
        <v>67.230285838994007</v>
      </c>
      <c r="AN3397">
        <v>0.99999998640793497</v>
      </c>
    </row>
    <row r="3398" spans="1:40" x14ac:dyDescent="0.25">
      <c r="A3398" t="str">
        <f>"20190312164538768"</f>
        <v>20190312164538768</v>
      </c>
      <c r="B3398" t="str">
        <f>"1552380338765249"</f>
        <v>1552380338765249</v>
      </c>
      <c r="C3398" t="s">
        <v>40</v>
      </c>
      <c r="D3398">
        <v>5.1094999999999997</v>
      </c>
      <c r="E3398">
        <v>0.53469339999999999</v>
      </c>
      <c r="F3398" t="s">
        <v>42</v>
      </c>
      <c r="G3398">
        <v>-226.14250000000001</v>
      </c>
      <c r="H3398" s="1">
        <v>-2.421275E-6</v>
      </c>
      <c r="I3398">
        <v>142.5633</v>
      </c>
      <c r="J3398">
        <v>-205.30959999999999</v>
      </c>
      <c r="K3398">
        <v>1.100803</v>
      </c>
      <c r="L3398">
        <v>142.87979999999999</v>
      </c>
      <c r="M3398">
        <v>-0.88656630000000003</v>
      </c>
      <c r="N3398">
        <v>0</v>
      </c>
      <c r="O3398">
        <v>-0.46236929999999998</v>
      </c>
      <c r="P3398">
        <v>-0.98748590000000003</v>
      </c>
      <c r="Q3398">
        <v>0.12820979999999901</v>
      </c>
      <c r="R3398">
        <v>-9.1836050000000002E-2</v>
      </c>
      <c r="S3398">
        <v>-3.0550229999999998</v>
      </c>
      <c r="T3398">
        <v>-0.15981339999999999</v>
      </c>
      <c r="U3398">
        <v>-6.0165410000000002E-2</v>
      </c>
      <c r="V3398">
        <v>0.37800270000000002</v>
      </c>
      <c r="W3398">
        <v>0.13400680000000001</v>
      </c>
      <c r="X3398">
        <v>0.9160547</v>
      </c>
      <c r="Y3398">
        <v>0.44367319999999999</v>
      </c>
      <c r="Z3398">
        <v>3.5012830000000002E-2</v>
      </c>
      <c r="AA3398">
        <v>0.89550439999999998</v>
      </c>
      <c r="AB3398">
        <v>24</v>
      </c>
      <c r="AC3398">
        <v>-20.832899999999999</v>
      </c>
      <c r="AD3398">
        <v>-1.100805421275</v>
      </c>
      <c r="AE3398">
        <v>-0.31649999999999001</v>
      </c>
      <c r="AF3398">
        <v>9.3268648613450793</v>
      </c>
      <c r="AG3398">
        <v>-1.100805421275</v>
      </c>
      <c r="AH3398">
        <v>18.5662611029116</v>
      </c>
      <c r="AI3398">
        <v>93.032760304789306</v>
      </c>
      <c r="AJ3398">
        <v>63.327078763752098</v>
      </c>
      <c r="AK3398">
        <v>20.806446886933699</v>
      </c>
      <c r="AL3398">
        <v>82.298808421363901</v>
      </c>
      <c r="AM3398">
        <v>67.576896931755499</v>
      </c>
      <c r="AN3398">
        <v>1.0000000385228001</v>
      </c>
    </row>
    <row r="3399" spans="1:40" x14ac:dyDescent="0.25">
      <c r="A3399" t="str">
        <f>"20190312164538792"</f>
        <v>20190312164538792</v>
      </c>
      <c r="B3399" t="str">
        <f>"1552380338784769"</f>
        <v>1552380338784769</v>
      </c>
      <c r="C3399" t="s">
        <v>40</v>
      </c>
      <c r="D3399">
        <v>4.9458270000000004</v>
      </c>
      <c r="E3399">
        <v>0.53433850000000005</v>
      </c>
      <c r="F3399" t="s">
        <v>42</v>
      </c>
      <c r="G3399">
        <v>-226.13310000000001</v>
      </c>
      <c r="H3399" s="1">
        <v>-2.4279929999999999E-6</v>
      </c>
      <c r="I3399">
        <v>142.57329999999999</v>
      </c>
      <c r="J3399">
        <v>-205.55680000000001</v>
      </c>
      <c r="K3399">
        <v>1.1008180000000001</v>
      </c>
      <c r="L3399">
        <v>142.76859999999999</v>
      </c>
      <c r="M3399">
        <v>-0.89284159999999901</v>
      </c>
      <c r="N3399">
        <v>0</v>
      </c>
      <c r="O3399">
        <v>-0.45013249999999999</v>
      </c>
      <c r="P3399">
        <v>-0.98810399999999998</v>
      </c>
      <c r="Q3399">
        <v>0.12809989999999999</v>
      </c>
      <c r="R3399">
        <v>-8.5095589999999999E-2</v>
      </c>
      <c r="S3399">
        <v>-3.0547939999999998</v>
      </c>
      <c r="T3399">
        <v>-0.1614872</v>
      </c>
      <c r="U3399">
        <v>-4.4952390000000002E-2</v>
      </c>
      <c r="V3399">
        <v>0.37163420000000003</v>
      </c>
      <c r="W3399">
        <v>0.13407720000000001</v>
      </c>
      <c r="X3399">
        <v>0.91864650000000003</v>
      </c>
      <c r="Y3399">
        <v>0.43579440000000003</v>
      </c>
      <c r="Z3399">
        <v>3.4597900000000001E-2</v>
      </c>
      <c r="AA3399">
        <v>0.89938099999999999</v>
      </c>
      <c r="AB3399">
        <v>24</v>
      </c>
      <c r="AC3399">
        <v>-20.5763</v>
      </c>
      <c r="AD3399">
        <v>-1.1008204279930001</v>
      </c>
      <c r="AE3399">
        <v>-0.195300000000003</v>
      </c>
      <c r="AF3399">
        <v>9.0627277973420295</v>
      </c>
      <c r="AG3399">
        <v>-1.1008204279930001</v>
      </c>
      <c r="AH3399">
        <v>18.4085844696537</v>
      </c>
      <c r="AI3399">
        <v>93.070981856564003</v>
      </c>
      <c r="AJ3399">
        <v>63.788521625557102</v>
      </c>
      <c r="AK3399">
        <v>20.548012627010401</v>
      </c>
      <c r="AL3399">
        <v>82.294738024039503</v>
      </c>
      <c r="AM3399">
        <v>67.974433298277205</v>
      </c>
      <c r="AN3399">
        <v>1.0000000330658601</v>
      </c>
    </row>
    <row r="3400" spans="1:40" x14ac:dyDescent="0.25">
      <c r="A3400" t="str">
        <f>"20190312164538815"</f>
        <v>20190312164538815</v>
      </c>
      <c r="B3400" t="str">
        <f>"1552380338805264"</f>
        <v>1552380338805264</v>
      </c>
      <c r="C3400" t="s">
        <v>40</v>
      </c>
      <c r="D3400">
        <v>5.0865769999999904</v>
      </c>
      <c r="E3400">
        <v>0.53399010000000002</v>
      </c>
      <c r="F3400" t="s">
        <v>42</v>
      </c>
      <c r="G3400">
        <v>-226.48689999999999</v>
      </c>
      <c r="H3400" s="1">
        <v>-2.2827709999999998E-6</v>
      </c>
      <c r="I3400">
        <v>142.59790000000001</v>
      </c>
      <c r="J3400">
        <v>-205.7902</v>
      </c>
      <c r="K3400">
        <v>1.100838</v>
      </c>
      <c r="L3400">
        <v>142.66739999999999</v>
      </c>
      <c r="M3400">
        <v>-0.89858199999999999</v>
      </c>
      <c r="N3400">
        <v>0</v>
      </c>
      <c r="O3400">
        <v>-0.43856050000000002</v>
      </c>
      <c r="P3400">
        <v>-0.98852530000000005</v>
      </c>
      <c r="Q3400">
        <v>0.12811120000000001</v>
      </c>
      <c r="R3400">
        <v>-8.0032690000000004E-2</v>
      </c>
      <c r="S3400">
        <v>-3.0547789999999999</v>
      </c>
      <c r="T3400">
        <v>-0.16066649999999999</v>
      </c>
      <c r="U3400">
        <v>-2.4902339999999999E-2</v>
      </c>
      <c r="V3400">
        <v>0.36444179999999998</v>
      </c>
      <c r="W3400">
        <v>0.13429269999999999</v>
      </c>
      <c r="X3400">
        <v>0.92149199999999998</v>
      </c>
      <c r="Y3400">
        <v>0.43010019999999999</v>
      </c>
      <c r="Z3400">
        <v>3.3729160000000001E-2</v>
      </c>
      <c r="AA3400">
        <v>0.90215089999999998</v>
      </c>
      <c r="AB3400">
        <v>24</v>
      </c>
      <c r="AC3400">
        <v>-20.6967</v>
      </c>
      <c r="AD3400">
        <v>-1.100840282771</v>
      </c>
      <c r="AE3400">
        <v>-6.9499999999976497E-2</v>
      </c>
      <c r="AF3400">
        <v>8.9898404323646499</v>
      </c>
      <c r="AG3400">
        <v>-1.100840282771</v>
      </c>
      <c r="AH3400">
        <v>18.577608511131199</v>
      </c>
      <c r="AI3400">
        <v>93.053225913270694</v>
      </c>
      <c r="AJ3400">
        <v>64.177321145021594</v>
      </c>
      <c r="AK3400">
        <v>20.667767618211801</v>
      </c>
      <c r="AL3400">
        <v>82.282277303508096</v>
      </c>
      <c r="AM3400">
        <v>68.421648452759499</v>
      </c>
      <c r="AN3400">
        <v>0.99999993046226199</v>
      </c>
    </row>
    <row r="3401" spans="1:40" x14ac:dyDescent="0.25">
      <c r="A3401" t="str">
        <f>"20190312164538837"</f>
        <v>20190312164538837</v>
      </c>
      <c r="B3401" t="str">
        <f>"1552380338824788"</f>
        <v>1552380338824788</v>
      </c>
      <c r="C3401" t="s">
        <v>40</v>
      </c>
      <c r="D3401">
        <v>5.055034</v>
      </c>
      <c r="E3401">
        <v>0.53360099999999999</v>
      </c>
      <c r="F3401" t="s">
        <v>42</v>
      </c>
      <c r="G3401">
        <v>-226.78139999999999</v>
      </c>
      <c r="H3401" s="1">
        <v>-2.1568770000000001E-6</v>
      </c>
      <c r="I3401">
        <v>142.59970000000001</v>
      </c>
      <c r="J3401">
        <v>-206.0128</v>
      </c>
      <c r="K3401">
        <v>1.1008599999999999</v>
      </c>
      <c r="L3401">
        <v>142.57399999999899</v>
      </c>
      <c r="M3401">
        <v>-0.90389189999999997</v>
      </c>
      <c r="N3401">
        <v>0</v>
      </c>
      <c r="O3401">
        <v>-0.4275098</v>
      </c>
      <c r="P3401">
        <v>-0.98881280000000005</v>
      </c>
      <c r="Q3401">
        <v>0.12889709999999999</v>
      </c>
      <c r="R3401">
        <v>-7.5065599999999996E-2</v>
      </c>
      <c r="S3401">
        <v>-3.0547789999999999</v>
      </c>
      <c r="T3401">
        <v>-0.16020129999999999</v>
      </c>
      <c r="U3401">
        <v>-9.8419189999999993E-3</v>
      </c>
      <c r="V3401">
        <v>0.35771629999999999</v>
      </c>
      <c r="W3401">
        <v>0.13526839999999901</v>
      </c>
      <c r="X3401">
        <v>0.92398130000000001</v>
      </c>
      <c r="Y3401">
        <v>0.42350159999999998</v>
      </c>
      <c r="Z3401">
        <v>3.2934789999999999E-2</v>
      </c>
      <c r="AA3401">
        <v>0.9052964</v>
      </c>
      <c r="AB3401">
        <v>24</v>
      </c>
      <c r="AC3401">
        <v>-20.7685999999999</v>
      </c>
      <c r="AD3401">
        <v>-1.1008621568769901</v>
      </c>
      <c r="AE3401">
        <v>2.5700000000028901E-2</v>
      </c>
      <c r="AF3401">
        <v>8.8780222497960199</v>
      </c>
      <c r="AG3401">
        <v>-1.1008621568769901</v>
      </c>
      <c r="AH3401">
        <v>18.711026408544001</v>
      </c>
      <c r="AI3401">
        <v>93.042692017406296</v>
      </c>
      <c r="AJ3401">
        <v>64.616559770196005</v>
      </c>
      <c r="AK3401">
        <v>20.739664554122999</v>
      </c>
      <c r="AL3401">
        <v>82.225859301001094</v>
      </c>
      <c r="AM3401">
        <v>68.8362530646274</v>
      </c>
      <c r="AN3401">
        <v>0.99999996703696903</v>
      </c>
    </row>
    <row r="3402" spans="1:40" x14ac:dyDescent="0.25">
      <c r="A3402" t="str">
        <f>"20190312164538858"</f>
        <v>20190312164538858</v>
      </c>
      <c r="B3402" t="str">
        <f>"1552380338855041"</f>
        <v>1552380338855041</v>
      </c>
      <c r="C3402" t="s">
        <v>40</v>
      </c>
      <c r="D3402">
        <v>5.0725920000000002</v>
      </c>
      <c r="E3402">
        <v>0.53303459999999903</v>
      </c>
      <c r="F3402" t="s">
        <v>42</v>
      </c>
      <c r="G3402">
        <v>-227.11170000000001</v>
      </c>
      <c r="H3402" s="1">
        <v>-2.013619E-6</v>
      </c>
      <c r="I3402">
        <v>142.59379999999999</v>
      </c>
      <c r="J3402">
        <v>-206.23349999999999</v>
      </c>
      <c r="K3402">
        <v>1.1008819999999999</v>
      </c>
      <c r="L3402">
        <v>142.4846</v>
      </c>
      <c r="M3402">
        <v>-0.90899269999999999</v>
      </c>
      <c r="N3402">
        <v>0</v>
      </c>
      <c r="O3402">
        <v>-0.4165546</v>
      </c>
      <c r="P3402">
        <v>-0.98904910000000001</v>
      </c>
      <c r="Q3402">
        <v>0.1298667</v>
      </c>
      <c r="R3402">
        <v>-7.0121710000000004E-2</v>
      </c>
      <c r="S3402">
        <v>-3.0549620000000002</v>
      </c>
      <c r="T3402">
        <v>-0.15939690000000001</v>
      </c>
      <c r="U3402">
        <v>2.8686520000000002E-3</v>
      </c>
      <c r="V3402">
        <v>0.35110599999999997</v>
      </c>
      <c r="W3402">
        <v>0.1364253</v>
      </c>
      <c r="X3402">
        <v>0.92634369999999999</v>
      </c>
      <c r="Y3402">
        <v>0.41634660000000001</v>
      </c>
      <c r="Z3402">
        <v>3.2059740000000003E-2</v>
      </c>
      <c r="AA3402">
        <v>0.90864060000000002</v>
      </c>
      <c r="AB3402">
        <v>24</v>
      </c>
      <c r="AC3402">
        <v>-20.8782</v>
      </c>
      <c r="AD3402">
        <v>-1.1008840136189999</v>
      </c>
      <c r="AE3402">
        <v>0.109199999999987</v>
      </c>
      <c r="AF3402">
        <v>8.7727255119595995</v>
      </c>
      <c r="AG3402">
        <v>-1.1008840136189999</v>
      </c>
      <c r="AH3402">
        <v>18.882177495501502</v>
      </c>
      <c r="AI3402">
        <v>93.026681651435695</v>
      </c>
      <c r="AJ3402">
        <v>65.080254700903296</v>
      </c>
      <c r="AK3402">
        <v>20.849683102897501</v>
      </c>
      <c r="AL3402">
        <v>82.158953589910197</v>
      </c>
      <c r="AM3402">
        <v>69.242116191451402</v>
      </c>
      <c r="AN3402">
        <v>0.99999996812288905</v>
      </c>
    </row>
    <row r="3403" spans="1:40" x14ac:dyDescent="0.25">
      <c r="A3403" t="str">
        <f>"20190312164538880"</f>
        <v>20190312164538880</v>
      </c>
      <c r="B3403" t="str">
        <f>"1552380338874560"</f>
        <v>1552380338874560</v>
      </c>
      <c r="C3403" t="s">
        <v>40</v>
      </c>
      <c r="D3403">
        <v>5.0522049999999998</v>
      </c>
      <c r="E3403">
        <v>0.53262670000000001</v>
      </c>
      <c r="F3403" t="s">
        <v>42</v>
      </c>
      <c r="G3403">
        <v>-227.3878</v>
      </c>
      <c r="H3403" s="1">
        <v>-1.886896E-6</v>
      </c>
      <c r="I3403">
        <v>142.5626</v>
      </c>
      <c r="J3403">
        <v>-206.46129999999999</v>
      </c>
      <c r="K3403">
        <v>1.100919</v>
      </c>
      <c r="L3403">
        <v>142.3955</v>
      </c>
      <c r="M3403">
        <v>-0.91408370000000005</v>
      </c>
      <c r="N3403">
        <v>0</v>
      </c>
      <c r="O3403">
        <v>-0.40526099999999998</v>
      </c>
      <c r="P3403">
        <v>-0.98949350000000003</v>
      </c>
      <c r="Q3403">
        <v>0.1303156</v>
      </c>
      <c r="R3403">
        <v>-6.2615519999999994E-2</v>
      </c>
      <c r="S3403">
        <v>-3.0548860000000002</v>
      </c>
      <c r="T3403">
        <v>-0.158978799999999</v>
      </c>
      <c r="U3403">
        <v>1.127625E-2</v>
      </c>
      <c r="V3403">
        <v>0.34661950000000002</v>
      </c>
      <c r="W3403">
        <v>0.13701289999999999</v>
      </c>
      <c r="X3403">
        <v>0.92794529999999997</v>
      </c>
      <c r="Y3403">
        <v>0.40760030000000003</v>
      </c>
      <c r="Z3403">
        <v>3.1207909999999998E-2</v>
      </c>
      <c r="AA3403">
        <v>0.91262699999999997</v>
      </c>
      <c r="AB3403">
        <v>24</v>
      </c>
      <c r="AC3403">
        <v>-20.926500000000001</v>
      </c>
      <c r="AD3403">
        <v>-1.1009208868960001</v>
      </c>
      <c r="AE3403">
        <v>0.167100000000004</v>
      </c>
      <c r="AF3403">
        <v>8.6105339804301302</v>
      </c>
      <c r="AG3403">
        <v>-1.1009208868960001</v>
      </c>
      <c r="AH3403">
        <v>19.010286730276199</v>
      </c>
      <c r="AI3403">
        <v>93.019716591296898</v>
      </c>
      <c r="AJ3403">
        <v>65.632289305655306</v>
      </c>
      <c r="AK3403">
        <v>20.898428739851798</v>
      </c>
      <c r="AL3403">
        <v>82.124968072072093</v>
      </c>
      <c r="AM3403">
        <v>69.517609631747007</v>
      </c>
      <c r="AN3403">
        <v>1.0000000461693701</v>
      </c>
    </row>
    <row r="3404" spans="1:40" x14ac:dyDescent="0.25">
      <c r="A3404" t="str">
        <f>"20190312164538904"</f>
        <v>20190312164538904</v>
      </c>
      <c r="B3404" t="str">
        <f>"1552380338895057"</f>
        <v>1552380338895057</v>
      </c>
      <c r="C3404" t="s">
        <v>40</v>
      </c>
      <c r="D3404">
        <v>5.3461670000000003</v>
      </c>
      <c r="E3404">
        <v>0.53228260000000005</v>
      </c>
      <c r="F3404" t="s">
        <v>42</v>
      </c>
      <c r="G3404">
        <v>-227.6326</v>
      </c>
      <c r="H3404" s="1">
        <v>-1.7935920000000001E-6</v>
      </c>
      <c r="I3404">
        <v>142.60679999999999</v>
      </c>
      <c r="J3404">
        <v>-206.71039999999999</v>
      </c>
      <c r="K3404">
        <v>1.1009709999999999</v>
      </c>
      <c r="L3404">
        <v>142.30170000000001</v>
      </c>
      <c r="M3404">
        <v>-0.91943949999999997</v>
      </c>
      <c r="N3404">
        <v>0</v>
      </c>
      <c r="O3404">
        <v>-0.39295869999999999</v>
      </c>
      <c r="P3404">
        <v>-0.98976730000000002</v>
      </c>
      <c r="Q3404">
        <v>0.13033210000000001</v>
      </c>
      <c r="R3404">
        <v>-5.8090599999999902E-2</v>
      </c>
      <c r="S3404">
        <v>-3.0547029999999999</v>
      </c>
      <c r="T3404">
        <v>-0.1588466</v>
      </c>
      <c r="U3404">
        <v>3.048706E-2</v>
      </c>
      <c r="V3404">
        <v>0.33836339999999998</v>
      </c>
      <c r="W3404">
        <v>0.13727510000000001</v>
      </c>
      <c r="X3404">
        <v>0.93094889999999997</v>
      </c>
      <c r="Y3404">
        <v>0.40110649999999998</v>
      </c>
      <c r="Z3404">
        <v>3.0425319999999999E-2</v>
      </c>
      <c r="AA3404">
        <v>0.91552599999999995</v>
      </c>
      <c r="AB3404">
        <v>24</v>
      </c>
      <c r="AC3404">
        <v>-20.9222</v>
      </c>
      <c r="AD3404">
        <v>-1.100972793592</v>
      </c>
      <c r="AE3404">
        <v>0.305099999999981</v>
      </c>
      <c r="AF3404">
        <v>8.4795177231673406</v>
      </c>
      <c r="AG3404">
        <v>-1.100972793592</v>
      </c>
      <c r="AH3404">
        <v>19.066071076356799</v>
      </c>
      <c r="AI3404">
        <v>93.020256766503294</v>
      </c>
      <c r="AJ3404">
        <v>66.023187910134098</v>
      </c>
      <c r="AK3404">
        <v>20.895679653900501</v>
      </c>
      <c r="AL3404">
        <v>82.109801837499006</v>
      </c>
      <c r="AM3404">
        <v>70.025779991303395</v>
      </c>
      <c r="AN3404">
        <v>1.00000004897538</v>
      </c>
    </row>
    <row r="3405" spans="1:40" x14ac:dyDescent="0.25">
      <c r="A3405" t="str">
        <f>"20190312164538925"</f>
        <v>20190312164538925</v>
      </c>
      <c r="B3405" t="str">
        <f>"1552380338914576"</f>
        <v>1552380338914576</v>
      </c>
      <c r="C3405" t="s">
        <v>40</v>
      </c>
      <c r="D3405">
        <v>5.2338290000000001</v>
      </c>
      <c r="E3405">
        <v>0.53191119999999903</v>
      </c>
      <c r="F3405" t="s">
        <v>42</v>
      </c>
      <c r="G3405">
        <v>-227.9759</v>
      </c>
      <c r="H3405" s="1">
        <v>-1.6451280000000001E-6</v>
      </c>
      <c r="I3405">
        <v>142.60220000000001</v>
      </c>
      <c r="J3405">
        <v>-206.92779999999999</v>
      </c>
      <c r="K3405">
        <v>1.101038</v>
      </c>
      <c r="L3405">
        <v>142.22290000000001</v>
      </c>
      <c r="M3405">
        <v>-0.92392779999999997</v>
      </c>
      <c r="N3405">
        <v>0</v>
      </c>
      <c r="O3405">
        <v>-0.38228649999999997</v>
      </c>
      <c r="P3405">
        <v>-0.99004510000000001</v>
      </c>
      <c r="Q3405">
        <v>0.1296677</v>
      </c>
      <c r="R3405">
        <v>-5.4745910000000002E-2</v>
      </c>
      <c r="S3405">
        <v>-3.0543670000000001</v>
      </c>
      <c r="T3405">
        <v>-0.15813269999999999</v>
      </c>
      <c r="U3405">
        <v>4.3167110000000002E-2</v>
      </c>
      <c r="V3405">
        <v>0.33070179999999999</v>
      </c>
      <c r="W3405">
        <v>0.136849</v>
      </c>
      <c r="X3405">
        <v>0.93376049999999999</v>
      </c>
      <c r="Y3405">
        <v>0.39432610000000001</v>
      </c>
      <c r="Z3405">
        <v>2.960277E-2</v>
      </c>
      <c r="AA3405">
        <v>0.91849369999999997</v>
      </c>
      <c r="AB3405">
        <v>24</v>
      </c>
      <c r="AC3405">
        <v>-21.048100000000002</v>
      </c>
      <c r="AD3405">
        <v>-1.101039645128</v>
      </c>
      <c r="AE3405">
        <v>0.37930000000000003</v>
      </c>
      <c r="AF3405">
        <v>8.3748412977144007</v>
      </c>
      <c r="AG3405">
        <v>-1.101039645128</v>
      </c>
      <c r="AH3405">
        <v>19.251331155888099</v>
      </c>
      <c r="AI3405">
        <v>93.002139580168105</v>
      </c>
      <c r="AJ3405">
        <v>66.489677825307396</v>
      </c>
      <c r="AK3405">
        <v>21.022940002190801</v>
      </c>
      <c r="AL3405">
        <v>82.134447783828904</v>
      </c>
      <c r="AM3405">
        <v>70.4978264861752</v>
      </c>
      <c r="AN3405">
        <v>1.00000000034224</v>
      </c>
    </row>
    <row r="3406" spans="1:40" x14ac:dyDescent="0.25">
      <c r="A3406" t="str">
        <f>"20190312164538946"</f>
        <v>20190312164538946</v>
      </c>
      <c r="B3406" t="str">
        <f>"1552380338935072"</f>
        <v>1552380338935072</v>
      </c>
      <c r="C3406" t="s">
        <v>40</v>
      </c>
      <c r="D3406">
        <v>5.1555580000000001</v>
      </c>
      <c r="E3406">
        <v>0.53159389999999995</v>
      </c>
      <c r="F3406" t="s">
        <v>42</v>
      </c>
      <c r="G3406">
        <v>-227.81460000000001</v>
      </c>
      <c r="H3406" s="1">
        <v>-1.7053499999999999E-6</v>
      </c>
      <c r="I3406">
        <v>142.5685</v>
      </c>
      <c r="J3406">
        <v>-207.15129999999999</v>
      </c>
      <c r="K3406">
        <v>1.1011310000000001</v>
      </c>
      <c r="L3406">
        <v>142.1447</v>
      </c>
      <c r="M3406">
        <v>-0.92835219999999896</v>
      </c>
      <c r="N3406">
        <v>0</v>
      </c>
      <c r="O3406">
        <v>-0.37141360000000001</v>
      </c>
      <c r="P3406">
        <v>-0.99034480000000003</v>
      </c>
      <c r="Q3406">
        <v>0.1290702</v>
      </c>
      <c r="R3406">
        <v>-5.0579560000000003E-2</v>
      </c>
      <c r="S3406">
        <v>-3.0540310000000002</v>
      </c>
      <c r="T3406">
        <v>-0.16099179999999999</v>
      </c>
      <c r="U3406">
        <v>5.0537110000000003E-2</v>
      </c>
      <c r="V3406">
        <v>0.32363059999999899</v>
      </c>
      <c r="W3406">
        <v>0.13649</v>
      </c>
      <c r="X3406">
        <v>0.93628719999999999</v>
      </c>
      <c r="Y3406">
        <v>0.38573069999999998</v>
      </c>
      <c r="Z3406">
        <v>2.9376940000000001E-2</v>
      </c>
      <c r="AA3406">
        <v>0.92214359999999995</v>
      </c>
      <c r="AB3406">
        <v>24</v>
      </c>
      <c r="AC3406">
        <v>-20.6633</v>
      </c>
      <c r="AD3406">
        <v>-1.10113270535</v>
      </c>
      <c r="AE3406">
        <v>0.42380000000000001</v>
      </c>
      <c r="AF3406">
        <v>8.04609097969559</v>
      </c>
      <c r="AG3406">
        <v>-1.10113270535</v>
      </c>
      <c r="AH3406">
        <v>18.973594626562601</v>
      </c>
      <c r="AI3406">
        <v>93.058366746405795</v>
      </c>
      <c r="AJ3406">
        <v>67.019761724993799</v>
      </c>
      <c r="AK3406">
        <v>20.638540799713901</v>
      </c>
      <c r="AL3406">
        <v>82.155211825728102</v>
      </c>
      <c r="AM3406">
        <v>70.932131202303196</v>
      </c>
      <c r="AN3406">
        <v>1.0000000031201</v>
      </c>
    </row>
    <row r="3407" spans="1:40" x14ac:dyDescent="0.25">
      <c r="A3407" t="str">
        <f>"20190312164538969"</f>
        <v>20190312164538969</v>
      </c>
      <c r="B3407" t="str">
        <f>"1552380338965396"</f>
        <v>1552380338965396</v>
      </c>
      <c r="C3407" t="s">
        <v>40</v>
      </c>
      <c r="D3407">
        <v>4.9622699999999904</v>
      </c>
      <c r="E3407">
        <v>0.53102989999999906</v>
      </c>
      <c r="F3407" t="s">
        <v>42</v>
      </c>
      <c r="G3407">
        <v>-227.63329999999999</v>
      </c>
      <c r="H3407" s="1">
        <v>-1.7756570000000001E-6</v>
      </c>
      <c r="I3407">
        <v>142.5403</v>
      </c>
      <c r="J3407">
        <v>-207.3759</v>
      </c>
      <c r="K3407">
        <v>1.1012630000000001</v>
      </c>
      <c r="L3407">
        <v>142.06890000000001</v>
      </c>
      <c r="M3407">
        <v>-0.93259329999999996</v>
      </c>
      <c r="N3407">
        <v>0</v>
      </c>
      <c r="O3407">
        <v>-0.3606335</v>
      </c>
      <c r="P3407">
        <v>-0.99072959999999999</v>
      </c>
      <c r="Q3407">
        <v>0.12771189999999999</v>
      </c>
      <c r="R3407">
        <v>-4.6307870000000001E-2</v>
      </c>
      <c r="S3407">
        <v>-3.0536650000000001</v>
      </c>
      <c r="T3407">
        <v>-0.164168799999999</v>
      </c>
      <c r="U3407">
        <v>5.8990479999999998E-2</v>
      </c>
      <c r="V3407">
        <v>0.31679249999999998</v>
      </c>
      <c r="W3407">
        <v>0.13538220000000001</v>
      </c>
      <c r="X3407">
        <v>0.93878329999999999</v>
      </c>
      <c r="Y3407">
        <v>0.37756960000000001</v>
      </c>
      <c r="Z3407">
        <v>2.9194680000000001E-2</v>
      </c>
      <c r="AA3407">
        <v>0.92552089999999998</v>
      </c>
      <c r="AB3407">
        <v>24</v>
      </c>
      <c r="AC3407">
        <v>-20.257399999999901</v>
      </c>
      <c r="AD3407">
        <v>-1.101264775657</v>
      </c>
      <c r="AE3407">
        <v>0.471399999999988</v>
      </c>
      <c r="AF3407">
        <v>7.7231347767736196</v>
      </c>
      <c r="AG3407">
        <v>-1.101264775657</v>
      </c>
      <c r="AH3407">
        <v>18.668765318569299</v>
      </c>
      <c r="AI3407">
        <v>93.120070912067703</v>
      </c>
      <c r="AJ3407">
        <v>67.525470008598404</v>
      </c>
      <c r="AK3407">
        <v>20.233200275935801</v>
      </c>
      <c r="AL3407">
        <v>82.219278421319601</v>
      </c>
      <c r="AM3407">
        <v>71.353028993018796</v>
      </c>
      <c r="AN3407">
        <v>0.99999995624598903</v>
      </c>
    </row>
    <row r="3408" spans="1:40" x14ac:dyDescent="0.25">
      <c r="A3408" t="str">
        <f>"20190312164538996"</f>
        <v>20190312164538996</v>
      </c>
      <c r="B3408" t="str">
        <f>"1552380338984916"</f>
        <v>1552380338984916</v>
      </c>
      <c r="C3408" t="s">
        <v>40</v>
      </c>
      <c r="D3408">
        <v>5.1009039999999999</v>
      </c>
      <c r="E3408">
        <v>0.53068329999999997</v>
      </c>
      <c r="F3408" t="s">
        <v>42</v>
      </c>
      <c r="G3408">
        <v>-227.1986</v>
      </c>
      <c r="H3408" s="1">
        <v>-1.9495870000000002E-6</v>
      </c>
      <c r="I3408">
        <v>142.4932</v>
      </c>
      <c r="J3408">
        <v>-207.65719999999999</v>
      </c>
      <c r="K3408">
        <v>1.101477</v>
      </c>
      <c r="L3408">
        <v>141.97799999999901</v>
      </c>
      <c r="M3408">
        <v>-0.93758649999999999</v>
      </c>
      <c r="N3408">
        <v>0</v>
      </c>
      <c r="O3408">
        <v>-0.34744730000000001</v>
      </c>
      <c r="P3408">
        <v>-0.99120989999999998</v>
      </c>
      <c r="Q3408">
        <v>0.12595209999999901</v>
      </c>
      <c r="R3408">
        <v>-4.0492510000000002E-2</v>
      </c>
      <c r="S3408">
        <v>-3.0530089999999999</v>
      </c>
      <c r="T3408">
        <v>-0.1696126</v>
      </c>
      <c r="U3408">
        <v>6.536865E-2</v>
      </c>
      <c r="V3408">
        <v>0.30901129999999999</v>
      </c>
      <c r="W3408">
        <v>0.13394159999999999</v>
      </c>
      <c r="X3408">
        <v>0.94157930000000001</v>
      </c>
      <c r="Y3408">
        <v>0.36639179999999999</v>
      </c>
      <c r="Z3408">
        <v>2.9163890000000001E-2</v>
      </c>
      <c r="AA3408">
        <v>0.93000349999999998</v>
      </c>
      <c r="AB3408">
        <v>24</v>
      </c>
      <c r="AC3408">
        <v>-19.541399999999999</v>
      </c>
      <c r="AD3408">
        <v>-1.1014789495870001</v>
      </c>
      <c r="AE3408">
        <v>0.51520000000002097</v>
      </c>
      <c r="AF3408">
        <v>7.2504022059740798</v>
      </c>
      <c r="AG3408">
        <v>-1.1014789495870001</v>
      </c>
      <c r="AH3408">
        <v>18.087244359374498</v>
      </c>
      <c r="AI3408">
        <v>93.235244103116699</v>
      </c>
      <c r="AJ3408">
        <v>68.156263218909601</v>
      </c>
      <c r="AK3408">
        <v>19.5174280206307</v>
      </c>
      <c r="AL3408">
        <v>82.3025774586838</v>
      </c>
      <c r="AM3408">
        <v>71.830989512731406</v>
      </c>
      <c r="AN3408">
        <v>0.99999995696336896</v>
      </c>
    </row>
    <row r="3409" spans="1:40" x14ac:dyDescent="0.25">
      <c r="A3409" t="str">
        <f>"20190312164539018"</f>
        <v>20190312164539018</v>
      </c>
      <c r="B3409" t="str">
        <f>"1552380339005412"</f>
        <v>1552380339005412</v>
      </c>
      <c r="C3409" t="s">
        <v>40</v>
      </c>
      <c r="D3409">
        <v>5.116282</v>
      </c>
      <c r="E3409">
        <v>0.53030809999999995</v>
      </c>
      <c r="F3409" t="s">
        <v>42</v>
      </c>
      <c r="G3409">
        <v>-226.81360000000001</v>
      </c>
      <c r="H3409" s="1">
        <v>-2.1127760000000001E-6</v>
      </c>
      <c r="I3409">
        <v>142.48589999999999</v>
      </c>
      <c r="J3409">
        <v>-207.87860000000001</v>
      </c>
      <c r="K3409">
        <v>1.1016629999999901</v>
      </c>
      <c r="L3409">
        <v>141.90899999999999</v>
      </c>
      <c r="M3409">
        <v>-0.94128909999999999</v>
      </c>
      <c r="N3409">
        <v>0</v>
      </c>
      <c r="O3409">
        <v>-0.33728909999999901</v>
      </c>
      <c r="P3409">
        <v>-0.99162119999999998</v>
      </c>
      <c r="Q3409">
        <v>0.1234188</v>
      </c>
      <c r="R3409">
        <v>-3.8150150000000001E-2</v>
      </c>
      <c r="S3409">
        <v>-3.052216</v>
      </c>
      <c r="T3409">
        <v>-0.1754994</v>
      </c>
      <c r="U3409">
        <v>8.0932619999999997E-2</v>
      </c>
      <c r="V3409">
        <v>0.30102679999999998</v>
      </c>
      <c r="W3409">
        <v>0.13170760000000001</v>
      </c>
      <c r="X3409">
        <v>0.9444766</v>
      </c>
      <c r="Y3409">
        <v>0.36102089999999998</v>
      </c>
      <c r="Z3409">
        <v>2.9474179999999999E-2</v>
      </c>
      <c r="AA3409">
        <v>0.93209180000000003</v>
      </c>
      <c r="AB3409">
        <v>24</v>
      </c>
      <c r="AC3409">
        <v>-18.934999999999999</v>
      </c>
      <c r="AD3409">
        <v>-1.10166511277599</v>
      </c>
      <c r="AE3409">
        <v>0.57689999999999397</v>
      </c>
      <c r="AF3409">
        <v>6.9069706631550698</v>
      </c>
      <c r="AG3409">
        <v>-1.10166511277599</v>
      </c>
      <c r="AH3409">
        <v>17.571161633898701</v>
      </c>
      <c r="AI3409">
        <v>93.339485371547994</v>
      </c>
      <c r="AJ3409">
        <v>68.540924889707497</v>
      </c>
      <c r="AK3409">
        <v>18.912049886963299</v>
      </c>
      <c r="AL3409">
        <v>82.431721138727596</v>
      </c>
      <c r="AM3409">
        <v>72.321702159008296</v>
      </c>
      <c r="AN3409">
        <v>1.0000000370817701</v>
      </c>
    </row>
    <row r="3410" spans="1:40" x14ac:dyDescent="0.25">
      <c r="A3410" t="str">
        <f>"20190312164539038"</f>
        <v>20190312164539038</v>
      </c>
      <c r="B3410" t="str">
        <f>"1552380339024932"</f>
        <v>1552380339024932</v>
      </c>
      <c r="C3410" t="s">
        <v>40</v>
      </c>
      <c r="D3410">
        <v>5.09511</v>
      </c>
      <c r="E3410">
        <v>0.52996529999999997</v>
      </c>
      <c r="F3410" t="s">
        <v>42</v>
      </c>
      <c r="G3410">
        <v>-226.21639999999999</v>
      </c>
      <c r="H3410" s="1">
        <v>-2.355634E-6</v>
      </c>
      <c r="I3410">
        <v>142.4357</v>
      </c>
      <c r="J3410">
        <v>-208.1061</v>
      </c>
      <c r="K3410">
        <v>1.1018520000000001</v>
      </c>
      <c r="L3410">
        <v>141.84059999999999</v>
      </c>
      <c r="M3410">
        <v>-0.94488919999999998</v>
      </c>
      <c r="N3410">
        <v>0</v>
      </c>
      <c r="O3410">
        <v>-0.32706950000000001</v>
      </c>
      <c r="P3410">
        <v>-0.99208739999999995</v>
      </c>
      <c r="Q3410">
        <v>0.12070930000000001</v>
      </c>
      <c r="R3410">
        <v>-3.452471E-2</v>
      </c>
      <c r="S3410">
        <v>-3.0515140000000001</v>
      </c>
      <c r="T3410">
        <v>-0.18332300000000001</v>
      </c>
      <c r="U3410">
        <v>8.7661740000000002E-2</v>
      </c>
      <c r="V3410">
        <v>0.29422169999999997</v>
      </c>
      <c r="W3410">
        <v>0.12926389999999999</v>
      </c>
      <c r="X3410">
        <v>0.9469554</v>
      </c>
      <c r="Y3410">
        <v>0.35289350000000003</v>
      </c>
      <c r="Z3410">
        <v>2.9963119999999999E-2</v>
      </c>
      <c r="AA3410">
        <v>0.9351836</v>
      </c>
      <c r="AB3410">
        <v>24</v>
      </c>
      <c r="AC3410">
        <v>-18.110299999999899</v>
      </c>
      <c r="AD3410">
        <v>-1.1018543556339999</v>
      </c>
      <c r="AE3410">
        <v>0.59510000000000196</v>
      </c>
      <c r="AF3410">
        <v>6.46241534484429</v>
      </c>
      <c r="AG3410">
        <v>-1.1018543556339999</v>
      </c>
      <c r="AH3410">
        <v>16.857032174079201</v>
      </c>
      <c r="AI3410">
        <v>93.492620236806999</v>
      </c>
      <c r="AJ3410">
        <v>69.0248677690997</v>
      </c>
      <c r="AK3410">
        <v>18.086913192367799</v>
      </c>
      <c r="AL3410">
        <v>82.572942356555998</v>
      </c>
      <c r="AM3410">
        <v>72.739833753628702</v>
      </c>
      <c r="AN3410">
        <v>1.0000000470916199</v>
      </c>
    </row>
    <row r="3411" spans="1:40" x14ac:dyDescent="0.25">
      <c r="A3411" t="str">
        <f>"20190312164539060"</f>
        <v>20190312164539060</v>
      </c>
      <c r="B3411" t="str">
        <f>"1552380339055192"</f>
        <v>1552380339055192</v>
      </c>
      <c r="C3411" t="s">
        <v>40</v>
      </c>
      <c r="D3411">
        <v>5.042205</v>
      </c>
      <c r="E3411">
        <v>0.52945509999999996</v>
      </c>
      <c r="F3411" t="s">
        <v>42</v>
      </c>
      <c r="G3411">
        <v>-225.6182</v>
      </c>
      <c r="H3411" s="1">
        <v>-2.6013879999999999E-6</v>
      </c>
      <c r="I3411">
        <v>142.3948</v>
      </c>
      <c r="J3411">
        <v>-208.32429999999999</v>
      </c>
      <c r="K3411">
        <v>1.1020350000000001</v>
      </c>
      <c r="L3411">
        <v>141.77719999999999</v>
      </c>
      <c r="M3411">
        <v>-0.94814520000000002</v>
      </c>
      <c r="N3411">
        <v>0</v>
      </c>
      <c r="O3411">
        <v>-0.31750889999999998</v>
      </c>
      <c r="P3411">
        <v>-0.99241950000000001</v>
      </c>
      <c r="Q3411">
        <v>0.11880209999999999</v>
      </c>
      <c r="R3411">
        <v>-3.1460780000000001E-2</v>
      </c>
      <c r="S3411">
        <v>-3.0506440000000001</v>
      </c>
      <c r="T3411">
        <v>-0.19194639999999999</v>
      </c>
      <c r="U3411">
        <v>9.6557619999999997E-2</v>
      </c>
      <c r="V3411">
        <v>0.2875412</v>
      </c>
      <c r="W3411">
        <v>0.12760589999999999</v>
      </c>
      <c r="X3411">
        <v>0.94922960000000001</v>
      </c>
      <c r="Y3411">
        <v>0.346084</v>
      </c>
      <c r="Z3411">
        <v>3.0589120000000001E-2</v>
      </c>
      <c r="AA3411">
        <v>0.93770469999999895</v>
      </c>
      <c r="AB3411">
        <v>24</v>
      </c>
      <c r="AC3411">
        <v>-17.293900000000001</v>
      </c>
      <c r="AD3411">
        <v>-1.102037601388</v>
      </c>
      <c r="AE3411">
        <v>0.61760000000001003</v>
      </c>
      <c r="AF3411">
        <v>6.0526291184821099</v>
      </c>
      <c r="AG3411">
        <v>-1.102037601388</v>
      </c>
      <c r="AH3411">
        <v>16.137280156091599</v>
      </c>
      <c r="AI3411">
        <v>93.658611239078795</v>
      </c>
      <c r="AJ3411">
        <v>69.440378085255304</v>
      </c>
      <c r="AK3411">
        <v>17.2702234194279</v>
      </c>
      <c r="AL3411">
        <v>82.668731906006101</v>
      </c>
      <c r="AM3411">
        <v>73.147358287248096</v>
      </c>
      <c r="AN3411">
        <v>1.0000000204641999</v>
      </c>
    </row>
    <row r="3412" spans="1:40" x14ac:dyDescent="0.25">
      <c r="A3412" t="str">
        <f>"20190312164539081"</f>
        <v>20190312164539081</v>
      </c>
      <c r="B3412" t="str">
        <f>"1552380339074712"</f>
        <v>1552380339074712</v>
      </c>
      <c r="C3412" t="s">
        <v>40</v>
      </c>
      <c r="D3412">
        <v>5.1974489999999998</v>
      </c>
      <c r="E3412">
        <v>0.52917550000000002</v>
      </c>
      <c r="F3412" t="s">
        <v>42</v>
      </c>
      <c r="G3412">
        <v>-225.2321</v>
      </c>
      <c r="H3412" s="1">
        <v>-2.7503659999999999E-6</v>
      </c>
      <c r="I3412">
        <v>142.3322</v>
      </c>
      <c r="J3412">
        <v>-208.5641</v>
      </c>
      <c r="K3412">
        <v>1.10225</v>
      </c>
      <c r="L3412">
        <v>141.7099</v>
      </c>
      <c r="M3412">
        <v>-0.95150659999999998</v>
      </c>
      <c r="N3412">
        <v>0</v>
      </c>
      <c r="O3412">
        <v>-0.30729129999999999</v>
      </c>
      <c r="P3412">
        <v>-0.99264379999999997</v>
      </c>
      <c r="Q3412">
        <v>0.1176104</v>
      </c>
      <c r="R3412">
        <v>-2.8749150000000001E-2</v>
      </c>
      <c r="S3412">
        <v>-3.0498810000000001</v>
      </c>
      <c r="T3412">
        <v>-0.19878970000000001</v>
      </c>
      <c r="U3412">
        <v>0.1001282</v>
      </c>
      <c r="V3412">
        <v>0.27985700000000002</v>
      </c>
      <c r="W3412">
        <v>0.12668550000000001</v>
      </c>
      <c r="X3412">
        <v>0.9516464</v>
      </c>
      <c r="Y3412">
        <v>0.33702919999999997</v>
      </c>
      <c r="Z3412">
        <v>3.0750639999999999E-2</v>
      </c>
      <c r="AA3412">
        <v>0.94099189999999999</v>
      </c>
      <c r="AB3412">
        <v>24</v>
      </c>
      <c r="AC3412">
        <v>-16.667999999999999</v>
      </c>
      <c r="AD3412">
        <v>-1.102252750366</v>
      </c>
      <c r="AE3412">
        <v>0.62229999999999497</v>
      </c>
      <c r="AF3412">
        <v>5.6897983830562602</v>
      </c>
      <c r="AG3412">
        <v>-1.102252750366</v>
      </c>
      <c r="AH3412">
        <v>15.6019735511361</v>
      </c>
      <c r="AI3412">
        <v>93.797290375636507</v>
      </c>
      <c r="AJ3412">
        <v>69.963869643839601</v>
      </c>
      <c r="AK3412">
        <v>16.6436277732912</v>
      </c>
      <c r="AL3412">
        <v>82.721898388232106</v>
      </c>
      <c r="AM3412">
        <v>73.612620814629693</v>
      </c>
      <c r="AN3412">
        <v>1.0000000134961</v>
      </c>
    </row>
    <row r="3413" spans="1:40" x14ac:dyDescent="0.25">
      <c r="A3413" t="str">
        <f>"20190312164539103"</f>
        <v>20190312164539103</v>
      </c>
      <c r="B3413" t="str">
        <f>"1552380339095209"</f>
        <v>1552380339095209</v>
      </c>
      <c r="C3413" t="s">
        <v>40</v>
      </c>
      <c r="D3413">
        <v>5.1788919999999896</v>
      </c>
      <c r="E3413">
        <v>0.50386299999999995</v>
      </c>
      <c r="F3413" t="s">
        <v>42</v>
      </c>
      <c r="G3413">
        <v>-225.12139999999999</v>
      </c>
      <c r="H3413" s="1">
        <v>-2.7859610000000001E-6</v>
      </c>
      <c r="I3413">
        <v>142.28749999999999</v>
      </c>
      <c r="J3413">
        <v>-208.7963</v>
      </c>
      <c r="K3413">
        <v>1.102473</v>
      </c>
      <c r="L3413">
        <v>141.64699999999999</v>
      </c>
      <c r="M3413">
        <v>-0.95455279999999998</v>
      </c>
      <c r="N3413">
        <v>0</v>
      </c>
      <c r="O3413">
        <v>-0.29769570000000001</v>
      </c>
      <c r="P3413">
        <v>-0.99280389999999996</v>
      </c>
      <c r="Q3413">
        <v>0.1165938</v>
      </c>
      <c r="R3413">
        <v>-2.732381E-2</v>
      </c>
      <c r="S3413">
        <v>-3.0493769999999998</v>
      </c>
      <c r="T3413">
        <v>-0.20300380000000001</v>
      </c>
      <c r="U3413">
        <v>0.10639949999999999</v>
      </c>
      <c r="V3413">
        <v>0.27156839999999999</v>
      </c>
      <c r="W3413">
        <v>0.12594240000000001</v>
      </c>
      <c r="X3413">
        <v>0.95414310000000002</v>
      </c>
      <c r="Y3413">
        <v>0.32946009999999998</v>
      </c>
      <c r="Z3413">
        <v>3.0539259999999999E-2</v>
      </c>
      <c r="AA3413">
        <v>0.9436755</v>
      </c>
      <c r="AB3413">
        <v>24</v>
      </c>
      <c r="AC3413">
        <v>-16.3250999999999</v>
      </c>
      <c r="AD3413">
        <v>-1.1024757859609999</v>
      </c>
      <c r="AE3413">
        <v>0.64049999999997398</v>
      </c>
      <c r="AF3413">
        <v>5.4470634296544498</v>
      </c>
      <c r="AG3413">
        <v>-1.1024757859609999</v>
      </c>
      <c r="AH3413">
        <v>15.3243018923503</v>
      </c>
      <c r="AI3413">
        <v>93.878029149502495</v>
      </c>
      <c r="AJ3413">
        <v>70.432109624728199</v>
      </c>
      <c r="AK3413">
        <v>16.300925782089799</v>
      </c>
      <c r="AL3413">
        <v>82.764818341259897</v>
      </c>
      <c r="AM3413">
        <v>74.112576268447498</v>
      </c>
      <c r="AN3413">
        <v>0.99999996963696403</v>
      </c>
    </row>
    <row r="3414" spans="1:40" x14ac:dyDescent="0.25">
      <c r="A3414" t="str">
        <f>"20190312164539127"</f>
        <v>20190312164539127</v>
      </c>
      <c r="B3414" t="str">
        <f>"1552380339114732"</f>
        <v>1552380339114732</v>
      </c>
      <c r="C3414" t="s">
        <v>40</v>
      </c>
      <c r="D3414">
        <v>5.1595319999999996</v>
      </c>
      <c r="E3414">
        <v>0.49995539999999999</v>
      </c>
      <c r="F3414" t="s">
        <v>42</v>
      </c>
      <c r="G3414">
        <v>-223.5797</v>
      </c>
      <c r="H3414" s="1">
        <v>-3.1596650000000001E-6</v>
      </c>
      <c r="I3414">
        <v>141.2063</v>
      </c>
      <c r="J3414">
        <v>-209.03739999999999</v>
      </c>
      <c r="K3414">
        <v>1.1027049999999901</v>
      </c>
      <c r="L3414">
        <v>141.584</v>
      </c>
      <c r="M3414">
        <v>-0.95751140000000001</v>
      </c>
      <c r="N3414">
        <v>0</v>
      </c>
      <c r="O3414">
        <v>-0.28804049999999998</v>
      </c>
      <c r="P3414">
        <v>-0.99288399999999999</v>
      </c>
      <c r="Q3414">
        <v>0.1163955</v>
      </c>
      <c r="R3414">
        <v>-2.5167700000000001E-2</v>
      </c>
      <c r="S3414">
        <v>-3.0459290000000001</v>
      </c>
      <c r="T3414">
        <v>-0.22715199999999999</v>
      </c>
      <c r="U3414">
        <v>-9.0789789999999995E-2</v>
      </c>
      <c r="V3414">
        <v>0.26391320000000001</v>
      </c>
      <c r="W3414">
        <v>0.1260011</v>
      </c>
      <c r="X3414">
        <v>0.9562811</v>
      </c>
      <c r="Y3414">
        <v>0.25791710000000001</v>
      </c>
      <c r="Z3414">
        <v>3.0794709999999999E-2</v>
      </c>
      <c r="AA3414">
        <v>0.96567619999999998</v>
      </c>
      <c r="AB3414">
        <v>24</v>
      </c>
      <c r="AC3414">
        <v>-14.542299999999999</v>
      </c>
      <c r="AD3414">
        <v>-1.1027081596649999</v>
      </c>
      <c r="AE3414">
        <v>-0.37770000000000398</v>
      </c>
      <c r="AF3414">
        <v>3.8056438084712698</v>
      </c>
      <c r="AG3414">
        <v>-1.1027081596649999</v>
      </c>
      <c r="AH3414">
        <v>13.9544649633321</v>
      </c>
      <c r="AI3414">
        <v>94.359660754576893</v>
      </c>
      <c r="AJ3414">
        <v>74.7453374634444</v>
      </c>
      <c r="AK3414">
        <v>14.5060670926068</v>
      </c>
      <c r="AL3414">
        <v>82.761428279847706</v>
      </c>
      <c r="AM3414">
        <v>74.571629797782606</v>
      </c>
      <c r="AN3414">
        <v>0.99999999827633002</v>
      </c>
    </row>
    <row r="3415" spans="1:40" x14ac:dyDescent="0.25">
      <c r="A3415" t="str">
        <f>"20190312164539147"</f>
        <v>20190312164539147</v>
      </c>
      <c r="B3415" t="str">
        <f>"1552380339144986"</f>
        <v>1552380339144986</v>
      </c>
      <c r="C3415" t="s">
        <v>40</v>
      </c>
      <c r="D3415">
        <v>5.1717050000000002</v>
      </c>
      <c r="E3415">
        <v>0.49819600000000003</v>
      </c>
      <c r="F3415" t="s">
        <v>42</v>
      </c>
      <c r="G3415">
        <v>-224.25360000000001</v>
      </c>
      <c r="H3415" s="1">
        <v>-2.8191240000000001E-6</v>
      </c>
      <c r="I3415">
        <v>141.01310000000001</v>
      </c>
      <c r="J3415">
        <v>-209.25790000000001</v>
      </c>
      <c r="K3415">
        <v>1.10292099999999</v>
      </c>
      <c r="L3415">
        <v>141.5283</v>
      </c>
      <c r="M3415">
        <v>-0.96004400000000001</v>
      </c>
      <c r="N3415">
        <v>0</v>
      </c>
      <c r="O3415">
        <v>-0.27948610000000002</v>
      </c>
      <c r="P3415">
        <v>-0.99291039999999997</v>
      </c>
      <c r="Q3415">
        <v>0.1165533</v>
      </c>
      <c r="R3415">
        <v>-2.3338089999999999E-2</v>
      </c>
      <c r="S3415">
        <v>-3.0444490000000002</v>
      </c>
      <c r="T3415">
        <v>-0.22062870000000001</v>
      </c>
      <c r="U3415">
        <v>-0.1142273</v>
      </c>
      <c r="V3415">
        <v>0.25705440000000002</v>
      </c>
      <c r="W3415">
        <v>0.1263833</v>
      </c>
      <c r="X3415">
        <v>0.95809719999999998</v>
      </c>
      <c r="Y3415">
        <v>0.24197170000000001</v>
      </c>
      <c r="Z3415">
        <v>2.8743520000000002E-2</v>
      </c>
      <c r="AA3415">
        <v>0.96985750000000004</v>
      </c>
      <c r="AB3415">
        <v>24</v>
      </c>
      <c r="AC3415">
        <v>-14.995699999999999</v>
      </c>
      <c r="AD3415">
        <v>-1.1029238191239901</v>
      </c>
      <c r="AE3415">
        <v>-0.515199999999993</v>
      </c>
      <c r="AF3415">
        <v>3.67698315158803</v>
      </c>
      <c r="AG3415">
        <v>-1.1029238191239901</v>
      </c>
      <c r="AH3415">
        <v>14.463849390508001</v>
      </c>
      <c r="AI3415">
        <v>94.226653838841699</v>
      </c>
      <c r="AJ3415">
        <v>75.736480021640006</v>
      </c>
      <c r="AK3415">
        <v>14.964611095486401</v>
      </c>
      <c r="AL3415">
        <v>82.739353183453701</v>
      </c>
      <c r="AM3415">
        <v>74.981420034463397</v>
      </c>
      <c r="AN3415">
        <v>0.99999997386304396</v>
      </c>
    </row>
    <row r="3416" spans="1:40" x14ac:dyDescent="0.25">
      <c r="A3416" t="str">
        <f>"20190312164539171"</f>
        <v>20190312164539171</v>
      </c>
      <c r="B3416" t="str">
        <f>"1552380339164505"</f>
        <v>1552380339164505</v>
      </c>
      <c r="C3416" t="s">
        <v>40</v>
      </c>
      <c r="D3416">
        <v>5.1885399999999997</v>
      </c>
      <c r="E3416">
        <v>0.49714150000000001</v>
      </c>
      <c r="F3416" t="s">
        <v>42</v>
      </c>
      <c r="G3416">
        <v>-227.5993</v>
      </c>
      <c r="H3416" s="1">
        <v>-1.3239609999999999E-6</v>
      </c>
      <c r="I3416">
        <v>140.78790000000001</v>
      </c>
      <c r="J3416">
        <v>-209.49959999999999</v>
      </c>
      <c r="K3416">
        <v>1.103167</v>
      </c>
      <c r="L3416">
        <v>141.46940000000001</v>
      </c>
      <c r="M3416">
        <v>-0.96263639999999995</v>
      </c>
      <c r="N3416">
        <v>0</v>
      </c>
      <c r="O3416">
        <v>-0.27042369999999999</v>
      </c>
      <c r="P3416">
        <v>-0.99300060000000001</v>
      </c>
      <c r="Q3416">
        <v>0.1160963</v>
      </c>
      <c r="R3416">
        <v>-2.171329E-2</v>
      </c>
      <c r="S3416">
        <v>-3.0399630000000002</v>
      </c>
      <c r="T3416">
        <v>-0.1828024</v>
      </c>
      <c r="U3416">
        <v>-0.12271120000000001</v>
      </c>
      <c r="V3416">
        <v>0.24950259999999999</v>
      </c>
      <c r="W3416">
        <v>0.12616469999999999</v>
      </c>
      <c r="X3416">
        <v>0.96012030000000004</v>
      </c>
      <c r="Y3416">
        <v>0.23050909999999999</v>
      </c>
      <c r="Z3416">
        <v>2.2986949999999999E-2</v>
      </c>
      <c r="AA3416">
        <v>0.97279859999999896</v>
      </c>
      <c r="AB3416">
        <v>24</v>
      </c>
      <c r="AC3416">
        <v>-18.099699999999999</v>
      </c>
      <c r="AD3416">
        <v>-1.103168323961</v>
      </c>
      <c r="AE3416">
        <v>-0.681499999999999</v>
      </c>
      <c r="AF3416">
        <v>4.2233129384785899</v>
      </c>
      <c r="AG3416">
        <v>-1.103168323961</v>
      </c>
      <c r="AH3416">
        <v>17.544421514151601</v>
      </c>
      <c r="AI3416">
        <v>93.498270124687707</v>
      </c>
      <c r="AJ3416">
        <v>76.465205799165005</v>
      </c>
      <c r="AK3416">
        <v>18.0792720758756</v>
      </c>
      <c r="AL3416">
        <v>82.751979549991106</v>
      </c>
      <c r="AM3416">
        <v>75.432976749460394</v>
      </c>
      <c r="AN3416">
        <v>1.00000003470246</v>
      </c>
    </row>
    <row r="3417" spans="1:40" x14ac:dyDescent="0.25">
      <c r="A3417" t="str">
        <f>"20190312164539193"</f>
        <v>20190312164539193</v>
      </c>
      <c r="B3417" t="str">
        <f>"1552380339185001"</f>
        <v>1552380339185001</v>
      </c>
      <c r="C3417" t="s">
        <v>40</v>
      </c>
      <c r="D3417">
        <v>5.2433920000000001</v>
      </c>
      <c r="E3417">
        <v>0.49669049999999998</v>
      </c>
      <c r="F3417" t="s">
        <v>42</v>
      </c>
      <c r="G3417">
        <v>-227.86760000000001</v>
      </c>
      <c r="H3417" s="1">
        <v>-1.1858299999999999E-6</v>
      </c>
      <c r="I3417">
        <v>140.70150000000001</v>
      </c>
      <c r="J3417">
        <v>-209.74369999999999</v>
      </c>
      <c r="K3417">
        <v>1.103402</v>
      </c>
      <c r="L3417">
        <v>141.41200000000001</v>
      </c>
      <c r="M3417">
        <v>-0.96507529999999997</v>
      </c>
      <c r="N3417">
        <v>0</v>
      </c>
      <c r="O3417">
        <v>-0.26158969999999998</v>
      </c>
      <c r="P3417">
        <v>-0.9930139</v>
      </c>
      <c r="Q3417">
        <v>0.115983</v>
      </c>
      <c r="R3417">
        <v>-2.171565E-2</v>
      </c>
      <c r="S3417">
        <v>-3.0397189999999998</v>
      </c>
      <c r="T3417">
        <v>-0.18256339999999999</v>
      </c>
      <c r="U3417">
        <v>-0.1270752</v>
      </c>
      <c r="V3417">
        <v>0.2406054</v>
      </c>
      <c r="W3417">
        <v>0.12629669999999901</v>
      </c>
      <c r="X3417">
        <v>0.96237110000000003</v>
      </c>
      <c r="Y3417">
        <v>0.22021789999999999</v>
      </c>
      <c r="Z3417">
        <v>2.2135209999999999E-2</v>
      </c>
      <c r="AA3417">
        <v>0.9751995</v>
      </c>
      <c r="AB3417">
        <v>24</v>
      </c>
      <c r="AC3417">
        <v>-18.123899999999999</v>
      </c>
      <c r="AD3417">
        <v>-1.10340318583</v>
      </c>
      <c r="AE3417">
        <v>-0.71049999999999602</v>
      </c>
      <c r="AF3417">
        <v>4.04079190761143</v>
      </c>
      <c r="AG3417">
        <v>-1.10340318583</v>
      </c>
      <c r="AH3417">
        <v>17.613376050133901</v>
      </c>
      <c r="AI3417">
        <v>93.494114846326895</v>
      </c>
      <c r="AJ3417">
        <v>77.079014102631902</v>
      </c>
      <c r="AK3417">
        <v>18.104599242031</v>
      </c>
      <c r="AL3417">
        <v>82.744355083133698</v>
      </c>
      <c r="AM3417">
        <v>75.963049105829398</v>
      </c>
      <c r="AN3417">
        <v>0.99999997452762901</v>
      </c>
    </row>
    <row r="3418" spans="1:40" x14ac:dyDescent="0.25">
      <c r="A3418" t="str">
        <f>"20190312164539217"</f>
        <v>20190312164539217</v>
      </c>
      <c r="B3418" t="str">
        <f>"1552380339215258"</f>
        <v>1552380339215258</v>
      </c>
      <c r="C3418" t="s">
        <v>40</v>
      </c>
      <c r="D3418">
        <v>5.0800850000000004</v>
      </c>
      <c r="E3418">
        <v>0.49629830000000003</v>
      </c>
      <c r="F3418" t="s">
        <v>42</v>
      </c>
      <c r="G3418">
        <v>-228.74350000000001</v>
      </c>
      <c r="H3418" s="1">
        <v>-7.8499829999999998E-7</v>
      </c>
      <c r="I3418">
        <v>140.6071</v>
      </c>
      <c r="J3418">
        <v>-209.98920000000001</v>
      </c>
      <c r="K3418">
        <v>1.1036079999999999</v>
      </c>
      <c r="L3418">
        <v>141.3563</v>
      </c>
      <c r="M3418">
        <v>-0.96737340000000005</v>
      </c>
      <c r="N3418">
        <v>0</v>
      </c>
      <c r="O3418">
        <v>-0.25296210000000002</v>
      </c>
      <c r="P3418">
        <v>-0.99296660000000003</v>
      </c>
      <c r="Q3418">
        <v>0.1164738</v>
      </c>
      <c r="R3418">
        <v>-2.124274E-2</v>
      </c>
      <c r="S3418">
        <v>-3.0388950000000001</v>
      </c>
      <c r="T3418">
        <v>-0.176483</v>
      </c>
      <c r="U3418">
        <v>-0.12872310000000001</v>
      </c>
      <c r="V3418">
        <v>0.2323779</v>
      </c>
      <c r="W3418">
        <v>0.12699440000000001</v>
      </c>
      <c r="X3418">
        <v>0.96429920000000002</v>
      </c>
      <c r="Y3418">
        <v>0.21104539999999999</v>
      </c>
      <c r="Z3418">
        <v>2.0652569999999999E-2</v>
      </c>
      <c r="AA3418">
        <v>0.97725810000000002</v>
      </c>
      <c r="AB3418">
        <v>24</v>
      </c>
      <c r="AC3418">
        <v>-18.754300000000001</v>
      </c>
      <c r="AD3418">
        <v>-1.1036087849982901</v>
      </c>
      <c r="AE3418">
        <v>-0.74920000000000098</v>
      </c>
      <c r="AF3418">
        <v>4.0059210696505696</v>
      </c>
      <c r="AG3418">
        <v>-1.1036087849982901</v>
      </c>
      <c r="AH3418">
        <v>18.270586615714901</v>
      </c>
      <c r="AI3418">
        <v>93.3766523851138</v>
      </c>
      <c r="AJ3418">
        <v>77.633291817827896</v>
      </c>
      <c r="AK3418">
        <v>18.7371206765858</v>
      </c>
      <c r="AL3418">
        <v>82.704055558751804</v>
      </c>
      <c r="AM3418">
        <v>76.451126181187703</v>
      </c>
      <c r="AN3418">
        <v>1.0000000065801999</v>
      </c>
    </row>
    <row r="3419" spans="1:40" x14ac:dyDescent="0.25">
      <c r="A3419" t="str">
        <f>"20190312164539239"</f>
        <v>20190312164539239</v>
      </c>
      <c r="B3419" t="str">
        <f>"1552380339234776"</f>
        <v>1552380339234776</v>
      </c>
      <c r="C3419" t="s">
        <v>40</v>
      </c>
      <c r="D3419">
        <v>5.046697</v>
      </c>
      <c r="E3419">
        <v>0.49599870000000001</v>
      </c>
      <c r="F3419" t="s">
        <v>42</v>
      </c>
      <c r="G3419">
        <v>-230.02340000000001</v>
      </c>
      <c r="H3419" s="1">
        <v>-4.425301E-6</v>
      </c>
      <c r="I3419">
        <v>140.5027</v>
      </c>
      <c r="J3419">
        <v>-210.21729999999999</v>
      </c>
      <c r="K3419">
        <v>1.1037729999999999</v>
      </c>
      <c r="L3419">
        <v>141.30619999999999</v>
      </c>
      <c r="M3419">
        <v>-0.96937830000000003</v>
      </c>
      <c r="N3419">
        <v>0</v>
      </c>
      <c r="O3419">
        <v>-0.24516959999999999</v>
      </c>
      <c r="P3419">
        <v>-0.99293920000000002</v>
      </c>
      <c r="Q3419">
        <v>0.1167789</v>
      </c>
      <c r="R3419">
        <v>-2.0853409999999999E-2</v>
      </c>
      <c r="S3419">
        <v>-3.0381010000000002</v>
      </c>
      <c r="T3419">
        <v>-0.1673586</v>
      </c>
      <c r="U3419">
        <v>-0.12944030000000001</v>
      </c>
      <c r="V3419">
        <v>0.2249208</v>
      </c>
      <c r="W3419">
        <v>0.12747159999999999</v>
      </c>
      <c r="X3419">
        <v>0.9660029</v>
      </c>
      <c r="Y3419">
        <v>0.2030332</v>
      </c>
      <c r="Z3419">
        <v>1.8953830000000001E-2</v>
      </c>
      <c r="AA3419">
        <v>0.97898839999999998</v>
      </c>
      <c r="AB3419">
        <v>24</v>
      </c>
      <c r="AC3419">
        <v>-19.806100000000001</v>
      </c>
      <c r="AD3419">
        <v>-1.103777425301</v>
      </c>
      <c r="AE3419">
        <v>-0.803499999999985</v>
      </c>
      <c r="AF3419">
        <v>4.06475763279383</v>
      </c>
      <c r="AG3419">
        <v>-1.103777425301</v>
      </c>
      <c r="AH3419">
        <v>19.338551954926199</v>
      </c>
      <c r="AI3419">
        <v>93.196992022597598</v>
      </c>
      <c r="AJ3419">
        <v>78.129830642355202</v>
      </c>
      <c r="AK3419">
        <v>19.7919218604798</v>
      </c>
      <c r="AL3419">
        <v>82.676489853421998</v>
      </c>
      <c r="AM3419">
        <v>76.892973595663904</v>
      </c>
      <c r="AN3419">
        <v>0.99999998894380404</v>
      </c>
    </row>
    <row r="3420" spans="1:40" x14ac:dyDescent="0.25">
      <c r="A3420" t="str">
        <f>"20190312164539259"</f>
        <v>20190312164539259</v>
      </c>
      <c r="B3420" t="str">
        <f>"1552380339254645"</f>
        <v>1552380339254645</v>
      </c>
      <c r="C3420" t="s">
        <v>40</v>
      </c>
      <c r="D3420">
        <v>5.4153820000000001</v>
      </c>
      <c r="E3420">
        <v>0.4956586</v>
      </c>
      <c r="F3420" t="s">
        <v>42</v>
      </c>
      <c r="G3420">
        <v>-230.749</v>
      </c>
      <c r="H3420" s="1">
        <v>-4.1629899999999999E-6</v>
      </c>
      <c r="I3420">
        <v>140.416</v>
      </c>
      <c r="J3420">
        <v>-210.43819999999999</v>
      </c>
      <c r="K3420">
        <v>1.1039300000000001</v>
      </c>
      <c r="L3420">
        <v>141.2594</v>
      </c>
      <c r="M3420">
        <v>-0.97120280000000003</v>
      </c>
      <c r="N3420">
        <v>0</v>
      </c>
      <c r="O3420">
        <v>-0.23784069999999999</v>
      </c>
      <c r="P3420">
        <v>-0.9929867</v>
      </c>
      <c r="Q3420">
        <v>0.1162715</v>
      </c>
      <c r="R3420">
        <v>-2.1408449999999999E-2</v>
      </c>
      <c r="S3420">
        <v>-3.0377809999999998</v>
      </c>
      <c r="T3420">
        <v>-0.16331029999999999</v>
      </c>
      <c r="U3420">
        <v>-0.13171389999999999</v>
      </c>
      <c r="V3420">
        <v>0.21702279999999999</v>
      </c>
      <c r="W3420">
        <v>0.12713540000000001</v>
      </c>
      <c r="X3420">
        <v>0.96785209999999999</v>
      </c>
      <c r="Y3420">
        <v>0.19494909999999999</v>
      </c>
      <c r="Z3420">
        <v>1.7896829999999999E-2</v>
      </c>
      <c r="AA3420">
        <v>0.98065009999999997</v>
      </c>
      <c r="AB3420">
        <v>24</v>
      </c>
      <c r="AC3420">
        <v>-20.3108</v>
      </c>
      <c r="AD3420">
        <v>-1.1039341629899999</v>
      </c>
      <c r="AE3420">
        <v>-0.84340000000000204</v>
      </c>
      <c r="AF3420">
        <v>4.0002205928478904</v>
      </c>
      <c r="AG3420">
        <v>-1.1039341629899999</v>
      </c>
      <c r="AH3420">
        <v>19.869865467762999</v>
      </c>
      <c r="AI3420">
        <v>93.117558826471907</v>
      </c>
      <c r="AJ3420">
        <v>78.617311033369901</v>
      </c>
      <c r="AK3420">
        <v>20.298571110663399</v>
      </c>
      <c r="AL3420">
        <v>82.695910762505704</v>
      </c>
      <c r="AM3420">
        <v>77.361540730587194</v>
      </c>
      <c r="AN3420">
        <v>0.99999999656370497</v>
      </c>
    </row>
    <row r="3421" spans="1:40" x14ac:dyDescent="0.25">
      <c r="A3421" t="str">
        <f>"20190312164539282"</f>
        <v>20190312164539282</v>
      </c>
      <c r="B3421" t="str">
        <f>"1552380339275142"</f>
        <v>1552380339275142</v>
      </c>
      <c r="C3421" t="s">
        <v>40</v>
      </c>
      <c r="D3421">
        <v>4.9767650000000003</v>
      </c>
      <c r="E3421">
        <v>0.495417</v>
      </c>
      <c r="F3421" t="s">
        <v>42</v>
      </c>
      <c r="G3421">
        <v>-230.55269999999999</v>
      </c>
      <c r="H3421" s="1">
        <v>-4.2189780000000004E-6</v>
      </c>
      <c r="I3421">
        <v>140.35489999999999</v>
      </c>
      <c r="J3421">
        <v>-210.68629999999999</v>
      </c>
      <c r="K3421">
        <v>1.1041190000000001</v>
      </c>
      <c r="L3421">
        <v>141.20849999999999</v>
      </c>
      <c r="M3421">
        <v>-0.97312310000000002</v>
      </c>
      <c r="N3421">
        <v>0</v>
      </c>
      <c r="O3421">
        <v>-0.22986100000000001</v>
      </c>
      <c r="P3421">
        <v>-0.99308370000000001</v>
      </c>
      <c r="Q3421">
        <v>0.115298</v>
      </c>
      <c r="R3421">
        <v>-2.2166419999999999E-2</v>
      </c>
      <c r="S3421">
        <v>-3.037766</v>
      </c>
      <c r="T3421">
        <v>-0.16672049999999999</v>
      </c>
      <c r="U3421">
        <v>-0.13658139999999999</v>
      </c>
      <c r="V3421">
        <v>0.20827319999999999</v>
      </c>
      <c r="W3421">
        <v>0.1263473</v>
      </c>
      <c r="X3421">
        <v>0.96987559999999995</v>
      </c>
      <c r="Y3421">
        <v>0.18532129999999999</v>
      </c>
      <c r="Z3421">
        <v>1.7578050000000001E-2</v>
      </c>
      <c r="AA3421">
        <v>0.98252079999999997</v>
      </c>
      <c r="AB3421">
        <v>24</v>
      </c>
      <c r="AC3421">
        <v>-19.866399999999999</v>
      </c>
      <c r="AD3421">
        <v>-1.1041232189779999</v>
      </c>
      <c r="AE3421">
        <v>-0.85360000000000003</v>
      </c>
      <c r="AF3421">
        <v>3.72473371033779</v>
      </c>
      <c r="AG3421">
        <v>-1.1041232189779999</v>
      </c>
      <c r="AH3421">
        <v>19.470539137041001</v>
      </c>
      <c r="AI3421">
        <v>93.187931136087897</v>
      </c>
      <c r="AJ3421">
        <v>79.170105208821795</v>
      </c>
      <c r="AK3421">
        <v>19.854335133231199</v>
      </c>
      <c r="AL3421">
        <v>82.741432856710503</v>
      </c>
      <c r="AM3421">
        <v>77.880239946951207</v>
      </c>
      <c r="AN3421">
        <v>1.00000002276544</v>
      </c>
    </row>
    <row r="3422" spans="1:40" x14ac:dyDescent="0.25">
      <c r="A3422" t="str">
        <f>"20190312164539305"</f>
        <v>20190312164539305</v>
      </c>
      <c r="B3422" t="str">
        <f>"1552380339294664"</f>
        <v>1552380339294664</v>
      </c>
      <c r="C3422" t="s">
        <v>40</v>
      </c>
      <c r="D3422">
        <v>5.1696559999999998</v>
      </c>
      <c r="E3422">
        <v>0.49542940000000002</v>
      </c>
      <c r="F3422" t="s">
        <v>42</v>
      </c>
      <c r="G3422">
        <v>-230.078</v>
      </c>
      <c r="H3422" s="1">
        <v>-4.373933E-6</v>
      </c>
      <c r="I3422">
        <v>140.31790000000001</v>
      </c>
      <c r="J3422">
        <v>-210.92070000000001</v>
      </c>
      <c r="K3422">
        <v>1.104303</v>
      </c>
      <c r="L3422">
        <v>141.16200000000001</v>
      </c>
      <c r="M3422">
        <v>-0.97481779999999996</v>
      </c>
      <c r="N3422">
        <v>0</v>
      </c>
      <c r="O3422">
        <v>-0.22256690000000001</v>
      </c>
      <c r="P3422">
        <v>-0.99308030000000003</v>
      </c>
      <c r="Q3422">
        <v>0.1150267</v>
      </c>
      <c r="R3422">
        <v>-2.367093E-2</v>
      </c>
      <c r="S3422">
        <v>-3.0378569999999998</v>
      </c>
      <c r="T3422">
        <v>-0.1729696</v>
      </c>
      <c r="U3422">
        <v>-0.139495799999999</v>
      </c>
      <c r="V3422">
        <v>0.19946420000000001</v>
      </c>
      <c r="W3422">
        <v>0.1262556</v>
      </c>
      <c r="X3422">
        <v>0.97173739999999997</v>
      </c>
      <c r="Y3422">
        <v>0.1769946</v>
      </c>
      <c r="Z3422">
        <v>1.7592420000000001E-2</v>
      </c>
      <c r="AA3422">
        <v>0.9840546</v>
      </c>
      <c r="AB3422">
        <v>24</v>
      </c>
      <c r="AC3422">
        <v>-19.1572999999999</v>
      </c>
      <c r="AD3422">
        <v>-1.104307373933</v>
      </c>
      <c r="AE3422">
        <v>-0.84409999999999696</v>
      </c>
      <c r="AF3422">
        <v>3.4298964231443501</v>
      </c>
      <c r="AG3422">
        <v>-1.104307373933</v>
      </c>
      <c r="AH3422">
        <v>18.802221908621998</v>
      </c>
      <c r="AI3422">
        <v>93.306834538900503</v>
      </c>
      <c r="AJ3422">
        <v>79.661793283982703</v>
      </c>
      <c r="AK3422">
        <v>19.1443786253481</v>
      </c>
      <c r="AL3422">
        <v>82.746729194178599</v>
      </c>
      <c r="AM3422">
        <v>78.400273933974802</v>
      </c>
      <c r="AN3422">
        <v>1.0000000090858701</v>
      </c>
    </row>
    <row r="3423" spans="1:40" x14ac:dyDescent="0.25">
      <c r="A3423" t="str">
        <f>"20190312164539326"</f>
        <v>20190312164539326</v>
      </c>
      <c r="B3423" t="str">
        <f>"1552380339315166"</f>
        <v>1552380339315166</v>
      </c>
      <c r="C3423" t="s">
        <v>40</v>
      </c>
      <c r="D3423">
        <v>5.2869229999999998</v>
      </c>
      <c r="E3423">
        <v>0.49545549999999999</v>
      </c>
      <c r="F3423" t="s">
        <v>42</v>
      </c>
      <c r="G3423">
        <v>-229.72640000000001</v>
      </c>
      <c r="H3423" s="1">
        <v>-2.7532099999999998E-7</v>
      </c>
      <c r="I3423">
        <v>140.2764</v>
      </c>
      <c r="J3423">
        <v>-211.14439999999999</v>
      </c>
      <c r="K3423">
        <v>1.1044830000000001</v>
      </c>
      <c r="L3423">
        <v>141.1191</v>
      </c>
      <c r="M3423">
        <v>-0.97633329999999996</v>
      </c>
      <c r="N3423">
        <v>0</v>
      </c>
      <c r="O3423">
        <v>-0.21582470000000001</v>
      </c>
      <c r="P3423">
        <v>-0.99307639999999997</v>
      </c>
      <c r="Q3423">
        <v>0.1148525</v>
      </c>
      <c r="R3423">
        <v>-2.4660689999999999E-2</v>
      </c>
      <c r="S3423">
        <v>-3.0381469999999999</v>
      </c>
      <c r="T3423">
        <v>-0.17840549999999999</v>
      </c>
      <c r="U3423">
        <v>-0.14306640000000001</v>
      </c>
      <c r="V3423">
        <v>0.19170789999999999</v>
      </c>
      <c r="W3423">
        <v>0.1262385</v>
      </c>
      <c r="X3423">
        <v>0.97329949999999998</v>
      </c>
      <c r="Y3423">
        <v>0.16902220000000001</v>
      </c>
      <c r="Z3423">
        <v>1.7521020000000002E-2</v>
      </c>
      <c r="AA3423">
        <v>0.98545649999999996</v>
      </c>
      <c r="AB3423">
        <v>24</v>
      </c>
      <c r="AC3423">
        <v>-18.582000000000001</v>
      </c>
      <c r="AD3423">
        <v>-1.1044832753210001</v>
      </c>
      <c r="AE3423">
        <v>-0.842700000000007</v>
      </c>
      <c r="AF3423">
        <v>3.1768057844839799</v>
      </c>
      <c r="AG3423">
        <v>-1.1044832753210001</v>
      </c>
      <c r="AH3423">
        <v>18.261485372227199</v>
      </c>
      <c r="AI3423">
        <v>93.410032030005198</v>
      </c>
      <c r="AJ3423">
        <v>80.131466570113801</v>
      </c>
      <c r="AK3423">
        <v>18.568624782084999</v>
      </c>
      <c r="AL3423">
        <v>82.747716768154405</v>
      </c>
      <c r="AM3423">
        <v>78.857257910402296</v>
      </c>
      <c r="AN3423">
        <v>0.99999999725245403</v>
      </c>
    </row>
    <row r="3424" spans="1:40" x14ac:dyDescent="0.25">
      <c r="A3424" t="str">
        <f>"20190312164539349"</f>
        <v>20190312164539349</v>
      </c>
      <c r="B3424" t="str">
        <f>"1552380339345413"</f>
        <v>1552380339345413</v>
      </c>
      <c r="C3424" t="s">
        <v>40</v>
      </c>
      <c r="D3424">
        <v>5.2103469999999996</v>
      </c>
      <c r="E3424">
        <v>0.49545719999999999</v>
      </c>
      <c r="F3424" t="s">
        <v>42</v>
      </c>
      <c r="G3424">
        <v>-230.22929999999999</v>
      </c>
      <c r="H3424" s="1">
        <v>-4.3015539999999996E-6</v>
      </c>
      <c r="I3424">
        <v>140.20009999999999</v>
      </c>
      <c r="J3424">
        <v>-211.3776</v>
      </c>
      <c r="K3424">
        <v>1.1046640000000001</v>
      </c>
      <c r="L3424">
        <v>141.07579999999999</v>
      </c>
      <c r="M3424">
        <v>-0.9778135</v>
      </c>
      <c r="N3424">
        <v>0</v>
      </c>
      <c r="O3424">
        <v>-0.20901839999999999</v>
      </c>
      <c r="P3424">
        <v>-0.9930544</v>
      </c>
      <c r="Q3424">
        <v>0.11475</v>
      </c>
      <c r="R3424">
        <v>-2.599278E-2</v>
      </c>
      <c r="S3424">
        <v>-3.0376129999999999</v>
      </c>
      <c r="T3424">
        <v>-0.17579420000000001</v>
      </c>
      <c r="U3424">
        <v>-0.14627079999999901</v>
      </c>
      <c r="V3424">
        <v>0.18354770000000001</v>
      </c>
      <c r="W3424">
        <v>0.1262915</v>
      </c>
      <c r="X3424">
        <v>0.97486450000000002</v>
      </c>
      <c r="Y3424">
        <v>0.16114919999999999</v>
      </c>
      <c r="Z3424">
        <v>1.6654289999999999E-2</v>
      </c>
      <c r="AA3424">
        <v>0.98678949999999999</v>
      </c>
      <c r="AB3424">
        <v>24</v>
      </c>
      <c r="AC3424">
        <v>-18.851699999999902</v>
      </c>
      <c r="AD3424">
        <v>-1.104668301554</v>
      </c>
      <c r="AE3424">
        <v>-0.87569999999999404</v>
      </c>
      <c r="AF3424">
        <v>3.0738451621285798</v>
      </c>
      <c r="AG3424">
        <v>-1.104668301554</v>
      </c>
      <c r="AH3424">
        <v>18.554698095736601</v>
      </c>
      <c r="AI3424">
        <v>93.361419892605596</v>
      </c>
      <c r="AJ3424">
        <v>80.593583799817395</v>
      </c>
      <c r="AK3424">
        <v>18.840000996845301</v>
      </c>
      <c r="AL3424">
        <v>82.744655956580701</v>
      </c>
      <c r="AM3424">
        <v>79.337165890449</v>
      </c>
      <c r="AN3424">
        <v>1.0000000472538899</v>
      </c>
    </row>
    <row r="3425" spans="1:40" x14ac:dyDescent="0.25">
      <c r="A3425" t="str">
        <f>"20190312164539372"</f>
        <v>20190312164539372</v>
      </c>
      <c r="B3425" t="str">
        <f>"1552380339364933"</f>
        <v>1552380339364933</v>
      </c>
      <c r="C3425" t="s">
        <v>40</v>
      </c>
      <c r="D3425">
        <v>5.2012739999999997</v>
      </c>
      <c r="E3425">
        <v>0.49555120000000003</v>
      </c>
      <c r="F3425" t="s">
        <v>42</v>
      </c>
      <c r="G3425">
        <v>-230.1071</v>
      </c>
      <c r="H3425" s="1">
        <v>-4.3341590000000003E-6</v>
      </c>
      <c r="I3425">
        <v>140.14959999999999</v>
      </c>
      <c r="J3425">
        <v>-211.62350000000001</v>
      </c>
      <c r="K3425">
        <v>1.104832</v>
      </c>
      <c r="L3425">
        <v>141.0317</v>
      </c>
      <c r="M3425">
        <v>-0.97926749999999996</v>
      </c>
      <c r="N3425">
        <v>0</v>
      </c>
      <c r="O3425">
        <v>-0.20210020000000001</v>
      </c>
      <c r="P3425">
        <v>-0.99309579999999997</v>
      </c>
      <c r="Q3425">
        <v>0.1139577</v>
      </c>
      <c r="R3425">
        <v>-2.7829840000000002E-2</v>
      </c>
      <c r="S3425">
        <v>-3.037766</v>
      </c>
      <c r="T3425">
        <v>-0.1791674</v>
      </c>
      <c r="U3425">
        <v>-0.15020749999999999</v>
      </c>
      <c r="V3425">
        <v>0.1747882</v>
      </c>
      <c r="W3425">
        <v>0.1256505</v>
      </c>
      <c r="X3425">
        <v>0.97655570000000003</v>
      </c>
      <c r="Y3425">
        <v>0.15289549999999999</v>
      </c>
      <c r="Z3425">
        <v>1.632871E-2</v>
      </c>
      <c r="AA3425">
        <v>0.98810739999999997</v>
      </c>
      <c r="AB3425">
        <v>24</v>
      </c>
      <c r="AC3425">
        <v>-18.483599999999999</v>
      </c>
      <c r="AD3425">
        <v>-1.104836334159</v>
      </c>
      <c r="AE3425">
        <v>-0.88210000000000799</v>
      </c>
      <c r="AF3425">
        <v>2.8617994802801201</v>
      </c>
      <c r="AG3425">
        <v>-1.104836334159</v>
      </c>
      <c r="AH3425">
        <v>18.215469769731701</v>
      </c>
      <c r="AI3425">
        <v>93.428992272561501</v>
      </c>
      <c r="AJ3425">
        <v>81.071348339992596</v>
      </c>
      <c r="AK3425">
        <v>18.471976031887301</v>
      </c>
      <c r="AL3425">
        <v>82.7816771169026</v>
      </c>
      <c r="AM3425">
        <v>79.852401709436904</v>
      </c>
      <c r="AN3425">
        <v>0.99999999910598902</v>
      </c>
    </row>
    <row r="3426" spans="1:40" x14ac:dyDescent="0.25">
      <c r="A3426" t="str">
        <f>"20190312164539394"</f>
        <v>20190312164539394</v>
      </c>
      <c r="B3426" t="str">
        <f>"1552380339385429"</f>
        <v>1552380339385429</v>
      </c>
      <c r="C3426" t="s">
        <v>40</v>
      </c>
      <c r="D3426">
        <v>5.0811789999999997</v>
      </c>
      <c r="E3426">
        <v>0.4952551</v>
      </c>
      <c r="F3426" t="s">
        <v>42</v>
      </c>
      <c r="G3426">
        <v>-229.4948</v>
      </c>
      <c r="H3426" s="1">
        <v>-3.3441079999999998E-7</v>
      </c>
      <c r="I3426">
        <v>140.1251</v>
      </c>
      <c r="J3426">
        <v>-211.8612</v>
      </c>
      <c r="K3426">
        <v>1.104968</v>
      </c>
      <c r="L3426">
        <v>140.9905</v>
      </c>
      <c r="M3426">
        <v>-0.98058540000000005</v>
      </c>
      <c r="N3426">
        <v>0</v>
      </c>
      <c r="O3426">
        <v>-0.1956079</v>
      </c>
      <c r="P3426">
        <v>-0.99291149999999995</v>
      </c>
      <c r="Q3426">
        <v>0.11397409999999999</v>
      </c>
      <c r="R3426">
        <v>-3.3714729999999998E-2</v>
      </c>
      <c r="S3426">
        <v>-3.0380859999999998</v>
      </c>
      <c r="T3426">
        <v>-0.1878194</v>
      </c>
      <c r="U3426">
        <v>-0.1541138</v>
      </c>
      <c r="V3426">
        <v>0.16245519999999999</v>
      </c>
      <c r="W3426">
        <v>0.1258436</v>
      </c>
      <c r="X3426">
        <v>0.97865809999999998</v>
      </c>
      <c r="Y3426">
        <v>0.1450485</v>
      </c>
      <c r="Z3426">
        <v>1.6477220000000001E-2</v>
      </c>
      <c r="AA3426">
        <v>0.98928729999999998</v>
      </c>
      <c r="AB3426">
        <v>24</v>
      </c>
      <c r="AC3426">
        <v>-17.633600000000001</v>
      </c>
      <c r="AD3426">
        <v>-1.1049683344107999</v>
      </c>
      <c r="AE3426">
        <v>-0.86539999999999395</v>
      </c>
      <c r="AF3426">
        <v>2.5907712253646702</v>
      </c>
      <c r="AG3426">
        <v>-1.1049683344107999</v>
      </c>
      <c r="AH3426">
        <v>17.394051685754999</v>
      </c>
      <c r="AI3426">
        <v>93.595310824382295</v>
      </c>
      <c r="AJ3426">
        <v>81.528314686747706</v>
      </c>
      <c r="AK3426">
        <v>17.620615330031601</v>
      </c>
      <c r="AL3426">
        <v>82.7705247134773</v>
      </c>
      <c r="AM3426">
        <v>80.574963126576904</v>
      </c>
      <c r="AN3426">
        <v>0.99999999018180497</v>
      </c>
    </row>
    <row r="3427" spans="1:40" x14ac:dyDescent="0.25">
      <c r="A3427" t="str">
        <f>"20190312164539431"</f>
        <v>20190312164539431</v>
      </c>
      <c r="B3427" t="str">
        <f>"1552380339425445"</f>
        <v>1552380339425445</v>
      </c>
      <c r="C3427" t="s">
        <v>40</v>
      </c>
      <c r="D3427">
        <v>5.1015930000000003</v>
      </c>
      <c r="E3427">
        <v>0.49910090000000001</v>
      </c>
      <c r="F3427" t="s">
        <v>41</v>
      </c>
      <c r="G3427">
        <v>-212.7319</v>
      </c>
      <c r="H3427">
        <v>1.0093650000000001</v>
      </c>
      <c r="I3427">
        <v>140.93879999999999</v>
      </c>
      <c r="J3427">
        <v>-212.24299999999999</v>
      </c>
      <c r="K3427">
        <v>1.105127</v>
      </c>
      <c r="L3427">
        <v>140.9272</v>
      </c>
      <c r="M3427">
        <v>-0.98255570000000003</v>
      </c>
      <c r="N3427">
        <v>0</v>
      </c>
      <c r="O3427">
        <v>-0.18546080000000001</v>
      </c>
      <c r="P3427">
        <v>-0.99274439999999997</v>
      </c>
      <c r="Q3427">
        <v>0.1149022</v>
      </c>
      <c r="R3427">
        <v>-3.5440939999999997E-2</v>
      </c>
      <c r="S3427">
        <v>-3.053741</v>
      </c>
      <c r="T3427">
        <v>-0.335184599999999</v>
      </c>
      <c r="U3427">
        <v>-0.18164060000000001</v>
      </c>
      <c r="V3427">
        <v>0.15054970000000001</v>
      </c>
      <c r="W3427">
        <v>0.12692059999999999</v>
      </c>
      <c r="X3427">
        <v>0.98042130000000005</v>
      </c>
      <c r="Y3427">
        <v>0.1249619</v>
      </c>
      <c r="Z3427">
        <v>2.6994480000000001E-2</v>
      </c>
      <c r="AA3427">
        <v>0.99179419999999996</v>
      </c>
      <c r="AB3427">
        <v>24</v>
      </c>
      <c r="AC3427">
        <v>-0.488900000000001</v>
      </c>
      <c r="AD3427">
        <v>-9.5761999999999903E-2</v>
      </c>
      <c r="AE3427">
        <v>1.15999999999871E-2</v>
      </c>
      <c r="AF3427">
        <v>9.8309440843004706E-2</v>
      </c>
      <c r="AG3427">
        <v>-9.5761999999999903E-2</v>
      </c>
      <c r="AH3427">
        <v>0.460603665986205</v>
      </c>
      <c r="AI3427">
        <v>101.493037312223</v>
      </c>
      <c r="AJ3427">
        <v>77.951794290825205</v>
      </c>
      <c r="AK3427">
        <v>0.48061506834762902</v>
      </c>
      <c r="AL3427">
        <v>82.708318347289193</v>
      </c>
      <c r="AM3427">
        <v>81.270071409669001</v>
      </c>
      <c r="AN3427">
        <v>0.99999998818406999</v>
      </c>
    </row>
    <row r="3428" spans="1:40" x14ac:dyDescent="0.25">
      <c r="A3428" t="str">
        <f>"20190312164539450"</f>
        <v>20190312164539450</v>
      </c>
      <c r="B3428" t="str">
        <f>"1552380339444966"</f>
        <v>1552380339444966</v>
      </c>
      <c r="C3428" t="s">
        <v>40</v>
      </c>
      <c r="D3428">
        <v>5.2519450000000001</v>
      </c>
      <c r="E3428">
        <v>0.49905859999999902</v>
      </c>
      <c r="F3428" t="s">
        <v>42</v>
      </c>
      <c r="G3428">
        <v>-230.1611</v>
      </c>
      <c r="H3428" s="1">
        <v>-4.3005569999999998E-6</v>
      </c>
      <c r="I3428">
        <v>140.06370000000001</v>
      </c>
      <c r="J3428">
        <v>-212.44470000000001</v>
      </c>
      <c r="K3428">
        <v>1.1051789999999999</v>
      </c>
      <c r="L3428">
        <v>140.8954</v>
      </c>
      <c r="M3428">
        <v>-0.98353440000000003</v>
      </c>
      <c r="N3428">
        <v>0</v>
      </c>
      <c r="O3428">
        <v>-0.18020059999999999</v>
      </c>
      <c r="P3428">
        <v>-0.9925197</v>
      </c>
      <c r="Q3428">
        <v>0.1161659</v>
      </c>
      <c r="R3428">
        <v>-3.7556319999999997E-2</v>
      </c>
      <c r="S3428">
        <v>-3.0383909999999998</v>
      </c>
      <c r="T3428">
        <v>-0.1873988</v>
      </c>
      <c r="U3428">
        <v>-0.14642330000000001</v>
      </c>
      <c r="V3428">
        <v>0.1431692</v>
      </c>
      <c r="W3428">
        <v>0.12826369999999901</v>
      </c>
      <c r="X3428">
        <v>0.98135159999999999</v>
      </c>
      <c r="Y3428">
        <v>0.13207360000000001</v>
      </c>
      <c r="Z3428">
        <v>1.510718E-2</v>
      </c>
      <c r="AA3428">
        <v>0.99112480000000003</v>
      </c>
      <c r="AB3428">
        <v>24</v>
      </c>
      <c r="AC3428">
        <v>-17.716399999999901</v>
      </c>
      <c r="AD3428">
        <v>-1.105183300557</v>
      </c>
      <c r="AE3428">
        <v>-0.83169999999998301</v>
      </c>
      <c r="AF3428">
        <v>2.3655381171727199</v>
      </c>
      <c r="AG3428">
        <v>-1.105183300557</v>
      </c>
      <c r="AH3428">
        <v>17.5082288639673</v>
      </c>
      <c r="AI3428">
        <v>93.579488595438605</v>
      </c>
      <c r="AJ3428">
        <v>82.305358365076899</v>
      </c>
      <c r="AK3428">
        <v>17.701843934027998</v>
      </c>
      <c r="AL3428">
        <v>82.630730166436294</v>
      </c>
      <c r="AM3428">
        <v>81.699686478855696</v>
      </c>
      <c r="AN3428">
        <v>0.99999997969444399</v>
      </c>
    </row>
    <row r="3429" spans="1:40" x14ac:dyDescent="0.25">
      <c r="A3429" t="str">
        <f>"20190312164539474"</f>
        <v>20190312164539474</v>
      </c>
      <c r="B3429" t="str">
        <f>"1552380339465461"</f>
        <v>1552380339465461</v>
      </c>
      <c r="C3429" t="s">
        <v>40</v>
      </c>
      <c r="D3429">
        <v>5.2187570000000001</v>
      </c>
      <c r="E3429">
        <v>0.49919249999999998</v>
      </c>
      <c r="F3429" t="s">
        <v>42</v>
      </c>
      <c r="G3429">
        <v>-231.05930000000001</v>
      </c>
      <c r="H3429" s="1">
        <v>-3.9091579999999999E-6</v>
      </c>
      <c r="I3429">
        <v>139.95949999999999</v>
      </c>
      <c r="J3429">
        <v>-212.69640000000001</v>
      </c>
      <c r="K3429">
        <v>1.105216</v>
      </c>
      <c r="L3429">
        <v>140.85720000000001</v>
      </c>
      <c r="M3429">
        <v>-0.98470570000000002</v>
      </c>
      <c r="N3429">
        <v>0</v>
      </c>
      <c r="O3429">
        <v>-0.17368690000000001</v>
      </c>
      <c r="P3429">
        <v>-0.99235669999999998</v>
      </c>
      <c r="Q3429">
        <v>0.1172523</v>
      </c>
      <c r="R3429">
        <v>-3.8475629999999997E-2</v>
      </c>
      <c r="S3429">
        <v>-3.0379330000000002</v>
      </c>
      <c r="T3429">
        <v>-0.18036820000000001</v>
      </c>
      <c r="U3429">
        <v>-0.15272520000000001</v>
      </c>
      <c r="V3429">
        <v>0.1357265</v>
      </c>
      <c r="W3429">
        <v>0.12942129999999999</v>
      </c>
      <c r="X3429">
        <v>0.98225680000000004</v>
      </c>
      <c r="Y3429">
        <v>0.1235194</v>
      </c>
      <c r="Z3429">
        <v>1.3908149999999999E-2</v>
      </c>
      <c r="AA3429">
        <v>0.99224469999999998</v>
      </c>
      <c r="AB3429">
        <v>24</v>
      </c>
      <c r="AC3429">
        <v>-18.3629</v>
      </c>
      <c r="AD3429">
        <v>-1.1052199091579999</v>
      </c>
      <c r="AE3429">
        <v>-0.89770000000001404</v>
      </c>
      <c r="AF3429">
        <v>2.29733869372363</v>
      </c>
      <c r="AG3429">
        <v>-1.1052199091579999</v>
      </c>
      <c r="AH3429">
        <v>18.174002154815199</v>
      </c>
      <c r="AI3429">
        <v>93.452647727276698</v>
      </c>
      <c r="AJ3429">
        <v>82.795567892379495</v>
      </c>
      <c r="AK3429">
        <v>18.351938056905801</v>
      </c>
      <c r="AL3429">
        <v>82.563847166308094</v>
      </c>
      <c r="AM3429">
        <v>82.132788673507804</v>
      </c>
      <c r="AN3429">
        <v>0.99999998842108995</v>
      </c>
    </row>
    <row r="3430" spans="1:40" x14ac:dyDescent="0.25">
      <c r="A3430" t="str">
        <f>"20190312164539496"</f>
        <v>20190312164539496</v>
      </c>
      <c r="B3430" t="str">
        <f>"1552380339484981"</f>
        <v>1552380339484981</v>
      </c>
      <c r="C3430" t="s">
        <v>40</v>
      </c>
      <c r="D3430">
        <v>5.1661279999999996</v>
      </c>
      <c r="E3430">
        <v>0.49903049999999999</v>
      </c>
      <c r="F3430" t="s">
        <v>42</v>
      </c>
      <c r="G3430">
        <v>-233.0231</v>
      </c>
      <c r="H3430" s="1">
        <v>-3.033244E-6</v>
      </c>
      <c r="I3430">
        <v>139.8338</v>
      </c>
      <c r="J3430">
        <v>-212.92859999999999</v>
      </c>
      <c r="K3430">
        <v>1.1052360000000001</v>
      </c>
      <c r="L3430">
        <v>140.82339999999999</v>
      </c>
      <c r="M3430">
        <v>-0.98574519999999999</v>
      </c>
      <c r="N3430">
        <v>0</v>
      </c>
      <c r="O3430">
        <v>-0.1676889</v>
      </c>
      <c r="P3430">
        <v>-0.99214230000000003</v>
      </c>
      <c r="Q3430">
        <v>0.1187694</v>
      </c>
      <c r="R3430">
        <v>-3.9337919999999998E-2</v>
      </c>
      <c r="S3430">
        <v>-3.0366819999999999</v>
      </c>
      <c r="T3430">
        <v>-0.1651125</v>
      </c>
      <c r="U3430">
        <v>-0.15287779999999901</v>
      </c>
      <c r="V3430">
        <v>0.12885739999999901</v>
      </c>
      <c r="W3430">
        <v>0.1309999</v>
      </c>
      <c r="X3430">
        <v>0.98297239999999997</v>
      </c>
      <c r="Y3430">
        <v>0.1175069</v>
      </c>
      <c r="Z3430">
        <v>1.22542E-2</v>
      </c>
      <c r="AA3430">
        <v>0.99299649999999995</v>
      </c>
      <c r="AB3430">
        <v>24</v>
      </c>
      <c r="AC3430">
        <v>-20.0945</v>
      </c>
      <c r="AD3430">
        <v>-1.1052390332439901</v>
      </c>
      <c r="AE3430">
        <v>-0.98959999999999504</v>
      </c>
      <c r="AF3430">
        <v>2.3871506333313701</v>
      </c>
      <c r="AG3430">
        <v>-1.1052390332439901</v>
      </c>
      <c r="AH3430">
        <v>19.915764080097599</v>
      </c>
      <c r="AI3430">
        <v>93.153881485970402</v>
      </c>
      <c r="AJ3430">
        <v>83.165000531942695</v>
      </c>
      <c r="AK3430">
        <v>20.0887456144211</v>
      </c>
      <c r="AL3430">
        <v>82.4726232611483</v>
      </c>
      <c r="AM3430">
        <v>82.531707853314501</v>
      </c>
      <c r="AN3430">
        <v>0.99999997124826401</v>
      </c>
    </row>
    <row r="3431" spans="1:40" x14ac:dyDescent="0.25">
      <c r="A3431" t="str">
        <f>"20190312164539518"</f>
        <v>20190312164539518</v>
      </c>
      <c r="B3431" t="str">
        <f>"1552380339515237"</f>
        <v>1552380339515237</v>
      </c>
      <c r="C3431" t="s">
        <v>40</v>
      </c>
      <c r="D3431">
        <v>5.2292500000000004</v>
      </c>
      <c r="E3431">
        <v>0.49940899999999999</v>
      </c>
      <c r="F3431" t="s">
        <v>42</v>
      </c>
      <c r="G3431">
        <v>-235.3526</v>
      </c>
      <c r="H3431" s="1">
        <v>-1.9913229999999999E-6</v>
      </c>
      <c r="I3431">
        <v>139.6737</v>
      </c>
      <c r="J3431">
        <v>-213.16059999999999</v>
      </c>
      <c r="K3431">
        <v>1.105245</v>
      </c>
      <c r="L3431">
        <v>140.791</v>
      </c>
      <c r="M3431">
        <v>-0.98674759999999995</v>
      </c>
      <c r="N3431">
        <v>0</v>
      </c>
      <c r="O3431">
        <v>-0.16168759999999999</v>
      </c>
      <c r="P3431">
        <v>-0.9920445</v>
      </c>
      <c r="Q3431">
        <v>0.1195233</v>
      </c>
      <c r="R3431">
        <v>-3.9522090000000003E-2</v>
      </c>
      <c r="S3431">
        <v>-3.0354770000000002</v>
      </c>
      <c r="T3431">
        <v>-0.1496131</v>
      </c>
      <c r="U3431">
        <v>-0.1556244</v>
      </c>
      <c r="V3431">
        <v>0.1226718</v>
      </c>
      <c r="W3431">
        <v>0.1318078</v>
      </c>
      <c r="X3431">
        <v>0.98365559999999996</v>
      </c>
      <c r="Y3431">
        <v>0.11063539999999999</v>
      </c>
      <c r="Z3431">
        <v>1.064845E-2</v>
      </c>
      <c r="AA3431">
        <v>0.99380400000000002</v>
      </c>
      <c r="AB3431">
        <v>24</v>
      </c>
      <c r="AC3431">
        <v>-22.192</v>
      </c>
      <c r="AD3431">
        <v>-1.1052469913230001</v>
      </c>
      <c r="AE3431">
        <v>-1.1173</v>
      </c>
      <c r="AF3431">
        <v>2.4797743533887902</v>
      </c>
      <c r="AG3431">
        <v>-1.1052469913230001</v>
      </c>
      <c r="AH3431">
        <v>22.026117176188801</v>
      </c>
      <c r="AI3431">
        <v>92.854627358849399</v>
      </c>
      <c r="AJ3431">
        <v>83.576496640330404</v>
      </c>
      <c r="AK3431">
        <v>22.192807159409799</v>
      </c>
      <c r="AL3431">
        <v>82.425929351623097</v>
      </c>
      <c r="AM3431">
        <v>82.8913380670934</v>
      </c>
      <c r="AN3431">
        <v>1.0000000030337199</v>
      </c>
    </row>
    <row r="3432" spans="1:40" x14ac:dyDescent="0.25">
      <c r="A3432" t="str">
        <f>"20190312164539538"</f>
        <v>20190312164539538</v>
      </c>
      <c r="B3432" t="str">
        <f>"1552380339534757"</f>
        <v>1552380339534757</v>
      </c>
      <c r="C3432" t="s">
        <v>40</v>
      </c>
      <c r="D3432">
        <v>5.2554259999999999</v>
      </c>
      <c r="E3432">
        <v>0.49964340000000002</v>
      </c>
      <c r="F3432" t="s">
        <v>42</v>
      </c>
      <c r="G3432">
        <v>-237.52269999999999</v>
      </c>
      <c r="H3432" s="1">
        <v>-1.054002E-6</v>
      </c>
      <c r="I3432">
        <v>139.5659</v>
      </c>
      <c r="J3432">
        <v>-213.37899999999999</v>
      </c>
      <c r="K3432">
        <v>1.105259</v>
      </c>
      <c r="L3432">
        <v>140.7619</v>
      </c>
      <c r="M3432">
        <v>-0.98765930000000002</v>
      </c>
      <c r="N3432">
        <v>0</v>
      </c>
      <c r="O3432">
        <v>-0.15602279999999999</v>
      </c>
      <c r="P3432">
        <v>-0.99195639999999996</v>
      </c>
      <c r="Q3432">
        <v>0.12023739999999999</v>
      </c>
      <c r="R3432">
        <v>-3.9565690000000001E-2</v>
      </c>
      <c r="S3432">
        <v>-3.0345610000000001</v>
      </c>
      <c r="T3432">
        <v>-0.1376703</v>
      </c>
      <c r="U3432">
        <v>-0.1525879</v>
      </c>
      <c r="V3432">
        <v>0.1169663</v>
      </c>
      <c r="W3432">
        <v>0.13257070000000001</v>
      </c>
      <c r="X3432">
        <v>0.98424789999999995</v>
      </c>
      <c r="Y3432">
        <v>0.1059684</v>
      </c>
      <c r="Z3432">
        <v>9.4432130000000006E-3</v>
      </c>
      <c r="AA3432">
        <v>0.99432469999999995</v>
      </c>
      <c r="AB3432">
        <v>24</v>
      </c>
      <c r="AC3432">
        <v>-24.1436999999999</v>
      </c>
      <c r="AD3432">
        <v>-1.1052600540019999</v>
      </c>
      <c r="AE3432">
        <v>-1.19599999999999</v>
      </c>
      <c r="AF3432">
        <v>2.5805728796125198</v>
      </c>
      <c r="AG3432">
        <v>-1.1052600540019999</v>
      </c>
      <c r="AH3432">
        <v>23.984448082271498</v>
      </c>
      <c r="AI3432">
        <v>92.623338971733801</v>
      </c>
      <c r="AJ3432">
        <v>83.858965646013999</v>
      </c>
      <c r="AK3432">
        <v>24.148182250122701</v>
      </c>
      <c r="AL3432">
        <v>82.381831527762699</v>
      </c>
      <c r="AM3432">
        <v>83.222853929179394</v>
      </c>
      <c r="AN3432">
        <v>1.00000001724429</v>
      </c>
    </row>
    <row r="3433" spans="1:40" x14ac:dyDescent="0.25">
      <c r="A3433" t="str">
        <f>"20190312164539562"</f>
        <v>20190312164539562</v>
      </c>
      <c r="B3433" t="str">
        <f>"1552380339555253"</f>
        <v>1552380339555253</v>
      </c>
      <c r="C3433" t="s">
        <v>40</v>
      </c>
      <c r="D3433">
        <v>5.2350919999999999</v>
      </c>
      <c r="E3433">
        <v>0.50006899999999999</v>
      </c>
      <c r="F3433" t="s">
        <v>42</v>
      </c>
      <c r="G3433">
        <v>-237.81639999999999</v>
      </c>
      <c r="H3433" s="1">
        <v>-9.3093199999999999E-7</v>
      </c>
      <c r="I3433">
        <v>139.54949999999999</v>
      </c>
      <c r="J3433">
        <v>-213.62379999999999</v>
      </c>
      <c r="K3433">
        <v>1.1052569999999999</v>
      </c>
      <c r="L3433">
        <v>140.73070000000001</v>
      </c>
      <c r="M3433">
        <v>-0.98864490000000005</v>
      </c>
      <c r="N3433">
        <v>0</v>
      </c>
      <c r="O3433">
        <v>-0.1496517</v>
      </c>
      <c r="P3433">
        <v>-0.99209190000000003</v>
      </c>
      <c r="Q3433">
        <v>0.1193337</v>
      </c>
      <c r="R3433">
        <v>-3.890366E-2</v>
      </c>
      <c r="S3433">
        <v>-3.034958</v>
      </c>
      <c r="T3433">
        <v>-0.1372659</v>
      </c>
      <c r="U3433">
        <v>-0.15055850000000001</v>
      </c>
      <c r="V3433">
        <v>0.1112756</v>
      </c>
      <c r="W3433">
        <v>0.13171749999999999</v>
      </c>
      <c r="X3433">
        <v>0.98502190000000001</v>
      </c>
      <c r="Y3433">
        <v>0.1002392</v>
      </c>
      <c r="Z3433">
        <v>9.0003700000000006E-3</v>
      </c>
      <c r="AA3433">
        <v>0.99492259999999999</v>
      </c>
      <c r="AB3433">
        <v>24</v>
      </c>
      <c r="AC3433">
        <v>-24.192599999999999</v>
      </c>
      <c r="AD3433">
        <v>-1.1052579309320001</v>
      </c>
      <c r="AE3433">
        <v>-1.18120000000001</v>
      </c>
      <c r="AF3433">
        <v>2.4478071481670298</v>
      </c>
      <c r="AG3433">
        <v>-1.1052579309320001</v>
      </c>
      <c r="AH3433">
        <v>24.046824903978401</v>
      </c>
      <c r="AI3433">
        <v>92.618108479471303</v>
      </c>
      <c r="AJ3433">
        <v>84.187690313741399</v>
      </c>
      <c r="AK3433">
        <v>24.1963456515875</v>
      </c>
      <c r="AL3433">
        <v>82.431148271704501</v>
      </c>
      <c r="AM3433">
        <v>83.554755683674898</v>
      </c>
      <c r="AN3433">
        <v>0.99999995122060803</v>
      </c>
    </row>
    <row r="3434" spans="1:40" x14ac:dyDescent="0.25">
      <c r="A3434" t="str">
        <f>"20190312164539584"</f>
        <v>20190312164539584</v>
      </c>
      <c r="B3434" t="str">
        <f>"1552380339574776"</f>
        <v>1552380339574776</v>
      </c>
      <c r="C3434" t="s">
        <v>40</v>
      </c>
      <c r="D3434">
        <v>5.3816889999999997</v>
      </c>
      <c r="E3434">
        <v>0.50074030000000003</v>
      </c>
      <c r="F3434" t="s">
        <v>42</v>
      </c>
      <c r="G3434">
        <v>-236.4803</v>
      </c>
      <c r="H3434" s="1">
        <v>-1.4990580000000001E-6</v>
      </c>
      <c r="I3434">
        <v>139.64189999999999</v>
      </c>
      <c r="J3434">
        <v>-213.85820000000001</v>
      </c>
      <c r="K3434">
        <v>1.1052500000000001</v>
      </c>
      <c r="L3434">
        <v>140.70230000000001</v>
      </c>
      <c r="M3434">
        <v>-0.98955179999999998</v>
      </c>
      <c r="N3434">
        <v>0</v>
      </c>
      <c r="O3434">
        <v>-0.14353360000000001</v>
      </c>
      <c r="P3434">
        <v>-0.99227449999999995</v>
      </c>
      <c r="Q3434">
        <v>0.11816169999999999</v>
      </c>
      <c r="R3434">
        <v>-3.7809349999999999E-2</v>
      </c>
      <c r="S3434">
        <v>-3.0359039999999999</v>
      </c>
      <c r="T3434">
        <v>-0.146805399999999</v>
      </c>
      <c r="U3434">
        <v>-0.1446075</v>
      </c>
      <c r="V3434">
        <v>0.1062709</v>
      </c>
      <c r="W3434">
        <v>0.13059009999999999</v>
      </c>
      <c r="X3434">
        <v>0.98572439999999995</v>
      </c>
      <c r="Y3434">
        <v>9.6020629999999996E-2</v>
      </c>
      <c r="Z3434">
        <v>9.2284110000000006E-3</v>
      </c>
      <c r="AA3434">
        <v>0.99533660000000002</v>
      </c>
      <c r="AB3434">
        <v>23</v>
      </c>
      <c r="AC3434">
        <v>-22.6220999999999</v>
      </c>
      <c r="AD3434">
        <v>-1.105251499058</v>
      </c>
      <c r="AE3434">
        <v>-1.06040000000001</v>
      </c>
      <c r="AF3434">
        <v>2.19269188653334</v>
      </c>
      <c r="AG3434">
        <v>-1.105251499058</v>
      </c>
      <c r="AH3434">
        <v>22.486473670027902</v>
      </c>
      <c r="AI3434">
        <v>92.800665961142002</v>
      </c>
      <c r="AJ3434">
        <v>84.430604902190396</v>
      </c>
      <c r="AK3434">
        <v>22.620145373058399</v>
      </c>
      <c r="AL3434">
        <v>82.496306255887802</v>
      </c>
      <c r="AM3434">
        <v>83.846711193703896</v>
      </c>
      <c r="AN3434">
        <v>0.99999993558008704</v>
      </c>
    </row>
    <row r="3435" spans="1:40" x14ac:dyDescent="0.25">
      <c r="A3435" t="str">
        <f>"20190312164539607"</f>
        <v>20190312164539607</v>
      </c>
      <c r="B3435" t="str">
        <f>"1552380339605029"</f>
        <v>1552380339605029</v>
      </c>
      <c r="C3435" t="s">
        <v>40</v>
      </c>
      <c r="D3435">
        <v>5.226483</v>
      </c>
      <c r="E3435">
        <v>0.52087039999999996</v>
      </c>
      <c r="F3435" t="s">
        <v>42</v>
      </c>
      <c r="G3435">
        <v>-237.12880000000001</v>
      </c>
      <c r="H3435" s="1">
        <v>-1.2285749999999999E-6</v>
      </c>
      <c r="I3435">
        <v>139.67089999999999</v>
      </c>
      <c r="J3435">
        <v>-214.10480000000001</v>
      </c>
      <c r="K3435">
        <v>1.105243</v>
      </c>
      <c r="L3435">
        <v>140.67400000000001</v>
      </c>
      <c r="M3435">
        <v>-0.99046670000000003</v>
      </c>
      <c r="N3435">
        <v>0</v>
      </c>
      <c r="O3435">
        <v>-0.13707849999999999</v>
      </c>
      <c r="P3435">
        <v>-0.99241820000000003</v>
      </c>
      <c r="Q3435">
        <v>0.117372699999999</v>
      </c>
      <c r="R3435">
        <v>-3.6465450000000003E-2</v>
      </c>
      <c r="S3435">
        <v>-3.0353850000000002</v>
      </c>
      <c r="T3435">
        <v>-0.1441672</v>
      </c>
      <c r="U3435">
        <v>-0.13452149999999999</v>
      </c>
      <c r="V3435">
        <v>0.10117660000000001</v>
      </c>
      <c r="W3435">
        <v>0.1298473</v>
      </c>
      <c r="X3435">
        <v>0.98635850000000003</v>
      </c>
      <c r="Y3435">
        <v>9.2842910000000001E-2</v>
      </c>
      <c r="Z3435">
        <v>8.6864919999999901E-3</v>
      </c>
      <c r="AA3435">
        <v>0.9956429</v>
      </c>
      <c r="AB3435">
        <v>23</v>
      </c>
      <c r="AC3435">
        <v>-23.024000000000001</v>
      </c>
      <c r="AD3435">
        <v>-1.1052442285749999</v>
      </c>
      <c r="AE3435">
        <v>-1.0031000000000101</v>
      </c>
      <c r="AF3435">
        <v>2.1577955486735898</v>
      </c>
      <c r="AG3435">
        <v>-1.1052442285749999</v>
      </c>
      <c r="AH3435">
        <v>22.8914826401009</v>
      </c>
      <c r="AI3435">
        <v>92.752022025466999</v>
      </c>
      <c r="AJ3435">
        <v>84.615099932135493</v>
      </c>
      <c r="AK3435">
        <v>23.019505292180298</v>
      </c>
      <c r="AL3435">
        <v>82.539231976159201</v>
      </c>
      <c r="AM3435">
        <v>84.143318132858795</v>
      </c>
      <c r="AN3435">
        <v>1.00000005811354</v>
      </c>
    </row>
    <row r="3436" spans="1:40" x14ac:dyDescent="0.25">
      <c r="A3436" t="str">
        <f>"20190312164539631"</f>
        <v>20190312164539631</v>
      </c>
      <c r="B3436" t="str">
        <f>"1552380339625526"</f>
        <v>1552380339625526</v>
      </c>
      <c r="C3436" t="s">
        <v>40</v>
      </c>
      <c r="D3436">
        <v>5.4329190000000001</v>
      </c>
      <c r="E3436">
        <v>0.5188777</v>
      </c>
      <c r="F3436" t="s">
        <v>42</v>
      </c>
      <c r="G3436">
        <v>-236.13460000000001</v>
      </c>
      <c r="H3436" s="1">
        <v>-1.9805080000000001E-6</v>
      </c>
      <c r="I3436">
        <v>140.8939</v>
      </c>
      <c r="J3436">
        <v>-214.34280000000001</v>
      </c>
      <c r="K3436">
        <v>1.1052390000000001</v>
      </c>
      <c r="L3436">
        <v>140.64840000000001</v>
      </c>
      <c r="M3436">
        <v>-0.99131040000000004</v>
      </c>
      <c r="N3436">
        <v>0</v>
      </c>
      <c r="O3436">
        <v>-0.13083880000000001</v>
      </c>
      <c r="P3436">
        <v>-0.99251999999999996</v>
      </c>
      <c r="Q3436">
        <v>0.1170003</v>
      </c>
      <c r="R3436">
        <v>-3.4861139999999999E-2</v>
      </c>
      <c r="S3436">
        <v>-3.042068</v>
      </c>
      <c r="T3436">
        <v>-0.15262249999999999</v>
      </c>
      <c r="U3436">
        <v>3.0364990000000001E-2</v>
      </c>
      <c r="V3436">
        <v>9.6555050000000003E-2</v>
      </c>
      <c r="W3436">
        <v>0.1295164</v>
      </c>
      <c r="X3436">
        <v>0.98686499999999999</v>
      </c>
      <c r="Y3436">
        <v>0.1403992</v>
      </c>
      <c r="Z3436">
        <v>1.006714E-2</v>
      </c>
      <c r="AA3436">
        <v>0.99004380000000003</v>
      </c>
      <c r="AB3436">
        <v>23</v>
      </c>
      <c r="AC3436">
        <v>-21.791799999999899</v>
      </c>
      <c r="AD3436">
        <v>-1.1052409805079999</v>
      </c>
      <c r="AE3436">
        <v>0.245499999999992</v>
      </c>
      <c r="AF3436">
        <v>3.0869261927693299</v>
      </c>
      <c r="AG3436">
        <v>-1.1052409805079999</v>
      </c>
      <c r="AH3436">
        <v>21.516969635042202</v>
      </c>
      <c r="AI3436">
        <v>92.910721740483098</v>
      </c>
      <c r="AJ3436">
        <v>81.8357847371188</v>
      </c>
      <c r="AK3436">
        <v>21.765354424404201</v>
      </c>
      <c r="AL3436">
        <v>82.558351814817001</v>
      </c>
      <c r="AM3436">
        <v>84.411956175232902</v>
      </c>
      <c r="AN3436">
        <v>0.99999995188723001</v>
      </c>
    </row>
    <row r="3437" spans="1:40" x14ac:dyDescent="0.25">
      <c r="A3437" t="str">
        <f>"20190312164539651"</f>
        <v>20190312164539651</v>
      </c>
      <c r="B3437" t="str">
        <f>"1552380339645045"</f>
        <v>1552380339645045</v>
      </c>
      <c r="C3437" t="s">
        <v>40</v>
      </c>
      <c r="D3437">
        <v>5.3810479999999998</v>
      </c>
      <c r="E3437">
        <v>0.51820679999999997</v>
      </c>
      <c r="F3437" t="s">
        <v>42</v>
      </c>
      <c r="G3437">
        <v>-238.78880000000001</v>
      </c>
      <c r="H3437" s="1">
        <v>-8.2244139999999999E-7</v>
      </c>
      <c r="I3437">
        <v>140.821</v>
      </c>
      <c r="J3437">
        <v>-214.55969999999999</v>
      </c>
      <c r="K3437">
        <v>1.1052390000000001</v>
      </c>
      <c r="L3437">
        <v>140.62629999999999</v>
      </c>
      <c r="M3437">
        <v>-0.99204559999999997</v>
      </c>
      <c r="N3437">
        <v>0</v>
      </c>
      <c r="O3437">
        <v>-0.12514349999999999</v>
      </c>
      <c r="P3437">
        <v>-0.99258729999999995</v>
      </c>
      <c r="Q3437">
        <v>0.11679340000000001</v>
      </c>
      <c r="R3437">
        <v>-3.3615440000000003E-2</v>
      </c>
      <c r="S3437">
        <v>-3.0395660000000002</v>
      </c>
      <c r="T3437">
        <v>-0.13742279999999901</v>
      </c>
      <c r="U3437">
        <v>2.1469120000000001E-2</v>
      </c>
      <c r="V3437">
        <v>9.2119660000000006E-2</v>
      </c>
      <c r="W3437">
        <v>0.12935089999999999</v>
      </c>
      <c r="X3437">
        <v>0.98731060000000004</v>
      </c>
      <c r="Y3437">
        <v>0.1318973</v>
      </c>
      <c r="Z3437">
        <v>8.6249900000000008E-3</v>
      </c>
      <c r="AA3437">
        <v>0.99122580000000005</v>
      </c>
      <c r="AB3437">
        <v>23</v>
      </c>
      <c r="AC3437">
        <v>-24.229099999999999</v>
      </c>
      <c r="AD3437">
        <v>-1.10523982244139</v>
      </c>
      <c r="AE3437">
        <v>0.194700000000011</v>
      </c>
      <c r="AF3437">
        <v>3.2188659295595099</v>
      </c>
      <c r="AG3437">
        <v>-1.10523982244139</v>
      </c>
      <c r="AH3437">
        <v>23.9643608486452</v>
      </c>
      <c r="AI3437">
        <v>92.617148456356205</v>
      </c>
      <c r="AJ3437">
        <v>82.349882902966897</v>
      </c>
      <c r="AK3437">
        <v>24.2048186074936</v>
      </c>
      <c r="AL3437">
        <v>82.567914724703598</v>
      </c>
      <c r="AM3437">
        <v>84.669528469261905</v>
      </c>
      <c r="AN3437">
        <v>0.99999995398084096</v>
      </c>
    </row>
    <row r="3438" spans="1:40" x14ac:dyDescent="0.25">
      <c r="A3438" t="str">
        <f>"20190312164539673"</f>
        <v>20190312164539673</v>
      </c>
      <c r="B3438" t="str">
        <f>"1552380339665541"</f>
        <v>1552380339665541</v>
      </c>
      <c r="C3438" t="s">
        <v>40</v>
      </c>
      <c r="D3438">
        <v>5.1632410000000002</v>
      </c>
      <c r="E3438">
        <v>0.51762180000000002</v>
      </c>
      <c r="F3438" t="s">
        <v>42</v>
      </c>
      <c r="G3438">
        <v>-242.72970000000001</v>
      </c>
      <c r="H3438" s="1">
        <v>-3.4253559999999999E-6</v>
      </c>
      <c r="I3438">
        <v>140.83430000000001</v>
      </c>
      <c r="J3438">
        <v>-214.79580000000001</v>
      </c>
      <c r="K3438">
        <v>1.105234</v>
      </c>
      <c r="L3438">
        <v>140.60380000000001</v>
      </c>
      <c r="M3438">
        <v>-0.99280829999999998</v>
      </c>
      <c r="N3438">
        <v>0</v>
      </c>
      <c r="O3438">
        <v>-0.1189424</v>
      </c>
      <c r="P3438">
        <v>-0.9927182</v>
      </c>
      <c r="Q3438">
        <v>0.1162974</v>
      </c>
      <c r="R3438">
        <v>-3.1397639999999997E-2</v>
      </c>
      <c r="S3438">
        <v>-3.0371860000000002</v>
      </c>
      <c r="T3438">
        <v>-0.1191634</v>
      </c>
      <c r="U3438">
        <v>2.243042E-2</v>
      </c>
      <c r="V3438">
        <v>8.8151599999999997E-2</v>
      </c>
      <c r="W3438">
        <v>0.12889220000000001</v>
      </c>
      <c r="X3438">
        <v>0.98773279999999997</v>
      </c>
      <c r="Y3438">
        <v>0.1260945</v>
      </c>
      <c r="Z3438">
        <v>7.1301159999999997E-3</v>
      </c>
      <c r="AA3438">
        <v>0.9919926</v>
      </c>
      <c r="AB3438">
        <v>23</v>
      </c>
      <c r="AC3438">
        <v>-27.933899999999898</v>
      </c>
      <c r="AD3438">
        <v>-1.105237425356</v>
      </c>
      <c r="AE3438">
        <v>0.23050000000000601</v>
      </c>
      <c r="AF3438">
        <v>3.5461438295364101</v>
      </c>
      <c r="AG3438">
        <v>-1.105237425356</v>
      </c>
      <c r="AH3438">
        <v>27.664840293570599</v>
      </c>
      <c r="AI3438">
        <v>92.2692586074605</v>
      </c>
      <c r="AJ3438">
        <v>82.695525299824794</v>
      </c>
      <c r="AK3438">
        <v>27.913080702332699</v>
      </c>
      <c r="AL3438">
        <v>82.594418464569003</v>
      </c>
      <c r="AM3438">
        <v>84.900069285099804</v>
      </c>
      <c r="AN3438">
        <v>0.99999999399962003</v>
      </c>
    </row>
    <row r="3439" spans="1:40" x14ac:dyDescent="0.25">
      <c r="A3439" t="str">
        <f>"20190312164539696"</f>
        <v>20190312164539696</v>
      </c>
      <c r="B3439" t="str">
        <f>"1552380339685061"</f>
        <v>1552380339685061</v>
      </c>
      <c r="C3439" t="s">
        <v>40</v>
      </c>
      <c r="D3439">
        <v>5.3064299999999998</v>
      </c>
      <c r="E3439">
        <v>0.51716890000000004</v>
      </c>
      <c r="F3439" t="s">
        <v>42</v>
      </c>
      <c r="G3439">
        <v>-239.17349999999999</v>
      </c>
      <c r="H3439" s="1">
        <v>-6.5213659999999996E-7</v>
      </c>
      <c r="I3439">
        <v>140.80109999999999</v>
      </c>
      <c r="J3439">
        <v>-215.03729999999999</v>
      </c>
      <c r="K3439">
        <v>1.105227</v>
      </c>
      <c r="L3439">
        <v>140.5823</v>
      </c>
      <c r="M3439">
        <v>-0.99354790000000004</v>
      </c>
      <c r="N3439">
        <v>0</v>
      </c>
      <c r="O3439">
        <v>-0.1125974</v>
      </c>
      <c r="P3439">
        <v>-0.99296629999999997</v>
      </c>
      <c r="Q3439">
        <v>0.11488959999999999</v>
      </c>
      <c r="R3439">
        <v>-2.8603489999999999E-2</v>
      </c>
      <c r="S3439">
        <v>-3.03891</v>
      </c>
      <c r="T3439">
        <v>-0.13777790000000001</v>
      </c>
      <c r="U3439">
        <v>2.4597170000000002E-2</v>
      </c>
      <c r="V3439">
        <v>8.4619029999999998E-2</v>
      </c>
      <c r="W3439">
        <v>0.1275194</v>
      </c>
      <c r="X3439">
        <v>0.98821990000000004</v>
      </c>
      <c r="Y3439">
        <v>0.120407399999999</v>
      </c>
      <c r="Z3439">
        <v>7.8232030000000008E-3</v>
      </c>
      <c r="AA3439">
        <v>0.99269370000000001</v>
      </c>
      <c r="AB3439">
        <v>23</v>
      </c>
      <c r="AC3439">
        <v>-24.136199999999999</v>
      </c>
      <c r="AD3439">
        <v>-1.1052276521366</v>
      </c>
      <c r="AE3439">
        <v>0.218799999999987</v>
      </c>
      <c r="AF3439">
        <v>2.92919074524902</v>
      </c>
      <c r="AG3439">
        <v>-1.1052276521366</v>
      </c>
      <c r="AH3439">
        <v>23.907916494992602</v>
      </c>
      <c r="AI3439">
        <v>92.627197565818193</v>
      </c>
      <c r="AJ3439">
        <v>83.014950530022901</v>
      </c>
      <c r="AK3439">
        <v>24.1120334629131</v>
      </c>
      <c r="AL3439">
        <v>82.673729208723699</v>
      </c>
      <c r="AM3439">
        <v>85.105830504353904</v>
      </c>
      <c r="AN3439">
        <v>1.0000000741852499</v>
      </c>
    </row>
    <row r="3440" spans="1:40" x14ac:dyDescent="0.25">
      <c r="A3440" t="str">
        <f>"20190312164539717"</f>
        <v>20190312164539717</v>
      </c>
      <c r="B3440" t="str">
        <f>"1552380339715318"</f>
        <v>1552380339715318</v>
      </c>
      <c r="C3440" t="s">
        <v>40</v>
      </c>
      <c r="D3440">
        <v>5.2650100000000002</v>
      </c>
      <c r="E3440">
        <v>0.51657710000000001</v>
      </c>
      <c r="F3440" t="s">
        <v>42</v>
      </c>
      <c r="G3440">
        <v>-236.8793</v>
      </c>
      <c r="H3440" s="1">
        <v>-1.6330770000000001E-6</v>
      </c>
      <c r="I3440">
        <v>140.78890000000001</v>
      </c>
      <c r="J3440">
        <v>-215.25739999999999</v>
      </c>
      <c r="K3440">
        <v>1.1052200000000001</v>
      </c>
      <c r="L3440">
        <v>140.5641</v>
      </c>
      <c r="M3440">
        <v>-0.99418629999999997</v>
      </c>
      <c r="N3440">
        <v>0</v>
      </c>
      <c r="O3440">
        <v>-0.1068142</v>
      </c>
      <c r="P3440">
        <v>-0.99313070000000003</v>
      </c>
      <c r="Q3440">
        <v>0.1139237</v>
      </c>
      <c r="R3440">
        <v>-2.669788E-2</v>
      </c>
      <c r="S3440">
        <v>-3.0398559999999999</v>
      </c>
      <c r="T3440">
        <v>-0.1538197</v>
      </c>
      <c r="U3440">
        <v>2.8762820000000001E-2</v>
      </c>
      <c r="V3440">
        <v>8.0759739999999997E-2</v>
      </c>
      <c r="W3440">
        <v>0.12659239999999999</v>
      </c>
      <c r="X3440">
        <v>0.98866180000000004</v>
      </c>
      <c r="Y3440">
        <v>0.1159419</v>
      </c>
      <c r="Z3440">
        <v>8.3261969999999901E-3</v>
      </c>
      <c r="AA3440">
        <v>0.99322109999999997</v>
      </c>
      <c r="AB3440">
        <v>23</v>
      </c>
      <c r="AC3440">
        <v>-21.6219</v>
      </c>
      <c r="AD3440">
        <v>-1.1052216330769999</v>
      </c>
      <c r="AE3440">
        <v>0.22480000000001599</v>
      </c>
      <c r="AF3440">
        <v>2.5266515204158</v>
      </c>
      <c r="AG3440">
        <v>-1.1052216330769999</v>
      </c>
      <c r="AH3440">
        <v>21.418208085223</v>
      </c>
      <c r="AI3440">
        <v>92.933648434801199</v>
      </c>
      <c r="AJ3440">
        <v>83.272057071706996</v>
      </c>
      <c r="AK3440">
        <v>21.5950253610815</v>
      </c>
      <c r="AL3440">
        <v>82.727275551618007</v>
      </c>
      <c r="AM3440">
        <v>85.330110375199595</v>
      </c>
      <c r="AN3440">
        <v>0.99999996306093297</v>
      </c>
    </row>
    <row r="3441" spans="1:40" x14ac:dyDescent="0.25">
      <c r="A3441" t="str">
        <f>"20190312164539739"</f>
        <v>20190312164539739</v>
      </c>
      <c r="B3441" t="str">
        <f>"1552380339734837"</f>
        <v>1552380339734837</v>
      </c>
      <c r="C3441" t="s">
        <v>40</v>
      </c>
      <c r="D3441">
        <v>5.1877930000000001</v>
      </c>
      <c r="E3441">
        <v>0.51660850000000003</v>
      </c>
      <c r="F3441" t="s">
        <v>42</v>
      </c>
      <c r="G3441">
        <v>-236.37520000000001</v>
      </c>
      <c r="H3441" s="1">
        <v>-1.844276E-6</v>
      </c>
      <c r="I3441">
        <v>140.76990000000001</v>
      </c>
      <c r="J3441">
        <v>-215.489</v>
      </c>
      <c r="K3441">
        <v>1.1052280000000001</v>
      </c>
      <c r="L3441">
        <v>140.5462</v>
      </c>
      <c r="M3441">
        <v>-0.99482130000000002</v>
      </c>
      <c r="N3441">
        <v>0</v>
      </c>
      <c r="O3441">
        <v>-0.10072970000000001</v>
      </c>
      <c r="P3441">
        <v>-0.99334069999999997</v>
      </c>
      <c r="Q3441">
        <v>0.1126373</v>
      </c>
      <c r="R3441">
        <v>-2.423138E-2</v>
      </c>
      <c r="S3441">
        <v>-3.0397949999999998</v>
      </c>
      <c r="T3441">
        <v>-0.1590906</v>
      </c>
      <c r="U3441">
        <v>2.963257E-2</v>
      </c>
      <c r="V3441">
        <v>7.7160850000000003E-2</v>
      </c>
      <c r="W3441">
        <v>0.1253426</v>
      </c>
      <c r="X3441">
        <v>0.9891084</v>
      </c>
      <c r="Y3441">
        <v>0.11014400000000001</v>
      </c>
      <c r="Z3441">
        <v>8.1426740000000008E-3</v>
      </c>
      <c r="AA3441">
        <v>0.9938823</v>
      </c>
      <c r="AB3441">
        <v>23</v>
      </c>
      <c r="AC3441">
        <v>-20.886199999999999</v>
      </c>
      <c r="AD3441">
        <v>-1.105229844276</v>
      </c>
      <c r="AE3441">
        <v>0.223700000000008</v>
      </c>
      <c r="AF3441">
        <v>2.3201203545394802</v>
      </c>
      <c r="AG3441">
        <v>-1.105229844276</v>
      </c>
      <c r="AH3441">
        <v>20.699458685009301</v>
      </c>
      <c r="AI3441">
        <v>93.037372543287702</v>
      </c>
      <c r="AJ3441">
        <v>83.604636074181997</v>
      </c>
      <c r="AK3441">
        <v>20.8583815604335</v>
      </c>
      <c r="AL3441">
        <v>82.799459044887698</v>
      </c>
      <c r="AM3441">
        <v>85.539361037418502</v>
      </c>
      <c r="AN3441">
        <v>0.99999999554902097</v>
      </c>
    </row>
    <row r="3442" spans="1:40" x14ac:dyDescent="0.25">
      <c r="A3442" t="str">
        <f>"20190312164539763"</f>
        <v>20190312164539763</v>
      </c>
      <c r="B3442" t="str">
        <f>"1552380339755333"</f>
        <v>1552380339755333</v>
      </c>
      <c r="C3442" t="s">
        <v>40</v>
      </c>
      <c r="D3442">
        <v>5.2740780000000003</v>
      </c>
      <c r="E3442">
        <v>0.51640269999999999</v>
      </c>
      <c r="F3442" t="s">
        <v>42</v>
      </c>
      <c r="G3442">
        <v>-237.3134</v>
      </c>
      <c r="H3442" s="1">
        <v>-1.454339E-6</v>
      </c>
      <c r="I3442">
        <v>140.8169</v>
      </c>
      <c r="J3442">
        <v>-215.7336</v>
      </c>
      <c r="K3442">
        <v>1.1052420000000001</v>
      </c>
      <c r="L3442">
        <v>140.529</v>
      </c>
      <c r="M3442">
        <v>-0.99545119999999998</v>
      </c>
      <c r="N3442">
        <v>0</v>
      </c>
      <c r="O3442">
        <v>-9.4304219999999994E-2</v>
      </c>
      <c r="P3442">
        <v>-0.99351940000000005</v>
      </c>
      <c r="Q3442">
        <v>0.111649</v>
      </c>
      <c r="R3442">
        <v>-2.130396E-2</v>
      </c>
      <c r="S3442">
        <v>-3.0384669999999998</v>
      </c>
      <c r="T3442">
        <v>-0.15387419999999999</v>
      </c>
      <c r="U3442">
        <v>3.7689210000000001E-2</v>
      </c>
      <c r="V3442">
        <v>7.3682020000000001E-2</v>
      </c>
      <c r="W3442">
        <v>0.12438929999999999</v>
      </c>
      <c r="X3442">
        <v>0.98949399999999998</v>
      </c>
      <c r="Y3442">
        <v>0.1063964</v>
      </c>
      <c r="Z3442">
        <v>7.4605560000000001E-3</v>
      </c>
      <c r="AA3442">
        <v>0.99429579999999995</v>
      </c>
      <c r="AB3442">
        <v>23</v>
      </c>
      <c r="AC3442">
        <v>-21.579799999999999</v>
      </c>
      <c r="AD3442">
        <v>-1.105243454339</v>
      </c>
      <c r="AE3442">
        <v>0.28790000000000698</v>
      </c>
      <c r="AF3442">
        <v>2.3157962196844299</v>
      </c>
      <c r="AG3442">
        <v>-1.105243454339</v>
      </c>
      <c r="AH3442">
        <v>21.4003316307472</v>
      </c>
      <c r="AI3442">
        <v>92.939346693656304</v>
      </c>
      <c r="AJ3442">
        <v>83.8238788924278</v>
      </c>
      <c r="AK3442">
        <v>21.553623109130001</v>
      </c>
      <c r="AL3442">
        <v>82.854510404897894</v>
      </c>
      <c r="AM3442">
        <v>85.741367137622902</v>
      </c>
      <c r="AN3442">
        <v>1.00000005703088</v>
      </c>
    </row>
    <row r="3443" spans="1:40" x14ac:dyDescent="0.25">
      <c r="A3443" t="str">
        <f>"20190312164539785"</f>
        <v>20190312164539785</v>
      </c>
      <c r="B3443" t="str">
        <f>"1552380339774857"</f>
        <v>1552380339774857</v>
      </c>
      <c r="C3443" t="s">
        <v>40</v>
      </c>
      <c r="D3443">
        <v>5.3660139999999998</v>
      </c>
      <c r="E3443">
        <v>0.51646859999999895</v>
      </c>
      <c r="F3443" t="s">
        <v>42</v>
      </c>
      <c r="G3443">
        <v>-237.87899999999999</v>
      </c>
      <c r="H3443" s="1">
        <v>-1.2235189999999999E-6</v>
      </c>
      <c r="I3443">
        <v>140.8613</v>
      </c>
      <c r="J3443">
        <v>-215.97559999999999</v>
      </c>
      <c r="K3443">
        <v>1.105253</v>
      </c>
      <c r="L3443">
        <v>140.51339999999999</v>
      </c>
      <c r="M3443">
        <v>-0.99603299999999995</v>
      </c>
      <c r="N3443">
        <v>0</v>
      </c>
      <c r="O3443">
        <v>-8.7946330000000003E-2</v>
      </c>
      <c r="P3443">
        <v>-0.99356060000000002</v>
      </c>
      <c r="Q3443">
        <v>0.1117903</v>
      </c>
      <c r="R3443">
        <v>-1.845478E-2</v>
      </c>
      <c r="S3443">
        <v>-3.037598</v>
      </c>
      <c r="T3443">
        <v>-0.15160209999999999</v>
      </c>
      <c r="U3443">
        <v>4.5593259999999997E-2</v>
      </c>
      <c r="V3443">
        <v>7.0193320000000003E-2</v>
      </c>
      <c r="W3443">
        <v>0.12456390000000001</v>
      </c>
      <c r="X3443">
        <v>0.98972559999999998</v>
      </c>
      <c r="Y3443">
        <v>0.1026572</v>
      </c>
      <c r="Z3443">
        <v>6.9431650000000003E-3</v>
      </c>
      <c r="AA3443">
        <v>0.99469260000000004</v>
      </c>
      <c r="AB3443">
        <v>23</v>
      </c>
      <c r="AC3443">
        <v>-21.903400000000001</v>
      </c>
      <c r="AD3443">
        <v>-1.1052542235189999</v>
      </c>
      <c r="AE3443">
        <v>0.34790000000000898</v>
      </c>
      <c r="AF3443">
        <v>2.2672807105944801</v>
      </c>
      <c r="AG3443">
        <v>-1.1052542235189999</v>
      </c>
      <c r="AH3443">
        <v>21.7325913741854</v>
      </c>
      <c r="AI3443">
        <v>92.895693971229605</v>
      </c>
      <c r="AJ3443">
        <v>84.044089314249703</v>
      </c>
      <c r="AK3443">
        <v>21.8784751881057</v>
      </c>
      <c r="AL3443">
        <v>82.8444278480615</v>
      </c>
      <c r="AM3443">
        <v>85.943261272649906</v>
      </c>
      <c r="AN3443">
        <v>1.0000000153255899</v>
      </c>
    </row>
    <row r="3444" spans="1:40" x14ac:dyDescent="0.25">
      <c r="A3444" t="str">
        <f>"20190312164539807"</f>
        <v>20190312164539807</v>
      </c>
      <c r="B3444" t="str">
        <f>"1552380339795349"</f>
        <v>1552380339795349</v>
      </c>
      <c r="C3444" t="s">
        <v>40</v>
      </c>
      <c r="D3444">
        <v>5.2827580000000003</v>
      </c>
      <c r="E3444">
        <v>0.51616399999999996</v>
      </c>
      <c r="F3444" t="s">
        <v>42</v>
      </c>
      <c r="G3444">
        <v>-239.137</v>
      </c>
      <c r="H3444" s="1">
        <v>-7.0325520000000002E-7</v>
      </c>
      <c r="I3444">
        <v>140.93440000000001</v>
      </c>
      <c r="J3444">
        <v>-216.19800000000001</v>
      </c>
      <c r="K3444">
        <v>1.1052550000000001</v>
      </c>
      <c r="L3444">
        <v>140.50049999999999</v>
      </c>
      <c r="M3444">
        <v>-0.99653170000000002</v>
      </c>
      <c r="N3444">
        <v>0</v>
      </c>
      <c r="O3444">
        <v>-8.2102220000000004E-2</v>
      </c>
      <c r="P3444">
        <v>-0.99356659999999997</v>
      </c>
      <c r="Q3444">
        <v>0.1119318</v>
      </c>
      <c r="R3444">
        <v>-1.7226129999999999E-2</v>
      </c>
      <c r="S3444">
        <v>-3.0367739999999999</v>
      </c>
      <c r="T3444">
        <v>-0.1449134</v>
      </c>
      <c r="U3444">
        <v>5.52063E-2</v>
      </c>
      <c r="V3444">
        <v>6.5601049999999994E-2</v>
      </c>
      <c r="W3444">
        <v>0.12475120000000001</v>
      </c>
      <c r="X3444">
        <v>0.99001700000000004</v>
      </c>
      <c r="Y3444">
        <v>0.100004</v>
      </c>
      <c r="Z3444">
        <v>6.2976259999999997E-3</v>
      </c>
      <c r="AA3444">
        <v>0.99496709999999999</v>
      </c>
      <c r="AB3444">
        <v>23</v>
      </c>
      <c r="AC3444">
        <v>-22.939</v>
      </c>
      <c r="AD3444">
        <v>-1.1052557032552</v>
      </c>
      <c r="AE3444">
        <v>0.43390000000002199</v>
      </c>
      <c r="AF3444">
        <v>2.31058856056148</v>
      </c>
      <c r="AG3444">
        <v>-1.1052557032552</v>
      </c>
      <c r="AH3444">
        <v>22.773064550261701</v>
      </c>
      <c r="AI3444">
        <v>92.764411955864901</v>
      </c>
      <c r="AJ3444">
        <v>84.206512034634898</v>
      </c>
      <c r="AK3444">
        <v>22.916650686262201</v>
      </c>
      <c r="AL3444">
        <v>82.833611944542994</v>
      </c>
      <c r="AM3444">
        <v>86.208977565591795</v>
      </c>
      <c r="AN3444">
        <v>1.00000000997577</v>
      </c>
    </row>
    <row r="3445" spans="1:40" x14ac:dyDescent="0.25">
      <c r="A3445" t="str">
        <f>"20190312164539830"</f>
        <v>20190312164539830</v>
      </c>
      <c r="B3445" t="str">
        <f>"1552380339824630"</f>
        <v>1552380339824630</v>
      </c>
      <c r="C3445" t="s">
        <v>40</v>
      </c>
      <c r="D3445">
        <v>5.2499929999999999</v>
      </c>
      <c r="E3445">
        <v>0.51558510000000002</v>
      </c>
      <c r="F3445" t="s">
        <v>42</v>
      </c>
      <c r="G3445">
        <v>-239.5478</v>
      </c>
      <c r="H3445" s="1">
        <v>-5.2883339999999995E-7</v>
      </c>
      <c r="I3445">
        <v>140.94110000000001</v>
      </c>
      <c r="J3445">
        <v>-216.43719999999999</v>
      </c>
      <c r="K3445">
        <v>1.1052660000000001</v>
      </c>
      <c r="L3445">
        <v>140.4881</v>
      </c>
      <c r="M3445">
        <v>-0.9970289</v>
      </c>
      <c r="N3445">
        <v>0</v>
      </c>
      <c r="O3445">
        <v>-7.5827080000000005E-2</v>
      </c>
      <c r="P3445">
        <v>-0.99354710000000002</v>
      </c>
      <c r="Q3445">
        <v>0.1122573</v>
      </c>
      <c r="R3445">
        <v>-1.6215090000000001E-2</v>
      </c>
      <c r="S3445">
        <v>-3.036591</v>
      </c>
      <c r="T3445">
        <v>-0.14373620000000001</v>
      </c>
      <c r="U3445">
        <v>5.7312009999999997E-2</v>
      </c>
      <c r="V3445">
        <v>6.0363479999999997E-2</v>
      </c>
      <c r="W3445">
        <v>0.1251283</v>
      </c>
      <c r="X3445">
        <v>0.99030260000000003</v>
      </c>
      <c r="Y3445">
        <v>9.4446119999999995E-2</v>
      </c>
      <c r="Z3445">
        <v>5.819154E-3</v>
      </c>
      <c r="AA3445">
        <v>0.99551299999999998</v>
      </c>
      <c r="AB3445">
        <v>23</v>
      </c>
      <c r="AC3445">
        <v>-23.110600000000002</v>
      </c>
      <c r="AD3445">
        <v>-1.10526652883339</v>
      </c>
      <c r="AE3445">
        <v>0.45300000000000301</v>
      </c>
      <c r="AF3445">
        <v>2.19923754634255</v>
      </c>
      <c r="AG3445">
        <v>-1.10526652883339</v>
      </c>
      <c r="AH3445">
        <v>22.957210654957901</v>
      </c>
      <c r="AI3445">
        <v>92.743813988387203</v>
      </c>
      <c r="AJ3445">
        <v>84.527920667079101</v>
      </c>
      <c r="AK3445">
        <v>23.088780412596801</v>
      </c>
      <c r="AL3445">
        <v>82.811835289431201</v>
      </c>
      <c r="AM3445">
        <v>86.511875494271493</v>
      </c>
      <c r="AN3445">
        <v>1.0000000403726701</v>
      </c>
    </row>
    <row r="3446" spans="1:40" x14ac:dyDescent="0.25">
      <c r="A3446" t="str">
        <f>"20190312164539852"</f>
        <v>20190312164539852</v>
      </c>
      <c r="B3446" t="str">
        <f>"1552380339845126"</f>
        <v>1552380339845126</v>
      </c>
      <c r="C3446" t="s">
        <v>40</v>
      </c>
      <c r="D3446">
        <v>5.2834120000000002</v>
      </c>
      <c r="E3446">
        <v>0.51529829999999999</v>
      </c>
      <c r="F3446" t="s">
        <v>42</v>
      </c>
      <c r="G3446">
        <v>-239.05350000000001</v>
      </c>
      <c r="H3446" s="1">
        <v>-7.3247299999999997E-7</v>
      </c>
      <c r="I3446">
        <v>140.90960000000001</v>
      </c>
      <c r="J3446">
        <v>-216.67230000000001</v>
      </c>
      <c r="K3446">
        <v>1.1052869999999999</v>
      </c>
      <c r="L3446">
        <v>140.47739999999999</v>
      </c>
      <c r="M3446">
        <v>-0.99747730000000001</v>
      </c>
      <c r="N3446">
        <v>0</v>
      </c>
      <c r="O3446">
        <v>-6.9683599999999998E-2</v>
      </c>
      <c r="P3446">
        <v>-0.9932898</v>
      </c>
      <c r="Q3446">
        <v>0.1147729</v>
      </c>
      <c r="R3446">
        <v>-1.425766E-2</v>
      </c>
      <c r="S3446">
        <v>-3.0372159999999999</v>
      </c>
      <c r="T3446">
        <v>-0.148429799999999</v>
      </c>
      <c r="U3446">
        <v>5.6610109999999998E-2</v>
      </c>
      <c r="V3446">
        <v>5.6203570000000001E-2</v>
      </c>
      <c r="W3446">
        <v>0.12768160000000001</v>
      </c>
      <c r="X3446">
        <v>0.99022149999999998</v>
      </c>
      <c r="Y3446">
        <v>8.8079989999999997E-2</v>
      </c>
      <c r="Z3446">
        <v>5.5527060000000001E-3</v>
      </c>
      <c r="AA3446">
        <v>0.99609789999999998</v>
      </c>
      <c r="AB3446">
        <v>23</v>
      </c>
      <c r="AC3446">
        <v>-22.3812</v>
      </c>
      <c r="AD3446">
        <v>-1.1052877324729999</v>
      </c>
      <c r="AE3446">
        <v>0.43220000000002201</v>
      </c>
      <c r="AF3446">
        <v>1.9860528166493301</v>
      </c>
      <c r="AG3446">
        <v>-1.1052877324729999</v>
      </c>
      <c r="AH3446">
        <v>22.242438908069001</v>
      </c>
      <c r="AI3446">
        <v>92.833589091155204</v>
      </c>
      <c r="AJ3446">
        <v>84.897526105470007</v>
      </c>
      <c r="AK3446">
        <v>22.358268165071699</v>
      </c>
      <c r="AL3446">
        <v>82.664358882625393</v>
      </c>
      <c r="AM3446">
        <v>86.751458137085507</v>
      </c>
      <c r="AN3446">
        <v>1.00000002566077</v>
      </c>
    </row>
    <row r="3447" spans="1:40" x14ac:dyDescent="0.25">
      <c r="A3447" t="str">
        <f>"20190312164539874"</f>
        <v>20190312164539874</v>
      </c>
      <c r="B3447" t="str">
        <f>"1552380339864649"</f>
        <v>1552380339864649</v>
      </c>
      <c r="C3447" t="s">
        <v>40</v>
      </c>
      <c r="D3447">
        <v>5.3558879999999904</v>
      </c>
      <c r="E3447">
        <v>0.51495809999999997</v>
      </c>
      <c r="F3447" t="s">
        <v>42</v>
      </c>
      <c r="G3447">
        <v>-240.14670000000001</v>
      </c>
      <c r="H3447" s="1">
        <v>-4.460479E-6</v>
      </c>
      <c r="I3447">
        <v>140.9376</v>
      </c>
      <c r="J3447">
        <v>-216.9042</v>
      </c>
      <c r="K3447">
        <v>1.1053139999999999</v>
      </c>
      <c r="L3447">
        <v>140.4683</v>
      </c>
      <c r="M3447">
        <v>-0.99788019999999999</v>
      </c>
      <c r="N3447">
        <v>0</v>
      </c>
      <c r="O3447">
        <v>-6.3653280000000007E-2</v>
      </c>
      <c r="P3447">
        <v>-0.99281430000000004</v>
      </c>
      <c r="Q3447">
        <v>0.11912979999999999</v>
      </c>
      <c r="R3447">
        <v>-1.131597E-2</v>
      </c>
      <c r="S3447">
        <v>-3.0376430000000001</v>
      </c>
      <c r="T3447">
        <v>-0.1430274</v>
      </c>
      <c r="U3447">
        <v>5.9555049999999998E-2</v>
      </c>
      <c r="V3447">
        <v>5.3144179999999999E-2</v>
      </c>
      <c r="W3447">
        <v>0.13206109999999999</v>
      </c>
      <c r="X3447">
        <v>0.98981589999999997</v>
      </c>
      <c r="Y3447">
        <v>8.3046590000000003E-2</v>
      </c>
      <c r="Z3447">
        <v>4.9482420000000003E-3</v>
      </c>
      <c r="AA3447">
        <v>0.99653340000000001</v>
      </c>
      <c r="AB3447">
        <v>23</v>
      </c>
      <c r="AC3447">
        <v>-23.2425</v>
      </c>
      <c r="AD3447">
        <v>-1.1053184604789901</v>
      </c>
      <c r="AE3447">
        <v>0.46930000000000399</v>
      </c>
      <c r="AF3447">
        <v>1.9435514626581301</v>
      </c>
      <c r="AG3447">
        <v>-1.1053184604789901</v>
      </c>
      <c r="AH3447">
        <v>23.113231263311</v>
      </c>
      <c r="AI3447">
        <v>92.7282927033053</v>
      </c>
      <c r="AJ3447">
        <v>85.193405038810496</v>
      </c>
      <c r="AK3447">
        <v>23.221123586475599</v>
      </c>
      <c r="AL3447">
        <v>82.411288146355801</v>
      </c>
      <c r="AM3447">
        <v>86.926684680636797</v>
      </c>
      <c r="AN3447">
        <v>0.99999997694694598</v>
      </c>
    </row>
    <row r="3448" spans="1:40" x14ac:dyDescent="0.25">
      <c r="A3448" t="str">
        <f>"20190312164539896"</f>
        <v>20190312164539896</v>
      </c>
      <c r="B3448" t="str">
        <f>"1552380339885156"</f>
        <v>1552380339885156</v>
      </c>
      <c r="C3448" t="s">
        <v>40</v>
      </c>
      <c r="D3448">
        <v>5.2759029999999996</v>
      </c>
      <c r="E3448">
        <v>0.51465919999999998</v>
      </c>
      <c r="F3448" t="s">
        <v>42</v>
      </c>
      <c r="G3448">
        <v>-242.08369999999999</v>
      </c>
      <c r="H3448" s="1">
        <v>-3.746422E-6</v>
      </c>
      <c r="I3448">
        <v>140.99940000000001</v>
      </c>
      <c r="J3448">
        <v>-217.13229999999999</v>
      </c>
      <c r="K3448">
        <v>1.105367</v>
      </c>
      <c r="L3448">
        <v>140.4606</v>
      </c>
      <c r="M3448">
        <v>-0.99823790000000001</v>
      </c>
      <c r="N3448">
        <v>0</v>
      </c>
      <c r="O3448">
        <v>-5.7772270000000001E-2</v>
      </c>
      <c r="P3448">
        <v>-0.99251129999999999</v>
      </c>
      <c r="Q3448">
        <v>0.12189129999999999</v>
      </c>
      <c r="R3448">
        <v>-7.9892880000000006E-3</v>
      </c>
      <c r="S3448">
        <v>-3.0384220000000002</v>
      </c>
      <c r="T3448">
        <v>-0.13337950000000001</v>
      </c>
      <c r="U3448">
        <v>6.410217E-2</v>
      </c>
      <c r="V3448">
        <v>5.0616130000000002E-2</v>
      </c>
      <c r="W3448">
        <v>0.1348432</v>
      </c>
      <c r="X3448">
        <v>0.98957329999999999</v>
      </c>
      <c r="Y3448">
        <v>7.8690629999999998E-2</v>
      </c>
      <c r="Z3448">
        <v>4.2602630000000002E-3</v>
      </c>
      <c r="AA3448">
        <v>0.99689000000000005</v>
      </c>
      <c r="AB3448">
        <v>23</v>
      </c>
      <c r="AC3448">
        <v>-24.9514</v>
      </c>
      <c r="AD3448">
        <v>-1.105370746422</v>
      </c>
      <c r="AE3448">
        <v>0.53880000000000805</v>
      </c>
      <c r="AF3448">
        <v>1.9756556250635999</v>
      </c>
      <c r="AG3448">
        <v>-1.105370746422</v>
      </c>
      <c r="AH3448">
        <v>24.829879883812499</v>
      </c>
      <c r="AI3448">
        <v>92.540976803705206</v>
      </c>
      <c r="AJ3448">
        <v>85.450692890612302</v>
      </c>
      <c r="AK3448">
        <v>24.9328697642379</v>
      </c>
      <c r="AL3448">
        <v>82.250446984096897</v>
      </c>
      <c r="AM3448">
        <v>87.071904172608896</v>
      </c>
      <c r="AN3448">
        <v>0.99999999863765299</v>
      </c>
    </row>
    <row r="3449" spans="1:40" x14ac:dyDescent="0.25">
      <c r="A3449" t="str">
        <f>"20190312164539918"</f>
        <v>20190312164539918</v>
      </c>
      <c r="B3449" t="str">
        <f>"1552380339915397"</f>
        <v>1552380339915397</v>
      </c>
      <c r="C3449" t="s">
        <v>40</v>
      </c>
      <c r="D3449">
        <v>5.4507130000000004</v>
      </c>
      <c r="E3449">
        <v>0.51425730000000003</v>
      </c>
      <c r="F3449" t="s">
        <v>42</v>
      </c>
      <c r="G3449">
        <v>-242.8886</v>
      </c>
      <c r="H3449" s="1">
        <v>-3.4165499999999999E-6</v>
      </c>
      <c r="I3449">
        <v>141.0574</v>
      </c>
      <c r="J3449">
        <v>-217.36019999999999</v>
      </c>
      <c r="K3449">
        <v>1.105443</v>
      </c>
      <c r="L3449">
        <v>140.45410000000001</v>
      </c>
      <c r="M3449">
        <v>-0.99855590000000005</v>
      </c>
      <c r="N3449">
        <v>0</v>
      </c>
      <c r="O3449">
        <v>-5.1991160000000002E-2</v>
      </c>
      <c r="P3449">
        <v>-0.99251069999999997</v>
      </c>
      <c r="Q3449">
        <v>0.1221264</v>
      </c>
      <c r="R3449">
        <v>-2.8479920000000001E-3</v>
      </c>
      <c r="S3449">
        <v>-3.039215</v>
      </c>
      <c r="T3449">
        <v>-0.13043279999999999</v>
      </c>
      <c r="U3449">
        <v>7.0434570000000002E-2</v>
      </c>
      <c r="V3449">
        <v>4.999E-2</v>
      </c>
      <c r="W3449">
        <v>0.1350846</v>
      </c>
      <c r="X3449">
        <v>0.98957220000000001</v>
      </c>
      <c r="Y3449">
        <v>7.5002810000000003E-2</v>
      </c>
      <c r="Z3449">
        <v>3.8382220000000001E-3</v>
      </c>
      <c r="AA3449">
        <v>0.9971759</v>
      </c>
      <c r="AB3449">
        <v>23</v>
      </c>
      <c r="AC3449">
        <v>-25.528400000000001</v>
      </c>
      <c r="AD3449">
        <v>-1.10544641655</v>
      </c>
      <c r="AE3449">
        <v>0.60329999999998996</v>
      </c>
      <c r="AF3449">
        <v>1.9262466058269101</v>
      </c>
      <c r="AG3449">
        <v>-1.10544641655</v>
      </c>
      <c r="AH3449">
        <v>25.414869293030801</v>
      </c>
      <c r="AI3449">
        <v>92.483456352697601</v>
      </c>
      <c r="AJ3449">
        <v>85.665718564429497</v>
      </c>
      <c r="AK3449">
        <v>25.511723166970999</v>
      </c>
      <c r="AL3449">
        <v>82.236488030801596</v>
      </c>
      <c r="AM3449">
        <v>87.108060128267397</v>
      </c>
      <c r="AN3449">
        <v>0.99999999413499996</v>
      </c>
    </row>
    <row r="3450" spans="1:40" x14ac:dyDescent="0.25">
      <c r="A3450" t="str">
        <f>"20190312164539940"</f>
        <v>20190312164539940</v>
      </c>
      <c r="B3450" t="str">
        <f>"1552380339934918"</f>
        <v>1552380339934918</v>
      </c>
      <c r="C3450" t="s">
        <v>40</v>
      </c>
      <c r="D3450">
        <v>5.3515420000000002</v>
      </c>
      <c r="E3450">
        <v>0.51401289999999999</v>
      </c>
      <c r="F3450" t="s">
        <v>42</v>
      </c>
      <c r="G3450">
        <v>-242.8348</v>
      </c>
      <c r="H3450" s="1">
        <v>-3.4618130000000002E-6</v>
      </c>
      <c r="I3450">
        <v>141.14080000000001</v>
      </c>
      <c r="J3450">
        <v>-217.59280000000001</v>
      </c>
      <c r="K3450">
        <v>1.1055379999999999</v>
      </c>
      <c r="L3450">
        <v>140.44880000000001</v>
      </c>
      <c r="M3450">
        <v>-0.99883940000000004</v>
      </c>
      <c r="N3450">
        <v>0</v>
      </c>
      <c r="O3450">
        <v>-4.6226450000000002E-2</v>
      </c>
      <c r="P3450">
        <v>-0.99252839999999998</v>
      </c>
      <c r="Q3450">
        <v>0.1220049</v>
      </c>
      <c r="R3450">
        <v>1.4488350000000001E-3</v>
      </c>
      <c r="S3450">
        <v>-3.0391080000000001</v>
      </c>
      <c r="T3450">
        <v>-0.13187929999999901</v>
      </c>
      <c r="U3450">
        <v>8.1924440000000001E-2</v>
      </c>
      <c r="V3450">
        <v>4.8526260000000002E-2</v>
      </c>
      <c r="W3450">
        <v>0.13497919999999999</v>
      </c>
      <c r="X3450">
        <v>0.98965939999999997</v>
      </c>
      <c r="Y3450">
        <v>7.3019870000000001E-2</v>
      </c>
      <c r="Z3450">
        <v>3.5878899999999998E-3</v>
      </c>
      <c r="AA3450">
        <v>0.99732399999999999</v>
      </c>
      <c r="AB3450">
        <v>23</v>
      </c>
      <c r="AC3450">
        <v>-25.241999999999901</v>
      </c>
      <c r="AD3450">
        <v>-1.1055414618129999</v>
      </c>
      <c r="AE3450">
        <v>0.69200000000000705</v>
      </c>
      <c r="AF3450">
        <v>1.8546599129519199</v>
      </c>
      <c r="AG3450">
        <v>-1.1055414618129999</v>
      </c>
      <c r="AH3450">
        <v>25.134840980134701</v>
      </c>
      <c r="AI3450">
        <v>92.511678839477398</v>
      </c>
      <c r="AJ3450">
        <v>85.779883659308396</v>
      </c>
      <c r="AK3450">
        <v>25.2274100219019</v>
      </c>
      <c r="AL3450">
        <v>82.242582522616203</v>
      </c>
      <c r="AM3450">
        <v>87.1928474879508</v>
      </c>
      <c r="AN3450">
        <v>0.99999995517529205</v>
      </c>
    </row>
    <row r="3451" spans="1:40" x14ac:dyDescent="0.25">
      <c r="A3451" t="str">
        <f>"20190312164539964"</f>
        <v>20190312164539964</v>
      </c>
      <c r="B3451" t="str">
        <f>"1552380339955413"</f>
        <v>1552380339955413</v>
      </c>
      <c r="C3451" t="s">
        <v>40</v>
      </c>
      <c r="D3451">
        <v>5.4967430000000004</v>
      </c>
      <c r="E3451">
        <v>0.51388040000000001</v>
      </c>
      <c r="F3451" t="s">
        <v>42</v>
      </c>
      <c r="G3451">
        <v>-243.1978</v>
      </c>
      <c r="H3451" s="1">
        <v>-3.3276870000000002E-6</v>
      </c>
      <c r="I3451">
        <v>141.22200000000001</v>
      </c>
      <c r="J3451">
        <v>-217.83529999999999</v>
      </c>
      <c r="K3451">
        <v>1.105677</v>
      </c>
      <c r="L3451">
        <v>140.4444</v>
      </c>
      <c r="M3451">
        <v>-0.99909179999999997</v>
      </c>
      <c r="N3451">
        <v>0</v>
      </c>
      <c r="O3451">
        <v>-4.0413850000000001E-2</v>
      </c>
      <c r="P3451">
        <v>-0.99242039999999998</v>
      </c>
      <c r="Q3451">
        <v>0.1227414</v>
      </c>
      <c r="R3451">
        <v>6.0402669999999898E-3</v>
      </c>
      <c r="S3451">
        <v>-3.0385439999999999</v>
      </c>
      <c r="T3451">
        <v>-0.131194899999999</v>
      </c>
      <c r="U3451">
        <v>9.1766360000000005E-2</v>
      </c>
      <c r="V3451">
        <v>4.7300460000000003E-2</v>
      </c>
      <c r="W3451">
        <v>0.1357285</v>
      </c>
      <c r="X3451">
        <v>0.9896163</v>
      </c>
      <c r="Y3451">
        <v>7.0458240000000005E-2</v>
      </c>
      <c r="Z3451">
        <v>3.2638350000000001E-3</v>
      </c>
      <c r="AA3451">
        <v>0.99750939999999999</v>
      </c>
      <c r="AB3451">
        <v>23</v>
      </c>
      <c r="AC3451">
        <v>-25.362500000000001</v>
      </c>
      <c r="AD3451">
        <v>-1.105680327687</v>
      </c>
      <c r="AE3451">
        <v>0.77760000000000595</v>
      </c>
      <c r="AF3451">
        <v>1.7986391554424801</v>
      </c>
      <c r="AG3451">
        <v>-1.105680327687</v>
      </c>
      <c r="AH3451">
        <v>25.262380201680799</v>
      </c>
      <c r="AI3451">
        <v>92.499794318258395</v>
      </c>
      <c r="AJ3451">
        <v>85.927508618917201</v>
      </c>
      <c r="AK3451">
        <v>25.350453353989501</v>
      </c>
      <c r="AL3451">
        <v>82.199252310642095</v>
      </c>
      <c r="AM3451">
        <v>87.263529542283905</v>
      </c>
      <c r="AN3451">
        <v>0.99999999022707498</v>
      </c>
    </row>
    <row r="3452" spans="1:40" x14ac:dyDescent="0.25">
      <c r="A3452" t="str">
        <f>"20190312164539988"</f>
        <v>20190312164539988</v>
      </c>
      <c r="B3452" t="str">
        <f>"1552380339984693"</f>
        <v>1552380339984693</v>
      </c>
      <c r="C3452" t="s">
        <v>40</v>
      </c>
      <c r="D3452">
        <v>5.3475640000000002</v>
      </c>
      <c r="E3452">
        <v>0.51341639999999999</v>
      </c>
      <c r="F3452" t="s">
        <v>42</v>
      </c>
      <c r="G3452">
        <v>-243.87520000000001</v>
      </c>
      <c r="H3452" s="1">
        <v>-3.067051E-6</v>
      </c>
      <c r="I3452">
        <v>141.33459999999999</v>
      </c>
      <c r="J3452">
        <v>-218.0891</v>
      </c>
      <c r="K3452">
        <v>1.1058600000000001</v>
      </c>
      <c r="L3452">
        <v>140.441</v>
      </c>
      <c r="M3452">
        <v>-0.99931060000000005</v>
      </c>
      <c r="N3452">
        <v>0</v>
      </c>
      <c r="O3452">
        <v>-3.4588099999999997E-2</v>
      </c>
      <c r="P3452">
        <v>-0.99235530000000005</v>
      </c>
      <c r="Q3452">
        <v>0.122903399999999</v>
      </c>
      <c r="R3452">
        <v>1.123361E-2</v>
      </c>
      <c r="S3452">
        <v>-3.0382539999999998</v>
      </c>
      <c r="T3452">
        <v>-0.1290075</v>
      </c>
      <c r="U3452">
        <v>0.1038818</v>
      </c>
      <c r="V3452">
        <v>4.6648769999999999E-2</v>
      </c>
      <c r="W3452">
        <v>0.13590050000000001</v>
      </c>
      <c r="X3452">
        <v>0.9896237</v>
      </c>
      <c r="Y3452">
        <v>6.8629029999999994E-2</v>
      </c>
      <c r="Z3452">
        <v>2.9236380000000001E-3</v>
      </c>
      <c r="AA3452">
        <v>0.99763800000000002</v>
      </c>
      <c r="AB3452">
        <v>23</v>
      </c>
      <c r="AC3452">
        <v>-25.786100000000001</v>
      </c>
      <c r="AD3452">
        <v>-1.1058630670509999</v>
      </c>
      <c r="AE3452">
        <v>0.89359999999999196</v>
      </c>
      <c r="AF3452">
        <v>1.78176548220331</v>
      </c>
      <c r="AG3452">
        <v>-1.1058630670509999</v>
      </c>
      <c r="AH3452">
        <v>25.692560067464701</v>
      </c>
      <c r="AI3452">
        <v>92.458714337136996</v>
      </c>
      <c r="AJ3452">
        <v>86.032919483089202</v>
      </c>
      <c r="AK3452">
        <v>25.777999615504001</v>
      </c>
      <c r="AL3452">
        <v>82.189305823268</v>
      </c>
      <c r="AM3452">
        <v>87.301195741697001</v>
      </c>
      <c r="AN3452">
        <v>1.0000000606222199</v>
      </c>
    </row>
    <row r="3453" spans="1:40" x14ac:dyDescent="0.25">
      <c r="A3453" t="str">
        <f>"20190312164540009"</f>
        <v>20190312164540009</v>
      </c>
      <c r="B3453" t="str">
        <f>"1552380340005189"</f>
        <v>1552380340005189</v>
      </c>
      <c r="C3453" t="s">
        <v>40</v>
      </c>
      <c r="D3453">
        <v>5.3509679999999999</v>
      </c>
      <c r="E3453">
        <v>0.51313039999999999</v>
      </c>
      <c r="F3453" t="s">
        <v>42</v>
      </c>
      <c r="G3453">
        <v>-243.8073</v>
      </c>
      <c r="H3453" s="1">
        <v>-3.1189899999999998E-6</v>
      </c>
      <c r="I3453">
        <v>141.4203</v>
      </c>
      <c r="J3453">
        <v>-218.29499999999999</v>
      </c>
      <c r="K3453">
        <v>1.106036</v>
      </c>
      <c r="L3453">
        <v>140.4391</v>
      </c>
      <c r="M3453">
        <v>-0.99945580000000001</v>
      </c>
      <c r="N3453">
        <v>0</v>
      </c>
      <c r="O3453">
        <v>-3.0106910000000001E-2</v>
      </c>
      <c r="P3453">
        <v>-0.99223950000000005</v>
      </c>
      <c r="Q3453">
        <v>0.1234753</v>
      </c>
      <c r="R3453">
        <v>1.465408E-2</v>
      </c>
      <c r="S3453">
        <v>-3.0379939999999999</v>
      </c>
      <c r="T3453">
        <v>-0.13063169999999999</v>
      </c>
      <c r="U3453">
        <v>0.11569210000000001</v>
      </c>
      <c r="V3453">
        <v>4.5567150000000001E-2</v>
      </c>
      <c r="W3453">
        <v>0.13648440000000001</v>
      </c>
      <c r="X3453">
        <v>0.98959370000000002</v>
      </c>
      <c r="Y3453">
        <v>6.803418E-2</v>
      </c>
      <c r="Z3453">
        <v>2.755174E-3</v>
      </c>
      <c r="AA3453">
        <v>0.99767919999999999</v>
      </c>
      <c r="AB3453">
        <v>23</v>
      </c>
      <c r="AC3453">
        <v>-25.5123</v>
      </c>
      <c r="AD3453">
        <v>-1.1060391189899901</v>
      </c>
      <c r="AE3453">
        <v>0.98120000000000096</v>
      </c>
      <c r="AF3453">
        <v>1.74564533812931</v>
      </c>
      <c r="AG3453">
        <v>-1.1060391189899901</v>
      </c>
      <c r="AH3453">
        <v>25.423476401367399</v>
      </c>
      <c r="AI3453">
        <v>92.485217210311006</v>
      </c>
      <c r="AJ3453">
        <v>86.072080342635303</v>
      </c>
      <c r="AK3453">
        <v>25.507327427822698</v>
      </c>
      <c r="AL3453">
        <v>82.155535876652195</v>
      </c>
      <c r="AM3453">
        <v>87.363602330327296</v>
      </c>
      <c r="AN3453">
        <v>1.00000002384108</v>
      </c>
    </row>
    <row r="3454" spans="1:40" x14ac:dyDescent="0.25">
      <c r="A3454" t="str">
        <f>"20190312164540032"</f>
        <v>20190312164540032</v>
      </c>
      <c r="B3454" t="str">
        <f>"1552380340024709"</f>
        <v>1552380340024709</v>
      </c>
      <c r="C3454" t="s">
        <v>40</v>
      </c>
      <c r="D3454">
        <v>5.3143989999999999</v>
      </c>
      <c r="E3454">
        <v>0.51286109999999996</v>
      </c>
      <c r="F3454" t="s">
        <v>42</v>
      </c>
      <c r="G3454">
        <v>-244.31129999999999</v>
      </c>
      <c r="H3454" s="1">
        <v>-2.9242989999999999E-6</v>
      </c>
      <c r="I3454">
        <v>141.50120000000001</v>
      </c>
      <c r="J3454">
        <v>-218.5393</v>
      </c>
      <c r="K3454">
        <v>1.1062419999999999</v>
      </c>
      <c r="L3454">
        <v>140.43780000000001</v>
      </c>
      <c r="M3454">
        <v>-0.99959439999999999</v>
      </c>
      <c r="N3454">
        <v>0</v>
      </c>
      <c r="O3454">
        <v>-2.5096830000000001E-2</v>
      </c>
      <c r="P3454">
        <v>-0.99198500000000001</v>
      </c>
      <c r="Q3454">
        <v>0.1248329</v>
      </c>
      <c r="R3454">
        <v>1.9558889999999999E-2</v>
      </c>
      <c r="S3454">
        <v>-3.0377040000000002</v>
      </c>
      <c r="T3454">
        <v>-0.1291428</v>
      </c>
      <c r="U3454">
        <v>0.12402340000000001</v>
      </c>
      <c r="V3454">
        <v>4.5434139999999998E-2</v>
      </c>
      <c r="W3454">
        <v>0.13784469999999999</v>
      </c>
      <c r="X3454">
        <v>0.98941120000000005</v>
      </c>
      <c r="Y3454">
        <v>6.5777420000000003E-2</v>
      </c>
      <c r="Z3454">
        <v>2.463167E-3</v>
      </c>
      <c r="AA3454">
        <v>0.99783129999999998</v>
      </c>
      <c r="AB3454">
        <v>23</v>
      </c>
      <c r="AC3454">
        <v>-25.771999999999899</v>
      </c>
      <c r="AD3454">
        <v>-1.106244924299</v>
      </c>
      <c r="AE3454">
        <v>1.0633999999999999</v>
      </c>
      <c r="AF3454">
        <v>1.70677971196152</v>
      </c>
      <c r="AG3454">
        <v>-1.106244924299</v>
      </c>
      <c r="AH3454">
        <v>25.689937471763699</v>
      </c>
      <c r="AI3454">
        <v>92.460296581260195</v>
      </c>
      <c r="AJ3454">
        <v>86.198987575947001</v>
      </c>
      <c r="AK3454">
        <v>25.770327163635901</v>
      </c>
      <c r="AL3454">
        <v>82.076852322722004</v>
      </c>
      <c r="AM3454">
        <v>87.370802941099697</v>
      </c>
      <c r="AN3454">
        <v>0.99999997254053397</v>
      </c>
    </row>
    <row r="3455" spans="1:40" x14ac:dyDescent="0.25">
      <c r="A3455" t="str">
        <f>"20190312164540054"</f>
        <v>20190312164540054</v>
      </c>
      <c r="B3455" t="str">
        <f>"1552380340045206"</f>
        <v>1552380340045206</v>
      </c>
      <c r="C3455" t="s">
        <v>40</v>
      </c>
      <c r="D3455">
        <v>5.2848819999999996</v>
      </c>
      <c r="E3455">
        <v>0.51268429999999998</v>
      </c>
      <c r="F3455" t="s">
        <v>42</v>
      </c>
      <c r="G3455">
        <v>-245.78370000000001</v>
      </c>
      <c r="H3455" s="1">
        <v>-2.3353720000000002E-6</v>
      </c>
      <c r="I3455">
        <v>141.6619</v>
      </c>
      <c r="J3455">
        <v>-218.77350000000001</v>
      </c>
      <c r="K3455">
        <v>1.106441</v>
      </c>
      <c r="L3455">
        <v>140.4374</v>
      </c>
      <c r="M3455">
        <v>-0.99969770000000002</v>
      </c>
      <c r="N3455">
        <v>0</v>
      </c>
      <c r="O3455">
        <v>-2.0583250000000001E-2</v>
      </c>
      <c r="P3455">
        <v>-0.99179980000000001</v>
      </c>
      <c r="Q3455">
        <v>0.12554309999999999</v>
      </c>
      <c r="R3455">
        <v>2.3923750000000001E-2</v>
      </c>
      <c r="S3455">
        <v>-3.037064</v>
      </c>
      <c r="T3455">
        <v>-0.12331830000000001</v>
      </c>
      <c r="U3455">
        <v>0.13645940000000001</v>
      </c>
      <c r="V3455">
        <v>4.5258479999999997E-2</v>
      </c>
      <c r="W3455">
        <v>0.13855780000000001</v>
      </c>
      <c r="X3455">
        <v>0.98931970000000002</v>
      </c>
      <c r="Y3455">
        <v>6.5370209999999998E-2</v>
      </c>
      <c r="Z3455">
        <v>2.1610800000000001E-3</v>
      </c>
      <c r="AA3455">
        <v>0.99785880000000005</v>
      </c>
      <c r="AB3455">
        <v>23</v>
      </c>
      <c r="AC3455">
        <v>-27.010200000000001</v>
      </c>
      <c r="AD3455">
        <v>-1.106443335372</v>
      </c>
      <c r="AE3455">
        <v>1.2244999999999999</v>
      </c>
      <c r="AF3455">
        <v>1.7772722885439101</v>
      </c>
      <c r="AG3455">
        <v>-1.106443335372</v>
      </c>
      <c r="AH3455">
        <v>26.934166226389401</v>
      </c>
      <c r="AI3455">
        <v>92.347263150626404</v>
      </c>
      <c r="AJ3455">
        <v>86.224765547374304</v>
      </c>
      <c r="AK3455">
        <v>27.015407158745401</v>
      </c>
      <c r="AL3455">
        <v>82.035599310406795</v>
      </c>
      <c r="AM3455">
        <v>87.380712015085393</v>
      </c>
      <c r="AN3455">
        <v>1.00000003138041</v>
      </c>
    </row>
    <row r="3456" spans="1:40" x14ac:dyDescent="0.25">
      <c r="A3456" t="str">
        <f>"20190312164540076"</f>
        <v>20190312164540076</v>
      </c>
      <c r="B3456" t="str">
        <f>"1552380340064729"</f>
        <v>1552380340064729</v>
      </c>
      <c r="C3456" t="s">
        <v>40</v>
      </c>
      <c r="D3456">
        <v>5.3489769999999996</v>
      </c>
      <c r="E3456">
        <v>0.51242969999999999</v>
      </c>
      <c r="F3456" t="s">
        <v>42</v>
      </c>
      <c r="G3456">
        <v>-246.89449999999999</v>
      </c>
      <c r="H3456" s="1">
        <v>-1.8968410000000001E-6</v>
      </c>
      <c r="I3456">
        <v>141.8047</v>
      </c>
      <c r="J3456">
        <v>-218.99709999999999</v>
      </c>
      <c r="K3456">
        <v>1.1066009999999999</v>
      </c>
      <c r="L3456">
        <v>140.43770000000001</v>
      </c>
      <c r="M3456">
        <v>-0.99977389999999999</v>
      </c>
      <c r="N3456">
        <v>0</v>
      </c>
      <c r="O3456">
        <v>-1.6491809999999999E-2</v>
      </c>
      <c r="P3456">
        <v>-0.99169300000000005</v>
      </c>
      <c r="Q3456">
        <v>0.1256729</v>
      </c>
      <c r="R3456">
        <v>2.741646E-2</v>
      </c>
      <c r="S3456">
        <v>-3.0363920000000002</v>
      </c>
      <c r="T3456">
        <v>-0.1194693</v>
      </c>
      <c r="U3456">
        <v>0.147644</v>
      </c>
      <c r="V3456">
        <v>4.4641060000000003E-2</v>
      </c>
      <c r="W3456">
        <v>0.1386915</v>
      </c>
      <c r="X3456">
        <v>0.98932900000000001</v>
      </c>
      <c r="Y3456">
        <v>6.4971769999999998E-2</v>
      </c>
      <c r="Z3456">
        <v>1.925286E-3</v>
      </c>
      <c r="AA3456">
        <v>0.99788520000000003</v>
      </c>
      <c r="AB3456">
        <v>23</v>
      </c>
      <c r="AC3456">
        <v>-27.897400000000001</v>
      </c>
      <c r="AD3456">
        <v>-1.106602896841</v>
      </c>
      <c r="AE3456">
        <v>1.36699999999999</v>
      </c>
      <c r="AF3456">
        <v>1.8240708969230901</v>
      </c>
      <c r="AG3456">
        <v>-1.106602896841</v>
      </c>
      <c r="AH3456">
        <v>27.827378527815</v>
      </c>
      <c r="AI3456">
        <v>92.272392350916107</v>
      </c>
      <c r="AJ3456">
        <v>86.249655270904199</v>
      </c>
      <c r="AK3456">
        <v>27.909045134841101</v>
      </c>
      <c r="AL3456">
        <v>82.027864037341203</v>
      </c>
      <c r="AM3456">
        <v>87.416420064748195</v>
      </c>
      <c r="AN3456">
        <v>1.00000001332558</v>
      </c>
    </row>
    <row r="3457" spans="1:40" x14ac:dyDescent="0.25">
      <c r="A3457" t="str">
        <f>"20190312164540097"</f>
        <v>20190312164540097</v>
      </c>
      <c r="B3457" t="str">
        <f>"1552380340085221"</f>
        <v>1552380340085221</v>
      </c>
      <c r="C3457" t="s">
        <v>40</v>
      </c>
      <c r="D3457">
        <v>5.1607890000000003</v>
      </c>
      <c r="E3457">
        <v>0.51216390000000001</v>
      </c>
      <c r="F3457" t="s">
        <v>42</v>
      </c>
      <c r="G3457">
        <v>-247.7424</v>
      </c>
      <c r="H3457" s="1">
        <v>-1.5628559999999999E-6</v>
      </c>
      <c r="I3457">
        <v>141.91650000000001</v>
      </c>
      <c r="J3457">
        <v>-219.2158</v>
      </c>
      <c r="K3457">
        <v>1.106735</v>
      </c>
      <c r="L3457">
        <v>140.43860000000001</v>
      </c>
      <c r="M3457">
        <v>-0.99982969999999904</v>
      </c>
      <c r="N3457">
        <v>0</v>
      </c>
      <c r="O3457">
        <v>-1.2681889999999999E-2</v>
      </c>
      <c r="P3457">
        <v>-0.99165020000000004</v>
      </c>
      <c r="Q3457">
        <v>0.1255116</v>
      </c>
      <c r="R3457">
        <v>2.9611350000000002E-2</v>
      </c>
      <c r="S3457">
        <v>-3.0356290000000001</v>
      </c>
      <c r="T3457">
        <v>-0.1168621</v>
      </c>
      <c r="U3457">
        <v>0.1561737</v>
      </c>
      <c r="V3457">
        <v>4.3013839999999998E-2</v>
      </c>
      <c r="W3457">
        <v>0.13853979999999999</v>
      </c>
      <c r="X3457">
        <v>0.98942229999999998</v>
      </c>
      <c r="Y3457">
        <v>6.3984449999999998E-2</v>
      </c>
      <c r="Z3457">
        <v>1.7181129999999901E-3</v>
      </c>
      <c r="AA3457">
        <v>0.99794939999999999</v>
      </c>
      <c r="AB3457">
        <v>23</v>
      </c>
      <c r="AC3457">
        <v>-28.526599999999998</v>
      </c>
      <c r="AD3457">
        <v>-1.106736562856</v>
      </c>
      <c r="AE3457">
        <v>1.4779</v>
      </c>
      <c r="AF3457">
        <v>1.8368274929708599</v>
      </c>
      <c r="AG3457">
        <v>-1.106736562856</v>
      </c>
      <c r="AH3457">
        <v>28.462834261500099</v>
      </c>
      <c r="AI3457">
        <v>92.2221248352175</v>
      </c>
      <c r="AJ3457">
        <v>86.307580402152993</v>
      </c>
      <c r="AK3457">
        <v>28.543506008479699</v>
      </c>
      <c r="AL3457">
        <v>82.0366402433133</v>
      </c>
      <c r="AM3457">
        <v>87.5107083800428</v>
      </c>
      <c r="AN3457">
        <v>0.99999997717643696</v>
      </c>
    </row>
    <row r="3458" spans="1:40" x14ac:dyDescent="0.25">
      <c r="A3458" t="str">
        <f>"20190312164540120"</f>
        <v>20190312164540120</v>
      </c>
      <c r="B3458" t="str">
        <f>"1552380340115477"</f>
        <v>1552380340115477</v>
      </c>
      <c r="C3458" t="s">
        <v>40</v>
      </c>
      <c r="D3458">
        <v>5.3396030000000003</v>
      </c>
      <c r="E3458">
        <v>0.51178780000000001</v>
      </c>
      <c r="F3458" t="s">
        <v>42</v>
      </c>
      <c r="G3458">
        <v>-248.2749</v>
      </c>
      <c r="H3458" s="1">
        <v>-1.3525890000000001E-6</v>
      </c>
      <c r="I3458">
        <v>141.9847</v>
      </c>
      <c r="J3458">
        <v>-219.44290000000001</v>
      </c>
      <c r="K3458">
        <v>1.1068559999999901</v>
      </c>
      <c r="L3458">
        <v>140.44030000000001</v>
      </c>
      <c r="M3458">
        <v>-0.99987060000000005</v>
      </c>
      <c r="N3458">
        <v>0</v>
      </c>
      <c r="O3458">
        <v>-8.9149520000000003E-3</v>
      </c>
      <c r="P3458">
        <v>-0.99163690000000004</v>
      </c>
      <c r="Q3458">
        <v>0.12511630000000001</v>
      </c>
      <c r="R3458">
        <v>3.1662969999999999E-2</v>
      </c>
      <c r="S3458">
        <v>-3.0350799999999998</v>
      </c>
      <c r="T3458">
        <v>-0.1155934</v>
      </c>
      <c r="U3458">
        <v>0.16148379999999901</v>
      </c>
      <c r="V3458">
        <v>4.1288640000000001E-2</v>
      </c>
      <c r="W3458">
        <v>0.1381521</v>
      </c>
      <c r="X3458">
        <v>0.98955000000000004</v>
      </c>
      <c r="Y3458">
        <v>6.1980420000000001E-2</v>
      </c>
      <c r="Z3458">
        <v>1.518244E-3</v>
      </c>
      <c r="AA3458">
        <v>0.99807619999999997</v>
      </c>
      <c r="AB3458">
        <v>23</v>
      </c>
      <c r="AC3458">
        <v>-28.831999999999901</v>
      </c>
      <c r="AD3458">
        <v>-1.10685735258899</v>
      </c>
      <c r="AE3458">
        <v>1.54439999999999</v>
      </c>
      <c r="AF3458">
        <v>1.7987541693101701</v>
      </c>
      <c r="AG3458">
        <v>-1.10685735258899</v>
      </c>
      <c r="AH3458">
        <v>28.774798054603298</v>
      </c>
      <c r="AI3458">
        <v>92.198578024198696</v>
      </c>
      <c r="AJ3458">
        <v>86.423012499553593</v>
      </c>
      <c r="AK3458">
        <v>28.8522036046433</v>
      </c>
      <c r="AL3458">
        <v>82.059069508885599</v>
      </c>
      <c r="AM3458">
        <v>87.610738807194906</v>
      </c>
      <c r="AN3458">
        <v>0.99999997851372902</v>
      </c>
    </row>
    <row r="3459" spans="1:40" x14ac:dyDescent="0.25">
      <c r="A3459" t="str">
        <f>"20190312164540142"</f>
        <v>20190312164540142</v>
      </c>
      <c r="B3459" t="str">
        <f>"1552380340134998"</f>
        <v>1552380340134998</v>
      </c>
      <c r="C3459" t="s">
        <v>40</v>
      </c>
      <c r="D3459">
        <v>5.4080309999999896</v>
      </c>
      <c r="E3459">
        <v>0.51150519999999999</v>
      </c>
      <c r="F3459" t="s">
        <v>42</v>
      </c>
      <c r="G3459">
        <v>-248.8563</v>
      </c>
      <c r="H3459" s="1">
        <v>-1.1180769999999999E-6</v>
      </c>
      <c r="I3459">
        <v>142.04069999999999</v>
      </c>
      <c r="J3459">
        <v>-219.68520000000001</v>
      </c>
      <c r="K3459">
        <v>1.10697</v>
      </c>
      <c r="L3459">
        <v>140.44280000000001</v>
      </c>
      <c r="M3459">
        <v>-0.9998977</v>
      </c>
      <c r="N3459">
        <v>0</v>
      </c>
      <c r="O3459">
        <v>-5.0834599999999997E-3</v>
      </c>
      <c r="P3459">
        <v>-0.99156180000000005</v>
      </c>
      <c r="Q3459">
        <v>0.1252588</v>
      </c>
      <c r="R3459">
        <v>3.3402050000000003E-2</v>
      </c>
      <c r="S3459">
        <v>-3.0344389999999999</v>
      </c>
      <c r="T3459">
        <v>-0.1141894</v>
      </c>
      <c r="U3459">
        <v>0.1651154</v>
      </c>
      <c r="V3459">
        <v>3.9188720000000003E-2</v>
      </c>
      <c r="W3459">
        <v>0.13829900000000001</v>
      </c>
      <c r="X3459">
        <v>0.98961489999999996</v>
      </c>
      <c r="Y3459">
        <v>5.9363630000000001E-2</v>
      </c>
      <c r="Z3459">
        <v>1.3068509999999999E-3</v>
      </c>
      <c r="AA3459">
        <v>0.9982356</v>
      </c>
      <c r="AB3459">
        <v>23</v>
      </c>
      <c r="AC3459">
        <v>-29.171099999999999</v>
      </c>
      <c r="AD3459">
        <v>-1.1069711180769899</v>
      </c>
      <c r="AE3459">
        <v>1.5978999999999799</v>
      </c>
      <c r="AF3459">
        <v>1.7436793125213199</v>
      </c>
      <c r="AG3459">
        <v>-1.1069711180769899</v>
      </c>
      <c r="AH3459">
        <v>29.120790507111298</v>
      </c>
      <c r="AI3459">
        <v>92.173052940491203</v>
      </c>
      <c r="AJ3459">
        <v>86.573364854619498</v>
      </c>
      <c r="AK3459">
        <v>29.193941877729198</v>
      </c>
      <c r="AL3459">
        <v>82.050571431162894</v>
      </c>
      <c r="AM3459">
        <v>87.732273759260806</v>
      </c>
      <c r="AN3459">
        <v>1.00000000973912</v>
      </c>
    </row>
    <row r="3460" spans="1:40" x14ac:dyDescent="0.25">
      <c r="A3460" t="str">
        <f>"20190312164540165"</f>
        <v>20190312164540165</v>
      </c>
      <c r="B3460" t="str">
        <f>"1552380340155493"</f>
        <v>1552380340155493</v>
      </c>
      <c r="C3460" t="s">
        <v>40</v>
      </c>
      <c r="D3460">
        <v>4.8749260000000003</v>
      </c>
      <c r="E3460">
        <v>0.51140680000000005</v>
      </c>
      <c r="F3460" t="s">
        <v>42</v>
      </c>
      <c r="G3460">
        <v>-249.5061</v>
      </c>
      <c r="H3460" s="1">
        <v>-8.5406809999999895E-7</v>
      </c>
      <c r="I3460">
        <v>142.09620000000001</v>
      </c>
      <c r="J3460">
        <v>-219.91390000000001</v>
      </c>
      <c r="K3460">
        <v>1.107083</v>
      </c>
      <c r="L3460">
        <v>140.44579999999999</v>
      </c>
      <c r="M3460">
        <v>-0.99990950000000001</v>
      </c>
      <c r="N3460">
        <v>0</v>
      </c>
      <c r="O3460">
        <v>-1.623155E-3</v>
      </c>
      <c r="P3460">
        <v>-0.99142370000000002</v>
      </c>
      <c r="Q3460">
        <v>0.12596650000000001</v>
      </c>
      <c r="R3460">
        <v>3.4809949999999999E-2</v>
      </c>
      <c r="S3460">
        <v>-3.0340880000000001</v>
      </c>
      <c r="T3460">
        <v>-0.1126274</v>
      </c>
      <c r="U3460">
        <v>0.16822809999999999</v>
      </c>
      <c r="V3460">
        <v>3.7130829999999997E-2</v>
      </c>
      <c r="W3460">
        <v>0.13901069999999999</v>
      </c>
      <c r="X3460">
        <v>0.98959450000000004</v>
      </c>
      <c r="Y3460">
        <v>5.6941529999999997E-2</v>
      </c>
      <c r="Z3460">
        <v>1.115872E-3</v>
      </c>
      <c r="AA3460">
        <v>0.99837690000000001</v>
      </c>
      <c r="AB3460">
        <v>23</v>
      </c>
      <c r="AC3460">
        <v>-29.592199999999899</v>
      </c>
      <c r="AD3460">
        <v>-1.1070838540681001</v>
      </c>
      <c r="AE3460">
        <v>1.6504000000000101</v>
      </c>
      <c r="AF3460">
        <v>1.6960683663084299</v>
      </c>
      <c r="AG3460">
        <v>-1.1070838540681001</v>
      </c>
      <c r="AH3460">
        <v>29.5482541703817</v>
      </c>
      <c r="AI3460">
        <v>92.142173415187401</v>
      </c>
      <c r="AJ3460">
        <v>86.714829793958103</v>
      </c>
      <c r="AK3460">
        <v>29.6175894880156</v>
      </c>
      <c r="AL3460">
        <v>82.009396015442803</v>
      </c>
      <c r="AM3460">
        <v>87.851198321179695</v>
      </c>
      <c r="AN3460">
        <v>0.99999997384061401</v>
      </c>
    </row>
    <row r="3461" spans="1:40" x14ac:dyDescent="0.25">
      <c r="A3461" t="str">
        <f>"20190312164540186"</f>
        <v>20190312164540186</v>
      </c>
      <c r="B3461" t="str">
        <f>"1552380340175013"</f>
        <v>1552380340175013</v>
      </c>
      <c r="C3461" t="s">
        <v>40</v>
      </c>
      <c r="D3461">
        <v>5.7409629999999998</v>
      </c>
      <c r="E3461">
        <v>0.51104340000000004</v>
      </c>
      <c r="F3461" t="s">
        <v>42</v>
      </c>
      <c r="G3461">
        <v>-250.30969999999999</v>
      </c>
      <c r="H3461" s="1">
        <v>-4.62255999999999E-6</v>
      </c>
      <c r="I3461">
        <v>142.16399999999999</v>
      </c>
      <c r="J3461">
        <v>-220.13050000000001</v>
      </c>
      <c r="K3461">
        <v>1.1071930000000001</v>
      </c>
      <c r="L3461">
        <v>140.44929999999999</v>
      </c>
      <c r="M3461">
        <v>-0.99990990000000002</v>
      </c>
      <c r="N3461">
        <v>0</v>
      </c>
      <c r="O3461">
        <v>1.514006E-3</v>
      </c>
      <c r="P3461">
        <v>-0.99142649999999999</v>
      </c>
      <c r="Q3461">
        <v>0.12574939999999901</v>
      </c>
      <c r="R3461">
        <v>3.5506360000000001E-2</v>
      </c>
      <c r="S3461">
        <v>-3.0339659999999999</v>
      </c>
      <c r="T3461">
        <v>-0.11050450000000001</v>
      </c>
      <c r="U3461">
        <v>0.17150879999999999</v>
      </c>
      <c r="V3461">
        <v>3.4678750000000001E-2</v>
      </c>
      <c r="W3461">
        <v>0.13879720000000001</v>
      </c>
      <c r="X3461">
        <v>0.98971339999999997</v>
      </c>
      <c r="Y3461">
        <v>5.4892389999999999E-2</v>
      </c>
      <c r="Z3461">
        <v>9.4344450000000005E-4</v>
      </c>
      <c r="AA3461">
        <v>0.99849180000000004</v>
      </c>
      <c r="AB3461">
        <v>23</v>
      </c>
      <c r="AC3461">
        <v>-30.179199999999899</v>
      </c>
      <c r="AD3461">
        <v>-1.10719762256</v>
      </c>
      <c r="AE3461">
        <v>1.7146999999999899</v>
      </c>
      <c r="AF3461">
        <v>1.66676628400571</v>
      </c>
      <c r="AG3461">
        <v>-1.10719762256</v>
      </c>
      <c r="AH3461">
        <v>30.141322980377598</v>
      </c>
      <c r="AI3461">
        <v>92.1005248929294</v>
      </c>
      <c r="AJ3461">
        <v>86.834859915000493</v>
      </c>
      <c r="AK3461">
        <v>30.207670340963801</v>
      </c>
      <c r="AL3461">
        <v>82.021748189309207</v>
      </c>
      <c r="AM3461">
        <v>87.993223635942499</v>
      </c>
      <c r="AN3461">
        <v>0.99999994628447897</v>
      </c>
    </row>
    <row r="3462" spans="1:40" x14ac:dyDescent="0.25">
      <c r="A3462" t="str">
        <f>"20190312164540210"</f>
        <v>20190312164540210</v>
      </c>
      <c r="B3462" t="str">
        <f>"1552380340205270"</f>
        <v>1552380340205270</v>
      </c>
      <c r="C3462" t="s">
        <v>40</v>
      </c>
      <c r="D3462">
        <v>5.4485960000000002</v>
      </c>
      <c r="E3462">
        <v>0.4963921</v>
      </c>
      <c r="F3462" t="s">
        <v>42</v>
      </c>
      <c r="G3462">
        <v>-250.7398</v>
      </c>
      <c r="H3462" s="1">
        <v>-4.4785130000000001E-6</v>
      </c>
      <c r="I3462">
        <v>142.17699999999999</v>
      </c>
      <c r="J3462">
        <v>-220.3673</v>
      </c>
      <c r="K3462">
        <v>1.1073090000000001</v>
      </c>
      <c r="L3462">
        <v>140.45349999999999</v>
      </c>
      <c r="M3462">
        <v>-0.99990000000000001</v>
      </c>
      <c r="N3462">
        <v>0</v>
      </c>
      <c r="O3462">
        <v>4.7825189999999998E-3</v>
      </c>
      <c r="P3462">
        <v>-0.99164649999999999</v>
      </c>
      <c r="Q3462">
        <v>0.1239475</v>
      </c>
      <c r="R3462">
        <v>3.5696949999999998E-2</v>
      </c>
      <c r="S3462">
        <v>-3.0337070000000002</v>
      </c>
      <c r="T3462">
        <v>-0.10973529999999999</v>
      </c>
      <c r="U3462">
        <v>0.1712494</v>
      </c>
      <c r="V3462">
        <v>3.15784E-2</v>
      </c>
      <c r="W3462">
        <v>0.13699919999999999</v>
      </c>
      <c r="X3462">
        <v>0.99006769999999999</v>
      </c>
      <c r="Y3462">
        <v>5.1552710000000002E-2</v>
      </c>
      <c r="Z3462">
        <v>7.5852850000000002E-4</v>
      </c>
      <c r="AA3462">
        <v>0.99866999999999995</v>
      </c>
      <c r="AB3462">
        <v>23</v>
      </c>
      <c r="AC3462">
        <v>-30.372499999999999</v>
      </c>
      <c r="AD3462">
        <v>-1.1073134785130001</v>
      </c>
      <c r="AE3462">
        <v>1.72350000000002</v>
      </c>
      <c r="AF3462">
        <v>1.5761221541608399</v>
      </c>
      <c r="AG3462">
        <v>-1.1073134785130001</v>
      </c>
      <c r="AH3462">
        <v>30.340198188883001</v>
      </c>
      <c r="AI3462">
        <v>92.087360197343699</v>
      </c>
      <c r="AJ3462">
        <v>87.026253921192307</v>
      </c>
      <c r="AK3462">
        <v>30.401281721750401</v>
      </c>
      <c r="AL3462">
        <v>82.125760236664703</v>
      </c>
      <c r="AM3462">
        <v>88.1731593917238</v>
      </c>
      <c r="AN3462">
        <v>1.00000001336524</v>
      </c>
    </row>
    <row r="3463" spans="1:40" x14ac:dyDescent="0.25">
      <c r="A3463" t="str">
        <f>"20190312164540233"</f>
        <v>20190312164540233</v>
      </c>
      <c r="B3463" t="str">
        <f>"1552380340224789"</f>
        <v>1552380340224789</v>
      </c>
      <c r="C3463" t="s">
        <v>40</v>
      </c>
      <c r="D3463">
        <v>5.6454820000000003</v>
      </c>
      <c r="E3463">
        <v>0.4971991</v>
      </c>
      <c r="F3463" t="s">
        <v>42</v>
      </c>
      <c r="G3463">
        <v>-257.11219999999997</v>
      </c>
      <c r="H3463" s="1">
        <v>-1.6262509999999999E-6</v>
      </c>
      <c r="I3463">
        <v>141.13849999999999</v>
      </c>
      <c r="J3463">
        <v>-220.6078</v>
      </c>
      <c r="K3463">
        <v>1.107416</v>
      </c>
      <c r="L3463">
        <v>140.45849999999999</v>
      </c>
      <c r="M3463">
        <v>-0.99988049999999995</v>
      </c>
      <c r="N3463">
        <v>0</v>
      </c>
      <c r="O3463">
        <v>7.9010309999999993E-3</v>
      </c>
      <c r="P3463">
        <v>-0.99183860000000001</v>
      </c>
      <c r="Q3463">
        <v>0.12235600000000001</v>
      </c>
      <c r="R3463">
        <v>3.5851380000000002E-2</v>
      </c>
      <c r="S3463">
        <v>-3.034653</v>
      </c>
      <c r="T3463">
        <v>-9.1449859999999994E-2</v>
      </c>
      <c r="U3463">
        <v>5.6579589999999999E-2</v>
      </c>
      <c r="V3463">
        <v>2.8591169999999999E-2</v>
      </c>
      <c r="W3463">
        <v>0.13541059999999999</v>
      </c>
      <c r="X3463">
        <v>0.9903769</v>
      </c>
      <c r="Y3463">
        <v>1.073904E-2</v>
      </c>
      <c r="Z3463" s="1">
        <v>-7.6278419999999898E-5</v>
      </c>
      <c r="AA3463">
        <v>0.99994229999999995</v>
      </c>
      <c r="AB3463">
        <v>23</v>
      </c>
      <c r="AC3463">
        <v>-36.504399999999897</v>
      </c>
      <c r="AD3463">
        <v>-1.107417626251</v>
      </c>
      <c r="AE3463">
        <v>0.68000000000000604</v>
      </c>
      <c r="AF3463">
        <v>0.391171037398859</v>
      </c>
      <c r="AG3463">
        <v>-1.107417626251</v>
      </c>
      <c r="AH3463">
        <v>36.475076937258301</v>
      </c>
      <c r="AI3463">
        <v>91.738919592857101</v>
      </c>
      <c r="AJ3463">
        <v>89.385564275042796</v>
      </c>
      <c r="AK3463">
        <v>36.493980683920199</v>
      </c>
      <c r="AL3463">
        <v>82.217636008346801</v>
      </c>
      <c r="AM3463">
        <v>88.346388621379106</v>
      </c>
      <c r="AN3463">
        <v>0.99999994482396704</v>
      </c>
    </row>
    <row r="3464" spans="1:40" x14ac:dyDescent="0.25">
      <c r="A3464" t="str">
        <f>"20190312164540256"</f>
        <v>20190312164540256</v>
      </c>
      <c r="B3464" t="str">
        <f>"1552380340245285"</f>
        <v>1552380340245285</v>
      </c>
      <c r="C3464" t="s">
        <v>40</v>
      </c>
      <c r="D3464">
        <v>5.454396</v>
      </c>
      <c r="E3464">
        <v>0.49805389999999999</v>
      </c>
      <c r="F3464" t="s">
        <v>42</v>
      </c>
      <c r="G3464">
        <v>-257.04390000000001</v>
      </c>
      <c r="H3464" s="1">
        <v>-1.6798209999999999E-6</v>
      </c>
      <c r="I3464">
        <v>141.22980000000001</v>
      </c>
      <c r="J3464">
        <v>-220.84780000000001</v>
      </c>
      <c r="K3464">
        <v>1.1075109999999999</v>
      </c>
      <c r="L3464">
        <v>140.464</v>
      </c>
      <c r="M3464">
        <v>-0.99985299999999999</v>
      </c>
      <c r="N3464">
        <v>0</v>
      </c>
      <c r="O3464">
        <v>1.085858E-2</v>
      </c>
      <c r="P3464">
        <v>-0.99184709999999998</v>
      </c>
      <c r="Q3464">
        <v>0.1220864</v>
      </c>
      <c r="R3464">
        <v>3.6531750000000002E-2</v>
      </c>
      <c r="S3464">
        <v>-3.033722</v>
      </c>
      <c r="T3464">
        <v>-9.2205289999999995E-2</v>
      </c>
      <c r="U3464">
        <v>6.4224240000000002E-2</v>
      </c>
      <c r="V3464">
        <v>2.6301959999999999E-2</v>
      </c>
      <c r="W3464">
        <v>0.13513749999999999</v>
      </c>
      <c r="X3464">
        <v>0.99047770000000002</v>
      </c>
      <c r="Y3464">
        <v>1.030728E-2</v>
      </c>
      <c r="Z3464">
        <v>-1.7334799999999901E-4</v>
      </c>
      <c r="AA3464">
        <v>0.99994689999999997</v>
      </c>
      <c r="AB3464">
        <v>23</v>
      </c>
      <c r="AC3464">
        <v>-36.196100000000001</v>
      </c>
      <c r="AD3464">
        <v>-1.107512679821</v>
      </c>
      <c r="AE3464">
        <v>0.76580000000001203</v>
      </c>
      <c r="AF3464">
        <v>0.37233356338789098</v>
      </c>
      <c r="AG3464">
        <v>-1.107512679821</v>
      </c>
      <c r="AH3464">
        <v>36.168435729084898</v>
      </c>
      <c r="AI3464">
        <v>91.753811582942703</v>
      </c>
      <c r="AJ3464">
        <v>89.410193231328293</v>
      </c>
      <c r="AK3464">
        <v>36.187303846892704</v>
      </c>
      <c r="AL3464">
        <v>82.233429124069701</v>
      </c>
      <c r="AM3464">
        <v>88.478878193745302</v>
      </c>
      <c r="AN3464">
        <v>1.00000000560169</v>
      </c>
    </row>
    <row r="3465" spans="1:40" x14ac:dyDescent="0.25">
      <c r="A3465" t="str">
        <f>"20190312164540277"</f>
        <v>20190312164540277</v>
      </c>
      <c r="B3465" t="str">
        <f>"1552380340264809"</f>
        <v>1552380340264809</v>
      </c>
      <c r="C3465" t="s">
        <v>40</v>
      </c>
      <c r="D3465">
        <v>5.476413</v>
      </c>
      <c r="E3465">
        <v>0.4981894</v>
      </c>
      <c r="F3465" t="s">
        <v>42</v>
      </c>
      <c r="G3465">
        <v>-253.8304</v>
      </c>
      <c r="H3465" s="1">
        <v>-3.0616750000000002E-6</v>
      </c>
      <c r="I3465">
        <v>141.2422</v>
      </c>
      <c r="J3465">
        <v>-221.06049999999999</v>
      </c>
      <c r="K3465">
        <v>1.10759599999999</v>
      </c>
      <c r="L3465">
        <v>140.4692</v>
      </c>
      <c r="M3465">
        <v>-0.99982340000000003</v>
      </c>
      <c r="N3465">
        <v>0</v>
      </c>
      <c r="O3465">
        <v>1.333265E-2</v>
      </c>
      <c r="P3465">
        <v>-0.99171580000000004</v>
      </c>
      <c r="Q3465">
        <v>0.1231956</v>
      </c>
      <c r="R3465">
        <v>3.6370899999999998E-2</v>
      </c>
      <c r="S3465">
        <v>-3.0345610000000001</v>
      </c>
      <c r="T3465">
        <v>-0.1018968</v>
      </c>
      <c r="U3465">
        <v>7.1609500000000006E-2</v>
      </c>
      <c r="V3465">
        <v>2.3663300000000002E-2</v>
      </c>
      <c r="W3465">
        <v>0.136243</v>
      </c>
      <c r="X3465">
        <v>0.99039279999999996</v>
      </c>
      <c r="Y3465">
        <v>1.026093E-2</v>
      </c>
      <c r="Z3465">
        <v>-2.7531510000000002E-4</v>
      </c>
      <c r="AA3465">
        <v>0.99994729999999998</v>
      </c>
      <c r="AB3465">
        <v>23</v>
      </c>
      <c r="AC3465">
        <v>-32.7699</v>
      </c>
      <c r="AD3465">
        <v>-1.10759906167499</v>
      </c>
      <c r="AE3465">
        <v>0.77299999999999602</v>
      </c>
      <c r="AF3465">
        <v>0.335600176004616</v>
      </c>
      <c r="AG3465">
        <v>-1.10759906167499</v>
      </c>
      <c r="AH3465">
        <v>32.739912825434402</v>
      </c>
      <c r="AI3465">
        <v>91.937489225990703</v>
      </c>
      <c r="AJ3465">
        <v>89.4127107065855</v>
      </c>
      <c r="AK3465">
        <v>32.760361642945902</v>
      </c>
      <c r="AL3465">
        <v>82.169497327475796</v>
      </c>
      <c r="AM3465">
        <v>88.631301326049595</v>
      </c>
      <c r="AN3465">
        <v>1.00000000255386</v>
      </c>
    </row>
    <row r="3466" spans="1:40" x14ac:dyDescent="0.25">
      <c r="A3466" t="str">
        <f>"20190312164540297"</f>
        <v>20190312164540297</v>
      </c>
      <c r="B3466" t="str">
        <f>"1552380340295062"</f>
        <v>1552380340295062</v>
      </c>
      <c r="C3466" t="s">
        <v>40</v>
      </c>
      <c r="D3466">
        <v>5.4128150000000002</v>
      </c>
      <c r="E3466">
        <v>0.4984789</v>
      </c>
      <c r="F3466" t="s">
        <v>42</v>
      </c>
      <c r="G3466">
        <v>-255.93790000000001</v>
      </c>
      <c r="H3466" s="1">
        <v>-2.173316E-6</v>
      </c>
      <c r="I3466">
        <v>141.3014</v>
      </c>
      <c r="J3466">
        <v>-221.26910000000001</v>
      </c>
      <c r="K3466">
        <v>1.107688</v>
      </c>
      <c r="L3466">
        <v>140.47479999999999</v>
      </c>
      <c r="M3466">
        <v>-0.99979070000000003</v>
      </c>
      <c r="N3466">
        <v>0</v>
      </c>
      <c r="O3466">
        <v>1.559878E-2</v>
      </c>
      <c r="P3466">
        <v>-0.99185939999999995</v>
      </c>
      <c r="Q3466">
        <v>0.12227159999999999</v>
      </c>
      <c r="R3466">
        <v>3.5558289999999999E-2</v>
      </c>
      <c r="S3466">
        <v>-3.0344090000000001</v>
      </c>
      <c r="T3466">
        <v>-9.636343E-2</v>
      </c>
      <c r="U3466">
        <v>7.2402949999999994E-2</v>
      </c>
      <c r="V3466">
        <v>2.0565070000000001E-2</v>
      </c>
      <c r="W3466">
        <v>0.13532079999999999</v>
      </c>
      <c r="X3466">
        <v>0.99058840000000004</v>
      </c>
      <c r="Y3466">
        <v>8.2589440000000007E-3</v>
      </c>
      <c r="Z3466">
        <v>-3.6409149999999999E-4</v>
      </c>
      <c r="AA3466">
        <v>0.99996580000000002</v>
      </c>
      <c r="AB3466">
        <v>23</v>
      </c>
      <c r="AC3466">
        <v>-34.668799999999997</v>
      </c>
      <c r="AD3466">
        <v>-1.1076901733160001</v>
      </c>
      <c r="AE3466">
        <v>0.82660000000001299</v>
      </c>
      <c r="AF3466">
        <v>0.28536988609403202</v>
      </c>
      <c r="AG3466">
        <v>-1.1076901733160001</v>
      </c>
      <c r="AH3466">
        <v>34.642132157320397</v>
      </c>
      <c r="AI3466">
        <v>91.831359695853294</v>
      </c>
      <c r="AJ3466">
        <v>89.528027888935</v>
      </c>
      <c r="AK3466">
        <v>34.661011726393703</v>
      </c>
      <c r="AL3466">
        <v>82.222829474181395</v>
      </c>
      <c r="AM3466">
        <v>88.810684154770797</v>
      </c>
      <c r="AN3466">
        <v>1.0000000096156501</v>
      </c>
    </row>
    <row r="3467" spans="1:40" x14ac:dyDescent="0.25">
      <c r="A3467" t="str">
        <f>"20190312164540321"</f>
        <v>20190312164540321</v>
      </c>
      <c r="B3467" t="str">
        <f>"1552380340315558"</f>
        <v>1552380340315558</v>
      </c>
      <c r="C3467" t="s">
        <v>40</v>
      </c>
      <c r="D3467">
        <v>5.4105530000000002</v>
      </c>
      <c r="E3467">
        <v>0.49860589999999999</v>
      </c>
      <c r="F3467" t="s">
        <v>42</v>
      </c>
      <c r="G3467">
        <v>-253.3075</v>
      </c>
      <c r="H3467" s="1">
        <v>-3.2871249999999999E-6</v>
      </c>
      <c r="I3467">
        <v>141.24639999999999</v>
      </c>
      <c r="J3467">
        <v>-221.50389999999999</v>
      </c>
      <c r="K3467">
        <v>1.1078159999999999</v>
      </c>
      <c r="L3467">
        <v>140.4813</v>
      </c>
      <c r="M3467">
        <v>-0.99975190000000003</v>
      </c>
      <c r="N3467">
        <v>0</v>
      </c>
      <c r="O3467">
        <v>1.7934189999999999E-2</v>
      </c>
      <c r="P3467">
        <v>-0.99205500000000002</v>
      </c>
      <c r="Q3467">
        <v>0.1207553</v>
      </c>
      <c r="R3467">
        <v>3.5287260000000001E-2</v>
      </c>
      <c r="S3467">
        <v>-3.0349270000000002</v>
      </c>
      <c r="T3467">
        <v>-0.1049293</v>
      </c>
      <c r="U3467">
        <v>7.3104859999999994E-2</v>
      </c>
      <c r="V3467">
        <v>1.7924499999999999E-2</v>
      </c>
      <c r="W3467">
        <v>0.13380359999999999</v>
      </c>
      <c r="X3467">
        <v>0.99084570000000005</v>
      </c>
      <c r="Y3467">
        <v>6.153464E-3</v>
      </c>
      <c r="Z3467">
        <v>-5.1344849999999996E-4</v>
      </c>
      <c r="AA3467">
        <v>0.99998089999999995</v>
      </c>
      <c r="AB3467">
        <v>23</v>
      </c>
      <c r="AC3467">
        <v>-31.803599999999999</v>
      </c>
      <c r="AD3467">
        <v>-1.1078192871250001</v>
      </c>
      <c r="AE3467">
        <v>0.76509999999998901</v>
      </c>
      <c r="AF3467">
        <v>0.194319708618929</v>
      </c>
      <c r="AG3467">
        <v>-1.1078192871250001</v>
      </c>
      <c r="AH3467">
        <v>31.7736765448314</v>
      </c>
      <c r="AI3467">
        <v>91.996825346448304</v>
      </c>
      <c r="AJ3467">
        <v>89.649597982194905</v>
      </c>
      <c r="AK3467">
        <v>31.793577101321201</v>
      </c>
      <c r="AL3467">
        <v>82.310556012188002</v>
      </c>
      <c r="AM3467">
        <v>88.963626533504097</v>
      </c>
      <c r="AN3467">
        <v>0.99999994614084797</v>
      </c>
    </row>
    <row r="3468" spans="1:40" x14ac:dyDescent="0.25">
      <c r="A3468" t="str">
        <f>"20190312164540343"</f>
        <v>20190312164540343</v>
      </c>
      <c r="B3468" t="str">
        <f>"1552380340335077"</f>
        <v>1552380340335077</v>
      </c>
      <c r="C3468" t="s">
        <v>40</v>
      </c>
      <c r="D3468">
        <v>5.5242449999999996</v>
      </c>
      <c r="E3468">
        <v>0.49835550000000001</v>
      </c>
      <c r="F3468" t="s">
        <v>42</v>
      </c>
      <c r="G3468">
        <v>-250.94810000000001</v>
      </c>
      <c r="H3468" s="1">
        <v>-4.2336630000000003E-6</v>
      </c>
      <c r="I3468">
        <v>141.19630000000001</v>
      </c>
      <c r="J3468">
        <v>-221.7379</v>
      </c>
      <c r="K3468">
        <v>1.1079680000000001</v>
      </c>
      <c r="L3468">
        <v>140.4881</v>
      </c>
      <c r="M3468">
        <v>-0.9997125</v>
      </c>
      <c r="N3468">
        <v>0</v>
      </c>
      <c r="O3468">
        <v>2.0024320000000002E-2</v>
      </c>
      <c r="P3468">
        <v>-0.99209139999999996</v>
      </c>
      <c r="Q3468">
        <v>0.1202883</v>
      </c>
      <c r="R3468">
        <v>3.5853969999999999E-2</v>
      </c>
      <c r="S3468">
        <v>-3.0353089999999998</v>
      </c>
      <c r="T3468">
        <v>-0.1142019</v>
      </c>
      <c r="U3468">
        <v>7.3715210000000003E-2</v>
      </c>
      <c r="V3468">
        <v>1.636311E-2</v>
      </c>
      <c r="W3468">
        <v>0.13333149999999999</v>
      </c>
      <c r="X3468">
        <v>0.99093640000000005</v>
      </c>
      <c r="Y3468">
        <v>4.2648510000000001E-3</v>
      </c>
      <c r="Z3468">
        <v>-6.7281809999999997E-4</v>
      </c>
      <c r="AA3468">
        <v>0.99999070000000001</v>
      </c>
      <c r="AB3468">
        <v>23</v>
      </c>
      <c r="AC3468">
        <v>-29.2102</v>
      </c>
      <c r="AD3468">
        <v>-1.107972233663</v>
      </c>
      <c r="AE3468">
        <v>0.70820000000000505</v>
      </c>
      <c r="AF3468">
        <v>0.122915963700755</v>
      </c>
      <c r="AG3468">
        <v>-1.107972233663</v>
      </c>
      <c r="AH3468">
        <v>29.176571139142698</v>
      </c>
      <c r="AI3468">
        <v>92.174727144236897</v>
      </c>
      <c r="AJ3468">
        <v>89.758623991215302</v>
      </c>
      <c r="AK3468">
        <v>29.1978597544778</v>
      </c>
      <c r="AL3468">
        <v>82.337850285842904</v>
      </c>
      <c r="AM3468">
        <v>89.053973652243698</v>
      </c>
      <c r="AN3468">
        <v>0.99999999455304101</v>
      </c>
    </row>
    <row r="3469" spans="1:40" x14ac:dyDescent="0.25">
      <c r="A3469" t="str">
        <f>"20190312164540366"</f>
        <v>20190312164540366</v>
      </c>
      <c r="B3469" t="str">
        <f>"1552380340355574"</f>
        <v>1552380340355574</v>
      </c>
      <c r="C3469" t="s">
        <v>40</v>
      </c>
      <c r="D3469">
        <v>5.4693550000000002</v>
      </c>
      <c r="E3469">
        <v>0.49822810000000001</v>
      </c>
      <c r="F3469" t="s">
        <v>42</v>
      </c>
      <c r="G3469">
        <v>-251.40780000000001</v>
      </c>
      <c r="H3469" s="1">
        <v>-4.0766839999999998E-6</v>
      </c>
      <c r="I3469">
        <v>141.19329999999999</v>
      </c>
      <c r="J3469">
        <v>-221.9684</v>
      </c>
      <c r="K3469">
        <v>1.1081449999999999</v>
      </c>
      <c r="L3469">
        <v>140.495</v>
      </c>
      <c r="M3469">
        <v>-0.99967479999999997</v>
      </c>
      <c r="N3469">
        <v>0</v>
      </c>
      <c r="O3469">
        <v>2.1832850000000001E-2</v>
      </c>
      <c r="P3469">
        <v>-0.99201550000000005</v>
      </c>
      <c r="Q3469">
        <v>0.12064900000000001</v>
      </c>
      <c r="R3469">
        <v>3.6733580000000002E-2</v>
      </c>
      <c r="S3469">
        <v>-3.035034</v>
      </c>
      <c r="T3469">
        <v>-0.1133381</v>
      </c>
      <c r="U3469">
        <v>7.2143550000000001E-2</v>
      </c>
      <c r="V3469">
        <v>1.539337E-2</v>
      </c>
      <c r="W3469">
        <v>0.133685</v>
      </c>
      <c r="X3469">
        <v>0.99090429999999996</v>
      </c>
      <c r="Y3469">
        <v>1.9431590000000001E-3</v>
      </c>
      <c r="Z3469">
        <v>-7.7861599999999999E-4</v>
      </c>
      <c r="AA3469">
        <v>0.99999780000000005</v>
      </c>
      <c r="AB3469">
        <v>23</v>
      </c>
      <c r="AC3469">
        <v>-29.439399999999999</v>
      </c>
      <c r="AD3469">
        <v>-1.1081490766840001</v>
      </c>
      <c r="AE3469">
        <v>0.69829999999998804</v>
      </c>
      <c r="AF3469">
        <v>5.52534676460468E-2</v>
      </c>
      <c r="AG3469">
        <v>-1.1081490766840001</v>
      </c>
      <c r="AH3469">
        <v>29.405986815798499</v>
      </c>
      <c r="AI3469">
        <v>92.158136154054702</v>
      </c>
      <c r="AJ3469">
        <v>89.892342100480505</v>
      </c>
      <c r="AK3469">
        <v>29.426911287676099</v>
      </c>
      <c r="AL3469">
        <v>82.3174131831816</v>
      </c>
      <c r="AM3469">
        <v>89.110000636861699</v>
      </c>
      <c r="AN3469">
        <v>0.99999998341172303</v>
      </c>
    </row>
    <row r="3470" spans="1:40" x14ac:dyDescent="0.25">
      <c r="A3470" t="str">
        <f>"20190312164540386"</f>
        <v>20190312164540386</v>
      </c>
      <c r="B3470" t="str">
        <f>"1552380340375094"</f>
        <v>1552380340375094</v>
      </c>
      <c r="C3470" t="s">
        <v>40</v>
      </c>
      <c r="D3470">
        <v>5.6180329999999996</v>
      </c>
      <c r="E3470">
        <v>0.49805899999999997</v>
      </c>
      <c r="F3470" t="s">
        <v>42</v>
      </c>
      <c r="G3470">
        <v>-252.48050000000001</v>
      </c>
      <c r="H3470" s="1">
        <v>-3.6348089999999999E-6</v>
      </c>
      <c r="I3470">
        <v>141.21979999999999</v>
      </c>
      <c r="J3470">
        <v>-222.179</v>
      </c>
      <c r="K3470">
        <v>1.1083149999999999</v>
      </c>
      <c r="L3470">
        <v>140.50139999999999</v>
      </c>
      <c r="M3470">
        <v>-0.99964330000000001</v>
      </c>
      <c r="N3470">
        <v>0</v>
      </c>
      <c r="O3470">
        <v>2.32342E-2</v>
      </c>
      <c r="P3470">
        <v>-0.99206240000000001</v>
      </c>
      <c r="Q3470">
        <v>0.120188</v>
      </c>
      <c r="R3470">
        <v>3.6971549999999999E-2</v>
      </c>
      <c r="S3470">
        <v>-3.0348820000000001</v>
      </c>
      <c r="T3470">
        <v>-0.11022170000000001</v>
      </c>
      <c r="U3470">
        <v>7.209778E-2</v>
      </c>
      <c r="V3470">
        <v>1.418319E-2</v>
      </c>
      <c r="W3470">
        <v>0.13322000000000001</v>
      </c>
      <c r="X3470">
        <v>0.990985</v>
      </c>
      <c r="Y3470">
        <v>5.2855790000000001E-4</v>
      </c>
      <c r="Z3470">
        <v>-8.3379419999999997E-4</v>
      </c>
      <c r="AA3470">
        <v>0.99999950000000004</v>
      </c>
      <c r="AB3470">
        <v>23</v>
      </c>
      <c r="AC3470">
        <v>-30.301500000000001</v>
      </c>
      <c r="AD3470">
        <v>-1.1083186348089999</v>
      </c>
      <c r="AE3470">
        <v>0.71840000000000204</v>
      </c>
      <c r="AF3470">
        <v>1.4095013318093401E-2</v>
      </c>
      <c r="AG3470">
        <v>-1.1083186348089999</v>
      </c>
      <c r="AH3470">
        <v>30.2695388181155</v>
      </c>
      <c r="AI3470">
        <v>92.096946977557394</v>
      </c>
      <c r="AJ3470">
        <v>89.973320217338198</v>
      </c>
      <c r="AK3470">
        <v>30.2898258352052</v>
      </c>
      <c r="AL3470">
        <v>82.344296317693903</v>
      </c>
      <c r="AM3470">
        <v>89.180026491682298</v>
      </c>
      <c r="AN3470">
        <v>1.00000000075178</v>
      </c>
    </row>
    <row r="3471" spans="1:40" x14ac:dyDescent="0.25">
      <c r="A3471" t="str">
        <f>"20190312164540413"</f>
        <v>20190312164540413</v>
      </c>
      <c r="B3471" t="str">
        <f>"1552380340405350"</f>
        <v>1552380340405350</v>
      </c>
      <c r="C3471" t="s">
        <v>40</v>
      </c>
      <c r="D3471">
        <v>5.4137529999999998</v>
      </c>
      <c r="E3471">
        <v>0.49777159999999898</v>
      </c>
      <c r="F3471" t="s">
        <v>42</v>
      </c>
      <c r="G3471">
        <v>-252.5318</v>
      </c>
      <c r="H3471" s="1">
        <v>-3.6118420000000002E-6</v>
      </c>
      <c r="I3471">
        <v>141.21619999999999</v>
      </c>
      <c r="J3471">
        <v>-222.4325</v>
      </c>
      <c r="K3471">
        <v>1.108517</v>
      </c>
      <c r="L3471">
        <v>140.50909999999999</v>
      </c>
      <c r="M3471">
        <v>-0.99961129999999998</v>
      </c>
      <c r="N3471">
        <v>0</v>
      </c>
      <c r="O3471">
        <v>2.4580680000000001E-2</v>
      </c>
      <c r="P3471">
        <v>-0.99219190000000002</v>
      </c>
      <c r="Q3471">
        <v>0.1190351</v>
      </c>
      <c r="R3471">
        <v>3.7230149999999997E-2</v>
      </c>
      <c r="S3471">
        <v>-3.0347749999999998</v>
      </c>
      <c r="T3471">
        <v>-0.1108135</v>
      </c>
      <c r="U3471">
        <v>7.1472170000000002E-2</v>
      </c>
      <c r="V3471">
        <v>1.3033879999999999E-2</v>
      </c>
      <c r="W3471">
        <v>0.13206300000000001</v>
      </c>
      <c r="X3471">
        <v>0.99115560000000003</v>
      </c>
      <c r="Y3471">
        <v>-1.0215269999999999E-3</v>
      </c>
      <c r="Z3471">
        <v>-9.1571630000000001E-4</v>
      </c>
      <c r="AA3471">
        <v>0.99999899999999997</v>
      </c>
      <c r="AB3471">
        <v>23</v>
      </c>
      <c r="AC3471">
        <v>-30.099299999999999</v>
      </c>
      <c r="AD3471">
        <v>-1.1085206118419999</v>
      </c>
      <c r="AE3471">
        <v>0.70709999999999695</v>
      </c>
      <c r="AF3471">
        <v>-3.2994242570321901E-2</v>
      </c>
      <c r="AG3471">
        <v>-1.1085206118419999</v>
      </c>
      <c r="AH3471">
        <v>30.066827480909801</v>
      </c>
      <c r="AI3471">
        <v>92.111455226427594</v>
      </c>
      <c r="AJ3471">
        <v>90.062874278634396</v>
      </c>
      <c r="AK3471">
        <v>30.0872734114228</v>
      </c>
      <c r="AL3471">
        <v>82.411178274819605</v>
      </c>
      <c r="AM3471">
        <v>89.246593297212002</v>
      </c>
      <c r="AN3471">
        <v>0.99999997070410596</v>
      </c>
    </row>
    <row r="3472" spans="1:40" x14ac:dyDescent="0.25">
      <c r="A3472" t="str">
        <f>"20190312164540433"</f>
        <v>20190312164540433</v>
      </c>
      <c r="B3472" t="str">
        <f>"1552380340424870"</f>
        <v>1552380340424870</v>
      </c>
      <c r="C3472" t="s">
        <v>40</v>
      </c>
      <c r="D3472">
        <v>5.4183199999999996</v>
      </c>
      <c r="E3472">
        <v>0.4977086</v>
      </c>
      <c r="F3472" t="s">
        <v>42</v>
      </c>
      <c r="G3472">
        <v>-252.16650000000001</v>
      </c>
      <c r="H3472" s="1">
        <v>-3.7629539999999998E-6</v>
      </c>
      <c r="I3472">
        <v>141.1951</v>
      </c>
      <c r="J3472">
        <v>-222.65180000000001</v>
      </c>
      <c r="K3472">
        <v>1.1086780000000001</v>
      </c>
      <c r="L3472">
        <v>140.51570000000001</v>
      </c>
      <c r="M3472">
        <v>-0.99958910000000001</v>
      </c>
      <c r="N3472">
        <v>0</v>
      </c>
      <c r="O3472">
        <v>2.5475250000000001E-2</v>
      </c>
      <c r="P3472">
        <v>-0.99252649999999998</v>
      </c>
      <c r="Q3472">
        <v>0.11637069999999999</v>
      </c>
      <c r="R3472">
        <v>3.6732050000000002E-2</v>
      </c>
      <c r="S3472">
        <v>-3.0345460000000002</v>
      </c>
      <c r="T3472">
        <v>-0.1131318</v>
      </c>
      <c r="U3472">
        <v>7.0022580000000001E-2</v>
      </c>
      <c r="V3472">
        <v>1.158345E-2</v>
      </c>
      <c r="W3472">
        <v>0.12939819999999999</v>
      </c>
      <c r="X3472">
        <v>0.99152510000000005</v>
      </c>
      <c r="Y3472">
        <v>-2.3898080000000002E-3</v>
      </c>
      <c r="Z3472">
        <v>-9.937552000000001E-4</v>
      </c>
      <c r="AA3472">
        <v>0.99999669999999896</v>
      </c>
      <c r="AB3472">
        <v>23</v>
      </c>
      <c r="AC3472">
        <v>-29.514700000000001</v>
      </c>
      <c r="AD3472">
        <v>-1.108681762954</v>
      </c>
      <c r="AE3472">
        <v>0.67939999999998602</v>
      </c>
      <c r="AF3472">
        <v>-7.2677313609284797E-2</v>
      </c>
      <c r="AG3472">
        <v>-1.108681762954</v>
      </c>
      <c r="AH3472">
        <v>29.480852407232799</v>
      </c>
      <c r="AI3472">
        <v>92.153691873474898</v>
      </c>
      <c r="AJ3472">
        <v>90.141247438948895</v>
      </c>
      <c r="AK3472">
        <v>29.501781571635</v>
      </c>
      <c r="AL3472">
        <v>82.565182362029304</v>
      </c>
      <c r="AM3472">
        <v>89.330674930396796</v>
      </c>
      <c r="AN3472">
        <v>1.0000000472035699</v>
      </c>
    </row>
    <row r="3473" spans="1:40" x14ac:dyDescent="0.25">
      <c r="A3473" t="str">
        <f>"20190312164540467"</f>
        <v>20190312164540467</v>
      </c>
      <c r="B3473" t="str">
        <f>"1552380340464887"</f>
        <v>1552380340464887</v>
      </c>
      <c r="C3473" t="s">
        <v>40</v>
      </c>
      <c r="D3473">
        <v>5.6864509999999999</v>
      </c>
      <c r="E3473">
        <v>0.49730419999999997</v>
      </c>
      <c r="F3473" t="s">
        <v>42</v>
      </c>
      <c r="G3473">
        <v>-250.7423</v>
      </c>
      <c r="H3473" s="1">
        <v>-4.2943929999999999E-6</v>
      </c>
      <c r="I3473">
        <v>141.1439</v>
      </c>
      <c r="J3473">
        <v>-222.9923</v>
      </c>
      <c r="K3473">
        <v>1.108865</v>
      </c>
      <c r="L3473">
        <v>140.52590000000001</v>
      </c>
      <c r="M3473">
        <v>-0.99956259999999997</v>
      </c>
      <c r="N3473">
        <v>0</v>
      </c>
      <c r="O3473">
        <v>2.6501879999999998E-2</v>
      </c>
      <c r="P3473">
        <v>-0.99230099999999999</v>
      </c>
      <c r="Q3473">
        <v>0.1174562</v>
      </c>
      <c r="R3473">
        <v>3.9278380000000002E-2</v>
      </c>
      <c r="S3473">
        <v>-3.034119</v>
      </c>
      <c r="T3473">
        <v>-0.1197513</v>
      </c>
      <c r="U3473">
        <v>6.7855830000000006E-2</v>
      </c>
      <c r="V3473">
        <v>1.305513E-2</v>
      </c>
      <c r="W3473">
        <v>0.13047049999999999</v>
      </c>
      <c r="X3473">
        <v>0.99136630000000003</v>
      </c>
      <c r="Y3473">
        <v>-4.1228949999999997E-3</v>
      </c>
      <c r="Z3473">
        <v>-1.126686E-3</v>
      </c>
      <c r="AA3473">
        <v>0.99999090000000002</v>
      </c>
      <c r="AB3473">
        <v>23</v>
      </c>
      <c r="AC3473">
        <v>-27.75</v>
      </c>
      <c r="AD3473">
        <v>-1.1088692943930001</v>
      </c>
      <c r="AE3473">
        <v>0.617999999999995</v>
      </c>
      <c r="AF3473">
        <v>-0.117520065537987</v>
      </c>
      <c r="AG3473">
        <v>-1.1088692943930001</v>
      </c>
      <c r="AH3473">
        <v>27.712403457785602</v>
      </c>
      <c r="AI3473">
        <v>92.291359733826496</v>
      </c>
      <c r="AJ3473">
        <v>90.242972913215397</v>
      </c>
      <c r="AK3473">
        <v>27.734828419965702</v>
      </c>
      <c r="AL3473">
        <v>82.503218936345505</v>
      </c>
      <c r="AM3473">
        <v>89.245525477928695</v>
      </c>
      <c r="AN3473">
        <v>1.0000000642826199</v>
      </c>
    </row>
    <row r="3474" spans="1:40" x14ac:dyDescent="0.25">
      <c r="A3474" t="str">
        <f>"20190312164540489"</f>
        <v>20190312164540489</v>
      </c>
      <c r="B3474" t="str">
        <f>"1552380340485382"</f>
        <v>1552380340485382</v>
      </c>
      <c r="C3474" t="s">
        <v>40</v>
      </c>
      <c r="D3474">
        <v>5.421983</v>
      </c>
      <c r="E3474">
        <v>0.49714340000000001</v>
      </c>
      <c r="F3474" t="s">
        <v>42</v>
      </c>
      <c r="G3474">
        <v>-252.22489999999999</v>
      </c>
      <c r="H3474" s="1">
        <v>-3.7397610000000002E-6</v>
      </c>
      <c r="I3474">
        <v>141.2021</v>
      </c>
      <c r="J3474">
        <v>-223.2055</v>
      </c>
      <c r="K3474">
        <v>1.108951</v>
      </c>
      <c r="L3474">
        <v>140.53229999999999</v>
      </c>
      <c r="M3474">
        <v>-0.99955099999999997</v>
      </c>
      <c r="N3474">
        <v>0</v>
      </c>
      <c r="O3474">
        <v>2.694759E-2</v>
      </c>
      <c r="P3474">
        <v>-0.99202310000000005</v>
      </c>
      <c r="Q3474">
        <v>0.1192069</v>
      </c>
      <c r="R3474">
        <v>4.0989310000000001E-2</v>
      </c>
      <c r="S3474">
        <v>-3.0340880000000001</v>
      </c>
      <c r="T3474">
        <v>-0.1150911</v>
      </c>
      <c r="U3474">
        <v>7.0190429999999998E-2</v>
      </c>
      <c r="V3474">
        <v>1.430478E-2</v>
      </c>
      <c r="W3474">
        <v>0.1322006</v>
      </c>
      <c r="X3474">
        <v>0.99111970000000005</v>
      </c>
      <c r="Y3474">
        <v>-3.8012419999999998E-3</v>
      </c>
      <c r="Z3474">
        <v>-1.0936660000000001E-3</v>
      </c>
      <c r="AA3474">
        <v>0.9999922</v>
      </c>
      <c r="AB3474">
        <v>23</v>
      </c>
      <c r="AC3474">
        <v>-29.019399999999901</v>
      </c>
      <c r="AD3474">
        <v>-1.108954739761</v>
      </c>
      <c r="AE3474">
        <v>0.66980000000000905</v>
      </c>
      <c r="AF3474">
        <v>-0.112349309326498</v>
      </c>
      <c r="AG3474">
        <v>-1.108954739761</v>
      </c>
      <c r="AH3474">
        <v>28.984606244144199</v>
      </c>
      <c r="AI3474">
        <v>92.1910586950317</v>
      </c>
      <c r="AJ3474">
        <v>90.222087164578596</v>
      </c>
      <c r="AK3474">
        <v>29.006030443861601</v>
      </c>
      <c r="AL3474">
        <v>82.403224423935498</v>
      </c>
      <c r="AM3474">
        <v>89.173110354445896</v>
      </c>
      <c r="AN3474">
        <v>0.99999994254964697</v>
      </c>
    </row>
    <row r="3475" spans="1:40" x14ac:dyDescent="0.25">
      <c r="A3475" t="str">
        <f>"20190312164540511"</f>
        <v>20190312164540511</v>
      </c>
      <c r="B3475" t="str">
        <f>"1552380340504902"</f>
        <v>1552380340504902</v>
      </c>
      <c r="C3475" t="s">
        <v>40</v>
      </c>
      <c r="D3475">
        <v>5.4290430000000001</v>
      </c>
      <c r="E3475">
        <v>0.49691370000000001</v>
      </c>
      <c r="F3475" t="s">
        <v>42</v>
      </c>
      <c r="G3475">
        <v>-253.94990000000001</v>
      </c>
      <c r="H3475" s="1">
        <v>-3.0219170000000001E-6</v>
      </c>
      <c r="I3475">
        <v>141.28540000000001</v>
      </c>
      <c r="J3475">
        <v>-223.4367</v>
      </c>
      <c r="K3475">
        <v>1.109019</v>
      </c>
      <c r="L3475">
        <v>140.53909999999999</v>
      </c>
      <c r="M3475">
        <v>-0.9995425</v>
      </c>
      <c r="N3475">
        <v>0</v>
      </c>
      <c r="O3475">
        <v>2.7283189999999999E-2</v>
      </c>
      <c r="P3475">
        <v>-0.99188960000000004</v>
      </c>
      <c r="Q3475">
        <v>0.119907399999999</v>
      </c>
      <c r="R3475">
        <v>4.2159090000000003E-2</v>
      </c>
      <c r="S3475">
        <v>-3.0342250000000002</v>
      </c>
      <c r="T3475">
        <v>-0.1094451</v>
      </c>
      <c r="U3475">
        <v>7.4340820000000002E-2</v>
      </c>
      <c r="V3475">
        <v>1.5121829999999999E-2</v>
      </c>
      <c r="W3475">
        <v>0.1328551</v>
      </c>
      <c r="X3475">
        <v>0.99102009999999996</v>
      </c>
      <c r="Y3475">
        <v>-2.773518E-3</v>
      </c>
      <c r="Z3475">
        <v>-1.0335500000000001E-3</v>
      </c>
      <c r="AA3475">
        <v>0.99999559999999998</v>
      </c>
      <c r="AB3475">
        <v>23</v>
      </c>
      <c r="AC3475">
        <v>-30.513200000000001</v>
      </c>
      <c r="AD3475">
        <v>-1.1090220219169999</v>
      </c>
      <c r="AE3475">
        <v>0.74630000000001895</v>
      </c>
      <c r="AF3475">
        <v>-8.6432131087977093E-2</v>
      </c>
      <c r="AG3475">
        <v>-1.1090220219169999</v>
      </c>
      <c r="AH3475">
        <v>30.481959754684599</v>
      </c>
      <c r="AI3475">
        <v>92.083659042918001</v>
      </c>
      <c r="AJ3475">
        <v>90.162462751523506</v>
      </c>
      <c r="AK3475">
        <v>30.5022502587037</v>
      </c>
      <c r="AL3475">
        <v>82.365390999189401</v>
      </c>
      <c r="AM3475">
        <v>89.1257999675978</v>
      </c>
      <c r="AN3475">
        <v>0.99999999297128395</v>
      </c>
    </row>
    <row r="3476" spans="1:40" x14ac:dyDescent="0.25">
      <c r="A3476" t="str">
        <f>"20190312164540534"</f>
        <v>20190312164540534</v>
      </c>
      <c r="B3476" t="str">
        <f>"1552380340525398"</f>
        <v>1552380340525398</v>
      </c>
      <c r="C3476" t="s">
        <v>40</v>
      </c>
      <c r="D3476">
        <v>5.3022589999999896</v>
      </c>
      <c r="E3476">
        <v>0.49671939999999998</v>
      </c>
      <c r="F3476" t="s">
        <v>42</v>
      </c>
      <c r="G3476">
        <v>-254.8689</v>
      </c>
      <c r="H3476" s="1">
        <v>-2.6418639999999999E-6</v>
      </c>
      <c r="I3476">
        <v>141.33869999999999</v>
      </c>
      <c r="J3476">
        <v>-223.6567</v>
      </c>
      <c r="K3476">
        <v>1.109062</v>
      </c>
      <c r="L3476">
        <v>140.5455</v>
      </c>
      <c r="M3476">
        <v>-0.9995368</v>
      </c>
      <c r="N3476">
        <v>0</v>
      </c>
      <c r="O3476">
        <v>2.7519450000000001E-2</v>
      </c>
      <c r="P3476">
        <v>-0.99193719999999996</v>
      </c>
      <c r="Q3476">
        <v>0.11922679999999999</v>
      </c>
      <c r="R3476">
        <v>4.2965580000000003E-2</v>
      </c>
      <c r="S3476">
        <v>-3.0341800000000001</v>
      </c>
      <c r="T3476">
        <v>-0.1070552</v>
      </c>
      <c r="U3476">
        <v>7.7194209999999999E-2</v>
      </c>
      <c r="V3476">
        <v>1.567437E-2</v>
      </c>
      <c r="W3476">
        <v>0.13212070000000001</v>
      </c>
      <c r="X3476">
        <v>0.99110969999999998</v>
      </c>
      <c r="Y3476">
        <v>-2.0707970000000001E-3</v>
      </c>
      <c r="Z3476">
        <v>-1.0069320000000001E-3</v>
      </c>
      <c r="AA3476">
        <v>0.99999740000000004</v>
      </c>
      <c r="AB3476">
        <v>23</v>
      </c>
      <c r="AC3476">
        <v>-31.212199999999999</v>
      </c>
      <c r="AD3476">
        <v>-1.109064641864</v>
      </c>
      <c r="AE3476">
        <v>0.79319999999998403</v>
      </c>
      <c r="AF3476">
        <v>-6.6032251726226801E-2</v>
      </c>
      <c r="AG3476">
        <v>-1.109064641864</v>
      </c>
      <c r="AH3476">
        <v>31.182861227148202</v>
      </c>
      <c r="AI3476">
        <v>92.036946083833897</v>
      </c>
      <c r="AJ3476">
        <v>90.1213283044505</v>
      </c>
      <c r="AK3476">
        <v>31.2026476272396</v>
      </c>
      <c r="AL3476">
        <v>82.407843317518797</v>
      </c>
      <c r="AM3476">
        <v>89.0939445096258</v>
      </c>
      <c r="AN3476">
        <v>1.00000000133873</v>
      </c>
    </row>
    <row r="3477" spans="1:40" x14ac:dyDescent="0.25">
      <c r="A3477" t="str">
        <f>"20190312164540556"</f>
        <v>20190312164540556</v>
      </c>
      <c r="B3477" t="str">
        <f>"1552380340544928"</f>
        <v>1552380340544928</v>
      </c>
      <c r="C3477" t="s">
        <v>40</v>
      </c>
      <c r="D3477">
        <v>5.3788519999999904</v>
      </c>
      <c r="E3477">
        <v>0.51145429999999903</v>
      </c>
      <c r="F3477" t="s">
        <v>42</v>
      </c>
      <c r="G3477">
        <v>-254.572</v>
      </c>
      <c r="H3477" s="1">
        <v>-2.7727179999999998E-6</v>
      </c>
      <c r="I3477">
        <v>141.3519</v>
      </c>
      <c r="J3477">
        <v>-223.88939999999999</v>
      </c>
      <c r="K3477">
        <v>1.1090719999999901</v>
      </c>
      <c r="L3477">
        <v>140.5523</v>
      </c>
      <c r="M3477">
        <v>-0.99953190000000003</v>
      </c>
      <c r="N3477">
        <v>0</v>
      </c>
      <c r="O3477">
        <v>2.7727209999999999E-2</v>
      </c>
      <c r="P3477">
        <v>-0.99212659999999997</v>
      </c>
      <c r="Q3477">
        <v>0.1175083</v>
      </c>
      <c r="R3477">
        <v>4.3321850000000002E-2</v>
      </c>
      <c r="S3477">
        <v>-3.0340419999999999</v>
      </c>
      <c r="T3477">
        <v>-0.1088442</v>
      </c>
      <c r="U3477">
        <v>7.9147339999999997E-2</v>
      </c>
      <c r="V3477">
        <v>1.5806379999999998E-2</v>
      </c>
      <c r="W3477">
        <v>0.13034609999999999</v>
      </c>
      <c r="X3477">
        <v>0.99134250000000002</v>
      </c>
      <c r="Y3477">
        <v>-1.633694E-3</v>
      </c>
      <c r="Z3477">
        <v>-1.023393E-3</v>
      </c>
      <c r="AA3477">
        <v>0.99999819999999995</v>
      </c>
      <c r="AB3477">
        <v>23</v>
      </c>
      <c r="AC3477">
        <v>-30.682600000000001</v>
      </c>
      <c r="AD3477">
        <v>-1.1090747727179999</v>
      </c>
      <c r="AE3477">
        <v>0.79959999999999798</v>
      </c>
      <c r="AF3477">
        <v>-5.1454309487061499E-2</v>
      </c>
      <c r="AG3477">
        <v>-1.1090747727179999</v>
      </c>
      <c r="AH3477">
        <v>30.652950453471099</v>
      </c>
      <c r="AI3477">
        <v>92.072149849447399</v>
      </c>
      <c r="AJ3477">
        <v>90.0961771039578</v>
      </c>
      <c r="AK3477">
        <v>30.6730511345122</v>
      </c>
      <c r="AL3477">
        <v>82.510407060280201</v>
      </c>
      <c r="AM3477">
        <v>89.086529499248599</v>
      </c>
      <c r="AN3477">
        <v>0.99999994987008101</v>
      </c>
    </row>
    <row r="3478" spans="1:40" x14ac:dyDescent="0.25">
      <c r="A3478" t="str">
        <f>"20190312164540578"</f>
        <v>20190312164540578</v>
      </c>
      <c r="B3478" t="str">
        <f>"1552380340575173"</f>
        <v>1552380340575173</v>
      </c>
      <c r="C3478" t="s">
        <v>40</v>
      </c>
      <c r="D3478">
        <v>5.2605709999999997</v>
      </c>
      <c r="E3478">
        <v>0.51971309999999904</v>
      </c>
      <c r="F3478" t="s">
        <v>42</v>
      </c>
      <c r="G3478">
        <v>-261.62020000000001</v>
      </c>
      <c r="H3478" s="1">
        <v>-4.33251999999999E-6</v>
      </c>
      <c r="I3478">
        <v>143.04300000000001</v>
      </c>
      <c r="J3478">
        <v>-224.1053</v>
      </c>
      <c r="K3478">
        <v>1.1090690000000001</v>
      </c>
      <c r="L3478">
        <v>140.55850000000001</v>
      </c>
      <c r="M3478">
        <v>-0.99952779999999997</v>
      </c>
      <c r="N3478">
        <v>0</v>
      </c>
      <c r="O3478">
        <v>2.790482E-2</v>
      </c>
      <c r="P3478">
        <v>-0.99220560000000002</v>
      </c>
      <c r="Q3478">
        <v>0.1166891</v>
      </c>
      <c r="R3478">
        <v>4.3722610000000002E-2</v>
      </c>
      <c r="S3478">
        <v>-3.0256349999999999</v>
      </c>
      <c r="T3478">
        <v>-8.8937039999999995E-2</v>
      </c>
      <c r="U3478">
        <v>0.19973750000000001</v>
      </c>
      <c r="V3478">
        <v>1.6023220000000001E-2</v>
      </c>
      <c r="W3478">
        <v>0.1294563</v>
      </c>
      <c r="X3478">
        <v>0.99145570000000005</v>
      </c>
      <c r="Y3478">
        <v>3.79952E-2</v>
      </c>
      <c r="Z3478">
        <v>-2.6128229999999999E-4</v>
      </c>
      <c r="AA3478">
        <v>0.99927790000000005</v>
      </c>
      <c r="AB3478">
        <v>23</v>
      </c>
      <c r="AC3478">
        <v>-37.514899999999997</v>
      </c>
      <c r="AD3478">
        <v>-1.10907333252</v>
      </c>
      <c r="AE3478">
        <v>2.4844999999999899</v>
      </c>
      <c r="AF3478">
        <v>1.4353501472322701</v>
      </c>
      <c r="AG3478">
        <v>-1.10907333252</v>
      </c>
      <c r="AH3478">
        <v>37.536959816707402</v>
      </c>
      <c r="AI3478">
        <v>91.691143192472595</v>
      </c>
      <c r="AJ3478">
        <v>87.810172736197401</v>
      </c>
      <c r="AK3478">
        <v>37.580761381099897</v>
      </c>
      <c r="AL3478">
        <v>82.561825194917105</v>
      </c>
      <c r="AM3478">
        <v>89.074105919429499</v>
      </c>
      <c r="AN3478">
        <v>1.00000004112567</v>
      </c>
    </row>
    <row r="3479" spans="1:40" x14ac:dyDescent="0.25">
      <c r="A3479" t="str">
        <f>"20190312164540600"</f>
        <v>20190312164540600</v>
      </c>
      <c r="B3479" t="str">
        <f>"1552380340594694"</f>
        <v>1552380340594694</v>
      </c>
      <c r="C3479" t="s">
        <v>40</v>
      </c>
      <c r="D3479">
        <v>5.5538349999999896</v>
      </c>
      <c r="E3479">
        <v>0.52144849999999998</v>
      </c>
      <c r="F3479" t="s">
        <v>42</v>
      </c>
      <c r="G3479">
        <v>-248.1541</v>
      </c>
      <c r="H3479" s="1">
        <v>-1.5848719999999999E-6</v>
      </c>
      <c r="I3479">
        <v>142.66309999999999</v>
      </c>
      <c r="J3479">
        <v>-224.3246</v>
      </c>
      <c r="K3479">
        <v>1.1090439999999999</v>
      </c>
      <c r="L3479">
        <v>140.56489999999999</v>
      </c>
      <c r="M3479">
        <v>-0.99952390000000002</v>
      </c>
      <c r="N3479">
        <v>0</v>
      </c>
      <c r="O3479">
        <v>2.8087299999999999E-2</v>
      </c>
      <c r="P3479">
        <v>-0.99222330000000003</v>
      </c>
      <c r="Q3479">
        <v>0.1165172</v>
      </c>
      <c r="R3479">
        <v>4.3782359999999999E-2</v>
      </c>
      <c r="S3479">
        <v>-3.028305</v>
      </c>
      <c r="T3479">
        <v>-0.13965759999999999</v>
      </c>
      <c r="U3479">
        <v>0.26501459999999999</v>
      </c>
      <c r="V3479">
        <v>1.5902099999999999E-2</v>
      </c>
      <c r="W3479">
        <v>0.1291863</v>
      </c>
      <c r="X3479">
        <v>0.99149279999999995</v>
      </c>
      <c r="Y3479">
        <v>5.9129580000000001E-2</v>
      </c>
      <c r="Z3479" s="1">
        <v>6.8390159999999998E-5</v>
      </c>
      <c r="AA3479">
        <v>0.99825030000000003</v>
      </c>
      <c r="AB3479">
        <v>23</v>
      </c>
      <c r="AC3479">
        <v>-23.829499999999999</v>
      </c>
      <c r="AD3479">
        <v>-1.109045584872</v>
      </c>
      <c r="AE3479">
        <v>2.0981999999999901</v>
      </c>
      <c r="AF3479">
        <v>1.4249484067691001</v>
      </c>
      <c r="AG3479">
        <v>-1.109045584872</v>
      </c>
      <c r="AH3479">
        <v>23.827819450556898</v>
      </c>
      <c r="AI3479">
        <v>92.660114529497804</v>
      </c>
      <c r="AJ3479">
        <v>86.5776804750639</v>
      </c>
      <c r="AK3479">
        <v>23.8961385968448</v>
      </c>
      <c r="AL3479">
        <v>82.577425563209104</v>
      </c>
      <c r="AM3479">
        <v>89.081137953566994</v>
      </c>
      <c r="AN3479">
        <v>0.99999997467196899</v>
      </c>
    </row>
    <row r="3480" spans="1:40" x14ac:dyDescent="0.25">
      <c r="A3480" t="str">
        <f>"20190312164540623"</f>
        <v>20190312164540623</v>
      </c>
      <c r="B3480" t="str">
        <f>"1552380340615190"</f>
        <v>1552380340615190</v>
      </c>
      <c r="C3480" t="s">
        <v>40</v>
      </c>
      <c r="D3480">
        <v>5.2305640000000002</v>
      </c>
      <c r="E3480">
        <v>0.52192490000000002</v>
      </c>
      <c r="F3480" t="s">
        <v>42</v>
      </c>
      <c r="G3480">
        <v>-247.63300000000001</v>
      </c>
      <c r="H3480" s="1">
        <v>-1.8211320000000001E-6</v>
      </c>
      <c r="I3480">
        <v>142.71080000000001</v>
      </c>
      <c r="J3480">
        <v>-224.5625</v>
      </c>
      <c r="K3480">
        <v>1.1089910000000001</v>
      </c>
      <c r="L3480">
        <v>140.5718</v>
      </c>
      <c r="M3480">
        <v>-0.99951990000000002</v>
      </c>
      <c r="N3480">
        <v>0</v>
      </c>
      <c r="O3480">
        <v>2.8289120000000001E-2</v>
      </c>
      <c r="P3480">
        <v>-0.99229889999999998</v>
      </c>
      <c r="Q3480">
        <v>0.115777</v>
      </c>
      <c r="R3480">
        <v>4.4029560000000002E-2</v>
      </c>
      <c r="S3480">
        <v>-3.0281220000000002</v>
      </c>
      <c r="T3480">
        <v>-0.1440825</v>
      </c>
      <c r="U3480">
        <v>0.27879330000000002</v>
      </c>
      <c r="V3480">
        <v>1.5951590000000002E-2</v>
      </c>
      <c r="W3480">
        <v>0.12832150000000001</v>
      </c>
      <c r="X3480">
        <v>0.99160429999999999</v>
      </c>
      <c r="Y3480">
        <v>6.3432009999999997E-2</v>
      </c>
      <c r="Z3480">
        <v>1.6308370000000001E-4</v>
      </c>
      <c r="AA3480">
        <v>0.99798609999999999</v>
      </c>
      <c r="AB3480">
        <v>23</v>
      </c>
      <c r="AC3480">
        <v>-23.0704999999999</v>
      </c>
      <c r="AD3480">
        <v>-1.1089928211319999</v>
      </c>
      <c r="AE3480">
        <v>2.13900000000001</v>
      </c>
      <c r="AF3480">
        <v>1.4820521477678299</v>
      </c>
      <c r="AG3480">
        <v>-1.1089928211319999</v>
      </c>
      <c r="AH3480">
        <v>23.0689295300479</v>
      </c>
      <c r="AI3480">
        <v>92.746607986032203</v>
      </c>
      <c r="AJ3480">
        <v>86.324112216779596</v>
      </c>
      <c r="AK3480">
        <v>23.143073549300698</v>
      </c>
      <c r="AL3480">
        <v>82.627390834750202</v>
      </c>
      <c r="AM3480">
        <v>89.078382417667697</v>
      </c>
      <c r="AN3480">
        <v>0.99999997418213304</v>
      </c>
    </row>
    <row r="3481" spans="1:40" x14ac:dyDescent="0.25">
      <c r="A3481" t="str">
        <f>"20190312164540647"</f>
        <v>20190312164540647</v>
      </c>
      <c r="B3481" t="str">
        <f>"1552380340634710"</f>
        <v>1552380340634710</v>
      </c>
      <c r="C3481" t="s">
        <v>40</v>
      </c>
      <c r="D3481">
        <v>5.3385759999999998</v>
      </c>
      <c r="E3481">
        <v>0.52287600000000001</v>
      </c>
      <c r="F3481" t="s">
        <v>42</v>
      </c>
      <c r="G3481">
        <v>-250.03630000000001</v>
      </c>
      <c r="H3481" s="1">
        <v>-4.8566149999999996E-6</v>
      </c>
      <c r="I3481">
        <v>142.959</v>
      </c>
      <c r="J3481">
        <v>-224.7937</v>
      </c>
      <c r="K3481">
        <v>1.1089450000000001</v>
      </c>
      <c r="L3481">
        <v>140.57859999999999</v>
      </c>
      <c r="M3481">
        <v>-0.99951599999999996</v>
      </c>
      <c r="N3481">
        <v>0</v>
      </c>
      <c r="O3481">
        <v>2.849059E-2</v>
      </c>
      <c r="P3481">
        <v>-0.99241239999999997</v>
      </c>
      <c r="Q3481">
        <v>0.114831</v>
      </c>
      <c r="R3481">
        <v>4.3951129999999998E-2</v>
      </c>
      <c r="S3481">
        <v>-3.026062</v>
      </c>
      <c r="T3481">
        <v>-0.13173899999999999</v>
      </c>
      <c r="U3481">
        <v>0.28358460000000002</v>
      </c>
      <c r="V3481">
        <v>1.5676289999999999E-2</v>
      </c>
      <c r="W3481">
        <v>0.1272384</v>
      </c>
      <c r="X3481">
        <v>0.99174830000000003</v>
      </c>
      <c r="Y3481">
        <v>6.4864720000000001E-2</v>
      </c>
      <c r="Z3481">
        <v>1.7158900000000001E-4</v>
      </c>
      <c r="AA3481">
        <v>0.99789399999999995</v>
      </c>
      <c r="AB3481">
        <v>23</v>
      </c>
      <c r="AC3481">
        <v>-25.242599999999999</v>
      </c>
      <c r="AD3481">
        <v>-1.108949856615</v>
      </c>
      <c r="AE3481">
        <v>2.3803999999999998</v>
      </c>
      <c r="AF3481">
        <v>1.6570309941600501</v>
      </c>
      <c r="AG3481">
        <v>-1.108949856615</v>
      </c>
      <c r="AH3481">
        <v>25.2518693814174</v>
      </c>
      <c r="AI3481">
        <v>92.509170751083104</v>
      </c>
      <c r="AJ3481">
        <v>86.245626009621503</v>
      </c>
      <c r="AK3481">
        <v>25.330464440200402</v>
      </c>
      <c r="AL3481">
        <v>82.689961175800306</v>
      </c>
      <c r="AM3481">
        <v>89.094416938215602</v>
      </c>
      <c r="AN3481">
        <v>1.0000000235277999</v>
      </c>
    </row>
    <row r="3482" spans="1:40" x14ac:dyDescent="0.25">
      <c r="A3482" t="str">
        <f>"20190312164540668"</f>
        <v>20190312164540668</v>
      </c>
      <c r="B3482" t="str">
        <f>"1552380340665508"</f>
        <v>1552380340665508</v>
      </c>
      <c r="C3482" t="s">
        <v>40</v>
      </c>
      <c r="D3482">
        <v>6.249161</v>
      </c>
      <c r="E3482">
        <v>0.52373230000000004</v>
      </c>
      <c r="F3482" t="s">
        <v>42</v>
      </c>
      <c r="G3482">
        <v>-253.01900000000001</v>
      </c>
      <c r="H3482" s="1">
        <v>-3.9023949999999998E-6</v>
      </c>
      <c r="I3482">
        <v>143.30170000000001</v>
      </c>
      <c r="J3482">
        <v>-225.01220000000001</v>
      </c>
      <c r="K3482">
        <v>1.1089039999999999</v>
      </c>
      <c r="L3482">
        <v>140.58500000000001</v>
      </c>
      <c r="M3482">
        <v>-0.99951210000000001</v>
      </c>
      <c r="N3482">
        <v>0</v>
      </c>
      <c r="O3482">
        <v>2.8685309999999999E-2</v>
      </c>
      <c r="P3482">
        <v>-0.99245099999999997</v>
      </c>
      <c r="Q3482">
        <v>0.11455839999999901</v>
      </c>
      <c r="R3482">
        <v>4.3790959999999997E-2</v>
      </c>
      <c r="S3482">
        <v>-3.0237880000000001</v>
      </c>
      <c r="T3482">
        <v>-0.1188024</v>
      </c>
      <c r="U3482">
        <v>0.29173280000000001</v>
      </c>
      <c r="V3482">
        <v>1.5326640000000001E-2</v>
      </c>
      <c r="W3482">
        <v>0.12682460000000001</v>
      </c>
      <c r="X3482">
        <v>0.99180670000000004</v>
      </c>
      <c r="Y3482">
        <v>6.7409280000000002E-2</v>
      </c>
      <c r="Z3482">
        <v>1.9709109999999999E-4</v>
      </c>
      <c r="AA3482">
        <v>0.99772539999999998</v>
      </c>
      <c r="AB3482">
        <v>23</v>
      </c>
      <c r="AC3482">
        <v>-28.006799999999998</v>
      </c>
      <c r="AD3482">
        <v>-1.1089079023949999</v>
      </c>
      <c r="AE3482">
        <v>2.7166999999999999</v>
      </c>
      <c r="AF3482">
        <v>1.9091716776160399</v>
      </c>
      <c r="AG3482">
        <v>-1.1089079023949999</v>
      </c>
      <c r="AH3482">
        <v>28.029675929606299</v>
      </c>
      <c r="AI3482">
        <v>92.260318136996602</v>
      </c>
      <c r="AJ3482">
        <v>86.103458772952706</v>
      </c>
      <c r="AK3482">
        <v>28.1164959756609</v>
      </c>
      <c r="AL3482">
        <v>82.713863328921306</v>
      </c>
      <c r="AM3482">
        <v>89.114664284521893</v>
      </c>
      <c r="AN3482">
        <v>0.999999957611868</v>
      </c>
    </row>
    <row r="3483" spans="1:40" x14ac:dyDescent="0.25">
      <c r="A3483" t="str">
        <f>"20190312164540689"</f>
        <v>20190312164540689</v>
      </c>
      <c r="B3483" t="str">
        <f>"1552380340685028"</f>
        <v>1552380340685028</v>
      </c>
      <c r="C3483" t="s">
        <v>40</v>
      </c>
      <c r="D3483">
        <v>5.4083139999999998</v>
      </c>
      <c r="E3483">
        <v>0.52420279999999997</v>
      </c>
      <c r="F3483" t="s">
        <v>42</v>
      </c>
      <c r="G3483">
        <v>-254.98660000000001</v>
      </c>
      <c r="H3483" s="1">
        <v>-3.180674E-6</v>
      </c>
      <c r="I3483">
        <v>143.55359999999999</v>
      </c>
      <c r="J3483">
        <v>-225.2261</v>
      </c>
      <c r="K3483">
        <v>1.108886</v>
      </c>
      <c r="L3483">
        <v>140.59129999999999</v>
      </c>
      <c r="M3483">
        <v>-0.99950850000000002</v>
      </c>
      <c r="N3483">
        <v>0</v>
      </c>
      <c r="O3483">
        <v>2.8867650000000002E-2</v>
      </c>
      <c r="P3483">
        <v>-0.99242750000000002</v>
      </c>
      <c r="Q3483">
        <v>0.1147899</v>
      </c>
      <c r="R3483">
        <v>4.3712679999999997E-2</v>
      </c>
      <c r="S3483">
        <v>-3.0225219999999999</v>
      </c>
      <c r="T3483">
        <v>-0.11181869999999999</v>
      </c>
      <c r="U3483">
        <v>0.29934690000000003</v>
      </c>
      <c r="V3483">
        <v>1.5069849999999999E-2</v>
      </c>
      <c r="W3483">
        <v>0.1269168</v>
      </c>
      <c r="X3483">
        <v>0.99179890000000004</v>
      </c>
      <c r="Y3483">
        <v>6.9758609999999999E-2</v>
      </c>
      <c r="Z3483">
        <v>2.221949E-4</v>
      </c>
      <c r="AA3483">
        <v>0.99756389999999995</v>
      </c>
      <c r="AB3483">
        <v>23</v>
      </c>
      <c r="AC3483">
        <v>-29.7605</v>
      </c>
      <c r="AD3483">
        <v>-1.108889180674</v>
      </c>
      <c r="AE3483">
        <v>2.9622999999999902</v>
      </c>
      <c r="AF3483">
        <v>2.0989998303728701</v>
      </c>
      <c r="AG3483">
        <v>-1.108889180674</v>
      </c>
      <c r="AH3483">
        <v>29.792659712645101</v>
      </c>
      <c r="AI3483">
        <v>92.126311429062696</v>
      </c>
      <c r="AJ3483">
        <v>85.969965813564798</v>
      </c>
      <c r="AK3483">
        <v>29.8870876509637</v>
      </c>
      <c r="AL3483">
        <v>82.708538052224895</v>
      </c>
      <c r="AM3483">
        <v>89.129488483754002</v>
      </c>
      <c r="AN3483">
        <v>1.0000000162712299</v>
      </c>
    </row>
    <row r="3484" spans="1:40" x14ac:dyDescent="0.25">
      <c r="A3484" t="str">
        <f>"20190312164540711"</f>
        <v>20190312164540711</v>
      </c>
      <c r="B3484" t="str">
        <f>"1552380340705524"</f>
        <v>1552380340705524</v>
      </c>
      <c r="C3484" t="s">
        <v>40</v>
      </c>
      <c r="D3484">
        <v>5.3474240000000002</v>
      </c>
      <c r="E3484">
        <v>0.52437349999999905</v>
      </c>
      <c r="F3484" t="s">
        <v>42</v>
      </c>
      <c r="G3484">
        <v>-256.80340000000001</v>
      </c>
      <c r="H3484" s="1">
        <v>-2.454847E-6</v>
      </c>
      <c r="I3484">
        <v>143.75489999999999</v>
      </c>
      <c r="J3484">
        <v>-225.453</v>
      </c>
      <c r="K3484">
        <v>1.108876</v>
      </c>
      <c r="L3484">
        <v>140.59809999999999</v>
      </c>
      <c r="M3484">
        <v>-0.9995058</v>
      </c>
      <c r="N3484">
        <v>0</v>
      </c>
      <c r="O3484">
        <v>2.9029429999999998E-2</v>
      </c>
      <c r="P3484">
        <v>-0.99225450000000004</v>
      </c>
      <c r="Q3484">
        <v>0.115967899999999</v>
      </c>
      <c r="R3484">
        <v>4.4525759999999998E-2</v>
      </c>
      <c r="S3484">
        <v>-3.0218349999999998</v>
      </c>
      <c r="T3484">
        <v>-0.1061168</v>
      </c>
      <c r="U3484">
        <v>0.30274959999999901</v>
      </c>
      <c r="V3484">
        <v>1.5724309999999998E-2</v>
      </c>
      <c r="W3484">
        <v>0.12794449999999999</v>
      </c>
      <c r="X3484">
        <v>0.99165669999999995</v>
      </c>
      <c r="Y3484">
        <v>7.0733889999999994E-2</v>
      </c>
      <c r="Z3484">
        <v>2.2233060000000001E-4</v>
      </c>
      <c r="AA3484">
        <v>0.99749520000000003</v>
      </c>
      <c r="AB3484">
        <v>23</v>
      </c>
      <c r="AC3484">
        <v>-31.3504</v>
      </c>
      <c r="AD3484">
        <v>-1.1088784548470001</v>
      </c>
      <c r="AE3484">
        <v>3.1568000000000001</v>
      </c>
      <c r="AF3484">
        <v>2.24254154554334</v>
      </c>
      <c r="AG3484">
        <v>-1.1088784548470001</v>
      </c>
      <c r="AH3484">
        <v>31.389955592456801</v>
      </c>
      <c r="AI3484">
        <v>92.018044613450797</v>
      </c>
      <c r="AJ3484">
        <v>85.913653432292804</v>
      </c>
      <c r="AK3484">
        <v>31.489488978189598</v>
      </c>
      <c r="AL3484">
        <v>82.6491712886789</v>
      </c>
      <c r="AM3484">
        <v>89.091559506372207</v>
      </c>
      <c r="AN3484">
        <v>1.00000002983005</v>
      </c>
    </row>
    <row r="3485" spans="1:40" x14ac:dyDescent="0.25">
      <c r="A3485" t="str">
        <f>"20190312164540734"</f>
        <v>20190312164540734</v>
      </c>
      <c r="B3485" t="str">
        <f>"1552380340725043"</f>
        <v>1552380340725043</v>
      </c>
      <c r="C3485" t="s">
        <v>40</v>
      </c>
      <c r="D3485">
        <v>5.3039909999999999</v>
      </c>
      <c r="E3485">
        <v>0.52453609999999995</v>
      </c>
      <c r="F3485" t="s">
        <v>42</v>
      </c>
      <c r="G3485">
        <v>-260.03919999999999</v>
      </c>
      <c r="H3485" s="1">
        <v>-5.0591499999999997E-6</v>
      </c>
      <c r="I3485">
        <v>144.1062</v>
      </c>
      <c r="J3485">
        <v>-225.68860000000001</v>
      </c>
      <c r="K3485">
        <v>1.108878</v>
      </c>
      <c r="L3485">
        <v>140.60509999999999</v>
      </c>
      <c r="M3485">
        <v>-0.99950369999999999</v>
      </c>
      <c r="N3485">
        <v>0</v>
      </c>
      <c r="O3485">
        <v>2.9156830000000002E-2</v>
      </c>
      <c r="P3485">
        <v>-0.99212829999999996</v>
      </c>
      <c r="Q3485">
        <v>0.1166099</v>
      </c>
      <c r="R3485">
        <v>4.5648910000000001E-2</v>
      </c>
      <c r="S3485">
        <v>-3.020966</v>
      </c>
      <c r="T3485">
        <v>-9.6856590000000006E-2</v>
      </c>
      <c r="U3485">
        <v>0.306427</v>
      </c>
      <c r="V3485">
        <v>1.6718230000000001E-2</v>
      </c>
      <c r="W3485">
        <v>0.12843830000000001</v>
      </c>
      <c r="X3485">
        <v>0.99157660000000003</v>
      </c>
      <c r="Y3485">
        <v>7.1840979999999999E-2</v>
      </c>
      <c r="Z3485">
        <v>2.1661919999999999E-4</v>
      </c>
      <c r="AA3485">
        <v>0.99741610000000003</v>
      </c>
      <c r="AB3485">
        <v>23</v>
      </c>
      <c r="AC3485">
        <v>-34.350599999999901</v>
      </c>
      <c r="AD3485">
        <v>-1.1088830591500001</v>
      </c>
      <c r="AE3485">
        <v>3.5011000000000001</v>
      </c>
      <c r="AF3485">
        <v>2.49541176039873</v>
      </c>
      <c r="AG3485">
        <v>-1.1088830591500001</v>
      </c>
      <c r="AH3485">
        <v>34.402600160430701</v>
      </c>
      <c r="AI3485">
        <v>91.841314871842997</v>
      </c>
      <c r="AJ3485">
        <v>85.851284573020394</v>
      </c>
      <c r="AK3485">
        <v>34.510804095113102</v>
      </c>
      <c r="AL3485">
        <v>82.620643224670303</v>
      </c>
      <c r="AM3485">
        <v>89.034070317782493</v>
      </c>
      <c r="AN3485">
        <v>1.0000000248943901</v>
      </c>
    </row>
    <row r="3486" spans="1:40" x14ac:dyDescent="0.25">
      <c r="A3486" t="str">
        <f>"20190312164540756"</f>
        <v>20190312164540756</v>
      </c>
      <c r="B3486" t="str">
        <f>"1552380340745543"</f>
        <v>1552380340745543</v>
      </c>
      <c r="C3486" t="s">
        <v>40</v>
      </c>
      <c r="D3486">
        <v>5.3829979999999997</v>
      </c>
      <c r="E3486">
        <v>0.52466889999999999</v>
      </c>
      <c r="F3486" t="s">
        <v>42</v>
      </c>
      <c r="G3486">
        <v>-262.75139999999999</v>
      </c>
      <c r="H3486" s="1">
        <v>-4.191629E-6</v>
      </c>
      <c r="I3486">
        <v>144.4188</v>
      </c>
      <c r="J3486">
        <v>-225.9067</v>
      </c>
      <c r="K3486">
        <v>1.108889</v>
      </c>
      <c r="L3486">
        <v>140.61150000000001</v>
      </c>
      <c r="M3486">
        <v>-0.99950329999999998</v>
      </c>
      <c r="N3486">
        <v>0</v>
      </c>
      <c r="O3486">
        <v>2.9227659999999999E-2</v>
      </c>
      <c r="P3486">
        <v>-0.99208560000000001</v>
      </c>
      <c r="Q3486">
        <v>0.1166222</v>
      </c>
      <c r="R3486">
        <v>4.6538030000000001E-2</v>
      </c>
      <c r="S3486">
        <v>-3.0201259999999999</v>
      </c>
      <c r="T3486">
        <v>-9.0359449999999994E-2</v>
      </c>
      <c r="U3486">
        <v>0.31077579999999999</v>
      </c>
      <c r="V3486">
        <v>1.7530250000000001E-2</v>
      </c>
      <c r="W3486">
        <v>0.12832189999999999</v>
      </c>
      <c r="X3486">
        <v>0.99157759999999995</v>
      </c>
      <c r="Y3486">
        <v>7.3221709999999995E-2</v>
      </c>
      <c r="Z3486">
        <v>2.2062730000000001E-4</v>
      </c>
      <c r="AA3486">
        <v>0.99731559999999997</v>
      </c>
      <c r="AB3486">
        <v>23</v>
      </c>
      <c r="AC3486">
        <v>-36.844699999999897</v>
      </c>
      <c r="AD3486">
        <v>-1.1088931916289999</v>
      </c>
      <c r="AE3486">
        <v>3.8072999999999899</v>
      </c>
      <c r="AF3486">
        <v>2.7262707120130498</v>
      </c>
      <c r="AG3486">
        <v>-1.1088931916289999</v>
      </c>
      <c r="AH3486">
        <v>36.907166151410799</v>
      </c>
      <c r="AI3486">
        <v>91.716287644633894</v>
      </c>
      <c r="AJ3486">
        <v>85.775329342374405</v>
      </c>
      <c r="AK3486">
        <v>37.024331316493203</v>
      </c>
      <c r="AL3486">
        <v>82.627367755564705</v>
      </c>
      <c r="AM3486">
        <v>88.987164781737306</v>
      </c>
      <c r="AN3486">
        <v>0.99999997825321596</v>
      </c>
    </row>
    <row r="3487" spans="1:40" x14ac:dyDescent="0.25">
      <c r="A3487" t="str">
        <f>"20190312164540778"</f>
        <v>20190312164540778</v>
      </c>
      <c r="B3487" t="str">
        <f>"1552380340775432"</f>
        <v>1552380340775432</v>
      </c>
      <c r="C3487" t="s">
        <v>40</v>
      </c>
      <c r="D3487">
        <v>5.2604290000000002</v>
      </c>
      <c r="E3487">
        <v>0.5245206</v>
      </c>
      <c r="F3487" t="s">
        <v>42</v>
      </c>
      <c r="G3487">
        <v>-263.12720000000002</v>
      </c>
      <c r="H3487" s="1">
        <v>-4.0747150000000003E-6</v>
      </c>
      <c r="I3487">
        <v>144.48070000000001</v>
      </c>
      <c r="J3487">
        <v>-226.1276</v>
      </c>
      <c r="K3487">
        <v>1.1089059999999999</v>
      </c>
      <c r="L3487">
        <v>140.61799999999999</v>
      </c>
      <c r="M3487">
        <v>-0.99950439999999996</v>
      </c>
      <c r="N3487">
        <v>0</v>
      </c>
      <c r="O3487">
        <v>2.9242279999999999E-2</v>
      </c>
      <c r="P3487">
        <v>-0.99206240000000001</v>
      </c>
      <c r="Q3487">
        <v>0.1166436</v>
      </c>
      <c r="R3487">
        <v>4.697751E-2</v>
      </c>
      <c r="S3487">
        <v>-3.019806</v>
      </c>
      <c r="T3487">
        <v>-8.9967969999999994E-2</v>
      </c>
      <c r="U3487">
        <v>0.31391910000000001</v>
      </c>
      <c r="V3487">
        <v>1.7946340000000002E-2</v>
      </c>
      <c r="W3487">
        <v>0.12822069999999999</v>
      </c>
      <c r="X3487">
        <v>0.99158329999999995</v>
      </c>
      <c r="Y3487">
        <v>7.4244749999999998E-2</v>
      </c>
      <c r="Z3487">
        <v>2.3444899999999999E-4</v>
      </c>
      <c r="AA3487">
        <v>0.99724000000000002</v>
      </c>
      <c r="AB3487">
        <v>23</v>
      </c>
      <c r="AC3487">
        <v>-36.999600000000001</v>
      </c>
      <c r="AD3487">
        <v>-1.108910074715</v>
      </c>
      <c r="AE3487">
        <v>3.86270000000001</v>
      </c>
      <c r="AF3487">
        <v>2.7765545867268999</v>
      </c>
      <c r="AG3487">
        <v>-1.108910074715</v>
      </c>
      <c r="AH3487">
        <v>37.063803192039003</v>
      </c>
      <c r="AI3487">
        <v>91.708932695827798</v>
      </c>
      <c r="AJ3487">
        <v>85.715812933804997</v>
      </c>
      <c r="AK3487">
        <v>37.1841961589205</v>
      </c>
      <c r="AL3487">
        <v>82.633214769756094</v>
      </c>
      <c r="AM3487">
        <v>88.963135734559103</v>
      </c>
      <c r="AN3487">
        <v>1.00000002993338</v>
      </c>
    </row>
    <row r="3488" spans="1:40" x14ac:dyDescent="0.25">
      <c r="A3488" t="str">
        <f>"20190312164540801"</f>
        <v>20190312164540801</v>
      </c>
      <c r="B3488" t="str">
        <f>"1552380340794953"</f>
        <v>1552380340794953</v>
      </c>
      <c r="C3488" t="s">
        <v>40</v>
      </c>
      <c r="D3488">
        <v>5.4299900000000001</v>
      </c>
      <c r="E3488">
        <v>0.52468609999999904</v>
      </c>
      <c r="F3488" t="s">
        <v>42</v>
      </c>
      <c r="G3488">
        <v>-259.74079999999998</v>
      </c>
      <c r="H3488" s="1">
        <v>-1.288737E-6</v>
      </c>
      <c r="I3488">
        <v>144.10820000000001</v>
      </c>
      <c r="J3488">
        <v>-226.36019999999999</v>
      </c>
      <c r="K3488">
        <v>1.108935</v>
      </c>
      <c r="L3488">
        <v>140.62479999999999</v>
      </c>
      <c r="M3488">
        <v>-0.99950779999999995</v>
      </c>
      <c r="N3488">
        <v>0</v>
      </c>
      <c r="O3488">
        <v>2.9177669999999999E-2</v>
      </c>
      <c r="P3488">
        <v>-0.99205270000000001</v>
      </c>
      <c r="Q3488">
        <v>0.1165648</v>
      </c>
      <c r="R3488">
        <v>4.7376990000000001E-2</v>
      </c>
      <c r="S3488">
        <v>-3.0208740000000001</v>
      </c>
      <c r="T3488">
        <v>-9.9659440000000002E-2</v>
      </c>
      <c r="U3488">
        <v>0.31367489999999998</v>
      </c>
      <c r="V3488">
        <v>1.8397320000000002E-2</v>
      </c>
      <c r="W3488">
        <v>0.12801789999999999</v>
      </c>
      <c r="X3488">
        <v>0.99160119999999896</v>
      </c>
      <c r="Y3488">
        <v>7.4188779999999996E-2</v>
      </c>
      <c r="Z3488">
        <v>2.6080480000000001E-4</v>
      </c>
      <c r="AA3488">
        <v>0.99724420000000003</v>
      </c>
      <c r="AB3488">
        <v>23</v>
      </c>
      <c r="AC3488">
        <v>-33.380599999999902</v>
      </c>
      <c r="AD3488">
        <v>-1.108936288737</v>
      </c>
      <c r="AE3488">
        <v>3.4834000000000098</v>
      </c>
      <c r="AF3488">
        <v>2.5051489118718702</v>
      </c>
      <c r="AG3488">
        <v>-1.108936288737</v>
      </c>
      <c r="AH3488">
        <v>33.4315315726789</v>
      </c>
      <c r="AI3488">
        <v>91.894518077483696</v>
      </c>
      <c r="AJ3488">
        <v>85.714623206863706</v>
      </c>
      <c r="AK3488">
        <v>33.543595723448597</v>
      </c>
      <c r="AL3488">
        <v>82.644930628234704</v>
      </c>
      <c r="AM3488">
        <v>88.937105088746605</v>
      </c>
      <c r="AN3488">
        <v>0.99999999197251599</v>
      </c>
    </row>
    <row r="3489" spans="1:40" x14ac:dyDescent="0.25">
      <c r="A3489" t="str">
        <f>"20190312164540825"</f>
        <v>20190312164540825</v>
      </c>
      <c r="B3489" t="str">
        <f>"1552380340815449"</f>
        <v>1552380340815449</v>
      </c>
      <c r="C3489" t="s">
        <v>40</v>
      </c>
      <c r="D3489">
        <v>5.2976150000000004</v>
      </c>
      <c r="E3489">
        <v>0.52495539999999996</v>
      </c>
      <c r="F3489" t="s">
        <v>42</v>
      </c>
      <c r="G3489">
        <v>-259.28609999999998</v>
      </c>
      <c r="H3489" s="1">
        <v>-1.4758149999999999E-6</v>
      </c>
      <c r="I3489">
        <v>144.07820000000001</v>
      </c>
      <c r="J3489">
        <v>-226.5959</v>
      </c>
      <c r="K3489">
        <v>1.108976</v>
      </c>
      <c r="L3489">
        <v>140.63149999999999</v>
      </c>
      <c r="M3489">
        <v>-0.99951369999999895</v>
      </c>
      <c r="N3489">
        <v>0</v>
      </c>
      <c r="O3489">
        <v>2.9020000000000001E-2</v>
      </c>
      <c r="P3489">
        <v>-0.99208180000000001</v>
      </c>
      <c r="Q3489">
        <v>0.11598799999999999</v>
      </c>
      <c r="R3489">
        <v>4.8175410000000002E-2</v>
      </c>
      <c r="S3489">
        <v>-3.0208439999999999</v>
      </c>
      <c r="T3489">
        <v>-0.10174130000000001</v>
      </c>
      <c r="U3489">
        <v>0.31684879999999999</v>
      </c>
      <c r="V3489">
        <v>1.933497E-2</v>
      </c>
      <c r="W3489">
        <v>0.12732499999999999</v>
      </c>
      <c r="X3489">
        <v>0.99167260000000002</v>
      </c>
      <c r="Y3489">
        <v>7.5381820000000002E-2</v>
      </c>
      <c r="Z3489">
        <v>2.9156240000000001E-4</v>
      </c>
      <c r="AA3489">
        <v>0.99715469999999895</v>
      </c>
      <c r="AB3489">
        <v>23</v>
      </c>
      <c r="AC3489">
        <v>-32.690199999999898</v>
      </c>
      <c r="AD3489">
        <v>-1.1089774758149999</v>
      </c>
      <c r="AE3489">
        <v>3.4467000000000199</v>
      </c>
      <c r="AF3489">
        <v>2.4936785555227901</v>
      </c>
      <c r="AG3489">
        <v>-1.1089774758149999</v>
      </c>
      <c r="AH3489">
        <v>32.739196921020003</v>
      </c>
      <c r="AI3489">
        <v>91.934443819979705</v>
      </c>
      <c r="AJ3489">
        <v>85.644306390974705</v>
      </c>
      <c r="AK3489">
        <v>32.852751464884399</v>
      </c>
      <c r="AL3489">
        <v>82.6849586565462</v>
      </c>
      <c r="AM3489">
        <v>88.883026683153702</v>
      </c>
      <c r="AN3489">
        <v>1.0000000211403299</v>
      </c>
    </row>
    <row r="3490" spans="1:40" x14ac:dyDescent="0.25">
      <c r="A3490" t="str">
        <f>"20190312164540847"</f>
        <v>20190312164540847</v>
      </c>
      <c r="B3490" t="str">
        <f>"1552380340844728"</f>
        <v>1552380340844728</v>
      </c>
      <c r="C3490" t="s">
        <v>40</v>
      </c>
      <c r="D3490">
        <v>5.3016579999999998</v>
      </c>
      <c r="E3490">
        <v>0.525290699999999</v>
      </c>
      <c r="F3490" t="s">
        <v>42</v>
      </c>
      <c r="G3490">
        <v>-260.63389999999998</v>
      </c>
      <c r="H3490" s="1">
        <v>-4.8830709999999997E-6</v>
      </c>
      <c r="I3490">
        <v>144.25460000000001</v>
      </c>
      <c r="J3490">
        <v>-226.8304</v>
      </c>
      <c r="K3490">
        <v>1.1090329999999999</v>
      </c>
      <c r="L3490">
        <v>140.63810000000001</v>
      </c>
      <c r="M3490">
        <v>-0.99952220000000003</v>
      </c>
      <c r="N3490">
        <v>0</v>
      </c>
      <c r="O3490">
        <v>2.876826E-2</v>
      </c>
      <c r="P3490">
        <v>-0.99207290000000004</v>
      </c>
      <c r="Q3490">
        <v>0.11590350000000001</v>
      </c>
      <c r="R3490">
        <v>4.8560060000000002E-2</v>
      </c>
      <c r="S3490">
        <v>-3.0198360000000002</v>
      </c>
      <c r="T3490">
        <v>-9.8388310000000007E-2</v>
      </c>
      <c r="U3490">
        <v>0.3214417</v>
      </c>
      <c r="V3490">
        <v>1.9950849999999999E-2</v>
      </c>
      <c r="W3490">
        <v>0.12713339999999901</v>
      </c>
      <c r="X3490">
        <v>0.99168500000000004</v>
      </c>
      <c r="Y3490">
        <v>7.7167769999999997E-2</v>
      </c>
      <c r="Z3490">
        <v>3.1920830000000002E-4</v>
      </c>
      <c r="AA3490">
        <v>0.99701810000000002</v>
      </c>
      <c r="AB3490">
        <v>23</v>
      </c>
      <c r="AC3490">
        <v>-33.8034999999999</v>
      </c>
      <c r="AD3490">
        <v>-1.1090378830709999</v>
      </c>
      <c r="AE3490">
        <v>3.6164999999999998</v>
      </c>
      <c r="AF3490">
        <v>2.6396638118608</v>
      </c>
      <c r="AG3490">
        <v>-1.1090378830709999</v>
      </c>
      <c r="AH3490">
        <v>33.8575228075144</v>
      </c>
      <c r="AI3490">
        <v>91.870439270060501</v>
      </c>
      <c r="AJ3490">
        <v>85.542016602741</v>
      </c>
      <c r="AK3490">
        <v>33.978370189388002</v>
      </c>
      <c r="AL3490">
        <v>82.696026599630301</v>
      </c>
      <c r="AM3490">
        <v>88.847471403659497</v>
      </c>
      <c r="AN3490">
        <v>1.00000003851814</v>
      </c>
    </row>
    <row r="3491" spans="1:40" x14ac:dyDescent="0.25">
      <c r="A3491" t="str">
        <f>"20190312164540868"</f>
        <v>20190312164540868</v>
      </c>
      <c r="B3491" t="str">
        <f>"1552380340864952"</f>
        <v>1552380340864952</v>
      </c>
      <c r="C3491" t="s">
        <v>40</v>
      </c>
      <c r="D3491">
        <v>5.3349120000000001</v>
      </c>
      <c r="E3491">
        <v>0.5253814</v>
      </c>
      <c r="F3491" t="s">
        <v>42</v>
      </c>
      <c r="G3491">
        <v>-263.31790000000001</v>
      </c>
      <c r="H3491" s="1">
        <v>-4.0274300000000002E-6</v>
      </c>
      <c r="I3491">
        <v>144.58000000000001</v>
      </c>
      <c r="J3491">
        <v>-227.04060000000001</v>
      </c>
      <c r="K3491">
        <v>1.1090799999999901</v>
      </c>
      <c r="L3491">
        <v>140.6439</v>
      </c>
      <c r="M3491">
        <v>-0.99953199999999998</v>
      </c>
      <c r="N3491">
        <v>0</v>
      </c>
      <c r="O3491">
        <v>2.846044E-2</v>
      </c>
      <c r="P3491">
        <v>-0.9919791</v>
      </c>
      <c r="Q3491">
        <v>0.11651599999999999</v>
      </c>
      <c r="R3491">
        <v>4.9005220000000002E-2</v>
      </c>
      <c r="S3491">
        <v>-3.018723</v>
      </c>
      <c r="T3491">
        <v>-9.1754199999999994E-2</v>
      </c>
      <c r="U3491">
        <v>0.32612609999999997</v>
      </c>
      <c r="V3491">
        <v>2.0686039999999999E-2</v>
      </c>
      <c r="W3491">
        <v>0.12765699999999999</v>
      </c>
      <c r="X3491">
        <v>0.99160269999999995</v>
      </c>
      <c r="Y3491">
        <v>7.9045320000000002E-2</v>
      </c>
      <c r="Z3491">
        <v>3.3554780000000001E-4</v>
      </c>
      <c r="AA3491">
        <v>0.99687099999999995</v>
      </c>
      <c r="AB3491">
        <v>23</v>
      </c>
      <c r="AC3491">
        <v>-36.277299999999997</v>
      </c>
      <c r="AD3491">
        <v>-1.10908402742999</v>
      </c>
      <c r="AE3491">
        <v>3.9361000000000002</v>
      </c>
      <c r="AF3491">
        <v>2.8992941452242098</v>
      </c>
      <c r="AG3491">
        <v>-1.10908402742999</v>
      </c>
      <c r="AH3491">
        <v>36.341061376911199</v>
      </c>
      <c r="AI3491">
        <v>91.742520178375301</v>
      </c>
      <c r="AJ3491">
        <v>85.438597183671206</v>
      </c>
      <c r="AK3491">
        <v>36.473397372891597</v>
      </c>
      <c r="AL3491">
        <v>82.6657803022145</v>
      </c>
      <c r="AM3491">
        <v>88.804913601800607</v>
      </c>
      <c r="AN3491">
        <v>1.0000000682735799</v>
      </c>
    </row>
    <row r="3492" spans="1:40" x14ac:dyDescent="0.25">
      <c r="A3492" t="str">
        <f>"20190312164540891"</f>
        <v>20190312164540891</v>
      </c>
      <c r="B3492" t="str">
        <f>"1552380340885448"</f>
        <v>1552380340885448</v>
      </c>
      <c r="C3492" t="s">
        <v>40</v>
      </c>
      <c r="D3492">
        <v>5.1807119999999998</v>
      </c>
      <c r="E3492">
        <v>0.52537659999999997</v>
      </c>
      <c r="F3492" t="s">
        <v>42</v>
      </c>
      <c r="G3492">
        <v>-264.04059999999998</v>
      </c>
      <c r="H3492" s="1">
        <v>-3.7972229999999998E-6</v>
      </c>
      <c r="I3492">
        <v>144.6686</v>
      </c>
      <c r="J3492">
        <v>-227.2671</v>
      </c>
      <c r="K3492">
        <v>1.109124</v>
      </c>
      <c r="L3492">
        <v>140.6499</v>
      </c>
      <c r="M3492">
        <v>-0.99954469999999995</v>
      </c>
      <c r="N3492">
        <v>0</v>
      </c>
      <c r="O3492">
        <v>2.804705E-2</v>
      </c>
      <c r="P3492">
        <v>-0.99197849999999999</v>
      </c>
      <c r="Q3492">
        <v>0.1161479</v>
      </c>
      <c r="R3492">
        <v>4.988472E-2</v>
      </c>
      <c r="S3492">
        <v>-3.0186609999999998</v>
      </c>
      <c r="T3492">
        <v>-9.0485330000000003E-2</v>
      </c>
      <c r="U3492">
        <v>0.32836910000000002</v>
      </c>
      <c r="V3492">
        <v>2.195828E-2</v>
      </c>
      <c r="W3492">
        <v>0.12720529999999999</v>
      </c>
      <c r="X3492">
        <v>0.99163330000000005</v>
      </c>
      <c r="Y3492">
        <v>8.0191810000000002E-2</v>
      </c>
      <c r="Z3492">
        <v>3.603751E-4</v>
      </c>
      <c r="AA3492">
        <v>0.99677939999999998</v>
      </c>
      <c r="AB3492">
        <v>23</v>
      </c>
      <c r="AC3492">
        <v>-36.773499999999899</v>
      </c>
      <c r="AD3492">
        <v>-1.109127797223</v>
      </c>
      <c r="AE3492">
        <v>4.0186999999999902</v>
      </c>
      <c r="AF3492">
        <v>2.9829852793114799</v>
      </c>
      <c r="AG3492">
        <v>-1.109127797223</v>
      </c>
      <c r="AH3492">
        <v>36.838635091885202</v>
      </c>
      <c r="AI3492">
        <v>91.718902397237301</v>
      </c>
      <c r="AJ3492">
        <v>85.370610770327005</v>
      </c>
      <c r="AK3492">
        <v>36.975848889244403</v>
      </c>
      <c r="AL3492">
        <v>82.691872868384294</v>
      </c>
      <c r="AM3492">
        <v>88.731475439338894</v>
      </c>
      <c r="AN3492">
        <v>0.99999997803876906</v>
      </c>
    </row>
    <row r="3493" spans="1:40" x14ac:dyDescent="0.25">
      <c r="A3493" t="str">
        <f>"20190312164540913"</f>
        <v>20190312164540913</v>
      </c>
      <c r="B3493" t="str">
        <f>"1552380340904967"</f>
        <v>1552380340904967</v>
      </c>
      <c r="C3493" t="s">
        <v>40</v>
      </c>
      <c r="D3493">
        <v>5.0649860000000002</v>
      </c>
      <c r="E3493">
        <v>0.52533540000000001</v>
      </c>
      <c r="F3493" t="s">
        <v>42</v>
      </c>
      <c r="G3493">
        <v>-263.6746</v>
      </c>
      <c r="H3493" s="1">
        <v>-3.9171150000000004E-6</v>
      </c>
      <c r="I3493">
        <v>144.64240000000001</v>
      </c>
      <c r="J3493">
        <v>-227.50299999999999</v>
      </c>
      <c r="K3493">
        <v>1.109151</v>
      </c>
      <c r="L3493">
        <v>140.65600000000001</v>
      </c>
      <c r="M3493">
        <v>-0.99955959999999999</v>
      </c>
      <c r="N3493">
        <v>0</v>
      </c>
      <c r="O3493">
        <v>2.754241E-2</v>
      </c>
      <c r="P3493">
        <v>-0.99204919999999996</v>
      </c>
      <c r="Q3493">
        <v>0.11510430000000001</v>
      </c>
      <c r="R3493">
        <v>5.0886809999999998E-2</v>
      </c>
      <c r="S3493">
        <v>-3.0183870000000002</v>
      </c>
      <c r="T3493">
        <v>-9.1953160000000006E-2</v>
      </c>
      <c r="U3493">
        <v>0.33100889999999999</v>
      </c>
      <c r="V3493">
        <v>2.3445480000000001E-2</v>
      </c>
      <c r="W3493">
        <v>0.1260801</v>
      </c>
      <c r="X3493">
        <v>0.99174300000000004</v>
      </c>
      <c r="Y3493">
        <v>8.1564609999999996E-2</v>
      </c>
      <c r="Z3493">
        <v>4.023896E-4</v>
      </c>
      <c r="AA3493">
        <v>0.996668</v>
      </c>
      <c r="AB3493">
        <v>23</v>
      </c>
      <c r="AC3493">
        <v>-36.171599999999998</v>
      </c>
      <c r="AD3493">
        <v>-1.1091549171149999</v>
      </c>
      <c r="AE3493">
        <v>3.9864000000000002</v>
      </c>
      <c r="AF3493">
        <v>2.98579994740231</v>
      </c>
      <c r="AG3493">
        <v>-1.1091549171149999</v>
      </c>
      <c r="AH3493">
        <v>36.234017238646203</v>
      </c>
      <c r="AI3493">
        <v>91.747407381456597</v>
      </c>
      <c r="AJ3493">
        <v>85.2892860107698</v>
      </c>
      <c r="AK3493">
        <v>36.373743706230997</v>
      </c>
      <c r="AL3493">
        <v>82.756865757404995</v>
      </c>
      <c r="AM3493">
        <v>88.645741000581296</v>
      </c>
      <c r="AN3493">
        <v>1.00000003009871</v>
      </c>
    </row>
    <row r="3494" spans="1:40" x14ac:dyDescent="0.25">
      <c r="A3494" t="str">
        <f>"20190312164540936"</f>
        <v>20190312164540936</v>
      </c>
      <c r="B3494" t="str">
        <f>"1552380340925467"</f>
        <v>1552380340925467</v>
      </c>
      <c r="C3494" t="s">
        <v>40</v>
      </c>
      <c r="D3494">
        <v>5.1908450000000004</v>
      </c>
      <c r="E3494">
        <v>0.4946332</v>
      </c>
      <c r="F3494" t="s">
        <v>42</v>
      </c>
      <c r="G3494">
        <v>-263.3811</v>
      </c>
      <c r="H3494" s="1">
        <v>-4.0133010000000004E-6</v>
      </c>
      <c r="I3494">
        <v>144.6215</v>
      </c>
      <c r="J3494">
        <v>-227.73089999999999</v>
      </c>
      <c r="K3494">
        <v>1.1091740000000001</v>
      </c>
      <c r="L3494">
        <v>140.6617</v>
      </c>
      <c r="M3494">
        <v>-0.99957530000000006</v>
      </c>
      <c r="N3494">
        <v>0</v>
      </c>
      <c r="O3494">
        <v>2.7005589999999999E-2</v>
      </c>
      <c r="P3494">
        <v>-0.99214820000000004</v>
      </c>
      <c r="Q3494">
        <v>0.1141509</v>
      </c>
      <c r="R3494">
        <v>5.110547E-2</v>
      </c>
      <c r="S3494">
        <v>-3.017776</v>
      </c>
      <c r="T3494">
        <v>-9.3293429999999997E-2</v>
      </c>
      <c r="U3494">
        <v>0.3335571</v>
      </c>
      <c r="V3494">
        <v>2.4186019999999999E-2</v>
      </c>
      <c r="W3494">
        <v>0.1250531</v>
      </c>
      <c r="X3494">
        <v>0.99185520000000005</v>
      </c>
      <c r="Y3494">
        <v>8.2951520000000001E-2</v>
      </c>
      <c r="Z3494">
        <v>4.462116E-4</v>
      </c>
      <c r="AA3494">
        <v>0.99655349999999998</v>
      </c>
      <c r="AB3494">
        <v>23</v>
      </c>
      <c r="AC3494">
        <v>-35.650199999999998</v>
      </c>
      <c r="AD3494">
        <v>-1.1091780133010001</v>
      </c>
      <c r="AE3494">
        <v>3.9598</v>
      </c>
      <c r="AF3494">
        <v>2.99268157095766</v>
      </c>
      <c r="AG3494">
        <v>-1.1091780133010001</v>
      </c>
      <c r="AH3494">
        <v>35.709993084242598</v>
      </c>
      <c r="AI3494">
        <v>91.772865240326496</v>
      </c>
      <c r="AJ3494">
        <v>85.209512302155204</v>
      </c>
      <c r="AK3494">
        <v>35.852336394257399</v>
      </c>
      <c r="AL3494">
        <v>82.81617767601</v>
      </c>
      <c r="AM3494">
        <v>88.6031405536812</v>
      </c>
      <c r="AN3494">
        <v>0.99999998957504499</v>
      </c>
    </row>
    <row r="3495" spans="1:40" x14ac:dyDescent="0.25">
      <c r="A3495" t="str">
        <f>"20190312164540957"</f>
        <v>20190312164540957</v>
      </c>
      <c r="B3495" t="str">
        <f>"1552380340954745"</f>
        <v>1552380340954745</v>
      </c>
      <c r="C3495" t="s">
        <v>40</v>
      </c>
      <c r="D3495">
        <v>5.1565919999999998</v>
      </c>
      <c r="E3495">
        <v>0.49245319999999998</v>
      </c>
      <c r="F3495" t="s">
        <v>42</v>
      </c>
      <c r="G3495">
        <v>-258.68720000000002</v>
      </c>
      <c r="H3495" s="1">
        <v>-1.0656649999999999E-6</v>
      </c>
      <c r="I3495">
        <v>141.5711</v>
      </c>
      <c r="J3495">
        <v>-227.95150000000001</v>
      </c>
      <c r="K3495">
        <v>1.109186</v>
      </c>
      <c r="L3495">
        <v>140.6671</v>
      </c>
      <c r="M3495">
        <v>-0.9995908</v>
      </c>
      <c r="N3495">
        <v>0</v>
      </c>
      <c r="O3495">
        <v>2.645171E-2</v>
      </c>
      <c r="P3495">
        <v>-0.99224190000000001</v>
      </c>
      <c r="Q3495">
        <v>0.113870899999999</v>
      </c>
      <c r="R3495">
        <v>4.9895330000000002E-2</v>
      </c>
      <c r="S3495">
        <v>-3.0316619999999999</v>
      </c>
      <c r="T3495">
        <v>-0.10862579999999999</v>
      </c>
      <c r="U3495">
        <v>8.9065549999999993E-2</v>
      </c>
      <c r="V3495">
        <v>2.351868E-2</v>
      </c>
      <c r="W3495">
        <v>0.1247086</v>
      </c>
      <c r="X3495">
        <v>0.99191459999999998</v>
      </c>
      <c r="Y3495">
        <v>2.9287200000000001E-3</v>
      </c>
      <c r="Z3495">
        <v>-8.9470899999999896E-4</v>
      </c>
      <c r="AA3495">
        <v>0.99999530000000003</v>
      </c>
      <c r="AB3495">
        <v>23</v>
      </c>
      <c r="AC3495">
        <v>-30.735700000000001</v>
      </c>
      <c r="AD3495">
        <v>-1.109187065665</v>
      </c>
      <c r="AE3495">
        <v>0.90399999999999603</v>
      </c>
      <c r="AF3495">
        <v>9.0505864298247696E-2</v>
      </c>
      <c r="AG3495">
        <v>-1.109187065665</v>
      </c>
      <c r="AH3495">
        <v>30.708899061862098</v>
      </c>
      <c r="AI3495">
        <v>92.068581052735794</v>
      </c>
      <c r="AJ3495">
        <v>89.831137253703602</v>
      </c>
      <c r="AK3495">
        <v>30.729057402558599</v>
      </c>
      <c r="AL3495">
        <v>82.836071656617406</v>
      </c>
      <c r="AM3495">
        <v>88.641749328754798</v>
      </c>
      <c r="AN3495">
        <v>0.99999996845802996</v>
      </c>
    </row>
    <row r="3496" spans="1:40" x14ac:dyDescent="0.25">
      <c r="A3496" t="str">
        <f>"20190312164540979"</f>
        <v>20190312164540979</v>
      </c>
      <c r="B3496" t="str">
        <f>"1552380340975240"</f>
        <v>1552380340975240</v>
      </c>
      <c r="C3496" t="s">
        <v>40</v>
      </c>
      <c r="D3496">
        <v>5.1685639999999999</v>
      </c>
      <c r="E3496">
        <v>0.49092980000000003</v>
      </c>
      <c r="F3496" t="s">
        <v>42</v>
      </c>
      <c r="G3496">
        <v>-258.24680000000001</v>
      </c>
      <c r="H3496" s="1">
        <v>-1.196173E-6</v>
      </c>
      <c r="I3496">
        <v>141.35149999999999</v>
      </c>
      <c r="J3496">
        <v>-228.17179999999999</v>
      </c>
      <c r="K3496">
        <v>1.109189</v>
      </c>
      <c r="L3496">
        <v>140.67230000000001</v>
      </c>
      <c r="M3496">
        <v>-0.99960649999999995</v>
      </c>
      <c r="N3496">
        <v>0</v>
      </c>
      <c r="O3496">
        <v>2.5875470000000001E-2</v>
      </c>
      <c r="P3496">
        <v>-0.99231930000000002</v>
      </c>
      <c r="Q3496">
        <v>0.11364050000000001</v>
      </c>
      <c r="R3496">
        <v>4.887296E-2</v>
      </c>
      <c r="S3496">
        <v>-3.0327760000000001</v>
      </c>
      <c r="T3496">
        <v>-0.11103789999999999</v>
      </c>
      <c r="U3496">
        <v>6.852722E-2</v>
      </c>
      <c r="V3496">
        <v>2.3064029999999999E-2</v>
      </c>
      <c r="W3496">
        <v>0.1244215</v>
      </c>
      <c r="X3496">
        <v>0.99196139999999999</v>
      </c>
      <c r="Y3496">
        <v>-3.2686569999999999E-3</v>
      </c>
      <c r="Z3496">
        <v>-1.0066470000000001E-3</v>
      </c>
      <c r="AA3496">
        <v>0.99999420000000006</v>
      </c>
      <c r="AB3496">
        <v>23</v>
      </c>
      <c r="AC3496">
        <v>-30.074999999999999</v>
      </c>
      <c r="AD3496">
        <v>-1.109190196173</v>
      </c>
      <c r="AE3496">
        <v>0.67919999999998004</v>
      </c>
      <c r="AF3496">
        <v>-9.9143063493210698E-2</v>
      </c>
      <c r="AG3496">
        <v>-1.109190196173</v>
      </c>
      <c r="AH3496">
        <v>30.041662923712401</v>
      </c>
      <c r="AI3496">
        <v>92.114487363077401</v>
      </c>
      <c r="AJ3496">
        <v>90.189086020246606</v>
      </c>
      <c r="AK3496">
        <v>30.062296044385601</v>
      </c>
      <c r="AL3496">
        <v>82.852650907637894</v>
      </c>
      <c r="AM3496">
        <v>88.668059540458302</v>
      </c>
      <c r="AN3496">
        <v>1.00000003911602</v>
      </c>
    </row>
    <row r="3497" spans="1:40" x14ac:dyDescent="0.25">
      <c r="A3497" t="str">
        <f>"20190312164541003"</f>
        <v>20190312164541003</v>
      </c>
      <c r="B3497" t="str">
        <f>"1552380340994760"</f>
        <v>1552380340994760</v>
      </c>
      <c r="C3497" t="s">
        <v>40</v>
      </c>
      <c r="D3497">
        <v>4.9167750000000003</v>
      </c>
      <c r="E3497">
        <v>0.49029780000000001</v>
      </c>
      <c r="F3497" t="s">
        <v>42</v>
      </c>
      <c r="G3497">
        <v>-257.04079999999999</v>
      </c>
      <c r="H3497" s="1">
        <v>-1.667795E-6</v>
      </c>
      <c r="I3497">
        <v>141.17959999999999</v>
      </c>
      <c r="J3497">
        <v>-228.4213</v>
      </c>
      <c r="K3497">
        <v>1.109192</v>
      </c>
      <c r="L3497">
        <v>140.678</v>
      </c>
      <c r="M3497">
        <v>-0.99962419999999996</v>
      </c>
      <c r="N3497">
        <v>0</v>
      </c>
      <c r="O3497">
        <v>2.5208700000000001E-2</v>
      </c>
      <c r="P3497">
        <v>-0.99238630000000005</v>
      </c>
      <c r="Q3497">
        <v>0.11349629999999999</v>
      </c>
      <c r="R3497">
        <v>4.7831890000000002E-2</v>
      </c>
      <c r="S3497">
        <v>-3.0339659999999999</v>
      </c>
      <c r="T3497">
        <v>-0.1165698</v>
      </c>
      <c r="U3497">
        <v>5.3329469999999997E-2</v>
      </c>
      <c r="V3497">
        <v>2.2681369999999999E-2</v>
      </c>
      <c r="W3497">
        <v>0.1242156</v>
      </c>
      <c r="X3497">
        <v>0.99199599999999999</v>
      </c>
      <c r="Y3497">
        <v>-7.6128860000000001E-3</v>
      </c>
      <c r="Z3497">
        <v>-1.114236E-3</v>
      </c>
      <c r="AA3497">
        <v>0.99997040000000004</v>
      </c>
      <c r="AB3497">
        <v>23</v>
      </c>
      <c r="AC3497">
        <v>-28.619499999999899</v>
      </c>
      <c r="AD3497">
        <v>-1.1091936677949901</v>
      </c>
      <c r="AE3497">
        <v>0.50159999999999605</v>
      </c>
      <c r="AF3497">
        <v>-0.21973170127175301</v>
      </c>
      <c r="AG3497">
        <v>-1.1091936677949901</v>
      </c>
      <c r="AH3497">
        <v>28.580133149972902</v>
      </c>
      <c r="AI3497">
        <v>92.222465559416804</v>
      </c>
      <c r="AJ3497">
        <v>90.440496585305993</v>
      </c>
      <c r="AK3497">
        <v>28.6024929592405</v>
      </c>
      <c r="AL3497">
        <v>82.864540147113303</v>
      </c>
      <c r="AM3497">
        <v>88.6901959416317</v>
      </c>
      <c r="AN3497">
        <v>1.0000000119222101</v>
      </c>
    </row>
    <row r="3498" spans="1:40" x14ac:dyDescent="0.25">
      <c r="A3498" t="str">
        <f>"20190312164541025"</f>
        <v>20190312164541025</v>
      </c>
      <c r="B3498" t="str">
        <f>"1552380341015259"</f>
        <v>1552380341015259</v>
      </c>
      <c r="C3498" t="s">
        <v>40</v>
      </c>
      <c r="D3498">
        <v>5.0844950000000004</v>
      </c>
      <c r="E3498">
        <v>0.48964380000000002</v>
      </c>
      <c r="F3498" t="s">
        <v>42</v>
      </c>
      <c r="G3498">
        <v>-258.77249999999998</v>
      </c>
      <c r="H3498" s="1">
        <v>-9.1236100000000003E-7</v>
      </c>
      <c r="I3498">
        <v>141.13249999999999</v>
      </c>
      <c r="J3498">
        <v>-228.6474</v>
      </c>
      <c r="K3498">
        <v>1.1091879999999901</v>
      </c>
      <c r="L3498">
        <v>140.68299999999999</v>
      </c>
      <c r="M3498">
        <v>-0.99963999999999997</v>
      </c>
      <c r="N3498">
        <v>0</v>
      </c>
      <c r="O3498">
        <v>2.4600400000000001E-2</v>
      </c>
      <c r="P3498">
        <v>-0.99241140000000005</v>
      </c>
      <c r="Q3498">
        <v>0.1137114</v>
      </c>
      <c r="R3498">
        <v>4.6790909999999998E-2</v>
      </c>
      <c r="S3498">
        <v>-3.0335079999999999</v>
      </c>
      <c r="T3498">
        <v>-0.1108606</v>
      </c>
      <c r="U3498">
        <v>4.5440670000000002E-2</v>
      </c>
      <c r="V3498">
        <v>2.2242789999999998E-2</v>
      </c>
      <c r="W3498">
        <v>0.1243765</v>
      </c>
      <c r="X3498">
        <v>0.99198569999999997</v>
      </c>
      <c r="Y3498">
        <v>-9.6028669999999993E-3</v>
      </c>
      <c r="Z3498">
        <v>-1.074024E-3</v>
      </c>
      <c r="AA3498">
        <v>0.99995330000000004</v>
      </c>
      <c r="AB3498">
        <v>23</v>
      </c>
      <c r="AC3498">
        <v>-30.1250999999999</v>
      </c>
      <c r="AD3498">
        <v>-1.1091889123609999</v>
      </c>
      <c r="AE3498">
        <v>0.44950000000000001</v>
      </c>
      <c r="AF3498">
        <v>-0.29137314410445098</v>
      </c>
      <c r="AG3498">
        <v>-1.1091889123609999</v>
      </c>
      <c r="AH3498">
        <v>30.0862625689651</v>
      </c>
      <c r="AI3498">
        <v>92.111265830533199</v>
      </c>
      <c r="AJ3498">
        <v>90.554868836908796</v>
      </c>
      <c r="AK3498">
        <v>30.108111759476401</v>
      </c>
      <c r="AL3498">
        <v>82.855248706178102</v>
      </c>
      <c r="AM3498">
        <v>88.715501163873498</v>
      </c>
      <c r="AN3498">
        <v>0.99999994223185995</v>
      </c>
    </row>
    <row r="3499" spans="1:40" x14ac:dyDescent="0.25">
      <c r="A3499" t="str">
        <f>"20190312164541050"</f>
        <v>20190312164541050</v>
      </c>
      <c r="B3499" t="str">
        <f>"1552380341045512"</f>
        <v>1552380341045512</v>
      </c>
      <c r="C3499" t="s">
        <v>40</v>
      </c>
      <c r="D3499">
        <v>5.1946640000000004</v>
      </c>
      <c r="E3499">
        <v>0.48896060000000002</v>
      </c>
      <c r="F3499" t="s">
        <v>42</v>
      </c>
      <c r="G3499">
        <v>-260.43029999999999</v>
      </c>
      <c r="H3499" s="1">
        <v>-4.3883309999999998E-6</v>
      </c>
      <c r="I3499">
        <v>141.07480000000001</v>
      </c>
      <c r="J3499">
        <v>-228.8897</v>
      </c>
      <c r="K3499">
        <v>1.1091869999999999</v>
      </c>
      <c r="L3499">
        <v>140.68819999999999</v>
      </c>
      <c r="M3499">
        <v>-0.99965630000000005</v>
      </c>
      <c r="N3499">
        <v>0</v>
      </c>
      <c r="O3499">
        <v>2.3946039999999998E-2</v>
      </c>
      <c r="P3499">
        <v>-0.99247300000000005</v>
      </c>
      <c r="Q3499">
        <v>0.1135002</v>
      </c>
      <c r="R3499">
        <v>4.599342E-2</v>
      </c>
      <c r="S3499">
        <v>-3.0332949999999999</v>
      </c>
      <c r="T3499">
        <v>-0.1058592</v>
      </c>
      <c r="U3499">
        <v>3.7399290000000002E-2</v>
      </c>
      <c r="V3499">
        <v>2.209361E-2</v>
      </c>
      <c r="W3499">
        <v>0.1241148</v>
      </c>
      <c r="X3499">
        <v>0.99202190000000001</v>
      </c>
      <c r="Y3499">
        <v>-1.1598829999999999E-2</v>
      </c>
      <c r="Z3499">
        <v>-1.03769E-3</v>
      </c>
      <c r="AA3499">
        <v>0.99993220000000005</v>
      </c>
      <c r="AB3499">
        <v>23</v>
      </c>
      <c r="AC3499">
        <v>-31.540599999999898</v>
      </c>
      <c r="AD3499">
        <v>-1.1091913883310001</v>
      </c>
      <c r="AE3499">
        <v>0.38660000000001499</v>
      </c>
      <c r="AF3499">
        <v>-0.36837083826849298</v>
      </c>
      <c r="AG3499">
        <v>-1.1091913883310001</v>
      </c>
      <c r="AH3499">
        <v>31.501859567699</v>
      </c>
      <c r="AI3499">
        <v>92.016433414246194</v>
      </c>
      <c r="AJ3499">
        <v>90.669964652107794</v>
      </c>
      <c r="AK3499">
        <v>31.5235334128879</v>
      </c>
      <c r="AL3499">
        <v>82.870360736947305</v>
      </c>
      <c r="AM3499">
        <v>88.724159845214203</v>
      </c>
      <c r="AN3499">
        <v>1.0000000306307399</v>
      </c>
    </row>
    <row r="3500" spans="1:40" x14ac:dyDescent="0.25">
      <c r="A3500" t="str">
        <f>"20190312164541070"</f>
        <v>20190312164541070</v>
      </c>
      <c r="B3500" t="str">
        <f>"1552380341065032"</f>
        <v>1552380341065032</v>
      </c>
      <c r="C3500" t="s">
        <v>40</v>
      </c>
      <c r="D3500">
        <v>5.1745939999999999</v>
      </c>
      <c r="E3500">
        <v>0.48875610000000003</v>
      </c>
      <c r="F3500" t="s">
        <v>42</v>
      </c>
      <c r="G3500">
        <v>-261.84829999999999</v>
      </c>
      <c r="H3500" s="1">
        <v>-3.8505190000000001E-6</v>
      </c>
      <c r="I3500">
        <v>141.0111</v>
      </c>
      <c r="J3500">
        <v>-229.1061</v>
      </c>
      <c r="K3500">
        <v>1.1091839999999999</v>
      </c>
      <c r="L3500">
        <v>140.6927</v>
      </c>
      <c r="M3500">
        <v>-0.99967070000000002</v>
      </c>
      <c r="N3500">
        <v>0</v>
      </c>
      <c r="O3500">
        <v>2.3358259999999999E-2</v>
      </c>
      <c r="P3500">
        <v>-0.99251100000000003</v>
      </c>
      <c r="Q3500">
        <v>0.11344</v>
      </c>
      <c r="R3500">
        <v>4.5312100000000001E-2</v>
      </c>
      <c r="S3500">
        <v>-3.0330509999999999</v>
      </c>
      <c r="T3500">
        <v>-0.1020745</v>
      </c>
      <c r="U3500">
        <v>2.972412E-2</v>
      </c>
      <c r="V3500">
        <v>2.1995109999999998E-2</v>
      </c>
      <c r="W3500">
        <v>0.1240164</v>
      </c>
      <c r="X3500">
        <v>0.99203629999999998</v>
      </c>
      <c r="Y3500">
        <v>-1.354065E-2</v>
      </c>
      <c r="Z3500">
        <v>-1.0136069999999999E-3</v>
      </c>
      <c r="AA3500">
        <v>0.99990780000000001</v>
      </c>
      <c r="AB3500">
        <v>23</v>
      </c>
      <c r="AC3500">
        <v>-32.742199999999997</v>
      </c>
      <c r="AD3500">
        <v>-1.109187850519</v>
      </c>
      <c r="AE3500">
        <v>0.31839999999999602</v>
      </c>
      <c r="AF3500">
        <v>-0.44601906559069598</v>
      </c>
      <c r="AG3500">
        <v>-1.109187850519</v>
      </c>
      <c r="AH3500">
        <v>32.703176296100601</v>
      </c>
      <c r="AI3500">
        <v>91.942365686747294</v>
      </c>
      <c r="AJ3500">
        <v>90.781374430555104</v>
      </c>
      <c r="AK3500">
        <v>32.725020558411302</v>
      </c>
      <c r="AL3500">
        <v>82.876041864382699</v>
      </c>
      <c r="AM3500">
        <v>88.729864490219697</v>
      </c>
      <c r="AN3500">
        <v>0.99999993642527896</v>
      </c>
    </row>
    <row r="3501" spans="1:40" x14ac:dyDescent="0.25">
      <c r="A3501" t="str">
        <f>"20190312164541092"</f>
        <v>20190312164541092</v>
      </c>
      <c r="B3501" t="str">
        <f>"1552380341085528"</f>
        <v>1552380341085528</v>
      </c>
      <c r="C3501" t="s">
        <v>40</v>
      </c>
      <c r="D3501">
        <v>5.1765999999999996</v>
      </c>
      <c r="E3501">
        <v>0.48859710000000001</v>
      </c>
      <c r="F3501" t="s">
        <v>42</v>
      </c>
      <c r="G3501">
        <v>-262.24189999999999</v>
      </c>
      <c r="H3501" s="1">
        <v>-3.6733609999999998E-6</v>
      </c>
      <c r="I3501">
        <v>140.97989999999999</v>
      </c>
      <c r="J3501">
        <v>-229.33580000000001</v>
      </c>
      <c r="K3501">
        <v>1.109178</v>
      </c>
      <c r="L3501">
        <v>140.69739999999999</v>
      </c>
      <c r="M3501">
        <v>-0.9996855</v>
      </c>
      <c r="N3501">
        <v>0</v>
      </c>
      <c r="O3501">
        <v>2.2730920000000002E-2</v>
      </c>
      <c r="P3501">
        <v>-0.99252549999999995</v>
      </c>
      <c r="Q3501">
        <v>0.1135369</v>
      </c>
      <c r="R3501">
        <v>4.4751609999999997E-2</v>
      </c>
      <c r="S3501">
        <v>-3.0330509999999999</v>
      </c>
      <c r="T3501">
        <v>-0.10152849999999999</v>
      </c>
      <c r="U3501">
        <v>2.6290890000000001E-2</v>
      </c>
      <c r="V3501">
        <v>2.2057609999999998E-2</v>
      </c>
      <c r="W3501">
        <v>0.12407559999999999</v>
      </c>
      <c r="X3501">
        <v>0.99202760000000001</v>
      </c>
      <c r="Y3501">
        <v>-1.4045180000000001E-2</v>
      </c>
      <c r="Z3501">
        <v>-9.956482999999999E-4</v>
      </c>
      <c r="AA3501">
        <v>0.99990089999999998</v>
      </c>
      <c r="AB3501">
        <v>23</v>
      </c>
      <c r="AC3501">
        <v>-32.906099999999903</v>
      </c>
      <c r="AD3501">
        <v>-1.109181673361</v>
      </c>
      <c r="AE3501">
        <v>0.28249999999999797</v>
      </c>
      <c r="AF3501">
        <v>-0.46507252155697199</v>
      </c>
      <c r="AG3501">
        <v>-1.109181673361</v>
      </c>
      <c r="AH3501">
        <v>32.866678413143902</v>
      </c>
      <c r="AI3501">
        <v>91.932685844019502</v>
      </c>
      <c r="AJ3501">
        <v>90.810696902192106</v>
      </c>
      <c r="AK3501">
        <v>32.888677783514602</v>
      </c>
      <c r="AL3501">
        <v>82.872624193736002</v>
      </c>
      <c r="AM3501">
        <v>88.726245368879106</v>
      </c>
      <c r="AN3501">
        <v>1.00000002591801</v>
      </c>
    </row>
    <row r="3502" spans="1:40" x14ac:dyDescent="0.25">
      <c r="A3502" t="str">
        <f>"20190312164541114"</f>
        <v>20190312164541114</v>
      </c>
      <c r="B3502" t="str">
        <f>"1552380341105047"</f>
        <v>1552380341105047</v>
      </c>
      <c r="C3502" t="s">
        <v>40</v>
      </c>
      <c r="D3502">
        <v>5.046233</v>
      </c>
      <c r="E3502">
        <v>0.4885485</v>
      </c>
      <c r="F3502" t="s">
        <v>42</v>
      </c>
      <c r="G3502">
        <v>-263.46300000000002</v>
      </c>
      <c r="H3502" s="1">
        <v>-3.143903E-6</v>
      </c>
      <c r="I3502">
        <v>140.9588</v>
      </c>
      <c r="J3502">
        <v>-229.56569999999999</v>
      </c>
      <c r="K3502">
        <v>1.1091740000000001</v>
      </c>
      <c r="L3502">
        <v>140.70179999999999</v>
      </c>
      <c r="M3502">
        <v>-0.99970020000000004</v>
      </c>
      <c r="N3502">
        <v>0</v>
      </c>
      <c r="O3502">
        <v>2.2095960000000001E-2</v>
      </c>
      <c r="P3502">
        <v>-0.99254100000000001</v>
      </c>
      <c r="Q3502">
        <v>0.11347839999999999</v>
      </c>
      <c r="R3502">
        <v>4.4554950000000003E-2</v>
      </c>
      <c r="S3502">
        <v>-3.0328219999999999</v>
      </c>
      <c r="T3502">
        <v>-9.8571060000000002E-2</v>
      </c>
      <c r="U3502">
        <v>2.3239139999999998E-2</v>
      </c>
      <c r="V3502">
        <v>2.2491480000000001E-2</v>
      </c>
      <c r="W3502">
        <v>0.12397809999999999</v>
      </c>
      <c r="X3502">
        <v>0.99202999999999997</v>
      </c>
      <c r="Y3502">
        <v>-1.441681E-2</v>
      </c>
      <c r="Z3502">
        <v>-9.521496E-4</v>
      </c>
      <c r="AA3502">
        <v>0.9998956</v>
      </c>
      <c r="AB3502">
        <v>23</v>
      </c>
      <c r="AC3502">
        <v>-33.897299999999902</v>
      </c>
      <c r="AD3502">
        <v>-1.10917714390299</v>
      </c>
      <c r="AE3502">
        <v>0.257000000000005</v>
      </c>
      <c r="AF3502">
        <v>-0.49157151428440099</v>
      </c>
      <c r="AG3502">
        <v>-1.10917714390299</v>
      </c>
      <c r="AH3502">
        <v>33.858451704119297</v>
      </c>
      <c r="AI3502">
        <v>91.876097613627607</v>
      </c>
      <c r="AJ3502">
        <v>90.831786245806796</v>
      </c>
      <c r="AK3502">
        <v>33.880181054569299</v>
      </c>
      <c r="AL3502">
        <v>82.878253660630094</v>
      </c>
      <c r="AM3502">
        <v>88.701202439824897</v>
      </c>
      <c r="AN3502">
        <v>0.9999999784261</v>
      </c>
    </row>
    <row r="3503" spans="1:40" x14ac:dyDescent="0.25">
      <c r="A3503" t="str">
        <f>"20190312164541136"</f>
        <v>20190312164541136</v>
      </c>
      <c r="B3503" t="str">
        <f>"1552380341125547"</f>
        <v>1552380341125547</v>
      </c>
      <c r="C3503" t="s">
        <v>40</v>
      </c>
      <c r="D3503">
        <v>5.2098339999999999</v>
      </c>
      <c r="E3503">
        <v>0.48857729999999999</v>
      </c>
      <c r="F3503" t="s">
        <v>42</v>
      </c>
      <c r="G3503">
        <v>-263.94729999999998</v>
      </c>
      <c r="H3503" s="1">
        <v>-2.9352739999999998E-6</v>
      </c>
      <c r="I3503">
        <v>140.9555</v>
      </c>
      <c r="J3503">
        <v>-229.7859</v>
      </c>
      <c r="K3503">
        <v>1.109167</v>
      </c>
      <c r="L3503">
        <v>140.70599999999999</v>
      </c>
      <c r="M3503">
        <v>-0.99971410000000005</v>
      </c>
      <c r="N3503">
        <v>0</v>
      </c>
      <c r="O3503">
        <v>2.1477030000000001E-2</v>
      </c>
      <c r="P3503">
        <v>-0.99246469999999998</v>
      </c>
      <c r="Q3503">
        <v>0.1142277</v>
      </c>
      <c r="R3503">
        <v>4.4341899999999997E-2</v>
      </c>
      <c r="S3503">
        <v>-3.0327299999999999</v>
      </c>
      <c r="T3503">
        <v>-9.7838400000000006E-2</v>
      </c>
      <c r="U3503">
        <v>2.2384640000000001E-2</v>
      </c>
      <c r="V3503">
        <v>2.2893480000000001E-2</v>
      </c>
      <c r="W3503">
        <v>0.1246921</v>
      </c>
      <c r="X3503">
        <v>0.99193129999999996</v>
      </c>
      <c r="Y3503">
        <v>-1.408002E-2</v>
      </c>
      <c r="Z3503">
        <v>-9.1971619999999996E-4</v>
      </c>
      <c r="AA3503">
        <v>0.99990049999999997</v>
      </c>
      <c r="AB3503">
        <v>23</v>
      </c>
      <c r="AC3503">
        <v>-34.161399999999901</v>
      </c>
      <c r="AD3503">
        <v>-1.1091699352740001</v>
      </c>
      <c r="AE3503">
        <v>0.24949999999998301</v>
      </c>
      <c r="AF3503">
        <v>-0.48377352229305798</v>
      </c>
      <c r="AG3503">
        <v>-1.1091699352740001</v>
      </c>
      <c r="AH3503">
        <v>34.122907740403299</v>
      </c>
      <c r="AI3503">
        <v>91.861564945839604</v>
      </c>
      <c r="AJ3503">
        <v>90.8122497766321</v>
      </c>
      <c r="AK3503">
        <v>34.1443571827947</v>
      </c>
      <c r="AL3503">
        <v>82.837024467914105</v>
      </c>
      <c r="AM3503">
        <v>88.677865135868004</v>
      </c>
      <c r="AN3503">
        <v>0.99999996757430398</v>
      </c>
    </row>
    <row r="3504" spans="1:40" x14ac:dyDescent="0.25">
      <c r="A3504" t="str">
        <f>"20190312164541157"</f>
        <v>20190312164541157</v>
      </c>
      <c r="B3504" t="str">
        <f>"1552380341154824"</f>
        <v>1552380341154824</v>
      </c>
      <c r="C3504" t="s">
        <v>40</v>
      </c>
      <c r="D3504">
        <v>5.1725219999999998</v>
      </c>
      <c r="E3504">
        <v>0.48839090000000002</v>
      </c>
      <c r="F3504" t="s">
        <v>42</v>
      </c>
      <c r="G3504">
        <v>-265.33620000000002</v>
      </c>
      <c r="H3504" s="1">
        <v>-2.3412699999999999E-6</v>
      </c>
      <c r="I3504">
        <v>140.9624</v>
      </c>
      <c r="J3504">
        <v>-230.0095</v>
      </c>
      <c r="K3504">
        <v>1.109167</v>
      </c>
      <c r="L3504">
        <v>140.71010000000001</v>
      </c>
      <c r="M3504">
        <v>-0.99972810000000001</v>
      </c>
      <c r="N3504">
        <v>0</v>
      </c>
      <c r="O3504">
        <v>2.08325E-2</v>
      </c>
      <c r="P3504">
        <v>-0.99243429999999999</v>
      </c>
      <c r="Q3504">
        <v>0.11473270000000001</v>
      </c>
      <c r="R3504">
        <v>4.3712500000000001E-2</v>
      </c>
      <c r="S3504">
        <v>-3.0326840000000002</v>
      </c>
      <c r="T3504">
        <v>-9.4619750000000002E-2</v>
      </c>
      <c r="U3504">
        <v>2.1881100000000001E-2</v>
      </c>
      <c r="V3504">
        <v>2.2902459999999999E-2</v>
      </c>
      <c r="W3504">
        <v>0.1251661</v>
      </c>
      <c r="X3504">
        <v>0.99187139999999996</v>
      </c>
      <c r="Y3504">
        <v>-1.360301E-2</v>
      </c>
      <c r="Z3504">
        <v>-8.619481E-4</v>
      </c>
      <c r="AA3504">
        <v>0.99990710000000005</v>
      </c>
      <c r="AB3504">
        <v>23</v>
      </c>
      <c r="AC3504">
        <v>-35.326700000000002</v>
      </c>
      <c r="AD3504">
        <v>-1.1091693412700001</v>
      </c>
      <c r="AE3504">
        <v>0.25229999999999098</v>
      </c>
      <c r="AF3504">
        <v>-0.48326224344282298</v>
      </c>
      <c r="AG3504">
        <v>-1.1091693412700001</v>
      </c>
      <c r="AH3504">
        <v>35.2895022058213</v>
      </c>
      <c r="AI3504">
        <v>91.800077967210896</v>
      </c>
      <c r="AJ3504">
        <v>90.784572027472194</v>
      </c>
      <c r="AK3504">
        <v>35.310235979928201</v>
      </c>
      <c r="AL3504">
        <v>82.809651872466603</v>
      </c>
      <c r="AM3504">
        <v>88.677266862944805</v>
      </c>
      <c r="AN3504">
        <v>0.99999997470060997</v>
      </c>
    </row>
    <row r="3505" spans="1:40" x14ac:dyDescent="0.25">
      <c r="A3505" t="str">
        <f>"20190312164541181"</f>
        <v>20190312164541181</v>
      </c>
      <c r="B3505" t="str">
        <f>"1552380341175320"</f>
        <v>1552380341175320</v>
      </c>
      <c r="C3505" t="s">
        <v>40</v>
      </c>
      <c r="D3505">
        <v>5.2270669999999999</v>
      </c>
      <c r="E3505">
        <v>0.48830620000000002</v>
      </c>
      <c r="F3505" t="s">
        <v>42</v>
      </c>
      <c r="G3505">
        <v>-266.3125</v>
      </c>
      <c r="H3505" s="1">
        <v>-1.914857E-6</v>
      </c>
      <c r="I3505">
        <v>140.93389999999999</v>
      </c>
      <c r="J3505">
        <v>-230.25389999999999</v>
      </c>
      <c r="K3505">
        <v>1.109181</v>
      </c>
      <c r="L3505">
        <v>140.71430000000001</v>
      </c>
      <c r="M3505">
        <v>-0.9997433</v>
      </c>
      <c r="N3505">
        <v>0</v>
      </c>
      <c r="O3505">
        <v>2.010317E-2</v>
      </c>
      <c r="P3505">
        <v>-0.9924577</v>
      </c>
      <c r="Q3505">
        <v>0.11456180000000001</v>
      </c>
      <c r="R3505">
        <v>4.3628630000000002E-2</v>
      </c>
      <c r="S3505">
        <v>-3.0327609999999998</v>
      </c>
      <c r="T3505">
        <v>-9.2660190000000003E-2</v>
      </c>
      <c r="U3505">
        <v>1.870728E-2</v>
      </c>
      <c r="V3505">
        <v>2.3538509999999999E-2</v>
      </c>
      <c r="W3505">
        <v>0.12496740000000001</v>
      </c>
      <c r="X3505">
        <v>0.99188160000000003</v>
      </c>
      <c r="Y3505">
        <v>-1.3920979999999999E-2</v>
      </c>
      <c r="Z3505">
        <v>-8.2667059999999896E-4</v>
      </c>
      <c r="AA3505">
        <v>0.99990279999999998</v>
      </c>
      <c r="AB3505">
        <v>23</v>
      </c>
      <c r="AC3505">
        <v>-36.058599999999998</v>
      </c>
      <c r="AD3505">
        <v>-1.109182914857</v>
      </c>
      <c r="AE3505">
        <v>0.219599999999985</v>
      </c>
      <c r="AF3505">
        <v>-0.50489840712881096</v>
      </c>
      <c r="AG3505">
        <v>-1.109182914857</v>
      </c>
      <c r="AH3505">
        <v>36.021644188582798</v>
      </c>
      <c r="AI3505">
        <v>91.763528320117402</v>
      </c>
      <c r="AJ3505">
        <v>90.803035347842098</v>
      </c>
      <c r="AK3505">
        <v>36.042253802849103</v>
      </c>
      <c r="AL3505">
        <v>82.821126898378097</v>
      </c>
      <c r="AM3505">
        <v>88.640559326007704</v>
      </c>
      <c r="AN3505">
        <v>1.00000001046717</v>
      </c>
    </row>
    <row r="3506" spans="1:40" x14ac:dyDescent="0.25">
      <c r="A3506" t="str">
        <f>"20190312164541204"</f>
        <v>20190312164541204</v>
      </c>
      <c r="B3506" t="str">
        <f>"1552380341195816"</f>
        <v>1552380341195816</v>
      </c>
      <c r="C3506" t="s">
        <v>40</v>
      </c>
      <c r="D3506">
        <v>5.3692950000000002</v>
      </c>
      <c r="E3506">
        <v>0.4882455</v>
      </c>
      <c r="F3506" t="s">
        <v>42</v>
      </c>
      <c r="G3506">
        <v>-266.45010000000002</v>
      </c>
      <c r="H3506" s="1">
        <v>-1.852483E-6</v>
      </c>
      <c r="I3506">
        <v>140.9213</v>
      </c>
      <c r="J3506">
        <v>-230.49690000000001</v>
      </c>
      <c r="K3506">
        <v>1.109192</v>
      </c>
      <c r="L3506">
        <v>140.7184</v>
      </c>
      <c r="M3506">
        <v>-0.99975849999999999</v>
      </c>
      <c r="N3506">
        <v>0</v>
      </c>
      <c r="O3506">
        <v>1.9345439999999998E-2</v>
      </c>
      <c r="P3506">
        <v>-0.99244750000000004</v>
      </c>
      <c r="Q3506">
        <v>0.1146838</v>
      </c>
      <c r="R3506">
        <v>4.3540629999999997E-2</v>
      </c>
      <c r="S3506">
        <v>-3.0327449999999998</v>
      </c>
      <c r="T3506">
        <v>-9.2934370000000002E-2</v>
      </c>
      <c r="U3506">
        <v>1.7349239999999998E-2</v>
      </c>
      <c r="V3506">
        <v>2.4197079999999999E-2</v>
      </c>
      <c r="W3506">
        <v>0.12506010000000001</v>
      </c>
      <c r="X3506">
        <v>0.99185409999999996</v>
      </c>
      <c r="Y3506">
        <v>-1.361123E-2</v>
      </c>
      <c r="Z3506">
        <v>-8.0116559999999896E-4</v>
      </c>
      <c r="AA3506">
        <v>0.99990699999999999</v>
      </c>
      <c r="AB3506">
        <v>23</v>
      </c>
      <c r="AC3506">
        <v>-35.953200000000002</v>
      </c>
      <c r="AD3506">
        <v>-1.1091938524830001</v>
      </c>
      <c r="AE3506">
        <v>0.202899999999999</v>
      </c>
      <c r="AF3506">
        <v>-0.49223776137137698</v>
      </c>
      <c r="AG3506">
        <v>-1.1091938524830001</v>
      </c>
      <c r="AH3506">
        <v>35.9162128717578</v>
      </c>
      <c r="AI3506">
        <v>91.768726895540496</v>
      </c>
      <c r="AJ3506">
        <v>90.785199172549099</v>
      </c>
      <c r="AK3506">
        <v>35.9367076408722</v>
      </c>
      <c r="AL3506">
        <v>82.815773807009705</v>
      </c>
      <c r="AM3506">
        <v>88.602500489270795</v>
      </c>
      <c r="AN3506">
        <v>1.0000000414896699</v>
      </c>
    </row>
    <row r="3507" spans="1:40" x14ac:dyDescent="0.25">
      <c r="A3507" t="str">
        <f>"20190312164541226"</f>
        <v>20190312164541226</v>
      </c>
      <c r="B3507" t="str">
        <f>"1552380341215339"</f>
        <v>1552380341215339</v>
      </c>
      <c r="C3507" t="s">
        <v>40</v>
      </c>
      <c r="D3507">
        <v>5.0653800000000002</v>
      </c>
      <c r="E3507">
        <v>0.48816969999999998</v>
      </c>
      <c r="F3507" t="s">
        <v>42</v>
      </c>
      <c r="G3507">
        <v>-266.99560000000002</v>
      </c>
      <c r="H3507" s="1">
        <v>-1.614225E-6</v>
      </c>
      <c r="I3507">
        <v>140.90539999999999</v>
      </c>
      <c r="J3507">
        <v>-230.715</v>
      </c>
      <c r="K3507">
        <v>1.1092089999999999</v>
      </c>
      <c r="L3507">
        <v>140.7218</v>
      </c>
      <c r="M3507">
        <v>-0.99977249999999995</v>
      </c>
      <c r="N3507">
        <v>0</v>
      </c>
      <c r="O3507">
        <v>1.8628789999999999E-2</v>
      </c>
      <c r="P3507">
        <v>-0.99248590000000003</v>
      </c>
      <c r="Q3507">
        <v>0.1145545</v>
      </c>
      <c r="R3507">
        <v>4.3003149999999997E-2</v>
      </c>
      <c r="S3507">
        <v>-3.0328059999999999</v>
      </c>
      <c r="T3507">
        <v>-9.2167020000000002E-2</v>
      </c>
      <c r="U3507">
        <v>1.554871E-2</v>
      </c>
      <c r="V3507">
        <v>2.43635E-2</v>
      </c>
      <c r="W3507">
        <v>0.124905</v>
      </c>
      <c r="X3507">
        <v>0.99186949999999996</v>
      </c>
      <c r="Y3507">
        <v>-1.348884E-2</v>
      </c>
      <c r="Z3507">
        <v>-7.7090830000000005E-4</v>
      </c>
      <c r="AA3507">
        <v>0.99990869999999998</v>
      </c>
      <c r="AB3507">
        <v>23</v>
      </c>
      <c r="AC3507">
        <v>-36.2806</v>
      </c>
      <c r="AD3507">
        <v>-1.109210614225</v>
      </c>
      <c r="AE3507">
        <v>0.183599999999984</v>
      </c>
      <c r="AF3507">
        <v>-0.49187226504213499</v>
      </c>
      <c r="AG3507">
        <v>-1.109210614225</v>
      </c>
      <c r="AH3507">
        <v>36.243847151102599</v>
      </c>
      <c r="AI3507">
        <v>91.752777786364902</v>
      </c>
      <c r="AJ3507">
        <v>90.777524382167698</v>
      </c>
      <c r="AK3507">
        <v>36.264152310847102</v>
      </c>
      <c r="AL3507">
        <v>82.824730112345605</v>
      </c>
      <c r="AM3507">
        <v>88.592914611043199</v>
      </c>
      <c r="AN3507">
        <v>0.99999997209374902</v>
      </c>
    </row>
    <row r="3508" spans="1:40" x14ac:dyDescent="0.25">
      <c r="A3508" t="str">
        <f>"20190312164541249"</f>
        <v>20190312164541249</v>
      </c>
      <c r="B3508" t="str">
        <f>"1552380341244615"</f>
        <v>1552380341244615</v>
      </c>
      <c r="C3508" t="s">
        <v>40</v>
      </c>
      <c r="D3508">
        <v>5.2334239999999896</v>
      </c>
      <c r="E3508">
        <v>0.48805609999999999</v>
      </c>
      <c r="F3508" t="s">
        <v>42</v>
      </c>
      <c r="G3508">
        <v>-267.31459999999998</v>
      </c>
      <c r="H3508" s="1">
        <v>-1.4699009999999999E-6</v>
      </c>
      <c r="I3508">
        <v>140.87729999999999</v>
      </c>
      <c r="J3508">
        <v>-230.95480000000001</v>
      </c>
      <c r="K3508">
        <v>1.109232</v>
      </c>
      <c r="L3508">
        <v>140.7253</v>
      </c>
      <c r="M3508">
        <v>-0.99978789999999995</v>
      </c>
      <c r="N3508">
        <v>0</v>
      </c>
      <c r="O3508">
        <v>1.7797739999999999E-2</v>
      </c>
      <c r="P3508">
        <v>-0.99255070000000001</v>
      </c>
      <c r="Q3508">
        <v>0.1144037</v>
      </c>
      <c r="R3508">
        <v>4.1893109999999997E-2</v>
      </c>
      <c r="S3508">
        <v>-3.0327449999999998</v>
      </c>
      <c r="T3508">
        <v>-9.1912389999999997E-2</v>
      </c>
      <c r="U3508">
        <v>1.2893679999999999E-2</v>
      </c>
      <c r="V3508">
        <v>2.4069070000000001E-2</v>
      </c>
      <c r="W3508">
        <v>0.1247233</v>
      </c>
      <c r="X3508">
        <v>0.99189959999999999</v>
      </c>
      <c r="Y3508">
        <v>-1.3533379999999999E-2</v>
      </c>
      <c r="Z3508">
        <v>-7.4429439999999997E-4</v>
      </c>
      <c r="AA3508">
        <v>0.99990809999999997</v>
      </c>
      <c r="AB3508">
        <v>23</v>
      </c>
      <c r="AC3508">
        <v>-36.3597999999999</v>
      </c>
      <c r="AD3508">
        <v>-1.109233469901</v>
      </c>
      <c r="AE3508">
        <v>0.15199999999998601</v>
      </c>
      <c r="AF3508">
        <v>-0.49472067554242699</v>
      </c>
      <c r="AG3508">
        <v>-1.109233469901</v>
      </c>
      <c r="AH3508">
        <v>36.322941025433302</v>
      </c>
      <c r="AI3508">
        <v>91.748998307990703</v>
      </c>
      <c r="AJ3508">
        <v>90.780323767653499</v>
      </c>
      <c r="AK3508">
        <v>36.343241354819497</v>
      </c>
      <c r="AL3508">
        <v>82.835223145671506</v>
      </c>
      <c r="AM3508">
        <v>88.609954524579507</v>
      </c>
      <c r="AN3508">
        <v>1.0000000190868501</v>
      </c>
    </row>
    <row r="3509" spans="1:40" x14ac:dyDescent="0.25">
      <c r="A3509" t="str">
        <f>"20190312164541271"</f>
        <v>20190312164541271</v>
      </c>
      <c r="B3509" t="str">
        <f>"1552380341265112"</f>
        <v>1552380341265112</v>
      </c>
      <c r="C3509" t="s">
        <v>40</v>
      </c>
      <c r="D3509">
        <v>5.2256650000000002</v>
      </c>
      <c r="E3509">
        <v>0.48802230000000002</v>
      </c>
      <c r="F3509" t="s">
        <v>42</v>
      </c>
      <c r="G3509">
        <v>-267.113</v>
      </c>
      <c r="H3509" s="1">
        <v>-1.5425540000000001E-6</v>
      </c>
      <c r="I3509">
        <v>140.8253</v>
      </c>
      <c r="J3509">
        <v>-231.1857</v>
      </c>
      <c r="K3509">
        <v>1.1092500000000001</v>
      </c>
      <c r="L3509">
        <v>140.7285</v>
      </c>
      <c r="M3509">
        <v>-0.99980290000000005</v>
      </c>
      <c r="N3509">
        <v>0</v>
      </c>
      <c r="O3509">
        <v>1.6953470000000002E-2</v>
      </c>
      <c r="P3509">
        <v>-0.9926121</v>
      </c>
      <c r="Q3509">
        <v>0.1142106</v>
      </c>
      <c r="R3509">
        <v>4.0953330000000003E-2</v>
      </c>
      <c r="S3509">
        <v>-3.032883</v>
      </c>
      <c r="T3509">
        <v>-9.3040700000000004E-2</v>
      </c>
      <c r="U3509">
        <v>8.3923339999999996E-3</v>
      </c>
      <c r="V3509">
        <v>2.3958839999999999E-2</v>
      </c>
      <c r="W3509">
        <v>0.1244948</v>
      </c>
      <c r="X3509">
        <v>0.99193100000000001</v>
      </c>
      <c r="Y3509">
        <v>-1.417296E-2</v>
      </c>
      <c r="Z3509">
        <v>-7.3731220000000002E-4</v>
      </c>
      <c r="AA3509">
        <v>0.99989930000000005</v>
      </c>
      <c r="AB3509">
        <v>23</v>
      </c>
      <c r="AC3509">
        <v>-35.927300000000002</v>
      </c>
      <c r="AD3509">
        <v>-1.1092515425539999</v>
      </c>
      <c r="AE3509">
        <v>9.6800000000001704E-2</v>
      </c>
      <c r="AF3509">
        <v>-0.51185090357482099</v>
      </c>
      <c r="AG3509">
        <v>-1.1092515425539999</v>
      </c>
      <c r="AH3509">
        <v>35.889565342893</v>
      </c>
      <c r="AI3509">
        <v>91.770117552116204</v>
      </c>
      <c r="AJ3509">
        <v>90.817087309792697</v>
      </c>
      <c r="AK3509">
        <v>35.910351304796997</v>
      </c>
      <c r="AL3509">
        <v>82.848418259705397</v>
      </c>
      <c r="AM3509">
        <v>88.616361870113906</v>
      </c>
      <c r="AN3509">
        <v>1.00000004500109</v>
      </c>
    </row>
    <row r="3510" spans="1:40" x14ac:dyDescent="0.25">
      <c r="A3510" t="str">
        <f>"20190312164541293"</f>
        <v>20190312164541293</v>
      </c>
      <c r="B3510" t="str">
        <f>"1552380341284632"</f>
        <v>1552380341284632</v>
      </c>
      <c r="C3510" t="s">
        <v>40</v>
      </c>
      <c r="D3510">
        <v>5.8366920000000002</v>
      </c>
      <c r="E3510">
        <v>0.48802610000000002</v>
      </c>
      <c r="F3510" t="s">
        <v>42</v>
      </c>
      <c r="G3510">
        <v>-266.97219999999999</v>
      </c>
      <c r="H3510" s="1">
        <v>-1.593384E-6</v>
      </c>
      <c r="I3510">
        <v>140.7893</v>
      </c>
      <c r="J3510">
        <v>-231.4188</v>
      </c>
      <c r="K3510">
        <v>1.1092580000000001</v>
      </c>
      <c r="L3510">
        <v>140.73150000000001</v>
      </c>
      <c r="M3510">
        <v>-0.99981799999999998</v>
      </c>
      <c r="N3510">
        <v>0</v>
      </c>
      <c r="O3510">
        <v>1.6069360000000001E-2</v>
      </c>
      <c r="P3510">
        <v>-0.99266279999999996</v>
      </c>
      <c r="Q3510">
        <v>0.1140219</v>
      </c>
      <c r="R3510">
        <v>4.0242569999999998E-2</v>
      </c>
      <c r="S3510">
        <v>-3.0328979999999999</v>
      </c>
      <c r="T3510">
        <v>-9.4008919999999996E-2</v>
      </c>
      <c r="U3510">
        <v>5.1574709999999899E-3</v>
      </c>
      <c r="V3510">
        <v>2.4118810000000001E-2</v>
      </c>
      <c r="W3510">
        <v>0.1242653</v>
      </c>
      <c r="X3510">
        <v>0.9919559</v>
      </c>
      <c r="Y3510">
        <v>-1.435529E-2</v>
      </c>
      <c r="Z3510">
        <v>-7.2040859999999995E-4</v>
      </c>
      <c r="AA3510">
        <v>0.99989669999999997</v>
      </c>
      <c r="AB3510">
        <v>23</v>
      </c>
      <c r="AC3510">
        <v>-35.553399999999897</v>
      </c>
      <c r="AD3510">
        <v>-1.1092595933839999</v>
      </c>
      <c r="AE3510">
        <v>5.7799999999986001E-2</v>
      </c>
      <c r="AF3510">
        <v>-0.51305863197610702</v>
      </c>
      <c r="AG3510">
        <v>-1.1092595933839999</v>
      </c>
      <c r="AH3510">
        <v>35.515166311975598</v>
      </c>
      <c r="AI3510">
        <v>91.788774224039699</v>
      </c>
      <c r="AJ3510">
        <v>90.827647809405804</v>
      </c>
      <c r="AK3510">
        <v>35.536188937091197</v>
      </c>
      <c r="AL3510">
        <v>82.861670546752094</v>
      </c>
      <c r="AM3510">
        <v>88.607162079017101</v>
      </c>
      <c r="AN3510">
        <v>1.00000004466235</v>
      </c>
    </row>
    <row r="3511" spans="1:40" x14ac:dyDescent="0.25">
      <c r="A3511" t="str">
        <f>"20190312164541315"</f>
        <v>20190312164541315</v>
      </c>
      <c r="B3511" t="str">
        <f>"1552380341305132"</f>
        <v>1552380341305132</v>
      </c>
      <c r="C3511" t="s">
        <v>40</v>
      </c>
      <c r="D3511">
        <v>5.2294489999999998</v>
      </c>
      <c r="E3511">
        <v>0.48798859999999999</v>
      </c>
      <c r="F3511" t="s">
        <v>42</v>
      </c>
      <c r="G3511">
        <v>-266.74169999999998</v>
      </c>
      <c r="H3511" s="1">
        <v>-1.685753E-6</v>
      </c>
      <c r="I3511">
        <v>140.76480000000001</v>
      </c>
      <c r="J3511">
        <v>-231.65620000000001</v>
      </c>
      <c r="K3511">
        <v>1.1092550000000001</v>
      </c>
      <c r="L3511">
        <v>140.73419999999999</v>
      </c>
      <c r="M3511">
        <v>-0.99983299999999997</v>
      </c>
      <c r="N3511">
        <v>0</v>
      </c>
      <c r="O3511">
        <v>1.5146629999999999E-2</v>
      </c>
      <c r="P3511">
        <v>-0.99272169999999904</v>
      </c>
      <c r="Q3511">
        <v>0.1137022</v>
      </c>
      <c r="R3511">
        <v>3.9694920000000002E-2</v>
      </c>
      <c r="S3511">
        <v>-3.0329739999999998</v>
      </c>
      <c r="T3511">
        <v>-9.5245960000000005E-2</v>
      </c>
      <c r="U3511">
        <v>2.8686520000000002E-3</v>
      </c>
      <c r="V3511">
        <v>2.4482810000000001E-2</v>
      </c>
      <c r="W3511">
        <v>0.12390379999999999</v>
      </c>
      <c r="X3511">
        <v>0.99199219999999999</v>
      </c>
      <c r="Y3511">
        <v>-1.418724E-2</v>
      </c>
      <c r="Z3511">
        <v>-6.9825940000000004E-4</v>
      </c>
      <c r="AA3511">
        <v>0.99989910000000004</v>
      </c>
      <c r="AB3511">
        <v>23</v>
      </c>
      <c r="AC3511">
        <v>-35.085499999999897</v>
      </c>
      <c r="AD3511">
        <v>-1.109256685753</v>
      </c>
      <c r="AE3511">
        <v>3.0600000000020999E-2</v>
      </c>
      <c r="AF3511">
        <v>-0.50035824295801801</v>
      </c>
      <c r="AG3511">
        <v>-1.109256685753</v>
      </c>
      <c r="AH3511">
        <v>35.046906743119898</v>
      </c>
      <c r="AI3511">
        <v>91.812657744452807</v>
      </c>
      <c r="AJ3511">
        <v>90.817945738000404</v>
      </c>
      <c r="AK3511">
        <v>35.068026477506997</v>
      </c>
      <c r="AL3511">
        <v>82.882544272594004</v>
      </c>
      <c r="AM3511">
        <v>88.586201616432803</v>
      </c>
      <c r="AN3511">
        <v>1.0000000422503801</v>
      </c>
    </row>
    <row r="3512" spans="1:40" x14ac:dyDescent="0.25">
      <c r="A3512" t="str">
        <f>"20190312164541337"</f>
        <v>20190312164541337</v>
      </c>
      <c r="B3512" t="str">
        <f>"1552380341325625"</f>
        <v>1552380341325625</v>
      </c>
      <c r="C3512" t="s">
        <v>40</v>
      </c>
      <c r="D3512">
        <v>5.2332549999999998</v>
      </c>
      <c r="E3512">
        <v>0.48799579999999998</v>
      </c>
      <c r="F3512" t="s">
        <v>42</v>
      </c>
      <c r="G3512">
        <v>-266.55950000000001</v>
      </c>
      <c r="H3512" s="1">
        <v>-1.758702E-6</v>
      </c>
      <c r="I3512">
        <v>140.74520000000001</v>
      </c>
      <c r="J3512">
        <v>-231.87180000000001</v>
      </c>
      <c r="K3512">
        <v>1.1092489999999999</v>
      </c>
      <c r="L3512">
        <v>140.73660000000001</v>
      </c>
      <c r="M3512">
        <v>-0.99984589999999995</v>
      </c>
      <c r="N3512">
        <v>0</v>
      </c>
      <c r="O3512">
        <v>1.429676E-2</v>
      </c>
      <c r="P3512">
        <v>-0.99278739999999999</v>
      </c>
      <c r="Q3512">
        <v>0.11347599999999999</v>
      </c>
      <c r="R3512">
        <v>3.8685850000000001E-2</v>
      </c>
      <c r="S3512">
        <v>-3.03302</v>
      </c>
      <c r="T3512">
        <v>-9.6392149999999996E-2</v>
      </c>
      <c r="U3512">
        <v>9.6130369999999996E-4</v>
      </c>
      <c r="V3512">
        <v>2.4315449999999999E-2</v>
      </c>
      <c r="W3512">
        <v>0.1236289</v>
      </c>
      <c r="X3512">
        <v>0.99203059999999998</v>
      </c>
      <c r="Y3512">
        <v>-1.3966320000000001E-2</v>
      </c>
      <c r="Z3512">
        <v>-6.7613630000000003E-4</v>
      </c>
      <c r="AA3512">
        <v>0.99990219999999996</v>
      </c>
      <c r="AB3512">
        <v>23</v>
      </c>
      <c r="AC3512">
        <v>-34.6877</v>
      </c>
      <c r="AD3512">
        <v>-1.109250758702</v>
      </c>
      <c r="AE3512">
        <v>8.6000000000012698E-3</v>
      </c>
      <c r="AF3512">
        <v>-0.48685047967449802</v>
      </c>
      <c r="AG3512">
        <v>-1.109250758702</v>
      </c>
      <c r="AH3512">
        <v>34.648845247529202</v>
      </c>
      <c r="AI3512">
        <v>91.833464307277694</v>
      </c>
      <c r="AJ3512">
        <v>90.805009287311506</v>
      </c>
      <c r="AK3512">
        <v>34.670014964266599</v>
      </c>
      <c r="AL3512">
        <v>82.898416823523704</v>
      </c>
      <c r="AM3512">
        <v>88.595916530840796</v>
      </c>
      <c r="AN3512">
        <v>1.00000002868013</v>
      </c>
    </row>
    <row r="3513" spans="1:40" x14ac:dyDescent="0.25">
      <c r="A3513" t="str">
        <f>"20190312164541360"</f>
        <v>20190312164541360</v>
      </c>
      <c r="B3513" t="str">
        <f>"1552380341354904"</f>
        <v>1552380341354904</v>
      </c>
      <c r="C3513" t="s">
        <v>40</v>
      </c>
      <c r="D3513">
        <v>5.2126749999999999</v>
      </c>
      <c r="E3513">
        <v>0.48803299999999999</v>
      </c>
      <c r="F3513" t="s">
        <v>42</v>
      </c>
      <c r="G3513">
        <v>-266.35789999999997</v>
      </c>
      <c r="H3513" s="1">
        <v>-1.8379170000000001E-6</v>
      </c>
      <c r="I3513">
        <v>140.71799999999999</v>
      </c>
      <c r="J3513">
        <v>-232.1259</v>
      </c>
      <c r="K3513">
        <v>1.1092310000000001</v>
      </c>
      <c r="L3513">
        <v>140.73910000000001</v>
      </c>
      <c r="M3513">
        <v>-0.99986059999999999</v>
      </c>
      <c r="N3513">
        <v>0</v>
      </c>
      <c r="O3513">
        <v>1.329138E-2</v>
      </c>
      <c r="P3513">
        <v>-0.99291300000000005</v>
      </c>
      <c r="Q3513">
        <v>0.1127011</v>
      </c>
      <c r="R3513">
        <v>3.7714270000000001E-2</v>
      </c>
      <c r="S3513">
        <v>-3.0330050000000002</v>
      </c>
      <c r="T3513">
        <v>-9.7557309999999994E-2</v>
      </c>
      <c r="U3513">
        <v>-1.63269E-3</v>
      </c>
      <c r="V3513">
        <v>2.4341620000000001E-2</v>
      </c>
      <c r="W3513">
        <v>0.1227781</v>
      </c>
      <c r="X3513">
        <v>0.99213560000000001</v>
      </c>
      <c r="Y3513">
        <v>-1.3816299999999899E-2</v>
      </c>
      <c r="Z3513">
        <v>-6.4956750000000005E-4</v>
      </c>
      <c r="AA3513">
        <v>0.99990429999999997</v>
      </c>
      <c r="AB3513">
        <v>23</v>
      </c>
      <c r="AC3513">
        <v>-34.2319999999999</v>
      </c>
      <c r="AD3513">
        <v>-1.10923283791699</v>
      </c>
      <c r="AE3513">
        <v>-2.1100000000018299E-2</v>
      </c>
      <c r="AF3513">
        <v>-0.47561250639118602</v>
      </c>
      <c r="AG3513">
        <v>-1.10923283791699</v>
      </c>
      <c r="AH3513">
        <v>34.192793644760499</v>
      </c>
      <c r="AI3513">
        <v>91.857875062485803</v>
      </c>
      <c r="AJ3513">
        <v>90.796917394361401</v>
      </c>
      <c r="AK3513">
        <v>34.214086893823698</v>
      </c>
      <c r="AL3513">
        <v>82.947538194105206</v>
      </c>
      <c r="AM3513">
        <v>88.594554660819696</v>
      </c>
      <c r="AN3513">
        <v>1.0000000125455899</v>
      </c>
    </row>
    <row r="3514" spans="1:40" x14ac:dyDescent="0.25">
      <c r="A3514" t="str">
        <f>"20190312164541382"</f>
        <v>20190312164541382</v>
      </c>
      <c r="B3514" t="str">
        <f>"1552380341375401"</f>
        <v>1552380341375401</v>
      </c>
      <c r="C3514" t="s">
        <v>40</v>
      </c>
      <c r="D3514">
        <v>5.0525669999999998</v>
      </c>
      <c r="E3514">
        <v>0.488095</v>
      </c>
      <c r="F3514" t="s">
        <v>42</v>
      </c>
      <c r="G3514">
        <v>-265.41930000000002</v>
      </c>
      <c r="H3514" s="1">
        <v>-2.2336539999999999E-6</v>
      </c>
      <c r="I3514">
        <v>140.6919</v>
      </c>
      <c r="J3514">
        <v>-232.3484</v>
      </c>
      <c r="K3514">
        <v>1.109213</v>
      </c>
      <c r="L3514">
        <v>140.74109999999999</v>
      </c>
      <c r="M3514">
        <v>-0.9998726</v>
      </c>
      <c r="N3514">
        <v>0</v>
      </c>
      <c r="O3514">
        <v>1.2417889999999999E-2</v>
      </c>
      <c r="P3514">
        <v>-0.99300929999999998</v>
      </c>
      <c r="Q3514">
        <v>0.11215029999999999</v>
      </c>
      <c r="R3514">
        <v>3.6806180000000001E-2</v>
      </c>
      <c r="S3514">
        <v>-3.0330349999999999</v>
      </c>
      <c r="T3514">
        <v>-0.1010514</v>
      </c>
      <c r="U3514">
        <v>-4.2877200000000001E-3</v>
      </c>
      <c r="V3514">
        <v>2.4301840000000002E-2</v>
      </c>
      <c r="W3514">
        <v>0.1221449</v>
      </c>
      <c r="X3514">
        <v>0.9922147</v>
      </c>
      <c r="Y3514">
        <v>-1.381751E-2</v>
      </c>
      <c r="Z3514">
        <v>-6.4373969999999997E-4</v>
      </c>
      <c r="AA3514">
        <v>0.99990429999999997</v>
      </c>
      <c r="AB3514">
        <v>23</v>
      </c>
      <c r="AC3514">
        <v>-33.070900000000002</v>
      </c>
      <c r="AD3514">
        <v>-1.109215233654</v>
      </c>
      <c r="AE3514">
        <v>-4.9199999999984798E-2</v>
      </c>
      <c r="AF3514">
        <v>-0.45937088285217198</v>
      </c>
      <c r="AG3514">
        <v>-1.109215233654</v>
      </c>
      <c r="AH3514">
        <v>33.030580604653203</v>
      </c>
      <c r="AI3514">
        <v>91.923167504128699</v>
      </c>
      <c r="AJ3514">
        <v>90.796786360445793</v>
      </c>
      <c r="AK3514">
        <v>33.052392275341802</v>
      </c>
      <c r="AL3514">
        <v>82.984092815288093</v>
      </c>
      <c r="AM3514">
        <v>88.596962389272207</v>
      </c>
      <c r="AN3514">
        <v>0.99999998345974195</v>
      </c>
    </row>
    <row r="3515" spans="1:40" x14ac:dyDescent="0.25">
      <c r="A3515" t="str">
        <f>"20190312164541404"</f>
        <v>20190312164541404</v>
      </c>
      <c r="B3515" t="str">
        <f>"1552380341394926"</f>
        <v>1552380341394926</v>
      </c>
      <c r="C3515" t="s">
        <v>40</v>
      </c>
      <c r="D3515">
        <v>5.2556010000000004</v>
      </c>
      <c r="E3515">
        <v>0.48815429999999999</v>
      </c>
      <c r="F3515" t="s">
        <v>42</v>
      </c>
      <c r="G3515">
        <v>-264.81389999999999</v>
      </c>
      <c r="H3515" s="1">
        <v>-2.4862290000000002E-6</v>
      </c>
      <c r="I3515">
        <v>140.6651</v>
      </c>
      <c r="J3515">
        <v>-232.58789999999999</v>
      </c>
      <c r="K3515">
        <v>1.1091850000000001</v>
      </c>
      <c r="L3515">
        <v>140.74299999999999</v>
      </c>
      <c r="M3515">
        <v>-0.99988469999999996</v>
      </c>
      <c r="N3515">
        <v>0</v>
      </c>
      <c r="O3515">
        <v>1.149883E-2</v>
      </c>
      <c r="P3515">
        <v>-0.99305049999999995</v>
      </c>
      <c r="Q3515">
        <v>0.1121761</v>
      </c>
      <c r="R3515">
        <v>3.5603509999999998E-2</v>
      </c>
      <c r="S3515">
        <v>-3.0330659999999998</v>
      </c>
      <c r="T3515">
        <v>-0.103628</v>
      </c>
      <c r="U3515">
        <v>-7.0953369999999898E-3</v>
      </c>
      <c r="V3515">
        <v>2.401526E-2</v>
      </c>
      <c r="W3515">
        <v>0.1220668</v>
      </c>
      <c r="X3515">
        <v>0.99223130000000004</v>
      </c>
      <c r="Y3515">
        <v>-1.3823759999999999E-2</v>
      </c>
      <c r="Z3515">
        <v>-6.2885190000000002E-4</v>
      </c>
      <c r="AA3515">
        <v>0.99990429999999997</v>
      </c>
      <c r="AB3515">
        <v>24</v>
      </c>
      <c r="AC3515">
        <v>-32.225999999999999</v>
      </c>
      <c r="AD3515">
        <v>-1.1091874862289901</v>
      </c>
      <c r="AE3515">
        <v>-7.7899999999999595E-2</v>
      </c>
      <c r="AF3515">
        <v>-0.44794370899410302</v>
      </c>
      <c r="AG3515">
        <v>-1.1091874862289901</v>
      </c>
      <c r="AH3515">
        <v>32.1848452326116</v>
      </c>
      <c r="AI3515">
        <v>91.973614350047797</v>
      </c>
      <c r="AJ3515">
        <v>90.797382333674904</v>
      </c>
      <c r="AK3515">
        <v>32.207067750622599</v>
      </c>
      <c r="AL3515">
        <v>82.988601430812906</v>
      </c>
      <c r="AM3515">
        <v>88.613524432232197</v>
      </c>
      <c r="AN3515">
        <v>0.99999999453739796</v>
      </c>
    </row>
    <row r="3516" spans="1:40" x14ac:dyDescent="0.25">
      <c r="A3516" t="str">
        <f>"20190312164541428"</f>
        <v>20190312164541428</v>
      </c>
      <c r="B3516" t="str">
        <f>"1552380341415419"</f>
        <v>1552380341415419</v>
      </c>
      <c r="C3516" t="s">
        <v>40</v>
      </c>
      <c r="D3516">
        <v>5.2529459999999997</v>
      </c>
      <c r="E3516">
        <v>0.48823100000000003</v>
      </c>
      <c r="F3516" t="s">
        <v>42</v>
      </c>
      <c r="G3516">
        <v>-264.90679999999998</v>
      </c>
      <c r="H3516" s="1">
        <v>-2.4371369999999999E-6</v>
      </c>
      <c r="I3516">
        <v>140.63040000000001</v>
      </c>
      <c r="J3516">
        <v>-232.82640000000001</v>
      </c>
      <c r="K3516">
        <v>1.1091439999999999</v>
      </c>
      <c r="L3516">
        <v>140.7448</v>
      </c>
      <c r="M3516">
        <v>-0.9998956</v>
      </c>
      <c r="N3516">
        <v>0</v>
      </c>
      <c r="O3516">
        <v>1.061527E-2</v>
      </c>
      <c r="P3516">
        <v>-0.99304959999999998</v>
      </c>
      <c r="Q3516">
        <v>0.112593</v>
      </c>
      <c r="R3516">
        <v>3.4285709999999997E-2</v>
      </c>
      <c r="S3516">
        <v>-3.0331269999999999</v>
      </c>
      <c r="T3516">
        <v>-0.1040972</v>
      </c>
      <c r="U3516">
        <v>-1.055908E-2</v>
      </c>
      <c r="V3516">
        <v>2.357983E-2</v>
      </c>
      <c r="W3516">
        <v>0.1223654</v>
      </c>
      <c r="X3516">
        <v>0.992205</v>
      </c>
      <c r="Y3516">
        <v>-1.408221E-2</v>
      </c>
      <c r="Z3516">
        <v>-6.058026E-4</v>
      </c>
      <c r="AA3516">
        <v>0.99990060000000003</v>
      </c>
      <c r="AB3516">
        <v>24</v>
      </c>
      <c r="AC3516">
        <v>-32.080399999999898</v>
      </c>
      <c r="AD3516">
        <v>-1.1091464371369999</v>
      </c>
      <c r="AE3516">
        <v>-0.114399999999989</v>
      </c>
      <c r="AF3516">
        <v>-0.45440885184516799</v>
      </c>
      <c r="AG3516">
        <v>-1.1091464371369999</v>
      </c>
      <c r="AH3516">
        <v>32.039080152403201</v>
      </c>
      <c r="AI3516">
        <v>91.982505670575406</v>
      </c>
      <c r="AJ3516">
        <v>90.812569016418806</v>
      </c>
      <c r="AK3516">
        <v>32.061493262725001</v>
      </c>
      <c r="AL3516">
        <v>82.971363944287702</v>
      </c>
      <c r="AM3516">
        <v>88.638617540391195</v>
      </c>
      <c r="AN3516">
        <v>1.0000000307624901</v>
      </c>
    </row>
    <row r="3517" spans="1:40" x14ac:dyDescent="0.25">
      <c r="A3517" t="str">
        <f>"20190312164541452"</f>
        <v>20190312164541452</v>
      </c>
      <c r="B3517" t="str">
        <f>"1552380341444696"</f>
        <v>1552380341444696</v>
      </c>
      <c r="C3517" t="s">
        <v>40</v>
      </c>
      <c r="D3517">
        <v>5.2556079999999996</v>
      </c>
      <c r="E3517">
        <v>0.4883285</v>
      </c>
      <c r="F3517" t="s">
        <v>42</v>
      </c>
      <c r="G3517">
        <v>-265.32569999999998</v>
      </c>
      <c r="H3517" s="1">
        <v>-2.2477289999999998E-6</v>
      </c>
      <c r="I3517">
        <v>140.59389999999999</v>
      </c>
      <c r="J3517">
        <v>-233.0694</v>
      </c>
      <c r="K3517">
        <v>1.109092</v>
      </c>
      <c r="L3517">
        <v>140.74639999999999</v>
      </c>
      <c r="M3517">
        <v>-0.99990559999999995</v>
      </c>
      <c r="N3517">
        <v>0</v>
      </c>
      <c r="O3517">
        <v>9.7600740000000005E-3</v>
      </c>
      <c r="P3517">
        <v>-0.99315540000000002</v>
      </c>
      <c r="Q3517">
        <v>0.1121101</v>
      </c>
      <c r="R3517">
        <v>3.277178E-2</v>
      </c>
      <c r="S3517">
        <v>-3.0332340000000002</v>
      </c>
      <c r="T3517">
        <v>-0.10351929999999999</v>
      </c>
      <c r="U3517">
        <v>-1.4068600000000001E-2</v>
      </c>
      <c r="V3517">
        <v>2.2922930000000001E-2</v>
      </c>
      <c r="W3517">
        <v>0.1217525</v>
      </c>
      <c r="X3517">
        <v>0.9922957</v>
      </c>
      <c r="Y3517">
        <v>-1.4384249999999999E-2</v>
      </c>
      <c r="Z3517">
        <v>-5.7839299999999996E-4</v>
      </c>
      <c r="AA3517">
        <v>0.99989629999999996</v>
      </c>
      <c r="AB3517">
        <v>24</v>
      </c>
      <c r="AC3517">
        <v>-32.256299999999896</v>
      </c>
      <c r="AD3517">
        <v>-1.109094247729</v>
      </c>
      <c r="AE3517">
        <v>-0.15250000000000299</v>
      </c>
      <c r="AF3517">
        <v>-0.46677949890328702</v>
      </c>
      <c r="AG3517">
        <v>-1.109094247729</v>
      </c>
      <c r="AH3517">
        <v>32.215189563016601</v>
      </c>
      <c r="AI3517">
        <v>91.971575213308</v>
      </c>
      <c r="AJ3517">
        <v>90.830124678421598</v>
      </c>
      <c r="AK3517">
        <v>32.2376551835277</v>
      </c>
      <c r="AL3517">
        <v>83.006744467956494</v>
      </c>
      <c r="AM3517">
        <v>88.676650934445206</v>
      </c>
      <c r="AN3517">
        <v>0.99999994410726001</v>
      </c>
    </row>
    <row r="3518" spans="1:40" x14ac:dyDescent="0.25">
      <c r="A3518" t="str">
        <f>"20190312164541473"</f>
        <v>20190312164541473</v>
      </c>
      <c r="B3518" t="str">
        <f>"1552380341465193"</f>
        <v>1552380341465193</v>
      </c>
      <c r="C3518" t="s">
        <v>40</v>
      </c>
      <c r="D3518">
        <v>5.2560229999999999</v>
      </c>
      <c r="E3518">
        <v>0.48836590000000002</v>
      </c>
      <c r="F3518" t="s">
        <v>42</v>
      </c>
      <c r="G3518">
        <v>-264.88569999999999</v>
      </c>
      <c r="H3518" s="1">
        <v>-2.42693E-6</v>
      </c>
      <c r="I3518">
        <v>140.5581</v>
      </c>
      <c r="J3518">
        <v>-233.31379999999999</v>
      </c>
      <c r="K3518">
        <v>1.109022</v>
      </c>
      <c r="L3518">
        <v>140.74780000000001</v>
      </c>
      <c r="M3518">
        <v>-0.99991430000000003</v>
      </c>
      <c r="N3518">
        <v>0</v>
      </c>
      <c r="O3518">
        <v>8.9569160000000005E-3</v>
      </c>
      <c r="P3518">
        <v>-0.99332050000000005</v>
      </c>
      <c r="Q3518">
        <v>0.1109854</v>
      </c>
      <c r="R3518">
        <v>3.1571040000000002E-2</v>
      </c>
      <c r="S3518">
        <v>-3.0332180000000002</v>
      </c>
      <c r="T3518">
        <v>-0.105736</v>
      </c>
      <c r="U3518">
        <v>-1.794434E-2</v>
      </c>
      <c r="V3518">
        <v>2.253018E-2</v>
      </c>
      <c r="W3518">
        <v>0.1204911</v>
      </c>
      <c r="X3518">
        <v>0.99245870000000003</v>
      </c>
      <c r="Y3518">
        <v>-1.48583E-2</v>
      </c>
      <c r="Z3518">
        <v>-5.7104230000000001E-4</v>
      </c>
      <c r="AA3518">
        <v>0.99988940000000004</v>
      </c>
      <c r="AB3518">
        <v>24</v>
      </c>
      <c r="AC3518">
        <v>-31.571899999999999</v>
      </c>
      <c r="AD3518">
        <v>-1.10902442692999</v>
      </c>
      <c r="AE3518">
        <v>-0.18970000000001599</v>
      </c>
      <c r="AF3518">
        <v>-0.47190986747707298</v>
      </c>
      <c r="AG3518">
        <v>-1.10902442692999</v>
      </c>
      <c r="AH3518">
        <v>31.530030631683999</v>
      </c>
      <c r="AI3518">
        <v>92.014242472537305</v>
      </c>
      <c r="AJ3518">
        <v>90.857481723840195</v>
      </c>
      <c r="AK3518">
        <v>31.553057945902498</v>
      </c>
      <c r="AL3518">
        <v>83.079553756105497</v>
      </c>
      <c r="AM3518">
        <v>88.699530226580293</v>
      </c>
      <c r="AN3518">
        <v>0.99999999269786599</v>
      </c>
    </row>
    <row r="3519" spans="1:40" x14ac:dyDescent="0.25">
      <c r="A3519" t="str">
        <f>"20190312164541507"</f>
        <v>20190312164541507</v>
      </c>
      <c r="B3519" t="str">
        <f>"1552380341495449"</f>
        <v>1552380341495449</v>
      </c>
      <c r="C3519" t="s">
        <v>40</v>
      </c>
      <c r="D3519">
        <v>5.2289110000000001</v>
      </c>
      <c r="E3519">
        <v>0.48852830000000003</v>
      </c>
      <c r="F3519" t="s">
        <v>42</v>
      </c>
      <c r="G3519">
        <v>-263.98219999999998</v>
      </c>
      <c r="H3519" s="1">
        <v>-2.8072640000000001E-6</v>
      </c>
      <c r="I3519">
        <v>140.5307</v>
      </c>
      <c r="J3519">
        <v>-233.6687</v>
      </c>
      <c r="K3519">
        <v>1.1089420000000001</v>
      </c>
      <c r="L3519">
        <v>140.74969999999999</v>
      </c>
      <c r="M3519">
        <v>-0.99992519999999996</v>
      </c>
      <c r="N3519">
        <v>0</v>
      </c>
      <c r="O3519">
        <v>7.8772990000000008E-3</v>
      </c>
      <c r="P3519">
        <v>-0.99336959999999996</v>
      </c>
      <c r="Q3519">
        <v>0.1108276</v>
      </c>
      <c r="R3519">
        <v>3.0563150000000001E-2</v>
      </c>
      <c r="S3519">
        <v>-3.033096</v>
      </c>
      <c r="T3519">
        <v>-0.10968269999999999</v>
      </c>
      <c r="U3519">
        <v>-2.1469120000000001E-2</v>
      </c>
      <c r="V3519">
        <v>2.2609569999999999E-2</v>
      </c>
      <c r="W3519">
        <v>0.12014320000000001</v>
      </c>
      <c r="X3519">
        <v>0.99249909999999997</v>
      </c>
      <c r="Y3519">
        <v>-1.4940419999999999E-2</v>
      </c>
      <c r="Z3519">
        <v>-5.5481979999999996E-4</v>
      </c>
      <c r="AA3519">
        <v>0.9998882</v>
      </c>
      <c r="AB3519">
        <v>24</v>
      </c>
      <c r="AC3519">
        <v>-30.313499999999902</v>
      </c>
      <c r="AD3519">
        <v>-1.108944807264</v>
      </c>
      <c r="AE3519">
        <v>-0.21899999999999401</v>
      </c>
      <c r="AF3519">
        <v>-0.45718035623037601</v>
      </c>
      <c r="AG3519">
        <v>-1.108944807264</v>
      </c>
      <c r="AH3519">
        <v>30.270326070935401</v>
      </c>
      <c r="AI3519">
        <v>92.097837311461205</v>
      </c>
      <c r="AJ3519">
        <v>90.865286795134395</v>
      </c>
      <c r="AK3519">
        <v>30.294082143290499</v>
      </c>
      <c r="AL3519">
        <v>83.099633027799101</v>
      </c>
      <c r="AM3519">
        <v>88.695002424040894</v>
      </c>
      <c r="AN3519">
        <v>1.0000000223313099</v>
      </c>
    </row>
    <row r="3520" spans="1:40" x14ac:dyDescent="0.25">
      <c r="A3520" t="str">
        <f>"20190312164541528"</f>
        <v>20190312164541528</v>
      </c>
      <c r="B3520" t="str">
        <f>"1552380341524730"</f>
        <v>1552380341524730</v>
      </c>
      <c r="C3520" t="s">
        <v>40</v>
      </c>
      <c r="D3520">
        <v>5.2103449999999896</v>
      </c>
      <c r="E3520">
        <v>0.48905189999999998</v>
      </c>
      <c r="F3520" t="s">
        <v>42</v>
      </c>
      <c r="G3520">
        <v>-264.18849999999998</v>
      </c>
      <c r="H3520" s="1">
        <v>-2.7134149999999999E-6</v>
      </c>
      <c r="I3520">
        <v>140.51070000000001</v>
      </c>
      <c r="J3520">
        <v>-233.8989</v>
      </c>
      <c r="K3520">
        <v>1.108889</v>
      </c>
      <c r="L3520">
        <v>140.7508</v>
      </c>
      <c r="M3520">
        <v>-0.99993120000000002</v>
      </c>
      <c r="N3520">
        <v>0</v>
      </c>
      <c r="O3520">
        <v>7.2432030000000001E-3</v>
      </c>
      <c r="P3520">
        <v>-0.99346109999999999</v>
      </c>
      <c r="Q3520">
        <v>0.1099707</v>
      </c>
      <c r="R3520">
        <v>3.0683410000000001E-2</v>
      </c>
      <c r="S3520">
        <v>-3.0330659999999998</v>
      </c>
      <c r="T3520">
        <v>-0.11020720000000001</v>
      </c>
      <c r="U3520">
        <v>-2.3742679999999999E-2</v>
      </c>
      <c r="V3520">
        <v>2.3369930000000001E-2</v>
      </c>
      <c r="W3520">
        <v>0.119167</v>
      </c>
      <c r="X3520">
        <v>0.99259909999999996</v>
      </c>
      <c r="Y3520">
        <v>-1.5056079999999999E-2</v>
      </c>
      <c r="Z3520">
        <v>-5.3654289999999997E-4</v>
      </c>
      <c r="AA3520">
        <v>0.99988650000000001</v>
      </c>
      <c r="AB3520">
        <v>24</v>
      </c>
      <c r="AC3520">
        <v>-30.289599999999901</v>
      </c>
      <c r="AD3520">
        <v>-1.108891713415</v>
      </c>
      <c r="AE3520">
        <v>-0.24009999999998399</v>
      </c>
      <c r="AF3520">
        <v>-0.45888177661478402</v>
      </c>
      <c r="AG3520">
        <v>-1.108891713415</v>
      </c>
      <c r="AH3520">
        <v>30.246530330445299</v>
      </c>
      <c r="AI3520">
        <v>92.099383667185606</v>
      </c>
      <c r="AJ3520">
        <v>90.869189684552296</v>
      </c>
      <c r="AK3520">
        <v>30.270328877426198</v>
      </c>
      <c r="AL3520">
        <v>83.1559694255875</v>
      </c>
      <c r="AM3520">
        <v>88.651267139101094</v>
      </c>
      <c r="AN3520">
        <v>0.99999995041900602</v>
      </c>
    </row>
    <row r="3521" spans="1:40" x14ac:dyDescent="0.25">
      <c r="A3521" t="str">
        <f>"20190312164541551"</f>
        <v>20190312164541551</v>
      </c>
      <c r="B3521" t="str">
        <f>"1552380341545225"</f>
        <v>1552380341545225</v>
      </c>
      <c r="C3521" t="s">
        <v>40</v>
      </c>
      <c r="D3521">
        <v>5.3206790000000002</v>
      </c>
      <c r="E3521">
        <v>0.51668420000000004</v>
      </c>
      <c r="F3521" t="s">
        <v>42</v>
      </c>
      <c r="G3521">
        <v>-263.0224</v>
      </c>
      <c r="H3521" s="1">
        <v>-3.2278100000000001E-6</v>
      </c>
      <c r="I3521">
        <v>140.56379999999999</v>
      </c>
      <c r="J3521">
        <v>-234.1345</v>
      </c>
      <c r="K3521">
        <v>1.108835</v>
      </c>
      <c r="L3521">
        <v>140.7518</v>
      </c>
      <c r="M3521">
        <v>-0.9999363</v>
      </c>
      <c r="N3521">
        <v>0</v>
      </c>
      <c r="O3521">
        <v>6.6651810000000001E-3</v>
      </c>
      <c r="P3521">
        <v>-0.99350190000000005</v>
      </c>
      <c r="Q3521">
        <v>0.1093717</v>
      </c>
      <c r="R3521">
        <v>3.1499489999999998E-2</v>
      </c>
      <c r="S3521">
        <v>-3.0331419999999998</v>
      </c>
      <c r="T3521">
        <v>-0.1154886</v>
      </c>
      <c r="U3521">
        <v>-1.9470210000000002E-2</v>
      </c>
      <c r="V3521">
        <v>2.4772329999999999E-2</v>
      </c>
      <c r="W3521">
        <v>0.1184516</v>
      </c>
      <c r="X3521">
        <v>0.9926507</v>
      </c>
      <c r="Y3521">
        <v>-1.3069900000000001E-2</v>
      </c>
      <c r="Z3521">
        <v>-5.0242590000000001E-4</v>
      </c>
      <c r="AA3521">
        <v>0.99991450000000004</v>
      </c>
      <c r="AB3521">
        <v>24</v>
      </c>
      <c r="AC3521">
        <v>-28.887899999999998</v>
      </c>
      <c r="AD3521">
        <v>-1.10883822781</v>
      </c>
      <c r="AE3521">
        <v>-0.18800000000001599</v>
      </c>
      <c r="AF3521">
        <v>-0.37998706586298098</v>
      </c>
      <c r="AG3521">
        <v>-1.10883822781</v>
      </c>
      <c r="AH3521">
        <v>28.843510525841399</v>
      </c>
      <c r="AI3521">
        <v>92.201360907465798</v>
      </c>
      <c r="AJ3521">
        <v>90.754776216169802</v>
      </c>
      <c r="AK3521">
        <v>28.867317364798598</v>
      </c>
      <c r="AL3521">
        <v>83.197251092018007</v>
      </c>
      <c r="AM3521">
        <v>88.570438306245606</v>
      </c>
      <c r="AN3521">
        <v>0.99999993104333695</v>
      </c>
    </row>
    <row r="3522" spans="1:40" x14ac:dyDescent="0.25">
      <c r="A3522" t="str">
        <f>"20190312164541572"</f>
        <v>20190312164541572</v>
      </c>
      <c r="B3522" t="str">
        <f>"1552380341564744"</f>
        <v>1552380341564744</v>
      </c>
      <c r="C3522" t="s">
        <v>40</v>
      </c>
      <c r="D3522">
        <v>5.3161630000000004</v>
      </c>
      <c r="E3522">
        <v>0.51739360000000001</v>
      </c>
      <c r="F3522" t="s">
        <v>41</v>
      </c>
      <c r="G3522">
        <v>-235.04400000000001</v>
      </c>
      <c r="H3522">
        <v>1.0067109999999999</v>
      </c>
      <c r="I3522">
        <v>140.80879999999999</v>
      </c>
      <c r="J3522">
        <v>-234.3715</v>
      </c>
      <c r="K3522">
        <v>1.108778</v>
      </c>
      <c r="L3522">
        <v>140.7527</v>
      </c>
      <c r="M3522">
        <v>-0.99994039999999995</v>
      </c>
      <c r="N3522">
        <v>0</v>
      </c>
      <c r="O3522">
        <v>6.1582640000000001E-3</v>
      </c>
      <c r="P3522">
        <v>-0.99353320000000001</v>
      </c>
      <c r="Q3522">
        <v>0.1088242</v>
      </c>
      <c r="R3522">
        <v>3.2393980000000003E-2</v>
      </c>
      <c r="S3522">
        <v>-3.0512999999999999</v>
      </c>
      <c r="T3522">
        <v>-0.34261940000000002</v>
      </c>
      <c r="U3522">
        <v>0.19114690000000001</v>
      </c>
      <c r="V3522">
        <v>2.6184450000000001E-2</v>
      </c>
      <c r="W3522">
        <v>0.11779870000000001</v>
      </c>
      <c r="X3522">
        <v>0.99269220000000002</v>
      </c>
      <c r="Y3522">
        <v>5.606183E-2</v>
      </c>
      <c r="Z3522">
        <v>2.445942E-3</v>
      </c>
      <c r="AA3522">
        <v>0.99842430000000004</v>
      </c>
      <c r="AB3522">
        <v>24</v>
      </c>
      <c r="AC3522">
        <v>-0.67250000000001298</v>
      </c>
      <c r="AD3522">
        <v>-0.10206699999999901</v>
      </c>
      <c r="AE3522">
        <v>5.6099999999986397E-2</v>
      </c>
      <c r="AF3522">
        <v>5.0795356010881303E-2</v>
      </c>
      <c r="AG3522">
        <v>-0.10206699999999901</v>
      </c>
      <c r="AH3522">
        <v>0.65778543777332199</v>
      </c>
      <c r="AI3522">
        <v>98.794340119701204</v>
      </c>
      <c r="AJ3522">
        <v>85.584281831590303</v>
      </c>
      <c r="AK3522">
        <v>0.66759233281091002</v>
      </c>
      <c r="AL3522">
        <v>83.2349236065958</v>
      </c>
      <c r="AM3522">
        <v>88.489047581399802</v>
      </c>
      <c r="AN3522">
        <v>0.99999998154216596</v>
      </c>
    </row>
    <row r="3523" spans="1:40" x14ac:dyDescent="0.25">
      <c r="A3523" t="str">
        <f>"20190312164541595"</f>
        <v>20190312164541595</v>
      </c>
      <c r="B3523" t="str">
        <f>"1552380341585240"</f>
        <v>1552380341585240</v>
      </c>
      <c r="C3523" t="s">
        <v>40</v>
      </c>
      <c r="D3523">
        <v>5.0992850000000001</v>
      </c>
      <c r="E3523">
        <v>0.51768179999999997</v>
      </c>
      <c r="F3523" t="s">
        <v>41</v>
      </c>
      <c r="G3523">
        <v>-235.25899999999999</v>
      </c>
      <c r="H3523">
        <v>1.005064</v>
      </c>
      <c r="I3523">
        <v>140.81059999999999</v>
      </c>
      <c r="J3523">
        <v>-234.62209999999999</v>
      </c>
      <c r="K3523">
        <v>1.1087180000000001</v>
      </c>
      <c r="L3523">
        <v>140.75370000000001</v>
      </c>
      <c r="M3523">
        <v>-0.9999441</v>
      </c>
      <c r="N3523">
        <v>0</v>
      </c>
      <c r="O3523">
        <v>5.6878459999999999E-3</v>
      </c>
      <c r="P3523">
        <v>-0.99353919999999996</v>
      </c>
      <c r="Q3523">
        <v>0.10846740000000001</v>
      </c>
      <c r="R3523">
        <v>3.3386039999999999E-2</v>
      </c>
      <c r="S3523">
        <v>-3.0521240000000001</v>
      </c>
      <c r="T3523">
        <v>-0.35667090000000001</v>
      </c>
      <c r="U3523">
        <v>0.19839480000000001</v>
      </c>
      <c r="V3523">
        <v>2.765772E-2</v>
      </c>
      <c r="W3523">
        <v>0.11734120000000001</v>
      </c>
      <c r="X3523">
        <v>0.99270639999999999</v>
      </c>
      <c r="Y3523">
        <v>5.8828100000000001E-2</v>
      </c>
      <c r="Z3523">
        <v>2.7603630000000001E-3</v>
      </c>
      <c r="AA3523">
        <v>0.99826429999999999</v>
      </c>
      <c r="AB3523">
        <v>24</v>
      </c>
      <c r="AC3523">
        <v>-0.636900000000025</v>
      </c>
      <c r="AD3523">
        <v>-0.103654</v>
      </c>
      <c r="AE3523">
        <v>5.6899999999984602E-2</v>
      </c>
      <c r="AF3523">
        <v>5.1912244327451798E-2</v>
      </c>
      <c r="AG3523">
        <v>-0.103654</v>
      </c>
      <c r="AH3523">
        <v>0.620897962974854</v>
      </c>
      <c r="AI3523">
        <v>99.4453166077394</v>
      </c>
      <c r="AJ3523">
        <v>85.220710947466898</v>
      </c>
      <c r="AK3523">
        <v>0.631627511476056</v>
      </c>
      <c r="AL3523">
        <v>83.261319289999406</v>
      </c>
      <c r="AM3523">
        <v>88.404099344774593</v>
      </c>
      <c r="AN3523">
        <v>0.99999995164699795</v>
      </c>
    </row>
    <row r="3524" spans="1:40" x14ac:dyDescent="0.25">
      <c r="A3524" t="str">
        <f>"20190312164541617"</f>
        <v>20190312164541617</v>
      </c>
      <c r="B3524" t="str">
        <f>"1552380341604764"</f>
        <v>1552380341604764</v>
      </c>
      <c r="C3524" t="s">
        <v>40</v>
      </c>
      <c r="D3524">
        <v>5.6704850000000002</v>
      </c>
      <c r="E3524">
        <v>0.51811399999999996</v>
      </c>
      <c r="F3524" t="s">
        <v>41</v>
      </c>
      <c r="G3524">
        <v>-235.47579999999999</v>
      </c>
      <c r="H3524">
        <v>1.005811</v>
      </c>
      <c r="I3524">
        <v>140.81059999999999</v>
      </c>
      <c r="J3524">
        <v>-234.85499999999999</v>
      </c>
      <c r="K3524">
        <v>1.1086659999999999</v>
      </c>
      <c r="L3524">
        <v>140.75460000000001</v>
      </c>
      <c r="M3524">
        <v>-0.99994700000000003</v>
      </c>
      <c r="N3524">
        <v>0</v>
      </c>
      <c r="O3524">
        <v>5.3099449999999999E-3</v>
      </c>
      <c r="P3524">
        <v>-0.99360309999999996</v>
      </c>
      <c r="Q3524">
        <v>0.1076889</v>
      </c>
      <c r="R3524">
        <v>3.4005220000000003E-2</v>
      </c>
      <c r="S3524">
        <v>-3.0528719999999998</v>
      </c>
      <c r="T3524">
        <v>-0.36803930000000001</v>
      </c>
      <c r="U3524">
        <v>0.20323179999999999</v>
      </c>
      <c r="V3524">
        <v>2.8664680000000001E-2</v>
      </c>
      <c r="W3524">
        <v>0.116478399999999</v>
      </c>
      <c r="X3524">
        <v>0.99277950000000004</v>
      </c>
      <c r="Y3524">
        <v>6.0724889999999997E-2</v>
      </c>
      <c r="Z3524">
        <v>3.0060270000000001E-3</v>
      </c>
      <c r="AA3524">
        <v>0.99814999999999998</v>
      </c>
      <c r="AB3524">
        <v>24</v>
      </c>
      <c r="AC3524">
        <v>-0.62080000000000202</v>
      </c>
      <c r="AD3524">
        <v>-0.102854999999999</v>
      </c>
      <c r="AE3524">
        <v>5.5999999999983098E-2</v>
      </c>
      <c r="AF3524">
        <v>5.1305678624798498E-2</v>
      </c>
      <c r="AG3524">
        <v>-0.102854999999999</v>
      </c>
      <c r="AH3524">
        <v>0.60462541865890695</v>
      </c>
      <c r="AI3524">
        <v>99.620446625799602</v>
      </c>
      <c r="AJ3524">
        <v>85.149767719802995</v>
      </c>
      <c r="AK3524">
        <v>0.61545375177393302</v>
      </c>
      <c r="AL3524">
        <v>83.311095813232299</v>
      </c>
      <c r="AM3524">
        <v>88.346149349131395</v>
      </c>
      <c r="AN3524">
        <v>1.00000000858315</v>
      </c>
    </row>
    <row r="3525" spans="1:40" x14ac:dyDescent="0.25">
      <c r="A3525" t="str">
        <f>"20190312164541638"</f>
        <v>20190312164541638</v>
      </c>
      <c r="B3525" t="str">
        <f>"1552380341635017"</f>
        <v>1552380341635017</v>
      </c>
      <c r="C3525" t="s">
        <v>40</v>
      </c>
      <c r="D3525">
        <v>5.6755469999999999</v>
      </c>
      <c r="E3525">
        <v>0.51840390000000003</v>
      </c>
      <c r="F3525" t="s">
        <v>41</v>
      </c>
      <c r="G3525">
        <v>-235.69329999999999</v>
      </c>
      <c r="H3525">
        <v>1.006996</v>
      </c>
      <c r="I3525">
        <v>140.8124</v>
      </c>
      <c r="J3525">
        <v>-235.0848</v>
      </c>
      <c r="K3525">
        <v>1.1086199999999999</v>
      </c>
      <c r="L3525">
        <v>140.75540000000001</v>
      </c>
      <c r="M3525">
        <v>-0.99994919999999998</v>
      </c>
      <c r="N3525">
        <v>0</v>
      </c>
      <c r="O3525">
        <v>4.9988350000000001E-3</v>
      </c>
      <c r="P3525">
        <v>-0.99361169999999999</v>
      </c>
      <c r="Q3525">
        <v>0.1072555</v>
      </c>
      <c r="R3525">
        <v>3.5105369999999997E-2</v>
      </c>
      <c r="S3525">
        <v>-3.052292</v>
      </c>
      <c r="T3525">
        <v>-0.37029970000000001</v>
      </c>
      <c r="U3525">
        <v>0.2092743</v>
      </c>
      <c r="V3525">
        <v>3.0085509999999999E-2</v>
      </c>
      <c r="W3525">
        <v>0.1159697</v>
      </c>
      <c r="X3525">
        <v>0.99279700000000004</v>
      </c>
      <c r="Y3525">
        <v>6.2991050000000007E-2</v>
      </c>
      <c r="Z3525">
        <v>3.199089E-3</v>
      </c>
      <c r="AA3525">
        <v>0.99800900000000003</v>
      </c>
      <c r="AB3525">
        <v>24</v>
      </c>
      <c r="AC3525">
        <v>-0.60849999999999205</v>
      </c>
      <c r="AD3525">
        <v>-0.10162400000000001</v>
      </c>
      <c r="AE3525">
        <v>5.6999999999987901E-2</v>
      </c>
      <c r="AF3525">
        <v>5.2505658466003101E-2</v>
      </c>
      <c r="AG3525">
        <v>-0.10162400000000001</v>
      </c>
      <c r="AH3525">
        <v>0.59239820514024799</v>
      </c>
      <c r="AI3525">
        <v>99.696870040169898</v>
      </c>
      <c r="AJ3525">
        <v>84.934974551863903</v>
      </c>
      <c r="AK3525">
        <v>0.60334062933001298</v>
      </c>
      <c r="AL3525">
        <v>83.340440965670695</v>
      </c>
      <c r="AM3525">
        <v>88.264252027397603</v>
      </c>
      <c r="AN3525">
        <v>0.99999999621952496</v>
      </c>
    </row>
    <row r="3526" spans="1:40" x14ac:dyDescent="0.25">
      <c r="A3526" t="str">
        <f>"20190312164541662"</f>
        <v>20190312164541662</v>
      </c>
      <c r="B3526" t="str">
        <f>"1552380341655512"</f>
        <v>1552380341655512</v>
      </c>
      <c r="C3526" t="s">
        <v>40</v>
      </c>
      <c r="D3526">
        <v>5.7456690000000004</v>
      </c>
      <c r="E3526">
        <v>0.51867029999999903</v>
      </c>
      <c r="F3526" t="s">
        <v>41</v>
      </c>
      <c r="G3526">
        <v>-235.9111</v>
      </c>
      <c r="H3526">
        <v>1.0075289999999999</v>
      </c>
      <c r="I3526">
        <v>140.8134</v>
      </c>
      <c r="J3526">
        <v>-235.35159999999999</v>
      </c>
      <c r="K3526">
        <v>1.1085700000000001</v>
      </c>
      <c r="L3526">
        <v>140.75640000000001</v>
      </c>
      <c r="M3526">
        <v>-0.99995129999999999</v>
      </c>
      <c r="N3526">
        <v>0</v>
      </c>
      <c r="O3526">
        <v>4.7138299999999996E-3</v>
      </c>
      <c r="P3526">
        <v>-0.99353029999999998</v>
      </c>
      <c r="Q3526">
        <v>0.1076579</v>
      </c>
      <c r="R3526">
        <v>3.616171E-2</v>
      </c>
      <c r="S3526">
        <v>-3.0520170000000002</v>
      </c>
      <c r="T3526">
        <v>-0.37338840000000001</v>
      </c>
      <c r="U3526">
        <v>0.21432499999999999</v>
      </c>
      <c r="V3526">
        <v>3.1438279999999999E-2</v>
      </c>
      <c r="W3526">
        <v>0.1162932</v>
      </c>
      <c r="X3526">
        <v>0.99271730000000002</v>
      </c>
      <c r="Y3526">
        <v>6.4901790000000001E-2</v>
      </c>
      <c r="Z3526">
        <v>3.3766830000000001E-3</v>
      </c>
      <c r="AA3526">
        <v>0.99788589999999999</v>
      </c>
      <c r="AB3526">
        <v>24</v>
      </c>
      <c r="AC3526">
        <v>-0.55950000000001399</v>
      </c>
      <c r="AD3526">
        <v>-0.10104099999999901</v>
      </c>
      <c r="AE3526">
        <v>5.6999999999987901E-2</v>
      </c>
      <c r="AF3526">
        <v>5.2662037860342098E-2</v>
      </c>
      <c r="AG3526">
        <v>-0.10104099999999901</v>
      </c>
      <c r="AH3526">
        <v>0.54225926699743698</v>
      </c>
      <c r="AI3526">
        <v>100.506746478458</v>
      </c>
      <c r="AJ3526">
        <v>84.453059498282997</v>
      </c>
      <c r="AK3526">
        <v>0.55410079097326903</v>
      </c>
      <c r="AL3526">
        <v>83.321779914202295</v>
      </c>
      <c r="AM3526">
        <v>88.186111049969895</v>
      </c>
      <c r="AN3526">
        <v>1.00000005576744</v>
      </c>
    </row>
    <row r="3527" spans="1:40" x14ac:dyDescent="0.25">
      <c r="A3527" t="str">
        <f>"20190312164541685"</f>
        <v>20190312164541685</v>
      </c>
      <c r="B3527" t="str">
        <f>"1552380341675032"</f>
        <v>1552380341675032</v>
      </c>
      <c r="C3527" t="s">
        <v>40</v>
      </c>
      <c r="D3527">
        <v>5.3596769999999996</v>
      </c>
      <c r="E3527">
        <v>0.51880320000000002</v>
      </c>
      <c r="F3527" t="s">
        <v>41</v>
      </c>
      <c r="G3527">
        <v>-236.13200000000001</v>
      </c>
      <c r="H3527">
        <v>1.0132099999999999</v>
      </c>
      <c r="I3527">
        <v>140.8124</v>
      </c>
      <c r="J3527">
        <v>-235.60820000000001</v>
      </c>
      <c r="K3527">
        <v>1.1085179999999999</v>
      </c>
      <c r="L3527">
        <v>140.75729999999999</v>
      </c>
      <c r="M3527">
        <v>-0.99995290000000003</v>
      </c>
      <c r="N3527">
        <v>0</v>
      </c>
      <c r="O3527">
        <v>4.5091860000000001E-3</v>
      </c>
      <c r="P3527">
        <v>-0.99347289999999999</v>
      </c>
      <c r="Q3527">
        <v>0.1077322</v>
      </c>
      <c r="R3527">
        <v>3.749545E-2</v>
      </c>
      <c r="S3527">
        <v>-3.051987</v>
      </c>
      <c r="T3527">
        <v>-0.37291920000000001</v>
      </c>
      <c r="U3527">
        <v>0.21846009999999999</v>
      </c>
      <c r="V3527">
        <v>3.2987849999999999E-2</v>
      </c>
      <c r="W3527">
        <v>0.1163018</v>
      </c>
      <c r="X3527">
        <v>0.99266589999999999</v>
      </c>
      <c r="Y3527">
        <v>6.6440170000000007E-2</v>
      </c>
      <c r="Z3527">
        <v>3.490745E-3</v>
      </c>
      <c r="AA3527">
        <v>0.99778429999999996</v>
      </c>
      <c r="AB3527">
        <v>24</v>
      </c>
      <c r="AC3527">
        <v>-0.52379999999999405</v>
      </c>
      <c r="AD3527">
        <v>-9.5308000000000101E-2</v>
      </c>
      <c r="AE3527">
        <v>5.5100000000010099E-2</v>
      </c>
      <c r="AF3527">
        <v>5.1065294664021502E-2</v>
      </c>
      <c r="AG3527">
        <v>-9.5308000000000101E-2</v>
      </c>
      <c r="AH3527">
        <v>0.50742730171827299</v>
      </c>
      <c r="AI3527">
        <v>100.58544394296599</v>
      </c>
      <c r="AJ3527">
        <v>84.253347620243701</v>
      </c>
      <c r="AK3527">
        <v>0.51881956951546304</v>
      </c>
      <c r="AL3527">
        <v>83.321283080952398</v>
      </c>
      <c r="AM3527">
        <v>88.096671514085401</v>
      </c>
      <c r="AN3527">
        <v>0.999999947976834</v>
      </c>
    </row>
    <row r="3528" spans="1:40" x14ac:dyDescent="0.25">
      <c r="A3528" t="str">
        <f>"20190312164541706"</f>
        <v>20190312164541706</v>
      </c>
      <c r="B3528" t="str">
        <f>"1552380341695532"</f>
        <v>1552380341695532</v>
      </c>
      <c r="C3528" t="s">
        <v>40</v>
      </c>
      <c r="D3528">
        <v>5.7177150000000001</v>
      </c>
      <c r="E3528">
        <v>0.51887799999999995</v>
      </c>
      <c r="F3528" t="s">
        <v>41</v>
      </c>
      <c r="G3528">
        <v>-236.35290000000001</v>
      </c>
      <c r="H3528">
        <v>1.017531</v>
      </c>
      <c r="I3528">
        <v>140.81190000000001</v>
      </c>
      <c r="J3528">
        <v>-235.82910000000001</v>
      </c>
      <c r="K3528">
        <v>1.108474</v>
      </c>
      <c r="L3528">
        <v>140.75810000000001</v>
      </c>
      <c r="M3528">
        <v>-0.99995369999999995</v>
      </c>
      <c r="N3528">
        <v>0</v>
      </c>
      <c r="O3528">
        <v>4.3822679999999999E-3</v>
      </c>
      <c r="P3528">
        <v>-0.99346579999999995</v>
      </c>
      <c r="Q3528">
        <v>0.1074778</v>
      </c>
      <c r="R3528">
        <v>3.8399830000000003E-2</v>
      </c>
      <c r="S3528">
        <v>-3.051758</v>
      </c>
      <c r="T3528">
        <v>-0.37294719999999998</v>
      </c>
      <c r="U3528">
        <v>0.2228088</v>
      </c>
      <c r="V3528">
        <v>3.4027950000000001E-2</v>
      </c>
      <c r="W3528">
        <v>0.11599719999999999</v>
      </c>
      <c r="X3528">
        <v>0.99266650000000001</v>
      </c>
      <c r="Y3528">
        <v>6.7974129999999994E-2</v>
      </c>
      <c r="Z3528">
        <v>3.5997799999999999E-3</v>
      </c>
      <c r="AA3528">
        <v>0.99768060000000003</v>
      </c>
      <c r="AB3528">
        <v>24</v>
      </c>
      <c r="AC3528">
        <v>-0.52379999999999405</v>
      </c>
      <c r="AD3528">
        <v>-9.0942999999999996E-2</v>
      </c>
      <c r="AE3528">
        <v>5.37999999999954E-2</v>
      </c>
      <c r="AF3528">
        <v>5.0012117023880698E-2</v>
      </c>
      <c r="AG3528">
        <v>-9.0942999999999996E-2</v>
      </c>
      <c r="AH3528">
        <v>0.50885181043144301</v>
      </c>
      <c r="AI3528">
        <v>100.08544056204801</v>
      </c>
      <c r="AJ3528">
        <v>84.386755390695797</v>
      </c>
      <c r="AK3528">
        <v>0.51932841832271004</v>
      </c>
      <c r="AL3528">
        <v>83.338854758146994</v>
      </c>
      <c r="AM3528">
        <v>88.036707398709694</v>
      </c>
      <c r="AN3528">
        <v>1.0000000160056399</v>
      </c>
    </row>
    <row r="3529" spans="1:40" x14ac:dyDescent="0.25">
      <c r="A3529" t="str">
        <f>"20190312164541727"</f>
        <v>20190312164541727</v>
      </c>
      <c r="B3529" t="str">
        <f>"1552380341715048"</f>
        <v>1552380341715048</v>
      </c>
      <c r="C3529" t="s">
        <v>40</v>
      </c>
      <c r="D3529">
        <v>5.1845210000000002</v>
      </c>
      <c r="E3529">
        <v>0.51825549999999998</v>
      </c>
      <c r="F3529" t="s">
        <v>41</v>
      </c>
      <c r="G3529">
        <v>-236.57210000000001</v>
      </c>
      <c r="H3529">
        <v>1.0174799999999999</v>
      </c>
      <c r="I3529">
        <v>140.8133</v>
      </c>
      <c r="J3529">
        <v>-236.0598</v>
      </c>
      <c r="K3529">
        <v>1.108428</v>
      </c>
      <c r="L3529">
        <v>140.75899999999999</v>
      </c>
      <c r="M3529">
        <v>-0.99995449999999997</v>
      </c>
      <c r="N3529">
        <v>0</v>
      </c>
      <c r="O3529">
        <v>4.2901220000000004E-3</v>
      </c>
      <c r="P3529">
        <v>-0.99356650000000002</v>
      </c>
      <c r="Q3529">
        <v>0.10628079999999999</v>
      </c>
      <c r="R3529">
        <v>3.912028E-2</v>
      </c>
      <c r="S3529">
        <v>-3.051453</v>
      </c>
      <c r="T3529">
        <v>-0.37376870000000001</v>
      </c>
      <c r="U3529">
        <v>0.2258453</v>
      </c>
      <c r="V3529">
        <v>3.484835E-2</v>
      </c>
      <c r="W3529">
        <v>0.11475009999999999</v>
      </c>
      <c r="X3529">
        <v>0.99278299999999997</v>
      </c>
      <c r="Y3529">
        <v>6.9049929999999995E-2</v>
      </c>
      <c r="Z3529">
        <v>3.6846610000000001E-3</v>
      </c>
      <c r="AA3529">
        <v>0.9976064</v>
      </c>
      <c r="AB3529">
        <v>24</v>
      </c>
      <c r="AC3529">
        <v>-0.51230000000000997</v>
      </c>
      <c r="AD3529">
        <v>-9.0948000000000001E-2</v>
      </c>
      <c r="AE3529">
        <v>5.4300000000011998E-2</v>
      </c>
      <c r="AF3529">
        <v>5.0526854074981302E-2</v>
      </c>
      <c r="AG3529">
        <v>-9.0948000000000001E-2</v>
      </c>
      <c r="AH3529">
        <v>0.49703741226866299</v>
      </c>
      <c r="AI3529">
        <v>100.317259499862</v>
      </c>
      <c r="AJ3529">
        <v>84.195477804290704</v>
      </c>
      <c r="AK3529">
        <v>0.507809699475545</v>
      </c>
      <c r="AL3529">
        <v>83.410788843841104</v>
      </c>
      <c r="AM3529">
        <v>87.989647349405203</v>
      </c>
      <c r="AN3529">
        <v>1.0000000390183601</v>
      </c>
    </row>
    <row r="3530" spans="1:40" x14ac:dyDescent="0.25">
      <c r="A3530" t="str">
        <f>"20190312164541750"</f>
        <v>20190312164541750</v>
      </c>
      <c r="B3530" t="str">
        <f>"1552380341745304"</f>
        <v>1552380341745304</v>
      </c>
      <c r="C3530" t="s">
        <v>40</v>
      </c>
      <c r="D3530">
        <v>6.1193210000000002</v>
      </c>
      <c r="E3530">
        <v>0.52405769999999996</v>
      </c>
      <c r="F3530" t="s">
        <v>41</v>
      </c>
      <c r="G3530">
        <v>-236.79040000000001</v>
      </c>
      <c r="H3530">
        <v>1.0142279999999999</v>
      </c>
      <c r="I3530">
        <v>140.81209999999999</v>
      </c>
      <c r="J3530">
        <v>-236.3115</v>
      </c>
      <c r="K3530">
        <v>1.1083959999999999</v>
      </c>
      <c r="L3530">
        <v>140.76</v>
      </c>
      <c r="M3530">
        <v>-0.99995520000000004</v>
      </c>
      <c r="N3530">
        <v>0</v>
      </c>
      <c r="O3530">
        <v>4.2309019999999999E-3</v>
      </c>
      <c r="P3530">
        <v>-0.9936064</v>
      </c>
      <c r="Q3530">
        <v>0.10571460000000001</v>
      </c>
      <c r="R3530">
        <v>3.963618E-2</v>
      </c>
      <c r="S3530">
        <v>-3.0528110000000002</v>
      </c>
      <c r="T3530">
        <v>-0.39361629999999997</v>
      </c>
      <c r="U3530">
        <v>0.22155759999999999</v>
      </c>
      <c r="V3530">
        <v>3.543048E-2</v>
      </c>
      <c r="W3530">
        <v>0.11413139999999899</v>
      </c>
      <c r="X3530">
        <v>0.99283370000000004</v>
      </c>
      <c r="Y3530">
        <v>6.7641850000000003E-2</v>
      </c>
      <c r="Z3530">
        <v>3.794558E-3</v>
      </c>
      <c r="AA3530">
        <v>0.99770250000000005</v>
      </c>
      <c r="AB3530">
        <v>25</v>
      </c>
      <c r="AC3530">
        <v>-0.47890000000000998</v>
      </c>
      <c r="AD3530">
        <v>-9.4167999999999794E-2</v>
      </c>
      <c r="AE3530">
        <v>5.2099999999995802E-2</v>
      </c>
      <c r="AF3530">
        <v>4.8230275577156298E-2</v>
      </c>
      <c r="AG3530">
        <v>-9.4167999999999794E-2</v>
      </c>
      <c r="AH3530">
        <v>0.46148171370003699</v>
      </c>
      <c r="AI3530">
        <v>101.47238259348001</v>
      </c>
      <c r="AJ3530">
        <v>84.033576328901205</v>
      </c>
      <c r="AK3530">
        <v>0.47345447910625099</v>
      </c>
      <c r="AL3530">
        <v>83.446472090429594</v>
      </c>
      <c r="AM3530">
        <v>87.956197617373306</v>
      </c>
      <c r="AN3530">
        <v>1.00000002561734</v>
      </c>
    </row>
    <row r="3531" spans="1:40" x14ac:dyDescent="0.25">
      <c r="A3531" t="str">
        <f>"20190312164541773"</f>
        <v>20190312164541773</v>
      </c>
      <c r="B3531" t="str">
        <f>"1552380341764824"</f>
        <v>1552380341764824</v>
      </c>
      <c r="C3531" t="s">
        <v>40</v>
      </c>
      <c r="D3531">
        <v>6.0573139999999999</v>
      </c>
      <c r="E3531">
        <v>0.52681099999999903</v>
      </c>
      <c r="F3531" t="s">
        <v>41</v>
      </c>
      <c r="G3531">
        <v>-237.2183</v>
      </c>
      <c r="H3531">
        <v>0.98669709999999999</v>
      </c>
      <c r="I3531">
        <v>140.83969999999999</v>
      </c>
      <c r="J3531">
        <v>-236.5701</v>
      </c>
      <c r="K3531">
        <v>1.108363</v>
      </c>
      <c r="L3531">
        <v>140.761</v>
      </c>
      <c r="M3531">
        <v>-0.99995579999999995</v>
      </c>
      <c r="N3531">
        <v>0</v>
      </c>
      <c r="O3531">
        <v>4.2091079999999996E-3</v>
      </c>
      <c r="P3531">
        <v>-0.99351849999999997</v>
      </c>
      <c r="Q3531">
        <v>0.1063577</v>
      </c>
      <c r="R3531">
        <v>4.0113999999999997E-2</v>
      </c>
      <c r="S3531">
        <v>-3.0522</v>
      </c>
      <c r="T3531">
        <v>-0.40964669999999997</v>
      </c>
      <c r="U3531">
        <v>0.26812740000000002</v>
      </c>
      <c r="V3531">
        <v>3.5936299999999997E-2</v>
      </c>
      <c r="W3531">
        <v>0.114721699999999</v>
      </c>
      <c r="X3531">
        <v>0.9927475</v>
      </c>
      <c r="Y3531">
        <v>8.2618739999999996E-2</v>
      </c>
      <c r="Z3531">
        <v>4.9477419999999998E-3</v>
      </c>
      <c r="AA3531">
        <v>0.99656889999999998</v>
      </c>
      <c r="AB3531">
        <v>25</v>
      </c>
      <c r="AC3531">
        <v>-0.648200000000002</v>
      </c>
      <c r="AD3531">
        <v>-0.12166589999999999</v>
      </c>
      <c r="AE3531">
        <v>7.8699999999997702E-2</v>
      </c>
      <c r="AF3531">
        <v>7.3421749221063301E-2</v>
      </c>
      <c r="AG3531">
        <v>-0.12166589999999999</v>
      </c>
      <c r="AH3531">
        <v>0.62676501139664098</v>
      </c>
      <c r="AI3531">
        <v>100.912664711921</v>
      </c>
      <c r="AJ3531">
        <v>83.318595523628403</v>
      </c>
      <c r="AK3531">
        <v>0.64267233019052705</v>
      </c>
      <c r="AL3531">
        <v>83.412426883922606</v>
      </c>
      <c r="AM3531">
        <v>87.926864899842201</v>
      </c>
      <c r="AN3531">
        <v>1.00000004243241</v>
      </c>
    </row>
    <row r="3532" spans="1:40" x14ac:dyDescent="0.25">
      <c r="A3532" t="str">
        <f>"20190312164541796"</f>
        <v>20190312164541796</v>
      </c>
      <c r="B3532" t="str">
        <f>"1552380341785320"</f>
        <v>1552380341785320</v>
      </c>
      <c r="C3532" t="s">
        <v>40</v>
      </c>
      <c r="D3532">
        <v>5.6221629999999996</v>
      </c>
      <c r="E3532">
        <v>0.52857159999999903</v>
      </c>
      <c r="F3532" t="s">
        <v>41</v>
      </c>
      <c r="G3532">
        <v>-237.44139999999999</v>
      </c>
      <c r="H3532">
        <v>0.98958279999999998</v>
      </c>
      <c r="I3532">
        <v>140.84440000000001</v>
      </c>
      <c r="J3532">
        <v>-236.81979999999999</v>
      </c>
      <c r="K3532">
        <v>1.108339</v>
      </c>
      <c r="L3532">
        <v>140.7621</v>
      </c>
      <c r="M3532">
        <v>-0.99995619999999996</v>
      </c>
      <c r="N3532">
        <v>0</v>
      </c>
      <c r="O3532">
        <v>4.2104660000000004E-3</v>
      </c>
      <c r="P3532">
        <v>-0.99345119999999998</v>
      </c>
      <c r="Q3532">
        <v>0.1069336</v>
      </c>
      <c r="R3532">
        <v>4.0252349999999999E-2</v>
      </c>
      <c r="S3532">
        <v>-3.0523380000000002</v>
      </c>
      <c r="T3532">
        <v>-0.41614400000000001</v>
      </c>
      <c r="U3532">
        <v>0.29154970000000002</v>
      </c>
      <c r="V3532">
        <v>3.6077709999999999E-2</v>
      </c>
      <c r="W3532">
        <v>0.1152484</v>
      </c>
      <c r="X3532">
        <v>0.99268129999999999</v>
      </c>
      <c r="Y3532">
        <v>9.0104340000000005E-2</v>
      </c>
      <c r="Z3532">
        <v>5.5301600000000001E-3</v>
      </c>
      <c r="AA3532">
        <v>0.99591700000000005</v>
      </c>
      <c r="AB3532">
        <v>25</v>
      </c>
      <c r="AC3532">
        <v>-0.62160000000000004</v>
      </c>
      <c r="AD3532">
        <v>-0.11875619999999899</v>
      </c>
      <c r="AE3532">
        <v>8.2300000000003495E-2</v>
      </c>
      <c r="AF3532">
        <v>7.6922660943407606E-2</v>
      </c>
      <c r="AG3532">
        <v>-0.11875619999999899</v>
      </c>
      <c r="AH3532">
        <v>0.60040393653545099</v>
      </c>
      <c r="AI3532">
        <v>101.099891527428</v>
      </c>
      <c r="AJ3532">
        <v>82.699141601835905</v>
      </c>
      <c r="AK3532">
        <v>0.61685088782648301</v>
      </c>
      <c r="AL3532">
        <v>83.382047278502995</v>
      </c>
      <c r="AM3532">
        <v>87.918575560700901</v>
      </c>
      <c r="AN3532">
        <v>0.99999997911554594</v>
      </c>
    </row>
    <row r="3533" spans="1:40" x14ac:dyDescent="0.25">
      <c r="A3533" t="str">
        <f>"20190312164541816"</f>
        <v>20190312164541816</v>
      </c>
      <c r="B3533" t="str">
        <f>"1552380341804845"</f>
        <v>1552380341804845</v>
      </c>
      <c r="C3533" t="s">
        <v>40</v>
      </c>
      <c r="D3533">
        <v>4.9571209999999999</v>
      </c>
      <c r="E3533">
        <v>0.52941389999999999</v>
      </c>
      <c r="F3533" t="s">
        <v>41</v>
      </c>
      <c r="G3533">
        <v>-237.66460000000001</v>
      </c>
      <c r="H3533">
        <v>0.99160360000000003</v>
      </c>
      <c r="I3533">
        <v>140.84690000000001</v>
      </c>
      <c r="J3533">
        <v>-237.0538</v>
      </c>
      <c r="K3533">
        <v>1.10833</v>
      </c>
      <c r="L3533">
        <v>140.76300000000001</v>
      </c>
      <c r="M3533">
        <v>-0.99995650000000003</v>
      </c>
      <c r="N3533">
        <v>0</v>
      </c>
      <c r="O3533">
        <v>4.2230080000000003E-3</v>
      </c>
      <c r="P3533">
        <v>-0.99343219999999999</v>
      </c>
      <c r="Q3533">
        <v>0.1070874</v>
      </c>
      <c r="R3533">
        <v>4.0308669999999998E-2</v>
      </c>
      <c r="S3533">
        <v>-3.0527799999999998</v>
      </c>
      <c r="T3533">
        <v>-0.42184850000000002</v>
      </c>
      <c r="U3533">
        <v>0.30645749999999999</v>
      </c>
      <c r="V3533">
        <v>3.6123759999999998E-2</v>
      </c>
      <c r="W3533">
        <v>0.1153569</v>
      </c>
      <c r="X3533">
        <v>0.99266699999999997</v>
      </c>
      <c r="Y3533">
        <v>9.4829090000000005E-2</v>
      </c>
      <c r="Z3533">
        <v>5.9255310000000004E-3</v>
      </c>
      <c r="AA3533">
        <v>0.99547589999999997</v>
      </c>
      <c r="AB3533">
        <v>25</v>
      </c>
      <c r="AC3533">
        <v>-0.610800000000011</v>
      </c>
      <c r="AD3533">
        <v>-0.11672639999999999</v>
      </c>
      <c r="AE3533">
        <v>8.3899999999999794E-2</v>
      </c>
      <c r="AF3533">
        <v>7.85057519891008E-2</v>
      </c>
      <c r="AG3533">
        <v>-0.11672639999999999</v>
      </c>
      <c r="AH3533">
        <v>0.59000061447738905</v>
      </c>
      <c r="AI3533">
        <v>101.095612166149</v>
      </c>
      <c r="AJ3533">
        <v>82.420718690982198</v>
      </c>
      <c r="AK3533">
        <v>0.60653848240324404</v>
      </c>
      <c r="AL3533">
        <v>83.375788796290607</v>
      </c>
      <c r="AM3533">
        <v>87.9158911521005</v>
      </c>
      <c r="AN3533">
        <v>0.99999995665157204</v>
      </c>
    </row>
    <row r="3534" spans="1:40" x14ac:dyDescent="0.25">
      <c r="A3534" t="str">
        <f>"20190312164541839"</f>
        <v>20190312164541839</v>
      </c>
      <c r="B3534" t="str">
        <f>"1552380341835097"</f>
        <v>1552380341835097</v>
      </c>
      <c r="C3534" t="s">
        <v>40</v>
      </c>
      <c r="D3534">
        <v>4.9361689999999996</v>
      </c>
      <c r="E3534">
        <v>0.53014280000000003</v>
      </c>
      <c r="F3534" t="s">
        <v>41</v>
      </c>
      <c r="G3534">
        <v>-237.88849999999999</v>
      </c>
      <c r="H3534">
        <v>0.99395750000000005</v>
      </c>
      <c r="I3534">
        <v>140.84909999999999</v>
      </c>
      <c r="J3534">
        <v>-237.30160000000001</v>
      </c>
      <c r="K3534">
        <v>1.1083229999999999</v>
      </c>
      <c r="L3534">
        <v>140.76410000000001</v>
      </c>
      <c r="M3534">
        <v>-0.99995670000000003</v>
      </c>
      <c r="N3534">
        <v>0</v>
      </c>
      <c r="O3534">
        <v>4.2413999999999898E-3</v>
      </c>
      <c r="P3534">
        <v>-0.99339149999999998</v>
      </c>
      <c r="Q3534">
        <v>0.107475</v>
      </c>
      <c r="R3534">
        <v>4.0277029999999998E-2</v>
      </c>
      <c r="S3534">
        <v>-3.0522</v>
      </c>
      <c r="T3534">
        <v>-0.41823120000000003</v>
      </c>
      <c r="U3534">
        <v>0.31416319999999998</v>
      </c>
      <c r="V3534">
        <v>3.6074950000000001E-2</v>
      </c>
      <c r="W3534">
        <v>0.11570030000000001</v>
      </c>
      <c r="X3534">
        <v>0.99262890000000004</v>
      </c>
      <c r="Y3534">
        <v>9.7308450000000005E-2</v>
      </c>
      <c r="Z3534">
        <v>6.0416899999999997E-3</v>
      </c>
      <c r="AA3534">
        <v>0.99523589999999995</v>
      </c>
      <c r="AB3534">
        <v>25</v>
      </c>
      <c r="AC3534">
        <v>-0.58689999999998499</v>
      </c>
      <c r="AD3534">
        <v>-0.114365499999999</v>
      </c>
      <c r="AE3534">
        <v>8.4999999999979495E-2</v>
      </c>
      <c r="AF3534">
        <v>7.9551223342654395E-2</v>
      </c>
      <c r="AG3534">
        <v>-0.114365499999999</v>
      </c>
      <c r="AH3534">
        <v>0.56619738204833603</v>
      </c>
      <c r="AI3534">
        <v>101.31126065308899</v>
      </c>
      <c r="AJ3534">
        <v>82.002245611083296</v>
      </c>
      <c r="AK3534">
        <v>0.583084333663624</v>
      </c>
      <c r="AL3534">
        <v>83.355981398130595</v>
      </c>
      <c r="AM3534">
        <v>87.918624881290796</v>
      </c>
      <c r="AN3534">
        <v>1.0000000472763999</v>
      </c>
    </row>
    <row r="3535" spans="1:40" x14ac:dyDescent="0.25">
      <c r="A3535" t="str">
        <f>"20190312164541863"</f>
        <v>20190312164541863</v>
      </c>
      <c r="B3535" t="str">
        <f>"1552380341854616"</f>
        <v>1552380341854616</v>
      </c>
      <c r="C3535" t="s">
        <v>40</v>
      </c>
      <c r="D3535">
        <v>4.7153729999999996</v>
      </c>
      <c r="E3535">
        <v>0.5309429</v>
      </c>
      <c r="F3535" t="s">
        <v>41</v>
      </c>
      <c r="G3535">
        <v>-238.1129</v>
      </c>
      <c r="H3535">
        <v>0.99593149999999997</v>
      </c>
      <c r="I3535">
        <v>140.84889999999999</v>
      </c>
      <c r="J3535">
        <v>-237.57570000000001</v>
      </c>
      <c r="K3535">
        <v>1.108322</v>
      </c>
      <c r="L3535">
        <v>140.76519999999999</v>
      </c>
      <c r="M3535">
        <v>-0.99995699999999998</v>
      </c>
      <c r="N3535">
        <v>0</v>
      </c>
      <c r="O3535">
        <v>4.2654879999999996E-3</v>
      </c>
      <c r="P3535">
        <v>-0.99333280000000002</v>
      </c>
      <c r="Q3535">
        <v>0.10791199999999999</v>
      </c>
      <c r="R3535">
        <v>4.0560289999999999E-2</v>
      </c>
      <c r="S3535">
        <v>-3.052765</v>
      </c>
      <c r="T3535">
        <v>-0.42289969999999999</v>
      </c>
      <c r="U3535">
        <v>0.31922909999999999</v>
      </c>
      <c r="V3535">
        <v>3.6334850000000002E-2</v>
      </c>
      <c r="W3535">
        <v>0.1160934</v>
      </c>
      <c r="X3535">
        <v>0.9925735</v>
      </c>
      <c r="Y3535">
        <v>9.8866369999999995E-2</v>
      </c>
      <c r="Z3535">
        <v>6.2106690000000003E-3</v>
      </c>
      <c r="AA3535">
        <v>0.9950814</v>
      </c>
      <c r="AB3535">
        <v>25</v>
      </c>
      <c r="AC3535">
        <v>-0.53719999999998402</v>
      </c>
      <c r="AD3535">
        <v>-0.11239049999999901</v>
      </c>
      <c r="AE3535">
        <v>8.3699999999993197E-2</v>
      </c>
      <c r="AF3535">
        <v>7.8071460871780199E-2</v>
      </c>
      <c r="AG3535">
        <v>-0.11239049999999901</v>
      </c>
      <c r="AH3535">
        <v>0.51552200066915799</v>
      </c>
      <c r="AI3535">
        <v>102.164281065308</v>
      </c>
      <c r="AJ3535">
        <v>81.388473189347593</v>
      </c>
      <c r="AK3535">
        <v>0.53337576872860903</v>
      </c>
      <c r="AL3535">
        <v>83.333305478527393</v>
      </c>
      <c r="AM3535">
        <v>87.903526156975801</v>
      </c>
      <c r="AN3535">
        <v>1.00000002587516</v>
      </c>
    </row>
    <row r="3536" spans="1:40" x14ac:dyDescent="0.25">
      <c r="A3536" t="str">
        <f>"20190312164541885"</f>
        <v>20190312164541885</v>
      </c>
      <c r="B3536" t="str">
        <f>"1552380341875112"</f>
        <v>1552380341875112</v>
      </c>
      <c r="C3536" t="s">
        <v>40</v>
      </c>
      <c r="D3536">
        <v>4.7922520000000004</v>
      </c>
      <c r="E3536">
        <v>0.53120999999999996</v>
      </c>
      <c r="F3536" t="s">
        <v>41</v>
      </c>
      <c r="G3536">
        <v>-238.339</v>
      </c>
      <c r="H3536">
        <v>1.000122</v>
      </c>
      <c r="I3536">
        <v>140.84690000000001</v>
      </c>
      <c r="J3536">
        <v>-237.82730000000001</v>
      </c>
      <c r="K3536">
        <v>1.108309</v>
      </c>
      <c r="L3536">
        <v>140.7663</v>
      </c>
      <c r="M3536">
        <v>-0.99995710000000004</v>
      </c>
      <c r="N3536">
        <v>0</v>
      </c>
      <c r="O3536">
        <v>4.2986320000000001E-3</v>
      </c>
      <c r="P3536">
        <v>-0.99316689999999996</v>
      </c>
      <c r="Q3536">
        <v>0.1093942</v>
      </c>
      <c r="R3536">
        <v>4.0651920000000001E-2</v>
      </c>
      <c r="S3536">
        <v>-3.0538789999999998</v>
      </c>
      <c r="T3536">
        <v>-0.43297849999999999</v>
      </c>
      <c r="U3536">
        <v>0.32575989999999999</v>
      </c>
      <c r="V3536">
        <v>3.6395509999999999E-2</v>
      </c>
      <c r="W3536">
        <v>0.1175378</v>
      </c>
      <c r="X3536">
        <v>0.99240119999999998</v>
      </c>
      <c r="Y3536">
        <v>0.100839</v>
      </c>
      <c r="Z3536">
        <v>6.4883600000000003E-3</v>
      </c>
      <c r="AA3536">
        <v>0.99488160000000003</v>
      </c>
      <c r="AB3536">
        <v>25</v>
      </c>
      <c r="AC3536">
        <v>-0.51170000000001803</v>
      </c>
      <c r="AD3536">
        <v>-0.10818700000000001</v>
      </c>
      <c r="AE3536">
        <v>8.0600000000004002E-2</v>
      </c>
      <c r="AF3536">
        <v>7.5122790533784498E-2</v>
      </c>
      <c r="AG3536">
        <v>-0.10818700000000001</v>
      </c>
      <c r="AH3536">
        <v>0.49064050707019902</v>
      </c>
      <c r="AI3536">
        <v>102.295966123138</v>
      </c>
      <c r="AJ3536">
        <v>81.294951723255807</v>
      </c>
      <c r="AK3536">
        <v>0.50801177919875495</v>
      </c>
      <c r="AL3536">
        <v>83.249976467640295</v>
      </c>
      <c r="AM3536">
        <v>87.899665015492303</v>
      </c>
      <c r="AN3536">
        <v>0.99999995466921898</v>
      </c>
    </row>
    <row r="3537" spans="1:40" x14ac:dyDescent="0.25">
      <c r="A3537" t="str">
        <f>"20190312164541906"</f>
        <v>20190312164541906</v>
      </c>
      <c r="B3537" t="str">
        <f>"1552380341895612"</f>
        <v>1552380341895612</v>
      </c>
      <c r="C3537" t="s">
        <v>40</v>
      </c>
      <c r="D3537">
        <v>5.1092420000000001</v>
      </c>
      <c r="E3537">
        <v>0.53214189999999995</v>
      </c>
      <c r="F3537" t="s">
        <v>41</v>
      </c>
      <c r="G3537">
        <v>-238.5652</v>
      </c>
      <c r="H3537">
        <v>1.003288</v>
      </c>
      <c r="I3537">
        <v>140.84540000000001</v>
      </c>
      <c r="J3537">
        <v>-238.0556</v>
      </c>
      <c r="K3537">
        <v>1.1082989999999999</v>
      </c>
      <c r="L3537">
        <v>140.76730000000001</v>
      </c>
      <c r="M3537">
        <v>-0.99995710000000004</v>
      </c>
      <c r="N3537">
        <v>0</v>
      </c>
      <c r="O3537">
        <v>4.3464760000000002E-3</v>
      </c>
      <c r="P3537">
        <v>-0.9930139</v>
      </c>
      <c r="Q3537">
        <v>0.11072650000000001</v>
      </c>
      <c r="R3537">
        <v>4.0780289999999997E-2</v>
      </c>
      <c r="S3537">
        <v>-3.0551300000000001</v>
      </c>
      <c r="T3537">
        <v>-0.43486259999999999</v>
      </c>
      <c r="U3537">
        <v>0.32722469999999998</v>
      </c>
      <c r="V3537">
        <v>3.6480119999999998E-2</v>
      </c>
      <c r="W3537">
        <v>0.1188385</v>
      </c>
      <c r="X3537">
        <v>0.99224319999999999</v>
      </c>
      <c r="Y3537">
        <v>0.1012094</v>
      </c>
      <c r="Z3537">
        <v>6.5329239999999998E-3</v>
      </c>
      <c r="AA3537">
        <v>0.9948437</v>
      </c>
      <c r="AB3537">
        <v>25</v>
      </c>
      <c r="AC3537">
        <v>-0.50960000000000605</v>
      </c>
      <c r="AD3537">
        <v>-0.10501099999999899</v>
      </c>
      <c r="AE3537">
        <v>7.8100000000006206E-2</v>
      </c>
      <c r="AF3537">
        <v>7.2861315014041306E-2</v>
      </c>
      <c r="AG3537">
        <v>-0.10501099999999899</v>
      </c>
      <c r="AH3537">
        <v>0.48962100100596601</v>
      </c>
      <c r="AI3537">
        <v>101.977054274152</v>
      </c>
      <c r="AJ3537">
        <v>81.535834468956693</v>
      </c>
      <c r="AK3537">
        <v>0.50602846359929099</v>
      </c>
      <c r="AL3537">
        <v>83.174925985355998</v>
      </c>
      <c r="AM3537">
        <v>87.894451754435707</v>
      </c>
      <c r="AN3537">
        <v>0.99999997809185104</v>
      </c>
    </row>
    <row r="3538" spans="1:40" x14ac:dyDescent="0.25">
      <c r="A3538" t="str">
        <f>"20190312164541928"</f>
        <v>20190312164541928</v>
      </c>
      <c r="B3538" t="str">
        <f>"1552380341924889"</f>
        <v>1552380341924889</v>
      </c>
      <c r="C3538" t="s">
        <v>40</v>
      </c>
      <c r="D3538">
        <v>5.0147830000000004</v>
      </c>
      <c r="E3538">
        <v>0.53311580000000003</v>
      </c>
      <c r="F3538" t="s">
        <v>41</v>
      </c>
      <c r="G3538">
        <v>-238.7902</v>
      </c>
      <c r="H3538">
        <v>1.0029429999999999</v>
      </c>
      <c r="I3538">
        <v>140.84799999999899</v>
      </c>
      <c r="J3538">
        <v>-238.30500000000001</v>
      </c>
      <c r="K3538">
        <v>1.108277</v>
      </c>
      <c r="L3538">
        <v>140.76849999999999</v>
      </c>
      <c r="M3538">
        <v>-0.99995710000000004</v>
      </c>
      <c r="N3538">
        <v>0</v>
      </c>
      <c r="O3538">
        <v>4.4258209999999999E-3</v>
      </c>
      <c r="P3538">
        <v>-0.9929441</v>
      </c>
      <c r="Q3538">
        <v>0.1114289</v>
      </c>
      <c r="R3538">
        <v>4.0569859999999999E-2</v>
      </c>
      <c r="S3538">
        <v>-3.0562589999999998</v>
      </c>
      <c r="T3538">
        <v>-0.43837310000000002</v>
      </c>
      <c r="U3538">
        <v>0.33477780000000001</v>
      </c>
      <c r="V3538">
        <v>3.6197159999999999E-2</v>
      </c>
      <c r="W3538">
        <v>0.1195103</v>
      </c>
      <c r="X3538">
        <v>0.99217290000000002</v>
      </c>
      <c r="Y3538">
        <v>0.1034847</v>
      </c>
      <c r="Z3538">
        <v>6.7324589999999997E-3</v>
      </c>
      <c r="AA3538">
        <v>0.9946083</v>
      </c>
      <c r="AB3538">
        <v>25</v>
      </c>
      <c r="AC3538">
        <v>-0.48519999999999103</v>
      </c>
      <c r="AD3538">
        <v>-0.105333999999999</v>
      </c>
      <c r="AE3538">
        <v>7.9499999999995893E-2</v>
      </c>
      <c r="AF3538">
        <v>7.3957280710041096E-2</v>
      </c>
      <c r="AG3538">
        <v>-0.105333999999999</v>
      </c>
      <c r="AH3538">
        <v>0.464239630424087</v>
      </c>
      <c r="AI3538">
        <v>102.629667296378</v>
      </c>
      <c r="AJ3538">
        <v>80.948362945609503</v>
      </c>
      <c r="AK3538">
        <v>0.48175031435622001</v>
      </c>
      <c r="AL3538">
        <v>83.136158580012705</v>
      </c>
      <c r="AM3538">
        <v>87.910621122142103</v>
      </c>
      <c r="AN3538">
        <v>1.00000000484628</v>
      </c>
    </row>
    <row r="3539" spans="1:40" x14ac:dyDescent="0.25">
      <c r="A3539" t="str">
        <f>"20190312164541952"</f>
        <v>20190312164541952</v>
      </c>
      <c r="B3539" t="str">
        <f>"1552380341945384"</f>
        <v>1552380341945384</v>
      </c>
      <c r="C3539" t="s">
        <v>40</v>
      </c>
      <c r="D3539">
        <v>4.9980589999999996</v>
      </c>
      <c r="E3539">
        <v>0.53339809999999999</v>
      </c>
      <c r="F3539" t="s">
        <v>41</v>
      </c>
      <c r="G3539">
        <v>-239.01740000000001</v>
      </c>
      <c r="H3539">
        <v>1.00574599999999</v>
      </c>
      <c r="I3539">
        <v>140.84819999999999</v>
      </c>
      <c r="J3539">
        <v>-238.5737</v>
      </c>
      <c r="K3539">
        <v>1.1082459999999901</v>
      </c>
      <c r="L3539">
        <v>140.7698</v>
      </c>
      <c r="M3539">
        <v>-0.99995670000000003</v>
      </c>
      <c r="N3539">
        <v>0</v>
      </c>
      <c r="O3539">
        <v>4.5589659999999898E-3</v>
      </c>
      <c r="P3539">
        <v>-0.992815</v>
      </c>
      <c r="Q3539">
        <v>0.11271870000000001</v>
      </c>
      <c r="R3539">
        <v>4.0160590000000003E-2</v>
      </c>
      <c r="S3539">
        <v>-3.0567319999999998</v>
      </c>
      <c r="T3539">
        <v>-0.43993779999999999</v>
      </c>
      <c r="U3539">
        <v>0.34161380000000002</v>
      </c>
      <c r="V3539">
        <v>3.5665629999999997E-2</v>
      </c>
      <c r="W3539">
        <v>0.120769</v>
      </c>
      <c r="X3539">
        <v>0.99203969999999997</v>
      </c>
      <c r="Y3539">
        <v>0.105507</v>
      </c>
      <c r="Z3539">
        <v>6.8797420000000003E-3</v>
      </c>
      <c r="AA3539">
        <v>0.99439480000000002</v>
      </c>
      <c r="AB3539">
        <v>25</v>
      </c>
      <c r="AC3539">
        <v>-0.44370000000000598</v>
      </c>
      <c r="AD3539">
        <v>-0.10249999999999999</v>
      </c>
      <c r="AE3539">
        <v>7.8399999999987799E-2</v>
      </c>
      <c r="AF3539">
        <v>7.2618253885744902E-2</v>
      </c>
      <c r="AG3539">
        <v>-0.10249999999999999</v>
      </c>
      <c r="AH3539">
        <v>0.42220346337629899</v>
      </c>
      <c r="AI3539">
        <v>103.455672984413</v>
      </c>
      <c r="AJ3539">
        <v>80.240716508896398</v>
      </c>
      <c r="AK3539">
        <v>0.440494523557735</v>
      </c>
      <c r="AL3539">
        <v>83.063514023672894</v>
      </c>
      <c r="AM3539">
        <v>87.940999408991402</v>
      </c>
      <c r="AN3539">
        <v>0.99999997745019298</v>
      </c>
    </row>
    <row r="3540" spans="1:40" x14ac:dyDescent="0.25">
      <c r="A3540" t="str">
        <f>"20190312164541973"</f>
        <v>20190312164541973</v>
      </c>
      <c r="B3540" t="str">
        <f>"1552380341964908"</f>
        <v>1552380341964908</v>
      </c>
      <c r="C3540" t="s">
        <v>40</v>
      </c>
      <c r="D3540">
        <v>4.7295809999999996</v>
      </c>
      <c r="E3540">
        <v>0.53297890000000003</v>
      </c>
      <c r="F3540" t="s">
        <v>41</v>
      </c>
      <c r="G3540">
        <v>-239.45959999999999</v>
      </c>
      <c r="H3540">
        <v>0.98237039999999998</v>
      </c>
      <c r="I3540">
        <v>140.86940000000001</v>
      </c>
      <c r="J3540">
        <v>-238.82259999999999</v>
      </c>
      <c r="K3540">
        <v>1.108214</v>
      </c>
      <c r="L3540">
        <v>140.77109999999999</v>
      </c>
      <c r="M3540">
        <v>-0.99995599999999996</v>
      </c>
      <c r="N3540">
        <v>0</v>
      </c>
      <c r="O3540">
        <v>4.7309129999999998E-3</v>
      </c>
      <c r="P3540">
        <v>-0.99273979999999995</v>
      </c>
      <c r="Q3540">
        <v>0.1134624</v>
      </c>
      <c r="R3540">
        <v>3.9926209999999997E-2</v>
      </c>
      <c r="S3540">
        <v>-3.0571290000000002</v>
      </c>
      <c r="T3540">
        <v>-0.43433739999999998</v>
      </c>
      <c r="U3540">
        <v>0.34336850000000002</v>
      </c>
      <c r="V3540">
        <v>3.527098E-2</v>
      </c>
      <c r="W3540">
        <v>0.1214875</v>
      </c>
      <c r="X3540">
        <v>0.99196609999999996</v>
      </c>
      <c r="Y3540">
        <v>0.1059094</v>
      </c>
      <c r="Z3540">
        <v>6.7960759999999999E-3</v>
      </c>
      <c r="AA3540">
        <v>0.99435260000000003</v>
      </c>
      <c r="AB3540">
        <v>25</v>
      </c>
      <c r="AC3540">
        <v>-0.63700000000000001</v>
      </c>
      <c r="AD3540">
        <v>-0.1258436</v>
      </c>
      <c r="AE3540">
        <v>9.8300000000023105E-2</v>
      </c>
      <c r="AF3540">
        <v>9.1786241014212899E-2</v>
      </c>
      <c r="AG3540">
        <v>-0.1258436</v>
      </c>
      <c r="AH3540">
        <v>0.61404984065322599</v>
      </c>
      <c r="AI3540">
        <v>101.45797116068699</v>
      </c>
      <c r="AJ3540">
        <v>81.498550879016307</v>
      </c>
      <c r="AK3540">
        <v>0.63349706590222798</v>
      </c>
      <c r="AL3540">
        <v>83.022041789407993</v>
      </c>
      <c r="AM3540">
        <v>87.963612576666506</v>
      </c>
      <c r="AN3540">
        <v>0.99999999911781001</v>
      </c>
    </row>
    <row r="3541" spans="1:40" x14ac:dyDescent="0.25">
      <c r="A3541" t="str">
        <f>"20190312164541998"</f>
        <v>20190312164541998</v>
      </c>
      <c r="B3541" t="str">
        <f>"1552380341995161"</f>
        <v>1552380341995161</v>
      </c>
      <c r="C3541" t="s">
        <v>40</v>
      </c>
      <c r="D3541">
        <v>4.7609320000000004</v>
      </c>
      <c r="E3541">
        <v>0.4793347</v>
      </c>
      <c r="F3541" t="s">
        <v>41</v>
      </c>
      <c r="G3541">
        <v>-239.6892</v>
      </c>
      <c r="H3541">
        <v>0.98631990000000003</v>
      </c>
      <c r="I3541">
        <v>140.86779999999999</v>
      </c>
      <c r="J3541">
        <v>-239.08709999999999</v>
      </c>
      <c r="K3541">
        <v>1.108174</v>
      </c>
      <c r="L3541">
        <v>140.77260000000001</v>
      </c>
      <c r="M3541">
        <v>-0.99995520000000004</v>
      </c>
      <c r="N3541">
        <v>0</v>
      </c>
      <c r="O3541">
        <v>4.9632369999999997E-3</v>
      </c>
      <c r="P3541">
        <v>-0.99276629999999999</v>
      </c>
      <c r="Q3541">
        <v>0.1133532</v>
      </c>
      <c r="R3541">
        <v>3.95784E-2</v>
      </c>
      <c r="S3541">
        <v>-3.057388</v>
      </c>
      <c r="T3541">
        <v>-0.43005060000000001</v>
      </c>
      <c r="U3541">
        <v>0.34049990000000002</v>
      </c>
      <c r="V3541">
        <v>3.470256E-2</v>
      </c>
      <c r="W3541">
        <v>0.121355</v>
      </c>
      <c r="X3541">
        <v>0.99200239999999995</v>
      </c>
      <c r="Y3541">
        <v>0.1047805</v>
      </c>
      <c r="Z3541">
        <v>6.6182469999999998E-3</v>
      </c>
      <c r="AA3541">
        <v>0.9944733</v>
      </c>
      <c r="AB3541">
        <v>25</v>
      </c>
      <c r="AC3541">
        <v>-0.60210000000000696</v>
      </c>
      <c r="AD3541">
        <v>-0.12185409999999899</v>
      </c>
      <c r="AE3541">
        <v>9.5199999999976997E-2</v>
      </c>
      <c r="AF3541">
        <v>8.8667271877720499E-2</v>
      </c>
      <c r="AG3541">
        <v>-0.12185409999999899</v>
      </c>
      <c r="AH3541">
        <v>0.579412122429661</v>
      </c>
      <c r="AI3541">
        <v>101.743743106645</v>
      </c>
      <c r="AJ3541">
        <v>81.299540260066607</v>
      </c>
      <c r="AK3541">
        <v>0.59868916342914702</v>
      </c>
      <c r="AL3541">
        <v>83.029690304203996</v>
      </c>
      <c r="AM3541">
        <v>87.996476876135205</v>
      </c>
      <c r="AN3541">
        <v>1.00000003265065</v>
      </c>
    </row>
    <row r="3542" spans="1:40" x14ac:dyDescent="0.25">
      <c r="A3542" t="str">
        <f>"20190312164542018"</f>
        <v>20190312164542018</v>
      </c>
      <c r="B3542" t="str">
        <f>"1552380342015657"</f>
        <v>1552380342015657</v>
      </c>
      <c r="C3542" t="s">
        <v>40</v>
      </c>
      <c r="D3542">
        <v>4.7381070000000003</v>
      </c>
      <c r="E3542">
        <v>0.48163450000000002</v>
      </c>
      <c r="F3542" t="s">
        <v>42</v>
      </c>
      <c r="G3542">
        <v>-253.05969999999999</v>
      </c>
      <c r="H3542" s="1">
        <v>-3.172326E-6</v>
      </c>
      <c r="I3542">
        <v>140.41540000000001</v>
      </c>
      <c r="J3542">
        <v>-239.3228</v>
      </c>
      <c r="K3542">
        <v>1.1081460000000001</v>
      </c>
      <c r="L3542">
        <v>140.774</v>
      </c>
      <c r="M3542">
        <v>-0.99995389999999995</v>
      </c>
      <c r="N3542">
        <v>0</v>
      </c>
      <c r="O3542">
        <v>5.217134E-3</v>
      </c>
      <c r="P3542">
        <v>-0.99274379999999995</v>
      </c>
      <c r="Q3542">
        <v>0.1135689</v>
      </c>
      <c r="R3542">
        <v>3.951814E-2</v>
      </c>
      <c r="S3542">
        <v>-3.0526119999999999</v>
      </c>
      <c r="T3542">
        <v>-0.2421055</v>
      </c>
      <c r="U3542">
        <v>-7.8018190000000001E-2</v>
      </c>
      <c r="V3542">
        <v>3.4399270000000003E-2</v>
      </c>
      <c r="W3542">
        <v>0.1215523</v>
      </c>
      <c r="X3542">
        <v>0.9919888</v>
      </c>
      <c r="Y3542">
        <v>-3.0652189999999999E-2</v>
      </c>
      <c r="Z3542">
        <v>-1.6265019999999999E-3</v>
      </c>
      <c r="AA3542">
        <v>0.9995288</v>
      </c>
      <c r="AB3542">
        <v>25</v>
      </c>
      <c r="AC3542">
        <v>-13.736899999999901</v>
      </c>
      <c r="AD3542">
        <v>-1.10814917232599</v>
      </c>
      <c r="AE3542">
        <v>-0.35859999999999498</v>
      </c>
      <c r="AF3542">
        <v>-0.42748470297834801</v>
      </c>
      <c r="AG3542">
        <v>-1.10814917232599</v>
      </c>
      <c r="AH3542">
        <v>13.646099612331</v>
      </c>
      <c r="AI3542">
        <v>94.640324265589797</v>
      </c>
      <c r="AJ3542">
        <v>91.7942901343893</v>
      </c>
      <c r="AK3542">
        <v>13.697692228586099</v>
      </c>
      <c r="AL3542">
        <v>83.018301486311202</v>
      </c>
      <c r="AM3542">
        <v>88.013945778917005</v>
      </c>
      <c r="AN3542">
        <v>1.0000000253686301</v>
      </c>
    </row>
    <row r="3543" spans="1:40" x14ac:dyDescent="0.25">
      <c r="A3543" t="str">
        <f>"20190312164542041"</f>
        <v>20190312164542041</v>
      </c>
      <c r="B3543" t="str">
        <f>"1552380342035177"</f>
        <v>1552380342035177</v>
      </c>
      <c r="C3543" t="s">
        <v>40</v>
      </c>
      <c r="D3543">
        <v>4.6751149999999999</v>
      </c>
      <c r="E3543">
        <v>0.48325170000000001</v>
      </c>
      <c r="F3543" t="s">
        <v>42</v>
      </c>
      <c r="G3543">
        <v>-253.9563</v>
      </c>
      <c r="H3543" s="1">
        <v>-2.8075409999999999E-6</v>
      </c>
      <c r="I3543">
        <v>140.49010000000001</v>
      </c>
      <c r="J3543">
        <v>-239.58240000000001</v>
      </c>
      <c r="K3543">
        <v>1.1081049999999999</v>
      </c>
      <c r="L3543">
        <v>140.7757</v>
      </c>
      <c r="M3543">
        <v>-0.99995239999999996</v>
      </c>
      <c r="N3543">
        <v>0</v>
      </c>
      <c r="O3543">
        <v>5.5497300000000001E-3</v>
      </c>
      <c r="P3543">
        <v>-0.99266330000000003</v>
      </c>
      <c r="Q3543">
        <v>0.1141781</v>
      </c>
      <c r="R3543">
        <v>3.9789390000000001E-2</v>
      </c>
      <c r="S3543">
        <v>-3.0507200000000001</v>
      </c>
      <c r="T3543">
        <v>-0.2310219</v>
      </c>
      <c r="U3543">
        <v>-5.9173580000000003E-2</v>
      </c>
      <c r="V3543">
        <v>3.4350869999999999E-2</v>
      </c>
      <c r="W3543">
        <v>0.122142</v>
      </c>
      <c r="X3543">
        <v>0.99191799999999997</v>
      </c>
      <c r="Y3543">
        <v>-2.485449E-2</v>
      </c>
      <c r="Z3543">
        <v>-1.3592859999999999E-3</v>
      </c>
      <c r="AA3543">
        <v>0.99969019999999997</v>
      </c>
      <c r="AB3543">
        <v>26</v>
      </c>
      <c r="AC3543">
        <v>-14.3738999999999</v>
      </c>
      <c r="AD3543">
        <v>-1.10810780754099</v>
      </c>
      <c r="AE3543">
        <v>-0.28559999999998797</v>
      </c>
      <c r="AF3543">
        <v>-0.36321167409678601</v>
      </c>
      <c r="AG3543">
        <v>-1.10810780754099</v>
      </c>
      <c r="AH3543">
        <v>14.287216385813499</v>
      </c>
      <c r="AI3543">
        <v>94.433520545796199</v>
      </c>
      <c r="AJ3543">
        <v>91.456267896985494</v>
      </c>
      <c r="AK3543">
        <v>14.334726285785599</v>
      </c>
      <c r="AL3543">
        <v>82.984260234441606</v>
      </c>
      <c r="AM3543">
        <v>88.016596491221605</v>
      </c>
      <c r="AN3543">
        <v>0.99999998457887795</v>
      </c>
    </row>
    <row r="3544" spans="1:40" x14ac:dyDescent="0.25">
      <c r="A3544" t="str">
        <f>"20190312164542065"</f>
        <v>20190312164542065</v>
      </c>
      <c r="B3544" t="str">
        <f>"1552380342055673"</f>
        <v>1552380342055673</v>
      </c>
      <c r="C3544" t="s">
        <v>40</v>
      </c>
      <c r="D3544">
        <v>4.6949750000000003</v>
      </c>
      <c r="E3544">
        <v>0.4841337</v>
      </c>
      <c r="F3544" t="s">
        <v>42</v>
      </c>
      <c r="G3544">
        <v>-254.44749999999999</v>
      </c>
      <c r="H3544" s="1">
        <v>-2.6136720000000001E-6</v>
      </c>
      <c r="I3544">
        <v>140.55340000000001</v>
      </c>
      <c r="J3544">
        <v>-239.86529999999999</v>
      </c>
      <c r="K3544">
        <v>1.1080680000000001</v>
      </c>
      <c r="L3544">
        <v>140.77770000000001</v>
      </c>
      <c r="M3544">
        <v>-0.99995000000000001</v>
      </c>
      <c r="N3544">
        <v>0</v>
      </c>
      <c r="O3544">
        <v>5.9690119999999897E-3</v>
      </c>
      <c r="P3544">
        <v>-0.99260669999999995</v>
      </c>
      <c r="Q3544">
        <v>0.11449570000000001</v>
      </c>
      <c r="R3544">
        <v>4.028052E-2</v>
      </c>
      <c r="S3544">
        <v>-3.0501399999999999</v>
      </c>
      <c r="T3544">
        <v>-0.2273703</v>
      </c>
      <c r="U3544">
        <v>-4.5593259999999997E-2</v>
      </c>
      <c r="V3544">
        <v>3.4437189999999999E-2</v>
      </c>
      <c r="W3544">
        <v>0.1224421</v>
      </c>
      <c r="X3544">
        <v>0.99187800000000004</v>
      </c>
      <c r="Y3544">
        <v>-2.0840150000000002E-2</v>
      </c>
      <c r="Z3544">
        <v>-1.2199680000000001E-3</v>
      </c>
      <c r="AA3544">
        <v>0.99978210000000001</v>
      </c>
      <c r="AB3544">
        <v>26</v>
      </c>
      <c r="AC3544">
        <v>-14.5822</v>
      </c>
      <c r="AD3544">
        <v>-1.108070613672</v>
      </c>
      <c r="AE3544">
        <v>-0.224299999999999</v>
      </c>
      <c r="AF3544">
        <v>-0.30955314575096599</v>
      </c>
      <c r="AG3544">
        <v>-1.108070613672</v>
      </c>
      <c r="AH3544">
        <v>14.496913622448799</v>
      </c>
      <c r="AI3544">
        <v>94.369907961925193</v>
      </c>
      <c r="AJ3544">
        <v>91.223253058030807</v>
      </c>
      <c r="AK3544">
        <v>14.542494566327701</v>
      </c>
      <c r="AL3544">
        <v>82.966935684954606</v>
      </c>
      <c r="AM3544">
        <v>88.011536287453893</v>
      </c>
      <c r="AN3544">
        <v>0.99999997739575197</v>
      </c>
    </row>
    <row r="3545" spans="1:40" x14ac:dyDescent="0.25">
      <c r="A3545" t="str">
        <f>"20190312164542086"</f>
        <v>20190312164542086</v>
      </c>
      <c r="B3545" t="str">
        <f>"1552380342075193"</f>
        <v>1552380342075193</v>
      </c>
      <c r="C3545" t="s">
        <v>40</v>
      </c>
      <c r="D3545">
        <v>4.6488990000000001</v>
      </c>
      <c r="E3545">
        <v>0.4849019</v>
      </c>
      <c r="F3545" t="s">
        <v>42</v>
      </c>
      <c r="G3545">
        <v>-255.34520000000001</v>
      </c>
      <c r="H3545" s="1">
        <v>-2.238177E-6</v>
      </c>
      <c r="I3545">
        <v>140.58949999999999</v>
      </c>
      <c r="J3545">
        <v>-240.1146</v>
      </c>
      <c r="K3545">
        <v>1.1080410000000001</v>
      </c>
      <c r="L3545">
        <v>140.77959999999999</v>
      </c>
      <c r="M3545">
        <v>-0.99994749999999999</v>
      </c>
      <c r="N3545">
        <v>0</v>
      </c>
      <c r="O3545">
        <v>6.3792129999999999E-3</v>
      </c>
      <c r="P3545">
        <v>-0.99262410000000001</v>
      </c>
      <c r="Q3545">
        <v>0.11424960000000001</v>
      </c>
      <c r="R3545">
        <v>4.055827E-2</v>
      </c>
      <c r="S3545">
        <v>-3.049026</v>
      </c>
      <c r="T3545">
        <v>-0.21825410000000001</v>
      </c>
      <c r="U3545">
        <v>-3.7048339999999999E-2</v>
      </c>
      <c r="V3545">
        <v>3.4316449999999998E-2</v>
      </c>
      <c r="W3545">
        <v>0.12218179999999999</v>
      </c>
      <c r="X3545">
        <v>0.99191430000000003</v>
      </c>
      <c r="Y3545">
        <v>-1.8465120000000002E-2</v>
      </c>
      <c r="Z3545">
        <v>-1.116063E-3</v>
      </c>
      <c r="AA3545">
        <v>0.99982890000000002</v>
      </c>
      <c r="AB3545">
        <v>26</v>
      </c>
      <c r="AC3545">
        <v>-15.230600000000001</v>
      </c>
      <c r="AD3545">
        <v>-1.108043238177</v>
      </c>
      <c r="AE3545">
        <v>-0.19010000000000099</v>
      </c>
      <c r="AF3545">
        <v>-0.28574635566906897</v>
      </c>
      <c r="AG3545">
        <v>-1.108043238177</v>
      </c>
      <c r="AH3545">
        <v>15.1489108083892</v>
      </c>
      <c r="AI3545">
        <v>94.182618589557705</v>
      </c>
      <c r="AJ3545">
        <v>91.080613591241502</v>
      </c>
      <c r="AK3545">
        <v>15.1920673207427</v>
      </c>
      <c r="AL3545">
        <v>82.981962725800003</v>
      </c>
      <c r="AM3545">
        <v>88.018574916207399</v>
      </c>
      <c r="AN3545">
        <v>0.99999999476816603</v>
      </c>
    </row>
    <row r="3546" spans="1:40" x14ac:dyDescent="0.25">
      <c r="A3546" t="str">
        <f>"20190312164542109"</f>
        <v>20190312164542109</v>
      </c>
      <c r="B3546" t="str">
        <f>"1552380342105449"</f>
        <v>1552380342105449</v>
      </c>
      <c r="C3546" t="s">
        <v>40</v>
      </c>
      <c r="D3546">
        <v>4.6994689999999997</v>
      </c>
      <c r="E3546">
        <v>0.48525620000000003</v>
      </c>
      <c r="F3546" t="s">
        <v>42</v>
      </c>
      <c r="G3546">
        <v>-255.613</v>
      </c>
      <c r="H3546" s="1">
        <v>-2.1332019999999998E-6</v>
      </c>
      <c r="I3546">
        <v>140.6268</v>
      </c>
      <c r="J3546">
        <v>-240.36420000000001</v>
      </c>
      <c r="K3546">
        <v>1.1080159999999999</v>
      </c>
      <c r="L3546">
        <v>140.7816</v>
      </c>
      <c r="M3546">
        <v>-0.99994459999999996</v>
      </c>
      <c r="N3546">
        <v>0</v>
      </c>
      <c r="O3546">
        <v>6.8186879999999998E-3</v>
      </c>
      <c r="P3546">
        <v>-0.99263500000000005</v>
      </c>
      <c r="Q3546">
        <v>0.1140197</v>
      </c>
      <c r="R3546">
        <v>4.0928199999999998E-2</v>
      </c>
      <c r="S3546">
        <v>-3.0486149999999999</v>
      </c>
      <c r="T3546">
        <v>-0.21795829999999999</v>
      </c>
      <c r="U3546">
        <v>-3.0044560000000001E-2</v>
      </c>
      <c r="V3546">
        <v>3.4256719999999997E-2</v>
      </c>
      <c r="W3546">
        <v>0.1219404</v>
      </c>
      <c r="X3546">
        <v>0.99194610000000005</v>
      </c>
      <c r="Y3546">
        <v>-1.6613220000000001E-2</v>
      </c>
      <c r="Z3546">
        <v>-1.079984E-3</v>
      </c>
      <c r="AA3546">
        <v>0.99986140000000001</v>
      </c>
      <c r="AB3546">
        <v>26</v>
      </c>
      <c r="AC3546">
        <v>-15.2487999999999</v>
      </c>
      <c r="AD3546">
        <v>-1.1080181332019901</v>
      </c>
      <c r="AE3546">
        <v>-0.154799999999994</v>
      </c>
      <c r="AF3546">
        <v>-0.25741756513855601</v>
      </c>
      <c r="AG3546">
        <v>-1.1080181332019901</v>
      </c>
      <c r="AH3546">
        <v>15.1673168573708</v>
      </c>
      <c r="AI3546">
        <v>94.1776074736471</v>
      </c>
      <c r="AJ3546">
        <v>90.972322548791695</v>
      </c>
      <c r="AK3546">
        <v>15.2099134987097</v>
      </c>
      <c r="AL3546">
        <v>82.995898338248196</v>
      </c>
      <c r="AM3546">
        <v>88.022084332860899</v>
      </c>
      <c r="AN3546">
        <v>1.0000000246612599</v>
      </c>
    </row>
    <row r="3547" spans="1:40" x14ac:dyDescent="0.25">
      <c r="A3547" t="str">
        <f>"20190312164542130"</f>
        <v>20190312164542130</v>
      </c>
      <c r="B3547" t="str">
        <f>"1552380342124969"</f>
        <v>1552380342124969</v>
      </c>
      <c r="C3547" t="s">
        <v>40</v>
      </c>
      <c r="D3547">
        <v>4.6393969999999998</v>
      </c>
      <c r="E3547">
        <v>0.48613410000000001</v>
      </c>
      <c r="F3547" t="s">
        <v>42</v>
      </c>
      <c r="G3547">
        <v>-255.56610000000001</v>
      </c>
      <c r="H3547" s="1">
        <v>-2.1597989999999998E-6</v>
      </c>
      <c r="I3547">
        <v>140.65110000000001</v>
      </c>
      <c r="J3547">
        <v>-240.6163</v>
      </c>
      <c r="K3547">
        <v>1.107993</v>
      </c>
      <c r="L3547">
        <v>140.78380000000001</v>
      </c>
      <c r="M3547">
        <v>-0.99994150000000004</v>
      </c>
      <c r="N3547">
        <v>0</v>
      </c>
      <c r="O3547">
        <v>7.2828889999999999E-3</v>
      </c>
      <c r="P3547">
        <v>-0.99262150000000005</v>
      </c>
      <c r="Q3547">
        <v>0.1140963</v>
      </c>
      <c r="R3547">
        <v>4.1044379999999998E-2</v>
      </c>
      <c r="S3547">
        <v>-3.0488430000000002</v>
      </c>
      <c r="T3547">
        <v>-0.22222169999999999</v>
      </c>
      <c r="U3547">
        <v>-2.6168819999999999E-2</v>
      </c>
      <c r="V3547">
        <v>3.3917500000000003E-2</v>
      </c>
      <c r="W3547">
        <v>0.1220067</v>
      </c>
      <c r="X3547">
        <v>0.99194959999999999</v>
      </c>
      <c r="Y3547">
        <v>-1.5804269999999999E-2</v>
      </c>
      <c r="Z3547">
        <v>-1.105326E-3</v>
      </c>
      <c r="AA3547">
        <v>0.9998745</v>
      </c>
      <c r="AB3547">
        <v>26</v>
      </c>
      <c r="AC3547">
        <v>-14.9498</v>
      </c>
      <c r="AD3547">
        <v>-1.1079951597990001</v>
      </c>
      <c r="AE3547">
        <v>-0.13269999999999901</v>
      </c>
      <c r="AF3547">
        <v>-0.240258076780793</v>
      </c>
      <c r="AG3547">
        <v>-1.1079951597990001</v>
      </c>
      <c r="AH3547">
        <v>14.866781104040999</v>
      </c>
      <c r="AI3547">
        <v>94.261719789305403</v>
      </c>
      <c r="AJ3547">
        <v>90.925861185807605</v>
      </c>
      <c r="AK3547">
        <v>14.9099482766731</v>
      </c>
      <c r="AL3547">
        <v>82.992071020404495</v>
      </c>
      <c r="AM3547">
        <v>88.041661806579</v>
      </c>
      <c r="AN3547">
        <v>1.0000000202956401</v>
      </c>
    </row>
    <row r="3548" spans="1:40" x14ac:dyDescent="0.25">
      <c r="A3548" t="str">
        <f>"20190312164542153"</f>
        <v>20190312164542153</v>
      </c>
      <c r="B3548" t="str">
        <f>"1552380342145465"</f>
        <v>1552380342145465</v>
      </c>
      <c r="C3548" t="s">
        <v>40</v>
      </c>
      <c r="D3548">
        <v>4.6301050000000004</v>
      </c>
      <c r="E3548">
        <v>0.48686410000000002</v>
      </c>
      <c r="F3548" t="s">
        <v>41</v>
      </c>
      <c r="G3548">
        <v>-241.56389999999999</v>
      </c>
      <c r="H3548">
        <v>1.0382439999999999</v>
      </c>
      <c r="I3548">
        <v>140.77809999999999</v>
      </c>
      <c r="J3548">
        <v>-240.88409999999999</v>
      </c>
      <c r="K3548">
        <v>1.1079810000000001</v>
      </c>
      <c r="L3548">
        <v>140.78630000000001</v>
      </c>
      <c r="M3548">
        <v>-0.99993779999999999</v>
      </c>
      <c r="N3548">
        <v>0</v>
      </c>
      <c r="O3548">
        <v>7.7878549999999998E-3</v>
      </c>
      <c r="P3548">
        <v>-0.99256750000000005</v>
      </c>
      <c r="Q3548">
        <v>0.1143759</v>
      </c>
      <c r="R3548">
        <v>4.1571230000000001E-2</v>
      </c>
      <c r="S3548">
        <v>-3.0488740000000001</v>
      </c>
      <c r="T3548">
        <v>-0.22445809999999999</v>
      </c>
      <c r="U3548">
        <v>-1.8890379999999998E-2</v>
      </c>
      <c r="V3548">
        <v>3.394672E-2</v>
      </c>
      <c r="W3548">
        <v>0.12227689999999999</v>
      </c>
      <c r="X3548">
        <v>0.99191530000000006</v>
      </c>
      <c r="Y3548">
        <v>-1.392474E-2</v>
      </c>
      <c r="Z3548">
        <v>-1.0844509999999999E-3</v>
      </c>
      <c r="AA3548">
        <v>0.99990250000000003</v>
      </c>
      <c r="AB3548">
        <v>26</v>
      </c>
      <c r="AC3548">
        <v>-0.67979999999999996</v>
      </c>
      <c r="AD3548">
        <v>-6.9736999999999896E-2</v>
      </c>
      <c r="AE3548">
        <v>-8.2000000000164094E-3</v>
      </c>
      <c r="AF3548">
        <v>-1.3353596468407501E-2</v>
      </c>
      <c r="AG3548">
        <v>-6.9736999999999896E-2</v>
      </c>
      <c r="AH3548">
        <v>0.67263797964755301</v>
      </c>
      <c r="AI3548">
        <v>95.917941768455904</v>
      </c>
      <c r="AJ3548">
        <v>91.1373194055314</v>
      </c>
      <c r="AK3548">
        <v>0.676375206059464</v>
      </c>
      <c r="AL3548">
        <v>82.976472707496995</v>
      </c>
      <c r="AM3548">
        <v>88.0399082854086</v>
      </c>
      <c r="AN3548">
        <v>0.99999999122322902</v>
      </c>
    </row>
    <row r="3549" spans="1:40" x14ac:dyDescent="0.25">
      <c r="A3549" t="str">
        <f>"20190312164542176"</f>
        <v>20190312164542176</v>
      </c>
      <c r="B3549" t="str">
        <f>"1552380342165576"</f>
        <v>1552380342165576</v>
      </c>
      <c r="C3549" t="s">
        <v>40</v>
      </c>
      <c r="D3549">
        <v>4.6456489999999997</v>
      </c>
      <c r="E3549">
        <v>0.48725770000000002</v>
      </c>
      <c r="F3549" t="s">
        <v>42</v>
      </c>
      <c r="G3549">
        <v>-256.0265</v>
      </c>
      <c r="H3549" s="1">
        <v>-1.9833160000000002E-6</v>
      </c>
      <c r="I3549">
        <v>140.73009999999999</v>
      </c>
      <c r="J3549">
        <v>-241.15280000000001</v>
      </c>
      <c r="K3549">
        <v>1.107974</v>
      </c>
      <c r="L3549">
        <v>140.78899999999999</v>
      </c>
      <c r="M3549">
        <v>-0.99993379999999998</v>
      </c>
      <c r="N3549">
        <v>0</v>
      </c>
      <c r="O3549">
        <v>8.2988449999999991E-3</v>
      </c>
      <c r="P3549">
        <v>-0.99249889999999996</v>
      </c>
      <c r="Q3549">
        <v>0.1148293</v>
      </c>
      <c r="R3549">
        <v>4.1959980000000001E-2</v>
      </c>
      <c r="S3549">
        <v>-3.0486300000000002</v>
      </c>
      <c r="T3549">
        <v>-0.22307189999999999</v>
      </c>
      <c r="U3549">
        <v>-1.1291499999999999E-2</v>
      </c>
      <c r="V3549">
        <v>3.3830560000000003E-2</v>
      </c>
      <c r="W3549">
        <v>0.12272230000000001</v>
      </c>
      <c r="X3549">
        <v>0.99186430000000003</v>
      </c>
      <c r="Y3549">
        <v>-1.194857E-2</v>
      </c>
      <c r="Z3549">
        <v>-1.043001E-3</v>
      </c>
      <c r="AA3549">
        <v>0.99992809999999999</v>
      </c>
      <c r="AB3549">
        <v>26</v>
      </c>
      <c r="AC3549">
        <v>-14.8736999999999</v>
      </c>
      <c r="AD3549">
        <v>-1.1079759833159999</v>
      </c>
      <c r="AE3549">
        <v>-5.8899999999994103E-2</v>
      </c>
      <c r="AF3549">
        <v>-0.18133021924175</v>
      </c>
      <c r="AG3549">
        <v>-1.1079759833159999</v>
      </c>
      <c r="AH3549">
        <v>14.790625565657599</v>
      </c>
      <c r="AI3549">
        <v>94.2837441766669</v>
      </c>
      <c r="AJ3549">
        <v>90.702400026275896</v>
      </c>
      <c r="AK3549">
        <v>14.8331755214958</v>
      </c>
      <c r="AL3549">
        <v>82.950759781844198</v>
      </c>
      <c r="AM3549">
        <v>88.046509824333398</v>
      </c>
      <c r="AN3549">
        <v>1.00000002966084</v>
      </c>
    </row>
    <row r="3550" spans="1:40" x14ac:dyDescent="0.25">
      <c r="A3550" t="str">
        <f>"20190312164542196"</f>
        <v>20190312164542196</v>
      </c>
      <c r="B3550" t="str">
        <f>"1552380342185046"</f>
        <v>1552380342185046</v>
      </c>
      <c r="C3550" t="s">
        <v>40</v>
      </c>
      <c r="D3550">
        <v>4.7746370000000002</v>
      </c>
      <c r="E3550">
        <v>0.48762909999999998</v>
      </c>
      <c r="F3550" t="s">
        <v>42</v>
      </c>
      <c r="G3550">
        <v>-256.50819999999999</v>
      </c>
      <c r="H3550" s="1">
        <v>-1.783572E-6</v>
      </c>
      <c r="I3550">
        <v>140.7561</v>
      </c>
      <c r="J3550">
        <v>-241.3912</v>
      </c>
      <c r="K3550">
        <v>1.1079749999999999</v>
      </c>
      <c r="L3550">
        <v>140.79140000000001</v>
      </c>
      <c r="M3550">
        <v>-0.99992999999999999</v>
      </c>
      <c r="N3550">
        <v>0</v>
      </c>
      <c r="O3550">
        <v>8.7510890000000001E-3</v>
      </c>
      <c r="P3550">
        <v>-0.99244250000000001</v>
      </c>
      <c r="Q3550">
        <v>0.11520759999999999</v>
      </c>
      <c r="R3550">
        <v>4.225276E-2</v>
      </c>
      <c r="S3550">
        <v>-3.048416</v>
      </c>
      <c r="T3550">
        <v>-0.21996089999999999</v>
      </c>
      <c r="U3550">
        <v>-6.5155029999999997E-3</v>
      </c>
      <c r="V3550">
        <v>3.3675379999999998E-2</v>
      </c>
      <c r="W3550">
        <v>0.1230947</v>
      </c>
      <c r="X3550">
        <v>0.99182340000000002</v>
      </c>
      <c r="Y3550">
        <v>-1.0837670000000001E-2</v>
      </c>
      <c r="Z3550">
        <v>-1.021129E-3</v>
      </c>
      <c r="AA3550">
        <v>0.99994079999999996</v>
      </c>
      <c r="AB3550">
        <v>26</v>
      </c>
      <c r="AC3550">
        <v>-15.1169999999999</v>
      </c>
      <c r="AD3550">
        <v>-1.107976783572</v>
      </c>
      <c r="AE3550">
        <v>-3.53000000000065E-2</v>
      </c>
      <c r="AF3550">
        <v>-0.16669757303740901</v>
      </c>
      <c r="AG3550">
        <v>-1.107976783572</v>
      </c>
      <c r="AH3550">
        <v>15.0353438594951</v>
      </c>
      <c r="AI3550">
        <v>94.214334866343606</v>
      </c>
      <c r="AJ3550">
        <v>90.635215008103899</v>
      </c>
      <c r="AK3550">
        <v>15.077034377059899</v>
      </c>
      <c r="AL3550">
        <v>82.929259586464894</v>
      </c>
      <c r="AM3550">
        <v>88.055383418209104</v>
      </c>
      <c r="AN3550">
        <v>0.99999999658689698</v>
      </c>
    </row>
    <row r="3551" spans="1:40" x14ac:dyDescent="0.25">
      <c r="A3551" t="str">
        <f>"20190312164542219"</f>
        <v>20190312164542219</v>
      </c>
      <c r="B3551" t="str">
        <f>"1552380342215302"</f>
        <v>1552380342215302</v>
      </c>
      <c r="C3551" t="s">
        <v>40</v>
      </c>
      <c r="D3551">
        <v>4.7274190000000003</v>
      </c>
      <c r="E3551">
        <v>0.48789280000000002</v>
      </c>
      <c r="F3551" t="s">
        <v>42</v>
      </c>
      <c r="G3551">
        <v>-257.05619999999999</v>
      </c>
      <c r="H3551" s="1">
        <v>-1.5542779999999999E-6</v>
      </c>
      <c r="I3551">
        <v>140.77789999999999</v>
      </c>
      <c r="J3551">
        <v>-241.6506</v>
      </c>
      <c r="K3551">
        <v>1.1079760000000001</v>
      </c>
      <c r="L3551">
        <v>140.79419999999999</v>
      </c>
      <c r="M3551">
        <v>-0.99992570000000003</v>
      </c>
      <c r="N3551">
        <v>0</v>
      </c>
      <c r="O3551">
        <v>9.2391409999999993E-3</v>
      </c>
      <c r="P3551">
        <v>-0.99240260000000002</v>
      </c>
      <c r="Q3551">
        <v>0.1154526</v>
      </c>
      <c r="R3551">
        <v>4.252003E-2</v>
      </c>
      <c r="S3551">
        <v>-3.0480040000000002</v>
      </c>
      <c r="T3551">
        <v>-0.2155831</v>
      </c>
      <c r="U3551">
        <v>-2.6092530000000002E-3</v>
      </c>
      <c r="V3551">
        <v>3.3458559999999998E-2</v>
      </c>
      <c r="W3551">
        <v>0.1233336</v>
      </c>
      <c r="X3551">
        <v>0.99180109999999999</v>
      </c>
      <c r="Y3551">
        <v>-1.0047260000000001E-2</v>
      </c>
      <c r="Z3551">
        <v>-1.007551E-3</v>
      </c>
      <c r="AA3551">
        <v>0.99994899999999998</v>
      </c>
      <c r="AB3551">
        <v>26</v>
      </c>
      <c r="AC3551">
        <v>-15.4055999999999</v>
      </c>
      <c r="AD3551">
        <v>-1.1079775542779999</v>
      </c>
      <c r="AE3551">
        <v>-1.6300000000001001E-2</v>
      </c>
      <c r="AF3551">
        <v>-0.15782197402360701</v>
      </c>
      <c r="AG3551">
        <v>-1.1079775542779999</v>
      </c>
      <c r="AH3551">
        <v>15.3255198895055</v>
      </c>
      <c r="AI3551">
        <v>94.134856965280093</v>
      </c>
      <c r="AJ3551">
        <v>90.590010222328402</v>
      </c>
      <c r="AK3551">
        <v>15.3663294875484</v>
      </c>
      <c r="AL3551">
        <v>82.915466811051999</v>
      </c>
      <c r="AM3551">
        <v>88.067850964118804</v>
      </c>
      <c r="AN3551">
        <v>1.0000000370437201</v>
      </c>
    </row>
    <row r="3552" spans="1:40" x14ac:dyDescent="0.25">
      <c r="A3552" t="str">
        <f>"20190312164542241"</f>
        <v>20190312164542241</v>
      </c>
      <c r="B3552" t="str">
        <f>"1552380342234823"</f>
        <v>1552380342234823</v>
      </c>
      <c r="C3552" t="s">
        <v>40</v>
      </c>
      <c r="D3552">
        <v>4.7627540000000002</v>
      </c>
      <c r="E3552">
        <v>0.48802790000000001</v>
      </c>
      <c r="F3552" t="s">
        <v>42</v>
      </c>
      <c r="G3552">
        <v>-257.52019999999999</v>
      </c>
      <c r="H3552" s="1">
        <v>-1.360503E-6</v>
      </c>
      <c r="I3552">
        <v>140.79759999999999</v>
      </c>
      <c r="J3552">
        <v>-241.9281</v>
      </c>
      <c r="K3552">
        <v>1.107977</v>
      </c>
      <c r="L3552">
        <v>140.79730000000001</v>
      </c>
      <c r="M3552">
        <v>-0.99992080000000005</v>
      </c>
      <c r="N3552">
        <v>0</v>
      </c>
      <c r="O3552">
        <v>9.7550829999999995E-3</v>
      </c>
      <c r="P3552">
        <v>-0.99233959999999999</v>
      </c>
      <c r="Q3552">
        <v>0.1160953</v>
      </c>
      <c r="R3552">
        <v>4.2241239999999999E-2</v>
      </c>
      <c r="S3552">
        <v>-3.0477289999999999</v>
      </c>
      <c r="T3552">
        <v>-0.21278630000000001</v>
      </c>
      <c r="U3552">
        <v>6.7138669999999997E-4</v>
      </c>
      <c r="V3552">
        <v>3.2668429999999998E-2</v>
      </c>
      <c r="W3552">
        <v>0.1239715</v>
      </c>
      <c r="X3552">
        <v>0.99174790000000002</v>
      </c>
      <c r="Y3552">
        <v>-9.48827E-3</v>
      </c>
      <c r="Z3552">
        <v>-1.011089E-3</v>
      </c>
      <c r="AA3552">
        <v>0.99995449999999997</v>
      </c>
      <c r="AB3552">
        <v>26</v>
      </c>
      <c r="AC3552">
        <v>-15.592099999999901</v>
      </c>
      <c r="AD3552">
        <v>-1.107978360503</v>
      </c>
      <c r="AE3552">
        <v>2.9999999998153699E-4</v>
      </c>
      <c r="AF3552">
        <v>-0.151044345887871</v>
      </c>
      <c r="AG3552">
        <v>-1.107978360503</v>
      </c>
      <c r="AH3552">
        <v>15.5130270528745</v>
      </c>
      <c r="AI3552">
        <v>94.0850747108679</v>
      </c>
      <c r="AJ3552">
        <v>90.557849222281803</v>
      </c>
      <c r="AK3552">
        <v>15.553277429049601</v>
      </c>
      <c r="AL3552">
        <v>82.878635108653597</v>
      </c>
      <c r="AM3552">
        <v>88.113344519668203</v>
      </c>
      <c r="AN3552">
        <v>1.00000002814266</v>
      </c>
    </row>
    <row r="3553" spans="1:40" x14ac:dyDescent="0.25">
      <c r="A3553" t="str">
        <f>"20190312164542265"</f>
        <v>20190312164542265</v>
      </c>
      <c r="B3553" t="str">
        <f>"1552380342255322"</f>
        <v>1552380342255322</v>
      </c>
      <c r="C3553" t="s">
        <v>40</v>
      </c>
      <c r="D3553">
        <v>4.7381830000000003</v>
      </c>
      <c r="E3553">
        <v>0.48797180000000001</v>
      </c>
      <c r="F3553" t="s">
        <v>42</v>
      </c>
      <c r="G3553">
        <v>-258.18459999999999</v>
      </c>
      <c r="H3553" s="1">
        <v>-1.076822E-6</v>
      </c>
      <c r="I3553">
        <v>140.80269999999999</v>
      </c>
      <c r="J3553">
        <v>-242.19929999999999</v>
      </c>
      <c r="K3553">
        <v>1.1079810000000001</v>
      </c>
      <c r="L3553">
        <v>140.8005</v>
      </c>
      <c r="M3553">
        <v>-0.99991589999999997</v>
      </c>
      <c r="N3553">
        <v>0</v>
      </c>
      <c r="O3553">
        <v>1.025177E-2</v>
      </c>
      <c r="P3553">
        <v>-0.99224769999999896</v>
      </c>
      <c r="Q3553">
        <v>0.1169111</v>
      </c>
      <c r="R3553">
        <v>4.2150119999999999E-2</v>
      </c>
      <c r="S3553">
        <v>-3.047409</v>
      </c>
      <c r="T3553">
        <v>-0.20770050000000001</v>
      </c>
      <c r="U3553">
        <v>1.0223389999999999E-3</v>
      </c>
      <c r="V3553">
        <v>3.2085570000000001E-2</v>
      </c>
      <c r="W3553">
        <v>0.1247829</v>
      </c>
      <c r="X3553">
        <v>0.99166509999999997</v>
      </c>
      <c r="Y3553">
        <v>-9.8699479999999999E-3</v>
      </c>
      <c r="Z3553">
        <v>-1.033887E-3</v>
      </c>
      <c r="AA3553">
        <v>0.99995080000000003</v>
      </c>
      <c r="AB3553">
        <v>26</v>
      </c>
      <c r="AC3553">
        <v>-15.985299999999899</v>
      </c>
      <c r="AD3553">
        <v>-1.1079820768219999</v>
      </c>
      <c r="AE3553">
        <v>2.1999999999877599E-3</v>
      </c>
      <c r="AF3553">
        <v>-0.160909856584977</v>
      </c>
      <c r="AG3553">
        <v>-1.1079820768219999</v>
      </c>
      <c r="AH3553">
        <v>15.908056483873199</v>
      </c>
      <c r="AI3553">
        <v>93.983963185631097</v>
      </c>
      <c r="AJ3553">
        <v>90.579526560611995</v>
      </c>
      <c r="AK3553">
        <v>15.9474066029121</v>
      </c>
      <c r="AL3553">
        <v>82.831781027586203</v>
      </c>
      <c r="AM3553">
        <v>88.146827350182505</v>
      </c>
      <c r="AN3553">
        <v>0.99999996324632101</v>
      </c>
    </row>
    <row r="3554" spans="1:40" x14ac:dyDescent="0.25">
      <c r="A3554" t="str">
        <f>"20190312164542288"</f>
        <v>20190312164542288</v>
      </c>
      <c r="B3554" t="str">
        <f>"1552380342285156"</f>
        <v>1552380342285156</v>
      </c>
      <c r="C3554" t="s">
        <v>40</v>
      </c>
      <c r="D3554">
        <v>4.5722079999999998</v>
      </c>
      <c r="E3554">
        <v>0.48799890000000001</v>
      </c>
      <c r="F3554" t="s">
        <v>42</v>
      </c>
      <c r="G3554">
        <v>-258.83330000000001</v>
      </c>
      <c r="H3554" s="1">
        <v>-7.9820779999999996E-7</v>
      </c>
      <c r="I3554">
        <v>140.8015</v>
      </c>
      <c r="J3554">
        <v>-242.4684</v>
      </c>
      <c r="K3554">
        <v>1.107988</v>
      </c>
      <c r="L3554">
        <v>140.8038</v>
      </c>
      <c r="M3554">
        <v>-0.99991099999999999</v>
      </c>
      <c r="N3554">
        <v>0</v>
      </c>
      <c r="O3554">
        <v>1.0731549999999999E-2</v>
      </c>
      <c r="P3554">
        <v>-0.99213609999999997</v>
      </c>
      <c r="Q3554">
        <v>0.11790299999999999</v>
      </c>
      <c r="R3554">
        <v>4.2017359999999997E-2</v>
      </c>
      <c r="S3554">
        <v>-3.0473479999999999</v>
      </c>
      <c r="T3554">
        <v>-0.2029823</v>
      </c>
      <c r="U3554">
        <v>1.9836429999999999E-4</v>
      </c>
      <c r="V3554">
        <v>3.1477129999999999E-2</v>
      </c>
      <c r="W3554">
        <v>0.1257712</v>
      </c>
      <c r="X3554">
        <v>0.99155979999999999</v>
      </c>
      <c r="Y3554">
        <v>-1.0619480000000001E-2</v>
      </c>
      <c r="Z3554">
        <v>-1.067332E-3</v>
      </c>
      <c r="AA3554">
        <v>0.99994300000000003</v>
      </c>
      <c r="AB3554">
        <v>26</v>
      </c>
      <c r="AC3554">
        <v>-16.364899999999999</v>
      </c>
      <c r="AD3554">
        <v>-1.1079887982078001</v>
      </c>
      <c r="AE3554">
        <v>-2.29999999999108E-3</v>
      </c>
      <c r="AF3554">
        <v>-0.17711423661056599</v>
      </c>
      <c r="AG3554">
        <v>-1.1079887982078001</v>
      </c>
      <c r="AH3554">
        <v>16.2892630087063</v>
      </c>
      <c r="AI3554">
        <v>93.891011693516603</v>
      </c>
      <c r="AJ3554">
        <v>90.622956260543205</v>
      </c>
      <c r="AK3554">
        <v>16.3278626279306</v>
      </c>
      <c r="AL3554">
        <v>82.774706372612002</v>
      </c>
      <c r="AM3554">
        <v>88.181752387705799</v>
      </c>
      <c r="AN3554">
        <v>1.0000000207192501</v>
      </c>
    </row>
    <row r="3555" spans="1:40" x14ac:dyDescent="0.25">
      <c r="A3555" t="str">
        <f>"20190312164542308"</f>
        <v>20190312164542308</v>
      </c>
      <c r="B3555" t="str">
        <f>"1552380342305653"</f>
        <v>1552380342305653</v>
      </c>
      <c r="C3555" t="s">
        <v>40</v>
      </c>
      <c r="D3555">
        <v>4.6937030000000002</v>
      </c>
      <c r="E3555">
        <v>0.48805130000000002</v>
      </c>
      <c r="F3555" t="s">
        <v>42</v>
      </c>
      <c r="G3555">
        <v>-259.99259999999998</v>
      </c>
      <c r="H3555" s="1">
        <v>-4.4892080000000004E-6</v>
      </c>
      <c r="I3555">
        <v>140.8039</v>
      </c>
      <c r="J3555">
        <v>-242.71270000000001</v>
      </c>
      <c r="K3555">
        <v>1.1080019999999999</v>
      </c>
      <c r="L3555">
        <v>140.80690000000001</v>
      </c>
      <c r="M3555">
        <v>-0.99990619999999997</v>
      </c>
      <c r="N3555">
        <v>0</v>
      </c>
      <c r="O3555">
        <v>1.114385E-2</v>
      </c>
      <c r="P3555">
        <v>-0.99200560000000004</v>
      </c>
      <c r="Q3555">
        <v>0.11896379999999999</v>
      </c>
      <c r="R3555">
        <v>4.2102220000000003E-2</v>
      </c>
      <c r="S3555">
        <v>-3.0467070000000001</v>
      </c>
      <c r="T3555">
        <v>-0.19263240000000001</v>
      </c>
      <c r="U3555" s="1">
        <v>3.0517579999999999E-5</v>
      </c>
      <c r="V3555">
        <v>3.115126E-2</v>
      </c>
      <c r="W3555">
        <v>0.12682889999999999</v>
      </c>
      <c r="X3555">
        <v>0.99143530000000002</v>
      </c>
      <c r="Y3555">
        <v>-1.108979E-2</v>
      </c>
      <c r="Z3555">
        <v>-1.054129E-3</v>
      </c>
      <c r="AA3555">
        <v>0.99993799999999999</v>
      </c>
      <c r="AB3555">
        <v>26</v>
      </c>
      <c r="AC3555">
        <v>-17.279899999999898</v>
      </c>
      <c r="AD3555">
        <v>-1.1080064892079999</v>
      </c>
      <c r="AE3555">
        <v>-3.0000000000143202E-3</v>
      </c>
      <c r="AF3555">
        <v>-0.194769733296735</v>
      </c>
      <c r="AG3555">
        <v>-1.1080064892079999</v>
      </c>
      <c r="AH3555">
        <v>17.208042342906001</v>
      </c>
      <c r="AI3555">
        <v>93.683889723837694</v>
      </c>
      <c r="AJ3555">
        <v>90.648476274361499</v>
      </c>
      <c r="AK3555">
        <v>17.2447770326085</v>
      </c>
      <c r="AL3555">
        <v>82.713614987048103</v>
      </c>
      <c r="AM3555">
        <v>88.200337713614502</v>
      </c>
      <c r="AN3555">
        <v>0.99999996248044298</v>
      </c>
    </row>
    <row r="3556" spans="1:40" x14ac:dyDescent="0.25">
      <c r="A3556" t="str">
        <f>"20190312164542332"</f>
        <v>20190312164542332</v>
      </c>
      <c r="B3556" t="str">
        <f>"1552380342325173"</f>
        <v>1552380342325173</v>
      </c>
      <c r="C3556" t="s">
        <v>40</v>
      </c>
      <c r="D3556">
        <v>4.7263320000000002</v>
      </c>
      <c r="E3556">
        <v>0.48816179999999898</v>
      </c>
      <c r="F3556" t="s">
        <v>42</v>
      </c>
      <c r="G3556">
        <v>-261.11720000000003</v>
      </c>
      <c r="H3556" s="1">
        <v>-4.1074190000000002E-6</v>
      </c>
      <c r="I3556">
        <v>140.809</v>
      </c>
      <c r="J3556">
        <v>-242.98339999999999</v>
      </c>
      <c r="K3556">
        <v>1.1080289999999999</v>
      </c>
      <c r="L3556">
        <v>140.81039999999999</v>
      </c>
      <c r="M3556">
        <v>-0.9999017</v>
      </c>
      <c r="N3556">
        <v>0</v>
      </c>
      <c r="O3556">
        <v>1.1557039999999999E-2</v>
      </c>
      <c r="P3556">
        <v>-0.99185409999999996</v>
      </c>
      <c r="Q3556">
        <v>0.12030449999999999</v>
      </c>
      <c r="R3556">
        <v>4.1862719999999999E-2</v>
      </c>
      <c r="S3556">
        <v>-3.0461580000000001</v>
      </c>
      <c r="T3556">
        <v>-0.18338840000000001</v>
      </c>
      <c r="U3556">
        <v>3.509521E-4</v>
      </c>
      <c r="V3556">
        <v>3.0496140000000001E-2</v>
      </c>
      <c r="W3556">
        <v>0.12816730000000001</v>
      </c>
      <c r="X3556">
        <v>0.99128360000000004</v>
      </c>
      <c r="Y3556">
        <v>-1.140064E-2</v>
      </c>
      <c r="Z3556">
        <v>-1.0380179999999999E-3</v>
      </c>
      <c r="AA3556">
        <v>0.99993449999999995</v>
      </c>
      <c r="AB3556">
        <v>26</v>
      </c>
      <c r="AC3556">
        <v>-18.133800000000001</v>
      </c>
      <c r="AD3556">
        <v>-1.108033107419</v>
      </c>
      <c r="AE3556">
        <v>-1.39999999998963E-3</v>
      </c>
      <c r="AF3556">
        <v>-0.210194779644823</v>
      </c>
      <c r="AG3556">
        <v>-1.108033107419</v>
      </c>
      <c r="AH3556">
        <v>18.0651247248082</v>
      </c>
      <c r="AI3556">
        <v>93.509630190064797</v>
      </c>
      <c r="AJ3556">
        <v>90.666628683435405</v>
      </c>
      <c r="AK3556">
        <v>18.100294211293999</v>
      </c>
      <c r="AL3556">
        <v>82.636299770951396</v>
      </c>
      <c r="AM3556">
        <v>88.237891571107895</v>
      </c>
      <c r="AN3556">
        <v>1.00000002348657</v>
      </c>
    </row>
    <row r="3557" spans="1:40" x14ac:dyDescent="0.25">
      <c r="A3557" t="str">
        <f>"20190312164542354"</f>
        <v>20190312164542354</v>
      </c>
      <c r="B3557" t="str">
        <f>"1552380342345669"</f>
        <v>1552380342345669</v>
      </c>
      <c r="C3557" t="s">
        <v>40</v>
      </c>
      <c r="D3557">
        <v>4.5889089999999904</v>
      </c>
      <c r="E3557">
        <v>0.488234</v>
      </c>
      <c r="F3557" t="s">
        <v>42</v>
      </c>
      <c r="G3557">
        <v>-262.0686</v>
      </c>
      <c r="H3557" s="1">
        <v>-3.7023009999999999E-6</v>
      </c>
      <c r="I3557">
        <v>140.80930000000001</v>
      </c>
      <c r="J3557">
        <v>-243.25839999999999</v>
      </c>
      <c r="K3557">
        <v>1.108069</v>
      </c>
      <c r="L3557">
        <v>140.81399999999999</v>
      </c>
      <c r="M3557">
        <v>-0.99989740000000005</v>
      </c>
      <c r="N3557">
        <v>0</v>
      </c>
      <c r="O3557">
        <v>1.192089E-2</v>
      </c>
      <c r="P3557">
        <v>-0.99179580000000001</v>
      </c>
      <c r="Q3557">
        <v>0.1207556</v>
      </c>
      <c r="R3557">
        <v>4.1941079999999999E-2</v>
      </c>
      <c r="S3557">
        <v>-3.0461119999999999</v>
      </c>
      <c r="T3557">
        <v>-0.176848799999999</v>
      </c>
      <c r="U3557">
        <v>-1.67846699999999E-4</v>
      </c>
      <c r="V3557">
        <v>3.0202099999999999E-2</v>
      </c>
      <c r="W3557">
        <v>0.12861789999999901</v>
      </c>
      <c r="X3557">
        <v>0.99123419999999896</v>
      </c>
      <c r="Y3557">
        <v>-1.1936189999999999E-2</v>
      </c>
      <c r="Z3557">
        <v>-1.03772E-3</v>
      </c>
      <c r="AA3557">
        <v>0.99992820000000004</v>
      </c>
      <c r="AB3557">
        <v>27</v>
      </c>
      <c r="AC3557">
        <v>-18.810199999999998</v>
      </c>
      <c r="AD3557">
        <v>-1.108072702301</v>
      </c>
      <c r="AE3557">
        <v>-4.6999999999854901E-3</v>
      </c>
      <c r="AF3557">
        <v>-0.22814934895060601</v>
      </c>
      <c r="AG3557">
        <v>-1.108072702301</v>
      </c>
      <c r="AH3557">
        <v>18.7437634199852</v>
      </c>
      <c r="AI3557">
        <v>93.382959816249198</v>
      </c>
      <c r="AJ3557">
        <v>90.697370585875802</v>
      </c>
      <c r="AK3557">
        <v>18.777873798260199</v>
      </c>
      <c r="AL3557">
        <v>82.610266544443405</v>
      </c>
      <c r="AM3557">
        <v>88.254784127130904</v>
      </c>
      <c r="AN3557">
        <v>0.99999998514722899</v>
      </c>
    </row>
    <row r="3558" spans="1:40" x14ac:dyDescent="0.25">
      <c r="A3558" t="str">
        <f>"20190312164542376"</f>
        <v>20190312164542376</v>
      </c>
      <c r="B3558" t="str">
        <f>"1552380342365778"</f>
        <v>1552380342365778</v>
      </c>
      <c r="C3558" t="s">
        <v>40</v>
      </c>
      <c r="D3558">
        <v>4.6910369999999997</v>
      </c>
      <c r="E3558">
        <v>0.48808380000000001</v>
      </c>
      <c r="F3558" t="s">
        <v>42</v>
      </c>
      <c r="G3558">
        <v>-262.37040000000002</v>
      </c>
      <c r="H3558" s="1">
        <v>-3.573549E-6</v>
      </c>
      <c r="I3558">
        <v>140.81190000000001</v>
      </c>
      <c r="J3558">
        <v>-243.52090000000001</v>
      </c>
      <c r="K3558">
        <v>1.1081080000000001</v>
      </c>
      <c r="L3558">
        <v>140.8175</v>
      </c>
      <c r="M3558">
        <v>-0.99989380000000005</v>
      </c>
      <c r="N3558">
        <v>0</v>
      </c>
      <c r="O3558">
        <v>1.221742E-2</v>
      </c>
      <c r="P3558">
        <v>-0.99173800000000001</v>
      </c>
      <c r="Q3558">
        <v>0.12130349999999999</v>
      </c>
      <c r="R3558">
        <v>4.1731909999999997E-2</v>
      </c>
      <c r="S3558">
        <v>-3.046341</v>
      </c>
      <c r="T3558">
        <v>-0.1766211</v>
      </c>
      <c r="U3558">
        <v>-3.2043460000000002E-4</v>
      </c>
      <c r="V3558">
        <v>2.9687169999999999E-2</v>
      </c>
      <c r="W3558">
        <v>0.12916649999999999</v>
      </c>
      <c r="X3558">
        <v>0.99117849999999996</v>
      </c>
      <c r="Y3558">
        <v>-1.228185E-2</v>
      </c>
      <c r="Z3558">
        <v>-1.0634990000000001E-3</v>
      </c>
      <c r="AA3558">
        <v>0.99992400000000004</v>
      </c>
      <c r="AB3558">
        <v>27</v>
      </c>
      <c r="AC3558">
        <v>-18.849499999999999</v>
      </c>
      <c r="AD3558">
        <v>-1.1081115735489999</v>
      </c>
      <c r="AE3558">
        <v>-5.5999999999869496E-3</v>
      </c>
      <c r="AF3558">
        <v>-0.235086661642745</v>
      </c>
      <c r="AG3558">
        <v>-1.1081115735489999</v>
      </c>
      <c r="AH3558">
        <v>18.783111183639701</v>
      </c>
      <c r="AI3558">
        <v>93.375993295907904</v>
      </c>
      <c r="AJ3558">
        <v>90.717068123097704</v>
      </c>
      <c r="AK3558">
        <v>18.817237914606</v>
      </c>
      <c r="AL3558">
        <v>82.578570285160595</v>
      </c>
      <c r="AM3558">
        <v>88.284424866081906</v>
      </c>
      <c r="AN3558">
        <v>1.0000000658235499</v>
      </c>
    </row>
    <row r="3559" spans="1:40" x14ac:dyDescent="0.25">
      <c r="A3559" t="str">
        <f>"20190312164542396"</f>
        <v>20190312164542396</v>
      </c>
      <c r="B3559" t="str">
        <f>"1552380342385284"</f>
        <v>1552380342385284</v>
      </c>
      <c r="C3559" t="s">
        <v>40</v>
      </c>
      <c r="D3559">
        <v>4.8773549999999997</v>
      </c>
      <c r="E3559">
        <v>0.4881009</v>
      </c>
      <c r="F3559" t="s">
        <v>42</v>
      </c>
      <c r="G3559">
        <v>-262.7552</v>
      </c>
      <c r="H3559" s="1">
        <v>-3.4055490000000001E-6</v>
      </c>
      <c r="I3559">
        <v>140.80099999999999</v>
      </c>
      <c r="J3559">
        <v>-243.7724</v>
      </c>
      <c r="K3559">
        <v>1.1081490000000001</v>
      </c>
      <c r="L3559">
        <v>140.82079999999999</v>
      </c>
      <c r="M3559">
        <v>-0.99989099999999997</v>
      </c>
      <c r="N3559">
        <v>0</v>
      </c>
      <c r="O3559">
        <v>1.244223E-2</v>
      </c>
      <c r="P3559">
        <v>-0.99169240000000003</v>
      </c>
      <c r="Q3559">
        <v>0.12176090000000001</v>
      </c>
      <c r="R3559">
        <v>4.147783E-2</v>
      </c>
      <c r="S3559">
        <v>-3.0465550000000001</v>
      </c>
      <c r="T3559">
        <v>-0.175515899999999</v>
      </c>
      <c r="U3559">
        <v>-2.5939940000000001E-3</v>
      </c>
      <c r="V3559">
        <v>2.919745E-2</v>
      </c>
      <c r="W3559">
        <v>0.12962419999999999</v>
      </c>
      <c r="X3559">
        <v>0.99113320000000005</v>
      </c>
      <c r="Y3559">
        <v>-1.32514E-2</v>
      </c>
      <c r="Z3559">
        <v>-1.097628E-3</v>
      </c>
      <c r="AA3559">
        <v>0.99991160000000001</v>
      </c>
      <c r="AB3559">
        <v>27</v>
      </c>
      <c r="AC3559">
        <v>-18.982800000000001</v>
      </c>
      <c r="AD3559">
        <v>-1.108152405549</v>
      </c>
      <c r="AE3559">
        <v>-1.9799999999975101E-2</v>
      </c>
      <c r="AF3559">
        <v>-0.25512487002433398</v>
      </c>
      <c r="AG3559">
        <v>-1.108152405549</v>
      </c>
      <c r="AH3559">
        <v>18.916619500726298</v>
      </c>
      <c r="AI3559">
        <v>93.352302016593399</v>
      </c>
      <c r="AJ3559">
        <v>90.772690496511501</v>
      </c>
      <c r="AK3559">
        <v>18.950767366745001</v>
      </c>
      <c r="AL3559">
        <v>82.552122972890899</v>
      </c>
      <c r="AM3559">
        <v>88.312631449538699</v>
      </c>
      <c r="AN3559">
        <v>0.99999997222719095</v>
      </c>
    </row>
    <row r="3560" spans="1:40" x14ac:dyDescent="0.25">
      <c r="A3560" t="str">
        <f>"20190312164542420"</f>
        <v>20190312164542420</v>
      </c>
      <c r="B3560" t="str">
        <f>"1552380342415538"</f>
        <v>1552380342415538</v>
      </c>
      <c r="C3560" t="s">
        <v>40</v>
      </c>
      <c r="D3560">
        <v>4.8250289999999998</v>
      </c>
      <c r="E3560">
        <v>0.48807859999999997</v>
      </c>
      <c r="F3560" t="s">
        <v>42</v>
      </c>
      <c r="G3560">
        <v>-263.38479999999998</v>
      </c>
      <c r="H3560" s="1">
        <v>-3.1345370000000002E-6</v>
      </c>
      <c r="I3560">
        <v>140.79759999999999</v>
      </c>
      <c r="J3560">
        <v>-244.05019999999999</v>
      </c>
      <c r="K3560">
        <v>1.108196</v>
      </c>
      <c r="L3560">
        <v>140.8245</v>
      </c>
      <c r="M3560">
        <v>-0.99988909999999998</v>
      </c>
      <c r="N3560">
        <v>0</v>
      </c>
      <c r="O3560">
        <v>1.2611280000000001E-2</v>
      </c>
      <c r="P3560">
        <v>-0.99162450000000002</v>
      </c>
      <c r="Q3560">
        <v>0.12240040000000001</v>
      </c>
      <c r="R3560">
        <v>4.1221590000000002E-2</v>
      </c>
      <c r="S3560">
        <v>-3.0464169999999999</v>
      </c>
      <c r="T3560">
        <v>-0.1721307</v>
      </c>
      <c r="U3560">
        <v>-3.6010740000000001E-3</v>
      </c>
      <c r="V3560">
        <v>2.8758510000000001E-2</v>
      </c>
      <c r="W3560">
        <v>0.13026479999999999</v>
      </c>
      <c r="X3560">
        <v>0.991062</v>
      </c>
      <c r="Y3560">
        <v>-1.3751599999999999E-2</v>
      </c>
      <c r="Z3560">
        <v>-1.100204E-3</v>
      </c>
      <c r="AA3560">
        <v>0.99990480000000004</v>
      </c>
      <c r="AB3560">
        <v>27</v>
      </c>
      <c r="AC3560">
        <v>-19.334599999999899</v>
      </c>
      <c r="AD3560">
        <v>-1.1081991345369999</v>
      </c>
      <c r="AE3560">
        <v>-2.6900000000011901E-2</v>
      </c>
      <c r="AF3560">
        <v>-0.269853038302514</v>
      </c>
      <c r="AG3560">
        <v>-1.1081991345369999</v>
      </c>
      <c r="AH3560">
        <v>19.2694187885742</v>
      </c>
      <c r="AI3560">
        <v>93.291176790466196</v>
      </c>
      <c r="AJ3560">
        <v>90.802329832395998</v>
      </c>
      <c r="AK3560">
        <v>19.3031455061999</v>
      </c>
      <c r="AL3560">
        <v>82.515105107135597</v>
      </c>
      <c r="AM3560">
        <v>88.337864840642894</v>
      </c>
      <c r="AN3560">
        <v>0.99999992893022704</v>
      </c>
    </row>
    <row r="3561" spans="1:40" x14ac:dyDescent="0.25">
      <c r="A3561" t="str">
        <f>"20190312164542443"</f>
        <v>20190312164542443</v>
      </c>
      <c r="B3561" t="str">
        <f>"1552380342435057"</f>
        <v>1552380342435057</v>
      </c>
      <c r="C3561" t="s">
        <v>40</v>
      </c>
      <c r="D3561">
        <v>4.58371</v>
      </c>
      <c r="E3561">
        <v>0.48822870000000002</v>
      </c>
      <c r="F3561" t="s">
        <v>42</v>
      </c>
      <c r="G3561">
        <v>-263.86790000000002</v>
      </c>
      <c r="H3561" s="1">
        <v>-2.926561E-6</v>
      </c>
      <c r="I3561">
        <v>140.79480000000001</v>
      </c>
      <c r="J3561">
        <v>-244.328</v>
      </c>
      <c r="K3561">
        <v>1.1082449999999999</v>
      </c>
      <c r="L3561">
        <v>140.82810000000001</v>
      </c>
      <c r="M3561">
        <v>-0.99988790000000005</v>
      </c>
      <c r="N3561">
        <v>0</v>
      </c>
      <c r="O3561">
        <v>1.270481E-2</v>
      </c>
      <c r="P3561">
        <v>-0.9916201</v>
      </c>
      <c r="Q3561">
        <v>0.1226706</v>
      </c>
      <c r="R3561">
        <v>4.0519619999999999E-2</v>
      </c>
      <c r="S3561">
        <v>-3.0465390000000001</v>
      </c>
      <c r="T3561">
        <v>-0.17036219999999999</v>
      </c>
      <c r="U3561">
        <v>-4.5623779999999997E-3</v>
      </c>
      <c r="V3561">
        <v>2.7947530000000002E-2</v>
      </c>
      <c r="W3561">
        <v>0.1305366</v>
      </c>
      <c r="X3561">
        <v>0.99104950000000003</v>
      </c>
      <c r="Y3561">
        <v>-1.416066E-2</v>
      </c>
      <c r="Z3561">
        <v>-1.1055289999999901E-3</v>
      </c>
      <c r="AA3561">
        <v>0.99989910000000004</v>
      </c>
      <c r="AB3561">
        <v>27</v>
      </c>
      <c r="AC3561">
        <v>-19.539899999999999</v>
      </c>
      <c r="AD3561">
        <v>-1.1082479265609999</v>
      </c>
      <c r="AE3561">
        <v>-3.3299999999996999E-2</v>
      </c>
      <c r="AF3561">
        <v>-0.28065300887146299</v>
      </c>
      <c r="AG3561">
        <v>-1.1082479265609999</v>
      </c>
      <c r="AH3561">
        <v>19.4752512198747</v>
      </c>
      <c r="AI3561">
        <v>93.256592158523901</v>
      </c>
      <c r="AJ3561">
        <v>90.825618100997602</v>
      </c>
      <c r="AK3561">
        <v>19.5087772465459</v>
      </c>
      <c r="AL3561">
        <v>82.499398455975907</v>
      </c>
      <c r="AM3561">
        <v>88.384690920970499</v>
      </c>
      <c r="AN3561">
        <v>0.999999989911455</v>
      </c>
    </row>
    <row r="3562" spans="1:40" x14ac:dyDescent="0.25">
      <c r="A3562" t="str">
        <f>"20190312164542466"</f>
        <v>20190312164542466</v>
      </c>
      <c r="B3562" t="str">
        <f>"1552380342455553"</f>
        <v>1552380342455553</v>
      </c>
      <c r="C3562" t="s">
        <v>40</v>
      </c>
      <c r="D3562">
        <v>4.6059869999999998</v>
      </c>
      <c r="E3562">
        <v>0.48825730000000001</v>
      </c>
      <c r="F3562" t="s">
        <v>42</v>
      </c>
      <c r="G3562">
        <v>-264.61770000000001</v>
      </c>
      <c r="H3562" s="1">
        <v>-2.6054070000000001E-6</v>
      </c>
      <c r="I3562">
        <v>140.79669999999999</v>
      </c>
      <c r="J3562">
        <v>-244.6114</v>
      </c>
      <c r="K3562">
        <v>1.1082909999999999</v>
      </c>
      <c r="L3562">
        <v>140.83179999999999</v>
      </c>
      <c r="M3562">
        <v>-0.99988739999999998</v>
      </c>
      <c r="N3562">
        <v>0</v>
      </c>
      <c r="O3562">
        <v>1.2743620000000001E-2</v>
      </c>
      <c r="P3562">
        <v>-0.9915602</v>
      </c>
      <c r="Q3562">
        <v>0.1234543</v>
      </c>
      <c r="R3562">
        <v>3.9593250000000003E-2</v>
      </c>
      <c r="S3562">
        <v>-3.0461269999999998</v>
      </c>
      <c r="T3562">
        <v>-0.1663839</v>
      </c>
      <c r="U3562">
        <v>-4.7149660000000001E-3</v>
      </c>
      <c r="V3562">
        <v>2.6969610000000001E-2</v>
      </c>
      <c r="W3562">
        <v>0.1313214</v>
      </c>
      <c r="X3562">
        <v>0.99097290000000005</v>
      </c>
      <c r="Y3562">
        <v>-1.425149E-2</v>
      </c>
      <c r="Z3562">
        <v>-1.0844940000000001E-3</v>
      </c>
      <c r="AA3562">
        <v>0.99989779999999995</v>
      </c>
      <c r="AB3562">
        <v>27</v>
      </c>
      <c r="AC3562">
        <v>-20.0063</v>
      </c>
      <c r="AD3562">
        <v>-1.1082936054069901</v>
      </c>
      <c r="AE3562">
        <v>-3.5099999999999902E-2</v>
      </c>
      <c r="AF3562">
        <v>-0.28917041987785103</v>
      </c>
      <c r="AG3562">
        <v>-1.1082936054069901</v>
      </c>
      <c r="AH3562">
        <v>19.943025977993798</v>
      </c>
      <c r="AI3562">
        <v>93.180492391632498</v>
      </c>
      <c r="AJ3562">
        <v>90.830720656620002</v>
      </c>
      <c r="AK3562">
        <v>19.9758909540089</v>
      </c>
      <c r="AL3562">
        <v>82.4540422082448</v>
      </c>
      <c r="AM3562">
        <v>88.441063836182195</v>
      </c>
      <c r="AN3562">
        <v>0.99999997924796002</v>
      </c>
    </row>
    <row r="3563" spans="1:40" x14ac:dyDescent="0.25">
      <c r="A3563" t="str">
        <f>"20190312164542490"</f>
        <v>20190312164542490</v>
      </c>
      <c r="B3563" t="str">
        <f>"1552380342485282"</f>
        <v>1552380342485282</v>
      </c>
      <c r="C3563" t="s">
        <v>40</v>
      </c>
      <c r="D3563">
        <v>4.7276429999999996</v>
      </c>
      <c r="E3563">
        <v>0.48832409999999998</v>
      </c>
      <c r="F3563" t="s">
        <v>42</v>
      </c>
      <c r="G3563">
        <v>-265.6782</v>
      </c>
      <c r="H3563" s="1">
        <v>-2.1483490000000001E-6</v>
      </c>
      <c r="I3563">
        <v>140.78880000000001</v>
      </c>
      <c r="J3563">
        <v>-244.8837</v>
      </c>
      <c r="K3563">
        <v>1.10832</v>
      </c>
      <c r="L3563">
        <v>140.83529999999999</v>
      </c>
      <c r="M3563">
        <v>-0.99988739999999998</v>
      </c>
      <c r="N3563">
        <v>0</v>
      </c>
      <c r="O3563">
        <v>1.2738630000000001E-2</v>
      </c>
      <c r="P3563">
        <v>-0.99147249999999998</v>
      </c>
      <c r="Q3563">
        <v>0.1242547</v>
      </c>
      <c r="R3563">
        <v>3.9282770000000002E-2</v>
      </c>
      <c r="S3563">
        <v>-3.045731</v>
      </c>
      <c r="T3563">
        <v>-0.1602315</v>
      </c>
      <c r="U3563">
        <v>-6.2103269999999999E-3</v>
      </c>
      <c r="V3563">
        <v>2.6655689999999999E-2</v>
      </c>
      <c r="W3563">
        <v>0.13212160000000001</v>
      </c>
      <c r="X3563">
        <v>0.99087510000000001</v>
      </c>
      <c r="Y3563">
        <v>-1.473986E-2</v>
      </c>
      <c r="Z3563">
        <v>-1.0571599999999999E-3</v>
      </c>
      <c r="AA3563">
        <v>0.99989079999999997</v>
      </c>
      <c r="AB3563">
        <v>27</v>
      </c>
      <c r="AC3563">
        <v>-20.794499999999999</v>
      </c>
      <c r="AD3563">
        <v>-1.108322148349</v>
      </c>
      <c r="AE3563">
        <v>-4.6499999999980397E-2</v>
      </c>
      <c r="AF3563">
        <v>-0.31051590373874099</v>
      </c>
      <c r="AG3563">
        <v>-1.108322148349</v>
      </c>
      <c r="AH3563">
        <v>20.733322103191199</v>
      </c>
      <c r="AI3563">
        <v>93.059552993228905</v>
      </c>
      <c r="AJ3563">
        <v>90.858035227153195</v>
      </c>
      <c r="AK3563">
        <v>20.765246050689399</v>
      </c>
      <c r="AL3563">
        <v>82.407791692842395</v>
      </c>
      <c r="AM3563">
        <v>88.459048688114706</v>
      </c>
      <c r="AN3563">
        <v>1.00000005339797</v>
      </c>
    </row>
    <row r="3564" spans="1:40" x14ac:dyDescent="0.25">
      <c r="A3564" t="str">
        <f>"20190312164542512"</f>
        <v>20190312164542512</v>
      </c>
      <c r="B3564" t="str">
        <f>"1552380342504804"</f>
        <v>1552380342504804</v>
      </c>
      <c r="C3564" t="s">
        <v>40</v>
      </c>
      <c r="D3564">
        <v>4.8111769999999998</v>
      </c>
      <c r="E3564">
        <v>0.48835650000000003</v>
      </c>
      <c r="F3564" t="s">
        <v>42</v>
      </c>
      <c r="G3564">
        <v>-266.80990000000003</v>
      </c>
      <c r="H3564" s="1">
        <v>-1.662462E-6</v>
      </c>
      <c r="I3564">
        <v>140.78729999999999</v>
      </c>
      <c r="J3564">
        <v>-245.15780000000001</v>
      </c>
      <c r="K3564">
        <v>1.1083510000000001</v>
      </c>
      <c r="L3564">
        <v>140.83879999999999</v>
      </c>
      <c r="M3564">
        <v>-0.99988790000000005</v>
      </c>
      <c r="N3564">
        <v>0</v>
      </c>
      <c r="O3564">
        <v>1.2702089999999999E-2</v>
      </c>
      <c r="P3564">
        <v>-0.9911915</v>
      </c>
      <c r="Q3564">
        <v>0.1264921</v>
      </c>
      <c r="R3564">
        <v>3.923418E-2</v>
      </c>
      <c r="S3564">
        <v>-3.0453489999999999</v>
      </c>
      <c r="T3564">
        <v>-0.15393599999999999</v>
      </c>
      <c r="U3564">
        <v>-6.6528319999999896E-3</v>
      </c>
      <c r="V3564">
        <v>2.66407E-2</v>
      </c>
      <c r="W3564">
        <v>0.13435649999999999</v>
      </c>
      <c r="X3564">
        <v>0.99057490000000004</v>
      </c>
      <c r="Y3564">
        <v>-1.4851690000000001E-2</v>
      </c>
      <c r="Z3564">
        <v>-1.016784E-3</v>
      </c>
      <c r="AA3564">
        <v>0.99988920000000003</v>
      </c>
      <c r="AB3564">
        <v>27</v>
      </c>
      <c r="AC3564">
        <v>-21.652100000000001</v>
      </c>
      <c r="AD3564">
        <v>-1.1083526624619999</v>
      </c>
      <c r="AE3564">
        <v>-5.1500000000004299E-2</v>
      </c>
      <c r="AF3564">
        <v>-0.32567803133429102</v>
      </c>
      <c r="AG3564">
        <v>-1.1083526624619999</v>
      </c>
      <c r="AH3564">
        <v>21.593118170957698</v>
      </c>
      <c r="AI3564">
        <v>92.938021455838495</v>
      </c>
      <c r="AJ3564">
        <v>90.864097616073394</v>
      </c>
      <c r="AK3564">
        <v>21.623997413739701</v>
      </c>
      <c r="AL3564">
        <v>82.278589052317699</v>
      </c>
      <c r="AM3564">
        <v>88.459448326926903</v>
      </c>
      <c r="AN3564">
        <v>1.0000000142493699</v>
      </c>
    </row>
    <row r="3565" spans="1:40" x14ac:dyDescent="0.25">
      <c r="A3565" t="str">
        <f>"20190312164542542"</f>
        <v>20190312164542542</v>
      </c>
      <c r="B3565" t="str">
        <f>"1552380342535058"</f>
        <v>1552380342535058</v>
      </c>
      <c r="C3565" t="s">
        <v>40</v>
      </c>
      <c r="D3565">
        <v>4.6572839999999998</v>
      </c>
      <c r="E3565">
        <v>0.53049990000000002</v>
      </c>
      <c r="F3565" t="s">
        <v>42</v>
      </c>
      <c r="G3565">
        <v>-267.96699999999998</v>
      </c>
      <c r="H3565" s="1">
        <v>-1.167E-6</v>
      </c>
      <c r="I3565">
        <v>140.79079999999999</v>
      </c>
      <c r="J3565">
        <v>-245.54349999999999</v>
      </c>
      <c r="K3565">
        <v>1.108371</v>
      </c>
      <c r="L3565">
        <v>140.84360000000001</v>
      </c>
      <c r="M3565">
        <v>-0.99988880000000002</v>
      </c>
      <c r="N3565">
        <v>0</v>
      </c>
      <c r="O3565">
        <v>1.262655E-2</v>
      </c>
      <c r="P3565">
        <v>-0.99085460000000003</v>
      </c>
      <c r="Q3565">
        <v>0.12916250000000001</v>
      </c>
      <c r="R3565">
        <v>3.904241E-2</v>
      </c>
      <c r="S3565">
        <v>-3.0458219999999998</v>
      </c>
      <c r="T3565">
        <v>-0.14800379999999999</v>
      </c>
      <c r="U3565">
        <v>-6.3934329999999996E-3</v>
      </c>
      <c r="V3565">
        <v>2.65232E-2</v>
      </c>
      <c r="W3565">
        <v>0.13702329999999999</v>
      </c>
      <c r="X3565">
        <v>0.99021269999999995</v>
      </c>
      <c r="Y3565">
        <v>-1.4693599999999999E-2</v>
      </c>
      <c r="Z3565">
        <v>-9.6998889999999995E-4</v>
      </c>
      <c r="AA3565">
        <v>0.99989159999999999</v>
      </c>
      <c r="AB3565">
        <v>27</v>
      </c>
      <c r="AC3565">
        <v>-22.423499999999901</v>
      </c>
      <c r="AD3565">
        <v>-1.108372167</v>
      </c>
      <c r="AE3565">
        <v>-5.2800000000018998E-2</v>
      </c>
      <c r="AF3565">
        <v>-0.335117383209738</v>
      </c>
      <c r="AG3565">
        <v>-1.108372167</v>
      </c>
      <c r="AH3565">
        <v>22.366399662411599</v>
      </c>
      <c r="AI3565">
        <v>92.836667126042002</v>
      </c>
      <c r="AJ3565">
        <v>90.8584025757484</v>
      </c>
      <c r="AK3565">
        <v>22.3963529705137</v>
      </c>
      <c r="AL3565">
        <v>82.124366378986593</v>
      </c>
      <c r="AM3565">
        <v>88.465678995640005</v>
      </c>
      <c r="AN3565">
        <v>1.0000000280612</v>
      </c>
    </row>
    <row r="3566" spans="1:40" x14ac:dyDescent="0.25">
      <c r="A3566" t="str">
        <f>"20190312164542566"</f>
        <v>20190312164542566</v>
      </c>
      <c r="B3566" t="str">
        <f>"1552380342555553"</f>
        <v>1552380342555553</v>
      </c>
      <c r="C3566" t="s">
        <v>40</v>
      </c>
      <c r="D3566">
        <v>4.6889409999999998</v>
      </c>
      <c r="E3566">
        <v>0.53677419999999998</v>
      </c>
      <c r="F3566" t="s">
        <v>71</v>
      </c>
      <c r="G3566">
        <v>-280.98079999999999</v>
      </c>
      <c r="H3566" s="1">
        <v>-5.7111829999999998E-6</v>
      </c>
      <c r="I3566">
        <v>144.7423</v>
      </c>
      <c r="J3566">
        <v>-245.82089999999999</v>
      </c>
      <c r="K3566">
        <v>1.108379</v>
      </c>
      <c r="L3566">
        <v>140.84710000000001</v>
      </c>
      <c r="M3566">
        <v>-0.99988960000000005</v>
      </c>
      <c r="N3566">
        <v>0</v>
      </c>
      <c r="O3566">
        <v>1.256904E-2</v>
      </c>
      <c r="P3566">
        <v>-0.99068239999999996</v>
      </c>
      <c r="Q3566">
        <v>0.13038739999999999</v>
      </c>
      <c r="R3566">
        <v>3.9339529999999998E-2</v>
      </c>
      <c r="S3566">
        <v>-3.0269010000000001</v>
      </c>
      <c r="T3566">
        <v>-9.4672919999999994E-2</v>
      </c>
      <c r="U3566">
        <v>0.33300780000000002</v>
      </c>
      <c r="V3566">
        <v>2.6877470000000001E-2</v>
      </c>
      <c r="W3566">
        <v>0.1382466</v>
      </c>
      <c r="X3566">
        <v>0.9900331</v>
      </c>
      <c r="Y3566">
        <v>9.6812899999999993E-2</v>
      </c>
      <c r="Z3566">
        <v>1.1173139999999999E-3</v>
      </c>
      <c r="AA3566">
        <v>0.99530200000000002</v>
      </c>
      <c r="AB3566">
        <v>27</v>
      </c>
      <c r="AC3566">
        <v>-35.159899999999901</v>
      </c>
      <c r="AD3566">
        <v>-1.1083847111830001</v>
      </c>
      <c r="AE3566">
        <v>3.89519999999998</v>
      </c>
      <c r="AF3566">
        <v>3.4495657067332601</v>
      </c>
      <c r="AG3566">
        <v>-1.1083847111830001</v>
      </c>
      <c r="AH3566">
        <v>35.1715542391809</v>
      </c>
      <c r="AI3566">
        <v>91.796389172688706</v>
      </c>
      <c r="AJ3566">
        <v>84.3984434984161</v>
      </c>
      <c r="AK3566">
        <v>35.357690080556701</v>
      </c>
      <c r="AL3566">
        <v>82.0536030108792</v>
      </c>
      <c r="AM3566">
        <v>88.444913169668098</v>
      </c>
      <c r="AN3566">
        <v>1.00000002995038</v>
      </c>
    </row>
    <row r="3567" spans="1:40" x14ac:dyDescent="0.25">
      <c r="A3567" t="str">
        <f>"20190312164542587"</f>
        <v>20190312164542587</v>
      </c>
      <c r="B3567" t="str">
        <f>"1552380342584834"</f>
        <v>1552380342584834</v>
      </c>
      <c r="C3567" t="s">
        <v>40</v>
      </c>
      <c r="D3567">
        <v>4.9276530000000003</v>
      </c>
      <c r="E3567">
        <v>0.53894109999999995</v>
      </c>
      <c r="F3567" t="s">
        <v>71</v>
      </c>
      <c r="G3567">
        <v>-303.23950000000002</v>
      </c>
      <c r="H3567" s="1">
        <v>-1.089096E-5</v>
      </c>
      <c r="I3567">
        <v>148.18029999999999</v>
      </c>
      <c r="J3567">
        <v>-246.0848</v>
      </c>
      <c r="K3567">
        <v>1.1083889999999901</v>
      </c>
      <c r="L3567">
        <v>140.85040000000001</v>
      </c>
      <c r="M3567">
        <v>-0.99989030000000001</v>
      </c>
      <c r="N3567">
        <v>0</v>
      </c>
      <c r="O3567">
        <v>1.2517759999999999E-2</v>
      </c>
      <c r="P3567">
        <v>-0.99047189999999996</v>
      </c>
      <c r="Q3567">
        <v>0.13191339999999999</v>
      </c>
      <c r="R3567">
        <v>3.9557920000000003E-2</v>
      </c>
      <c r="S3567">
        <v>-3.0205839999999999</v>
      </c>
      <c r="T3567">
        <v>-5.8308359999999997E-2</v>
      </c>
      <c r="U3567">
        <v>0.38577270000000002</v>
      </c>
      <c r="V3567">
        <v>2.714838E-2</v>
      </c>
      <c r="W3567">
        <v>0.13977039999999999</v>
      </c>
      <c r="X3567">
        <v>0.98981169999999996</v>
      </c>
      <c r="Y3567">
        <v>0.1142397</v>
      </c>
      <c r="Z3567">
        <v>8.5746800000000001E-4</v>
      </c>
      <c r="AA3567">
        <v>0.99345280000000002</v>
      </c>
      <c r="AB3567">
        <v>27</v>
      </c>
      <c r="AC3567">
        <v>-57.154699999999998</v>
      </c>
      <c r="AD3567">
        <v>-1.1083998909599999</v>
      </c>
      <c r="AE3567">
        <v>7.3298999999999799</v>
      </c>
      <c r="AF3567">
        <v>6.6114081839869998</v>
      </c>
      <c r="AG3567">
        <v>-1.1083998909599999</v>
      </c>
      <c r="AH3567">
        <v>57.220806620620003</v>
      </c>
      <c r="AI3567">
        <v>91.102381228335403</v>
      </c>
      <c r="AJ3567">
        <v>83.409154783223002</v>
      </c>
      <c r="AK3567">
        <v>57.612151312096998</v>
      </c>
      <c r="AL3567">
        <v>81.965439495566798</v>
      </c>
      <c r="AM3567">
        <v>88.428895401338707</v>
      </c>
      <c r="AN3567">
        <v>1.0000000003548299</v>
      </c>
    </row>
    <row r="3568" spans="1:40" x14ac:dyDescent="0.25">
      <c r="A3568" t="str">
        <f>"20190312164542611"</f>
        <v>20190312164542611</v>
      </c>
      <c r="B3568" t="str">
        <f>"1552380342605330"</f>
        <v>1552380342605330</v>
      </c>
      <c r="C3568" t="s">
        <v>40</v>
      </c>
      <c r="D3568">
        <v>4.5295310000000004</v>
      </c>
      <c r="E3568">
        <v>0.53964040000000002</v>
      </c>
      <c r="F3568" t="s">
        <v>42</v>
      </c>
      <c r="G3568">
        <v>-325.24579999999997</v>
      </c>
      <c r="H3568">
        <v>7.9985539999999994E-2</v>
      </c>
      <c r="I3568">
        <v>151.45599999999999</v>
      </c>
      <c r="J3568">
        <v>-246.37430000000001</v>
      </c>
      <c r="K3568">
        <v>1.1083970000000001</v>
      </c>
      <c r="L3568">
        <v>140.85399999999899</v>
      </c>
      <c r="M3568">
        <v>-0.99989090000000003</v>
      </c>
      <c r="N3568">
        <v>0</v>
      </c>
      <c r="O3568">
        <v>1.246566E-2</v>
      </c>
      <c r="P3568">
        <v>-0.99022250000000001</v>
      </c>
      <c r="Q3568">
        <v>0.13364789999999999</v>
      </c>
      <c r="R3568">
        <v>3.997158E-2</v>
      </c>
      <c r="S3568">
        <v>-3.0179140000000002</v>
      </c>
      <c r="T3568">
        <v>-3.9206619999999998E-2</v>
      </c>
      <c r="U3568">
        <v>0.4043274</v>
      </c>
      <c r="V3568">
        <v>2.7616180000000001E-2</v>
      </c>
      <c r="W3568">
        <v>0.14150209999999999</v>
      </c>
      <c r="X3568">
        <v>0.98955269999999995</v>
      </c>
      <c r="Y3568">
        <v>0.1204144</v>
      </c>
      <c r="Z3568">
        <v>6.1747229999999998E-4</v>
      </c>
      <c r="AA3568">
        <v>0.99272349999999998</v>
      </c>
      <c r="AB3568">
        <v>27</v>
      </c>
      <c r="AC3568">
        <v>-78.871499999999898</v>
      </c>
      <c r="AD3568">
        <v>-1.0284114599999901</v>
      </c>
      <c r="AE3568">
        <v>10.602</v>
      </c>
      <c r="AF3568">
        <v>9.6163540749742609</v>
      </c>
      <c r="AG3568">
        <v>-1.0284114599999901</v>
      </c>
      <c r="AH3568">
        <v>78.984346044309405</v>
      </c>
      <c r="AI3568">
        <v>90.740506986687805</v>
      </c>
      <c r="AJ3568">
        <v>83.058395778776301</v>
      </c>
      <c r="AK3568">
        <v>79.574234623234403</v>
      </c>
      <c r="AL3568">
        <v>81.865224552580997</v>
      </c>
      <c r="AM3568">
        <v>88.401419179234395</v>
      </c>
      <c r="AN3568">
        <v>1.00000002188974</v>
      </c>
    </row>
    <row r="3569" spans="1:40" x14ac:dyDescent="0.25">
      <c r="A3569" t="str">
        <f>"20190312164542632"</f>
        <v>20190312164542632</v>
      </c>
      <c r="B3569" t="str">
        <f>"1552380342624851"</f>
        <v>1552380342624851</v>
      </c>
      <c r="C3569" t="s">
        <v>40</v>
      </c>
      <c r="D3569">
        <v>4.7653949999999998</v>
      </c>
      <c r="E3569">
        <v>0.54123639999999995</v>
      </c>
      <c r="F3569" t="s">
        <v>71</v>
      </c>
      <c r="G3569">
        <v>-311.90570000000002</v>
      </c>
      <c r="H3569" s="1">
        <v>-1.16261E-5</v>
      </c>
      <c r="I3569">
        <v>149.75389999999999</v>
      </c>
      <c r="J3569">
        <v>-246.64959999999999</v>
      </c>
      <c r="K3569">
        <v>1.108401</v>
      </c>
      <c r="L3569">
        <v>140.85740000000001</v>
      </c>
      <c r="M3569">
        <v>-0.99989139999999999</v>
      </c>
      <c r="N3569">
        <v>0</v>
      </c>
      <c r="O3569">
        <v>1.2419100000000001E-2</v>
      </c>
      <c r="P3569">
        <v>-0.98994079999999995</v>
      </c>
      <c r="Q3569">
        <v>0.1354416</v>
      </c>
      <c r="R3569">
        <v>4.0897969999999999E-2</v>
      </c>
      <c r="S3569">
        <v>-3.019943</v>
      </c>
      <c r="T3569">
        <v>-5.107975E-2</v>
      </c>
      <c r="U3569">
        <v>0.41014099999999998</v>
      </c>
      <c r="V3569">
        <v>2.8591510000000001E-2</v>
      </c>
      <c r="W3569">
        <v>0.1432927</v>
      </c>
      <c r="X3569">
        <v>0.98926729999999996</v>
      </c>
      <c r="Y3569">
        <v>0.12224309999999999</v>
      </c>
      <c r="Z3569">
        <v>8.1998029999999999E-4</v>
      </c>
      <c r="AA3569">
        <v>0.99249980000000004</v>
      </c>
      <c r="AB3569">
        <v>28</v>
      </c>
      <c r="AC3569">
        <v>-65.256100000000004</v>
      </c>
      <c r="AD3569">
        <v>-1.1084126261</v>
      </c>
      <c r="AE3569">
        <v>8.8964999999999694</v>
      </c>
      <c r="AF3569">
        <v>8.0830768222879499</v>
      </c>
      <c r="AG3569">
        <v>-1.1084126261</v>
      </c>
      <c r="AH3569">
        <v>65.343049018384505</v>
      </c>
      <c r="AI3569">
        <v>90.964463973566396</v>
      </c>
      <c r="AJ3569">
        <v>82.948211604058997</v>
      </c>
      <c r="AK3569">
        <v>65.850427215650697</v>
      </c>
      <c r="AL3569">
        <v>81.761574558576001</v>
      </c>
      <c r="AM3569">
        <v>88.344515223712406</v>
      </c>
      <c r="AN3569">
        <v>1.00000003158332</v>
      </c>
    </row>
    <row r="3570" spans="1:40" x14ac:dyDescent="0.25">
      <c r="A3570" t="str">
        <f>"20190312164542655"</f>
        <v>20190312164542655</v>
      </c>
      <c r="B3570" t="str">
        <f>"1552380342645345"</f>
        <v>1552380342645345</v>
      </c>
      <c r="C3570" t="s">
        <v>40</v>
      </c>
      <c r="D3570">
        <v>4.9040150000000002</v>
      </c>
      <c r="E3570">
        <v>0.54229380000000005</v>
      </c>
      <c r="F3570" t="s">
        <v>43</v>
      </c>
      <c r="G3570">
        <v>-362.30430000000001</v>
      </c>
      <c r="H3570">
        <v>-0.05</v>
      </c>
      <c r="I3570">
        <v>157.2209</v>
      </c>
      <c r="J3570">
        <v>-246.92310000000001</v>
      </c>
      <c r="K3570">
        <v>1.1084020000000001</v>
      </c>
      <c r="L3570">
        <v>140.86070000000001</v>
      </c>
      <c r="M3570">
        <v>-0.999892</v>
      </c>
      <c r="N3570">
        <v>0</v>
      </c>
      <c r="O3570">
        <v>1.237284E-2</v>
      </c>
      <c r="P3570">
        <v>-0.98965639999999999</v>
      </c>
      <c r="Q3570">
        <v>0.1370989</v>
      </c>
      <c r="R3570">
        <v>4.2239230000000003E-2</v>
      </c>
      <c r="S3570">
        <v>-3.0169980000000001</v>
      </c>
      <c r="T3570">
        <v>-3.021836E-2</v>
      </c>
      <c r="U3570">
        <v>0.42686459999999998</v>
      </c>
      <c r="V3570">
        <v>2.9981460000000001E-2</v>
      </c>
      <c r="W3570">
        <v>0.14494799999999999</v>
      </c>
      <c r="X3570">
        <v>0.98898489999999994</v>
      </c>
      <c r="Y3570">
        <v>0.12782370000000001</v>
      </c>
      <c r="Z3570">
        <v>5.1367129999999896E-4</v>
      </c>
      <c r="AA3570">
        <v>0.99179680000000003</v>
      </c>
      <c r="AB3570">
        <v>28</v>
      </c>
      <c r="AC3570">
        <v>-115.38120000000001</v>
      </c>
      <c r="AD3570">
        <v>-1.1584019999999999</v>
      </c>
      <c r="AE3570">
        <v>16.360199999999899</v>
      </c>
      <c r="AF3570">
        <v>14.9298343516058</v>
      </c>
      <c r="AG3570">
        <v>-1.1584019999999999</v>
      </c>
      <c r="AH3570">
        <v>115.563377032061</v>
      </c>
      <c r="AI3570">
        <v>90.569577750244093</v>
      </c>
      <c r="AJ3570">
        <v>82.638632535413194</v>
      </c>
      <c r="AK3570">
        <v>116.529549728875</v>
      </c>
      <c r="AL3570">
        <v>81.665731764578396</v>
      </c>
      <c r="AM3570">
        <v>88.263588073160506</v>
      </c>
      <c r="AN3570">
        <v>0.99999997153787001</v>
      </c>
    </row>
    <row r="3571" spans="1:40" x14ac:dyDescent="0.25">
      <c r="A3571" t="str">
        <f>"20190312164542678"</f>
        <v>20190312164542678</v>
      </c>
      <c r="B3571" t="str">
        <f>"1552380342675602"</f>
        <v>1552380342675602</v>
      </c>
      <c r="C3571" t="s">
        <v>40</v>
      </c>
      <c r="D3571">
        <v>4.7446229999999998</v>
      </c>
      <c r="E3571">
        <v>0.54322469999999901</v>
      </c>
      <c r="F3571" t="s">
        <v>68</v>
      </c>
      <c r="G3571">
        <v>-440.96640000000002</v>
      </c>
      <c r="H3571">
        <v>0.39103139999999997</v>
      </c>
      <c r="I3571">
        <v>169.20410000000001</v>
      </c>
      <c r="J3571">
        <v>-247.20590000000001</v>
      </c>
      <c r="K3571">
        <v>1.1084160000000001</v>
      </c>
      <c r="L3571">
        <v>140.86410000000001</v>
      </c>
      <c r="M3571">
        <v>-0.99989280000000003</v>
      </c>
      <c r="N3571">
        <v>0</v>
      </c>
      <c r="O3571">
        <v>1.231868E-2</v>
      </c>
      <c r="P3571">
        <v>-0.98924860000000003</v>
      </c>
      <c r="Q3571">
        <v>0.13978560000000001</v>
      </c>
      <c r="R3571">
        <v>4.2980730000000002E-2</v>
      </c>
      <c r="S3571">
        <v>-3.0140989999999999</v>
      </c>
      <c r="T3571">
        <v>-1.114237E-2</v>
      </c>
      <c r="U3571">
        <v>0.44026179999999898</v>
      </c>
      <c r="V3571">
        <v>3.078024E-2</v>
      </c>
      <c r="W3571">
        <v>0.1476316</v>
      </c>
      <c r="X3571">
        <v>0.98856339999999998</v>
      </c>
      <c r="Y3571">
        <v>0.13233230000000001</v>
      </c>
      <c r="Z3571">
        <v>1.9801890000000001E-4</v>
      </c>
      <c r="AA3571">
        <v>0.99120540000000001</v>
      </c>
      <c r="AB3571">
        <v>28</v>
      </c>
      <c r="AC3571">
        <v>-193.76050000000001</v>
      </c>
      <c r="AD3571">
        <v>-0.71738459999999904</v>
      </c>
      <c r="AE3571">
        <v>28.34</v>
      </c>
      <c r="AF3571">
        <v>25.950552853965299</v>
      </c>
      <c r="AG3571">
        <v>-0.71738459999999904</v>
      </c>
      <c r="AH3571">
        <v>194.092314392444</v>
      </c>
      <c r="AI3571">
        <v>90.209902160426097</v>
      </c>
      <c r="AJ3571">
        <v>82.384597103561404</v>
      </c>
      <c r="AK3571">
        <v>195.820765855682</v>
      </c>
      <c r="AL3571">
        <v>81.510301299424498</v>
      </c>
      <c r="AM3571">
        <v>88.2165956548791</v>
      </c>
      <c r="AN3571">
        <v>1.0000000541562799</v>
      </c>
    </row>
    <row r="3572" spans="1:40" x14ac:dyDescent="0.25">
      <c r="A3572" t="str">
        <f>"20190312164542700"</f>
        <v>20190312164542700</v>
      </c>
      <c r="B3572" t="str">
        <f>"1552380342695122"</f>
        <v>1552380342695122</v>
      </c>
      <c r="C3572" t="s">
        <v>40</v>
      </c>
      <c r="D3572">
        <v>4.8021209999999996</v>
      </c>
      <c r="E3572">
        <v>0.54336580000000001</v>
      </c>
      <c r="F3572" t="s">
        <v>53</v>
      </c>
      <c r="G3572">
        <v>-459.875</v>
      </c>
      <c r="H3572">
        <v>1.761841</v>
      </c>
      <c r="I3572">
        <v>172.66499999999999</v>
      </c>
      <c r="J3572">
        <v>-247.48840000000001</v>
      </c>
      <c r="K3572">
        <v>1.1084430000000001</v>
      </c>
      <c r="L3572">
        <v>140.86760000000001</v>
      </c>
      <c r="M3572">
        <v>-0.99989349999999999</v>
      </c>
      <c r="N3572">
        <v>0</v>
      </c>
      <c r="O3572">
        <v>1.224923E-2</v>
      </c>
      <c r="P3572">
        <v>-0.98870179999999996</v>
      </c>
      <c r="Q3572">
        <v>0.14373440000000001</v>
      </c>
      <c r="R3572">
        <v>4.253287E-2</v>
      </c>
      <c r="S3572">
        <v>-3.0117189999999998</v>
      </c>
      <c r="T3572">
        <v>9.2535020000000003E-3</v>
      </c>
      <c r="U3572">
        <v>0.45034790000000002</v>
      </c>
      <c r="V3572">
        <v>3.0404250000000001E-2</v>
      </c>
      <c r="W3572">
        <v>0.15157590000000001</v>
      </c>
      <c r="X3572">
        <v>0.98797789999999996</v>
      </c>
      <c r="Y3572">
        <v>0.1357611</v>
      </c>
      <c r="Z3572">
        <v>-1.699898E-4</v>
      </c>
      <c r="AA3572">
        <v>0.9907416</v>
      </c>
      <c r="AB3572">
        <v>28</v>
      </c>
      <c r="AC3572">
        <v>-212.38659999999999</v>
      </c>
      <c r="AD3572">
        <v>0.65339799999999904</v>
      </c>
      <c r="AE3572">
        <v>31.7973999999999</v>
      </c>
      <c r="AF3572">
        <v>29.193089824396399</v>
      </c>
      <c r="AG3572">
        <v>0.65339799999999904</v>
      </c>
      <c r="AH3572">
        <v>212.75820117398001</v>
      </c>
      <c r="AI3572">
        <v>89.825673865015901</v>
      </c>
      <c r="AJ3572">
        <v>82.187089638121506</v>
      </c>
      <c r="AK3572">
        <v>214.75268470785099</v>
      </c>
      <c r="AL3572">
        <v>81.2817366916899</v>
      </c>
      <c r="AM3572">
        <v>88.237323341430894</v>
      </c>
      <c r="AN3572">
        <v>1.0000000013836401</v>
      </c>
    </row>
    <row r="3573" spans="1:40" x14ac:dyDescent="0.25">
      <c r="A3573" t="str">
        <f>"20190312164542722"</f>
        <v>20190312164542722</v>
      </c>
      <c r="B3573" t="str">
        <f>"1552380342715618"</f>
        <v>1552380342715618</v>
      </c>
      <c r="C3573" t="s">
        <v>40</v>
      </c>
      <c r="D3573">
        <v>4.9199289999999998</v>
      </c>
      <c r="E3573">
        <v>0.54396429999999996</v>
      </c>
      <c r="F3573" t="s">
        <v>53</v>
      </c>
      <c r="G3573">
        <v>-459.875</v>
      </c>
      <c r="H3573">
        <v>1.3409660000000001</v>
      </c>
      <c r="I3573">
        <v>172.47309999999999</v>
      </c>
      <c r="J3573">
        <v>-247.7619</v>
      </c>
      <c r="K3573">
        <v>1.108474</v>
      </c>
      <c r="L3573">
        <v>140.8708</v>
      </c>
      <c r="M3573">
        <v>-0.99989470000000003</v>
      </c>
      <c r="N3573">
        <v>0</v>
      </c>
      <c r="O3573">
        <v>1.215861E-2</v>
      </c>
      <c r="P3573">
        <v>-0.98808280000000004</v>
      </c>
      <c r="Q3573">
        <v>0.14785329999999999</v>
      </c>
      <c r="R3573">
        <v>4.2803349999999997E-2</v>
      </c>
      <c r="S3573">
        <v>-3.0145110000000002</v>
      </c>
      <c r="T3573">
        <v>3.300309E-3</v>
      </c>
      <c r="U3573">
        <v>0.44859310000000002</v>
      </c>
      <c r="V3573">
        <v>3.076634E-2</v>
      </c>
      <c r="W3573">
        <v>0.15569069999999999</v>
      </c>
      <c r="X3573">
        <v>0.98732660000000005</v>
      </c>
      <c r="Y3573">
        <v>0.13515289999999999</v>
      </c>
      <c r="Z3573" s="1">
        <v>-6.0342459999999998E-5</v>
      </c>
      <c r="AA3573">
        <v>0.99082479999999995</v>
      </c>
      <c r="AB3573">
        <v>28</v>
      </c>
      <c r="AC3573">
        <v>-212.1131</v>
      </c>
      <c r="AD3573">
        <v>0.23249199999999901</v>
      </c>
      <c r="AE3573">
        <v>31.6022999999999</v>
      </c>
      <c r="AF3573">
        <v>29.020848358723399</v>
      </c>
      <c r="AG3573">
        <v>0.23249199999999901</v>
      </c>
      <c r="AH3573">
        <v>212.48142227632599</v>
      </c>
      <c r="AI3573">
        <v>89.937885054876602</v>
      </c>
      <c r="AJ3573">
        <v>82.222627997773699</v>
      </c>
      <c r="AK3573">
        <v>214.45423405603401</v>
      </c>
      <c r="AL3573">
        <v>81.043143120772697</v>
      </c>
      <c r="AM3573">
        <v>88.215168924323507</v>
      </c>
      <c r="AN3573">
        <v>0.99999998840552196</v>
      </c>
    </row>
    <row r="3574" spans="1:40" x14ac:dyDescent="0.25">
      <c r="A3574" t="str">
        <f>"20190312164542744"</f>
        <v>20190312164542744</v>
      </c>
      <c r="B3574" t="str">
        <f>"1552380342735141"</f>
        <v>1552380342735141</v>
      </c>
      <c r="C3574" t="s">
        <v>40</v>
      </c>
      <c r="D3574">
        <v>5.244561</v>
      </c>
      <c r="E3574">
        <v>0.54411529999999997</v>
      </c>
      <c r="F3574" t="s">
        <v>53</v>
      </c>
      <c r="G3574">
        <v>-459.875</v>
      </c>
      <c r="H3574">
        <v>1.6498330000000001</v>
      </c>
      <c r="I3574">
        <v>172.7861</v>
      </c>
      <c r="J3574">
        <v>-248.04320000000001</v>
      </c>
      <c r="K3574">
        <v>1.1085039999999999</v>
      </c>
      <c r="L3574">
        <v>140.8741</v>
      </c>
      <c r="M3574">
        <v>-0.99989600000000001</v>
      </c>
      <c r="N3574">
        <v>0</v>
      </c>
      <c r="O3574">
        <v>1.203542E-2</v>
      </c>
      <c r="P3574">
        <v>-0.98750000000000004</v>
      </c>
      <c r="Q3574">
        <v>0.15132019999999999</v>
      </c>
      <c r="R3574">
        <v>4.4109299999999997E-2</v>
      </c>
      <c r="S3574">
        <v>-3.0153810000000001</v>
      </c>
      <c r="T3574">
        <v>7.6959130000000004E-3</v>
      </c>
      <c r="U3574">
        <v>0.45370480000000002</v>
      </c>
      <c r="V3574">
        <v>3.2192390000000001E-2</v>
      </c>
      <c r="W3574">
        <v>0.15915879999999999</v>
      </c>
      <c r="X3574">
        <v>0.98672800000000005</v>
      </c>
      <c r="Y3574">
        <v>0.13687569999999999</v>
      </c>
      <c r="Z3574">
        <v>-1.4315199999999999E-4</v>
      </c>
      <c r="AA3574">
        <v>0.99058820000000003</v>
      </c>
      <c r="AB3574">
        <v>28</v>
      </c>
      <c r="AC3574">
        <v>-211.83179999999999</v>
      </c>
      <c r="AD3574">
        <v>0.54132899999999995</v>
      </c>
      <c r="AE3574">
        <v>31.911999999999999</v>
      </c>
      <c r="AF3574">
        <v>29.359935874216401</v>
      </c>
      <c r="AG3574">
        <v>0.54132899999999995</v>
      </c>
      <c r="AH3574">
        <v>212.199187868716</v>
      </c>
      <c r="AI3574">
        <v>89.8552156564527</v>
      </c>
      <c r="AJ3574">
        <v>82.122554150019397</v>
      </c>
      <c r="AK3574">
        <v>214.22136729039701</v>
      </c>
      <c r="AL3574">
        <v>80.841926740741101</v>
      </c>
      <c r="AM3574">
        <v>88.131365419189706</v>
      </c>
      <c r="AN3574">
        <v>1.00000000978767</v>
      </c>
    </row>
    <row r="3575" spans="1:40" x14ac:dyDescent="0.25">
      <c r="A3575" t="str">
        <f>"20190312164542766"</f>
        <v>20190312164542766</v>
      </c>
      <c r="B3575" t="str">
        <f>"1552380342755633"</f>
        <v>1552380342755633</v>
      </c>
      <c r="C3575" t="s">
        <v>40</v>
      </c>
      <c r="D3575">
        <v>5.5242360000000001</v>
      </c>
      <c r="E3575">
        <v>0.54419619999999902</v>
      </c>
      <c r="F3575" t="s">
        <v>53</v>
      </c>
      <c r="G3575">
        <v>-459.875</v>
      </c>
      <c r="H3575">
        <v>2.8337080000000001</v>
      </c>
      <c r="I3575">
        <v>173.1336</v>
      </c>
      <c r="J3575">
        <v>-248.30359999999999</v>
      </c>
      <c r="K3575">
        <v>1.108538</v>
      </c>
      <c r="L3575">
        <v>140.87710000000001</v>
      </c>
      <c r="M3575">
        <v>-0.99989779999999995</v>
      </c>
      <c r="N3575">
        <v>0</v>
      </c>
      <c r="O3575">
        <v>1.188817E-2</v>
      </c>
      <c r="P3575">
        <v>-0.98706199999999999</v>
      </c>
      <c r="Q3575">
        <v>0.15367790000000001</v>
      </c>
      <c r="R3575">
        <v>4.5734610000000002E-2</v>
      </c>
      <c r="S3575">
        <v>-3.0137179999999999</v>
      </c>
      <c r="T3575">
        <v>2.4544360000000001E-2</v>
      </c>
      <c r="U3575">
        <v>0.45895390000000003</v>
      </c>
      <c r="V3575">
        <v>3.395832E-2</v>
      </c>
      <c r="W3575">
        <v>0.1615229</v>
      </c>
      <c r="X3575">
        <v>0.98628459999999996</v>
      </c>
      <c r="Y3575">
        <v>0.13878470000000001</v>
      </c>
      <c r="Z3575">
        <v>-4.6565480000000003E-4</v>
      </c>
      <c r="AA3575">
        <v>0.99032249999999999</v>
      </c>
      <c r="AB3575">
        <v>28</v>
      </c>
      <c r="AC3575">
        <v>-211.57140000000001</v>
      </c>
      <c r="AD3575">
        <v>1.7251700000000001</v>
      </c>
      <c r="AE3575">
        <v>32.256499999999903</v>
      </c>
      <c r="AF3575">
        <v>29.737012043624699</v>
      </c>
      <c r="AG3575">
        <v>1.7251700000000001</v>
      </c>
      <c r="AH3575">
        <v>211.926160164311</v>
      </c>
      <c r="AI3575">
        <v>89.538122647538103</v>
      </c>
      <c r="AJ3575">
        <v>82.012531950805794</v>
      </c>
      <c r="AK3575">
        <v>214.009260217405</v>
      </c>
      <c r="AL3575">
        <v>80.704698755631696</v>
      </c>
      <c r="AM3575">
        <v>88.028053847086795</v>
      </c>
      <c r="AN3575">
        <v>1.00000006345939</v>
      </c>
    </row>
    <row r="3576" spans="1:40" x14ac:dyDescent="0.25">
      <c r="A3576" t="str">
        <f>"20190312164542788"</f>
        <v>20190312164542788</v>
      </c>
      <c r="B3576" t="str">
        <f>"1552380342784914"</f>
        <v>1552380342784914</v>
      </c>
      <c r="C3576" t="s">
        <v>40</v>
      </c>
      <c r="D3576">
        <v>5.2053699999999896</v>
      </c>
      <c r="E3576">
        <v>0.54438799999999998</v>
      </c>
      <c r="F3576" t="s">
        <v>53</v>
      </c>
      <c r="G3576">
        <v>-459.875</v>
      </c>
      <c r="H3576">
        <v>3.7017690000000001</v>
      </c>
      <c r="I3576">
        <v>173.50599999999901</v>
      </c>
      <c r="J3576">
        <v>-248.59139999999999</v>
      </c>
      <c r="K3576">
        <v>1.108571</v>
      </c>
      <c r="L3576">
        <v>140.88030000000001</v>
      </c>
      <c r="M3576">
        <v>-0.99990020000000002</v>
      </c>
      <c r="N3576">
        <v>0</v>
      </c>
      <c r="O3576">
        <v>1.168896E-2</v>
      </c>
      <c r="P3576">
        <v>-0.98669560000000001</v>
      </c>
      <c r="Q3576">
        <v>0.15571389999999999</v>
      </c>
      <c r="R3576">
        <v>4.6744859999999999E-2</v>
      </c>
      <c r="S3576">
        <v>-3.012054</v>
      </c>
      <c r="T3576">
        <v>3.6918760000000002E-2</v>
      </c>
      <c r="U3576">
        <v>0.46452329999999997</v>
      </c>
      <c r="V3576">
        <v>3.5157859999999999E-2</v>
      </c>
      <c r="W3576">
        <v>0.16356679999999901</v>
      </c>
      <c r="X3576">
        <v>0.98590560000000005</v>
      </c>
      <c r="Y3576">
        <v>0.1408469</v>
      </c>
      <c r="Z3576">
        <v>-7.1568179999999997E-4</v>
      </c>
      <c r="AA3576">
        <v>0.99003110000000005</v>
      </c>
      <c r="AB3576">
        <v>28</v>
      </c>
      <c r="AC3576">
        <v>-211.28360000000001</v>
      </c>
      <c r="AD3576">
        <v>2.5931980000000001</v>
      </c>
      <c r="AE3576">
        <v>32.625699999999902</v>
      </c>
      <c r="AF3576">
        <v>30.149271724636399</v>
      </c>
      <c r="AG3576">
        <v>2.5931980000000001</v>
      </c>
      <c r="AH3576">
        <v>211.61940118959501</v>
      </c>
      <c r="AI3576">
        <v>89.304946695874904</v>
      </c>
      <c r="AJ3576">
        <v>81.891675150362801</v>
      </c>
      <c r="AK3576">
        <v>213.772014588524</v>
      </c>
      <c r="AL3576">
        <v>80.586013037776596</v>
      </c>
      <c r="AM3576">
        <v>87.9576708324404</v>
      </c>
      <c r="AN3576">
        <v>1.0000000126466799</v>
      </c>
    </row>
    <row r="3577" spans="1:40" x14ac:dyDescent="0.25">
      <c r="A3577" t="str">
        <f>"20190312164542811"</f>
        <v>20190312164542811</v>
      </c>
      <c r="B3577" t="str">
        <f>"1552380342805410"</f>
        <v>1552380342805410</v>
      </c>
      <c r="C3577" t="s">
        <v>40</v>
      </c>
      <c r="D3577">
        <v>4.8588269999999998</v>
      </c>
      <c r="E3577">
        <v>0.54449939999999997</v>
      </c>
      <c r="F3577" t="s">
        <v>53</v>
      </c>
      <c r="G3577">
        <v>-459.875</v>
      </c>
      <c r="H3577">
        <v>4.5136609999999999</v>
      </c>
      <c r="I3577">
        <v>173.8733</v>
      </c>
      <c r="J3577">
        <v>-248.8673</v>
      </c>
      <c r="K3577">
        <v>1.108606</v>
      </c>
      <c r="L3577">
        <v>140.88329999999999</v>
      </c>
      <c r="M3577">
        <v>-0.99990270000000003</v>
      </c>
      <c r="N3577">
        <v>0</v>
      </c>
      <c r="O3577">
        <v>1.146225E-2</v>
      </c>
      <c r="P3577">
        <v>-0.98624599999999996</v>
      </c>
      <c r="Q3577">
        <v>0.158359</v>
      </c>
      <c r="R3577">
        <v>4.7342139999999998E-2</v>
      </c>
      <c r="S3577">
        <v>-3.010529</v>
      </c>
      <c r="T3577">
        <v>4.85183E-2</v>
      </c>
      <c r="U3577">
        <v>0.47010800000000003</v>
      </c>
      <c r="V3577">
        <v>3.5973270000000002E-2</v>
      </c>
      <c r="W3577">
        <v>0.166217</v>
      </c>
      <c r="X3577">
        <v>0.9854328</v>
      </c>
      <c r="Y3577">
        <v>0.1429328</v>
      </c>
      <c r="Z3577">
        <v>-9.6119160000000001E-4</v>
      </c>
      <c r="AA3577">
        <v>0.9897319</v>
      </c>
      <c r="AB3577">
        <v>28</v>
      </c>
      <c r="AC3577">
        <v>-211.0077</v>
      </c>
      <c r="AD3577">
        <v>3.4050549999999999</v>
      </c>
      <c r="AE3577">
        <v>32.99</v>
      </c>
      <c r="AF3577">
        <v>30.561364691987901</v>
      </c>
      <c r="AG3577">
        <v>3.4050549999999999</v>
      </c>
      <c r="AH3577">
        <v>211.31827319708</v>
      </c>
      <c r="AI3577">
        <v>89.086353979772795</v>
      </c>
      <c r="AJ3577">
        <v>81.770800933489397</v>
      </c>
      <c r="AK3577">
        <v>213.543915854294</v>
      </c>
      <c r="AL3577">
        <v>80.432060092132502</v>
      </c>
      <c r="AM3577">
        <v>87.909343268228298</v>
      </c>
      <c r="AN3577">
        <v>0.99999998527966605</v>
      </c>
    </row>
    <row r="3578" spans="1:40" x14ac:dyDescent="0.25">
      <c r="A3578" t="str">
        <f>"20190312164542833"</f>
        <v>20190312164542833</v>
      </c>
      <c r="B3578" t="str">
        <f>"1552380342824931"</f>
        <v>1552380342824931</v>
      </c>
      <c r="C3578" t="s">
        <v>40</v>
      </c>
      <c r="D3578">
        <v>4.768281</v>
      </c>
      <c r="E3578">
        <v>0.54491599999999996</v>
      </c>
      <c r="F3578" t="s">
        <v>74</v>
      </c>
      <c r="G3578">
        <v>-450.77140000000003</v>
      </c>
      <c r="H3578">
        <v>5.1612780000000003</v>
      </c>
      <c r="I3578">
        <v>172.6558</v>
      </c>
      <c r="J3578">
        <v>-249.1584</v>
      </c>
      <c r="K3578">
        <v>1.108633</v>
      </c>
      <c r="L3578">
        <v>140.88640000000001</v>
      </c>
      <c r="M3578">
        <v>-0.99990570000000001</v>
      </c>
      <c r="N3578">
        <v>0</v>
      </c>
      <c r="O3578">
        <v>1.119683E-2</v>
      </c>
      <c r="P3578">
        <v>-0.98577210000000004</v>
      </c>
      <c r="Q3578">
        <v>0.16104549999999901</v>
      </c>
      <c r="R3578">
        <v>4.8142659999999997E-2</v>
      </c>
      <c r="S3578">
        <v>-3.0094150000000002</v>
      </c>
      <c r="T3578">
        <v>6.0406330000000001E-2</v>
      </c>
      <c r="U3578">
        <v>0.47357179999999999</v>
      </c>
      <c r="V3578">
        <v>3.703178E-2</v>
      </c>
      <c r="W3578">
        <v>0.16890920000000001</v>
      </c>
      <c r="X3578">
        <v>0.98493569999999997</v>
      </c>
      <c r="Y3578">
        <v>0.1443535</v>
      </c>
      <c r="Z3578">
        <v>-1.2164560000000001E-3</v>
      </c>
      <c r="AA3578">
        <v>0.9895254</v>
      </c>
      <c r="AB3578">
        <v>28</v>
      </c>
      <c r="AC3578">
        <v>-201.613</v>
      </c>
      <c r="AD3578">
        <v>4.0526450000000001</v>
      </c>
      <c r="AE3578">
        <v>31.769399999999901</v>
      </c>
      <c r="AF3578">
        <v>29.498280375960501</v>
      </c>
      <c r="AG3578">
        <v>4.0526450000000001</v>
      </c>
      <c r="AH3578">
        <v>201.87649579176301</v>
      </c>
      <c r="AI3578">
        <v>88.862030089516793</v>
      </c>
      <c r="AJ3578">
        <v>81.686748813227098</v>
      </c>
      <c r="AK3578">
        <v>204.06051070649701</v>
      </c>
      <c r="AL3578">
        <v>80.275596314446602</v>
      </c>
      <c r="AM3578">
        <v>87.846797757832306</v>
      </c>
      <c r="AN3578">
        <v>1.0000000018545401</v>
      </c>
    </row>
    <row r="3579" spans="1:40" x14ac:dyDescent="0.25">
      <c r="A3579" t="str">
        <f>"20190312164542856"</f>
        <v>20190312164542856</v>
      </c>
      <c r="B3579" t="str">
        <f>"1552380342845429"</f>
        <v>1552380342845429</v>
      </c>
      <c r="C3579" t="s">
        <v>40</v>
      </c>
      <c r="D3579">
        <v>4.712523</v>
      </c>
      <c r="E3579">
        <v>0.54536799999999996</v>
      </c>
      <c r="F3579" t="s">
        <v>56</v>
      </c>
      <c r="G3579">
        <v>-456.08100000000002</v>
      </c>
      <c r="H3579">
        <v>6.2633330000000003</v>
      </c>
      <c r="I3579">
        <v>173.9248</v>
      </c>
      <c r="J3579">
        <v>-249.43520000000001</v>
      </c>
      <c r="K3579">
        <v>1.1086499999999999</v>
      </c>
      <c r="L3579">
        <v>140.88919999999999</v>
      </c>
      <c r="M3579">
        <v>-0.99990849999999998</v>
      </c>
      <c r="N3579">
        <v>0</v>
      </c>
      <c r="O3579">
        <v>1.092858E-2</v>
      </c>
      <c r="P3579">
        <v>-0.98536069999999998</v>
      </c>
      <c r="Q3579">
        <v>0.16330710000000001</v>
      </c>
      <c r="R3579">
        <v>4.8938839999999997E-2</v>
      </c>
      <c r="S3579">
        <v>-3.0075989999999999</v>
      </c>
      <c r="T3579">
        <v>7.4923279999999995E-2</v>
      </c>
      <c r="U3579">
        <v>0.48020940000000001</v>
      </c>
      <c r="V3579">
        <v>3.8090880000000001E-2</v>
      </c>
      <c r="W3579">
        <v>0.17117550000000001</v>
      </c>
      <c r="X3579">
        <v>0.98450389999999999</v>
      </c>
      <c r="Y3579">
        <v>0.1468255</v>
      </c>
      <c r="Z3579">
        <v>-1.5465870000000001E-3</v>
      </c>
      <c r="AA3579">
        <v>0.98916119999999996</v>
      </c>
      <c r="AB3579">
        <v>28</v>
      </c>
      <c r="AC3579">
        <v>-206.64579999999901</v>
      </c>
      <c r="AD3579">
        <v>5.1546830000000003</v>
      </c>
      <c r="AE3579">
        <v>33.035600000000002</v>
      </c>
      <c r="AF3579">
        <v>30.7565493771768</v>
      </c>
      <c r="AG3579">
        <v>5.1546830000000003</v>
      </c>
      <c r="AH3579">
        <v>206.868989957347</v>
      </c>
      <c r="AI3579">
        <v>88.588133627115198</v>
      </c>
      <c r="AJ3579">
        <v>81.543413232701496</v>
      </c>
      <c r="AK3579">
        <v>209.20639352657</v>
      </c>
      <c r="AL3579">
        <v>80.143827346702196</v>
      </c>
      <c r="AM3579">
        <v>87.784306761094101</v>
      </c>
      <c r="AN3579">
        <v>0.99999994802731496</v>
      </c>
    </row>
    <row r="3580" spans="1:40" x14ac:dyDescent="0.25">
      <c r="A3580" t="str">
        <f>"20190312164542878"</f>
        <v>20190312164542878</v>
      </c>
      <c r="B3580" t="str">
        <f>"1552380342875682"</f>
        <v>1552380342875682</v>
      </c>
      <c r="C3580" t="s">
        <v>40</v>
      </c>
      <c r="D3580">
        <v>4.5533710000000003</v>
      </c>
      <c r="E3580">
        <v>0.54618549999999999</v>
      </c>
      <c r="F3580" t="s">
        <v>59</v>
      </c>
      <c r="G3580">
        <v>-361.93669999999997</v>
      </c>
      <c r="H3580">
        <v>4.3498330000000003</v>
      </c>
      <c r="I3580">
        <v>159.09630000000001</v>
      </c>
      <c r="J3580">
        <v>-249.72540000000001</v>
      </c>
      <c r="K3580">
        <v>1.1086640000000001</v>
      </c>
      <c r="L3580">
        <v>140.8921</v>
      </c>
      <c r="M3580">
        <v>-0.99991149999999995</v>
      </c>
      <c r="N3580">
        <v>0</v>
      </c>
      <c r="O3580">
        <v>1.063826E-2</v>
      </c>
      <c r="P3580">
        <v>-0.98506930000000004</v>
      </c>
      <c r="Q3580">
        <v>0.16504730000000001</v>
      </c>
      <c r="R3580">
        <v>4.896528E-2</v>
      </c>
      <c r="S3580">
        <v>-3.0060419999999999</v>
      </c>
      <c r="T3580">
        <v>8.6605909999999994E-2</v>
      </c>
      <c r="U3580">
        <v>0.48649599999999998</v>
      </c>
      <c r="V3580">
        <v>3.8402489999999997E-2</v>
      </c>
      <c r="W3580">
        <v>0.1729205</v>
      </c>
      <c r="X3580">
        <v>0.98418680000000003</v>
      </c>
      <c r="Y3580">
        <v>0.14919360000000001</v>
      </c>
      <c r="Z3580">
        <v>-1.8304619999999999E-3</v>
      </c>
      <c r="AA3580">
        <v>0.98880630000000003</v>
      </c>
      <c r="AB3580">
        <v>28</v>
      </c>
      <c r="AC3580">
        <v>-112.211299999999</v>
      </c>
      <c r="AD3580">
        <v>3.24116899999999</v>
      </c>
      <c r="AE3580">
        <v>18.2042</v>
      </c>
      <c r="AF3580">
        <v>16.995582670896599</v>
      </c>
      <c r="AG3580">
        <v>3.24116899999999</v>
      </c>
      <c r="AH3580">
        <v>112.307320126051</v>
      </c>
      <c r="AI3580">
        <v>88.365512537134407</v>
      </c>
      <c r="AJ3580">
        <v>81.394664617524299</v>
      </c>
      <c r="AK3580">
        <v>113.632254050974</v>
      </c>
      <c r="AL3580">
        <v>80.042332821515302</v>
      </c>
      <c r="AM3580">
        <v>87.7654801407853</v>
      </c>
      <c r="AN3580">
        <v>0.999999953926344</v>
      </c>
    </row>
    <row r="3581" spans="1:40" x14ac:dyDescent="0.25">
      <c r="A3581" t="str">
        <f>"20190312164542902"</f>
        <v>20190312164542902</v>
      </c>
      <c r="B3581" t="str">
        <f>"1552380342895202"</f>
        <v>1552380342895202</v>
      </c>
      <c r="C3581" t="s">
        <v>40</v>
      </c>
      <c r="D3581">
        <v>4.7995669999999997</v>
      </c>
      <c r="E3581">
        <v>0.5466512</v>
      </c>
      <c r="F3581" t="s">
        <v>59</v>
      </c>
      <c r="G3581">
        <v>-361.90539999999999</v>
      </c>
      <c r="H3581">
        <v>4.7914870000000001</v>
      </c>
      <c r="I3581">
        <v>159.3115</v>
      </c>
      <c r="J3581">
        <v>-250.01779999999999</v>
      </c>
      <c r="K3581">
        <v>1.108668</v>
      </c>
      <c r="L3581">
        <v>140.89500000000001</v>
      </c>
      <c r="M3581">
        <v>-0.99991470000000005</v>
      </c>
      <c r="N3581">
        <v>0</v>
      </c>
      <c r="O3581">
        <v>1.0342560000000001E-2</v>
      </c>
      <c r="P3581">
        <v>-0.98486010000000002</v>
      </c>
      <c r="Q3581">
        <v>0.16638229999999901</v>
      </c>
      <c r="R3581">
        <v>4.8663249999999998E-2</v>
      </c>
      <c r="S3581">
        <v>-3.0044400000000002</v>
      </c>
      <c r="T3581">
        <v>9.863603E-2</v>
      </c>
      <c r="U3581">
        <v>0.4933167</v>
      </c>
      <c r="V3581">
        <v>3.8392030000000001E-2</v>
      </c>
      <c r="W3581">
        <v>0.17426029999999901</v>
      </c>
      <c r="X3581">
        <v>0.98395089999999996</v>
      </c>
      <c r="Y3581">
        <v>0.15173719999999999</v>
      </c>
      <c r="Z3581">
        <v>-2.1364190000000001E-3</v>
      </c>
      <c r="AA3581">
        <v>0.98841860000000004</v>
      </c>
      <c r="AB3581">
        <v>28</v>
      </c>
      <c r="AC3581">
        <v>-111.88760000000001</v>
      </c>
      <c r="AD3581">
        <v>3.6828189999999998</v>
      </c>
      <c r="AE3581">
        <v>18.4164999999999</v>
      </c>
      <c r="AF3581">
        <v>17.240088324607299</v>
      </c>
      <c r="AG3581">
        <v>3.6828189999999998</v>
      </c>
      <c r="AH3581">
        <v>111.954001311483</v>
      </c>
      <c r="AI3581">
        <v>88.137822098247398</v>
      </c>
      <c r="AJ3581">
        <v>81.245640885979498</v>
      </c>
      <c r="AK3581">
        <v>113.333499949832</v>
      </c>
      <c r="AL3581">
        <v>79.964384843991198</v>
      </c>
      <c r="AM3581">
        <v>87.765553126006296</v>
      </c>
      <c r="AN3581">
        <v>0.99999998686721003</v>
      </c>
    </row>
    <row r="3582" spans="1:40" x14ac:dyDescent="0.25">
      <c r="A3582" t="str">
        <f>"20190312164542923"</f>
        <v>20190312164542923</v>
      </c>
      <c r="B3582" t="str">
        <f>"1552380342915698"</f>
        <v>1552380342915698</v>
      </c>
      <c r="C3582" t="s">
        <v>40</v>
      </c>
      <c r="D3582">
        <v>5.6338140000000001</v>
      </c>
      <c r="E3582">
        <v>0.54717769999999899</v>
      </c>
      <c r="F3582" t="s">
        <v>59</v>
      </c>
      <c r="G3582">
        <v>-360.74520000000001</v>
      </c>
      <c r="H3582">
        <v>5.0189690000000002</v>
      </c>
      <c r="I3582">
        <v>159.18100000000001</v>
      </c>
      <c r="J3582">
        <v>-250.30279999999999</v>
      </c>
      <c r="K3582">
        <v>1.1086689999999999</v>
      </c>
      <c r="L3582">
        <v>140.89760000000001</v>
      </c>
      <c r="M3582">
        <v>-0.99991750000000001</v>
      </c>
      <c r="N3582">
        <v>0</v>
      </c>
      <c r="O3582">
        <v>1.005635E-2</v>
      </c>
      <c r="P3582">
        <v>-0.98479039999999995</v>
      </c>
      <c r="Q3582">
        <v>0.16687779999999999</v>
      </c>
      <c r="R3582">
        <v>4.8368559999999998E-2</v>
      </c>
      <c r="S3582">
        <v>-3.0036930000000002</v>
      </c>
      <c r="T3582">
        <v>0.1060759</v>
      </c>
      <c r="U3582">
        <v>0.49604799999999899</v>
      </c>
      <c r="V3582">
        <v>3.837873E-2</v>
      </c>
      <c r="W3582">
        <v>0.17476129999999901</v>
      </c>
      <c r="X3582">
        <v>0.98386260000000003</v>
      </c>
      <c r="Y3582">
        <v>0.1529219</v>
      </c>
      <c r="Z3582">
        <v>-2.3286689999999998E-3</v>
      </c>
      <c r="AA3582">
        <v>0.98823550000000004</v>
      </c>
      <c r="AB3582">
        <v>28</v>
      </c>
      <c r="AC3582">
        <v>-110.44240000000001</v>
      </c>
      <c r="AD3582">
        <v>3.9102999999999999</v>
      </c>
      <c r="AE3582">
        <v>18.2834</v>
      </c>
      <c r="AF3582">
        <v>17.150866215932201</v>
      </c>
      <c r="AG3582">
        <v>3.9102999999999999</v>
      </c>
      <c r="AH3582">
        <v>110.485877863702</v>
      </c>
      <c r="AI3582">
        <v>87.997011412144502</v>
      </c>
      <c r="AJ3582">
        <v>81.176325995011098</v>
      </c>
      <c r="AK3582">
        <v>111.87748596281401</v>
      </c>
      <c r="AL3582">
        <v>79.935232730865195</v>
      </c>
      <c r="AM3582">
        <v>87.766126147118598</v>
      </c>
      <c r="AN3582">
        <v>1.00000002728643</v>
      </c>
    </row>
    <row r="3583" spans="1:40" x14ac:dyDescent="0.25">
      <c r="A3583" t="str">
        <f>"20190312164542945"</f>
        <v>20190312164542945</v>
      </c>
      <c r="B3583" t="str">
        <f>"1552380342935221"</f>
        <v>1552380342935221</v>
      </c>
      <c r="C3583" t="s">
        <v>40</v>
      </c>
      <c r="D3583">
        <v>5.3398279999999998</v>
      </c>
      <c r="E3583">
        <v>0.51236749999999998</v>
      </c>
      <c r="F3583" t="s">
        <v>59</v>
      </c>
      <c r="G3583">
        <v>-360.86180000000002</v>
      </c>
      <c r="H3583">
        <v>5.0846839999999904</v>
      </c>
      <c r="I3583">
        <v>159.27099999999999</v>
      </c>
      <c r="J3583">
        <v>-250.58590000000001</v>
      </c>
      <c r="K3583">
        <v>1.1086750000000001</v>
      </c>
      <c r="L3583">
        <v>140.90020000000001</v>
      </c>
      <c r="M3583">
        <v>-0.99992040000000004</v>
      </c>
      <c r="N3583">
        <v>0</v>
      </c>
      <c r="O3583">
        <v>9.7802540000000004E-3</v>
      </c>
      <c r="P3583">
        <v>-0.98472409999999999</v>
      </c>
      <c r="Q3583">
        <v>0.1674889</v>
      </c>
      <c r="R3583">
        <v>4.7606019999999999E-2</v>
      </c>
      <c r="S3583">
        <v>-3.0035099999999999</v>
      </c>
      <c r="T3583">
        <v>0.1080161</v>
      </c>
      <c r="U3583">
        <v>0.49914550000000002</v>
      </c>
      <c r="V3583">
        <v>3.7888999999999999E-2</v>
      </c>
      <c r="W3583">
        <v>0.17537629999999901</v>
      </c>
      <c r="X3583">
        <v>0.98377210000000004</v>
      </c>
      <c r="Y3583">
        <v>0.1541921</v>
      </c>
      <c r="Z3583">
        <v>-2.403713E-3</v>
      </c>
      <c r="AA3583">
        <v>0.98803790000000002</v>
      </c>
      <c r="AB3583">
        <v>29</v>
      </c>
      <c r="AC3583">
        <v>-110.27589999999999</v>
      </c>
      <c r="AD3583">
        <v>3.9760089999999999</v>
      </c>
      <c r="AE3583">
        <v>18.370799999999999</v>
      </c>
      <c r="AF3583">
        <v>17.269517073412299</v>
      </c>
      <c r="AG3583">
        <v>3.9760089999999999</v>
      </c>
      <c r="AH3583">
        <v>110.310773657452</v>
      </c>
      <c r="AI3583">
        <v>87.9605610309886</v>
      </c>
      <c r="AJ3583">
        <v>81.102377250698098</v>
      </c>
      <c r="AK3583">
        <v>111.725161232475</v>
      </c>
      <c r="AL3583">
        <v>79.899442655458103</v>
      </c>
      <c r="AM3583">
        <v>87.794400381499599</v>
      </c>
      <c r="AN3583">
        <v>0.999999983830549</v>
      </c>
    </row>
    <row r="3584" spans="1:40" x14ac:dyDescent="0.25">
      <c r="A3584" t="str">
        <f>"20190312164542966"</f>
        <v>20190312164542966</v>
      </c>
      <c r="B3584" t="str">
        <f>"1552380342954738"</f>
        <v>1552380342954738</v>
      </c>
      <c r="C3584" t="s">
        <v>40</v>
      </c>
      <c r="D3584">
        <v>4.8710290000000001</v>
      </c>
      <c r="E3584">
        <v>0.48259770000000002</v>
      </c>
      <c r="F3584" t="s">
        <v>75</v>
      </c>
      <c r="G3584">
        <v>-511.92689999999999</v>
      </c>
      <c r="H3584">
        <v>5.2615879999999997</v>
      </c>
      <c r="I3584">
        <v>159.4735</v>
      </c>
      <c r="J3584">
        <v>-250.85419999999999</v>
      </c>
      <c r="K3584">
        <v>1.1086689999999999</v>
      </c>
      <c r="L3584">
        <v>140.9025</v>
      </c>
      <c r="M3584">
        <v>-0.99992259999999999</v>
      </c>
      <c r="N3584">
        <v>0</v>
      </c>
      <c r="O3584">
        <v>9.5329909999999993E-3</v>
      </c>
      <c r="P3584">
        <v>-0.98474799999999996</v>
      </c>
      <c r="Q3584">
        <v>0.16763220000000001</v>
      </c>
      <c r="R3584">
        <v>4.65958E-2</v>
      </c>
      <c r="S3584">
        <v>-3.0279539999999998</v>
      </c>
      <c r="T3584">
        <v>4.811704E-2</v>
      </c>
      <c r="U3584">
        <v>0.21519469999999999</v>
      </c>
      <c r="V3584">
        <v>3.7124219999999999E-2</v>
      </c>
      <c r="W3584">
        <v>0.17552319999999999</v>
      </c>
      <c r="X3584">
        <v>0.98377510000000001</v>
      </c>
      <c r="Y3584">
        <v>6.1371500000000002E-2</v>
      </c>
      <c r="Z3584">
        <v>-3.3570250000000001E-4</v>
      </c>
      <c r="AA3584">
        <v>0.99811490000000003</v>
      </c>
      <c r="AB3584">
        <v>29</v>
      </c>
      <c r="AC3584">
        <v>-261.0727</v>
      </c>
      <c r="AD3584">
        <v>4.1529189999999998</v>
      </c>
      <c r="AE3584">
        <v>18.571000000000002</v>
      </c>
      <c r="AF3584">
        <v>16.077225187856801</v>
      </c>
      <c r="AG3584">
        <v>4.1529189999999998</v>
      </c>
      <c r="AH3584">
        <v>261.17212543839702</v>
      </c>
      <c r="AI3584">
        <v>89.090732832052197</v>
      </c>
      <c r="AJ3584">
        <v>86.477433236298197</v>
      </c>
      <c r="AK3584">
        <v>261.69945168450698</v>
      </c>
      <c r="AL3584">
        <v>79.890893705446103</v>
      </c>
      <c r="AM3584">
        <v>87.838883795477003</v>
      </c>
      <c r="AN3584">
        <v>1.00000002441442</v>
      </c>
    </row>
    <row r="3585" spans="1:40" x14ac:dyDescent="0.25">
      <c r="A3585" t="str">
        <f>"20190312164542991"</f>
        <v>20190312164542991</v>
      </c>
      <c r="B3585" t="str">
        <f>"1552380342984994"</f>
        <v>1552380342984994</v>
      </c>
      <c r="C3585" t="s">
        <v>40</v>
      </c>
      <c r="D3585">
        <v>4.819534</v>
      </c>
      <c r="E3585">
        <v>0.4831067</v>
      </c>
      <c r="F3585" t="s">
        <v>58</v>
      </c>
      <c r="G3585">
        <v>0</v>
      </c>
      <c r="H3585">
        <v>0</v>
      </c>
      <c r="I3585">
        <v>0</v>
      </c>
      <c r="J3585">
        <v>-251.16499999999999</v>
      </c>
      <c r="K3585">
        <v>1.1086530000000001</v>
      </c>
      <c r="L3585">
        <v>140.90520000000001</v>
      </c>
      <c r="M3585">
        <v>-0.99992499999999995</v>
      </c>
      <c r="N3585">
        <v>0</v>
      </c>
      <c r="O3585">
        <v>9.2723409999999999E-3</v>
      </c>
      <c r="P3585">
        <v>-0.98472570000000004</v>
      </c>
      <c r="Q3585">
        <v>0.16815820000000001</v>
      </c>
      <c r="R3585">
        <v>4.5147859999999998E-2</v>
      </c>
      <c r="S3585">
        <v>-3.0332029999999999</v>
      </c>
      <c r="T3585">
        <v>8.4229349999999995E-2</v>
      </c>
      <c r="U3585">
        <v>-2.29187E-2</v>
      </c>
      <c r="V3585">
        <v>3.5938820000000003E-2</v>
      </c>
      <c r="W3585">
        <v>0.17605179999999901</v>
      </c>
      <c r="X3585">
        <v>0.98372470000000001</v>
      </c>
      <c r="Y3585">
        <v>-1.6817720000000001E-2</v>
      </c>
      <c r="Z3585">
        <v>4.9089730000000001E-4</v>
      </c>
      <c r="AA3585">
        <v>0.99985840000000004</v>
      </c>
      <c r="AB3585">
        <v>29</v>
      </c>
      <c r="AC3585">
        <v>-3.0332029999999999</v>
      </c>
      <c r="AD3585">
        <v>8.4229349999999995E-2</v>
      </c>
      <c r="AE3585">
        <v>-2.29187E-2</v>
      </c>
      <c r="AF3585">
        <v>-5.1004179238782102E-2</v>
      </c>
      <c r="AG3585">
        <v>8.4229349999999995E-2</v>
      </c>
      <c r="AH3585">
        <v>3.0305233058867498</v>
      </c>
      <c r="AI3585">
        <v>88.408175465010601</v>
      </c>
      <c r="AJ3585">
        <v>90.964205861401197</v>
      </c>
      <c r="AK3585">
        <v>3.0321226092003601</v>
      </c>
      <c r="AL3585">
        <v>79.860128445587094</v>
      </c>
      <c r="AM3585">
        <v>87.907720184578494</v>
      </c>
      <c r="AN3585">
        <v>1.00000006022815</v>
      </c>
    </row>
    <row r="3586" spans="1:40" x14ac:dyDescent="0.25">
      <c r="A3586" t="str">
        <f>"20190312164543013"</f>
        <v>20190312164543013</v>
      </c>
      <c r="B3586" t="str">
        <f>"1552380343005491"</f>
        <v>1552380343005491</v>
      </c>
      <c r="C3586" t="s">
        <v>40</v>
      </c>
      <c r="D3586">
        <v>4.8148059999999999</v>
      </c>
      <c r="E3586">
        <v>0.48327609999999899</v>
      </c>
      <c r="F3586" t="s">
        <v>58</v>
      </c>
      <c r="G3586">
        <v>0</v>
      </c>
      <c r="H3586">
        <v>0</v>
      </c>
      <c r="I3586">
        <v>0</v>
      </c>
      <c r="J3586">
        <v>-251.45310000000001</v>
      </c>
      <c r="K3586">
        <v>1.1086259999999999</v>
      </c>
      <c r="L3586">
        <v>140.9076</v>
      </c>
      <c r="M3586">
        <v>-0.99992700000000001</v>
      </c>
      <c r="N3586">
        <v>0</v>
      </c>
      <c r="O3586">
        <v>9.0611059999999993E-3</v>
      </c>
      <c r="P3586">
        <v>-0.98475849999999998</v>
      </c>
      <c r="Q3586">
        <v>0.16833899999999999</v>
      </c>
      <c r="R3586">
        <v>4.3735969999999999E-2</v>
      </c>
      <c r="S3586">
        <v>-3.0412599999999999</v>
      </c>
      <c r="T3586">
        <v>3.7586929999999998E-2</v>
      </c>
      <c r="U3586">
        <v>-2.5344849999999999E-2</v>
      </c>
      <c r="V3586">
        <v>3.474286E-2</v>
      </c>
      <c r="W3586">
        <v>0.17623440000000001</v>
      </c>
      <c r="X3586">
        <v>0.98373489999999997</v>
      </c>
      <c r="Y3586">
        <v>-1.7392100000000001E-2</v>
      </c>
      <c r="Z3586">
        <v>2.19452E-4</v>
      </c>
      <c r="AA3586">
        <v>0.99984870000000003</v>
      </c>
      <c r="AB3586">
        <v>29</v>
      </c>
      <c r="AC3586">
        <v>-3.0412599999999999</v>
      </c>
      <c r="AD3586">
        <v>3.7586929999999998E-2</v>
      </c>
      <c r="AE3586">
        <v>-2.5344849999999999E-2</v>
      </c>
      <c r="AF3586">
        <v>-5.2893790370286797E-2</v>
      </c>
      <c r="AG3586">
        <v>3.7586929999999998E-2</v>
      </c>
      <c r="AH3586">
        <v>3.04044110098432</v>
      </c>
      <c r="AI3586">
        <v>89.2918340063068</v>
      </c>
      <c r="AJ3586">
        <v>90.996659751847901</v>
      </c>
      <c r="AK3586">
        <v>3.0411334431296</v>
      </c>
      <c r="AL3586">
        <v>79.849499355237597</v>
      </c>
      <c r="AM3586">
        <v>87.977308496213993</v>
      </c>
      <c r="AN3586">
        <v>0.99999999177117405</v>
      </c>
    </row>
    <row r="3587" spans="1:40" x14ac:dyDescent="0.25">
      <c r="A3587" t="str">
        <f>"20190312164543034"</f>
        <v>20190312164543034</v>
      </c>
      <c r="B3587" t="str">
        <f>"1552380343025010"</f>
        <v>1552380343025010</v>
      </c>
      <c r="C3587" t="s">
        <v>40</v>
      </c>
      <c r="D3587">
        <v>4.8153540000000001</v>
      </c>
      <c r="E3587">
        <v>0.48319139999999999</v>
      </c>
      <c r="F3587" t="s">
        <v>58</v>
      </c>
      <c r="G3587">
        <v>0</v>
      </c>
      <c r="H3587">
        <v>0</v>
      </c>
      <c r="I3587">
        <v>0</v>
      </c>
      <c r="J3587">
        <v>-251.73949999999999</v>
      </c>
      <c r="K3587">
        <v>1.1086049999999901</v>
      </c>
      <c r="L3587">
        <v>140.91</v>
      </c>
      <c r="M3587">
        <v>-0.9999287</v>
      </c>
      <c r="N3587">
        <v>0</v>
      </c>
      <c r="O3587">
        <v>8.87749E-3</v>
      </c>
      <c r="P3587">
        <v>-0.984796</v>
      </c>
      <c r="Q3587">
        <v>0.1683858</v>
      </c>
      <c r="R3587">
        <v>4.2698609999999998E-2</v>
      </c>
      <c r="S3587">
        <v>-3.0389400000000002</v>
      </c>
      <c r="T3587">
        <v>5.097604E-2</v>
      </c>
      <c r="U3587">
        <v>-2.732849E-2</v>
      </c>
      <c r="V3587">
        <v>3.3895019999999998E-2</v>
      </c>
      <c r="W3587">
        <v>0.1762822</v>
      </c>
      <c r="X3587">
        <v>0.98375590000000002</v>
      </c>
      <c r="Y3587">
        <v>-1.786571E-2</v>
      </c>
      <c r="Z3587">
        <v>2.987334E-4</v>
      </c>
      <c r="AA3587">
        <v>0.99984039999999996</v>
      </c>
      <c r="AB3587">
        <v>29</v>
      </c>
      <c r="AC3587">
        <v>-3.0389400000000002</v>
      </c>
      <c r="AD3587">
        <v>5.097604E-2</v>
      </c>
      <c r="AE3587">
        <v>-2.732849E-2</v>
      </c>
      <c r="AF3587">
        <v>-5.4291157912408301E-2</v>
      </c>
      <c r="AG3587">
        <v>5.097604E-2</v>
      </c>
      <c r="AH3587">
        <v>3.0377229497353802</v>
      </c>
      <c r="AI3587">
        <v>89.038763027532397</v>
      </c>
      <c r="AJ3587">
        <v>91.023899521658805</v>
      </c>
      <c r="AK3587">
        <v>3.0386356816556002</v>
      </c>
      <c r="AL3587">
        <v>79.846716922019397</v>
      </c>
      <c r="AM3587">
        <v>88.026671396583893</v>
      </c>
      <c r="AN3587">
        <v>0.99999997860122503</v>
      </c>
    </row>
    <row r="3588" spans="1:40" x14ac:dyDescent="0.25">
      <c r="A3588" t="str">
        <f>"20190312164543056"</f>
        <v>20190312164543056</v>
      </c>
      <c r="B3588" t="str">
        <f>"1552380343045510"</f>
        <v>1552380343045510</v>
      </c>
      <c r="C3588" t="s">
        <v>40</v>
      </c>
      <c r="D3588">
        <v>4.9520860000000004</v>
      </c>
      <c r="E3588">
        <v>0.48344209999999899</v>
      </c>
      <c r="F3588" t="s">
        <v>58</v>
      </c>
      <c r="G3588">
        <v>0</v>
      </c>
      <c r="H3588">
        <v>0</v>
      </c>
      <c r="I3588">
        <v>0</v>
      </c>
      <c r="J3588">
        <v>-252.0121</v>
      </c>
      <c r="K3588">
        <v>1.1085799999999999</v>
      </c>
      <c r="L3588">
        <v>140.91229999999999</v>
      </c>
      <c r="M3588">
        <v>-0.99992979999999998</v>
      </c>
      <c r="N3588">
        <v>0</v>
      </c>
      <c r="O3588">
        <v>8.7347169999999995E-3</v>
      </c>
      <c r="P3588">
        <v>-0.98482639999999999</v>
      </c>
      <c r="Q3588">
        <v>0.16859379999999999</v>
      </c>
      <c r="R3588">
        <v>4.1149619999999998E-2</v>
      </c>
      <c r="S3588">
        <v>-3.0401310000000001</v>
      </c>
      <c r="T3588">
        <v>4.4292690000000003E-2</v>
      </c>
      <c r="U3588">
        <v>-3.1555180000000002E-2</v>
      </c>
      <c r="V3588">
        <v>3.249618E-2</v>
      </c>
      <c r="W3588">
        <v>0.1764916</v>
      </c>
      <c r="X3588">
        <v>0.98376560000000002</v>
      </c>
      <c r="Y3588">
        <v>-1.9110160000000001E-2</v>
      </c>
      <c r="Z3588">
        <v>2.6645329999999999E-4</v>
      </c>
      <c r="AA3588">
        <v>0.99981739999999997</v>
      </c>
      <c r="AB3588">
        <v>29</v>
      </c>
      <c r="AC3588">
        <v>-3.0401310000000001</v>
      </c>
      <c r="AD3588">
        <v>4.4292690000000003E-2</v>
      </c>
      <c r="AE3588">
        <v>-3.1555180000000002E-2</v>
      </c>
      <c r="AF3588">
        <v>-5.8097180486299999E-2</v>
      </c>
      <c r="AG3588">
        <v>4.4292690000000003E-2</v>
      </c>
      <c r="AH3588">
        <v>3.0390943565801201</v>
      </c>
      <c r="AI3588">
        <v>89.165165421964701</v>
      </c>
      <c r="AJ3588">
        <v>91.095167656441802</v>
      </c>
      <c r="AK3588">
        <v>3.03997230792733</v>
      </c>
      <c r="AL3588">
        <v>79.834528512796894</v>
      </c>
      <c r="AM3588">
        <v>88.108068415618803</v>
      </c>
      <c r="AN3588">
        <v>1.0000000211642499</v>
      </c>
    </row>
    <row r="3589" spans="1:40" x14ac:dyDescent="0.25">
      <c r="A3589" t="str">
        <f>"20190312164543078"</f>
        <v>20190312164543078</v>
      </c>
      <c r="B3589" t="str">
        <f>"1552380343074787"</f>
        <v>1552380343074787</v>
      </c>
      <c r="C3589" t="s">
        <v>40</v>
      </c>
      <c r="D3589">
        <v>4.9363849999999996</v>
      </c>
      <c r="E3589">
        <v>0.48371069999999999</v>
      </c>
      <c r="F3589" t="s">
        <v>58</v>
      </c>
      <c r="G3589">
        <v>0</v>
      </c>
      <c r="H3589">
        <v>0</v>
      </c>
      <c r="I3589">
        <v>0</v>
      </c>
      <c r="J3589">
        <v>-252.30459999999999</v>
      </c>
      <c r="K3589">
        <v>1.1085499999999999</v>
      </c>
      <c r="L3589">
        <v>140.91470000000001</v>
      </c>
      <c r="M3589">
        <v>-0.99993080000000001</v>
      </c>
      <c r="N3589">
        <v>0</v>
      </c>
      <c r="O3589">
        <v>8.6238859999999903E-3</v>
      </c>
      <c r="P3589">
        <v>-0.98474649999999997</v>
      </c>
      <c r="Q3589">
        <v>0.1694069</v>
      </c>
      <c r="R3589">
        <v>3.9702210000000002E-2</v>
      </c>
      <c r="S3589">
        <v>-3.0394589999999999</v>
      </c>
      <c r="T3589">
        <v>4.7691459999999998E-2</v>
      </c>
      <c r="U3589">
        <v>-3.3752440000000002E-2</v>
      </c>
      <c r="V3589">
        <v>3.1170920000000001E-2</v>
      </c>
      <c r="W3589">
        <v>0.17730399999999999</v>
      </c>
      <c r="X3589">
        <v>0.98366240000000005</v>
      </c>
      <c r="Y3589">
        <v>-1.97238E-2</v>
      </c>
      <c r="Z3589">
        <v>2.9003420000000001E-4</v>
      </c>
      <c r="AA3589">
        <v>0.99980550000000001</v>
      </c>
      <c r="AB3589">
        <v>29</v>
      </c>
      <c r="AC3589">
        <v>-3.0394589999999999</v>
      </c>
      <c r="AD3589">
        <v>4.7691459999999998E-2</v>
      </c>
      <c r="AE3589">
        <v>-3.3752440000000002E-2</v>
      </c>
      <c r="AF3589">
        <v>-5.9949214142929197E-2</v>
      </c>
      <c r="AG3589">
        <v>4.7691459999999998E-2</v>
      </c>
      <c r="AH3589">
        <v>3.0383069397393401</v>
      </c>
      <c r="AI3589">
        <v>89.100892891107506</v>
      </c>
      <c r="AJ3589">
        <v>91.1303635151355</v>
      </c>
      <c r="AK3589">
        <v>3.0392725188277501</v>
      </c>
      <c r="AL3589">
        <v>79.787235623936297</v>
      </c>
      <c r="AM3589">
        <v>88.184982249550799</v>
      </c>
      <c r="AN3589">
        <v>1.0000000259216999</v>
      </c>
    </row>
    <row r="3590" spans="1:40" x14ac:dyDescent="0.25">
      <c r="A3590" t="str">
        <f>"20190312164543103"</f>
        <v>20190312164543103</v>
      </c>
      <c r="B3590" t="str">
        <f>"1552380343095282"</f>
        <v>1552380343095282</v>
      </c>
      <c r="C3590" t="s">
        <v>40</v>
      </c>
      <c r="D3590">
        <v>5.0437190000000003</v>
      </c>
      <c r="E3590">
        <v>0.4838327</v>
      </c>
      <c r="F3590" t="s">
        <v>58</v>
      </c>
      <c r="G3590">
        <v>0</v>
      </c>
      <c r="H3590">
        <v>0</v>
      </c>
      <c r="I3590">
        <v>0</v>
      </c>
      <c r="J3590">
        <v>-252.6217</v>
      </c>
      <c r="K3590">
        <v>1.1085160000000001</v>
      </c>
      <c r="L3590">
        <v>140.91730000000001</v>
      </c>
      <c r="M3590">
        <v>-0.99993129999999997</v>
      </c>
      <c r="N3590">
        <v>0</v>
      </c>
      <c r="O3590">
        <v>8.5503509999999994E-3</v>
      </c>
      <c r="P3590">
        <v>-0.98473829999999996</v>
      </c>
      <c r="Q3590">
        <v>0.16973079999999999</v>
      </c>
      <c r="R3590">
        <v>3.8498249999999998E-2</v>
      </c>
      <c r="S3590">
        <v>-3.038986</v>
      </c>
      <c r="T3590">
        <v>5.1846980000000001E-2</v>
      </c>
      <c r="U3590">
        <v>-3.5507200000000003E-2</v>
      </c>
      <c r="V3590">
        <v>3.00536E-2</v>
      </c>
      <c r="W3590">
        <v>0.1776287</v>
      </c>
      <c r="X3590">
        <v>0.98363860000000003</v>
      </c>
      <c r="Y3590">
        <v>-2.0228530000000002E-2</v>
      </c>
      <c r="Z3590">
        <v>3.1840109999999998E-4</v>
      </c>
      <c r="AA3590">
        <v>0.99979530000000005</v>
      </c>
      <c r="AB3590">
        <v>29</v>
      </c>
      <c r="AC3590">
        <v>-3.038986</v>
      </c>
      <c r="AD3590">
        <v>5.1846980000000001E-2</v>
      </c>
      <c r="AE3590">
        <v>-3.5507200000000003E-2</v>
      </c>
      <c r="AF3590">
        <v>-6.1473243955924198E-2</v>
      </c>
      <c r="AG3590">
        <v>5.1846980000000001E-2</v>
      </c>
      <c r="AH3590">
        <v>3.0376872513584301</v>
      </c>
      <c r="AI3590">
        <v>89.022375720484206</v>
      </c>
      <c r="AJ3590">
        <v>91.1593282810815</v>
      </c>
      <c r="AK3590">
        <v>3.0387515374118901</v>
      </c>
      <c r="AL3590">
        <v>79.768331709497602</v>
      </c>
      <c r="AM3590">
        <v>88.249957943842205</v>
      </c>
      <c r="AN3590">
        <v>1.0000000346733</v>
      </c>
    </row>
    <row r="3591" spans="1:40" x14ac:dyDescent="0.25">
      <c r="A3591" t="str">
        <f>"20190312164543125"</f>
        <v>20190312164543125</v>
      </c>
      <c r="B3591" t="str">
        <f>"1552380343114802"</f>
        <v>1552380343114802</v>
      </c>
      <c r="C3591" t="s">
        <v>40</v>
      </c>
      <c r="D3591">
        <v>4.8729779999999998</v>
      </c>
      <c r="E3591">
        <v>0.48385060000000002</v>
      </c>
      <c r="F3591" t="s">
        <v>58</v>
      </c>
      <c r="G3591">
        <v>0</v>
      </c>
      <c r="H3591">
        <v>0</v>
      </c>
      <c r="I3591">
        <v>0</v>
      </c>
      <c r="J3591">
        <v>-252.91640000000001</v>
      </c>
      <c r="K3591">
        <v>1.1085</v>
      </c>
      <c r="L3591">
        <v>140.91980000000001</v>
      </c>
      <c r="M3591">
        <v>-0.99993160000000003</v>
      </c>
      <c r="N3591">
        <v>0</v>
      </c>
      <c r="O3591">
        <v>8.5154989999999993E-3</v>
      </c>
      <c r="P3591">
        <v>-0.98471470000000005</v>
      </c>
      <c r="Q3591">
        <v>0.1700953</v>
      </c>
      <c r="R3591">
        <v>3.7484570000000002E-2</v>
      </c>
      <c r="S3591">
        <v>-3.0389400000000002</v>
      </c>
      <c r="T3591">
        <v>5.2484870000000003E-2</v>
      </c>
      <c r="U3591">
        <v>-3.82843E-2</v>
      </c>
      <c r="V3591">
        <v>2.9086109999999998E-2</v>
      </c>
      <c r="W3591">
        <v>0.17799279999999901</v>
      </c>
      <c r="X3591">
        <v>0.98360179999999997</v>
      </c>
      <c r="Y3591">
        <v>-2.110714E-2</v>
      </c>
      <c r="Z3591">
        <v>3.2930539999999998E-4</v>
      </c>
      <c r="AA3591">
        <v>0.99977709999999997</v>
      </c>
      <c r="AB3591">
        <v>29</v>
      </c>
      <c r="AC3591">
        <v>-3.0389400000000002</v>
      </c>
      <c r="AD3591">
        <v>5.2484870000000003E-2</v>
      </c>
      <c r="AE3591">
        <v>-3.82843E-2</v>
      </c>
      <c r="AF3591">
        <v>-6.4142704686631996E-2</v>
      </c>
      <c r="AG3591">
        <v>5.2484870000000003E-2</v>
      </c>
      <c r="AH3591">
        <v>3.0375978774541399</v>
      </c>
      <c r="AI3591">
        <v>89.010338945185097</v>
      </c>
      <c r="AJ3591">
        <v>91.209692763998603</v>
      </c>
      <c r="AK3591">
        <v>3.03872832172561</v>
      </c>
      <c r="AL3591">
        <v>79.747131828806602</v>
      </c>
      <c r="AM3591">
        <v>88.306198867797505</v>
      </c>
      <c r="AN3591">
        <v>0.99999996980500505</v>
      </c>
    </row>
    <row r="3592" spans="1:40" x14ac:dyDescent="0.25">
      <c r="A3592" t="str">
        <f>"20190312164543146"</f>
        <v>20190312164543146</v>
      </c>
      <c r="B3592" t="str">
        <f>"1552380343135302"</f>
        <v>1552380343135302</v>
      </c>
      <c r="C3592" t="s">
        <v>40</v>
      </c>
      <c r="D3592">
        <v>4.9927199999999896</v>
      </c>
      <c r="E3592">
        <v>0.48422860000000001</v>
      </c>
      <c r="F3592" t="s">
        <v>58</v>
      </c>
      <c r="G3592">
        <v>0</v>
      </c>
      <c r="H3592">
        <v>0</v>
      </c>
      <c r="I3592">
        <v>0</v>
      </c>
      <c r="J3592">
        <v>-253.1909</v>
      </c>
      <c r="K3592">
        <v>1.108474</v>
      </c>
      <c r="L3592">
        <v>140.9221</v>
      </c>
      <c r="M3592">
        <v>-0.99993160000000003</v>
      </c>
      <c r="N3592">
        <v>0</v>
      </c>
      <c r="O3592">
        <v>8.5058010000000003E-3</v>
      </c>
      <c r="P3592">
        <v>-0.98475999999999997</v>
      </c>
      <c r="Q3592">
        <v>0.16997679999999901</v>
      </c>
      <c r="R3592">
        <v>3.6815790000000001E-2</v>
      </c>
      <c r="S3592">
        <v>-3.0396580000000002</v>
      </c>
      <c r="T3592">
        <v>4.9160120000000002E-2</v>
      </c>
      <c r="U3592">
        <v>-4.1488650000000002E-2</v>
      </c>
      <c r="V3592">
        <v>2.8434560000000001E-2</v>
      </c>
      <c r="W3592">
        <v>0.17787130000000001</v>
      </c>
      <c r="X3592">
        <v>0.98364289999999999</v>
      </c>
      <c r="Y3592">
        <v>-2.2148629999999999E-2</v>
      </c>
      <c r="Z3592">
        <v>3.1663729999999998E-4</v>
      </c>
      <c r="AA3592">
        <v>0.9997547</v>
      </c>
      <c r="AB3592">
        <v>29</v>
      </c>
      <c r="AC3592">
        <v>-3.0396580000000002</v>
      </c>
      <c r="AD3592">
        <v>4.9160120000000002E-2</v>
      </c>
      <c r="AE3592">
        <v>-4.1488650000000002E-2</v>
      </c>
      <c r="AF3592">
        <v>-6.73251017939E-2</v>
      </c>
      <c r="AG3592">
        <v>4.9160120000000002E-2</v>
      </c>
      <c r="AH3592">
        <v>3.0384005424354998</v>
      </c>
      <c r="AI3592">
        <v>89.073285241695103</v>
      </c>
      <c r="AJ3592">
        <v>91.269356363829601</v>
      </c>
      <c r="AK3592">
        <v>3.0395439202292001</v>
      </c>
      <c r="AL3592">
        <v>79.754206870906103</v>
      </c>
      <c r="AM3592">
        <v>88.344189028216704</v>
      </c>
      <c r="AN3592">
        <v>1.00000003914324</v>
      </c>
    </row>
    <row r="3593" spans="1:40" x14ac:dyDescent="0.25">
      <c r="A3593" t="str">
        <f>"20190312164543167"</f>
        <v>20190312164543167</v>
      </c>
      <c r="B3593" t="str">
        <f>"1552380343154819"</f>
        <v>1552380343154819</v>
      </c>
      <c r="C3593" t="s">
        <v>40</v>
      </c>
      <c r="D3593">
        <v>4.9642289999999996</v>
      </c>
      <c r="E3593">
        <v>0.48440549999999999</v>
      </c>
      <c r="F3593" t="s">
        <v>58</v>
      </c>
      <c r="G3593">
        <v>0</v>
      </c>
      <c r="H3593">
        <v>0</v>
      </c>
      <c r="I3593">
        <v>0</v>
      </c>
      <c r="J3593">
        <v>-253.4676</v>
      </c>
      <c r="K3593">
        <v>1.1084579999999999</v>
      </c>
      <c r="L3593">
        <v>140.92439999999999</v>
      </c>
      <c r="M3593">
        <v>-0.99993180000000004</v>
      </c>
      <c r="N3593">
        <v>0</v>
      </c>
      <c r="O3593">
        <v>8.5175440000000002E-3</v>
      </c>
      <c r="P3593">
        <v>-0.98491039999999996</v>
      </c>
      <c r="Q3593">
        <v>0.1693229</v>
      </c>
      <c r="R3593">
        <v>3.5798589999999998E-2</v>
      </c>
      <c r="S3593">
        <v>-3.041077</v>
      </c>
      <c r="T3593">
        <v>3.978491E-2</v>
      </c>
      <c r="U3593">
        <v>-4.0786740000000002E-2</v>
      </c>
      <c r="V3593">
        <v>2.7411600000000001E-2</v>
      </c>
      <c r="W3593">
        <v>0.1772125</v>
      </c>
      <c r="X3593">
        <v>0.98379079999999997</v>
      </c>
      <c r="Y3593">
        <v>-2.1924699999999998E-2</v>
      </c>
      <c r="Z3593">
        <v>2.5482770000000003E-4</v>
      </c>
      <c r="AA3593">
        <v>0.99975959999999997</v>
      </c>
      <c r="AB3593">
        <v>29</v>
      </c>
      <c r="AC3593">
        <v>-3.041077</v>
      </c>
      <c r="AD3593">
        <v>3.978491E-2</v>
      </c>
      <c r="AE3593">
        <v>-4.0786740000000002E-2</v>
      </c>
      <c r="AF3593">
        <v>-6.6677184579919904E-2</v>
      </c>
      <c r="AG3593">
        <v>3.978491E-2</v>
      </c>
      <c r="AH3593">
        <v>3.0400990387493101</v>
      </c>
      <c r="AI3593">
        <v>89.250409505849206</v>
      </c>
      <c r="AJ3593">
        <v>91.256442247949195</v>
      </c>
      <c r="AK3593">
        <v>3.0410904050047098</v>
      </c>
      <c r="AL3593">
        <v>79.792562296626102</v>
      </c>
      <c r="AM3593">
        <v>88.403966842838798</v>
      </c>
      <c r="AN3593">
        <v>1.00000000206772</v>
      </c>
    </row>
    <row r="3594" spans="1:40" x14ac:dyDescent="0.25">
      <c r="A3594" t="str">
        <f>"20190312164543191"</f>
        <v>20190312164543191</v>
      </c>
      <c r="B3594" t="str">
        <f>"1552380343185075"</f>
        <v>1552380343185075</v>
      </c>
      <c r="C3594" t="s">
        <v>40</v>
      </c>
      <c r="D3594">
        <v>5.0617570000000001</v>
      </c>
      <c r="E3594">
        <v>0.48487039999999998</v>
      </c>
      <c r="F3594" t="s">
        <v>58</v>
      </c>
      <c r="G3594">
        <v>0</v>
      </c>
      <c r="H3594">
        <v>0</v>
      </c>
      <c r="I3594">
        <v>0</v>
      </c>
      <c r="J3594">
        <v>-253.77959999999999</v>
      </c>
      <c r="K3594">
        <v>1.108433</v>
      </c>
      <c r="L3594">
        <v>140.9271</v>
      </c>
      <c r="M3594">
        <v>-0.99993149999999997</v>
      </c>
      <c r="N3594">
        <v>0</v>
      </c>
      <c r="O3594">
        <v>8.557215E-3</v>
      </c>
      <c r="P3594">
        <v>-0.98499590000000004</v>
      </c>
      <c r="Q3594">
        <v>0.168813299999999</v>
      </c>
      <c r="R3594">
        <v>3.5854070000000002E-2</v>
      </c>
      <c r="S3594">
        <v>-3.0415649999999999</v>
      </c>
      <c r="T3594">
        <v>3.4626599999999903E-2</v>
      </c>
      <c r="U3594">
        <v>-4.2282100000000003E-2</v>
      </c>
      <c r="V3594">
        <v>2.7434730000000001E-2</v>
      </c>
      <c r="W3594">
        <v>0.1766915</v>
      </c>
      <c r="X3594">
        <v>0.98388390000000003</v>
      </c>
      <c r="Y3594">
        <v>-2.2454229999999999E-2</v>
      </c>
      <c r="Z3594">
        <v>2.2521959999999999E-4</v>
      </c>
      <c r="AA3594">
        <v>0.99974790000000002</v>
      </c>
      <c r="AB3594">
        <v>29</v>
      </c>
      <c r="AC3594">
        <v>-3.0415649999999999</v>
      </c>
      <c r="AD3594">
        <v>3.4626599999999903E-2</v>
      </c>
      <c r="AE3594">
        <v>-4.2282100000000003E-2</v>
      </c>
      <c r="AF3594">
        <v>-6.8299856985420598E-2</v>
      </c>
      <c r="AG3594">
        <v>3.4626599999999903E-2</v>
      </c>
      <c r="AH3594">
        <v>3.0406977847048799</v>
      </c>
      <c r="AI3594">
        <v>89.347724703326307</v>
      </c>
      <c r="AJ3594">
        <v>91.286755833341104</v>
      </c>
      <c r="AK3594">
        <v>3.04166186315984</v>
      </c>
      <c r="AL3594">
        <v>79.822892403106195</v>
      </c>
      <c r="AM3594">
        <v>88.402771875840799</v>
      </c>
      <c r="AN3594">
        <v>1.00000003963081</v>
      </c>
    </row>
    <row r="3595" spans="1:40" x14ac:dyDescent="0.25">
      <c r="A3595" t="str">
        <f>"20190312164543213"</f>
        <v>20190312164543213</v>
      </c>
      <c r="B3595" t="str">
        <f>"1552380343205571"</f>
        <v>1552380343205571</v>
      </c>
      <c r="C3595" t="s">
        <v>40</v>
      </c>
      <c r="D3595">
        <v>4.9209310000000004</v>
      </c>
      <c r="E3595">
        <v>0.48504589999999997</v>
      </c>
      <c r="F3595" t="s">
        <v>58</v>
      </c>
      <c r="G3595">
        <v>0</v>
      </c>
      <c r="H3595">
        <v>0</v>
      </c>
      <c r="I3595">
        <v>0</v>
      </c>
      <c r="J3595">
        <v>-254.07990000000001</v>
      </c>
      <c r="K3595">
        <v>1.1084099999999999</v>
      </c>
      <c r="L3595">
        <v>140.9297</v>
      </c>
      <c r="M3595">
        <v>-0.99993100000000001</v>
      </c>
      <c r="N3595">
        <v>0</v>
      </c>
      <c r="O3595">
        <v>8.6175149999999992E-3</v>
      </c>
      <c r="P3595">
        <v>-0.9849985</v>
      </c>
      <c r="Q3595">
        <v>0.1687872</v>
      </c>
      <c r="R3595">
        <v>3.5901009999999997E-2</v>
      </c>
      <c r="S3595">
        <v>-3.0430299999999999</v>
      </c>
      <c r="T3595">
        <v>2.3920420000000001E-2</v>
      </c>
      <c r="U3595">
        <v>-3.924561E-2</v>
      </c>
      <c r="V3595">
        <v>2.742971E-2</v>
      </c>
      <c r="W3595">
        <v>0.17665159999999999</v>
      </c>
      <c r="X3595">
        <v>0.98389119999999997</v>
      </c>
      <c r="Y3595">
        <v>-2.1511479999999999E-2</v>
      </c>
      <c r="Z3595">
        <v>1.522816E-4</v>
      </c>
      <c r="AA3595">
        <v>0.99976860000000001</v>
      </c>
      <c r="AB3595">
        <v>29</v>
      </c>
      <c r="AC3595">
        <v>-3.0430299999999999</v>
      </c>
      <c r="AD3595">
        <v>2.3920420000000001E-2</v>
      </c>
      <c r="AE3595">
        <v>-3.924561E-2</v>
      </c>
      <c r="AF3595">
        <v>-6.5464300594637495E-2</v>
      </c>
      <c r="AG3595">
        <v>2.3920420000000001E-2</v>
      </c>
      <c r="AH3595">
        <v>3.0423908291354498</v>
      </c>
      <c r="AI3595">
        <v>89.549632575605898</v>
      </c>
      <c r="AJ3595">
        <v>91.232665238949494</v>
      </c>
      <c r="AK3595">
        <v>3.0431890704247699</v>
      </c>
      <c r="AL3595">
        <v>79.825214993475996</v>
      </c>
      <c r="AM3595">
        <v>88.403075827254895</v>
      </c>
      <c r="AN3595">
        <v>1.00000003510534</v>
      </c>
    </row>
    <row r="3596" spans="1:40" x14ac:dyDescent="0.25">
      <c r="A3596" t="str">
        <f>"20190312164543235"</f>
        <v>20190312164543235</v>
      </c>
      <c r="B3596" t="str">
        <f>"1552380343225090"</f>
        <v>1552380343225090</v>
      </c>
      <c r="C3596" t="s">
        <v>40</v>
      </c>
      <c r="D3596">
        <v>4.8193789999999996</v>
      </c>
      <c r="E3596">
        <v>0.4850641</v>
      </c>
      <c r="F3596" t="s">
        <v>58</v>
      </c>
      <c r="G3596">
        <v>0</v>
      </c>
      <c r="H3596">
        <v>0</v>
      </c>
      <c r="I3596">
        <v>0</v>
      </c>
      <c r="J3596">
        <v>-254.3724</v>
      </c>
      <c r="K3596">
        <v>1.10839</v>
      </c>
      <c r="L3596">
        <v>140.9323</v>
      </c>
      <c r="M3596">
        <v>-0.9999304</v>
      </c>
      <c r="N3596">
        <v>0</v>
      </c>
      <c r="O3596">
        <v>8.6898940000000001E-3</v>
      </c>
      <c r="P3596">
        <v>-0.98506400000000005</v>
      </c>
      <c r="Q3596">
        <v>0.1683769</v>
      </c>
      <c r="R3596">
        <v>3.60305E-2</v>
      </c>
      <c r="S3596">
        <v>-3.0436709999999998</v>
      </c>
      <c r="T3596">
        <v>1.9807459999999999E-2</v>
      </c>
      <c r="U3596">
        <v>-3.8009639999999997E-2</v>
      </c>
      <c r="V3596">
        <v>2.7494129999999999E-2</v>
      </c>
      <c r="W3596">
        <v>0.1762292</v>
      </c>
      <c r="X3596">
        <v>0.98396510000000004</v>
      </c>
      <c r="Y3596">
        <v>-2.1175510000000002E-2</v>
      </c>
      <c r="Z3596">
        <v>1.2545000000000001E-4</v>
      </c>
      <c r="AA3596">
        <v>0.99977579999999999</v>
      </c>
      <c r="AB3596">
        <v>30</v>
      </c>
      <c r="AC3596">
        <v>-3.0436709999999998</v>
      </c>
      <c r="AD3596">
        <v>1.9807459999999999E-2</v>
      </c>
      <c r="AE3596">
        <v>-3.8009639999999997E-2</v>
      </c>
      <c r="AF3596">
        <v>-6.4455495981850394E-2</v>
      </c>
      <c r="AG3596">
        <v>1.9807459999999999E-2</v>
      </c>
      <c r="AH3596">
        <v>3.04309690231924</v>
      </c>
      <c r="AI3596">
        <v>89.627151748542104</v>
      </c>
      <c r="AJ3596">
        <v>91.213394080298897</v>
      </c>
      <c r="AK3596">
        <v>3.0438438861641499</v>
      </c>
      <c r="AL3596">
        <v>79.849801992566697</v>
      </c>
      <c r="AM3596">
        <v>88.399447477322099</v>
      </c>
      <c r="AN3596">
        <v>0.99999998806755297</v>
      </c>
    </row>
    <row r="3597" spans="1:40" x14ac:dyDescent="0.25">
      <c r="A3597" t="str">
        <f>"20190312164543257"</f>
        <v>20190312164543257</v>
      </c>
      <c r="B3597" t="str">
        <f>"1552380343245590"</f>
        <v>1552380343245590</v>
      </c>
      <c r="C3597" t="s">
        <v>40</v>
      </c>
      <c r="D3597">
        <v>4.8946110000000003</v>
      </c>
      <c r="E3597">
        <v>0.48495569999999999</v>
      </c>
      <c r="F3597" t="s">
        <v>58</v>
      </c>
      <c r="G3597">
        <v>0</v>
      </c>
      <c r="H3597">
        <v>0</v>
      </c>
      <c r="I3597">
        <v>0</v>
      </c>
      <c r="J3597">
        <v>-254.65110000000001</v>
      </c>
      <c r="K3597">
        <v>1.108371</v>
      </c>
      <c r="L3597">
        <v>140.9348</v>
      </c>
      <c r="M3597">
        <v>-0.99992979999999998</v>
      </c>
      <c r="N3597">
        <v>0</v>
      </c>
      <c r="O3597">
        <v>8.7698080000000005E-3</v>
      </c>
      <c r="P3597">
        <v>-0.98513530000000005</v>
      </c>
      <c r="Q3597">
        <v>0.1679831</v>
      </c>
      <c r="R3597">
        <v>3.5921260000000003E-2</v>
      </c>
      <c r="S3597">
        <v>-3.0446010000000001</v>
      </c>
      <c r="T3597">
        <v>1.304746E-2</v>
      </c>
      <c r="U3597">
        <v>-3.7368770000000003E-2</v>
      </c>
      <c r="V3597">
        <v>2.7311129999999999E-2</v>
      </c>
      <c r="W3597">
        <v>0.17582509999999901</v>
      </c>
      <c r="X3597">
        <v>0.98404250000000004</v>
      </c>
      <c r="Y3597">
        <v>-2.1041540000000001E-2</v>
      </c>
      <c r="Z3597" s="1">
        <v>8.2666480000000004E-5</v>
      </c>
      <c r="AA3597">
        <v>0.99977859999999996</v>
      </c>
      <c r="AB3597">
        <v>30</v>
      </c>
      <c r="AC3597">
        <v>-3.0446010000000001</v>
      </c>
      <c r="AD3597">
        <v>1.304746E-2</v>
      </c>
      <c r="AE3597">
        <v>-3.7368770000000003E-2</v>
      </c>
      <c r="AF3597">
        <v>-6.4067570246344296E-2</v>
      </c>
      <c r="AG3597">
        <v>1.304746E-2</v>
      </c>
      <c r="AH3597">
        <v>3.0441002870417502</v>
      </c>
      <c r="AI3597">
        <v>89.754477765904298</v>
      </c>
      <c r="AJ3597">
        <v>91.205695994879804</v>
      </c>
      <c r="AK3597">
        <v>3.0448023658913201</v>
      </c>
      <c r="AL3597">
        <v>79.873322632479002</v>
      </c>
      <c r="AM3597">
        <v>88.410220204625205</v>
      </c>
      <c r="AN3597">
        <v>1.0000000027090601</v>
      </c>
    </row>
    <row r="3598" spans="1:40" x14ac:dyDescent="0.25">
      <c r="A3598" t="str">
        <f>"20190312164543279"</f>
        <v>20190312164543279</v>
      </c>
      <c r="B3598" t="str">
        <f>"1552380343275010"</f>
        <v>1552380343275010</v>
      </c>
      <c r="C3598" t="s">
        <v>40</v>
      </c>
      <c r="D3598">
        <v>4.634881</v>
      </c>
      <c r="E3598">
        <v>0.48488199999999998</v>
      </c>
      <c r="F3598" t="s">
        <v>58</v>
      </c>
      <c r="G3598">
        <v>0</v>
      </c>
      <c r="H3598">
        <v>0</v>
      </c>
      <c r="I3598">
        <v>0</v>
      </c>
      <c r="J3598">
        <v>-254.95189999999999</v>
      </c>
      <c r="K3598">
        <v>1.1083480000000001</v>
      </c>
      <c r="L3598">
        <v>140.9375</v>
      </c>
      <c r="M3598">
        <v>-0.99992910000000002</v>
      </c>
      <c r="N3598">
        <v>0</v>
      </c>
      <c r="O3598">
        <v>8.8656259999999997E-3</v>
      </c>
      <c r="P3598">
        <v>-0.98529990000000001</v>
      </c>
      <c r="Q3598">
        <v>0.16699439999999999</v>
      </c>
      <c r="R3598">
        <v>3.60153E-2</v>
      </c>
      <c r="S3598">
        <v>-3.0442809999999998</v>
      </c>
      <c r="T3598">
        <v>1.3857360000000001E-2</v>
      </c>
      <c r="U3598">
        <v>-3.7948610000000001E-2</v>
      </c>
      <c r="V3598">
        <v>2.731372E-2</v>
      </c>
      <c r="W3598">
        <v>0.17482420000000001</v>
      </c>
      <c r="X3598">
        <v>0.98422069999999995</v>
      </c>
      <c r="Y3598">
        <v>-2.1328989999999999E-2</v>
      </c>
      <c r="Z3598" s="1">
        <v>8.8897339999999996E-5</v>
      </c>
      <c r="AA3598">
        <v>0.99977249999999995</v>
      </c>
      <c r="AB3598">
        <v>30</v>
      </c>
      <c r="AC3598">
        <v>-3.0442809999999998</v>
      </c>
      <c r="AD3598">
        <v>1.3857360000000001E-2</v>
      </c>
      <c r="AE3598">
        <v>-3.7948610000000001E-2</v>
      </c>
      <c r="AF3598">
        <v>-6.4936082870236306E-2</v>
      </c>
      <c r="AG3598">
        <v>1.3857360000000001E-2</v>
      </c>
      <c r="AH3598">
        <v>3.0437618448533801</v>
      </c>
      <c r="AI3598">
        <v>89.739210168937603</v>
      </c>
      <c r="AJ3598">
        <v>91.222171563881304</v>
      </c>
      <c r="AK3598">
        <v>3.04448598115839</v>
      </c>
      <c r="AL3598">
        <v>79.931571826353107</v>
      </c>
      <c r="AM3598">
        <v>88.410357238458502</v>
      </c>
      <c r="AN3598">
        <v>0.99999996325718299</v>
      </c>
    </row>
    <row r="3599" spans="1:40" x14ac:dyDescent="0.25">
      <c r="A3599" t="str">
        <f>"20190312164543303"</f>
        <v>20190312164543303</v>
      </c>
      <c r="B3599" t="str">
        <f>"1552380343295506"</f>
        <v>1552380343295506</v>
      </c>
      <c r="C3599" t="s">
        <v>40</v>
      </c>
      <c r="D3599">
        <v>4.8059000000000003</v>
      </c>
      <c r="E3599">
        <v>0.4849966</v>
      </c>
      <c r="F3599" t="s">
        <v>58</v>
      </c>
      <c r="G3599">
        <v>0</v>
      </c>
      <c r="H3599">
        <v>0</v>
      </c>
      <c r="I3599">
        <v>0</v>
      </c>
      <c r="J3599">
        <v>-255.27440000000001</v>
      </c>
      <c r="K3599">
        <v>1.108339</v>
      </c>
      <c r="L3599">
        <v>140.94040000000001</v>
      </c>
      <c r="M3599">
        <v>-0.99992820000000004</v>
      </c>
      <c r="N3599">
        <v>0</v>
      </c>
      <c r="O3599">
        <v>8.9758559999999904E-3</v>
      </c>
      <c r="P3599">
        <v>-0.98534849999999996</v>
      </c>
      <c r="Q3599">
        <v>0.16678680000000001</v>
      </c>
      <c r="R3599">
        <v>3.5641989999999998E-2</v>
      </c>
      <c r="S3599">
        <v>-3.0442200000000001</v>
      </c>
      <c r="T3599">
        <v>1.1409280000000001E-2</v>
      </c>
      <c r="U3599">
        <v>-3.8040160000000003E-2</v>
      </c>
      <c r="V3599">
        <v>2.6834469999999999E-2</v>
      </c>
      <c r="W3599">
        <v>0.17459930000000001</v>
      </c>
      <c r="X3599">
        <v>0.98427390000000003</v>
      </c>
      <c r="Y3599">
        <v>-2.1469619999999998E-2</v>
      </c>
      <c r="Z3599" s="1">
        <v>7.3870699999999896E-5</v>
      </c>
      <c r="AA3599">
        <v>0.99976949999999998</v>
      </c>
      <c r="AB3599">
        <v>30</v>
      </c>
      <c r="AC3599">
        <v>-3.0442200000000001</v>
      </c>
      <c r="AD3599">
        <v>1.1409280000000001E-2</v>
      </c>
      <c r="AE3599">
        <v>-3.8040160000000003E-2</v>
      </c>
      <c r="AF3599">
        <v>-6.5363051038413694E-2</v>
      </c>
      <c r="AG3599">
        <v>1.1409280000000001E-2</v>
      </c>
      <c r="AH3599">
        <v>3.0437131592638398</v>
      </c>
      <c r="AI3599">
        <v>89.7852787642273</v>
      </c>
      <c r="AJ3599">
        <v>91.230224804703496</v>
      </c>
      <c r="AK3599">
        <v>3.04443628542084</v>
      </c>
      <c r="AL3599">
        <v>79.944659887560206</v>
      </c>
      <c r="AM3599">
        <v>88.438319746825698</v>
      </c>
      <c r="AN3599">
        <v>1.00000005728093</v>
      </c>
    </row>
    <row r="3600" spans="1:40" x14ac:dyDescent="0.25">
      <c r="A3600" t="str">
        <f>"20190312164543326"</f>
        <v>20190312164543326</v>
      </c>
      <c r="B3600" t="str">
        <f>"1552380343315026"</f>
        <v>1552380343315026</v>
      </c>
      <c r="C3600" t="s">
        <v>40</v>
      </c>
      <c r="D3600">
        <v>4.8109159999999997</v>
      </c>
      <c r="E3600">
        <v>0.4853538</v>
      </c>
      <c r="F3600" t="s">
        <v>58</v>
      </c>
      <c r="G3600">
        <v>0</v>
      </c>
      <c r="H3600">
        <v>0</v>
      </c>
      <c r="I3600">
        <v>0</v>
      </c>
      <c r="J3600">
        <v>-255.5789</v>
      </c>
      <c r="K3600">
        <v>1.1083289999999999</v>
      </c>
      <c r="L3600">
        <v>140.94329999999999</v>
      </c>
      <c r="M3600">
        <v>-0.99992749999999997</v>
      </c>
      <c r="N3600">
        <v>0</v>
      </c>
      <c r="O3600">
        <v>9.08372E-3</v>
      </c>
      <c r="P3600">
        <v>-0.9853537</v>
      </c>
      <c r="Q3600">
        <v>0.1668181</v>
      </c>
      <c r="R3600">
        <v>3.5359889999999998E-2</v>
      </c>
      <c r="S3600">
        <v>-3.044632</v>
      </c>
      <c r="T3600">
        <v>7.8756809999999903E-3</v>
      </c>
      <c r="U3600">
        <v>-3.7811280000000003E-2</v>
      </c>
      <c r="V3600">
        <v>2.644788E-2</v>
      </c>
      <c r="W3600">
        <v>0.174614299999999</v>
      </c>
      <c r="X3600">
        <v>0.98428170000000004</v>
      </c>
      <c r="Y3600">
        <v>-2.1500740000000001E-2</v>
      </c>
      <c r="Z3600" s="1">
        <v>5.130446E-5</v>
      </c>
      <c r="AA3600">
        <v>0.99976889999999996</v>
      </c>
      <c r="AB3600">
        <v>30</v>
      </c>
      <c r="AC3600">
        <v>-3.044632</v>
      </c>
      <c r="AD3600">
        <v>7.8756809999999903E-3</v>
      </c>
      <c r="AE3600">
        <v>-3.7811280000000003E-2</v>
      </c>
      <c r="AF3600">
        <v>-6.5466730538825305E-2</v>
      </c>
      <c r="AG3600">
        <v>7.8756809999999903E-3</v>
      </c>
      <c r="AH3600">
        <v>3.0441425334655801</v>
      </c>
      <c r="AI3600">
        <v>89.851801301246397</v>
      </c>
      <c r="AJ3600">
        <v>91.232001854045606</v>
      </c>
      <c r="AK3600">
        <v>3.04485659485186</v>
      </c>
      <c r="AL3600">
        <v>79.943787014611402</v>
      </c>
      <c r="AM3600">
        <v>88.460819337097305</v>
      </c>
      <c r="AN3600">
        <v>1.0000000545379299</v>
      </c>
    </row>
    <row r="3601" spans="1:40" x14ac:dyDescent="0.25">
      <c r="A3601" t="str">
        <f>"20190312164543346"</f>
        <v>20190312164543346</v>
      </c>
      <c r="B3601" t="str">
        <f>"1552380343335525"</f>
        <v>1552380343335525</v>
      </c>
      <c r="C3601" t="s">
        <v>40</v>
      </c>
      <c r="D3601">
        <v>4.6055070000000002</v>
      </c>
      <c r="E3601">
        <v>0.4859503</v>
      </c>
      <c r="F3601" t="s">
        <v>58</v>
      </c>
      <c r="G3601">
        <v>0</v>
      </c>
      <c r="H3601">
        <v>0</v>
      </c>
      <c r="I3601">
        <v>0</v>
      </c>
      <c r="J3601">
        <v>-255.85079999999999</v>
      </c>
      <c r="K3601">
        <v>1.108325</v>
      </c>
      <c r="L3601">
        <v>140.94579999999999</v>
      </c>
      <c r="M3601">
        <v>-0.99992650000000005</v>
      </c>
      <c r="N3601">
        <v>0</v>
      </c>
      <c r="O3601">
        <v>9.181125E-3</v>
      </c>
      <c r="P3601">
        <v>-0.98545689999999997</v>
      </c>
      <c r="Q3601">
        <v>0.16622000000000001</v>
      </c>
      <c r="R3601">
        <v>3.5292039999999997E-2</v>
      </c>
      <c r="S3601">
        <v>-3.0453190000000001</v>
      </c>
      <c r="T3601">
        <v>3.2770630000000002E-3</v>
      </c>
      <c r="U3601">
        <v>-3.616333E-2</v>
      </c>
      <c r="V3601">
        <v>2.628399E-2</v>
      </c>
      <c r="W3601">
        <v>0.174004399999999</v>
      </c>
      <c r="X3601">
        <v>0.98439399999999999</v>
      </c>
      <c r="Y3601">
        <v>-2.1054469999999999E-2</v>
      </c>
      <c r="Z3601" s="1">
        <v>2.1207729999999999E-5</v>
      </c>
      <c r="AA3601">
        <v>0.99977830000000001</v>
      </c>
      <c r="AB3601">
        <v>30</v>
      </c>
      <c r="AC3601">
        <v>-3.0453190000000001</v>
      </c>
      <c r="AD3601">
        <v>3.2770630000000002E-3</v>
      </c>
      <c r="AE3601">
        <v>-3.616333E-2</v>
      </c>
      <c r="AF3601">
        <v>-6.4122062466941396E-2</v>
      </c>
      <c r="AG3601">
        <v>3.2770630000000002E-3</v>
      </c>
      <c r="AH3601">
        <v>3.0448550837529398</v>
      </c>
      <c r="AI3601">
        <v>89.9383484007367</v>
      </c>
      <c r="AJ3601">
        <v>91.206422139312195</v>
      </c>
      <c r="AK3601">
        <v>3.04553195010216</v>
      </c>
      <c r="AL3601">
        <v>79.979274072992595</v>
      </c>
      <c r="AM3601">
        <v>88.470527076716095</v>
      </c>
      <c r="AN3601">
        <v>0.99999996329283902</v>
      </c>
    </row>
    <row r="3602" spans="1:40" x14ac:dyDescent="0.25">
      <c r="A3602" t="str">
        <f>"20190312164543368"</f>
        <v>20190312164543368</v>
      </c>
      <c r="B3602" t="str">
        <f>"1552380343364802"</f>
        <v>1552380343364802</v>
      </c>
      <c r="C3602" t="s">
        <v>40</v>
      </c>
      <c r="D3602">
        <v>4.6110660000000001</v>
      </c>
      <c r="E3602">
        <v>0.48669000000000001</v>
      </c>
      <c r="F3602" t="s">
        <v>58</v>
      </c>
      <c r="G3602">
        <v>0</v>
      </c>
      <c r="H3602">
        <v>0</v>
      </c>
      <c r="I3602">
        <v>0</v>
      </c>
      <c r="J3602">
        <v>-256.14949999999999</v>
      </c>
      <c r="K3602">
        <v>1.108314</v>
      </c>
      <c r="L3602">
        <v>140.9487</v>
      </c>
      <c r="M3602">
        <v>-0.99992590000000003</v>
      </c>
      <c r="N3602">
        <v>0</v>
      </c>
      <c r="O3602">
        <v>9.2870499999999998E-3</v>
      </c>
      <c r="P3602">
        <v>-0.98558970000000001</v>
      </c>
      <c r="Q3602">
        <v>0.16549849999999999</v>
      </c>
      <c r="R3602">
        <v>3.4978519999999999E-2</v>
      </c>
      <c r="S3602">
        <v>-3.0455930000000002</v>
      </c>
      <c r="T3602">
        <v>-9.3960759999999995E-4</v>
      </c>
      <c r="U3602">
        <v>-3.2150270000000002E-2</v>
      </c>
      <c r="V3602">
        <v>2.5865530000000001E-2</v>
      </c>
      <c r="W3602">
        <v>0.17327089999999901</v>
      </c>
      <c r="X3602">
        <v>0.98453449999999998</v>
      </c>
      <c r="Y3602">
        <v>-1.9842100000000001E-2</v>
      </c>
      <c r="Z3602" s="1">
        <v>-5.9258930000000003E-6</v>
      </c>
      <c r="AA3602">
        <v>0.99980309999999994</v>
      </c>
      <c r="AB3602">
        <v>30</v>
      </c>
      <c r="AC3602">
        <v>-3.0455930000000002</v>
      </c>
      <c r="AD3602">
        <v>-9.3960759999999995E-4</v>
      </c>
      <c r="AE3602">
        <v>-3.2150270000000002E-2</v>
      </c>
      <c r="AF3602">
        <v>-6.0434328221884603E-2</v>
      </c>
      <c r="AG3602">
        <v>-9.3960759999999995E-4</v>
      </c>
      <c r="AH3602">
        <v>3.0451627686804801</v>
      </c>
      <c r="AI3602">
        <v>90.017675557415302</v>
      </c>
      <c r="AJ3602">
        <v>91.136943314070507</v>
      </c>
      <c r="AK3602">
        <v>3.0457625446918599</v>
      </c>
      <c r="AL3602">
        <v>80.021949206417005</v>
      </c>
      <c r="AM3602">
        <v>88.495080787079303</v>
      </c>
      <c r="AN3602">
        <v>1.0000000060596199</v>
      </c>
    </row>
    <row r="3603" spans="1:40" x14ac:dyDescent="0.25">
      <c r="A3603" t="str">
        <f>"20190312164543392"</f>
        <v>20190312164543392</v>
      </c>
      <c r="B3603" t="str">
        <f>"1552380343385298"</f>
        <v>1552380343385298</v>
      </c>
      <c r="C3603" t="s">
        <v>40</v>
      </c>
      <c r="D3603">
        <v>4.5996290000000002</v>
      </c>
      <c r="E3603">
        <v>0.48708439999999997</v>
      </c>
      <c r="F3603" t="s">
        <v>58</v>
      </c>
      <c r="G3603">
        <v>0</v>
      </c>
      <c r="H3603">
        <v>0</v>
      </c>
      <c r="I3603">
        <v>0</v>
      </c>
      <c r="J3603">
        <v>-256.4676</v>
      </c>
      <c r="K3603">
        <v>1.1083050000000001</v>
      </c>
      <c r="L3603">
        <v>140.95169999999999</v>
      </c>
      <c r="M3603">
        <v>-0.99992479999999995</v>
      </c>
      <c r="N3603">
        <v>0</v>
      </c>
      <c r="O3603">
        <v>9.398867E-3</v>
      </c>
      <c r="P3603">
        <v>-0.98582369999999997</v>
      </c>
      <c r="Q3603">
        <v>0.1641523</v>
      </c>
      <c r="R3603">
        <v>3.4722530000000001E-2</v>
      </c>
      <c r="S3603">
        <v>-3.0453800000000002</v>
      </c>
      <c r="T3603">
        <v>-3.4530160000000002E-3</v>
      </c>
      <c r="U3603">
        <v>-2.66571E-2</v>
      </c>
      <c r="V3603">
        <v>2.549709E-2</v>
      </c>
      <c r="W3603">
        <v>0.17191489999999901</v>
      </c>
      <c r="X3603">
        <v>0.98478180000000004</v>
      </c>
      <c r="Y3603">
        <v>-1.8151359999999998E-2</v>
      </c>
      <c r="Z3603" s="1">
        <v>-2.0947359999999999E-5</v>
      </c>
      <c r="AA3603">
        <v>0.99983529999999998</v>
      </c>
      <c r="AB3603">
        <v>30</v>
      </c>
      <c r="AC3603">
        <v>-3.0453800000000002</v>
      </c>
      <c r="AD3603">
        <v>-3.4530160000000002E-3</v>
      </c>
      <c r="AE3603">
        <v>-2.66571E-2</v>
      </c>
      <c r="AF3603">
        <v>-5.52798611493409E-2</v>
      </c>
      <c r="AG3603">
        <v>-3.4530160000000002E-3</v>
      </c>
      <c r="AH3603">
        <v>3.0449910074971802</v>
      </c>
      <c r="AI3603">
        <v>90.064962610245203</v>
      </c>
      <c r="AJ3603">
        <v>91.040053923389095</v>
      </c>
      <c r="AK3603">
        <v>3.0454947089277402</v>
      </c>
      <c r="AL3603">
        <v>80.100826053705305</v>
      </c>
      <c r="AM3603">
        <v>88.516880241146396</v>
      </c>
      <c r="AN3603">
        <v>1.00000001402585</v>
      </c>
    </row>
    <row r="3604" spans="1:40" x14ac:dyDescent="0.25">
      <c r="A3604" t="str">
        <f>"20190312164543414"</f>
        <v>20190312164543414</v>
      </c>
      <c r="B3604" t="str">
        <f>"1552380343404817"</f>
        <v>1552380343404817</v>
      </c>
      <c r="C3604" t="s">
        <v>40</v>
      </c>
      <c r="D3604">
        <v>4.7286060000000001</v>
      </c>
      <c r="E3604">
        <v>0.4873343</v>
      </c>
      <c r="F3604" t="s">
        <v>76</v>
      </c>
      <c r="G3604">
        <v>-741.63789999999995</v>
      </c>
      <c r="H3604">
        <v>-0.1</v>
      </c>
      <c r="I3604">
        <v>137.06209999999999</v>
      </c>
      <c r="J3604">
        <v>-256.77460000000002</v>
      </c>
      <c r="K3604">
        <v>1.1082959999999999</v>
      </c>
      <c r="L3604">
        <v>140.9547</v>
      </c>
      <c r="M3604">
        <v>-0.99992389999999998</v>
      </c>
      <c r="N3604">
        <v>0</v>
      </c>
      <c r="O3604">
        <v>9.5054890000000006E-3</v>
      </c>
      <c r="P3604">
        <v>-0.98603589999999997</v>
      </c>
      <c r="Q3604">
        <v>0.16289979999999901</v>
      </c>
      <c r="R3604">
        <v>3.4597299999999997E-2</v>
      </c>
      <c r="S3604">
        <v>-3.0452880000000002</v>
      </c>
      <c r="T3604">
        <v>-7.5842139999999997E-3</v>
      </c>
      <c r="U3604">
        <v>-2.4414060000000001E-2</v>
      </c>
      <c r="V3604">
        <v>2.5264970000000001E-2</v>
      </c>
      <c r="W3604">
        <v>0.170654</v>
      </c>
      <c r="X3604">
        <v>0.98500699999999997</v>
      </c>
      <c r="Y3604">
        <v>-1.7521769999999999E-2</v>
      </c>
      <c r="Z3604" s="1">
        <v>-4.549184E-5</v>
      </c>
      <c r="AA3604">
        <v>0.99984649999999997</v>
      </c>
      <c r="AB3604">
        <v>30</v>
      </c>
      <c r="AC3604">
        <v>-484.86329999999901</v>
      </c>
      <c r="AD3604">
        <v>-1.20829599999999</v>
      </c>
      <c r="AE3604">
        <v>-3.8926000000000101</v>
      </c>
      <c r="AF3604">
        <v>-8.5013766134315691</v>
      </c>
      <c r="AG3604">
        <v>-1.20829599999999</v>
      </c>
      <c r="AH3604">
        <v>484.80138065611698</v>
      </c>
      <c r="AI3604">
        <v>90.142779040746007</v>
      </c>
      <c r="AJ3604">
        <v>91.0046239572671</v>
      </c>
      <c r="AK3604">
        <v>484.87741963265802</v>
      </c>
      <c r="AL3604">
        <v>80.174153321584399</v>
      </c>
      <c r="AM3604">
        <v>88.530712144158599</v>
      </c>
      <c r="AN3604">
        <v>0.99999994823704896</v>
      </c>
    </row>
    <row r="3605" spans="1:40" x14ac:dyDescent="0.25">
      <c r="A3605" t="str">
        <f>"20190312164543436"</f>
        <v>20190312164543436</v>
      </c>
      <c r="B3605" t="str">
        <f>"1552380343425317"</f>
        <v>1552380343425317</v>
      </c>
      <c r="C3605" t="s">
        <v>40</v>
      </c>
      <c r="D3605">
        <v>4.9660650000000004</v>
      </c>
      <c r="E3605">
        <v>0.48757089999999997</v>
      </c>
      <c r="F3605" t="s">
        <v>43</v>
      </c>
      <c r="G3605">
        <v>-550.8845</v>
      </c>
      <c r="H3605">
        <v>-0.05</v>
      </c>
      <c r="I3605">
        <v>138.70439999999999</v>
      </c>
      <c r="J3605">
        <v>-257.06279999999998</v>
      </c>
      <c r="K3605">
        <v>1.108282</v>
      </c>
      <c r="L3605">
        <v>140.95760000000001</v>
      </c>
      <c r="M3605">
        <v>-0.99992289999999995</v>
      </c>
      <c r="N3605">
        <v>0</v>
      </c>
      <c r="O3605">
        <v>9.6046499999999993E-3</v>
      </c>
      <c r="P3605">
        <v>-0.98621309999999995</v>
      </c>
      <c r="Q3605">
        <v>0.16191520000000001</v>
      </c>
      <c r="R3605">
        <v>3.4165599999999997E-2</v>
      </c>
      <c r="S3605">
        <v>-3.0452880000000002</v>
      </c>
      <c r="T3605">
        <v>-1.199329E-2</v>
      </c>
      <c r="U3605">
        <v>-2.3300169999999999E-2</v>
      </c>
      <c r="V3605">
        <v>2.47339E-2</v>
      </c>
      <c r="W3605">
        <v>0.16966249999999999</v>
      </c>
      <c r="X3605">
        <v>0.98519179999999995</v>
      </c>
      <c r="Y3605">
        <v>-1.7255099999999999E-2</v>
      </c>
      <c r="Z3605" s="1">
        <v>-7.1803809999999898E-5</v>
      </c>
      <c r="AA3605">
        <v>0.99985109999999999</v>
      </c>
      <c r="AB3605">
        <v>30</v>
      </c>
      <c r="AC3605">
        <v>-293.82170000000002</v>
      </c>
      <c r="AD3605">
        <v>-1.158282</v>
      </c>
      <c r="AE3605">
        <v>-2.2532000000000201</v>
      </c>
      <c r="AF3605">
        <v>-5.0751591986782199</v>
      </c>
      <c r="AG3605">
        <v>-1.158282</v>
      </c>
      <c r="AH3605">
        <v>293.78193935025598</v>
      </c>
      <c r="AI3605">
        <v>90.225862849089495</v>
      </c>
      <c r="AJ3605">
        <v>90.989701005704006</v>
      </c>
      <c r="AK3605">
        <v>293.82805643178602</v>
      </c>
      <c r="AL3605">
        <v>80.231803381791806</v>
      </c>
      <c r="AM3605">
        <v>88.561853181117101</v>
      </c>
      <c r="AN3605">
        <v>1.0000000062513399</v>
      </c>
    </row>
    <row r="3606" spans="1:40" x14ac:dyDescent="0.25">
      <c r="A3606" t="str">
        <f>"20190312164543459"</f>
        <v>20190312164543459</v>
      </c>
      <c r="B3606" t="str">
        <f>"1552380343455570"</f>
        <v>1552380343455570</v>
      </c>
      <c r="C3606" t="s">
        <v>40</v>
      </c>
      <c r="D3606">
        <v>5.0051350000000001</v>
      </c>
      <c r="E3606">
        <v>0.48811500000000002</v>
      </c>
      <c r="F3606" t="s">
        <v>42</v>
      </c>
      <c r="G3606">
        <v>-459.85199999999998</v>
      </c>
      <c r="H3606" s="1">
        <v>9.3142260000000002E-7</v>
      </c>
      <c r="I3606">
        <v>139.44560000000001</v>
      </c>
      <c r="J3606">
        <v>-257.37349999999998</v>
      </c>
      <c r="K3606">
        <v>1.1082749999999999</v>
      </c>
      <c r="L3606">
        <v>140.9607</v>
      </c>
      <c r="M3606">
        <v>-0.99992199999999998</v>
      </c>
      <c r="N3606">
        <v>0</v>
      </c>
      <c r="O3606">
        <v>9.7110770000000003E-3</v>
      </c>
      <c r="P3606">
        <v>-0.98633740000000003</v>
      </c>
      <c r="Q3606">
        <v>0.16113469999999999</v>
      </c>
      <c r="R3606">
        <v>3.4269180000000003E-2</v>
      </c>
      <c r="S3606">
        <v>-3.0455019999999999</v>
      </c>
      <c r="T3606">
        <v>-1.6644240000000001E-2</v>
      </c>
      <c r="U3606">
        <v>-2.2705079999999999E-2</v>
      </c>
      <c r="V3606">
        <v>2.4731349999999999E-2</v>
      </c>
      <c r="W3606">
        <v>0.16887539999999901</v>
      </c>
      <c r="X3606">
        <v>0.98532710000000001</v>
      </c>
      <c r="Y3606">
        <v>-1.7165429999999999E-2</v>
      </c>
      <c r="Z3606" s="1">
        <v>-9.9978399999999998E-5</v>
      </c>
      <c r="AA3606">
        <v>0.99985270000000004</v>
      </c>
      <c r="AB3606">
        <v>30</v>
      </c>
      <c r="AC3606">
        <v>-202.4785</v>
      </c>
      <c r="AD3606">
        <v>-1.10827406857739</v>
      </c>
      <c r="AE3606">
        <v>-1.5150999999999799</v>
      </c>
      <c r="AF3606">
        <v>-3.4812692175362598</v>
      </c>
      <c r="AG3606">
        <v>-1.10827406857739</v>
      </c>
      <c r="AH3606">
        <v>202.44817317638999</v>
      </c>
      <c r="AI3606">
        <v>90.313608196181704</v>
      </c>
      <c r="AJ3606">
        <v>90.985152761505802</v>
      </c>
      <c r="AK3606">
        <v>202.48113573672401</v>
      </c>
      <c r="AL3606">
        <v>80.277561288038399</v>
      </c>
      <c r="AM3606">
        <v>88.562198763620103</v>
      </c>
      <c r="AN3606">
        <v>1.00000001719619</v>
      </c>
    </row>
    <row r="3607" spans="1:40" x14ac:dyDescent="0.25">
      <c r="A3607" t="str">
        <f>"20190312164543481"</f>
        <v>20190312164543481</v>
      </c>
      <c r="B3607" t="str">
        <f>"1552380343475091"</f>
        <v>1552380343475091</v>
      </c>
      <c r="C3607" t="s">
        <v>40</v>
      </c>
      <c r="D3607">
        <v>4.7999140000000002</v>
      </c>
      <c r="E3607">
        <v>0.48858099999999999</v>
      </c>
      <c r="F3607" t="s">
        <v>71</v>
      </c>
      <c r="G3607">
        <v>-413.60719999999998</v>
      </c>
      <c r="H3607" s="1">
        <v>-1.050194E-5</v>
      </c>
      <c r="I3607">
        <v>140.03</v>
      </c>
      <c r="J3607">
        <v>-257.68869999999998</v>
      </c>
      <c r="K3607">
        <v>1.108268</v>
      </c>
      <c r="L3607">
        <v>140.96379999999999</v>
      </c>
      <c r="M3607">
        <v>-0.99992099999999995</v>
      </c>
      <c r="N3607">
        <v>0</v>
      </c>
      <c r="O3607">
        <v>9.8184499999999994E-3</v>
      </c>
      <c r="P3607">
        <v>-0.98644200000000004</v>
      </c>
      <c r="Q3607">
        <v>0.1605441</v>
      </c>
      <c r="R3607">
        <v>3.4028940000000001E-2</v>
      </c>
      <c r="S3607">
        <v>-3.0456850000000002</v>
      </c>
      <c r="T3607">
        <v>-2.1605369999999999E-2</v>
      </c>
      <c r="U3607">
        <v>-1.8142700000000001E-2</v>
      </c>
      <c r="V3607">
        <v>2.4384010000000001E-2</v>
      </c>
      <c r="W3607">
        <v>0.16827990000000001</v>
      </c>
      <c r="X3607">
        <v>0.98543760000000002</v>
      </c>
      <c r="Y3607">
        <v>-1.5774400000000001E-2</v>
      </c>
      <c r="Z3607">
        <v>-1.2559879999999999E-4</v>
      </c>
      <c r="AA3607">
        <v>0.99987550000000003</v>
      </c>
      <c r="AB3607">
        <v>30</v>
      </c>
      <c r="AC3607">
        <v>-155.91849999999999</v>
      </c>
      <c r="AD3607">
        <v>-1.1082785019399899</v>
      </c>
      <c r="AE3607">
        <v>-0.93379999999998997</v>
      </c>
      <c r="AF3607">
        <v>-2.46455561321828</v>
      </c>
      <c r="AG3607">
        <v>-1.1082785019399899</v>
      </c>
      <c r="AH3607">
        <v>155.893938990582</v>
      </c>
      <c r="AI3607">
        <v>90.407268415981406</v>
      </c>
      <c r="AJ3607">
        <v>90.905723940190796</v>
      </c>
      <c r="AK3607">
        <v>155.917358012531</v>
      </c>
      <c r="AL3607">
        <v>80.312175998214897</v>
      </c>
      <c r="AM3607">
        <v>88.582542593182893</v>
      </c>
      <c r="AN3607">
        <v>0.99999998409072399</v>
      </c>
    </row>
    <row r="3608" spans="1:40" x14ac:dyDescent="0.25">
      <c r="A3608" t="str">
        <f>"20190312164543505"</f>
        <v>20190312164543505</v>
      </c>
      <c r="B3608" t="str">
        <f>"1552380343495586"</f>
        <v>1552380343495586</v>
      </c>
      <c r="C3608" t="s">
        <v>40</v>
      </c>
      <c r="D3608">
        <v>4.9532600000000002</v>
      </c>
      <c r="E3608">
        <v>0.48878670000000002</v>
      </c>
      <c r="F3608" t="s">
        <v>42</v>
      </c>
      <c r="G3608">
        <v>-389.40530000000001</v>
      </c>
      <c r="H3608" s="1">
        <v>-4.2413129999999998E-7</v>
      </c>
      <c r="I3608">
        <v>140.31780000000001</v>
      </c>
      <c r="J3608">
        <v>-258.00420000000003</v>
      </c>
      <c r="K3608">
        <v>1.1082590000000001</v>
      </c>
      <c r="L3608">
        <v>140.96700000000001</v>
      </c>
      <c r="M3608">
        <v>-0.99992000000000003</v>
      </c>
      <c r="N3608">
        <v>0</v>
      </c>
      <c r="O3608">
        <v>9.9231270000000003E-3</v>
      </c>
      <c r="P3608">
        <v>-0.9865389</v>
      </c>
      <c r="Q3608">
        <v>0.15994</v>
      </c>
      <c r="R3608">
        <v>3.4062809999999999E-2</v>
      </c>
      <c r="S3608">
        <v>-3.0459290000000001</v>
      </c>
      <c r="T3608">
        <v>-2.562857E-2</v>
      </c>
      <c r="U3608">
        <v>-1.493835E-2</v>
      </c>
      <c r="V3608">
        <v>2.4313120000000001E-2</v>
      </c>
      <c r="W3608">
        <v>0.16767109999999999</v>
      </c>
      <c r="X3608">
        <v>0.98554310000000001</v>
      </c>
      <c r="Y3608">
        <v>-1.4826499999999999E-2</v>
      </c>
      <c r="Z3608">
        <v>-1.4586760000000001E-4</v>
      </c>
      <c r="AA3608">
        <v>0.9998901</v>
      </c>
      <c r="AB3608">
        <v>30</v>
      </c>
      <c r="AC3608">
        <v>-131.40110000000001</v>
      </c>
      <c r="AD3608">
        <v>-1.1082594241313</v>
      </c>
      <c r="AE3608">
        <v>-0.64920000000000699</v>
      </c>
      <c r="AF3608">
        <v>-1.95297902884073</v>
      </c>
      <c r="AG3608">
        <v>-1.1082594241313</v>
      </c>
      <c r="AH3608">
        <v>131.37884228041599</v>
      </c>
      <c r="AI3608">
        <v>90.483259452134405</v>
      </c>
      <c r="AJ3608">
        <v>90.851653224968203</v>
      </c>
      <c r="AK3608">
        <v>131.398031054429</v>
      </c>
      <c r="AL3608">
        <v>80.347560243448996</v>
      </c>
      <c r="AM3608">
        <v>88.586813031407104</v>
      </c>
      <c r="AN3608">
        <v>0.999999963768476</v>
      </c>
    </row>
    <row r="3609" spans="1:40" x14ac:dyDescent="0.25">
      <c r="A3609" t="str">
        <f>"20190312164543527"</f>
        <v>20190312164543527</v>
      </c>
      <c r="B3609" t="str">
        <f>"1552380343515106"</f>
        <v>1552380343515106</v>
      </c>
      <c r="C3609" t="s">
        <v>40</v>
      </c>
      <c r="D3609">
        <v>4.6433489999999997</v>
      </c>
      <c r="E3609">
        <v>0.48905979999999999</v>
      </c>
      <c r="F3609" t="s">
        <v>42</v>
      </c>
      <c r="G3609">
        <v>-377.29199999999997</v>
      </c>
      <c r="H3609" s="1">
        <v>-1.364324E-6</v>
      </c>
      <c r="I3609">
        <v>140.44409999999999</v>
      </c>
      <c r="J3609">
        <v>-258.31060000000002</v>
      </c>
      <c r="K3609">
        <v>1.10826</v>
      </c>
      <c r="L3609">
        <v>140.97020000000001</v>
      </c>
      <c r="M3609">
        <v>-0.99991909999999895</v>
      </c>
      <c r="N3609">
        <v>0</v>
      </c>
      <c r="O3609">
        <v>1.0019729999999999E-2</v>
      </c>
      <c r="P3609">
        <v>-0.98663809999999996</v>
      </c>
      <c r="Q3609">
        <v>0.159348499999999</v>
      </c>
      <c r="R3609">
        <v>3.3964090000000002E-2</v>
      </c>
      <c r="S3609">
        <v>-3.0459900000000002</v>
      </c>
      <c r="T3609">
        <v>-2.8299210000000002E-2</v>
      </c>
      <c r="U3609">
        <v>-1.3351439999999999E-2</v>
      </c>
      <c r="V3609">
        <v>2.4116769999999999E-2</v>
      </c>
      <c r="W3609">
        <v>0.16707640000000001</v>
      </c>
      <c r="X3609">
        <v>0.98564890000000005</v>
      </c>
      <c r="Y3609">
        <v>-1.440191E-2</v>
      </c>
      <c r="Z3609">
        <v>-1.599893E-4</v>
      </c>
      <c r="AA3609">
        <v>0.99989629999999996</v>
      </c>
      <c r="AB3609">
        <v>31</v>
      </c>
      <c r="AC3609">
        <v>-118.981399999999</v>
      </c>
      <c r="AD3609">
        <v>-1.108261364324</v>
      </c>
      <c r="AE3609">
        <v>-0.526100000000013</v>
      </c>
      <c r="AF3609">
        <v>-1.7181226282623101</v>
      </c>
      <c r="AG3609">
        <v>-1.108261364324</v>
      </c>
      <c r="AH3609">
        <v>118.959834460837</v>
      </c>
      <c r="AI3609">
        <v>90.533711574821396</v>
      </c>
      <c r="AJ3609">
        <v>90.827458543049005</v>
      </c>
      <c r="AK3609">
        <v>118.977402911507</v>
      </c>
      <c r="AL3609">
        <v>80.382121431709393</v>
      </c>
      <c r="AM3609">
        <v>88.5983716044733</v>
      </c>
      <c r="AN3609">
        <v>0.99999994805170001</v>
      </c>
    </row>
    <row r="3610" spans="1:40" x14ac:dyDescent="0.25">
      <c r="A3610" t="str">
        <f>"20190312164543548"</f>
        <v>20190312164543548</v>
      </c>
      <c r="B3610" t="str">
        <f>"1552380343545363"</f>
        <v>1552380343545363</v>
      </c>
      <c r="C3610" t="s">
        <v>40</v>
      </c>
      <c r="D3610">
        <v>4.8726609999999999</v>
      </c>
      <c r="E3610">
        <v>0.48932920000000002</v>
      </c>
      <c r="F3610" t="s">
        <v>42</v>
      </c>
      <c r="G3610">
        <v>-370.74669999999998</v>
      </c>
      <c r="H3610" s="1">
        <v>-4.1874260000000002E-6</v>
      </c>
      <c r="I3610">
        <v>140.54929999999999</v>
      </c>
      <c r="J3610">
        <v>-258.5958</v>
      </c>
      <c r="K3610">
        <v>1.108257</v>
      </c>
      <c r="L3610">
        <v>140.97309999999999</v>
      </c>
      <c r="M3610">
        <v>-0.99991830000000004</v>
      </c>
      <c r="N3610">
        <v>0</v>
      </c>
      <c r="O3610">
        <v>1.0102730000000001E-2</v>
      </c>
      <c r="P3610">
        <v>-0.9866665</v>
      </c>
      <c r="Q3610">
        <v>0.1591436</v>
      </c>
      <c r="R3610">
        <v>3.4098679999999999E-2</v>
      </c>
      <c r="S3610">
        <v>-3.045868</v>
      </c>
      <c r="T3610">
        <v>-3.002262E-2</v>
      </c>
      <c r="U3610">
        <v>-1.139832E-2</v>
      </c>
      <c r="V3610">
        <v>2.4167149999999998E-2</v>
      </c>
      <c r="W3610">
        <v>0.16686909999999999</v>
      </c>
      <c r="X3610">
        <v>0.98568279999999997</v>
      </c>
      <c r="Y3610">
        <v>-1.384381E-2</v>
      </c>
      <c r="Z3610">
        <v>-1.6780659999999999E-4</v>
      </c>
      <c r="AA3610">
        <v>0.99990420000000002</v>
      </c>
      <c r="AB3610">
        <v>31</v>
      </c>
      <c r="AC3610">
        <v>-112.150899999999</v>
      </c>
      <c r="AD3610">
        <v>-1.108261187426</v>
      </c>
      <c r="AE3610">
        <v>-0.42380000000000001</v>
      </c>
      <c r="AF3610">
        <v>-1.55669136640053</v>
      </c>
      <c r="AG3610">
        <v>-1.108261187426</v>
      </c>
      <c r="AH3610">
        <v>112.12994498923</v>
      </c>
      <c r="AI3610">
        <v>90.566222549507302</v>
      </c>
      <c r="AJ3610">
        <v>90.795381785160203</v>
      </c>
      <c r="AK3610">
        <v>112.146226392855</v>
      </c>
      <c r="AL3610">
        <v>80.394168126365003</v>
      </c>
      <c r="AM3610">
        <v>88.595493057191604</v>
      </c>
      <c r="AN3610">
        <v>0.99999996494488497</v>
      </c>
    </row>
    <row r="3611" spans="1:40" x14ac:dyDescent="0.25">
      <c r="A3611" t="str">
        <f>"20190312164543582"</f>
        <v>20190312164543582</v>
      </c>
      <c r="B3611" t="str">
        <f>"1552380343575618"</f>
        <v>1552380343575618</v>
      </c>
      <c r="C3611" t="s">
        <v>40</v>
      </c>
      <c r="D3611">
        <v>5.1287159999999998</v>
      </c>
      <c r="E3611">
        <v>0.48973430000000001</v>
      </c>
      <c r="F3611" t="s">
        <v>42</v>
      </c>
      <c r="G3611">
        <v>-357.23360000000002</v>
      </c>
      <c r="H3611" s="1">
        <v>-1.4483E-6</v>
      </c>
      <c r="I3611">
        <v>140.66569999999999</v>
      </c>
      <c r="J3611">
        <v>-259.06099999999998</v>
      </c>
      <c r="K3611">
        <v>1.1082719999999999</v>
      </c>
      <c r="L3611">
        <v>140.97790000000001</v>
      </c>
      <c r="M3611">
        <v>-0.99991730000000001</v>
      </c>
      <c r="N3611">
        <v>0</v>
      </c>
      <c r="O3611">
        <v>1.0218390000000001E-2</v>
      </c>
      <c r="P3611">
        <v>-0.98664510000000005</v>
      </c>
      <c r="Q3611">
        <v>0.15921759999999999</v>
      </c>
      <c r="R3611">
        <v>3.4372460000000001E-2</v>
      </c>
      <c r="S3611">
        <v>-3.0464169999999999</v>
      </c>
      <c r="T3611">
        <v>-3.4228439999999999E-2</v>
      </c>
      <c r="U3611">
        <v>-9.4909669999999995E-3</v>
      </c>
      <c r="V3611">
        <v>2.4322449999999999E-2</v>
      </c>
      <c r="W3611">
        <v>0.16694059999999999</v>
      </c>
      <c r="X3611">
        <v>0.98566690000000001</v>
      </c>
      <c r="Y3611">
        <v>-1.3332439999999999E-2</v>
      </c>
      <c r="Z3611">
        <v>-1.897054E-4</v>
      </c>
      <c r="AA3611">
        <v>0.99991110000000005</v>
      </c>
      <c r="AB3611">
        <v>31</v>
      </c>
      <c r="AC3611">
        <v>-98.172600000000003</v>
      </c>
      <c r="AD3611">
        <v>-1.1082734483000001</v>
      </c>
      <c r="AE3611">
        <v>-0.31220000000001802</v>
      </c>
      <c r="AF3611">
        <v>-1.3152125882979699</v>
      </c>
      <c r="AG3611">
        <v>-1.1082734483000001</v>
      </c>
      <c r="AH3611">
        <v>98.151775352720705</v>
      </c>
      <c r="AI3611">
        <v>90.646865460857299</v>
      </c>
      <c r="AJ3611">
        <v>90.767705123181003</v>
      </c>
      <c r="AK3611">
        <v>98.166842971950402</v>
      </c>
      <c r="AL3611">
        <v>80.390013455680403</v>
      </c>
      <c r="AM3611">
        <v>88.586448442897293</v>
      </c>
      <c r="AN3611">
        <v>0.99999999162898601</v>
      </c>
    </row>
    <row r="3612" spans="1:40" x14ac:dyDescent="0.25">
      <c r="A3612" t="str">
        <f>"20190312164543604"</f>
        <v>20190312164543604</v>
      </c>
      <c r="B3612" t="str">
        <f>"1552380343595138"</f>
        <v>1552380343595138</v>
      </c>
      <c r="C3612" t="s">
        <v>40</v>
      </c>
      <c r="D3612">
        <v>4.7870019999999904</v>
      </c>
      <c r="E3612">
        <v>0.50865209999999905</v>
      </c>
      <c r="F3612" t="s">
        <v>42</v>
      </c>
      <c r="G3612">
        <v>-348.46010000000001</v>
      </c>
      <c r="H3612" s="1">
        <v>-9.6384450000000005E-7</v>
      </c>
      <c r="I3612">
        <v>140.82249999999999</v>
      </c>
      <c r="J3612">
        <v>-259.37450000000001</v>
      </c>
      <c r="K3612">
        <v>1.108279</v>
      </c>
      <c r="L3612">
        <v>140.9812</v>
      </c>
      <c r="M3612">
        <v>-0.99991649999999999</v>
      </c>
      <c r="N3612">
        <v>0</v>
      </c>
      <c r="O3612">
        <v>1.028544E-2</v>
      </c>
      <c r="P3612">
        <v>-0.98670069999999999</v>
      </c>
      <c r="Q3612">
        <v>0.15881770000000001</v>
      </c>
      <c r="R3612">
        <v>3.4624420000000003E-2</v>
      </c>
      <c r="S3612">
        <v>-3.0468440000000001</v>
      </c>
      <c r="T3612">
        <v>-3.777146E-2</v>
      </c>
      <c r="U3612">
        <v>-5.2947999999999997E-3</v>
      </c>
      <c r="V3612">
        <v>2.4504539999999998E-2</v>
      </c>
      <c r="W3612">
        <v>0.16654050000000001</v>
      </c>
      <c r="X3612">
        <v>0.98573010000000005</v>
      </c>
      <c r="Y3612">
        <v>-1.202173E-2</v>
      </c>
      <c r="Z3612">
        <v>-2.0201839999999999E-4</v>
      </c>
      <c r="AA3612">
        <v>0.99992769999999997</v>
      </c>
      <c r="AB3612">
        <v>31</v>
      </c>
      <c r="AC3612">
        <v>-89.085599999999999</v>
      </c>
      <c r="AD3612">
        <v>-1.1082799638445</v>
      </c>
      <c r="AE3612">
        <v>-0.15870000000001</v>
      </c>
      <c r="AF3612">
        <v>-1.0748378882810099</v>
      </c>
      <c r="AG3612">
        <v>-1.1082799638445</v>
      </c>
      <c r="AH3612">
        <v>89.065470513487696</v>
      </c>
      <c r="AI3612">
        <v>90.712867335506004</v>
      </c>
      <c r="AJ3612">
        <v>90.691409195685196</v>
      </c>
      <c r="AK3612">
        <v>89.078850457071496</v>
      </c>
      <c r="AL3612">
        <v>80.4132632497044</v>
      </c>
      <c r="AM3612">
        <v>88.575961502737201</v>
      </c>
      <c r="AN3612">
        <v>1.0000000203334301</v>
      </c>
    </row>
    <row r="3613" spans="1:40" x14ac:dyDescent="0.25">
      <c r="A3613" t="str">
        <f>"20190312164543625"</f>
        <v>20190312164543625</v>
      </c>
      <c r="B3613" t="str">
        <f>"1552380343615637"</f>
        <v>1552380343615637</v>
      </c>
      <c r="C3613" t="s">
        <v>40</v>
      </c>
      <c r="D3613">
        <v>4.6953389999999997</v>
      </c>
      <c r="E3613">
        <v>0.51222469999999998</v>
      </c>
      <c r="F3613" t="s">
        <v>41</v>
      </c>
      <c r="G3613">
        <v>-260.14789999999999</v>
      </c>
      <c r="H3613">
        <v>1.015849</v>
      </c>
      <c r="I3613">
        <v>141.0136</v>
      </c>
      <c r="J3613">
        <v>-259.6694</v>
      </c>
      <c r="K3613">
        <v>1.1082809999999901</v>
      </c>
      <c r="L3613">
        <v>140.98429999999999</v>
      </c>
      <c r="M3613">
        <v>-0.99991600000000003</v>
      </c>
      <c r="N3613">
        <v>0</v>
      </c>
      <c r="O3613">
        <v>1.034123E-2</v>
      </c>
      <c r="P3613">
        <v>-0.98684769999999999</v>
      </c>
      <c r="Q3613">
        <v>0.15791820000000001</v>
      </c>
      <c r="R3613">
        <v>3.4551770000000002E-2</v>
      </c>
      <c r="S3613">
        <v>-3.095459</v>
      </c>
      <c r="T3613">
        <v>-0.37002829999999998</v>
      </c>
      <c r="U3613">
        <v>0.1293793</v>
      </c>
      <c r="V3613">
        <v>2.4372930000000001E-2</v>
      </c>
      <c r="W3613">
        <v>0.16564189999999901</v>
      </c>
      <c r="X3613">
        <v>0.98588469999999995</v>
      </c>
      <c r="Y3613">
        <v>3.1276480000000002E-2</v>
      </c>
      <c r="Z3613">
        <v>6.307258E-4</v>
      </c>
      <c r="AA3613">
        <v>0.99951060000000003</v>
      </c>
      <c r="AB3613">
        <v>31</v>
      </c>
      <c r="AC3613">
        <v>-0.47849999999999598</v>
      </c>
      <c r="AD3613">
        <v>-9.2431999999999806E-2</v>
      </c>
      <c r="AE3613">
        <v>2.93000000000063E-2</v>
      </c>
      <c r="AF3613">
        <v>2.3477228540067899E-2</v>
      </c>
      <c r="AG3613">
        <v>-9.2431999999999806E-2</v>
      </c>
      <c r="AH3613">
        <v>0.46161664271556002</v>
      </c>
      <c r="AI3613">
        <v>101.308662645751</v>
      </c>
      <c r="AJ3613">
        <v>87.088518928073597</v>
      </c>
      <c r="AK3613">
        <v>0.47136480534285502</v>
      </c>
      <c r="AL3613">
        <v>80.465473852182399</v>
      </c>
      <c r="AM3613">
        <v>88.583828682859803</v>
      </c>
      <c r="AN3613">
        <v>0.999999960223241</v>
      </c>
    </row>
    <row r="3614" spans="1:40" x14ac:dyDescent="0.25">
      <c r="A3614" t="str">
        <f>"20190312164543647"</f>
        <v>20190312164543647</v>
      </c>
      <c r="B3614" t="str">
        <f>"1552380343644915"</f>
        <v>1552380343644915</v>
      </c>
      <c r="C3614" t="s">
        <v>40</v>
      </c>
      <c r="D3614">
        <v>4.7903560000000001</v>
      </c>
      <c r="E3614">
        <v>0.51554609999999901</v>
      </c>
      <c r="F3614" t="s">
        <v>41</v>
      </c>
      <c r="G3614">
        <v>-260.4144</v>
      </c>
      <c r="H3614">
        <v>0.99320039999999998</v>
      </c>
      <c r="I3614">
        <v>141.02099999999999</v>
      </c>
      <c r="J3614">
        <v>-259.9803</v>
      </c>
      <c r="K3614">
        <v>1.108282</v>
      </c>
      <c r="L3614">
        <v>140.98759999999999</v>
      </c>
      <c r="M3614">
        <v>-0.99991529999999995</v>
      </c>
      <c r="N3614">
        <v>0</v>
      </c>
      <c r="O3614">
        <v>1.039382E-2</v>
      </c>
      <c r="P3614">
        <v>-0.98679609999999995</v>
      </c>
      <c r="Q3614">
        <v>0.15812619999999999</v>
      </c>
      <c r="R3614">
        <v>3.5065430000000002E-2</v>
      </c>
      <c r="S3614">
        <v>-3.1115719999999998</v>
      </c>
      <c r="T3614">
        <v>-0.48075820000000002</v>
      </c>
      <c r="U3614">
        <v>0.15232850000000001</v>
      </c>
      <c r="V3614">
        <v>2.483339E-2</v>
      </c>
      <c r="W3614">
        <v>0.16584969999999999</v>
      </c>
      <c r="X3614">
        <v>0.98583829999999995</v>
      </c>
      <c r="Y3614">
        <v>3.8183639999999998E-2</v>
      </c>
      <c r="Z3614">
        <v>1.33526E-3</v>
      </c>
      <c r="AA3614">
        <v>0.99926979999999999</v>
      </c>
      <c r="AB3614">
        <v>31</v>
      </c>
      <c r="AC3614">
        <v>-0.43409999999999999</v>
      </c>
      <c r="AD3614">
        <v>-0.11508159999999901</v>
      </c>
      <c r="AE3614">
        <v>3.3400000000028698E-2</v>
      </c>
      <c r="AF3614">
        <v>2.6999724504816601E-2</v>
      </c>
      <c r="AG3614">
        <v>-0.11508159999999901</v>
      </c>
      <c r="AH3614">
        <v>0.40605414326757999</v>
      </c>
      <c r="AI3614">
        <v>105.79037040054899</v>
      </c>
      <c r="AJ3614">
        <v>86.195836344992699</v>
      </c>
      <c r="AK3614">
        <v>0.42290983323477399</v>
      </c>
      <c r="AL3614">
        <v>80.453401058390796</v>
      </c>
      <c r="AM3614">
        <v>88.557017312090693</v>
      </c>
      <c r="AN3614">
        <v>0.99999998699793502</v>
      </c>
    </row>
    <row r="3615" spans="1:40" x14ac:dyDescent="0.25">
      <c r="A3615" t="str">
        <f>"20190312164543671"</f>
        <v>20190312164543671</v>
      </c>
      <c r="B3615" t="str">
        <f>"1552380343665410"</f>
        <v>1552380343665410</v>
      </c>
      <c r="C3615" t="s">
        <v>40</v>
      </c>
      <c r="D3615">
        <v>5.4534159999999998</v>
      </c>
      <c r="E3615">
        <v>0.51699329999999999</v>
      </c>
      <c r="F3615" t="s">
        <v>41</v>
      </c>
      <c r="G3615">
        <v>-260.70100000000002</v>
      </c>
      <c r="H3615">
        <v>1.0107159999999999</v>
      </c>
      <c r="I3615">
        <v>141.03020000000001</v>
      </c>
      <c r="J3615">
        <v>-260.29219999999998</v>
      </c>
      <c r="K3615">
        <v>1.1082909999999999</v>
      </c>
      <c r="L3615">
        <v>140.99090000000001</v>
      </c>
      <c r="M3615">
        <v>-0.99991479999999999</v>
      </c>
      <c r="N3615">
        <v>0</v>
      </c>
      <c r="O3615">
        <v>1.043992E-2</v>
      </c>
      <c r="P3615">
        <v>-0.98684039999999995</v>
      </c>
      <c r="Q3615">
        <v>0.15775020000000001</v>
      </c>
      <c r="R3615">
        <v>3.5513910000000003E-2</v>
      </c>
      <c r="S3615">
        <v>-3.1009220000000002</v>
      </c>
      <c r="T3615">
        <v>-0.41985109999999998</v>
      </c>
      <c r="U3615">
        <v>0.18318180000000001</v>
      </c>
      <c r="V3615">
        <v>2.5234220000000002E-2</v>
      </c>
      <c r="W3615">
        <v>0.16547500000000001</v>
      </c>
      <c r="X3615">
        <v>0.98589110000000002</v>
      </c>
      <c r="Y3615">
        <v>4.8201939999999999E-2</v>
      </c>
      <c r="Z3615">
        <v>1.839748E-3</v>
      </c>
      <c r="AA3615">
        <v>0.9988359</v>
      </c>
      <c r="AB3615">
        <v>31</v>
      </c>
      <c r="AC3615">
        <v>-0.40879999999998501</v>
      </c>
      <c r="AD3615">
        <v>-9.7574999999999898E-2</v>
      </c>
      <c r="AE3615">
        <v>3.9299999999997198E-2</v>
      </c>
      <c r="AF3615">
        <v>3.3158128227993397E-2</v>
      </c>
      <c r="AG3615">
        <v>-9.7574999999999898E-2</v>
      </c>
      <c r="AH3615">
        <v>0.387323789548283</v>
      </c>
      <c r="AI3615">
        <v>104.090313370134</v>
      </c>
      <c r="AJ3615">
        <v>85.106936277971201</v>
      </c>
      <c r="AK3615">
        <v>0.40079927649962899</v>
      </c>
      <c r="AL3615">
        <v>80.475170724396506</v>
      </c>
      <c r="AM3615">
        <v>88.533815041722093</v>
      </c>
      <c r="AN3615">
        <v>1.0000000012715999</v>
      </c>
    </row>
    <row r="3616" spans="1:40" x14ac:dyDescent="0.25">
      <c r="A3616" t="str">
        <f>"20190312164543694"</f>
        <v>20190312164543694</v>
      </c>
      <c r="B3616" t="str">
        <f>"1552380343684930"</f>
        <v>1552380343684930</v>
      </c>
      <c r="C3616" t="s">
        <v>40</v>
      </c>
      <c r="D3616">
        <v>5.3743049999999997</v>
      </c>
      <c r="E3616">
        <v>0.51774560000000003</v>
      </c>
      <c r="F3616" t="s">
        <v>41</v>
      </c>
      <c r="G3616">
        <v>-261.24590000000001</v>
      </c>
      <c r="H3616">
        <v>0.9836992</v>
      </c>
      <c r="I3616">
        <v>141.0515</v>
      </c>
      <c r="J3616">
        <v>-260.62450000000001</v>
      </c>
      <c r="K3616">
        <v>1.10829</v>
      </c>
      <c r="L3616">
        <v>140.99440000000001</v>
      </c>
      <c r="M3616">
        <v>-0.99991450000000004</v>
      </c>
      <c r="N3616">
        <v>0</v>
      </c>
      <c r="O3616">
        <v>1.048111E-2</v>
      </c>
      <c r="P3616">
        <v>-0.98692760000000002</v>
      </c>
      <c r="Q3616">
        <v>0.15719720000000001</v>
      </c>
      <c r="R3616">
        <v>3.554235E-2</v>
      </c>
      <c r="S3616">
        <v>-3.097626</v>
      </c>
      <c r="T3616">
        <v>-0.40465800000000002</v>
      </c>
      <c r="U3616">
        <v>0.1964264</v>
      </c>
      <c r="V3616">
        <v>2.5218819999999999E-2</v>
      </c>
      <c r="W3616">
        <v>0.16492379999999901</v>
      </c>
      <c r="X3616">
        <v>0.98598379999999997</v>
      </c>
      <c r="Y3616">
        <v>5.2465669999999999E-2</v>
      </c>
      <c r="Z3616">
        <v>2.0470800000000002E-3</v>
      </c>
      <c r="AA3616">
        <v>0.99862059999999997</v>
      </c>
      <c r="AB3616">
        <v>31</v>
      </c>
      <c r="AC3616">
        <v>-0.62139999999999396</v>
      </c>
      <c r="AD3616">
        <v>-0.1245908</v>
      </c>
      <c r="AE3616">
        <v>5.7099999999991199E-2</v>
      </c>
      <c r="AF3616">
        <v>4.8644549842432501E-2</v>
      </c>
      <c r="AG3616">
        <v>-0.1245908</v>
      </c>
      <c r="AH3616">
        <v>0.59812102622599295</v>
      </c>
      <c r="AI3616">
        <v>101.729011376605</v>
      </c>
      <c r="AJ3616">
        <v>85.350428261524897</v>
      </c>
      <c r="AK3616">
        <v>0.61289307524856895</v>
      </c>
      <c r="AL3616">
        <v>80.507191647522703</v>
      </c>
      <c r="AM3616">
        <v>88.534847141662098</v>
      </c>
      <c r="AN3616">
        <v>0.99999995127553498</v>
      </c>
    </row>
    <row r="3617" spans="1:40" x14ac:dyDescent="0.25">
      <c r="A3617" t="str">
        <f>"20190312164543717"</f>
        <v>20190312164543717</v>
      </c>
      <c r="B3617" t="str">
        <f>"1552380343705426"</f>
        <v>1552380343705426</v>
      </c>
      <c r="C3617" t="s">
        <v>40</v>
      </c>
      <c r="D3617">
        <v>4.8395020000000004</v>
      </c>
      <c r="E3617">
        <v>0.51826349999999999</v>
      </c>
      <c r="F3617" t="s">
        <v>41</v>
      </c>
      <c r="G3617">
        <v>-261.53050000000002</v>
      </c>
      <c r="H3617">
        <v>0.9926374</v>
      </c>
      <c r="I3617">
        <v>141.0539</v>
      </c>
      <c r="J3617">
        <v>-260.9384</v>
      </c>
      <c r="K3617">
        <v>1.1082879999999999</v>
      </c>
      <c r="L3617">
        <v>140.99780000000001</v>
      </c>
      <c r="M3617">
        <v>-0.99991410000000003</v>
      </c>
      <c r="N3617">
        <v>0</v>
      </c>
      <c r="O3617">
        <v>1.0512759999999999E-2</v>
      </c>
      <c r="P3617">
        <v>-0.98711499999999996</v>
      </c>
      <c r="Q3617">
        <v>0.15603059999999999</v>
      </c>
      <c r="R3617">
        <v>3.5476809999999998E-2</v>
      </c>
      <c r="S3617">
        <v>-3.095367</v>
      </c>
      <c r="T3617">
        <v>-0.39512849999999999</v>
      </c>
      <c r="U3617">
        <v>0.2029724</v>
      </c>
      <c r="V3617">
        <v>2.511731E-2</v>
      </c>
      <c r="W3617">
        <v>0.16376060000000001</v>
      </c>
      <c r="X3617">
        <v>0.98618030000000001</v>
      </c>
      <c r="Y3617">
        <v>5.4582270000000002E-2</v>
      </c>
      <c r="Z3617">
        <v>2.130963E-3</v>
      </c>
      <c r="AA3617">
        <v>0.99850700000000003</v>
      </c>
      <c r="AB3617">
        <v>31</v>
      </c>
      <c r="AC3617">
        <v>-0.59210000000001595</v>
      </c>
      <c r="AD3617">
        <v>-0.11565059999999899</v>
      </c>
      <c r="AE3617">
        <v>5.6099999999986397E-2</v>
      </c>
      <c r="AF3617">
        <v>4.8055067719894103E-2</v>
      </c>
      <c r="AG3617">
        <v>-0.11565059999999899</v>
      </c>
      <c r="AH3617">
        <v>0.57106424423136704</v>
      </c>
      <c r="AI3617">
        <v>101.40930710537501</v>
      </c>
      <c r="AJ3617">
        <v>85.189891454542703</v>
      </c>
      <c r="AK3617">
        <v>0.58463554617681701</v>
      </c>
      <c r="AL3617">
        <v>80.574757213967303</v>
      </c>
      <c r="AM3617">
        <v>88.541032710412793</v>
      </c>
      <c r="AN3617">
        <v>0.99999999874104295</v>
      </c>
    </row>
    <row r="3618" spans="1:40" x14ac:dyDescent="0.25">
      <c r="A3618" t="str">
        <f>"20190312164543737"</f>
        <v>20190312164543737</v>
      </c>
      <c r="B3618" t="str">
        <f>"1552380343724946"</f>
        <v>1552380343724946</v>
      </c>
      <c r="C3618" t="s">
        <v>40</v>
      </c>
      <c r="D3618">
        <v>4.9287010000000002</v>
      </c>
      <c r="E3618">
        <v>0.5185554</v>
      </c>
      <c r="F3618" t="s">
        <v>41</v>
      </c>
      <c r="G3618">
        <v>-261.8134</v>
      </c>
      <c r="H3618">
        <v>0.99702199999999996</v>
      </c>
      <c r="I3618">
        <v>141.05619999999999</v>
      </c>
      <c r="J3618">
        <v>-261.22910000000002</v>
      </c>
      <c r="K3618">
        <v>1.108284</v>
      </c>
      <c r="L3618">
        <v>141.0008</v>
      </c>
      <c r="M3618">
        <v>-0.99991390000000002</v>
      </c>
      <c r="N3618">
        <v>0</v>
      </c>
      <c r="O3618">
        <v>1.0534440000000001E-2</v>
      </c>
      <c r="P3618">
        <v>-0.98715940000000002</v>
      </c>
      <c r="Q3618">
        <v>0.155667</v>
      </c>
      <c r="R3618">
        <v>3.5838009999999997E-2</v>
      </c>
      <c r="S3618">
        <v>-3.0939640000000002</v>
      </c>
      <c r="T3618">
        <v>-0.39348070000000002</v>
      </c>
      <c r="U3618">
        <v>0.20640559999999999</v>
      </c>
      <c r="V3618">
        <v>2.545381E-2</v>
      </c>
      <c r="W3618">
        <v>0.1633993</v>
      </c>
      <c r="X3618">
        <v>0.98623159999999999</v>
      </c>
      <c r="Y3618">
        <v>5.5687300000000002E-2</v>
      </c>
      <c r="Z3618">
        <v>2.1901910000000002E-3</v>
      </c>
      <c r="AA3618">
        <v>0.9984459</v>
      </c>
      <c r="AB3618">
        <v>31</v>
      </c>
      <c r="AC3618">
        <v>-0.58429999999998405</v>
      </c>
      <c r="AD3618">
        <v>-0.111262</v>
      </c>
      <c r="AE3618">
        <v>5.5399999999991602E-2</v>
      </c>
      <c r="AF3618">
        <v>4.7533286365511997E-2</v>
      </c>
      <c r="AG3618">
        <v>-0.111262</v>
      </c>
      <c r="AH3618">
        <v>0.56456281722375101</v>
      </c>
      <c r="AI3618">
        <v>101.11044721511701</v>
      </c>
      <c r="AJ3618">
        <v>85.187340500659005</v>
      </c>
      <c r="AK3618">
        <v>0.57738186718005302</v>
      </c>
      <c r="AL3618">
        <v>80.595740822278401</v>
      </c>
      <c r="AM3618">
        <v>88.521572218765002</v>
      </c>
      <c r="AN3618">
        <v>0.99999999826128205</v>
      </c>
    </row>
    <row r="3619" spans="1:40" x14ac:dyDescent="0.25">
      <c r="A3619" t="str">
        <f>"20190312164543760"</f>
        <v>20190312164543760</v>
      </c>
      <c r="B3619" t="str">
        <f>"1552380343755202"</f>
        <v>1552380343755202</v>
      </c>
      <c r="C3619" t="s">
        <v>40</v>
      </c>
      <c r="D3619">
        <v>4.6715749999999998</v>
      </c>
      <c r="E3619">
        <v>0.5253717</v>
      </c>
      <c r="F3619" t="s">
        <v>41</v>
      </c>
      <c r="G3619">
        <v>-262.0958</v>
      </c>
      <c r="H3619">
        <v>0.99908129999999995</v>
      </c>
      <c r="I3619">
        <v>141.05969999999999</v>
      </c>
      <c r="J3619">
        <v>-261.55020000000002</v>
      </c>
      <c r="K3619">
        <v>1.1082890000000001</v>
      </c>
      <c r="L3619">
        <v>141.0042</v>
      </c>
      <c r="M3619">
        <v>-0.99991370000000002</v>
      </c>
      <c r="N3619">
        <v>0</v>
      </c>
      <c r="O3619">
        <v>1.0550149999999999E-2</v>
      </c>
      <c r="P3619">
        <v>-0.98718229999999996</v>
      </c>
      <c r="Q3619">
        <v>0.15535550000000001</v>
      </c>
      <c r="R3619">
        <v>3.6549989999999997E-2</v>
      </c>
      <c r="S3619">
        <v>-3.0928960000000001</v>
      </c>
      <c r="T3619">
        <v>-0.38979390000000003</v>
      </c>
      <c r="U3619">
        <v>0.20936579999999999</v>
      </c>
      <c r="V3619">
        <v>2.6146840000000001E-2</v>
      </c>
      <c r="W3619">
        <v>0.16308979999999901</v>
      </c>
      <c r="X3619">
        <v>0.98626469999999999</v>
      </c>
      <c r="Y3619">
        <v>5.664491E-2</v>
      </c>
      <c r="Z3619">
        <v>2.2285740000000001E-3</v>
      </c>
      <c r="AA3619">
        <v>0.9983919</v>
      </c>
      <c r="AB3619">
        <v>31</v>
      </c>
      <c r="AC3619">
        <v>-0.54559999999997899</v>
      </c>
      <c r="AD3619">
        <v>-0.10920769999999901</v>
      </c>
      <c r="AE3619">
        <v>5.5499999999994998E-2</v>
      </c>
      <c r="AF3619">
        <v>4.7843390906631901E-2</v>
      </c>
      <c r="AG3619">
        <v>-0.10920769999999901</v>
      </c>
      <c r="AH3619">
        <v>0.52532398672054403</v>
      </c>
      <c r="AI3619">
        <v>101.696676288841</v>
      </c>
      <c r="AJ3619">
        <v>84.796196391332998</v>
      </c>
      <c r="AK3619">
        <v>0.53868414011988597</v>
      </c>
      <c r="AL3619">
        <v>80.613714987723995</v>
      </c>
      <c r="AM3619">
        <v>88.4813886617939</v>
      </c>
      <c r="AN3619">
        <v>0.99999999928605698</v>
      </c>
    </row>
    <row r="3620" spans="1:40" x14ac:dyDescent="0.25">
      <c r="A3620" t="str">
        <f>"20190312164543783"</f>
        <v>20190312164543783</v>
      </c>
      <c r="B3620" t="str">
        <f>"1552380343775373"</f>
        <v>1552380343775373</v>
      </c>
      <c r="C3620" t="s">
        <v>40</v>
      </c>
      <c r="D3620">
        <v>4.9457959999999996</v>
      </c>
      <c r="E3620">
        <v>0.53060339999999995</v>
      </c>
      <c r="F3620" t="s">
        <v>41</v>
      </c>
      <c r="G3620">
        <v>-262.34519999999998</v>
      </c>
      <c r="H3620">
        <v>0.93181049999999999</v>
      </c>
      <c r="I3620">
        <v>141.06729999999999</v>
      </c>
      <c r="J3620">
        <v>-261.87099999999998</v>
      </c>
      <c r="K3620">
        <v>1.108301</v>
      </c>
      <c r="L3620">
        <v>141.0076</v>
      </c>
      <c r="M3620">
        <v>-0.99991359999999996</v>
      </c>
      <c r="N3620">
        <v>0</v>
      </c>
      <c r="O3620">
        <v>1.055878E-2</v>
      </c>
      <c r="P3620">
        <v>-0.98716219999999999</v>
      </c>
      <c r="Q3620">
        <v>0.1553136</v>
      </c>
      <c r="R3620">
        <v>3.7262730000000001E-2</v>
      </c>
      <c r="S3620">
        <v>-3.1394350000000002</v>
      </c>
      <c r="T3620">
        <v>-0.69697580000000003</v>
      </c>
      <c r="U3620">
        <v>0.24861150000000001</v>
      </c>
      <c r="V3620">
        <v>2.684839E-2</v>
      </c>
      <c r="W3620">
        <v>0.16305069999999999</v>
      </c>
      <c r="X3620">
        <v>0.98625229999999997</v>
      </c>
      <c r="Y3620">
        <v>6.7045649999999998E-2</v>
      </c>
      <c r="Z3620">
        <v>5.0294650000000003E-3</v>
      </c>
      <c r="AA3620">
        <v>0.99773719999999999</v>
      </c>
      <c r="AB3620">
        <v>31</v>
      </c>
      <c r="AC3620">
        <v>-0.47419999999999601</v>
      </c>
      <c r="AD3620">
        <v>-0.17649049999999999</v>
      </c>
      <c r="AE3620">
        <v>5.9699999999992301E-2</v>
      </c>
      <c r="AF3620">
        <v>4.8126912928346602E-2</v>
      </c>
      <c r="AG3620">
        <v>-0.17649049999999999</v>
      </c>
      <c r="AH3620">
        <v>0.41782845445411099</v>
      </c>
      <c r="AI3620">
        <v>112.76413774075399</v>
      </c>
      <c r="AJ3620">
        <v>83.429431445633497</v>
      </c>
      <c r="AK3620">
        <v>0.45612028423407502</v>
      </c>
      <c r="AL3620">
        <v>80.615985492828202</v>
      </c>
      <c r="AM3620">
        <v>88.440642819604193</v>
      </c>
      <c r="AN3620">
        <v>0.99999998303568505</v>
      </c>
    </row>
    <row r="3621" spans="1:40" x14ac:dyDescent="0.25">
      <c r="A3621" t="str">
        <f>"20190312164543805"</f>
        <v>20190312164543805</v>
      </c>
      <c r="B3621" t="str">
        <f>"1552380343794883"</f>
        <v>1552380343794883</v>
      </c>
      <c r="C3621" t="s">
        <v>40</v>
      </c>
      <c r="D3621">
        <v>4.9430769999999997</v>
      </c>
      <c r="E3621">
        <v>0.54142209999999902</v>
      </c>
      <c r="F3621" t="s">
        <v>41</v>
      </c>
      <c r="G3621">
        <v>-262.66879999999998</v>
      </c>
      <c r="H3621">
        <v>1.0167269999999999</v>
      </c>
      <c r="I3621">
        <v>141.08840000000001</v>
      </c>
      <c r="J3621">
        <v>-262.18689999999998</v>
      </c>
      <c r="K3621">
        <v>1.108301</v>
      </c>
      <c r="L3621">
        <v>141.011</v>
      </c>
      <c r="M3621">
        <v>-0.99991350000000001</v>
      </c>
      <c r="N3621">
        <v>0</v>
      </c>
      <c r="O3621">
        <v>1.0562240000000001E-2</v>
      </c>
      <c r="P3621">
        <v>-0.98727790000000004</v>
      </c>
      <c r="Q3621">
        <v>0.1545549</v>
      </c>
      <c r="R3621">
        <v>3.7352509999999998E-2</v>
      </c>
      <c r="S3621">
        <v>-3.0829469999999999</v>
      </c>
      <c r="T3621">
        <v>-0.35393799999999997</v>
      </c>
      <c r="U3621">
        <v>0.31127929999999998</v>
      </c>
      <c r="V3621">
        <v>2.693158E-2</v>
      </c>
      <c r="W3621">
        <v>0.162296</v>
      </c>
      <c r="X3621">
        <v>0.98637450000000004</v>
      </c>
      <c r="Y3621">
        <v>8.9429919999999996E-2</v>
      </c>
      <c r="Z3621">
        <v>3.8983970000000001E-3</v>
      </c>
      <c r="AA3621">
        <v>0.99598549999999997</v>
      </c>
      <c r="AB3621">
        <v>32</v>
      </c>
      <c r="AC3621">
        <v>-0.481899999999996</v>
      </c>
      <c r="AD3621">
        <v>-9.1574000000000003E-2</v>
      </c>
      <c r="AE3621">
        <v>7.7400000000011404E-2</v>
      </c>
      <c r="AF3621">
        <v>6.9846824398855506E-2</v>
      </c>
      <c r="AG3621">
        <v>-9.1574000000000003E-2</v>
      </c>
      <c r="AH3621">
        <v>0.466276719057442</v>
      </c>
      <c r="AI3621">
        <v>100.99153859261401</v>
      </c>
      <c r="AJ3621">
        <v>81.480613351718205</v>
      </c>
      <c r="AK3621">
        <v>0.48028986569526599</v>
      </c>
      <c r="AL3621">
        <v>80.659810319689996</v>
      </c>
      <c r="AM3621">
        <v>88.436007220453106</v>
      </c>
      <c r="AN3621">
        <v>0.99999997793377204</v>
      </c>
    </row>
    <row r="3622" spans="1:40" x14ac:dyDescent="0.25">
      <c r="A3622" t="str">
        <f>"20190312164543827"</f>
        <v>20190312164543827</v>
      </c>
      <c r="B3622" t="str">
        <f>"1552380343815379"</f>
        <v>1552380343815379</v>
      </c>
      <c r="C3622" t="s">
        <v>40</v>
      </c>
      <c r="D3622">
        <v>5.0014609999999999</v>
      </c>
      <c r="E3622">
        <v>0.54282369999999902</v>
      </c>
      <c r="F3622" t="s">
        <v>41</v>
      </c>
      <c r="G3622">
        <v>-262.91030000000001</v>
      </c>
      <c r="H3622">
        <v>0.93098190000000003</v>
      </c>
      <c r="I3622">
        <v>141.09739999999999</v>
      </c>
      <c r="J3622">
        <v>-262.49470000000002</v>
      </c>
      <c r="K3622">
        <v>1.1083000000000001</v>
      </c>
      <c r="L3622">
        <v>141.01419999999999</v>
      </c>
      <c r="M3622">
        <v>-0.99991350000000001</v>
      </c>
      <c r="N3622">
        <v>0</v>
      </c>
      <c r="O3622">
        <v>1.056208E-2</v>
      </c>
      <c r="P3622">
        <v>-0.98736959999999996</v>
      </c>
      <c r="Q3622">
        <v>0.1538976</v>
      </c>
      <c r="R3622">
        <v>3.7643940000000001E-2</v>
      </c>
      <c r="S3622">
        <v>-3.145111</v>
      </c>
      <c r="T3622">
        <v>-0.77085219999999999</v>
      </c>
      <c r="U3622">
        <v>0.37593080000000001</v>
      </c>
      <c r="V3622">
        <v>2.7221160000000001E-2</v>
      </c>
      <c r="W3622">
        <v>0.16164200000000001</v>
      </c>
      <c r="X3622">
        <v>0.98647399999999996</v>
      </c>
      <c r="Y3622">
        <v>0.10542169999999999</v>
      </c>
      <c r="Z3622">
        <v>1.0145599999999999E-2</v>
      </c>
      <c r="AA3622">
        <v>0.99437580000000003</v>
      </c>
      <c r="AB3622">
        <v>32</v>
      </c>
      <c r="AC3622">
        <v>-0.41559999999998298</v>
      </c>
      <c r="AD3622">
        <v>-0.17731810000000001</v>
      </c>
      <c r="AE3622">
        <v>8.3200000000005006E-2</v>
      </c>
      <c r="AF3622">
        <v>6.7067431063518396E-2</v>
      </c>
      <c r="AG3622">
        <v>-0.17731810000000001</v>
      </c>
      <c r="AH3622">
        <v>0.354424044398303</v>
      </c>
      <c r="AI3622">
        <v>116.177605241292</v>
      </c>
      <c r="AJ3622">
        <v>79.284655538071704</v>
      </c>
      <c r="AK3622">
        <v>0.40194048333642601</v>
      </c>
      <c r="AL3622">
        <v>80.697783744609495</v>
      </c>
      <c r="AM3622">
        <v>88.419358346397203</v>
      </c>
      <c r="AN3622">
        <v>1.00000004019587</v>
      </c>
    </row>
    <row r="3623" spans="1:40" x14ac:dyDescent="0.25">
      <c r="A3623" t="str">
        <f>"20190312164543848"</f>
        <v>20190312164543848</v>
      </c>
      <c r="B3623" t="str">
        <f>"1552380343845632"</f>
        <v>1552380343845632</v>
      </c>
      <c r="C3623" t="s">
        <v>40</v>
      </c>
      <c r="D3623">
        <v>5.0519769999999999</v>
      </c>
      <c r="E3623">
        <v>0.53937049999999997</v>
      </c>
      <c r="F3623" t="s">
        <v>41</v>
      </c>
      <c r="G3623">
        <v>-263.20690000000002</v>
      </c>
      <c r="H3623">
        <v>0.9569126</v>
      </c>
      <c r="I3623">
        <v>141.10429999999999</v>
      </c>
      <c r="J3623">
        <v>-262.8032</v>
      </c>
      <c r="K3623">
        <v>1.108295</v>
      </c>
      <c r="L3623">
        <v>141.01750000000001</v>
      </c>
      <c r="M3623">
        <v>-0.99991350000000001</v>
      </c>
      <c r="N3623">
        <v>0</v>
      </c>
      <c r="O3623">
        <v>1.0559310000000001E-2</v>
      </c>
      <c r="P3623">
        <v>-0.98743219999999998</v>
      </c>
      <c r="Q3623">
        <v>0.1534634</v>
      </c>
      <c r="R3623">
        <v>3.777229E-2</v>
      </c>
      <c r="S3623">
        <v>-3.1269529999999999</v>
      </c>
      <c r="T3623">
        <v>-0.66463830000000002</v>
      </c>
      <c r="U3623">
        <v>0.39463809999999999</v>
      </c>
      <c r="V3623">
        <v>2.7350610000000001E-2</v>
      </c>
      <c r="W3623">
        <v>0.16121099999999999</v>
      </c>
      <c r="X3623">
        <v>0.98654090000000005</v>
      </c>
      <c r="Y3623">
        <v>0.11248759999999999</v>
      </c>
      <c r="Z3623">
        <v>9.5666569999999992E-3</v>
      </c>
      <c r="AA3623">
        <v>0.99360709999999997</v>
      </c>
      <c r="AB3623">
        <v>32</v>
      </c>
      <c r="AC3623">
        <v>-0.40370000000001399</v>
      </c>
      <c r="AD3623">
        <v>-0.1513824</v>
      </c>
      <c r="AE3623">
        <v>8.6799999999982405E-2</v>
      </c>
      <c r="AF3623">
        <v>7.2753949353387498E-2</v>
      </c>
      <c r="AG3623">
        <v>-0.1513824</v>
      </c>
      <c r="AH3623">
        <v>0.35665841344954002</v>
      </c>
      <c r="AI3623">
        <v>112.58154722875</v>
      </c>
      <c r="AJ3623">
        <v>78.470543123894998</v>
      </c>
      <c r="AK3623">
        <v>0.394227081845754</v>
      </c>
      <c r="AL3623">
        <v>80.722805979401102</v>
      </c>
      <c r="AM3623">
        <v>88.4119531005109</v>
      </c>
      <c r="AN3623">
        <v>0.99999999488059099</v>
      </c>
    </row>
    <row r="3624" spans="1:40" x14ac:dyDescent="0.25">
      <c r="A3624" t="str">
        <f>"20190312164543871"</f>
        <v>20190312164543871</v>
      </c>
      <c r="B3624" t="str">
        <f>"1552380343865152"</f>
        <v>1552380343865152</v>
      </c>
      <c r="C3624" t="s">
        <v>40</v>
      </c>
      <c r="D3624">
        <v>4.9784610000000002</v>
      </c>
      <c r="E3624">
        <v>0.53952630000000001</v>
      </c>
      <c r="F3624" t="s">
        <v>41</v>
      </c>
      <c r="G3624">
        <v>-263.49489999999997</v>
      </c>
      <c r="H3624">
        <v>0.96394619999999998</v>
      </c>
      <c r="I3624">
        <v>141.09899999999999</v>
      </c>
      <c r="J3624">
        <v>-263.1361</v>
      </c>
      <c r="K3624">
        <v>1.1082970000000001</v>
      </c>
      <c r="L3624">
        <v>141.02099999999999</v>
      </c>
      <c r="M3624">
        <v>-0.99991350000000001</v>
      </c>
      <c r="N3624">
        <v>0</v>
      </c>
      <c r="O3624">
        <v>1.0552229999999999E-2</v>
      </c>
      <c r="P3624">
        <v>-0.98727940000000003</v>
      </c>
      <c r="Q3624">
        <v>0.15438260000000001</v>
      </c>
      <c r="R3624">
        <v>3.8022739999999999E-2</v>
      </c>
      <c r="S3624">
        <v>-3.1254879999999998</v>
      </c>
      <c r="T3624">
        <v>-0.65222590000000003</v>
      </c>
      <c r="U3624">
        <v>0.3684692</v>
      </c>
      <c r="V3624">
        <v>2.760841E-2</v>
      </c>
      <c r="W3624">
        <v>0.16213229999999901</v>
      </c>
      <c r="X3624">
        <v>0.98638269999999995</v>
      </c>
      <c r="Y3624">
        <v>0.1045967</v>
      </c>
      <c r="Z3624">
        <v>8.5902180000000002E-3</v>
      </c>
      <c r="AA3624">
        <v>0.99447759999999996</v>
      </c>
      <c r="AB3624">
        <v>32</v>
      </c>
      <c r="AC3624">
        <v>-0.35879999999997297</v>
      </c>
      <c r="AD3624">
        <v>-0.144350799999999</v>
      </c>
      <c r="AE3624">
        <v>7.7999999999974506E-2</v>
      </c>
      <c r="AF3624">
        <v>6.4275398922516894E-2</v>
      </c>
      <c r="AG3624">
        <v>-0.144350799999999</v>
      </c>
      <c r="AH3624">
        <v>0.31146504397397901</v>
      </c>
      <c r="AI3624">
        <v>114.412983812741</v>
      </c>
      <c r="AJ3624">
        <v>78.339854372927107</v>
      </c>
      <c r="AK3624">
        <v>0.34925485534921602</v>
      </c>
      <c r="AL3624">
        <v>80.669315445306196</v>
      </c>
      <c r="AM3624">
        <v>88.396735379029494</v>
      </c>
      <c r="AN3624">
        <v>0.99999996893265297</v>
      </c>
    </row>
    <row r="3625" spans="1:40" x14ac:dyDescent="0.25">
      <c r="A3625" t="str">
        <f>"20190312164543894"</f>
        <v>20190312164543894</v>
      </c>
      <c r="B3625" t="str">
        <f>"1552380343885529"</f>
        <v>1552380343885529</v>
      </c>
      <c r="C3625" t="s">
        <v>40</v>
      </c>
      <c r="D3625">
        <v>4.6486450000000001</v>
      </c>
      <c r="E3625">
        <v>0.54053989999999996</v>
      </c>
      <c r="F3625" t="s">
        <v>41</v>
      </c>
      <c r="G3625">
        <v>-264.04669999999999</v>
      </c>
      <c r="H3625">
        <v>0.92313109999999998</v>
      </c>
      <c r="I3625">
        <v>141.1293</v>
      </c>
      <c r="J3625">
        <v>-263.46039999999999</v>
      </c>
      <c r="K3625">
        <v>1.1082970000000001</v>
      </c>
      <c r="L3625">
        <v>141.02440000000001</v>
      </c>
      <c r="M3625">
        <v>-0.99991359999999996</v>
      </c>
      <c r="N3625">
        <v>0</v>
      </c>
      <c r="O3625">
        <v>1.0541989999999999E-2</v>
      </c>
      <c r="P3625">
        <v>-0.98728490000000002</v>
      </c>
      <c r="Q3625">
        <v>0.15435979999999999</v>
      </c>
      <c r="R3625">
        <v>3.7968120000000001E-2</v>
      </c>
      <c r="S3625">
        <v>-3.1236570000000001</v>
      </c>
      <c r="T3625">
        <v>-0.63517480000000004</v>
      </c>
      <c r="U3625">
        <v>0.37146000000000001</v>
      </c>
      <c r="V3625">
        <v>2.7562380000000001E-2</v>
      </c>
      <c r="W3625">
        <v>0.16211300000000001</v>
      </c>
      <c r="X3625">
        <v>0.98638720000000002</v>
      </c>
      <c r="Y3625">
        <v>0.1056914</v>
      </c>
      <c r="Z3625">
        <v>8.4863339999999999E-3</v>
      </c>
      <c r="AA3625">
        <v>0.99436279999999999</v>
      </c>
      <c r="AB3625">
        <v>32</v>
      </c>
      <c r="AC3625">
        <v>-0.58629999999999405</v>
      </c>
      <c r="AD3625">
        <v>-0.185165899999999</v>
      </c>
      <c r="AE3625">
        <v>0.104899999999986</v>
      </c>
      <c r="AF3625">
        <v>9.0013493661365199E-2</v>
      </c>
      <c r="AG3625">
        <v>-0.185165899999999</v>
      </c>
      <c r="AH3625">
        <v>0.535607370082678</v>
      </c>
      <c r="AI3625">
        <v>108.825832086354</v>
      </c>
      <c r="AJ3625">
        <v>80.460091734394098</v>
      </c>
      <c r="AK3625">
        <v>0.57381538359547102</v>
      </c>
      <c r="AL3625">
        <v>80.670436455787893</v>
      </c>
      <c r="AM3625">
        <v>88.399414321548306</v>
      </c>
      <c r="AN3625">
        <v>1.00000000894205</v>
      </c>
    </row>
    <row r="3626" spans="1:40" x14ac:dyDescent="0.25">
      <c r="A3626" t="str">
        <f>"20190312164543917"</f>
        <v>20190312164543917</v>
      </c>
      <c r="B3626" t="str">
        <f>"1552380343905045"</f>
        <v>1552380343905045</v>
      </c>
      <c r="C3626" t="s">
        <v>40</v>
      </c>
      <c r="D3626">
        <v>4.8923880000000004</v>
      </c>
      <c r="E3626">
        <v>0.54150379999999998</v>
      </c>
      <c r="F3626" t="s">
        <v>41</v>
      </c>
      <c r="G3626">
        <v>-264.33870000000002</v>
      </c>
      <c r="H3626">
        <v>0.93509149999999996</v>
      </c>
      <c r="I3626">
        <v>141.13200000000001</v>
      </c>
      <c r="J3626">
        <v>-263.78500000000003</v>
      </c>
      <c r="K3626">
        <v>1.1082909999999999</v>
      </c>
      <c r="L3626">
        <v>141.02780000000001</v>
      </c>
      <c r="M3626">
        <v>-0.99991379999999996</v>
      </c>
      <c r="N3626">
        <v>0</v>
      </c>
      <c r="O3626">
        <v>1.0528650000000001E-2</v>
      </c>
      <c r="P3626">
        <v>-0.98743780000000003</v>
      </c>
      <c r="Q3626">
        <v>0.1534556</v>
      </c>
      <c r="R3626">
        <v>3.7657370000000003E-2</v>
      </c>
      <c r="S3626">
        <v>-3.1201780000000001</v>
      </c>
      <c r="T3626">
        <v>-0.61530899999999999</v>
      </c>
      <c r="U3626">
        <v>0.38163760000000002</v>
      </c>
      <c r="V3626">
        <v>2.7261670000000002E-2</v>
      </c>
      <c r="W3626">
        <v>0.16121379999999999</v>
      </c>
      <c r="X3626">
        <v>0.9865429</v>
      </c>
      <c r="Y3626">
        <v>0.1090805</v>
      </c>
      <c r="Z3626">
        <v>8.5657130000000008E-3</v>
      </c>
      <c r="AA3626">
        <v>0.99399599999999999</v>
      </c>
      <c r="AB3626">
        <v>32</v>
      </c>
      <c r="AC3626">
        <v>-0.55369999999999198</v>
      </c>
      <c r="AD3626">
        <v>-0.17319949999999901</v>
      </c>
      <c r="AE3626">
        <v>0.10419999999999099</v>
      </c>
      <c r="AF3626">
        <v>8.9871512559937403E-2</v>
      </c>
      <c r="AG3626">
        <v>-0.17319949999999901</v>
      </c>
      <c r="AH3626">
        <v>0.506867655188871</v>
      </c>
      <c r="AI3626">
        <v>108.595910024734</v>
      </c>
      <c r="AJ3626">
        <v>79.945515250733393</v>
      </c>
      <c r="AK3626">
        <v>0.54312961201422805</v>
      </c>
      <c r="AL3626">
        <v>80.722643386312498</v>
      </c>
      <c r="AM3626">
        <v>88.417117761971497</v>
      </c>
      <c r="AN3626">
        <v>0.99999999075101897</v>
      </c>
    </row>
    <row r="3627" spans="1:40" x14ac:dyDescent="0.25">
      <c r="A3627" t="str">
        <f>"20190312164543941"</f>
        <v>20190312164543941</v>
      </c>
      <c r="B3627" t="str">
        <f>"1552380343935302"</f>
        <v>1552380343935302</v>
      </c>
      <c r="C3627" t="s">
        <v>40</v>
      </c>
      <c r="D3627">
        <v>4.5681099999999999</v>
      </c>
      <c r="E3627">
        <v>0.54252259999999997</v>
      </c>
      <c r="F3627" t="s">
        <v>41</v>
      </c>
      <c r="G3627">
        <v>-264.63279999999997</v>
      </c>
      <c r="H3627">
        <v>0.94995149999999995</v>
      </c>
      <c r="I3627">
        <v>141.1343</v>
      </c>
      <c r="J3627">
        <v>-264.11709999999999</v>
      </c>
      <c r="K3627">
        <v>1.1082959999999999</v>
      </c>
      <c r="L3627">
        <v>141.03129999999999</v>
      </c>
      <c r="M3627">
        <v>-0.99991390000000002</v>
      </c>
      <c r="N3627">
        <v>0</v>
      </c>
      <c r="O3627">
        <v>1.051202E-2</v>
      </c>
      <c r="P3627">
        <v>-0.98748389999999997</v>
      </c>
      <c r="Q3627">
        <v>0.15326210000000001</v>
      </c>
      <c r="R3627">
        <v>3.7232700000000001E-2</v>
      </c>
      <c r="S3627">
        <v>-3.1136469999999998</v>
      </c>
      <c r="T3627">
        <v>-0.58153639999999995</v>
      </c>
      <c r="U3627">
        <v>0.39073180000000002</v>
      </c>
      <c r="V3627">
        <v>2.685156E-2</v>
      </c>
      <c r="W3627">
        <v>0.1610269</v>
      </c>
      <c r="X3627">
        <v>0.98658469999999998</v>
      </c>
      <c r="Y3627">
        <v>0.112342899999999</v>
      </c>
      <c r="Z3627">
        <v>8.4228029999999995E-3</v>
      </c>
      <c r="AA3627">
        <v>0.99363380000000001</v>
      </c>
      <c r="AB3627">
        <v>32</v>
      </c>
      <c r="AC3627">
        <v>-0.51569999999998095</v>
      </c>
      <c r="AD3627">
        <v>-0.1583445</v>
      </c>
      <c r="AE3627">
        <v>0.103000000000008</v>
      </c>
      <c r="AF3627">
        <v>8.9462292451530201E-2</v>
      </c>
      <c r="AG3627">
        <v>-0.1583445</v>
      </c>
      <c r="AH3627">
        <v>0.47379888124847103</v>
      </c>
      <c r="AI3627">
        <v>108.18013092005801</v>
      </c>
      <c r="AJ3627">
        <v>79.307348522643295</v>
      </c>
      <c r="AK3627">
        <v>0.50750552935237603</v>
      </c>
      <c r="AL3627">
        <v>80.733493998984798</v>
      </c>
      <c r="AM3627">
        <v>88.440983977686301</v>
      </c>
      <c r="AN3627">
        <v>1.0000000195360601</v>
      </c>
    </row>
    <row r="3628" spans="1:40" x14ac:dyDescent="0.25">
      <c r="A3628" t="str">
        <f>"20190312164543961"</f>
        <v>20190312164543961</v>
      </c>
      <c r="B3628" t="str">
        <f>"1552380343954821"</f>
        <v>1552380343954821</v>
      </c>
      <c r="C3628" t="s">
        <v>40</v>
      </c>
      <c r="D3628">
        <v>5.3143159999999998</v>
      </c>
      <c r="E3628">
        <v>0.54351740000000004</v>
      </c>
      <c r="F3628" t="s">
        <v>41</v>
      </c>
      <c r="G3628">
        <v>-264.92770000000002</v>
      </c>
      <c r="H3628">
        <v>0.96506700000000001</v>
      </c>
      <c r="I3628">
        <v>141.13560000000001</v>
      </c>
      <c r="J3628">
        <v>-264.4298</v>
      </c>
      <c r="K3628">
        <v>1.108298</v>
      </c>
      <c r="L3628">
        <v>141.03460000000001</v>
      </c>
      <c r="M3628">
        <v>-0.99991390000000002</v>
      </c>
      <c r="N3628">
        <v>0</v>
      </c>
      <c r="O3628">
        <v>1.049281E-2</v>
      </c>
      <c r="P3628">
        <v>-0.98748530000000001</v>
      </c>
      <c r="Q3628">
        <v>0.1533244</v>
      </c>
      <c r="R3628">
        <v>3.6937810000000001E-2</v>
      </c>
      <c r="S3628">
        <v>-3.1081850000000002</v>
      </c>
      <c r="T3628">
        <v>-0.54916069999999995</v>
      </c>
      <c r="U3628">
        <v>0.3990631</v>
      </c>
      <c r="V3628">
        <v>2.6574270000000001E-2</v>
      </c>
      <c r="W3628">
        <v>0.16109989999999999</v>
      </c>
      <c r="X3628">
        <v>0.98658029999999997</v>
      </c>
      <c r="Y3628">
        <v>0.1153339</v>
      </c>
      <c r="Z3628">
        <v>8.2380059999999904E-3</v>
      </c>
      <c r="AA3628">
        <v>0.99329259999999997</v>
      </c>
      <c r="AB3628">
        <v>32</v>
      </c>
      <c r="AC3628">
        <v>-0.497900000000015</v>
      </c>
      <c r="AD3628">
        <v>-0.143231</v>
      </c>
      <c r="AE3628">
        <v>0.10099999999999899</v>
      </c>
      <c r="AF3628">
        <v>8.8718269318959306E-2</v>
      </c>
      <c r="AG3628">
        <v>-0.143231</v>
      </c>
      <c r="AH3628">
        <v>0.46219548392180398</v>
      </c>
      <c r="AI3628">
        <v>106.92693508307499</v>
      </c>
      <c r="AJ3628">
        <v>79.134256012094497</v>
      </c>
      <c r="AK3628">
        <v>0.49194584664336999</v>
      </c>
      <c r="AL3628">
        <v>80.729256165414398</v>
      </c>
      <c r="AM3628">
        <v>88.457068883594403</v>
      </c>
      <c r="AN3628">
        <v>1.0000000289770601</v>
      </c>
    </row>
    <row r="3629" spans="1:40" x14ac:dyDescent="0.25">
      <c r="A3629" t="str">
        <f>"20190312164543984"</f>
        <v>20190312164543984</v>
      </c>
      <c r="B3629" t="str">
        <f>"1552380343975321"</f>
        <v>1552380343975321</v>
      </c>
      <c r="C3629" t="s">
        <v>40</v>
      </c>
      <c r="D3629">
        <v>5.1567790000000002</v>
      </c>
      <c r="E3629">
        <v>0.54437179999999996</v>
      </c>
      <c r="F3629" t="s">
        <v>41</v>
      </c>
      <c r="G3629">
        <v>-265.21929999999998</v>
      </c>
      <c r="H3629">
        <v>0.97191209999999995</v>
      </c>
      <c r="I3629">
        <v>141.13800000000001</v>
      </c>
      <c r="J3629">
        <v>-264.75670000000002</v>
      </c>
      <c r="K3629">
        <v>1.108306</v>
      </c>
      <c r="L3629">
        <v>141.03799999999899</v>
      </c>
      <c r="M3629">
        <v>-0.99991419999999998</v>
      </c>
      <c r="N3629">
        <v>0</v>
      </c>
      <c r="O3629">
        <v>1.046792E-2</v>
      </c>
      <c r="P3629">
        <v>-0.98747059999999998</v>
      </c>
      <c r="Q3629">
        <v>0.15341749999999901</v>
      </c>
      <c r="R3629">
        <v>3.6946270000000003E-2</v>
      </c>
      <c r="S3629">
        <v>-3.1061709999999998</v>
      </c>
      <c r="T3629">
        <v>-0.53659380000000001</v>
      </c>
      <c r="U3629">
        <v>0.4065704</v>
      </c>
      <c r="V3629">
        <v>2.6605940000000002E-2</v>
      </c>
      <c r="W3629">
        <v>0.16120860000000001</v>
      </c>
      <c r="X3629">
        <v>0.98656169999999999</v>
      </c>
      <c r="Y3629">
        <v>0.1178342</v>
      </c>
      <c r="Z3629">
        <v>8.2738629999999994E-3</v>
      </c>
      <c r="AA3629">
        <v>0.99299879999999996</v>
      </c>
      <c r="AB3629">
        <v>32</v>
      </c>
      <c r="AC3629">
        <v>-0.46259999999995199</v>
      </c>
      <c r="AD3629">
        <v>-0.13639390000000001</v>
      </c>
      <c r="AE3629">
        <v>0.100000000000022</v>
      </c>
      <c r="AF3629">
        <v>8.7855438496527605E-2</v>
      </c>
      <c r="AG3629">
        <v>-0.13639390000000001</v>
      </c>
      <c r="AH3629">
        <v>0.42806989222349701</v>
      </c>
      <c r="AI3629">
        <v>107.334164819026</v>
      </c>
      <c r="AJ3629">
        <v>78.401886852006797</v>
      </c>
      <c r="AK3629">
        <v>0.45778347136923098</v>
      </c>
      <c r="AL3629">
        <v>80.722945718378895</v>
      </c>
      <c r="AM3629">
        <v>88.455201869298705</v>
      </c>
      <c r="AN3629">
        <v>1.00000003833206</v>
      </c>
    </row>
    <row r="3630" spans="1:40" x14ac:dyDescent="0.25">
      <c r="A3630" t="str">
        <f>"20190312164544005"</f>
        <v>20190312164544005</v>
      </c>
      <c r="B3630" t="str">
        <f>"1552380343995636"</f>
        <v>1552380343995636</v>
      </c>
      <c r="C3630" t="s">
        <v>40</v>
      </c>
      <c r="D3630">
        <v>4.7493299999999996</v>
      </c>
      <c r="E3630">
        <v>0.54515329999999995</v>
      </c>
      <c r="F3630" t="s">
        <v>41</v>
      </c>
      <c r="G3630">
        <v>-265.51220000000001</v>
      </c>
      <c r="H3630">
        <v>0.98024069999999996</v>
      </c>
      <c r="I3630">
        <v>141.1388</v>
      </c>
      <c r="J3630">
        <v>-265.05889999999999</v>
      </c>
      <c r="K3630">
        <v>1.108306</v>
      </c>
      <c r="L3630">
        <v>141.0411</v>
      </c>
      <c r="M3630">
        <v>-0.99991430000000003</v>
      </c>
      <c r="N3630">
        <v>0</v>
      </c>
      <c r="O3630">
        <v>1.043998E-2</v>
      </c>
      <c r="P3630">
        <v>-0.98747180000000001</v>
      </c>
      <c r="Q3630">
        <v>0.15343280000000001</v>
      </c>
      <c r="R3630">
        <v>3.6848409999999998E-2</v>
      </c>
      <c r="S3630">
        <v>-3.1043699999999999</v>
      </c>
      <c r="T3630">
        <v>-0.52621289999999998</v>
      </c>
      <c r="U3630">
        <v>0.41348269999999998</v>
      </c>
      <c r="V3630">
        <v>2.6534169999999999E-2</v>
      </c>
      <c r="W3630">
        <v>0.161241</v>
      </c>
      <c r="X3630">
        <v>0.9865583</v>
      </c>
      <c r="Y3630">
        <v>0.12013450000000001</v>
      </c>
      <c r="Z3630">
        <v>8.3169239999999998E-3</v>
      </c>
      <c r="AA3630">
        <v>0.99272280000000002</v>
      </c>
      <c r="AB3630">
        <v>32</v>
      </c>
      <c r="AC3630">
        <v>-0.45330000000001203</v>
      </c>
      <c r="AD3630">
        <v>-0.12806529999999999</v>
      </c>
      <c r="AE3630">
        <v>9.7700000000003201E-2</v>
      </c>
      <c r="AF3630">
        <v>8.6374063894181896E-2</v>
      </c>
      <c r="AG3630">
        <v>-0.12806529999999999</v>
      </c>
      <c r="AH3630">
        <v>0.42210039177654601</v>
      </c>
      <c r="AI3630">
        <v>106.55409283156099</v>
      </c>
      <c r="AJ3630">
        <v>78.435263919880697</v>
      </c>
      <c r="AK3630">
        <v>0.44947740845964701</v>
      </c>
      <c r="AL3630">
        <v>80.721064375991901</v>
      </c>
      <c r="AM3630">
        <v>88.459361671936506</v>
      </c>
      <c r="AN3630">
        <v>1.00000000077873</v>
      </c>
    </row>
    <row r="3631" spans="1:40" x14ac:dyDescent="0.25">
      <c r="A3631" t="str">
        <f>"20190312164544027"</f>
        <v>20190312164544027</v>
      </c>
      <c r="B3631" t="str">
        <f>"1552380344024911"</f>
        <v>1552380344024911</v>
      </c>
      <c r="C3631" t="s">
        <v>40</v>
      </c>
      <c r="D3631">
        <v>4.3881610000000002</v>
      </c>
      <c r="E3631">
        <v>0.54611750000000003</v>
      </c>
      <c r="F3631" t="s">
        <v>41</v>
      </c>
      <c r="G3631">
        <v>-265.80340000000001</v>
      </c>
      <c r="H3631">
        <v>0.98363299999999998</v>
      </c>
      <c r="I3631">
        <v>141.1421</v>
      </c>
      <c r="J3631">
        <v>-265.37329999999997</v>
      </c>
      <c r="K3631">
        <v>1.108314</v>
      </c>
      <c r="L3631">
        <v>141.0444</v>
      </c>
      <c r="M3631">
        <v>-0.99991459999999999</v>
      </c>
      <c r="N3631">
        <v>0</v>
      </c>
      <c r="O3631">
        <v>1.0404419999999999E-2</v>
      </c>
      <c r="P3631">
        <v>-0.9875062</v>
      </c>
      <c r="Q3631">
        <v>0.15325169999999999</v>
      </c>
      <c r="R3631">
        <v>3.6688659999999998E-2</v>
      </c>
      <c r="S3631">
        <v>-3.1031490000000002</v>
      </c>
      <c r="T3631">
        <v>-0.51970649999999996</v>
      </c>
      <c r="U3631">
        <v>0.41999819999999999</v>
      </c>
      <c r="V3631">
        <v>2.6407400000000001E-2</v>
      </c>
      <c r="W3631">
        <v>0.1610876</v>
      </c>
      <c r="X3631">
        <v>0.98658670000000004</v>
      </c>
      <c r="Y3631">
        <v>0.1222752</v>
      </c>
      <c r="Z3631">
        <v>8.4006440000000005E-3</v>
      </c>
      <c r="AA3631">
        <v>0.99246069999999997</v>
      </c>
      <c r="AB3631">
        <v>32</v>
      </c>
      <c r="AC3631">
        <v>-0.43010000000003801</v>
      </c>
      <c r="AD3631">
        <v>-0.124681</v>
      </c>
      <c r="AE3631">
        <v>9.7700000000003201E-2</v>
      </c>
      <c r="AF3631">
        <v>8.6321519989531595E-2</v>
      </c>
      <c r="AG3631">
        <v>-0.124681</v>
      </c>
      <c r="AH3631">
        <v>0.399193018195933</v>
      </c>
      <c r="AI3631">
        <v>106.976215560375</v>
      </c>
      <c r="AJ3631">
        <v>77.798226449116498</v>
      </c>
      <c r="AK3631">
        <v>0.42702672322781199</v>
      </c>
      <c r="AL3631">
        <v>80.729969408298402</v>
      </c>
      <c r="AM3631">
        <v>88.466762839983701</v>
      </c>
      <c r="AN3631">
        <v>0.99999994113270296</v>
      </c>
    </row>
    <row r="3632" spans="1:40" x14ac:dyDescent="0.25">
      <c r="A3632" t="str">
        <f>"20190312164544051"</f>
        <v>20190312164544051</v>
      </c>
      <c r="B3632" t="str">
        <f>"1552380344045418"</f>
        <v>1552380344045418</v>
      </c>
      <c r="C3632" t="s">
        <v>40</v>
      </c>
      <c r="D3632">
        <v>4.3095540000000003</v>
      </c>
      <c r="E3632">
        <v>0.54662719999999998</v>
      </c>
      <c r="F3632" t="s">
        <v>41</v>
      </c>
      <c r="G3632">
        <v>-266.09609999999998</v>
      </c>
      <c r="H3632">
        <v>0.989089</v>
      </c>
      <c r="I3632">
        <v>141.14449999999999</v>
      </c>
      <c r="J3632">
        <v>-265.7081</v>
      </c>
      <c r="K3632">
        <v>1.1083240000000001</v>
      </c>
      <c r="L3632">
        <v>141.0478</v>
      </c>
      <c r="M3632">
        <v>-0.99991459999999999</v>
      </c>
      <c r="N3632">
        <v>0</v>
      </c>
      <c r="O3632">
        <v>1.0355700000000001E-2</v>
      </c>
      <c r="P3632">
        <v>-0.9875024</v>
      </c>
      <c r="Q3632">
        <v>0.15325229999999901</v>
      </c>
      <c r="R3632">
        <v>3.678356E-2</v>
      </c>
      <c r="S3632">
        <v>-3.1013790000000001</v>
      </c>
      <c r="T3632">
        <v>-0.51159379999999999</v>
      </c>
      <c r="U3632">
        <v>0.42854310000000001</v>
      </c>
      <c r="V3632">
        <v>2.6547439999999999E-2</v>
      </c>
      <c r="W3632">
        <v>0.16113379999999999</v>
      </c>
      <c r="X3632">
        <v>0.98657550000000005</v>
      </c>
      <c r="Y3632">
        <v>0.1250907</v>
      </c>
      <c r="Z3632">
        <v>8.5118899999999994E-3</v>
      </c>
      <c r="AA3632">
        <v>0.99210880000000001</v>
      </c>
      <c r="AB3632">
        <v>32</v>
      </c>
      <c r="AC3632">
        <v>-0.38799999999997598</v>
      </c>
      <c r="AD3632">
        <v>-0.11923499999999999</v>
      </c>
      <c r="AE3632">
        <v>9.6699999999998398E-2</v>
      </c>
      <c r="AF3632">
        <v>8.5109225103808001E-2</v>
      </c>
      <c r="AG3632">
        <v>-0.11923499999999999</v>
      </c>
      <c r="AH3632">
        <v>0.35721867679487002</v>
      </c>
      <c r="AI3632">
        <v>107.988535472919</v>
      </c>
      <c r="AJ3632">
        <v>76.598826404325905</v>
      </c>
      <c r="AK3632">
        <v>0.38609033719305702</v>
      </c>
      <c r="AL3632">
        <v>80.727288254564996</v>
      </c>
      <c r="AM3632">
        <v>88.458618415153495</v>
      </c>
      <c r="AN3632">
        <v>1.00000004263662</v>
      </c>
    </row>
    <row r="3633" spans="1:40" x14ac:dyDescent="0.25">
      <c r="A3633" t="str">
        <f>"20190312164544072"</f>
        <v>20190312164544072</v>
      </c>
      <c r="B3633" t="str">
        <f>"1552380344064934"</f>
        <v>1552380344064934</v>
      </c>
      <c r="C3633" t="s">
        <v>40</v>
      </c>
      <c r="D3633">
        <v>4.7302749999999998</v>
      </c>
      <c r="E3633">
        <v>0.54728540000000003</v>
      </c>
      <c r="F3633" t="s">
        <v>41</v>
      </c>
      <c r="G3633">
        <v>-266.66079999999999</v>
      </c>
      <c r="H3633">
        <v>0.95277820000000002</v>
      </c>
      <c r="I3633">
        <v>141.18119999999999</v>
      </c>
      <c r="J3633">
        <v>-266.04430000000002</v>
      </c>
      <c r="K3633">
        <v>1.1083459999999901</v>
      </c>
      <c r="L3633">
        <v>141.05119999999999</v>
      </c>
      <c r="M3633">
        <v>-0.99991479999999999</v>
      </c>
      <c r="N3633">
        <v>0</v>
      </c>
      <c r="O3633">
        <v>1.0289980000000001E-2</v>
      </c>
      <c r="P3633">
        <v>-0.98749609999999999</v>
      </c>
      <c r="Q3633">
        <v>0.1532212</v>
      </c>
      <c r="R3633">
        <v>3.7082909999999997E-2</v>
      </c>
      <c r="S3633">
        <v>-3.1003720000000001</v>
      </c>
      <c r="T3633">
        <v>-0.50620410000000005</v>
      </c>
      <c r="U3633">
        <v>0.43344120000000003</v>
      </c>
      <c r="V3633">
        <v>2.6907469999999999E-2</v>
      </c>
      <c r="W3633">
        <v>0.1611582</v>
      </c>
      <c r="X3633">
        <v>0.98656169999999999</v>
      </c>
      <c r="Y3633">
        <v>0.12674579999999999</v>
      </c>
      <c r="Z3633">
        <v>8.5693599999999998E-3</v>
      </c>
      <c r="AA3633">
        <v>0.99189819999999995</v>
      </c>
      <c r="AB3633">
        <v>33</v>
      </c>
      <c r="AC3633">
        <v>-0.61649999999997296</v>
      </c>
      <c r="AD3633">
        <v>-0.15556779999999901</v>
      </c>
      <c r="AE3633">
        <v>0.12999999999999501</v>
      </c>
      <c r="AF3633">
        <v>0.11654405283746699</v>
      </c>
      <c r="AG3633">
        <v>-0.15556779999999901</v>
      </c>
      <c r="AH3633">
        <v>0.58230498249780005</v>
      </c>
      <c r="AI3633">
        <v>104.67953712358999</v>
      </c>
      <c r="AJ3633">
        <v>78.682209749871404</v>
      </c>
      <c r="AK3633">
        <v>0.61389164295532195</v>
      </c>
      <c r="AL3633">
        <v>80.725871163029595</v>
      </c>
      <c r="AM3633">
        <v>88.437703016650801</v>
      </c>
      <c r="AN3633">
        <v>0.99999998263796497</v>
      </c>
    </row>
    <row r="3634" spans="1:40" x14ac:dyDescent="0.25">
      <c r="A3634" t="str">
        <f>"20190312164544095"</f>
        <v>20190312164544095</v>
      </c>
      <c r="B3634" t="str">
        <f>"1552380344085427"</f>
        <v>1552380344085427</v>
      </c>
      <c r="C3634" t="s">
        <v>40</v>
      </c>
      <c r="D3634">
        <v>4.3342559999999999</v>
      </c>
      <c r="E3634">
        <v>0.54809929999999996</v>
      </c>
      <c r="F3634" t="s">
        <v>41</v>
      </c>
      <c r="G3634">
        <v>-266.95609999999999</v>
      </c>
      <c r="H3634">
        <v>0.96053860000000002</v>
      </c>
      <c r="I3634">
        <v>141.18049999999999</v>
      </c>
      <c r="J3634">
        <v>-266.36009999999999</v>
      </c>
      <c r="K3634">
        <v>1.1083700000000001</v>
      </c>
      <c r="L3634">
        <v>141.05439999999999</v>
      </c>
      <c r="M3634">
        <v>-0.99991509999999995</v>
      </c>
      <c r="N3634">
        <v>0</v>
      </c>
      <c r="O3634">
        <v>1.0215129999999999E-2</v>
      </c>
      <c r="P3634">
        <v>-0.98741230000000002</v>
      </c>
      <c r="Q3634">
        <v>0.15369820000000001</v>
      </c>
      <c r="R3634">
        <v>3.7333129999999999E-2</v>
      </c>
      <c r="S3634">
        <v>-3.0994570000000001</v>
      </c>
      <c r="T3634">
        <v>-0.50247050000000004</v>
      </c>
      <c r="U3634">
        <v>0.43911739999999999</v>
      </c>
      <c r="V3634">
        <v>2.7227700000000001E-2</v>
      </c>
      <c r="W3634">
        <v>0.1616909</v>
      </c>
      <c r="X3634">
        <v>0.98646579999999995</v>
      </c>
      <c r="Y3634">
        <v>0.12863769999999999</v>
      </c>
      <c r="Z3634">
        <v>8.671972E-3</v>
      </c>
      <c r="AA3634">
        <v>0.99165369999999997</v>
      </c>
      <c r="AB3634">
        <v>33</v>
      </c>
      <c r="AC3634">
        <v>-0.59600000000000297</v>
      </c>
      <c r="AD3634">
        <v>-0.1478314</v>
      </c>
      <c r="AE3634">
        <v>0.12610000000000801</v>
      </c>
      <c r="AF3634">
        <v>0.113331223837528</v>
      </c>
      <c r="AG3634">
        <v>-0.1478314</v>
      </c>
      <c r="AH3634">
        <v>0.56404210539854105</v>
      </c>
      <c r="AI3634">
        <v>104.410799080025</v>
      </c>
      <c r="AJ3634">
        <v>78.639012545077804</v>
      </c>
      <c r="AK3634">
        <v>0.59400470182052501</v>
      </c>
      <c r="AL3634">
        <v>80.694944582124293</v>
      </c>
      <c r="AM3634">
        <v>88.418965647632106</v>
      </c>
      <c r="AN3634">
        <v>1.0000000346798601</v>
      </c>
    </row>
    <row r="3635" spans="1:40" x14ac:dyDescent="0.25">
      <c r="A3635" t="str">
        <f>"20190312164544108"</f>
        <v>20190312164544108</v>
      </c>
      <c r="B3635" t="str">
        <f>"1552380344104944"</f>
        <v>1552380344104944</v>
      </c>
      <c r="C3635" t="s">
        <v>40</v>
      </c>
      <c r="D3635">
        <v>4.4361620000000004</v>
      </c>
      <c r="E3635">
        <v>0.54866009999999998</v>
      </c>
      <c r="F3635" t="s">
        <v>41</v>
      </c>
      <c r="G3635">
        <v>-267.25049999999999</v>
      </c>
      <c r="H3635">
        <v>0.96516990000000003</v>
      </c>
      <c r="I3635">
        <v>141.18279999999999</v>
      </c>
      <c r="J3635">
        <v>-266.56279999999998</v>
      </c>
      <c r="K3635">
        <v>1.108392</v>
      </c>
      <c r="L3635">
        <v>141.0565</v>
      </c>
      <c r="M3635">
        <v>-0.99991540000000001</v>
      </c>
      <c r="N3635">
        <v>0</v>
      </c>
      <c r="O3635">
        <v>1.015955E-2</v>
      </c>
      <c r="P3635">
        <v>-0.98728139999999998</v>
      </c>
      <c r="Q3635">
        <v>0.15453919999999999</v>
      </c>
      <c r="R3635">
        <v>3.7328769999999997E-2</v>
      </c>
      <c r="S3635">
        <v>-3.0989990000000001</v>
      </c>
      <c r="T3635">
        <v>-0.49842170000000002</v>
      </c>
      <c r="U3635">
        <v>0.44624330000000001</v>
      </c>
      <c r="V3635">
        <v>2.7276290000000002E-2</v>
      </c>
      <c r="W3635">
        <v>0.1625732</v>
      </c>
      <c r="X3635">
        <v>0.98631939999999996</v>
      </c>
      <c r="Y3635">
        <v>0.13094210000000001</v>
      </c>
      <c r="Z3635">
        <v>8.7948829999999999E-3</v>
      </c>
      <c r="AA3635">
        <v>0.99135099999999998</v>
      </c>
      <c r="AB3635">
        <v>33</v>
      </c>
      <c r="AC3635">
        <v>-0.68770000000000597</v>
      </c>
      <c r="AD3635">
        <v>-0.14322209999999999</v>
      </c>
      <c r="AE3635">
        <v>0.12629999999998601</v>
      </c>
      <c r="AF3635">
        <v>0.114502239125956</v>
      </c>
      <c r="AG3635">
        <v>-0.14322209999999999</v>
      </c>
      <c r="AH3635">
        <v>0.66120484233832999</v>
      </c>
      <c r="AI3635">
        <v>102.04793562379901</v>
      </c>
      <c r="AJ3635">
        <v>80.175404136840896</v>
      </c>
      <c r="AK3635">
        <v>0.68615973083890902</v>
      </c>
      <c r="AL3635">
        <v>80.643714370251999</v>
      </c>
      <c r="AM3635">
        <v>88.415910629026399</v>
      </c>
      <c r="AN3635">
        <v>1.0000000000853799</v>
      </c>
    </row>
    <row r="3636" spans="1:40" x14ac:dyDescent="0.25">
      <c r="A3636" t="str">
        <f>"20190312164544130"</f>
        <v>20190312164544130</v>
      </c>
      <c r="B3636" t="str">
        <f>"1552380344125440"</f>
        <v>1552380344125440</v>
      </c>
      <c r="C3636" t="s">
        <v>40</v>
      </c>
      <c r="D3636">
        <v>4.3556900000000001</v>
      </c>
      <c r="E3636">
        <v>0.54904339999999996</v>
      </c>
      <c r="F3636" t="s">
        <v>41</v>
      </c>
      <c r="G3636">
        <v>-267.26530000000002</v>
      </c>
      <c r="H3636">
        <v>0.99657479999999998</v>
      </c>
      <c r="I3636">
        <v>141.15889999999999</v>
      </c>
      <c r="J3636">
        <v>-266.86180000000002</v>
      </c>
      <c r="K3636">
        <v>1.1084240000000001</v>
      </c>
      <c r="L3636">
        <v>141.05940000000001</v>
      </c>
      <c r="M3636">
        <v>-0.99991569999999996</v>
      </c>
      <c r="N3636">
        <v>0</v>
      </c>
      <c r="O3636">
        <v>1.005736E-2</v>
      </c>
      <c r="P3636">
        <v>-0.98718830000000002</v>
      </c>
      <c r="Q3636">
        <v>0.1551418</v>
      </c>
      <c r="R3636">
        <v>3.7288740000000001E-2</v>
      </c>
      <c r="S3636">
        <v>-3.0987849999999999</v>
      </c>
      <c r="T3636">
        <v>-0.49320530000000001</v>
      </c>
      <c r="U3636">
        <v>0.45101930000000001</v>
      </c>
      <c r="V3636">
        <v>2.733178E-2</v>
      </c>
      <c r="W3636">
        <v>0.1632586</v>
      </c>
      <c r="X3636">
        <v>0.98620459999999999</v>
      </c>
      <c r="Y3636">
        <v>0.13255989999999901</v>
      </c>
      <c r="Z3636">
        <v>8.846975E-3</v>
      </c>
      <c r="AA3636">
        <v>0.99113549999999995</v>
      </c>
      <c r="AB3636">
        <v>33</v>
      </c>
      <c r="AC3636">
        <v>-0.40350000000000802</v>
      </c>
      <c r="AD3636">
        <v>-0.1118492</v>
      </c>
      <c r="AE3636">
        <v>9.9499999999977704E-2</v>
      </c>
      <c r="AF3636">
        <v>8.8990737644350601E-2</v>
      </c>
      <c r="AG3636">
        <v>-0.1118492</v>
      </c>
      <c r="AH3636">
        <v>0.377161076528784</v>
      </c>
      <c r="AI3636">
        <v>106.099729073565</v>
      </c>
      <c r="AJ3636">
        <v>76.723937580707201</v>
      </c>
      <c r="AK3636">
        <v>0.40333617811383599</v>
      </c>
      <c r="AL3636">
        <v>80.6039116532055</v>
      </c>
      <c r="AM3636">
        <v>88.412504978262305</v>
      </c>
      <c r="AN3636">
        <v>0.99999995486654303</v>
      </c>
    </row>
    <row r="3637" spans="1:40" x14ac:dyDescent="0.25">
      <c r="A3637" t="str">
        <f>"20190312164544151"</f>
        <v>20190312164544151</v>
      </c>
      <c r="B3637" t="str">
        <f>"1552380344144960"</f>
        <v>1552380344144960</v>
      </c>
      <c r="C3637" t="s">
        <v>40</v>
      </c>
      <c r="D3637">
        <v>4.371143</v>
      </c>
      <c r="E3637">
        <v>0.54928399999999999</v>
      </c>
      <c r="F3637" t="s">
        <v>41</v>
      </c>
      <c r="G3637">
        <v>-267.83170000000001</v>
      </c>
      <c r="H3637">
        <v>0.95577219999999996</v>
      </c>
      <c r="I3637">
        <v>141.20179999999999</v>
      </c>
      <c r="J3637">
        <v>-267.19069999999999</v>
      </c>
      <c r="K3637">
        <v>1.1084689999999999</v>
      </c>
      <c r="L3637">
        <v>141.0626</v>
      </c>
      <c r="M3637">
        <v>-0.99991620000000003</v>
      </c>
      <c r="N3637">
        <v>0</v>
      </c>
      <c r="O3637">
        <v>9.9125359999999996E-3</v>
      </c>
      <c r="P3637">
        <v>-0.98716179999999998</v>
      </c>
      <c r="Q3637">
        <v>0.15543379999999901</v>
      </c>
      <c r="R3637">
        <v>3.6775719999999998E-2</v>
      </c>
      <c r="S3637">
        <v>-3.0984189999999998</v>
      </c>
      <c r="T3637">
        <v>-0.4876974</v>
      </c>
      <c r="U3637">
        <v>0.45429989999999998</v>
      </c>
      <c r="V3637">
        <v>2.695297E-2</v>
      </c>
      <c r="W3637">
        <v>0.16367309999999999</v>
      </c>
      <c r="X3637">
        <v>0.98614639999999998</v>
      </c>
      <c r="Y3637">
        <v>0.13376450000000001</v>
      </c>
      <c r="Z3637">
        <v>8.8659869999999901E-3</v>
      </c>
      <c r="AA3637">
        <v>0.99097349999999995</v>
      </c>
      <c r="AB3637">
        <v>33</v>
      </c>
      <c r="AC3637">
        <v>-0.641000000000019</v>
      </c>
      <c r="AD3637">
        <v>-0.15269679999999999</v>
      </c>
      <c r="AE3637">
        <v>0.139199999999988</v>
      </c>
      <c r="AF3637">
        <v>0.12601031501948901</v>
      </c>
      <c r="AG3637">
        <v>-0.15269679999999999</v>
      </c>
      <c r="AH3637">
        <v>0.60932797297654695</v>
      </c>
      <c r="AI3637">
        <v>103.78824284600999</v>
      </c>
      <c r="AJ3637">
        <v>78.315819504946504</v>
      </c>
      <c r="AK3637">
        <v>0.64068361214663405</v>
      </c>
      <c r="AL3637">
        <v>80.579839501035096</v>
      </c>
      <c r="AM3637">
        <v>88.434403795112999</v>
      </c>
      <c r="AN3637">
        <v>1.0000000342441899</v>
      </c>
    </row>
    <row r="3638" spans="1:40" x14ac:dyDescent="0.25">
      <c r="A3638" t="str">
        <f>"20190312164544174"</f>
        <v>20190312164544174</v>
      </c>
      <c r="B3638" t="str">
        <f>"1552380344165459"</f>
        <v>1552380344165459</v>
      </c>
      <c r="C3638" t="s">
        <v>40</v>
      </c>
      <c r="D3638">
        <v>4.7556839999999996</v>
      </c>
      <c r="E3638">
        <v>0.54949119999999996</v>
      </c>
      <c r="F3638" t="s">
        <v>41</v>
      </c>
      <c r="G3638">
        <v>-268.12790000000001</v>
      </c>
      <c r="H3638">
        <v>0.96226259999999997</v>
      </c>
      <c r="I3638">
        <v>141.2002</v>
      </c>
      <c r="J3638">
        <v>-267.51710000000003</v>
      </c>
      <c r="K3638">
        <v>1.108511</v>
      </c>
      <c r="L3638">
        <v>141.06569999999999</v>
      </c>
      <c r="M3638">
        <v>-0.99991669999999999</v>
      </c>
      <c r="N3638">
        <v>0</v>
      </c>
      <c r="O3638">
        <v>9.7409469999999998E-3</v>
      </c>
      <c r="P3638">
        <v>-0.98711190000000004</v>
      </c>
      <c r="Q3638">
        <v>0.15595049999999999</v>
      </c>
      <c r="R3638">
        <v>3.5910530000000003E-2</v>
      </c>
      <c r="S3638">
        <v>-3.0981749999999999</v>
      </c>
      <c r="T3638">
        <v>-0.48333720000000002</v>
      </c>
      <c r="U3638">
        <v>0.45478819999999998</v>
      </c>
      <c r="V3638">
        <v>2.624775E-2</v>
      </c>
      <c r="W3638">
        <v>0.16431889999999999</v>
      </c>
      <c r="X3638">
        <v>0.98605799999999999</v>
      </c>
      <c r="Y3638">
        <v>0.1341186</v>
      </c>
      <c r="Z3638">
        <v>8.8420040000000005E-3</v>
      </c>
      <c r="AA3638">
        <v>0.99092579999999997</v>
      </c>
      <c r="AB3638">
        <v>33</v>
      </c>
      <c r="AC3638">
        <v>-0.61079999999998302</v>
      </c>
      <c r="AD3638">
        <v>-0.1462484</v>
      </c>
      <c r="AE3638">
        <v>0.13450000000000201</v>
      </c>
      <c r="AF3638">
        <v>0.121879397179527</v>
      </c>
      <c r="AG3638">
        <v>-0.1462484</v>
      </c>
      <c r="AH3638">
        <v>0.58034838360415797</v>
      </c>
      <c r="AI3638">
        <v>103.85389433992199</v>
      </c>
      <c r="AJ3638">
        <v>78.139631166615601</v>
      </c>
      <c r="AK3638">
        <v>0.61077608688566398</v>
      </c>
      <c r="AL3638">
        <v>80.5423298376041</v>
      </c>
      <c r="AM3638">
        <v>88.475211145937905</v>
      </c>
      <c r="AN3638">
        <v>1.0000000123206301</v>
      </c>
    </row>
    <row r="3639" spans="1:40" x14ac:dyDescent="0.25">
      <c r="A3639" t="str">
        <f>"20190312164544194"</f>
        <v>20190312164544194</v>
      </c>
      <c r="B3639" t="str">
        <f>"1552380344184976"</f>
        <v>1552380344184976</v>
      </c>
      <c r="C3639" t="s">
        <v>40</v>
      </c>
      <c r="D3639">
        <v>4.7245619999999997</v>
      </c>
      <c r="E3639">
        <v>0.54965620000000004</v>
      </c>
      <c r="F3639" t="s">
        <v>41</v>
      </c>
      <c r="G3639">
        <v>-268.42439999999999</v>
      </c>
      <c r="H3639">
        <v>0.96846330000000003</v>
      </c>
      <c r="I3639">
        <v>141.19909999999999</v>
      </c>
      <c r="J3639">
        <v>-267.82670000000002</v>
      </c>
      <c r="K3639">
        <v>1.108563</v>
      </c>
      <c r="L3639">
        <v>141.0685</v>
      </c>
      <c r="M3639">
        <v>-0.99991730000000001</v>
      </c>
      <c r="N3639">
        <v>0</v>
      </c>
      <c r="O3639">
        <v>9.5516569999999999E-3</v>
      </c>
      <c r="P3639">
        <v>-0.98700390000000005</v>
      </c>
      <c r="Q3639">
        <v>0.1568175</v>
      </c>
      <c r="R3639">
        <v>3.50952E-2</v>
      </c>
      <c r="S3639">
        <v>-3.0982059999999998</v>
      </c>
      <c r="T3639">
        <v>-0.4783403</v>
      </c>
      <c r="U3639">
        <v>0.45481870000000002</v>
      </c>
      <c r="V3639">
        <v>2.561066E-2</v>
      </c>
      <c r="W3639">
        <v>0.1653249</v>
      </c>
      <c r="X3639">
        <v>0.98590650000000002</v>
      </c>
      <c r="Y3639">
        <v>0.1343396</v>
      </c>
      <c r="Z3639">
        <v>8.7973269999999902E-3</v>
      </c>
      <c r="AA3639">
        <v>0.99089629999999995</v>
      </c>
      <c r="AB3639">
        <v>33</v>
      </c>
      <c r="AC3639">
        <v>-0.59769999999997403</v>
      </c>
      <c r="AD3639">
        <v>-0.14009969999999899</v>
      </c>
      <c r="AE3639">
        <v>0.13059999999998601</v>
      </c>
      <c r="AF3639">
        <v>0.118662297350784</v>
      </c>
      <c r="AG3639">
        <v>-0.14009969999999899</v>
      </c>
      <c r="AH3639">
        <v>0.56907843942736702</v>
      </c>
      <c r="AI3639">
        <v>103.550080728838</v>
      </c>
      <c r="AJ3639">
        <v>78.2216482019887</v>
      </c>
      <c r="AK3639">
        <v>0.59796232069733601</v>
      </c>
      <c r="AL3639">
        <v>80.483890220424698</v>
      </c>
      <c r="AM3639">
        <v>88.511975727293603</v>
      </c>
      <c r="AN3639">
        <v>0.99999992760394496</v>
      </c>
    </row>
    <row r="3640" spans="1:40" x14ac:dyDescent="0.25">
      <c r="A3640" t="str">
        <f>"20190312164544217"</f>
        <v>20190312164544217</v>
      </c>
      <c r="B3640" t="str">
        <f>"1552380344205472"</f>
        <v>1552380344205472</v>
      </c>
      <c r="C3640" t="s">
        <v>40</v>
      </c>
      <c r="D3640">
        <v>4.8374930000000003</v>
      </c>
      <c r="E3640">
        <v>0.54991140000000005</v>
      </c>
      <c r="F3640" t="s">
        <v>41</v>
      </c>
      <c r="G3640">
        <v>-268.72000000000003</v>
      </c>
      <c r="H3640">
        <v>0.97225760000000006</v>
      </c>
      <c r="I3640">
        <v>141.1996</v>
      </c>
      <c r="J3640">
        <v>-268.14830000000001</v>
      </c>
      <c r="K3640">
        <v>1.108625</v>
      </c>
      <c r="L3640">
        <v>141.07140000000001</v>
      </c>
      <c r="M3640">
        <v>-0.99991799999999997</v>
      </c>
      <c r="N3640">
        <v>0</v>
      </c>
      <c r="O3640">
        <v>9.3260940000000001E-3</v>
      </c>
      <c r="P3640">
        <v>-0.98691180000000001</v>
      </c>
      <c r="Q3640">
        <v>0.15754609999999999</v>
      </c>
      <c r="R3640">
        <v>3.4417959999999997E-2</v>
      </c>
      <c r="S3640">
        <v>-3.0984799999999999</v>
      </c>
      <c r="T3640">
        <v>-0.47275400000000001</v>
      </c>
      <c r="U3640">
        <v>0.45379639999999999</v>
      </c>
      <c r="V3640">
        <v>2.5146720000000001E-2</v>
      </c>
      <c r="W3640">
        <v>0.1662188</v>
      </c>
      <c r="X3640">
        <v>0.98576819999999998</v>
      </c>
      <c r="Y3640">
        <v>0.134262299999999</v>
      </c>
      <c r="Z3640">
        <v>8.723392E-3</v>
      </c>
      <c r="AA3640">
        <v>0.99090739999999999</v>
      </c>
      <c r="AB3640">
        <v>33</v>
      </c>
      <c r="AC3640">
        <v>-0.57170000000002097</v>
      </c>
      <c r="AD3640">
        <v>-0.1363674</v>
      </c>
      <c r="AE3640">
        <v>0.12819999999999199</v>
      </c>
      <c r="AF3640">
        <v>0.11654877245829701</v>
      </c>
      <c r="AG3640">
        <v>-0.1363674</v>
      </c>
      <c r="AH3640">
        <v>0.54343181893333803</v>
      </c>
      <c r="AI3640">
        <v>103.78565396213401</v>
      </c>
      <c r="AJ3640">
        <v>77.895253878746303</v>
      </c>
      <c r="AK3640">
        <v>0.57227425765404805</v>
      </c>
      <c r="AL3640">
        <v>80.431955604161203</v>
      </c>
      <c r="AM3640">
        <v>88.538714767202606</v>
      </c>
      <c r="AN3640">
        <v>0.99999999556571895</v>
      </c>
    </row>
    <row r="3641" spans="1:40" x14ac:dyDescent="0.25">
      <c r="A3641" t="str">
        <f>"20190312164544229"</f>
        <v>20190312164544229</v>
      </c>
      <c r="B3641" t="str">
        <f>"1552380344224993"</f>
        <v>1552380344224993</v>
      </c>
      <c r="C3641" t="s">
        <v>40</v>
      </c>
      <c r="D3641">
        <v>4.9813070000000002</v>
      </c>
      <c r="E3641">
        <v>0.54996129999999999</v>
      </c>
      <c r="F3641" t="s">
        <v>41</v>
      </c>
      <c r="G3641">
        <v>-269.01639999999998</v>
      </c>
      <c r="H3641">
        <v>0.97720430000000003</v>
      </c>
      <c r="I3641">
        <v>141.1986</v>
      </c>
      <c r="J3641">
        <v>-268.33339999999998</v>
      </c>
      <c r="K3641">
        <v>1.108657</v>
      </c>
      <c r="L3641">
        <v>141.07299999999901</v>
      </c>
      <c r="M3641">
        <v>-0.99991850000000004</v>
      </c>
      <c r="N3641">
        <v>0</v>
      </c>
      <c r="O3641">
        <v>9.1860369999999993E-3</v>
      </c>
      <c r="P3641">
        <v>-0.98689170000000004</v>
      </c>
      <c r="Q3641">
        <v>0.1577452</v>
      </c>
      <c r="R3641">
        <v>3.4078610000000002E-2</v>
      </c>
      <c r="S3641">
        <v>-3.0989070000000001</v>
      </c>
      <c r="T3641">
        <v>-0.46930919999999998</v>
      </c>
      <c r="U3641">
        <v>0.45294190000000001</v>
      </c>
      <c r="V3641">
        <v>2.4940070000000002E-2</v>
      </c>
      <c r="W3641">
        <v>0.16652210000000001</v>
      </c>
      <c r="X3641">
        <v>0.98572219999999999</v>
      </c>
      <c r="Y3641">
        <v>0.13413459999999999</v>
      </c>
      <c r="Z3641">
        <v>8.6709390000000008E-3</v>
      </c>
      <c r="AA3641">
        <v>0.99092519999999995</v>
      </c>
      <c r="AB3641">
        <v>33</v>
      </c>
      <c r="AC3641">
        <v>-0.68299999999999195</v>
      </c>
      <c r="AD3641">
        <v>-0.13145270000000001</v>
      </c>
      <c r="AE3641">
        <v>0.125600000000019</v>
      </c>
      <c r="AF3641">
        <v>0.115192959614569</v>
      </c>
      <c r="AG3641">
        <v>-0.13145270000000001</v>
      </c>
      <c r="AH3641">
        <v>0.66046031485934797</v>
      </c>
      <c r="AI3641">
        <v>101.093370072932</v>
      </c>
      <c r="AJ3641">
        <v>80.106382998273304</v>
      </c>
      <c r="AK3641">
        <v>0.68319620738567</v>
      </c>
      <c r="AL3641">
        <v>80.4143316079345</v>
      </c>
      <c r="AM3641">
        <v>88.5506505288716</v>
      </c>
      <c r="AN3641">
        <v>0.99999993622642502</v>
      </c>
    </row>
    <row r="3642" spans="1:40" x14ac:dyDescent="0.25">
      <c r="A3642" t="str">
        <f>"20190312164544251"</f>
        <v>20190312164544251</v>
      </c>
      <c r="B3642" t="str">
        <f>"1552380344245488"</f>
        <v>1552380344245488</v>
      </c>
      <c r="C3642" t="s">
        <v>40</v>
      </c>
      <c r="D3642">
        <v>4.8502460000000003</v>
      </c>
      <c r="E3642">
        <v>0.50452959999999902</v>
      </c>
      <c r="F3642" t="s">
        <v>41</v>
      </c>
      <c r="G3642">
        <v>-269.30380000000002</v>
      </c>
      <c r="H3642">
        <v>0.96224080000000001</v>
      </c>
      <c r="I3642">
        <v>141.2148</v>
      </c>
      <c r="J3642">
        <v>-268.6542</v>
      </c>
      <c r="K3642">
        <v>1.108711</v>
      </c>
      <c r="L3642">
        <v>141.07570000000001</v>
      </c>
      <c r="M3642">
        <v>-0.999919</v>
      </c>
      <c r="N3642">
        <v>0</v>
      </c>
      <c r="O3642">
        <v>8.9192190000000008E-3</v>
      </c>
      <c r="P3642">
        <v>-0.98689289999999996</v>
      </c>
      <c r="Q3642">
        <v>0.1578445</v>
      </c>
      <c r="R3642">
        <v>3.3580749999999999E-2</v>
      </c>
      <c r="S3642">
        <v>-3.0989689999999999</v>
      </c>
      <c r="T3642">
        <v>-0.4676033</v>
      </c>
      <c r="U3642">
        <v>0.4523315</v>
      </c>
      <c r="V3642">
        <v>2.4696389999999999E-2</v>
      </c>
      <c r="W3642">
        <v>0.16680989999999901</v>
      </c>
      <c r="X3642">
        <v>0.98567969999999905</v>
      </c>
      <c r="Y3642">
        <v>0.13421129999999901</v>
      </c>
      <c r="Z3642">
        <v>8.6852619999999991E-3</v>
      </c>
      <c r="AA3642">
        <v>0.99091459999999998</v>
      </c>
      <c r="AB3642">
        <v>33</v>
      </c>
      <c r="AC3642">
        <v>-0.64960000000002005</v>
      </c>
      <c r="AD3642">
        <v>-0.146470199999999</v>
      </c>
      <c r="AE3642">
        <v>0.13909999999998399</v>
      </c>
      <c r="AF3642">
        <v>0.12712081114526</v>
      </c>
      <c r="AG3642">
        <v>-0.146470199999999</v>
      </c>
      <c r="AH3642">
        <v>0.62064460990532899</v>
      </c>
      <c r="AI3642">
        <v>103.01789468139199</v>
      </c>
      <c r="AJ3642">
        <v>78.424737573687395</v>
      </c>
      <c r="AK3642">
        <v>0.65024068768326604</v>
      </c>
      <c r="AL3642">
        <v>80.397608231504904</v>
      </c>
      <c r="AM3642">
        <v>88.564743766868204</v>
      </c>
      <c r="AN3642">
        <v>0.99999996270456504</v>
      </c>
    </row>
    <row r="3643" spans="1:40" x14ac:dyDescent="0.25">
      <c r="A3643" t="str">
        <f>"20190312164544275"</f>
        <v>20190312164544275</v>
      </c>
      <c r="B3643" t="str">
        <f>"1552380344265008"</f>
        <v>1552380344265008</v>
      </c>
      <c r="C3643" t="s">
        <v>40</v>
      </c>
      <c r="D3643">
        <v>4.8574039999999998</v>
      </c>
      <c r="E3643">
        <v>0.49676140000000002</v>
      </c>
      <c r="F3643" t="s">
        <v>41</v>
      </c>
      <c r="G3643">
        <v>-269.6191</v>
      </c>
      <c r="H3643">
        <v>1.0047619999999999</v>
      </c>
      <c r="I3643">
        <v>141.10589999999999</v>
      </c>
      <c r="J3643">
        <v>-269.01</v>
      </c>
      <c r="K3643">
        <v>1.108757</v>
      </c>
      <c r="L3643">
        <v>141.07849999999999</v>
      </c>
      <c r="M3643">
        <v>-0.99992000000000003</v>
      </c>
      <c r="N3643">
        <v>0</v>
      </c>
      <c r="O3643">
        <v>8.5993359999999904E-3</v>
      </c>
      <c r="P3643">
        <v>-0.98696629999999996</v>
      </c>
      <c r="Q3643">
        <v>0.15740019999999999</v>
      </c>
      <c r="R3643">
        <v>3.3513999999999898E-2</v>
      </c>
      <c r="S3643">
        <v>-3.089874</v>
      </c>
      <c r="T3643">
        <v>-0.33296229999999999</v>
      </c>
      <c r="U3643">
        <v>9.5947270000000001E-2</v>
      </c>
      <c r="V3643">
        <v>2.4936E-2</v>
      </c>
      <c r="W3643">
        <v>0.16657810000000001</v>
      </c>
      <c r="X3643">
        <v>0.9857129</v>
      </c>
      <c r="Y3643">
        <v>2.23609E-2</v>
      </c>
      <c r="Z3643">
        <v>2.7726919999999998E-4</v>
      </c>
      <c r="AA3643">
        <v>0.99974989999999997</v>
      </c>
      <c r="AB3643">
        <v>33</v>
      </c>
      <c r="AC3643">
        <v>-0.60910000000001197</v>
      </c>
      <c r="AD3643">
        <v>-0.103994999999999</v>
      </c>
      <c r="AE3643">
        <v>2.7400000000000001E-2</v>
      </c>
      <c r="AF3643">
        <v>2.1534431687439601E-2</v>
      </c>
      <c r="AG3643">
        <v>-0.103994999999999</v>
      </c>
      <c r="AH3643">
        <v>0.59208822883671397</v>
      </c>
      <c r="AI3643">
        <v>99.955429308355605</v>
      </c>
      <c r="AJ3643">
        <v>87.917052925886793</v>
      </c>
      <c r="AK3643">
        <v>0.60153733259050401</v>
      </c>
      <c r="AL3643">
        <v>80.411078157966003</v>
      </c>
      <c r="AM3643">
        <v>88.550873282838097</v>
      </c>
      <c r="AN3643">
        <v>0.99999999436100995</v>
      </c>
    </row>
    <row r="3644" spans="1:40" x14ac:dyDescent="0.25">
      <c r="A3644" t="str">
        <f>"20190312164544297"</f>
        <v>20190312164544297</v>
      </c>
      <c r="B3644" t="str">
        <f>"1552380344285505"</f>
        <v>1552380344285505</v>
      </c>
      <c r="C3644" t="s">
        <v>40</v>
      </c>
      <c r="D3644">
        <v>4.8498809999999999</v>
      </c>
      <c r="E3644">
        <v>0.49466979999999999</v>
      </c>
      <c r="F3644" t="s">
        <v>41</v>
      </c>
      <c r="G3644">
        <v>-269.92739999999998</v>
      </c>
      <c r="H3644">
        <v>1.032068</v>
      </c>
      <c r="I3644">
        <v>141.08969999999999</v>
      </c>
      <c r="J3644">
        <v>-269.31569999999999</v>
      </c>
      <c r="K3644">
        <v>1.1087940000000001</v>
      </c>
      <c r="L3644">
        <v>141.08090000000001</v>
      </c>
      <c r="M3644">
        <v>-0.9999207</v>
      </c>
      <c r="N3644">
        <v>0</v>
      </c>
      <c r="O3644">
        <v>8.3103250000000004E-3</v>
      </c>
      <c r="P3644">
        <v>-0.98707500000000004</v>
      </c>
      <c r="Q3644">
        <v>0.15665589999999999</v>
      </c>
      <c r="R3644">
        <v>3.3798710000000003E-2</v>
      </c>
      <c r="S3644">
        <v>-3.0793759999999999</v>
      </c>
      <c r="T3644">
        <v>-0.25746200000000002</v>
      </c>
      <c r="U3644">
        <v>3.7612920000000001E-2</v>
      </c>
      <c r="V3644">
        <v>2.5498920000000001E-2</v>
      </c>
      <c r="W3644">
        <v>0.16602</v>
      </c>
      <c r="X3644">
        <v>0.98579269999999997</v>
      </c>
      <c r="Y3644">
        <v>3.9183730000000002E-3</v>
      </c>
      <c r="Z3644">
        <v>-5.3008099999999995E-4</v>
      </c>
      <c r="AA3644">
        <v>0.9999922</v>
      </c>
      <c r="AB3644">
        <v>33</v>
      </c>
      <c r="AC3644">
        <v>-0.61169999999998403</v>
      </c>
      <c r="AD3644">
        <v>-7.6726000000000003E-2</v>
      </c>
      <c r="AE3644">
        <v>8.7999999999794892E-3</v>
      </c>
      <c r="AF3644">
        <v>3.6584959561355001E-3</v>
      </c>
      <c r="AG3644">
        <v>-7.6726000000000003E-2</v>
      </c>
      <c r="AH3644">
        <v>0.60227839798600102</v>
      </c>
      <c r="AI3644">
        <v>97.259838412276494</v>
      </c>
      <c r="AJ3644">
        <v>89.651965270176504</v>
      </c>
      <c r="AK3644">
        <v>0.60715692563722401</v>
      </c>
      <c r="AL3644">
        <v>80.443506939015194</v>
      </c>
      <c r="AM3644">
        <v>88.518294165165798</v>
      </c>
      <c r="AN3644">
        <v>1.0000000413472201</v>
      </c>
    </row>
    <row r="3645" spans="1:40" x14ac:dyDescent="0.25">
      <c r="A3645" t="str">
        <f>"20190312164544318"</f>
        <v>20190312164544318</v>
      </c>
      <c r="B3645" t="str">
        <f>"1552380344315760"</f>
        <v>1552380344315760</v>
      </c>
      <c r="C3645" t="s">
        <v>40</v>
      </c>
      <c r="D3645">
        <v>4.7720330000000004</v>
      </c>
      <c r="E3645">
        <v>0.49469800000000003</v>
      </c>
      <c r="F3645" t="s">
        <v>41</v>
      </c>
      <c r="G3645">
        <v>-270.2296</v>
      </c>
      <c r="H3645">
        <v>1.0413059999999901</v>
      </c>
      <c r="I3645">
        <v>141.08799999999999</v>
      </c>
      <c r="J3645">
        <v>-269.6447</v>
      </c>
      <c r="K3645">
        <v>1.1088309999999999</v>
      </c>
      <c r="L3645">
        <v>141.08330000000001</v>
      </c>
      <c r="M3645">
        <v>-0.99992130000000001</v>
      </c>
      <c r="N3645">
        <v>0</v>
      </c>
      <c r="O3645">
        <v>7.98717E-3</v>
      </c>
      <c r="P3645">
        <v>-0.98709729999999996</v>
      </c>
      <c r="Q3645">
        <v>0.1565985</v>
      </c>
      <c r="R3645">
        <v>3.341131E-2</v>
      </c>
      <c r="S3645">
        <v>-3.074554</v>
      </c>
      <c r="T3645">
        <v>-0.2271657</v>
      </c>
      <c r="U3645">
        <v>2.3147580000000001E-2</v>
      </c>
      <c r="V3645">
        <v>2.5424410000000001E-2</v>
      </c>
      <c r="W3645">
        <v>0.16617799999999999</v>
      </c>
      <c r="X3645">
        <v>0.98576799999999998</v>
      </c>
      <c r="Y3645">
        <v>-4.360516E-4</v>
      </c>
      <c r="Z3645">
        <v>-6.0543160000000001E-4</v>
      </c>
      <c r="AA3645">
        <v>0.99999970000000005</v>
      </c>
      <c r="AB3645">
        <v>33</v>
      </c>
      <c r="AC3645">
        <v>-0.58490000000000397</v>
      </c>
      <c r="AD3645">
        <v>-6.7525000000000002E-2</v>
      </c>
      <c r="AE3645">
        <v>4.6999999999854901E-3</v>
      </c>
      <c r="AF3645" s="1">
        <v>2.7568277303395E-5</v>
      </c>
      <c r="AG3645">
        <v>-6.7525000000000002E-2</v>
      </c>
      <c r="AH3645">
        <v>0.57722609296929495</v>
      </c>
      <c r="AI3645">
        <v>96.672242896573295</v>
      </c>
      <c r="AJ3645">
        <v>89.997263557631896</v>
      </c>
      <c r="AK3645">
        <v>0.58116227405915399</v>
      </c>
      <c r="AL3645">
        <v>80.4343266620333</v>
      </c>
      <c r="AM3645">
        <v>88.522584911537905</v>
      </c>
      <c r="AN3645">
        <v>1.0000000390659201</v>
      </c>
    </row>
    <row r="3646" spans="1:40" x14ac:dyDescent="0.25">
      <c r="A3646" t="str">
        <f>"20190312164544344"</f>
        <v>20190312164544344</v>
      </c>
      <c r="B3646" t="str">
        <f>"1552380344335281"</f>
        <v>1552380344335281</v>
      </c>
      <c r="C3646" t="s">
        <v>40</v>
      </c>
      <c r="D3646">
        <v>4.81487</v>
      </c>
      <c r="E3646">
        <v>0.49452309999999999</v>
      </c>
      <c r="F3646" t="s">
        <v>71</v>
      </c>
      <c r="G3646">
        <v>-288.58569999999997</v>
      </c>
      <c r="H3646" s="1">
        <v>-8.5988279999999997E-6</v>
      </c>
      <c r="I3646">
        <v>141.2363</v>
      </c>
      <c r="J3646">
        <v>-270.00619999999998</v>
      </c>
      <c r="K3646">
        <v>1.108876</v>
      </c>
      <c r="L3646">
        <v>141.08580000000001</v>
      </c>
      <c r="M3646">
        <v>-0.99992150000000002</v>
      </c>
      <c r="N3646">
        <v>0</v>
      </c>
      <c r="O3646">
        <v>7.6210710000000001E-3</v>
      </c>
      <c r="P3646">
        <v>-0.98714630000000003</v>
      </c>
      <c r="Q3646">
        <v>0.15617779999999901</v>
      </c>
      <c r="R3646">
        <v>3.3926379999999999E-2</v>
      </c>
      <c r="S3646">
        <v>-3.0668639999999998</v>
      </c>
      <c r="T3646">
        <v>-0.1795399</v>
      </c>
      <c r="U3646">
        <v>2.478027E-2</v>
      </c>
      <c r="V3646">
        <v>2.6294649999999999E-2</v>
      </c>
      <c r="W3646">
        <v>0.16601669999999999</v>
      </c>
      <c r="X3646">
        <v>0.98577230000000005</v>
      </c>
      <c r="Y3646">
        <v>4.7054820000000001E-4</v>
      </c>
      <c r="Z3646">
        <v>-4.320169E-4</v>
      </c>
      <c r="AA3646">
        <v>0.99999979999999999</v>
      </c>
      <c r="AB3646">
        <v>33</v>
      </c>
      <c r="AC3646">
        <v>-18.579499999999999</v>
      </c>
      <c r="AD3646">
        <v>-1.1088845988280001</v>
      </c>
      <c r="AE3646">
        <v>0.150499999999993</v>
      </c>
      <c r="AF3646">
        <v>8.8613740063767099E-3</v>
      </c>
      <c r="AG3646">
        <v>-1.1088845988280001</v>
      </c>
      <c r="AH3646">
        <v>18.514162659484001</v>
      </c>
      <c r="AI3646">
        <v>93.427570164538594</v>
      </c>
      <c r="AJ3646">
        <v>89.972576707798197</v>
      </c>
      <c r="AK3646">
        <v>18.547342735801799</v>
      </c>
      <c r="AL3646">
        <v>80.443698184177805</v>
      </c>
      <c r="AM3646">
        <v>88.472045413547207</v>
      </c>
      <c r="AN3646">
        <v>0.99999999037240095</v>
      </c>
    </row>
    <row r="3647" spans="1:40" x14ac:dyDescent="0.25">
      <c r="A3647" t="str">
        <f>"20190312164544363"</f>
        <v>20190312164544363</v>
      </c>
      <c r="B3647" t="str">
        <f>"1552380344355778"</f>
        <v>1552380344355778</v>
      </c>
      <c r="C3647" t="s">
        <v>40</v>
      </c>
      <c r="D3647">
        <v>5.1052049999999998</v>
      </c>
      <c r="E3647">
        <v>0.49430540000000001</v>
      </c>
      <c r="F3647" t="s">
        <v>71</v>
      </c>
      <c r="G3647">
        <v>-290.08949999999999</v>
      </c>
      <c r="H3647" s="1">
        <v>-9.3643770000000001E-6</v>
      </c>
      <c r="I3647">
        <v>141.2544</v>
      </c>
      <c r="J3647">
        <v>-270.30619999999999</v>
      </c>
      <c r="K3647">
        <v>1.108922</v>
      </c>
      <c r="L3647">
        <v>141.08779999999999</v>
      </c>
      <c r="M3647">
        <v>-0.99992139999999996</v>
      </c>
      <c r="N3647">
        <v>0</v>
      </c>
      <c r="O3647">
        <v>7.3157859999999899E-3</v>
      </c>
      <c r="P3647">
        <v>-0.98715299999999995</v>
      </c>
      <c r="Q3647">
        <v>0.1560542</v>
      </c>
      <c r="R3647">
        <v>3.4297109999999999E-2</v>
      </c>
      <c r="S3647">
        <v>-3.0649109999999999</v>
      </c>
      <c r="T3647">
        <v>-0.1692264</v>
      </c>
      <c r="U3647">
        <v>2.572632E-2</v>
      </c>
      <c r="V3647">
        <v>2.6962079999999999E-2</v>
      </c>
      <c r="W3647">
        <v>0.1661281</v>
      </c>
      <c r="X3647">
        <v>0.98573549999999999</v>
      </c>
      <c r="Y3647">
        <v>1.086882E-3</v>
      </c>
      <c r="Z3647">
        <v>-3.7365320000000001E-4</v>
      </c>
      <c r="AA3647">
        <v>0.99999930000000004</v>
      </c>
      <c r="AB3647">
        <v>33</v>
      </c>
      <c r="AC3647">
        <v>-19.783300000000001</v>
      </c>
      <c r="AD3647">
        <v>-1.108931364377</v>
      </c>
      <c r="AE3647">
        <v>0.16660000000001601</v>
      </c>
      <c r="AF3647">
        <v>2.17891914406717E-2</v>
      </c>
      <c r="AG3647">
        <v>-1.108931364377</v>
      </c>
      <c r="AH3647">
        <v>19.722026379852299</v>
      </c>
      <c r="AI3647">
        <v>93.218240067625004</v>
      </c>
      <c r="AJ3647">
        <v>89.936698786597404</v>
      </c>
      <c r="AK3647">
        <v>19.753190326308101</v>
      </c>
      <c r="AL3647">
        <v>80.437225526332895</v>
      </c>
      <c r="AM3647">
        <v>88.433222385307801</v>
      </c>
      <c r="AN3647">
        <v>0.99999998766389298</v>
      </c>
    </row>
    <row r="3648" spans="1:40" x14ac:dyDescent="0.25">
      <c r="A3648" t="str">
        <f>"20190312164544387"</f>
        <v>20190312164544387</v>
      </c>
      <c r="B3648" t="str">
        <f>"1552380344375300"</f>
        <v>1552380344375300</v>
      </c>
      <c r="C3648" t="s">
        <v>40</v>
      </c>
      <c r="D3648">
        <v>5.0200449999999996</v>
      </c>
      <c r="E3648">
        <v>0.49405779999999999</v>
      </c>
      <c r="F3648" t="s">
        <v>71</v>
      </c>
      <c r="G3648">
        <v>-291.89580000000001</v>
      </c>
      <c r="H3648" s="1">
        <v>-9.193772E-6</v>
      </c>
      <c r="I3648">
        <v>141.26660000000001</v>
      </c>
      <c r="J3648">
        <v>-270.64389999999997</v>
      </c>
      <c r="K3648">
        <v>1.108973</v>
      </c>
      <c r="L3648">
        <v>141.0899</v>
      </c>
      <c r="M3648">
        <v>-0.9999207</v>
      </c>
      <c r="N3648">
        <v>0</v>
      </c>
      <c r="O3648">
        <v>6.9812819999999897E-3</v>
      </c>
      <c r="P3648">
        <v>-0.98717089999999996</v>
      </c>
      <c r="Q3648">
        <v>0.15594279999999999</v>
      </c>
      <c r="R3648">
        <v>3.4288579999999999E-2</v>
      </c>
      <c r="S3648">
        <v>-3.0630190000000002</v>
      </c>
      <c r="T3648">
        <v>-0.15732960000000001</v>
      </c>
      <c r="U3648">
        <v>2.5375370000000001E-2</v>
      </c>
      <c r="V3648">
        <v>2.7279850000000001E-2</v>
      </c>
      <c r="W3648">
        <v>0.16630539999999999</v>
      </c>
      <c r="X3648">
        <v>0.98569689999999999</v>
      </c>
      <c r="Y3648">
        <v>1.3099940000000001E-3</v>
      </c>
      <c r="Z3648">
        <v>-3.2474000000000001E-4</v>
      </c>
      <c r="AA3648">
        <v>0.99999910000000003</v>
      </c>
      <c r="AB3648">
        <v>33</v>
      </c>
      <c r="AC3648">
        <v>-21.251899999999999</v>
      </c>
      <c r="AD3648">
        <v>-1.1089821937719999</v>
      </c>
      <c r="AE3648">
        <v>0.17670000000000999</v>
      </c>
      <c r="AF3648">
        <v>2.8245129232716E-2</v>
      </c>
      <c r="AG3648">
        <v>-1.1089821937719999</v>
      </c>
      <c r="AH3648">
        <v>21.1949051748648</v>
      </c>
      <c r="AI3648">
        <v>92.995156288664404</v>
      </c>
      <c r="AJ3648">
        <v>89.923645530589596</v>
      </c>
      <c r="AK3648">
        <v>21.223916807812301</v>
      </c>
      <c r="AL3648">
        <v>80.426924062680101</v>
      </c>
      <c r="AM3648">
        <v>88.414703960312295</v>
      </c>
      <c r="AN3648">
        <v>1.0000000274773899</v>
      </c>
    </row>
    <row r="3649" spans="1:40" x14ac:dyDescent="0.25">
      <c r="A3649" t="str">
        <f>"20190312164544407"</f>
        <v>20190312164544407</v>
      </c>
      <c r="B3649" t="str">
        <f>"1552380344395797"</f>
        <v>1552380344395797</v>
      </c>
      <c r="C3649" t="s">
        <v>40</v>
      </c>
      <c r="D3649">
        <v>4.8898409999999997</v>
      </c>
      <c r="E3649">
        <v>0.4938478</v>
      </c>
      <c r="F3649" t="s">
        <v>71</v>
      </c>
      <c r="G3649">
        <v>-293.51830000000001</v>
      </c>
      <c r="H3649" s="1">
        <v>-9.0510879999999993E-6</v>
      </c>
      <c r="I3649">
        <v>141.26599999999999</v>
      </c>
      <c r="J3649">
        <v>-270.94540000000001</v>
      </c>
      <c r="K3649">
        <v>1.1090139999999999</v>
      </c>
      <c r="L3649">
        <v>141.0917</v>
      </c>
      <c r="M3649">
        <v>-0.99991980000000003</v>
      </c>
      <c r="N3649">
        <v>0</v>
      </c>
      <c r="O3649">
        <v>6.6827859999999996E-3</v>
      </c>
      <c r="P3649">
        <v>-0.98724440000000002</v>
      </c>
      <c r="Q3649">
        <v>0.15559339999999999</v>
      </c>
      <c r="R3649">
        <v>3.375417E-2</v>
      </c>
      <c r="S3649">
        <v>-3.0615839999999999</v>
      </c>
      <c r="T3649">
        <v>-0.14843010000000001</v>
      </c>
      <c r="U3649">
        <v>2.3574830000000001E-2</v>
      </c>
      <c r="V3649">
        <v>2.7039580000000001E-2</v>
      </c>
      <c r="W3649">
        <v>0.16623479999999999</v>
      </c>
      <c r="X3649">
        <v>0.98571540000000002</v>
      </c>
      <c r="Y3649">
        <v>1.023478E-3</v>
      </c>
      <c r="Z3649">
        <v>-2.9901629999999998E-4</v>
      </c>
      <c r="AA3649">
        <v>0.99999939999999998</v>
      </c>
      <c r="AB3649">
        <v>33</v>
      </c>
      <c r="AC3649">
        <v>-22.572900000000001</v>
      </c>
      <c r="AD3649">
        <v>-1.1090230510879999</v>
      </c>
      <c r="AE3649">
        <v>0.17429999999998799</v>
      </c>
      <c r="AF3649">
        <v>2.33810827761885E-2</v>
      </c>
      <c r="AG3649">
        <v>-1.1090230510879999</v>
      </c>
      <c r="AH3649">
        <v>22.5192065002046</v>
      </c>
      <c r="AI3649">
        <v>92.819415941581397</v>
      </c>
      <c r="AJ3649">
        <v>89.940511363838297</v>
      </c>
      <c r="AK3649">
        <v>22.546510599242101</v>
      </c>
      <c r="AL3649">
        <v>80.431025968089997</v>
      </c>
      <c r="AM3649">
        <v>88.428689058378893</v>
      </c>
      <c r="AN3649">
        <v>0.99999999870738798</v>
      </c>
    </row>
    <row r="3650" spans="1:40" x14ac:dyDescent="0.25">
      <c r="A3650" t="str">
        <f>"20190312164544429"</f>
        <v>20190312164544429</v>
      </c>
      <c r="B3650" t="str">
        <f>"1552380344425073"</f>
        <v>1552380344425073</v>
      </c>
      <c r="C3650" t="s">
        <v>40</v>
      </c>
      <c r="D3650">
        <v>4.8158269999999996</v>
      </c>
      <c r="E3650">
        <v>0.49352810000000003</v>
      </c>
      <c r="F3650" t="s">
        <v>71</v>
      </c>
      <c r="G3650">
        <v>-294.88159999999999</v>
      </c>
      <c r="H3650" s="1">
        <v>-8.9281539999999995E-6</v>
      </c>
      <c r="I3650">
        <v>141.25399999999999</v>
      </c>
      <c r="J3650">
        <v>-271.27429999999998</v>
      </c>
      <c r="K3650">
        <v>1.109049</v>
      </c>
      <c r="L3650">
        <v>141.09350000000001</v>
      </c>
      <c r="M3650">
        <v>-0.99991850000000004</v>
      </c>
      <c r="N3650">
        <v>0</v>
      </c>
      <c r="O3650">
        <v>6.3486970000000004E-3</v>
      </c>
      <c r="P3650">
        <v>-0.98726809999999998</v>
      </c>
      <c r="Q3650">
        <v>0.1555135</v>
      </c>
      <c r="R3650">
        <v>3.342929E-2</v>
      </c>
      <c r="S3650">
        <v>-3.060425</v>
      </c>
      <c r="T3650">
        <v>-0.1417969</v>
      </c>
      <c r="U3650">
        <v>2.0751950000000002E-2</v>
      </c>
      <c r="V3650">
        <v>2.704676E-2</v>
      </c>
      <c r="W3650">
        <v>0.1664629</v>
      </c>
      <c r="X3650">
        <v>0.98567669999999996</v>
      </c>
      <c r="Y3650">
        <v>4.3785120000000002E-4</v>
      </c>
      <c r="Z3650">
        <v>-2.8386669999999999E-4</v>
      </c>
      <c r="AA3650">
        <v>0.99999990000000005</v>
      </c>
      <c r="AB3650">
        <v>33</v>
      </c>
      <c r="AC3650">
        <v>-23.607299999999999</v>
      </c>
      <c r="AD3650">
        <v>-1.1090579281540001</v>
      </c>
      <c r="AE3650">
        <v>0.16049999999998399</v>
      </c>
      <c r="AF3650">
        <v>1.0588606858641899E-2</v>
      </c>
      <c r="AG3650">
        <v>-1.1090579281540001</v>
      </c>
      <c r="AH3650">
        <v>23.555856221259798</v>
      </c>
      <c r="AI3650">
        <v>92.695611679325197</v>
      </c>
      <c r="AJ3650">
        <v>89.974244942006607</v>
      </c>
      <c r="AK3650">
        <v>23.5819525044739</v>
      </c>
      <c r="AL3650">
        <v>80.4177720563181</v>
      </c>
      <c r="AM3650">
        <v>88.4282103481588</v>
      </c>
      <c r="AN3650">
        <v>0.99999999061289802</v>
      </c>
    </row>
    <row r="3651" spans="1:40" x14ac:dyDescent="0.25">
      <c r="A3651" t="str">
        <f>"20190312164544453"</f>
        <v>20190312164544453</v>
      </c>
      <c r="B3651" t="str">
        <f>"1552380344445568"</f>
        <v>1552380344445568</v>
      </c>
      <c r="C3651" t="s">
        <v>40</v>
      </c>
      <c r="D3651">
        <v>5.0351679999999996</v>
      </c>
      <c r="E3651">
        <v>0.49336859999999999</v>
      </c>
      <c r="F3651" t="s">
        <v>71</v>
      </c>
      <c r="G3651">
        <v>-296.3503</v>
      </c>
      <c r="H3651" s="1">
        <v>-8.7953429999999996E-6</v>
      </c>
      <c r="I3651">
        <v>141.2396</v>
      </c>
      <c r="J3651">
        <v>-271.62419999999997</v>
      </c>
      <c r="K3651">
        <v>1.1090789999999999</v>
      </c>
      <c r="L3651">
        <v>141.09530000000001</v>
      </c>
      <c r="M3651">
        <v>-0.9999171</v>
      </c>
      <c r="N3651">
        <v>0</v>
      </c>
      <c r="O3651">
        <v>5.9863879999999996E-3</v>
      </c>
      <c r="P3651">
        <v>-0.98724940000000005</v>
      </c>
      <c r="Q3651">
        <v>0.15574839999999901</v>
      </c>
      <c r="R3651">
        <v>3.28788E-2</v>
      </c>
      <c r="S3651">
        <v>-3.0593870000000001</v>
      </c>
      <c r="T3651">
        <v>-0.1353105</v>
      </c>
      <c r="U3651">
        <v>1.7822270000000001E-2</v>
      </c>
      <c r="V3651">
        <v>2.6855850000000001E-2</v>
      </c>
      <c r="W3651">
        <v>0.1670111</v>
      </c>
      <c r="X3651">
        <v>0.98558920000000005</v>
      </c>
      <c r="Y3651">
        <v>-1.5543760000000001E-4</v>
      </c>
      <c r="Z3651">
        <v>-2.6808479999999998E-4</v>
      </c>
      <c r="AA3651">
        <v>0.99999990000000005</v>
      </c>
      <c r="AB3651">
        <v>33</v>
      </c>
      <c r="AC3651">
        <v>-24.726099999999999</v>
      </c>
      <c r="AD3651">
        <v>-1.1090877953430001</v>
      </c>
      <c r="AE3651">
        <v>0.14429999999998699</v>
      </c>
      <c r="AF3651">
        <v>-3.7247395247010902E-3</v>
      </c>
      <c r="AG3651">
        <v>-1.1090877953430001</v>
      </c>
      <c r="AH3651">
        <v>24.676873441402901</v>
      </c>
      <c r="AI3651">
        <v>92.573393801294898</v>
      </c>
      <c r="AJ3651">
        <v>90.008648253330605</v>
      </c>
      <c r="AK3651">
        <v>24.7017848030153</v>
      </c>
      <c r="AL3651">
        <v>80.385916742970196</v>
      </c>
      <c r="AM3651">
        <v>88.439160855119596</v>
      </c>
      <c r="AN3651">
        <v>1.0000000076795299</v>
      </c>
    </row>
    <row r="3652" spans="1:40" x14ac:dyDescent="0.25">
      <c r="A3652" t="str">
        <f>"20190312164544476"</f>
        <v>20190312164544476</v>
      </c>
      <c r="B3652" t="str">
        <f>"1552380344465089"</f>
        <v>1552380344465089</v>
      </c>
      <c r="C3652" t="s">
        <v>40</v>
      </c>
      <c r="D3652">
        <v>4.8264129999999996</v>
      </c>
      <c r="E3652">
        <v>0.493255</v>
      </c>
      <c r="F3652" t="s">
        <v>71</v>
      </c>
      <c r="G3652">
        <v>-297.56630000000001</v>
      </c>
      <c r="H3652" s="1">
        <v>-8.6844699999999992E-6</v>
      </c>
      <c r="I3652">
        <v>141.2242</v>
      </c>
      <c r="J3652">
        <v>-271.96409999999997</v>
      </c>
      <c r="K3652">
        <v>1.1091150000000001</v>
      </c>
      <c r="L3652">
        <v>141.09700000000001</v>
      </c>
      <c r="M3652">
        <v>-0.99991589999999997</v>
      </c>
      <c r="N3652">
        <v>0</v>
      </c>
      <c r="O3652">
        <v>5.6358529999999997E-3</v>
      </c>
      <c r="P3652">
        <v>-0.98720529999999995</v>
      </c>
      <c r="Q3652">
        <v>0.15610499999999999</v>
      </c>
      <c r="R3652">
        <v>3.25125E-2</v>
      </c>
      <c r="S3652">
        <v>-3.0588989999999998</v>
      </c>
      <c r="T3652">
        <v>-0.13077549999999999</v>
      </c>
      <c r="U3652">
        <v>1.5197749999999999E-2</v>
      </c>
      <c r="V3652">
        <v>2.683609E-2</v>
      </c>
      <c r="W3652">
        <v>0.16764860000000001</v>
      </c>
      <c r="X3652">
        <v>0.98548150000000001</v>
      </c>
      <c r="Y3652">
        <v>-6.621811E-4</v>
      </c>
      <c r="Z3652">
        <v>-2.5499810000000002E-4</v>
      </c>
      <c r="AA3652">
        <v>0.99999979999999999</v>
      </c>
      <c r="AB3652">
        <v>33</v>
      </c>
      <c r="AC3652">
        <v>-25.6022</v>
      </c>
      <c r="AD3652">
        <v>-1.1091236844700001</v>
      </c>
      <c r="AE3652">
        <v>0.12719999999998699</v>
      </c>
      <c r="AF3652">
        <v>-1.7070064480687899E-2</v>
      </c>
      <c r="AG3652">
        <v>-1.1091236844700001</v>
      </c>
      <c r="AH3652">
        <v>25.5545520642168</v>
      </c>
      <c r="AI3652">
        <v>92.485202396764706</v>
      </c>
      <c r="AJ3652">
        <v>90.038272731325193</v>
      </c>
      <c r="AK3652">
        <v>25.578615637624399</v>
      </c>
      <c r="AL3652">
        <v>80.348868337929105</v>
      </c>
      <c r="AM3652">
        <v>88.440138352761096</v>
      </c>
      <c r="AN3652">
        <v>1.0000000078253399</v>
      </c>
    </row>
    <row r="3653" spans="1:40" x14ac:dyDescent="0.25">
      <c r="A3653" t="str">
        <f>"20190312164544498"</f>
        <v>20190312164544498</v>
      </c>
      <c r="B3653" t="str">
        <f>"1552380344495345"</f>
        <v>1552380344495345</v>
      </c>
      <c r="C3653" t="s">
        <v>40</v>
      </c>
      <c r="D3653">
        <v>4.8056609999999997</v>
      </c>
      <c r="E3653">
        <v>0.49295899999999998</v>
      </c>
      <c r="F3653" t="s">
        <v>71</v>
      </c>
      <c r="G3653">
        <v>-298.54629999999997</v>
      </c>
      <c r="H3653" s="1">
        <v>-8.5944579999999904E-6</v>
      </c>
      <c r="I3653">
        <v>141.20930000000001</v>
      </c>
      <c r="J3653">
        <v>-272.27289999999999</v>
      </c>
      <c r="K3653">
        <v>1.10914</v>
      </c>
      <c r="L3653">
        <v>141.0984</v>
      </c>
      <c r="M3653">
        <v>-0.99991479999999999</v>
      </c>
      <c r="N3653">
        <v>0</v>
      </c>
      <c r="O3653">
        <v>5.32016E-3</v>
      </c>
      <c r="P3653">
        <v>-0.98723709999999998</v>
      </c>
      <c r="Q3653">
        <v>0.15600449999999999</v>
      </c>
      <c r="R3653">
        <v>3.2023679999999999E-2</v>
      </c>
      <c r="S3653">
        <v>-3.0586549999999999</v>
      </c>
      <c r="T3653">
        <v>-0.12762009999999999</v>
      </c>
      <c r="U3653">
        <v>1.292419E-2</v>
      </c>
      <c r="V3653">
        <v>2.665754E-2</v>
      </c>
      <c r="W3653">
        <v>0.1677825</v>
      </c>
      <c r="X3653">
        <v>0.9854636</v>
      </c>
      <c r="Y3653">
        <v>-1.089561E-3</v>
      </c>
      <c r="Z3653">
        <v>-2.4461710000000001E-4</v>
      </c>
      <c r="AA3653">
        <v>0.99999939999999998</v>
      </c>
      <c r="AB3653">
        <v>33</v>
      </c>
      <c r="AC3653">
        <v>-26.273399999999899</v>
      </c>
      <c r="AD3653">
        <v>-1.109148594458</v>
      </c>
      <c r="AE3653">
        <v>0.110900000000015</v>
      </c>
      <c r="AF3653">
        <v>-2.88387985176029E-2</v>
      </c>
      <c r="AG3653">
        <v>-1.109148594458</v>
      </c>
      <c r="AH3653">
        <v>26.226878485120299</v>
      </c>
      <c r="AI3653">
        <v>92.421624431032001</v>
      </c>
      <c r="AJ3653">
        <v>90.063001808479697</v>
      </c>
      <c r="AK3653">
        <v>26.250337090295702</v>
      </c>
      <c r="AL3653">
        <v>80.341086607282904</v>
      </c>
      <c r="AM3653">
        <v>88.450483456470494</v>
      </c>
      <c r="AN3653">
        <v>1.0000000493350201</v>
      </c>
    </row>
    <row r="3654" spans="1:40" x14ac:dyDescent="0.25">
      <c r="A3654" t="str">
        <f>"20190312164544519"</f>
        <v>20190312164544519</v>
      </c>
      <c r="B3654" t="str">
        <f>"1552380344515841"</f>
        <v>1552380344515841</v>
      </c>
      <c r="C3654" t="s">
        <v>40</v>
      </c>
      <c r="D3654">
        <v>5.080368</v>
      </c>
      <c r="E3654">
        <v>0.49286059999999998</v>
      </c>
      <c r="F3654" t="s">
        <v>71</v>
      </c>
      <c r="G3654">
        <v>-299.32080000000002</v>
      </c>
      <c r="H3654" s="1">
        <v>-8.5186970000000004E-6</v>
      </c>
      <c r="I3654">
        <v>141.18</v>
      </c>
      <c r="J3654">
        <v>-272.59629999999999</v>
      </c>
      <c r="K3654">
        <v>1.1091610000000001</v>
      </c>
      <c r="L3654">
        <v>141.09979999999999</v>
      </c>
      <c r="M3654">
        <v>-0.99991379999999996</v>
      </c>
      <c r="N3654">
        <v>0</v>
      </c>
      <c r="O3654">
        <v>4.989584E-3</v>
      </c>
      <c r="P3654">
        <v>-0.98731329999999995</v>
      </c>
      <c r="Q3654">
        <v>0.15568940000000001</v>
      </c>
      <c r="R3654">
        <v>3.1195270000000001E-2</v>
      </c>
      <c r="S3654">
        <v>-3.0582579999999999</v>
      </c>
      <c r="T3654">
        <v>-0.12540950000000001</v>
      </c>
      <c r="U3654">
        <v>9.2315669999999996E-3</v>
      </c>
      <c r="V3654">
        <v>2.6153309999999999E-2</v>
      </c>
      <c r="W3654">
        <v>0.16769039999999999</v>
      </c>
      <c r="X3654">
        <v>0.98549279999999995</v>
      </c>
      <c r="Y3654">
        <v>-1.9655660000000002E-3</v>
      </c>
      <c r="Z3654">
        <v>-2.4481850000000001E-4</v>
      </c>
      <c r="AA3654">
        <v>0.99999800000000005</v>
      </c>
      <c r="AB3654">
        <v>33</v>
      </c>
      <c r="AC3654">
        <v>-26.724499999999999</v>
      </c>
      <c r="AD3654">
        <v>-1.1091695186970001</v>
      </c>
      <c r="AE3654">
        <v>8.0200000000019103E-2</v>
      </c>
      <c r="AF3654">
        <v>-5.3063566240717397E-2</v>
      </c>
      <c r="AG3654">
        <v>-1.1091695186970001</v>
      </c>
      <c r="AH3654">
        <v>26.678612135689001</v>
      </c>
      <c r="AI3654">
        <v>92.380709629406198</v>
      </c>
      <c r="AJ3654">
        <v>90.113960740041193</v>
      </c>
      <c r="AK3654">
        <v>26.701711897363499</v>
      </c>
      <c r="AL3654">
        <v>80.346439514150902</v>
      </c>
      <c r="AM3654">
        <v>88.479823851380004</v>
      </c>
      <c r="AN3654">
        <v>1.00000006236397</v>
      </c>
    </row>
    <row r="3655" spans="1:40" x14ac:dyDescent="0.25">
      <c r="A3655" t="str">
        <f>"20190312164544543"</f>
        <v>20190312164544543</v>
      </c>
      <c r="B3655" t="str">
        <f>"1552380344535361"</f>
        <v>1552380344535361</v>
      </c>
      <c r="C3655" t="s">
        <v>40</v>
      </c>
      <c r="D3655">
        <v>4.8639169999999998</v>
      </c>
      <c r="E3655">
        <v>0.49272510000000003</v>
      </c>
      <c r="F3655" t="s">
        <v>71</v>
      </c>
      <c r="G3655">
        <v>-299.59289999999999</v>
      </c>
      <c r="H3655" s="1">
        <v>-8.4885130000000007E-6</v>
      </c>
      <c r="I3655">
        <v>141.15620000000001</v>
      </c>
      <c r="J3655">
        <v>-272.93860000000001</v>
      </c>
      <c r="K3655">
        <v>1.109186</v>
      </c>
      <c r="L3655">
        <v>141.1011</v>
      </c>
      <c r="M3655">
        <v>-0.99991300000000005</v>
      </c>
      <c r="N3655">
        <v>0</v>
      </c>
      <c r="O3655">
        <v>4.636116E-3</v>
      </c>
      <c r="P3655">
        <v>-0.98736520000000005</v>
      </c>
      <c r="Q3655">
        <v>0.15545610000000001</v>
      </c>
      <c r="R3655">
        <v>3.0720899999999999E-2</v>
      </c>
      <c r="S3655">
        <v>-3.0581670000000001</v>
      </c>
      <c r="T3655">
        <v>-0.12564610000000001</v>
      </c>
      <c r="U3655">
        <v>6.3934329999999996E-3</v>
      </c>
      <c r="V3655">
        <v>2.6026270000000001E-2</v>
      </c>
      <c r="W3655">
        <v>0.16766829999999999</v>
      </c>
      <c r="X3655">
        <v>0.98549989999999998</v>
      </c>
      <c r="Y3655">
        <v>-2.5398230000000001E-3</v>
      </c>
      <c r="Z3655">
        <v>-2.42563E-4</v>
      </c>
      <c r="AA3655">
        <v>0.99999669999999896</v>
      </c>
      <c r="AB3655">
        <v>33</v>
      </c>
      <c r="AC3655">
        <v>-26.6542999999999</v>
      </c>
      <c r="AD3655">
        <v>-1.1091944885130001</v>
      </c>
      <c r="AE3655">
        <v>5.5100000000010099E-2</v>
      </c>
      <c r="AF3655">
        <v>-6.8364054586181E-2</v>
      </c>
      <c r="AG3655">
        <v>-1.1091944885130001</v>
      </c>
      <c r="AH3655">
        <v>26.6081909004014</v>
      </c>
      <c r="AI3655">
        <v>92.387053657872499</v>
      </c>
      <c r="AJ3655">
        <v>90.147208925023904</v>
      </c>
      <c r="AK3655">
        <v>26.631387666614501</v>
      </c>
      <c r="AL3655">
        <v>80.347723710717403</v>
      </c>
      <c r="AM3655">
        <v>88.487215578317702</v>
      </c>
      <c r="AN3655">
        <v>1.0000000392274999</v>
      </c>
    </row>
    <row r="3656" spans="1:40" x14ac:dyDescent="0.25">
      <c r="A3656" t="str">
        <f>"20190312164544564"</f>
        <v>20190312164544564</v>
      </c>
      <c r="B3656" t="str">
        <f>"1552380344554880"</f>
        <v>1552380344554880</v>
      </c>
      <c r="C3656" t="s">
        <v>40</v>
      </c>
      <c r="D3656">
        <v>4.7351769999999904</v>
      </c>
      <c r="E3656">
        <v>0.49238710000000002</v>
      </c>
      <c r="F3656" t="s">
        <v>71</v>
      </c>
      <c r="G3656">
        <v>-300.4776</v>
      </c>
      <c r="H3656" s="1">
        <v>-8.5431570000000005E-6</v>
      </c>
      <c r="I3656">
        <v>141.1353</v>
      </c>
      <c r="J3656">
        <v>-273.26100000000002</v>
      </c>
      <c r="K3656">
        <v>1.109199</v>
      </c>
      <c r="L3656">
        <v>141.10220000000001</v>
      </c>
      <c r="M3656">
        <v>-0.99991229999999998</v>
      </c>
      <c r="N3656">
        <v>0</v>
      </c>
      <c r="O3656">
        <v>4.2991599999999998E-3</v>
      </c>
      <c r="P3656">
        <v>-0.98743159999999996</v>
      </c>
      <c r="Q3656">
        <v>0.15513640000000001</v>
      </c>
      <c r="R3656">
        <v>3.0198200000000001E-2</v>
      </c>
      <c r="S3656">
        <v>-3.0576780000000001</v>
      </c>
      <c r="T3656">
        <v>-0.1231551</v>
      </c>
      <c r="U3656">
        <v>3.799438E-3</v>
      </c>
      <c r="V3656">
        <v>2.5835009999999999E-2</v>
      </c>
      <c r="W3656">
        <v>0.1675249</v>
      </c>
      <c r="X3656">
        <v>0.98552919999999999</v>
      </c>
      <c r="Y3656">
        <v>-3.0509579999999999E-3</v>
      </c>
      <c r="Z3656">
        <v>-2.3451879999999999E-4</v>
      </c>
      <c r="AA3656">
        <v>0.99999530000000003</v>
      </c>
      <c r="AB3656">
        <v>33</v>
      </c>
      <c r="AC3656">
        <v>-27.2166</v>
      </c>
      <c r="AD3656">
        <v>-1.1092075431569901</v>
      </c>
      <c r="AE3656">
        <v>3.3099999999990297E-2</v>
      </c>
      <c r="AF3656">
        <v>-8.3778852247220495E-2</v>
      </c>
      <c r="AG3656">
        <v>-1.1092075431569901</v>
      </c>
      <c r="AH3656">
        <v>27.171360411171399</v>
      </c>
      <c r="AI3656">
        <v>92.337657742763398</v>
      </c>
      <c r="AJ3656">
        <v>90.176662462306695</v>
      </c>
      <c r="AK3656">
        <v>27.194120446590102</v>
      </c>
      <c r="AL3656">
        <v>80.356056663705502</v>
      </c>
      <c r="AM3656">
        <v>88.498372136253394</v>
      </c>
      <c r="AN3656">
        <v>0.99999992195717202</v>
      </c>
    </row>
    <row r="3657" spans="1:40" x14ac:dyDescent="0.25">
      <c r="A3657" t="str">
        <f>"20190312164544597"</f>
        <v>20190312164544597</v>
      </c>
      <c r="B3657" t="str">
        <f>"1552380344585137"</f>
        <v>1552380344585137</v>
      </c>
      <c r="C3657" t="s">
        <v>40</v>
      </c>
      <c r="D3657">
        <v>4.7003719999999998</v>
      </c>
      <c r="E3657">
        <v>0.4920446</v>
      </c>
      <c r="F3657" t="s">
        <v>71</v>
      </c>
      <c r="G3657">
        <v>-301.63350000000003</v>
      </c>
      <c r="H3657" s="1">
        <v>-8.7318309999999998E-6</v>
      </c>
      <c r="I3657">
        <v>141.09809999999999</v>
      </c>
      <c r="J3657">
        <v>-273.72109999999998</v>
      </c>
      <c r="K3657">
        <v>1.1092029999999999</v>
      </c>
      <c r="L3657">
        <v>141.1037</v>
      </c>
      <c r="M3657">
        <v>-0.99991149999999995</v>
      </c>
      <c r="N3657">
        <v>0</v>
      </c>
      <c r="O3657">
        <v>3.81169E-3</v>
      </c>
      <c r="P3657">
        <v>-0.98751009999999995</v>
      </c>
      <c r="Q3657">
        <v>0.15470729999999999</v>
      </c>
      <c r="R3657">
        <v>2.98286E-2</v>
      </c>
      <c r="S3657">
        <v>-3.0569459999999999</v>
      </c>
      <c r="T3657">
        <v>-0.1195097</v>
      </c>
      <c r="U3657">
        <v>-4.4250490000000001E-4</v>
      </c>
      <c r="V3657">
        <v>2.594629E-2</v>
      </c>
      <c r="W3657">
        <v>0.16731099999999999</v>
      </c>
      <c r="X3657">
        <v>0.98556270000000001</v>
      </c>
      <c r="Y3657">
        <v>-3.950823E-3</v>
      </c>
      <c r="Z3657">
        <v>-2.2616920000000001E-4</v>
      </c>
      <c r="AA3657">
        <v>0.9999922</v>
      </c>
      <c r="AB3657">
        <v>33</v>
      </c>
      <c r="AC3657">
        <v>-27.912400000000002</v>
      </c>
      <c r="AD3657">
        <v>-1.109211731831</v>
      </c>
      <c r="AE3657">
        <v>-5.6000000000153696E-3</v>
      </c>
      <c r="AF3657">
        <v>-0.111825425175631</v>
      </c>
      <c r="AG3657">
        <v>-1.109211731831</v>
      </c>
      <c r="AH3657">
        <v>27.868166704818599</v>
      </c>
      <c r="AI3657">
        <v>92.279271258191798</v>
      </c>
      <c r="AJ3657">
        <v>90.229907140468498</v>
      </c>
      <c r="AK3657">
        <v>27.890456630885499</v>
      </c>
      <c r="AL3657">
        <v>80.368488521364299</v>
      </c>
      <c r="AM3657">
        <v>88.491958342565496</v>
      </c>
      <c r="AN3657">
        <v>1.0000000081585201</v>
      </c>
    </row>
    <row r="3658" spans="1:40" x14ac:dyDescent="0.25">
      <c r="A3658" t="str">
        <f>"20190312164544620"</f>
        <v>20190312164544620</v>
      </c>
      <c r="B3658" t="str">
        <f>"1552380344615393"</f>
        <v>1552380344615393</v>
      </c>
      <c r="C3658" t="s">
        <v>40</v>
      </c>
      <c r="D3658">
        <v>4.5923470000000002</v>
      </c>
      <c r="E3658">
        <v>0.4918418</v>
      </c>
      <c r="F3658" t="s">
        <v>71</v>
      </c>
      <c r="G3658">
        <v>-303.53140000000002</v>
      </c>
      <c r="H3658" s="1">
        <v>-8.9937800000000005E-6</v>
      </c>
      <c r="I3658">
        <v>141.0624</v>
      </c>
      <c r="J3658">
        <v>-274.0498</v>
      </c>
      <c r="K3658">
        <v>1.1092120000000001</v>
      </c>
      <c r="L3658">
        <v>141.1045</v>
      </c>
      <c r="M3658">
        <v>-0.99991099999999999</v>
      </c>
      <c r="N3658">
        <v>0</v>
      </c>
      <c r="O3658">
        <v>3.4608030000000001E-3</v>
      </c>
      <c r="P3658">
        <v>-0.98762090000000002</v>
      </c>
      <c r="Q3658">
        <v>0.1540088</v>
      </c>
      <c r="R3658">
        <v>2.9771590000000001E-2</v>
      </c>
      <c r="S3658">
        <v>-3.0559080000000001</v>
      </c>
      <c r="T3658">
        <v>-0.11370719999999999</v>
      </c>
      <c r="U3658">
        <v>-4.226685E-3</v>
      </c>
      <c r="V3658">
        <v>2.62358E-2</v>
      </c>
      <c r="W3658">
        <v>0.16674449999999999</v>
      </c>
      <c r="X3658">
        <v>0.98565100000000005</v>
      </c>
      <c r="Y3658">
        <v>-4.8384530000000004E-3</v>
      </c>
      <c r="Z3658">
        <v>-2.1872459999999999E-4</v>
      </c>
      <c r="AA3658">
        <v>0.99998830000000005</v>
      </c>
      <c r="AB3658">
        <v>33</v>
      </c>
      <c r="AC3658">
        <v>-29.4816</v>
      </c>
      <c r="AD3658">
        <v>-1.1092209937799999</v>
      </c>
      <c r="AE3658">
        <v>-4.2100000000004897E-2</v>
      </c>
      <c r="AF3658">
        <v>-0.143934477684142</v>
      </c>
      <c r="AG3658">
        <v>-1.1092209937799999</v>
      </c>
      <c r="AH3658">
        <v>29.439603710261402</v>
      </c>
      <c r="AI3658">
        <v>92.157735381787106</v>
      </c>
      <c r="AJ3658">
        <v>90.280125115465196</v>
      </c>
      <c r="AK3658">
        <v>29.4608444373909</v>
      </c>
      <c r="AL3658">
        <v>80.401408668515401</v>
      </c>
      <c r="AM3658">
        <v>88.475275979916304</v>
      </c>
      <c r="AN3658">
        <v>0.999999969641444</v>
      </c>
    </row>
    <row r="3659" spans="1:40" x14ac:dyDescent="0.25">
      <c r="A3659" t="str">
        <f>"20190312164544642"</f>
        <v>20190312164544642</v>
      </c>
      <c r="B3659" t="str">
        <f>"1552380344635888"</f>
        <v>1552380344635888</v>
      </c>
      <c r="C3659" t="s">
        <v>40</v>
      </c>
      <c r="D3659">
        <v>4.6065019999999999</v>
      </c>
      <c r="E3659">
        <v>0.49170239999999998</v>
      </c>
      <c r="F3659" t="s">
        <v>71</v>
      </c>
      <c r="G3659">
        <v>-304.7484</v>
      </c>
      <c r="H3659" s="1">
        <v>-9.1632760000000002E-6</v>
      </c>
      <c r="I3659">
        <v>141.04470000000001</v>
      </c>
      <c r="J3659">
        <v>-274.3965</v>
      </c>
      <c r="K3659">
        <v>1.1092169999999999</v>
      </c>
      <c r="L3659">
        <v>141.1053</v>
      </c>
      <c r="M3659">
        <v>-0.99991050000000004</v>
      </c>
      <c r="N3659">
        <v>0</v>
      </c>
      <c r="O3659">
        <v>3.0901940000000001E-3</v>
      </c>
      <c r="P3659">
        <v>-0.9877745</v>
      </c>
      <c r="Q3659">
        <v>0.15302270000000001</v>
      </c>
      <c r="R3659">
        <v>2.9758280000000002E-2</v>
      </c>
      <c r="S3659">
        <v>-3.0549930000000001</v>
      </c>
      <c r="T3659">
        <v>-0.11038489999999999</v>
      </c>
      <c r="U3659">
        <v>-5.9509280000000003E-3</v>
      </c>
      <c r="V3659">
        <v>2.6588589999999999E-2</v>
      </c>
      <c r="W3659">
        <v>0.16588079999999999</v>
      </c>
      <c r="X3659">
        <v>0.98578730000000003</v>
      </c>
      <c r="Y3659">
        <v>-5.0330720000000004E-3</v>
      </c>
      <c r="Z3659">
        <v>-2.0252909999999999E-4</v>
      </c>
      <c r="AA3659">
        <v>0.99998730000000002</v>
      </c>
      <c r="AB3659">
        <v>33</v>
      </c>
      <c r="AC3659">
        <v>-30.351900000000001</v>
      </c>
      <c r="AD3659">
        <v>-1.1092261632760001</v>
      </c>
      <c r="AE3659">
        <v>-6.0599999999993701E-2</v>
      </c>
      <c r="AF3659">
        <v>-0.15419497896083501</v>
      </c>
      <c r="AG3659">
        <v>-1.1092261632760001</v>
      </c>
      <c r="AH3659">
        <v>30.311085192367798</v>
      </c>
      <c r="AI3659">
        <v>92.095761628781503</v>
      </c>
      <c r="AJ3659">
        <v>90.291465820249599</v>
      </c>
      <c r="AK3659">
        <v>30.331766257700998</v>
      </c>
      <c r="AL3659">
        <v>80.451594226114395</v>
      </c>
      <c r="AM3659">
        <v>88.454996599185804</v>
      </c>
      <c r="AN3659">
        <v>0.99999999688405905</v>
      </c>
    </row>
    <row r="3660" spans="1:40" x14ac:dyDescent="0.25">
      <c r="A3660" t="str">
        <f>"20190312164544664"</f>
        <v>20190312164544664</v>
      </c>
      <c r="B3660" t="str">
        <f>"1552380344655411"</f>
        <v>1552380344655411</v>
      </c>
      <c r="C3660" t="s">
        <v>40</v>
      </c>
      <c r="D3660">
        <v>4.6751310000000004</v>
      </c>
      <c r="E3660">
        <v>0.49159580000000003</v>
      </c>
      <c r="F3660" t="s">
        <v>71</v>
      </c>
      <c r="G3660">
        <v>-304.92360000000002</v>
      </c>
      <c r="H3660" s="1">
        <v>-9.1855149999999998E-6</v>
      </c>
      <c r="I3660">
        <v>141.03489999999999</v>
      </c>
      <c r="J3660">
        <v>-274.7097</v>
      </c>
      <c r="K3660">
        <v>1.1092229999999901</v>
      </c>
      <c r="L3660">
        <v>141.10599999999999</v>
      </c>
      <c r="M3660">
        <v>-0.99991039999999998</v>
      </c>
      <c r="N3660">
        <v>0</v>
      </c>
      <c r="O3660">
        <v>2.7555829999999998E-3</v>
      </c>
      <c r="P3660">
        <v>-0.98783889999999996</v>
      </c>
      <c r="Q3660">
        <v>0.15258060000000001</v>
      </c>
      <c r="R3660">
        <v>2.989667E-2</v>
      </c>
      <c r="S3660">
        <v>-3.0545040000000001</v>
      </c>
      <c r="T3660">
        <v>-0.11098769999999999</v>
      </c>
      <c r="U3660">
        <v>-7.0495610000000002E-3</v>
      </c>
      <c r="V3660">
        <v>2.7057589999999999E-2</v>
      </c>
      <c r="W3660">
        <v>0.16553370000000001</v>
      </c>
      <c r="X3660">
        <v>0.98583290000000001</v>
      </c>
      <c r="Y3660">
        <v>-5.0585630000000003E-3</v>
      </c>
      <c r="Z3660">
        <v>-1.919744E-4</v>
      </c>
      <c r="AA3660">
        <v>0.99998719999999996</v>
      </c>
      <c r="AB3660">
        <v>33</v>
      </c>
      <c r="AC3660">
        <v>-30.213899999999999</v>
      </c>
      <c r="AD3660">
        <v>-1.10923218551499</v>
      </c>
      <c r="AE3660">
        <v>-7.1100000000001204E-2</v>
      </c>
      <c r="AF3660">
        <v>-0.15415601038485</v>
      </c>
      <c r="AG3660">
        <v>-1.10923218551499</v>
      </c>
      <c r="AH3660">
        <v>30.172921939374401</v>
      </c>
      <c r="AI3660">
        <v>92.105360789401303</v>
      </c>
      <c r="AJ3660">
        <v>90.292726436963605</v>
      </c>
      <c r="AK3660">
        <v>30.193697661540298</v>
      </c>
      <c r="AL3660">
        <v>80.471760542508306</v>
      </c>
      <c r="AM3660">
        <v>88.427830308114196</v>
      </c>
      <c r="AN3660">
        <v>1.0000000128673501</v>
      </c>
    </row>
    <row r="3661" spans="1:40" x14ac:dyDescent="0.25">
      <c r="A3661" t="str">
        <f>"20190312164544685"</f>
        <v>20190312164544685</v>
      </c>
      <c r="B3661" t="str">
        <f>"1552380344674928"</f>
        <v>1552380344674928</v>
      </c>
      <c r="C3661" t="s">
        <v>40</v>
      </c>
      <c r="D3661">
        <v>4.680733</v>
      </c>
      <c r="E3661">
        <v>0.49145260000000002</v>
      </c>
      <c r="F3661" t="s">
        <v>71</v>
      </c>
      <c r="G3661">
        <v>-305.58670000000001</v>
      </c>
      <c r="H3661" s="1">
        <v>-9.2791179999999999E-6</v>
      </c>
      <c r="I3661">
        <v>141.02940000000001</v>
      </c>
      <c r="J3661">
        <v>-275.02159999999998</v>
      </c>
      <c r="K3661">
        <v>1.1092249999999999</v>
      </c>
      <c r="L3661">
        <v>141.10640000000001</v>
      </c>
      <c r="M3661">
        <v>-0.99991019999999997</v>
      </c>
      <c r="N3661">
        <v>0</v>
      </c>
      <c r="O3661">
        <v>2.4226629999999998E-3</v>
      </c>
      <c r="P3661">
        <v>-0.98789110000000002</v>
      </c>
      <c r="Q3661">
        <v>0.1521566</v>
      </c>
      <c r="R3661">
        <v>3.0326970000000002E-2</v>
      </c>
      <c r="S3661">
        <v>-3.0541079999999998</v>
      </c>
      <c r="T3661">
        <v>-0.10971640000000001</v>
      </c>
      <c r="U3661">
        <v>-7.5683590000000002E-3</v>
      </c>
      <c r="V3661">
        <v>2.7816839999999999E-2</v>
      </c>
      <c r="W3661">
        <v>0.1651928</v>
      </c>
      <c r="X3661">
        <v>0.98586890000000005</v>
      </c>
      <c r="Y3661">
        <v>-4.8962220000000004E-3</v>
      </c>
      <c r="Z3661">
        <v>-1.74929599999999E-4</v>
      </c>
      <c r="AA3661">
        <v>0.99998799999999999</v>
      </c>
      <c r="AB3661">
        <v>33</v>
      </c>
      <c r="AC3661">
        <v>-30.565100000000001</v>
      </c>
      <c r="AD3661">
        <v>-1.1092342791180001</v>
      </c>
      <c r="AE3661">
        <v>-7.6999999999998098E-2</v>
      </c>
      <c r="AF3661">
        <v>-0.15085646279495499</v>
      </c>
      <c r="AG3661">
        <v>-1.1092342791180001</v>
      </c>
      <c r="AH3661">
        <v>30.524622206141402</v>
      </c>
      <c r="AI3661">
        <v>92.081130251428107</v>
      </c>
      <c r="AJ3661">
        <v>90.283160531923201</v>
      </c>
      <c r="AK3661">
        <v>30.5451423173309</v>
      </c>
      <c r="AL3661">
        <v>80.491564851712795</v>
      </c>
      <c r="AM3661">
        <v>88.3837964806022</v>
      </c>
      <c r="AN3661">
        <v>0.99999996287331705</v>
      </c>
    </row>
    <row r="3662" spans="1:40" x14ac:dyDescent="0.25">
      <c r="A3662" t="str">
        <f>"20190312164544710"</f>
        <v>20190312164544710</v>
      </c>
      <c r="B3662" t="str">
        <f>"1552380344705185"</f>
        <v>1552380344705185</v>
      </c>
      <c r="C3662" t="s">
        <v>40</v>
      </c>
      <c r="D3662">
        <v>4.5592940000000004</v>
      </c>
      <c r="E3662">
        <v>0.48437989999999997</v>
      </c>
      <c r="F3662" t="s">
        <v>71</v>
      </c>
      <c r="G3662">
        <v>-305.09050000000002</v>
      </c>
      <c r="H3662" s="1">
        <v>-9.2083410000000001E-6</v>
      </c>
      <c r="I3662">
        <v>141.03100000000001</v>
      </c>
      <c r="J3662">
        <v>-275.35680000000002</v>
      </c>
      <c r="K3662">
        <v>1.109229</v>
      </c>
      <c r="L3662">
        <v>141.1069</v>
      </c>
      <c r="M3662">
        <v>-0.99990999999999997</v>
      </c>
      <c r="N3662">
        <v>0</v>
      </c>
      <c r="O3662">
        <v>2.0646340000000001E-3</v>
      </c>
      <c r="P3662">
        <v>-0.98790299999999998</v>
      </c>
      <c r="Q3662">
        <v>0.15215300000000001</v>
      </c>
      <c r="R3662">
        <v>2.996391E-2</v>
      </c>
      <c r="S3662">
        <v>-3.0543819999999999</v>
      </c>
      <c r="T3662">
        <v>-0.1126752</v>
      </c>
      <c r="U3662">
        <v>-7.6599119999999996E-3</v>
      </c>
      <c r="V3662">
        <v>2.7807729999999999E-2</v>
      </c>
      <c r="W3662">
        <v>0.1652652</v>
      </c>
      <c r="X3662">
        <v>0.98585710000000004</v>
      </c>
      <c r="Y3662">
        <v>-4.568127E-3</v>
      </c>
      <c r="Z3662">
        <v>-1.6037399999999999E-4</v>
      </c>
      <c r="AA3662">
        <v>0.99998960000000003</v>
      </c>
      <c r="AB3662">
        <v>33</v>
      </c>
      <c r="AC3662">
        <v>-29.733699999999999</v>
      </c>
      <c r="AD3662">
        <v>-1.109238208341</v>
      </c>
      <c r="AE3662">
        <v>-7.5899999999990003E-2</v>
      </c>
      <c r="AF3662">
        <v>-0.13710363225268901</v>
      </c>
      <c r="AG3662">
        <v>-1.109238208341</v>
      </c>
      <c r="AH3662">
        <v>29.6921570097795</v>
      </c>
      <c r="AI3662">
        <v>92.139435338434893</v>
      </c>
      <c r="AJ3662">
        <v>90.264561569322396</v>
      </c>
      <c r="AK3662">
        <v>29.7131855360918</v>
      </c>
      <c r="AL3662">
        <v>80.487359556191706</v>
      </c>
      <c r="AM3662">
        <v>88.384306177571801</v>
      </c>
      <c r="AN3662">
        <v>1.0000000388996</v>
      </c>
    </row>
    <row r="3663" spans="1:40" x14ac:dyDescent="0.25">
      <c r="A3663" t="str">
        <f>"20190312164544732"</f>
        <v>20190312164544732</v>
      </c>
      <c r="B3663" t="str">
        <f>"1552380344725681"</f>
        <v>1552380344725681</v>
      </c>
      <c r="C3663" t="s">
        <v>40</v>
      </c>
      <c r="D3663">
        <v>4.6700650000000001</v>
      </c>
      <c r="E3663">
        <v>0.48454449999999999</v>
      </c>
      <c r="F3663" t="s">
        <v>71</v>
      </c>
      <c r="G3663">
        <v>-290.93709999999999</v>
      </c>
      <c r="H3663" s="1">
        <v>-9.1426359999999997E-6</v>
      </c>
      <c r="I3663">
        <v>140.74760000000001</v>
      </c>
      <c r="J3663">
        <v>-275.69720000000001</v>
      </c>
      <c r="K3663">
        <v>1.109237</v>
      </c>
      <c r="L3663">
        <v>141.10720000000001</v>
      </c>
      <c r="M3663">
        <v>-0.99990979999999996</v>
      </c>
      <c r="N3663">
        <v>0</v>
      </c>
      <c r="O3663">
        <v>1.7007229999999999E-3</v>
      </c>
      <c r="P3663">
        <v>-0.98797699999999999</v>
      </c>
      <c r="Q3663">
        <v>0.15178949999999999</v>
      </c>
      <c r="R3663">
        <v>2.935422E-2</v>
      </c>
      <c r="S3663">
        <v>-3.0725709999999999</v>
      </c>
      <c r="T3663">
        <v>-0.2187521</v>
      </c>
      <c r="U3663">
        <v>-7.0861820000000006E-2</v>
      </c>
      <c r="V3663">
        <v>2.755778E-2</v>
      </c>
      <c r="W3663">
        <v>0.164968</v>
      </c>
      <c r="X3663">
        <v>0.98591390000000001</v>
      </c>
      <c r="Y3663">
        <v>-2.4690210000000001E-2</v>
      </c>
      <c r="Z3663">
        <v>-9.9861000000000004E-4</v>
      </c>
      <c r="AA3663">
        <v>0.99969459999999999</v>
      </c>
      <c r="AB3663">
        <v>33</v>
      </c>
      <c r="AC3663">
        <v>-15.239899999999899</v>
      </c>
      <c r="AD3663">
        <v>-1.1092461426360001</v>
      </c>
      <c r="AE3663">
        <v>-0.35959999999999998</v>
      </c>
      <c r="AF3663">
        <v>-0.38349012385968301</v>
      </c>
      <c r="AG3663">
        <v>-1.1092461426360001</v>
      </c>
      <c r="AH3663">
        <v>15.159002375550999</v>
      </c>
      <c r="AI3663">
        <v>94.183773486688693</v>
      </c>
      <c r="AJ3663">
        <v>91.449150777709903</v>
      </c>
      <c r="AK3663">
        <v>15.2043692635377</v>
      </c>
      <c r="AL3663">
        <v>80.504624904407194</v>
      </c>
      <c r="AM3663">
        <v>88.398913458282095</v>
      </c>
      <c r="AN3663">
        <v>1.0000000452378599</v>
      </c>
    </row>
    <row r="3664" spans="1:40" x14ac:dyDescent="0.25">
      <c r="A3664" t="str">
        <f>"20190312164544755"</f>
        <v>20190312164544755</v>
      </c>
      <c r="B3664" t="str">
        <f>"1552380344745201"</f>
        <v>1552380344745201</v>
      </c>
      <c r="C3664" t="s">
        <v>40</v>
      </c>
      <c r="D3664">
        <v>4.5870709999999999</v>
      </c>
      <c r="E3664">
        <v>0.48459600000000003</v>
      </c>
      <c r="F3664" t="s">
        <v>71</v>
      </c>
      <c r="G3664">
        <v>-293.73829999999998</v>
      </c>
      <c r="H3664" s="1">
        <v>-8.8816300000000002E-6</v>
      </c>
      <c r="I3664">
        <v>140.69669999999999</v>
      </c>
      <c r="J3664">
        <v>-276.03140000000002</v>
      </c>
      <c r="K3664">
        <v>1.109248</v>
      </c>
      <c r="L3664">
        <v>141.10740000000001</v>
      </c>
      <c r="M3664">
        <v>-0.99990950000000001</v>
      </c>
      <c r="N3664">
        <v>0</v>
      </c>
      <c r="O3664">
        <v>1.3433780000000001E-3</v>
      </c>
      <c r="P3664">
        <v>-0.98795310000000003</v>
      </c>
      <c r="Q3664">
        <v>0.15200930000000001</v>
      </c>
      <c r="R3664">
        <v>2.9021870000000002E-2</v>
      </c>
      <c r="S3664">
        <v>-3.0675659999999998</v>
      </c>
      <c r="T3664">
        <v>-0.18860769999999999</v>
      </c>
      <c r="U3664">
        <v>-6.97937E-2</v>
      </c>
      <c r="V3664">
        <v>2.7578479999999999E-2</v>
      </c>
      <c r="W3664">
        <v>0.16524259999999999</v>
      </c>
      <c r="X3664">
        <v>0.9858673</v>
      </c>
      <c r="Y3664">
        <v>-2.404148E-2</v>
      </c>
      <c r="Z3664">
        <v>-8.2081250000000004E-4</v>
      </c>
      <c r="AA3664">
        <v>0.9997106</v>
      </c>
      <c r="AB3664">
        <v>32</v>
      </c>
      <c r="AC3664">
        <v>-17.706899999999901</v>
      </c>
      <c r="AD3664">
        <v>-1.1092568816299999</v>
      </c>
      <c r="AE3664">
        <v>-0.41070000000001899</v>
      </c>
      <c r="AF3664">
        <v>-0.43279126473600998</v>
      </c>
      <c r="AG3664">
        <v>-1.1092568816299999</v>
      </c>
      <c r="AH3664">
        <v>17.637153272654501</v>
      </c>
      <c r="AI3664">
        <v>93.597694299771007</v>
      </c>
      <c r="AJ3664">
        <v>91.405676820607596</v>
      </c>
      <c r="AK3664">
        <v>17.6772999825025</v>
      </c>
      <c r="AL3664">
        <v>80.4886722274032</v>
      </c>
      <c r="AM3664">
        <v>88.397635732823801</v>
      </c>
      <c r="AN3664">
        <v>1.0000000113115799</v>
      </c>
    </row>
    <row r="3665" spans="1:40" x14ac:dyDescent="0.25">
      <c r="A3665" t="str">
        <f>"20190312164544775"</f>
        <v>20190312164544775</v>
      </c>
      <c r="B3665" t="str">
        <f>"1552380344765700"</f>
        <v>1552380344765700</v>
      </c>
      <c r="C3665" t="s">
        <v>40</v>
      </c>
      <c r="D3665">
        <v>4.6242619999999999</v>
      </c>
      <c r="E3665">
        <v>0.48512179999999999</v>
      </c>
      <c r="F3665" t="s">
        <v>71</v>
      </c>
      <c r="G3665">
        <v>-293.11020000000002</v>
      </c>
      <c r="H3665" s="1">
        <v>-8.9401159999999998E-6</v>
      </c>
      <c r="I3665">
        <v>140.70930000000001</v>
      </c>
      <c r="J3665">
        <v>-276.32229999999998</v>
      </c>
      <c r="K3665">
        <v>1.109245</v>
      </c>
      <c r="L3665">
        <v>141.10740000000001</v>
      </c>
      <c r="M3665">
        <v>-0.9999093</v>
      </c>
      <c r="N3665">
        <v>0</v>
      </c>
      <c r="O3665">
        <v>1.0326179999999999E-3</v>
      </c>
      <c r="P3665">
        <v>-0.98796390000000001</v>
      </c>
      <c r="Q3665">
        <v>0.151951799999999</v>
      </c>
      <c r="R3665">
        <v>2.8951169999999998E-2</v>
      </c>
      <c r="S3665">
        <v>-3.0693969999999999</v>
      </c>
      <c r="T3665">
        <v>-0.19935620000000001</v>
      </c>
      <c r="U3665">
        <v>-7.1548459999999994E-2</v>
      </c>
      <c r="V3665">
        <v>2.781496E-2</v>
      </c>
      <c r="W3665">
        <v>0.16522709999999999</v>
      </c>
      <c r="X3665">
        <v>0.9858633</v>
      </c>
      <c r="Y3665">
        <v>-2.428305E-2</v>
      </c>
      <c r="Z3665">
        <v>-8.5464579999999996E-4</v>
      </c>
      <c r="AA3665">
        <v>0.99970479999999995</v>
      </c>
      <c r="AB3665">
        <v>32</v>
      </c>
      <c r="AC3665">
        <v>-16.7879</v>
      </c>
      <c r="AD3665">
        <v>-1.109253940116</v>
      </c>
      <c r="AE3665">
        <v>-0.39809999999999901</v>
      </c>
      <c r="AF3665">
        <v>-0.413631996654583</v>
      </c>
      <c r="AG3665">
        <v>-1.109253940116</v>
      </c>
      <c r="AH3665">
        <v>16.714547662107101</v>
      </c>
      <c r="AI3665">
        <v>93.795684127170205</v>
      </c>
      <c r="AJ3665">
        <v>91.417599330973403</v>
      </c>
      <c r="AK3665">
        <v>16.7564208374333</v>
      </c>
      <c r="AL3665">
        <v>80.489573122588297</v>
      </c>
      <c r="AM3665">
        <v>88.383896478689707</v>
      </c>
      <c r="AN3665">
        <v>1.00000005643054</v>
      </c>
    </row>
    <row r="3666" spans="1:40" x14ac:dyDescent="0.25">
      <c r="A3666" t="str">
        <f>"20190312164544797"</f>
        <v>20190312164544797</v>
      </c>
      <c r="B3666" t="str">
        <f>"1552380344785216"</f>
        <v>1552380344785216</v>
      </c>
      <c r="C3666" t="s">
        <v>40</v>
      </c>
      <c r="D3666">
        <v>4.5983299999999998</v>
      </c>
      <c r="E3666">
        <v>0.48488150000000002</v>
      </c>
      <c r="F3666" t="s">
        <v>71</v>
      </c>
      <c r="G3666">
        <v>-293.72710000000001</v>
      </c>
      <c r="H3666" s="1">
        <v>-8.8896349999999995E-6</v>
      </c>
      <c r="I3666">
        <v>140.72329999999999</v>
      </c>
      <c r="J3666">
        <v>-276.64080000000001</v>
      </c>
      <c r="K3666">
        <v>1.109243</v>
      </c>
      <c r="L3666">
        <v>141.10740000000001</v>
      </c>
      <c r="M3666">
        <v>-0.9999091</v>
      </c>
      <c r="N3666">
        <v>0</v>
      </c>
      <c r="O3666">
        <v>6.9213309999999998E-4</v>
      </c>
      <c r="P3666">
        <v>-0.98797159999999995</v>
      </c>
      <c r="Q3666">
        <v>0.15187139999999999</v>
      </c>
      <c r="R3666">
        <v>2.9111649999999999E-2</v>
      </c>
      <c r="S3666">
        <v>-3.0686040000000001</v>
      </c>
      <c r="T3666">
        <v>-0.1955712</v>
      </c>
      <c r="U3666">
        <v>-6.7718509999999996E-2</v>
      </c>
      <c r="V3666">
        <v>2.831227E-2</v>
      </c>
      <c r="W3666">
        <v>0.16518669999999999</v>
      </c>
      <c r="X3666">
        <v>0.98585590000000001</v>
      </c>
      <c r="Y3666">
        <v>-2.2707379999999999E-2</v>
      </c>
      <c r="Z3666">
        <v>-7.6684899999999903E-4</v>
      </c>
      <c r="AA3666">
        <v>0.99974189999999996</v>
      </c>
      <c r="AB3666">
        <v>32</v>
      </c>
      <c r="AC3666">
        <v>-17.086299999999898</v>
      </c>
      <c r="AD3666">
        <v>-1.1092518896350001</v>
      </c>
      <c r="AE3666">
        <v>-0.38410000000001698</v>
      </c>
      <c r="AF3666">
        <v>-0.39426610902373899</v>
      </c>
      <c r="AG3666">
        <v>-1.1092518896350001</v>
      </c>
      <c r="AH3666">
        <v>17.014356238321898</v>
      </c>
      <c r="AI3666">
        <v>93.729124389111803</v>
      </c>
      <c r="AJ3666">
        <v>91.327452047712001</v>
      </c>
      <c r="AK3666">
        <v>17.055034556514599</v>
      </c>
      <c r="AL3666">
        <v>80.491919993605407</v>
      </c>
      <c r="AM3666">
        <v>88.355005191678501</v>
      </c>
      <c r="AN3666">
        <v>1.0000000430271201</v>
      </c>
    </row>
    <row r="3667" spans="1:40" x14ac:dyDescent="0.25">
      <c r="A3667" t="str">
        <f>"20190312164544820"</f>
        <v>20190312164544820</v>
      </c>
      <c r="B3667" t="str">
        <f>"1552380344815473"</f>
        <v>1552380344815473</v>
      </c>
      <c r="C3667" t="s">
        <v>40</v>
      </c>
      <c r="D3667">
        <v>4.7325419999999996</v>
      </c>
      <c r="E3667">
        <v>0.4873208</v>
      </c>
      <c r="F3667" t="s">
        <v>71</v>
      </c>
      <c r="G3667">
        <v>-294.5985</v>
      </c>
      <c r="H3667" s="1">
        <v>-8.8078429999999999E-6</v>
      </c>
      <c r="I3667">
        <v>140.70349999999999</v>
      </c>
      <c r="J3667">
        <v>-276.97140000000002</v>
      </c>
      <c r="K3667">
        <v>1.109251</v>
      </c>
      <c r="L3667">
        <v>141.10720000000001</v>
      </c>
      <c r="M3667">
        <v>-0.99990889999999999</v>
      </c>
      <c r="N3667">
        <v>0</v>
      </c>
      <c r="O3667">
        <v>3.3862639999999999E-4</v>
      </c>
      <c r="P3667">
        <v>-0.98811919999999998</v>
      </c>
      <c r="Q3667">
        <v>0.15095420000000001</v>
      </c>
      <c r="R3667">
        <v>2.8868459999999999E-2</v>
      </c>
      <c r="S3667">
        <v>-3.067688</v>
      </c>
      <c r="T3667">
        <v>-0.1894914</v>
      </c>
      <c r="U3667">
        <v>-6.9000240000000004E-2</v>
      </c>
      <c r="V3667">
        <v>2.8418889999999999E-2</v>
      </c>
      <c r="W3667">
        <v>0.1643076</v>
      </c>
      <c r="X3667">
        <v>0.98599970000000003</v>
      </c>
      <c r="Y3667">
        <v>-2.2781429999999998E-2</v>
      </c>
      <c r="Z3667">
        <v>-7.2374339999999905E-4</v>
      </c>
      <c r="AA3667">
        <v>0.99974019999999997</v>
      </c>
      <c r="AB3667">
        <v>32</v>
      </c>
      <c r="AC3667">
        <v>-17.627099999999899</v>
      </c>
      <c r="AD3667">
        <v>-1.109259807843</v>
      </c>
      <c r="AE3667">
        <v>-0.40370000000001399</v>
      </c>
      <c r="AF3667">
        <v>-0.40805443746903503</v>
      </c>
      <c r="AG3667">
        <v>-1.109259807843</v>
      </c>
      <c r="AH3667">
        <v>17.557469601348199</v>
      </c>
      <c r="AI3667">
        <v>93.6141002498223</v>
      </c>
      <c r="AJ3667">
        <v>91.331375731250901</v>
      </c>
      <c r="AK3667">
        <v>17.597207293985601</v>
      </c>
      <c r="AL3667">
        <v>80.542986222463</v>
      </c>
      <c r="AM3667">
        <v>88.349054475809993</v>
      </c>
      <c r="AN3667">
        <v>1.0000000145633401</v>
      </c>
    </row>
    <row r="3668" spans="1:40" x14ac:dyDescent="0.25">
      <c r="A3668" t="str">
        <f>"20190312164544843"</f>
        <v>20190312164544843</v>
      </c>
      <c r="B3668" t="str">
        <f>"1552380344834992"</f>
        <v>1552380344834992</v>
      </c>
      <c r="C3668" t="s">
        <v>40</v>
      </c>
      <c r="D3668">
        <v>4.6724930000000002</v>
      </c>
      <c r="E3668">
        <v>0.48735339999999999</v>
      </c>
      <c r="F3668" t="s">
        <v>42</v>
      </c>
      <c r="G3668">
        <v>-349.23410000000001</v>
      </c>
      <c r="H3668" s="1">
        <v>-4.4031520000000002E-7</v>
      </c>
      <c r="I3668">
        <v>140.1028</v>
      </c>
      <c r="J3668">
        <v>-277.30540000000002</v>
      </c>
      <c r="K3668">
        <v>1.1092489999999999</v>
      </c>
      <c r="L3668">
        <v>141.1069</v>
      </c>
      <c r="M3668">
        <v>-0.99990840000000003</v>
      </c>
      <c r="N3668">
        <v>0</v>
      </c>
      <c r="O3668" s="1">
        <v>-1.8243190000000001E-5</v>
      </c>
      <c r="P3668">
        <v>-0.98822469999999996</v>
      </c>
      <c r="Q3668">
        <v>0.15030650000000001</v>
      </c>
      <c r="R3668">
        <v>2.8636849999999998E-2</v>
      </c>
      <c r="S3668">
        <v>-3.0444339999999999</v>
      </c>
      <c r="T3668">
        <v>-4.6732900000000001E-2</v>
      </c>
      <c r="U3668">
        <v>-4.2312620000000002E-2</v>
      </c>
      <c r="V3668">
        <v>2.8540840000000001E-2</v>
      </c>
      <c r="W3668">
        <v>0.16369139999999999</v>
      </c>
      <c r="X3668">
        <v>0.98609860000000005</v>
      </c>
      <c r="Y3668">
        <v>-1.387714E-2</v>
      </c>
      <c r="Z3668">
        <v>-1.062175E-4</v>
      </c>
      <c r="AA3668">
        <v>0.99990369999999995</v>
      </c>
      <c r="AB3668">
        <v>32</v>
      </c>
      <c r="AC3668">
        <v>-71.928699999999907</v>
      </c>
      <c r="AD3668">
        <v>-1.1092494403152</v>
      </c>
      <c r="AE3668">
        <v>-1.00409999999999</v>
      </c>
      <c r="AF3668">
        <v>-1.00254928776969</v>
      </c>
      <c r="AG3668">
        <v>-1.1092494403152</v>
      </c>
      <c r="AH3668">
        <v>71.911619396393405</v>
      </c>
      <c r="AI3668">
        <v>90.883641585074002</v>
      </c>
      <c r="AJ3668">
        <v>90.7987321428499</v>
      </c>
      <c r="AK3668">
        <v>71.927161375985094</v>
      </c>
      <c r="AL3668">
        <v>80.5787758666945</v>
      </c>
      <c r="AM3668">
        <v>88.342140148249698</v>
      </c>
      <c r="AN3668">
        <v>0.99999995145191101</v>
      </c>
    </row>
    <row r="3669" spans="1:40" x14ac:dyDescent="0.25">
      <c r="A3669" t="str">
        <f>"20190312164544866"</f>
        <v>20190312164544866</v>
      </c>
      <c r="B3669" t="str">
        <f>"1552380344855489"</f>
        <v>1552380344855489</v>
      </c>
      <c r="C3669" t="s">
        <v>40</v>
      </c>
      <c r="D3669">
        <v>4.7250880000000004</v>
      </c>
      <c r="E3669">
        <v>0.48538419999999999</v>
      </c>
      <c r="F3669" t="s">
        <v>42</v>
      </c>
      <c r="G3669">
        <v>-344.53710000000001</v>
      </c>
      <c r="H3669" s="1">
        <v>-2.4719859999999998E-6</v>
      </c>
      <c r="I3669">
        <v>140.16540000000001</v>
      </c>
      <c r="J3669">
        <v>-277.62529999999998</v>
      </c>
      <c r="K3669">
        <v>1.1092519999999999</v>
      </c>
      <c r="L3669">
        <v>141.10659999999999</v>
      </c>
      <c r="M3669">
        <v>-0.99990800000000002</v>
      </c>
      <c r="N3669">
        <v>0</v>
      </c>
      <c r="O3669">
        <v>-3.6064860000000002E-4</v>
      </c>
      <c r="P3669">
        <v>-0.98829259999999997</v>
      </c>
      <c r="Q3669">
        <v>0.1498794</v>
      </c>
      <c r="R3669">
        <v>2.8533059999999999E-2</v>
      </c>
      <c r="S3669">
        <v>-3.0446170000000001</v>
      </c>
      <c r="T3669">
        <v>-5.0233010000000002E-2</v>
      </c>
      <c r="U3669">
        <v>-4.263306E-2</v>
      </c>
      <c r="V3669">
        <v>2.8775889999999998E-2</v>
      </c>
      <c r="W3669">
        <v>0.16329060000000001</v>
      </c>
      <c r="X3669">
        <v>0.98615830000000004</v>
      </c>
      <c r="Y3669">
        <v>-1.363894E-2</v>
      </c>
      <c r="Z3669">
        <v>-1.065508E-4</v>
      </c>
      <c r="AA3669">
        <v>0.99990699999999999</v>
      </c>
      <c r="AB3669">
        <v>32</v>
      </c>
      <c r="AC3669">
        <v>-66.911799999999999</v>
      </c>
      <c r="AD3669">
        <v>-1.109254471986</v>
      </c>
      <c r="AE3669">
        <v>-0.94119999999998005</v>
      </c>
      <c r="AF3669">
        <v>-0.91681415901789498</v>
      </c>
      <c r="AG3669">
        <v>-1.109254471986</v>
      </c>
      <c r="AH3669">
        <v>66.893754651773307</v>
      </c>
      <c r="AI3669">
        <v>90.9499213919363</v>
      </c>
      <c r="AJ3669">
        <v>90.785219688679206</v>
      </c>
      <c r="AK3669">
        <v>66.909232584879007</v>
      </c>
      <c r="AL3669">
        <v>80.602053983720197</v>
      </c>
      <c r="AM3669">
        <v>88.328595578327693</v>
      </c>
      <c r="AN3669">
        <v>1.0000000322762701</v>
      </c>
    </row>
    <row r="3670" spans="1:40" x14ac:dyDescent="0.25">
      <c r="A3670" t="str">
        <f>"20190312164544886"</f>
        <v>20190312164544886</v>
      </c>
      <c r="B3670" t="str">
        <f>"1552380344875009"</f>
        <v>1552380344875009</v>
      </c>
      <c r="C3670" t="s">
        <v>40</v>
      </c>
      <c r="D3670">
        <v>4.8168449999999998</v>
      </c>
      <c r="E3670">
        <v>0.4839444</v>
      </c>
      <c r="F3670" t="s">
        <v>42</v>
      </c>
      <c r="G3670">
        <v>-340.73099999999999</v>
      </c>
      <c r="H3670" s="1">
        <v>-4.0317989999999999E-6</v>
      </c>
      <c r="I3670">
        <v>139.89099999999999</v>
      </c>
      <c r="J3670">
        <v>-277.93079999999998</v>
      </c>
      <c r="K3670">
        <v>1.109262</v>
      </c>
      <c r="L3670">
        <v>141.1061</v>
      </c>
      <c r="M3670">
        <v>-0.99990760000000001</v>
      </c>
      <c r="N3670">
        <v>0</v>
      </c>
      <c r="O3670">
        <v>-6.8740869999999897E-4</v>
      </c>
      <c r="P3670">
        <v>-0.98831910000000001</v>
      </c>
      <c r="Q3670">
        <v>0.14974670000000001</v>
      </c>
      <c r="R3670">
        <v>2.8312650000000002E-2</v>
      </c>
      <c r="S3670">
        <v>-3.0453190000000001</v>
      </c>
      <c r="T3670">
        <v>-5.3529979999999998E-2</v>
      </c>
      <c r="U3670">
        <v>-5.8654789999999998E-2</v>
      </c>
      <c r="V3670">
        <v>2.8878689999999999E-2</v>
      </c>
      <c r="W3670">
        <v>0.16317870000000001</v>
      </c>
      <c r="X3670">
        <v>0.98617379999999999</v>
      </c>
      <c r="Y3670">
        <v>-1.856696E-2</v>
      </c>
      <c r="Z3670">
        <v>-1.5107320000000001E-4</v>
      </c>
      <c r="AA3670">
        <v>0.99982760000000004</v>
      </c>
      <c r="AB3670">
        <v>32</v>
      </c>
      <c r="AC3670">
        <v>-62.800199999999997</v>
      </c>
      <c r="AD3670">
        <v>-1.109266031799</v>
      </c>
      <c r="AE3670">
        <v>-1.2151000000000001</v>
      </c>
      <c r="AF3670">
        <v>-1.17156094416817</v>
      </c>
      <c r="AG3670">
        <v>-1.109266031799</v>
      </c>
      <c r="AH3670">
        <v>62.781440263369703</v>
      </c>
      <c r="AI3670">
        <v>91.012060084081398</v>
      </c>
      <c r="AJ3670">
        <v>91.069069253056</v>
      </c>
      <c r="AK3670">
        <v>62.802167699198598</v>
      </c>
      <c r="AL3670">
        <v>80.608552384142797</v>
      </c>
      <c r="AM3670">
        <v>88.322654348219203</v>
      </c>
      <c r="AN3670">
        <v>1.0000000153381201</v>
      </c>
    </row>
    <row r="3671" spans="1:40" x14ac:dyDescent="0.25">
      <c r="A3671" t="str">
        <f>"20190312164544911"</f>
        <v>20190312164544911</v>
      </c>
      <c r="B3671" t="str">
        <f>"1552380344905265"</f>
        <v>1552380344905265</v>
      </c>
      <c r="C3671" t="s">
        <v>40</v>
      </c>
      <c r="D3671">
        <v>4.8094609999999998</v>
      </c>
      <c r="E3671">
        <v>0.48279470000000002</v>
      </c>
      <c r="F3671" t="s">
        <v>42</v>
      </c>
      <c r="G3671">
        <v>-338.26620000000003</v>
      </c>
      <c r="H3671" s="1">
        <v>-8.2062729999999996E-7</v>
      </c>
      <c r="I3671">
        <v>139.69370000000001</v>
      </c>
      <c r="J3671">
        <v>-278.26440000000002</v>
      </c>
      <c r="K3671">
        <v>1.10927</v>
      </c>
      <c r="L3671">
        <v>141.10550000000001</v>
      </c>
      <c r="M3671">
        <v>-0.99990699999999999</v>
      </c>
      <c r="N3671">
        <v>0</v>
      </c>
      <c r="O3671">
        <v>-1.0432379999999999E-3</v>
      </c>
      <c r="P3671">
        <v>-0.98838530000000002</v>
      </c>
      <c r="Q3671">
        <v>0.1493951</v>
      </c>
      <c r="R3671">
        <v>2.7854400000000001E-2</v>
      </c>
      <c r="S3671">
        <v>-3.0459900000000002</v>
      </c>
      <c r="T3671">
        <v>-5.6000349999999997E-2</v>
      </c>
      <c r="U3671">
        <v>-7.1304320000000004E-2</v>
      </c>
      <c r="V3671">
        <v>2.877269E-2</v>
      </c>
      <c r="W3671">
        <v>0.16284650000000001</v>
      </c>
      <c r="X3671">
        <v>0.98623179999999999</v>
      </c>
      <c r="Y3671">
        <v>-2.235618E-2</v>
      </c>
      <c r="Z3671">
        <v>-1.862857E-4</v>
      </c>
      <c r="AA3671">
        <v>0.99975009999999997</v>
      </c>
      <c r="AB3671">
        <v>32</v>
      </c>
      <c r="AC3671">
        <v>-60.001800000000003</v>
      </c>
      <c r="AD3671">
        <v>-1.1092708206273001</v>
      </c>
      <c r="AE3671">
        <v>-1.41179999999999</v>
      </c>
      <c r="AF3671">
        <v>-1.3487365697620599</v>
      </c>
      <c r="AG3671">
        <v>-1.1092708206273001</v>
      </c>
      <c r="AH3671">
        <v>59.9827507624343</v>
      </c>
      <c r="AI3671">
        <v>91.059191790083602</v>
      </c>
      <c r="AJ3671">
        <v>91.288101871294998</v>
      </c>
      <c r="AK3671">
        <v>60.008165786969499</v>
      </c>
      <c r="AL3671">
        <v>80.627844007149704</v>
      </c>
      <c r="AM3671">
        <v>88.328905818888003</v>
      </c>
      <c r="AN3671">
        <v>1.0000000067916599</v>
      </c>
    </row>
    <row r="3672" spans="1:40" x14ac:dyDescent="0.25">
      <c r="A3672" t="str">
        <f>"20190312164544933"</f>
        <v>20190312164544933</v>
      </c>
      <c r="B3672" t="str">
        <f>"1552380344925760"</f>
        <v>1552380344925760</v>
      </c>
      <c r="C3672" t="s">
        <v>40</v>
      </c>
      <c r="D3672">
        <v>4.8292010000000003</v>
      </c>
      <c r="E3672">
        <v>0.48236899999999999</v>
      </c>
      <c r="F3672" t="s">
        <v>42</v>
      </c>
      <c r="G3672">
        <v>-343.7063</v>
      </c>
      <c r="H3672" s="1">
        <v>-2.728814E-6</v>
      </c>
      <c r="I3672">
        <v>139.35409999999999</v>
      </c>
      <c r="J3672">
        <v>-278.59829999999999</v>
      </c>
      <c r="K3672">
        <v>1.109273</v>
      </c>
      <c r="L3672">
        <v>141.10470000000001</v>
      </c>
      <c r="M3672">
        <v>-0.99990639999999997</v>
      </c>
      <c r="N3672">
        <v>0</v>
      </c>
      <c r="O3672">
        <v>-1.3937579999999999E-3</v>
      </c>
      <c r="P3672">
        <v>-0.98843510000000001</v>
      </c>
      <c r="Q3672">
        <v>0.14926710000000001</v>
      </c>
      <c r="R3672">
        <v>2.6750280000000001E-2</v>
      </c>
      <c r="S3672">
        <v>-3.0453489999999999</v>
      </c>
      <c r="T3672">
        <v>-5.1620239999999998E-2</v>
      </c>
      <c r="U3672">
        <v>-8.1497189999999997E-2</v>
      </c>
      <c r="V3672">
        <v>2.80165E-2</v>
      </c>
      <c r="W3672">
        <v>0.16273460000000001</v>
      </c>
      <c r="X3672">
        <v>0.98627200000000004</v>
      </c>
      <c r="Y3672">
        <v>-2.5354769999999999E-2</v>
      </c>
      <c r="Z3672">
        <v>-1.9121319999999999E-4</v>
      </c>
      <c r="AA3672">
        <v>0.99967850000000003</v>
      </c>
      <c r="AB3672">
        <v>32</v>
      </c>
      <c r="AC3672">
        <v>-65.108000000000004</v>
      </c>
      <c r="AD3672">
        <v>-1.1092757288140001</v>
      </c>
      <c r="AE3672">
        <v>-1.7506000000000199</v>
      </c>
      <c r="AF3672">
        <v>-1.6593637725516599</v>
      </c>
      <c r="AG3672">
        <v>-1.1092757288140001</v>
      </c>
      <c r="AH3672">
        <v>65.091496075160293</v>
      </c>
      <c r="AI3672">
        <v>90.976011207709604</v>
      </c>
      <c r="AJ3672">
        <v>91.460312926409202</v>
      </c>
      <c r="AK3672">
        <v>65.122091812800406</v>
      </c>
      <c r="AL3672">
        <v>80.634341700881507</v>
      </c>
      <c r="AM3672">
        <v>88.372867070656895</v>
      </c>
      <c r="AN3672">
        <v>0.99999996614670394</v>
      </c>
    </row>
    <row r="3673" spans="1:40" x14ac:dyDescent="0.25">
      <c r="A3673" t="str">
        <f>"20190312164544956"</f>
        <v>20190312164544956</v>
      </c>
      <c r="B3673" t="str">
        <f>"1552380344945281"</f>
        <v>1552380344945281</v>
      </c>
      <c r="C3673" t="s">
        <v>40</v>
      </c>
      <c r="D3673">
        <v>4.7199920000000004</v>
      </c>
      <c r="E3673">
        <v>0.48217589999999999</v>
      </c>
      <c r="F3673" t="s">
        <v>42</v>
      </c>
      <c r="G3673">
        <v>-346.46069999999997</v>
      </c>
      <c r="H3673" s="1">
        <v>-1.583317E-6</v>
      </c>
      <c r="I3673">
        <v>139.15029999999999</v>
      </c>
      <c r="J3673">
        <v>-278.93419999999998</v>
      </c>
      <c r="K3673">
        <v>1.1092690000000001</v>
      </c>
      <c r="L3673">
        <v>141.10390000000001</v>
      </c>
      <c r="M3673">
        <v>-0.9999055</v>
      </c>
      <c r="N3673">
        <v>0</v>
      </c>
      <c r="O3673">
        <v>-1.73776799999999E-3</v>
      </c>
      <c r="P3673">
        <v>-0.98840810000000001</v>
      </c>
      <c r="Q3673">
        <v>0.1496017</v>
      </c>
      <c r="R3673">
        <v>2.5862360000000001E-2</v>
      </c>
      <c r="S3673">
        <v>-3.0449830000000002</v>
      </c>
      <c r="T3673">
        <v>-4.9773100000000001E-2</v>
      </c>
      <c r="U3673">
        <v>-8.7692259999999994E-2</v>
      </c>
      <c r="V3673">
        <v>2.7470830000000002E-2</v>
      </c>
      <c r="W3673">
        <v>0.1630808</v>
      </c>
      <c r="X3673">
        <v>0.98623019999999995</v>
      </c>
      <c r="Y3673">
        <v>-2.704637E-2</v>
      </c>
      <c r="Z3673">
        <v>-1.925885E-4</v>
      </c>
      <c r="AA3673">
        <v>0.99963409999999997</v>
      </c>
      <c r="AB3673">
        <v>32</v>
      </c>
      <c r="AC3673">
        <v>-67.526499999999999</v>
      </c>
      <c r="AD3673">
        <v>-1.109270583317</v>
      </c>
      <c r="AE3673">
        <v>-1.95360000000002</v>
      </c>
      <c r="AF3673">
        <v>-1.8357457794851899</v>
      </c>
      <c r="AG3673">
        <v>-1.109270583317</v>
      </c>
      <c r="AH3673">
        <v>67.511590302286294</v>
      </c>
      <c r="AI3673">
        <v>90.940984015097897</v>
      </c>
      <c r="AJ3673">
        <v>91.557578093218694</v>
      </c>
      <c r="AK3673">
        <v>67.545653220156694</v>
      </c>
      <c r="AL3673">
        <v>80.614237659664099</v>
      </c>
      <c r="AM3673">
        <v>88.404474182073102</v>
      </c>
      <c r="AN3673">
        <v>1.0000000006107801</v>
      </c>
    </row>
    <row r="3674" spans="1:40" x14ac:dyDescent="0.25">
      <c r="A3674" t="str">
        <f>"20190312164544976"</f>
        <v>20190312164544976</v>
      </c>
      <c r="B3674" t="str">
        <f>"1552380344965777"</f>
        <v>1552380344965777</v>
      </c>
      <c r="C3674" t="s">
        <v>40</v>
      </c>
      <c r="D3674">
        <v>4.873513</v>
      </c>
      <c r="E3674">
        <v>0.48198540000000001</v>
      </c>
      <c r="F3674" t="s">
        <v>42</v>
      </c>
      <c r="G3674">
        <v>-343.8895</v>
      </c>
      <c r="H3674" s="1">
        <v>-2.6869489999999999E-6</v>
      </c>
      <c r="I3674">
        <v>139.14689999999999</v>
      </c>
      <c r="J3674">
        <v>-279.21550000000002</v>
      </c>
      <c r="K3674">
        <v>1.1092610000000001</v>
      </c>
      <c r="L3674">
        <v>141.10310000000001</v>
      </c>
      <c r="M3674">
        <v>-0.99990500000000004</v>
      </c>
      <c r="N3674">
        <v>0</v>
      </c>
      <c r="O3674">
        <v>-2.0097959999999999E-3</v>
      </c>
      <c r="P3674">
        <v>-0.98847620000000003</v>
      </c>
      <c r="Q3674">
        <v>0.14932100000000001</v>
      </c>
      <c r="R3674">
        <v>2.4868379999999999E-2</v>
      </c>
      <c r="S3674">
        <v>-3.045471</v>
      </c>
      <c r="T3674">
        <v>-5.2008989999999998E-2</v>
      </c>
      <c r="U3674">
        <v>-9.1751100000000002E-2</v>
      </c>
      <c r="V3674">
        <v>2.675019E-2</v>
      </c>
      <c r="W3674">
        <v>0.1628098</v>
      </c>
      <c r="X3674">
        <v>0.98629480000000003</v>
      </c>
      <c r="Y3674">
        <v>-2.8100469999999999E-2</v>
      </c>
      <c r="Z3674">
        <v>-2.0555589999999999E-4</v>
      </c>
      <c r="AA3674">
        <v>0.99960510000000002</v>
      </c>
      <c r="AB3674">
        <v>32</v>
      </c>
      <c r="AC3674">
        <v>-64.673999999999893</v>
      </c>
      <c r="AD3674">
        <v>-1.109263686949</v>
      </c>
      <c r="AE3674">
        <v>-1.9562000000000199</v>
      </c>
      <c r="AF3674">
        <v>-1.8256658353464299</v>
      </c>
      <c r="AG3674">
        <v>-1.109263686949</v>
      </c>
      <c r="AH3674">
        <v>64.658797478406399</v>
      </c>
      <c r="AI3674">
        <v>90.982458442611701</v>
      </c>
      <c r="AJ3674">
        <v>91.617338502440802</v>
      </c>
      <c r="AK3674">
        <v>64.694077109292706</v>
      </c>
      <c r="AL3674">
        <v>80.629975310920699</v>
      </c>
      <c r="AM3674">
        <v>88.446410400009896</v>
      </c>
      <c r="AN3674">
        <v>1.00000001807405</v>
      </c>
    </row>
    <row r="3675" spans="1:40" x14ac:dyDescent="0.25">
      <c r="A3675" t="str">
        <f>"20190312164544998"</f>
        <v>20190312164544998</v>
      </c>
      <c r="B3675" t="str">
        <f>"1552380344995057"</f>
        <v>1552380344995057</v>
      </c>
      <c r="C3675" t="s">
        <v>40</v>
      </c>
      <c r="D3675">
        <v>5.0436509999999997</v>
      </c>
      <c r="E3675">
        <v>0.48176000000000002</v>
      </c>
      <c r="F3675" t="s">
        <v>42</v>
      </c>
      <c r="G3675">
        <v>-345.10660000000001</v>
      </c>
      <c r="H3675" s="1">
        <v>-2.186303E-6</v>
      </c>
      <c r="I3675">
        <v>139.02590000000001</v>
      </c>
      <c r="J3675">
        <v>-279.53840000000002</v>
      </c>
      <c r="K3675">
        <v>1.109245</v>
      </c>
      <c r="L3675">
        <v>141.10210000000001</v>
      </c>
      <c r="M3675">
        <v>-0.99990420000000002</v>
      </c>
      <c r="N3675">
        <v>0</v>
      </c>
      <c r="O3675">
        <v>-2.2914150000000002E-3</v>
      </c>
      <c r="P3675">
        <v>-0.98849169999999997</v>
      </c>
      <c r="Q3675">
        <v>0.1493766</v>
      </c>
      <c r="R3675">
        <v>2.3886930000000001E-2</v>
      </c>
      <c r="S3675">
        <v>-3.0451350000000001</v>
      </c>
      <c r="T3675">
        <v>-5.1264289999999997E-2</v>
      </c>
      <c r="U3675">
        <v>-9.5993040000000002E-2</v>
      </c>
      <c r="V3675">
        <v>2.6055169999999999E-2</v>
      </c>
      <c r="W3675">
        <v>0.16287289999999999</v>
      </c>
      <c r="X3675">
        <v>0.98630300000000004</v>
      </c>
      <c r="Y3675">
        <v>-2.9213369999999999E-2</v>
      </c>
      <c r="Z3675">
        <v>-2.072559E-4</v>
      </c>
      <c r="AA3675">
        <v>0.99957320000000005</v>
      </c>
      <c r="AB3675">
        <v>32</v>
      </c>
      <c r="AC3675">
        <v>-65.568199999999905</v>
      </c>
      <c r="AD3675">
        <v>-1.109247186303</v>
      </c>
      <c r="AE3675">
        <v>-2.0762</v>
      </c>
      <c r="AF3675">
        <v>-1.9253860969363701</v>
      </c>
      <c r="AG3675">
        <v>-1.109247186303</v>
      </c>
      <c r="AH3675">
        <v>65.554042914259398</v>
      </c>
      <c r="AI3675">
        <v>90.968997900523405</v>
      </c>
      <c r="AJ3675">
        <v>91.682349205835493</v>
      </c>
      <c r="AK3675">
        <v>65.591692182372995</v>
      </c>
      <c r="AL3675">
        <v>80.626311156251106</v>
      </c>
      <c r="AM3675">
        <v>88.486769121944803</v>
      </c>
      <c r="AN3675">
        <v>1.0000000306235599</v>
      </c>
    </row>
    <row r="3676" spans="1:40" x14ac:dyDescent="0.25">
      <c r="A3676" t="str">
        <f>"20190312164545022"</f>
        <v>20190312164545022</v>
      </c>
      <c r="B3676" t="str">
        <f>"1552380345015553"</f>
        <v>1552380345015553</v>
      </c>
      <c r="C3676" t="s">
        <v>40</v>
      </c>
      <c r="D3676">
        <v>5.0437570000000003</v>
      </c>
      <c r="E3676">
        <v>0.48164390000000001</v>
      </c>
      <c r="F3676" t="s">
        <v>42</v>
      </c>
      <c r="G3676">
        <v>-347.56970000000001</v>
      </c>
      <c r="H3676" s="1">
        <v>-1.1568789999999999E-6</v>
      </c>
      <c r="I3676">
        <v>138.8723</v>
      </c>
      <c r="J3676">
        <v>-279.88200000000001</v>
      </c>
      <c r="K3676">
        <v>1.1092169999999999</v>
      </c>
      <c r="L3676">
        <v>141.101</v>
      </c>
      <c r="M3676">
        <v>-0.9999034</v>
      </c>
      <c r="N3676">
        <v>0</v>
      </c>
      <c r="O3676">
        <v>-2.5450479999999998E-3</v>
      </c>
      <c r="P3676">
        <v>-0.98849299999999996</v>
      </c>
      <c r="Q3676">
        <v>0.14947289999999999</v>
      </c>
      <c r="R3676">
        <v>2.3223219999999999E-2</v>
      </c>
      <c r="S3676">
        <v>-3.0448</v>
      </c>
      <c r="T3676">
        <v>-4.9645300000000003E-2</v>
      </c>
      <c r="U3676">
        <v>-9.9792480000000003E-2</v>
      </c>
      <c r="V3676">
        <v>2.565537E-2</v>
      </c>
      <c r="W3676">
        <v>0.16297539999999999</v>
      </c>
      <c r="X3676">
        <v>0.98629650000000002</v>
      </c>
      <c r="Y3676">
        <v>-3.0209440000000001E-2</v>
      </c>
      <c r="Z3676">
        <v>-2.0471279999999999E-4</v>
      </c>
      <c r="AA3676">
        <v>0.99954350000000003</v>
      </c>
      <c r="AB3676">
        <v>32</v>
      </c>
      <c r="AC3676">
        <v>-67.687700000000007</v>
      </c>
      <c r="AD3676">
        <v>-1.1092181568789901</v>
      </c>
      <c r="AE3676">
        <v>-2.2286999999999999</v>
      </c>
      <c r="AF3676">
        <v>-2.0558567617171</v>
      </c>
      <c r="AG3676">
        <v>-1.1092181568789901</v>
      </c>
      <c r="AH3676">
        <v>67.674999430422702</v>
      </c>
      <c r="AI3676">
        <v>90.938581934277394</v>
      </c>
      <c r="AJ3676">
        <v>91.740017763957596</v>
      </c>
      <c r="AK3676">
        <v>67.715304472858804</v>
      </c>
      <c r="AL3676">
        <v>80.620358351498496</v>
      </c>
      <c r="AM3676">
        <v>88.509968322317107</v>
      </c>
      <c r="AN3676">
        <v>0.99999998246362298</v>
      </c>
    </row>
    <row r="3677" spans="1:40" x14ac:dyDescent="0.25">
      <c r="A3677" t="str">
        <f>"20190312164545043"</f>
        <v>20190312164545043</v>
      </c>
      <c r="B3677" t="str">
        <f>"1552380345035073"</f>
        <v>1552380345035073</v>
      </c>
      <c r="C3677" t="s">
        <v>40</v>
      </c>
      <c r="D3677">
        <v>5.0393400000000002</v>
      </c>
      <c r="E3677">
        <v>0.48159659999999899</v>
      </c>
      <c r="F3677" t="s">
        <v>42</v>
      </c>
      <c r="G3677">
        <v>-348.96660000000003</v>
      </c>
      <c r="H3677" s="1">
        <v>-5.7409659999999999E-7</v>
      </c>
      <c r="I3677">
        <v>138.77950000000001</v>
      </c>
      <c r="J3677">
        <v>-280.1943</v>
      </c>
      <c r="K3677">
        <v>1.1091839999999999</v>
      </c>
      <c r="L3677">
        <v>141.1</v>
      </c>
      <c r="M3677">
        <v>-0.99990310000000004</v>
      </c>
      <c r="N3677">
        <v>0</v>
      </c>
      <c r="O3677">
        <v>-2.7250349999999998E-3</v>
      </c>
      <c r="P3677">
        <v>-0.98851169999999999</v>
      </c>
      <c r="Q3677">
        <v>0.14940039999999999</v>
      </c>
      <c r="R3677">
        <v>2.2904239999999999E-2</v>
      </c>
      <c r="S3677">
        <v>-3.044708</v>
      </c>
      <c r="T3677">
        <v>-4.8885699999999997E-2</v>
      </c>
      <c r="U3677">
        <v>-0.1023102</v>
      </c>
      <c r="V3677">
        <v>2.5529590000000001E-2</v>
      </c>
      <c r="W3677">
        <v>0.1629072</v>
      </c>
      <c r="X3677">
        <v>0.98631100000000005</v>
      </c>
      <c r="Y3677">
        <v>-3.0856169999999999E-2</v>
      </c>
      <c r="Z3677">
        <v>-2.038854E-4</v>
      </c>
      <c r="AA3677">
        <v>0.99952379999999996</v>
      </c>
      <c r="AB3677">
        <v>32</v>
      </c>
      <c r="AC3677">
        <v>-68.772300000000001</v>
      </c>
      <c r="AD3677">
        <v>-1.1091845740966</v>
      </c>
      <c r="AE3677">
        <v>-2.32049999999998</v>
      </c>
      <c r="AF3677">
        <v>-2.1325129054687499</v>
      </c>
      <c r="AG3677">
        <v>-1.1091845740966</v>
      </c>
      <c r="AH3677">
        <v>68.7605027182735</v>
      </c>
      <c r="AI3677">
        <v>90.923721430047394</v>
      </c>
      <c r="AJ3677">
        <v>91.776380814129894</v>
      </c>
      <c r="AK3677">
        <v>68.802504574914295</v>
      </c>
      <c r="AL3677">
        <v>80.624318566966096</v>
      </c>
      <c r="AM3677">
        <v>88.517291985953804</v>
      </c>
      <c r="AN3677">
        <v>0.99999995224920202</v>
      </c>
    </row>
    <row r="3678" spans="1:40" x14ac:dyDescent="0.25">
      <c r="A3678" t="str">
        <f>"20190312164545065"</f>
        <v>20190312164545065</v>
      </c>
      <c r="B3678" t="str">
        <f>"1552380345055569"</f>
        <v>1552380345055569</v>
      </c>
      <c r="C3678" t="s">
        <v>40</v>
      </c>
      <c r="D3678">
        <v>4.8485469999999999</v>
      </c>
      <c r="E3678">
        <v>0.48162480000000002</v>
      </c>
      <c r="F3678" t="s">
        <v>42</v>
      </c>
      <c r="G3678">
        <v>-350.72789999999998</v>
      </c>
      <c r="H3678" s="1">
        <v>-4.125802E-6</v>
      </c>
      <c r="I3678">
        <v>138.6815</v>
      </c>
      <c r="J3678">
        <v>-280.49549999999999</v>
      </c>
      <c r="K3678">
        <v>1.1091439999999999</v>
      </c>
      <c r="L3678">
        <v>141.09899999999999</v>
      </c>
      <c r="M3678">
        <v>-0.99990250000000003</v>
      </c>
      <c r="N3678">
        <v>0</v>
      </c>
      <c r="O3678">
        <v>-2.8454690000000002E-3</v>
      </c>
      <c r="P3678">
        <v>-0.98855269999999995</v>
      </c>
      <c r="Q3678">
        <v>0.14916119999999999</v>
      </c>
      <c r="R3678">
        <v>2.2682549999999999E-2</v>
      </c>
      <c r="S3678">
        <v>-3.0445250000000001</v>
      </c>
      <c r="T3678">
        <v>-4.787719E-2</v>
      </c>
      <c r="U3678">
        <v>-0.1043854</v>
      </c>
      <c r="V3678">
        <v>2.5443500000000001E-2</v>
      </c>
      <c r="W3678">
        <v>0.16267100000000001</v>
      </c>
      <c r="X3678">
        <v>0.98635229999999996</v>
      </c>
      <c r="Y3678">
        <v>-3.1418389999999997E-2</v>
      </c>
      <c r="Z3678">
        <v>-2.0221519999999999E-4</v>
      </c>
      <c r="AA3678">
        <v>0.99950629999999996</v>
      </c>
      <c r="AB3678">
        <v>32</v>
      </c>
      <c r="AC3678">
        <v>-70.232399999999899</v>
      </c>
      <c r="AD3678">
        <v>-1.109148125802</v>
      </c>
      <c r="AE3678">
        <v>-2.41749999999998</v>
      </c>
      <c r="AF3678">
        <v>-2.2170751229706398</v>
      </c>
      <c r="AG3678">
        <v>-1.109148125802</v>
      </c>
      <c r="AH3678">
        <v>70.221502361054306</v>
      </c>
      <c r="AI3678">
        <v>90.904460569267599</v>
      </c>
      <c r="AJ3678">
        <v>91.808375777057194</v>
      </c>
      <c r="AK3678">
        <v>70.265247637145805</v>
      </c>
      <c r="AL3678">
        <v>80.638035648643296</v>
      </c>
      <c r="AM3678">
        <v>88.522351548390006</v>
      </c>
      <c r="AN3678">
        <v>1.0000000428242599</v>
      </c>
    </row>
    <row r="3679" spans="1:40" x14ac:dyDescent="0.25">
      <c r="A3679" t="str">
        <f>"20190312164545087"</f>
        <v>20190312164545087</v>
      </c>
      <c r="B3679" t="str">
        <f>"1552380345075102"</f>
        <v>1552380345075102</v>
      </c>
      <c r="C3679" t="s">
        <v>40</v>
      </c>
      <c r="D3679">
        <v>4.8535320000000004</v>
      </c>
      <c r="E3679">
        <v>0.48043330000000001</v>
      </c>
      <c r="F3679" t="s">
        <v>42</v>
      </c>
      <c r="G3679">
        <v>-352.00389999999999</v>
      </c>
      <c r="H3679" s="1">
        <v>-3.5868359999999998E-6</v>
      </c>
      <c r="I3679">
        <v>138.63399999999999</v>
      </c>
      <c r="J3679">
        <v>-280.81459999999998</v>
      </c>
      <c r="K3679">
        <v>1.1091089999999999</v>
      </c>
      <c r="L3679">
        <v>141.09799999999899</v>
      </c>
      <c r="M3679">
        <v>-0.99990219999999996</v>
      </c>
      <c r="N3679">
        <v>0</v>
      </c>
      <c r="O3679">
        <v>-2.9224780000000001E-3</v>
      </c>
      <c r="P3679">
        <v>-0.98858789999999996</v>
      </c>
      <c r="Q3679">
        <v>0.1489365</v>
      </c>
      <c r="R3679">
        <v>2.263064E-2</v>
      </c>
      <c r="S3679">
        <v>-3.0442809999999998</v>
      </c>
      <c r="T3679">
        <v>-4.7219039999999997E-2</v>
      </c>
      <c r="U3679">
        <v>-0.10493470000000001</v>
      </c>
      <c r="V3679">
        <v>2.5485460000000001E-2</v>
      </c>
      <c r="W3679">
        <v>0.16244900000000001</v>
      </c>
      <c r="X3679">
        <v>0.98638780000000004</v>
      </c>
      <c r="Y3679">
        <v>-3.1524400000000001E-2</v>
      </c>
      <c r="Z3679">
        <v>-1.990788E-4</v>
      </c>
      <c r="AA3679">
        <v>0.99950300000000003</v>
      </c>
      <c r="AB3679">
        <v>32</v>
      </c>
      <c r="AC3679">
        <v>-71.189300000000003</v>
      </c>
      <c r="AD3679">
        <v>-1.1091125868359999</v>
      </c>
      <c r="AE3679">
        <v>-2.4639999999999902</v>
      </c>
      <c r="AF3679">
        <v>-2.2553740622396501</v>
      </c>
      <c r="AG3679">
        <v>-1.1091125868359999</v>
      </c>
      <c r="AH3679">
        <v>71.178941065973902</v>
      </c>
      <c r="AI3679">
        <v>90.892264731686097</v>
      </c>
      <c r="AJ3679">
        <v>91.814865355937698</v>
      </c>
      <c r="AK3679">
        <v>71.223300219551007</v>
      </c>
      <c r="AL3679">
        <v>80.650926745645506</v>
      </c>
      <c r="AM3679">
        <v>88.519969020490905</v>
      </c>
      <c r="AN3679">
        <v>1.0000000391306201</v>
      </c>
    </row>
    <row r="3680" spans="1:40" x14ac:dyDescent="0.25">
      <c r="A3680" t="str">
        <f>"20190312164545112"</f>
        <v>20190312164545112</v>
      </c>
      <c r="B3680" t="str">
        <f>"1552380345105345"</f>
        <v>1552380345105345</v>
      </c>
      <c r="C3680" t="s">
        <v>40</v>
      </c>
      <c r="D3680">
        <v>4.8674629999999999</v>
      </c>
      <c r="E3680">
        <v>0.48123500000000002</v>
      </c>
      <c r="F3680" t="s">
        <v>71</v>
      </c>
      <c r="G3680">
        <v>-303.1848</v>
      </c>
      <c r="H3680" s="1">
        <v>-8.6936669999999992E-6</v>
      </c>
      <c r="I3680">
        <v>140.2209</v>
      </c>
      <c r="J3680">
        <v>-281.15219999999999</v>
      </c>
      <c r="K3680">
        <v>1.1090709999999999</v>
      </c>
      <c r="L3680">
        <v>141.09690000000001</v>
      </c>
      <c r="M3680">
        <v>-0.99990219999999996</v>
      </c>
      <c r="N3680">
        <v>0</v>
      </c>
      <c r="O3680">
        <v>-2.9583389999999999E-3</v>
      </c>
      <c r="P3680">
        <v>-0.98862150000000004</v>
      </c>
      <c r="Q3680">
        <v>0.14872170000000001</v>
      </c>
      <c r="R3680">
        <v>2.2580030000000001E-2</v>
      </c>
      <c r="S3680">
        <v>-3.0602420000000001</v>
      </c>
      <c r="T3680">
        <v>-0.151726799999999</v>
      </c>
      <c r="U3680">
        <v>-0.1199799</v>
      </c>
      <c r="V3680">
        <v>2.5485529999999999E-2</v>
      </c>
      <c r="W3680">
        <v>0.16223580000000001</v>
      </c>
      <c r="X3680">
        <v>0.98642280000000004</v>
      </c>
      <c r="Y3680">
        <v>-3.617865E-2</v>
      </c>
      <c r="Z3680">
        <v>-7.4943539999999895E-4</v>
      </c>
      <c r="AA3680">
        <v>0.99934509999999999</v>
      </c>
      <c r="AB3680">
        <v>32</v>
      </c>
      <c r="AC3680">
        <v>-22.032599999999999</v>
      </c>
      <c r="AD3680">
        <v>-1.109079693667</v>
      </c>
      <c r="AE3680">
        <v>-0.876000000000004</v>
      </c>
      <c r="AF3680">
        <v>-0.80876406206621898</v>
      </c>
      <c r="AG3680">
        <v>-1.109079693667</v>
      </c>
      <c r="AH3680">
        <v>21.9794888110473</v>
      </c>
      <c r="AI3680">
        <v>92.886730840173897</v>
      </c>
      <c r="AJ3680">
        <v>92.107322468160106</v>
      </c>
      <c r="AK3680">
        <v>22.022308813336199</v>
      </c>
      <c r="AL3680">
        <v>80.663305623457802</v>
      </c>
      <c r="AM3680">
        <v>88.5200174480172</v>
      </c>
      <c r="AN3680">
        <v>0.99999995370042905</v>
      </c>
    </row>
    <row r="3681" spans="1:40" x14ac:dyDescent="0.25">
      <c r="A3681" t="str">
        <f>"20190312164545124"</f>
        <v>20190312164545124</v>
      </c>
      <c r="B3681" t="str">
        <f>"1552380345115105"</f>
        <v>1552380345115105</v>
      </c>
      <c r="C3681" t="s">
        <v>40</v>
      </c>
      <c r="D3681">
        <v>4.8400420000000004</v>
      </c>
      <c r="E3681">
        <v>0.48135739999999999</v>
      </c>
      <c r="F3681" t="s">
        <v>42</v>
      </c>
      <c r="G3681">
        <v>-322.57889999999998</v>
      </c>
      <c r="H3681" s="1">
        <v>-3.1683170000000001E-6</v>
      </c>
      <c r="I3681">
        <v>139.60310000000001</v>
      </c>
      <c r="J3681">
        <v>-281.3569</v>
      </c>
      <c r="K3681">
        <v>1.109054</v>
      </c>
      <c r="L3681">
        <v>141.09630000000001</v>
      </c>
      <c r="M3681">
        <v>-0.99990210000000002</v>
      </c>
      <c r="N3681">
        <v>0</v>
      </c>
      <c r="O3681">
        <v>-2.9644950000000002E-3</v>
      </c>
      <c r="P3681">
        <v>-0.98860420000000004</v>
      </c>
      <c r="Q3681">
        <v>0.14882100000000001</v>
      </c>
      <c r="R3681">
        <v>2.267359E-2</v>
      </c>
      <c r="S3681">
        <v>-3.0493160000000001</v>
      </c>
      <c r="T3681">
        <v>-8.1636429999999996E-2</v>
      </c>
      <c r="U3681">
        <v>-0.10995480000000001</v>
      </c>
      <c r="V3681">
        <v>2.5591940000000001E-2</v>
      </c>
      <c r="W3681">
        <v>0.16233510000000001</v>
      </c>
      <c r="X3681">
        <v>0.98640380000000005</v>
      </c>
      <c r="Y3681">
        <v>-3.306166E-2</v>
      </c>
      <c r="Z3681">
        <v>-3.6300919999999998E-4</v>
      </c>
      <c r="AA3681">
        <v>0.99945320000000004</v>
      </c>
      <c r="AB3681">
        <v>32</v>
      </c>
      <c r="AC3681">
        <v>-41.221999999999902</v>
      </c>
      <c r="AD3681">
        <v>-1.1090571683170001</v>
      </c>
      <c r="AE3681">
        <v>-1.4932000000000001</v>
      </c>
      <c r="AF3681">
        <v>-1.3699892270374601</v>
      </c>
      <c r="AG3681">
        <v>-1.1090571683170001</v>
      </c>
      <c r="AH3681">
        <v>41.1964647647617</v>
      </c>
      <c r="AI3681">
        <v>91.541245556189395</v>
      </c>
      <c r="AJ3681">
        <v>91.904670332536099</v>
      </c>
      <c r="AK3681">
        <v>41.234155592167099</v>
      </c>
      <c r="AL3681">
        <v>80.657540573262395</v>
      </c>
      <c r="AM3681">
        <v>88.5138122135196</v>
      </c>
      <c r="AN3681">
        <v>1.0000000443696999</v>
      </c>
    </row>
    <row r="3682" spans="1:40" x14ac:dyDescent="0.25">
      <c r="A3682" t="str">
        <f>"20190312164545147"</f>
        <v>20190312164545147</v>
      </c>
      <c r="B3682" t="str">
        <f>"1552380345135600"</f>
        <v>1552380345135600</v>
      </c>
      <c r="C3682" t="s">
        <v>40</v>
      </c>
      <c r="D3682">
        <v>4.8791599999999997</v>
      </c>
      <c r="E3682">
        <v>0.48163509999999998</v>
      </c>
      <c r="F3682" t="s">
        <v>42</v>
      </c>
      <c r="G3682">
        <v>-327.51679999999999</v>
      </c>
      <c r="H3682" s="1">
        <v>-1.075857E-6</v>
      </c>
      <c r="I3682">
        <v>139.45699999999999</v>
      </c>
      <c r="J3682">
        <v>-281.65339999999998</v>
      </c>
      <c r="K3682">
        <v>1.109035</v>
      </c>
      <c r="L3682">
        <v>141.09540000000001</v>
      </c>
      <c r="M3682">
        <v>-0.99990199999999996</v>
      </c>
      <c r="N3682">
        <v>0</v>
      </c>
      <c r="O3682">
        <v>-2.9609850000000002E-3</v>
      </c>
      <c r="P3682">
        <v>-0.9886277</v>
      </c>
      <c r="Q3682">
        <v>0.14866079999999901</v>
      </c>
      <c r="R3682">
        <v>2.2700310000000001E-2</v>
      </c>
      <c r="S3682">
        <v>-3.0481259999999999</v>
      </c>
      <c r="T3682">
        <v>-7.3235510000000004E-2</v>
      </c>
      <c r="U3682">
        <v>-0.1082458</v>
      </c>
      <c r="V3682">
        <v>2.5622389999999998E-2</v>
      </c>
      <c r="W3682">
        <v>0.1621765</v>
      </c>
      <c r="X3682">
        <v>0.986429</v>
      </c>
      <c r="Y3682">
        <v>-3.252182E-2</v>
      </c>
      <c r="Z3682">
        <v>-3.1939700000000002E-4</v>
      </c>
      <c r="AA3682">
        <v>0.99947090000000005</v>
      </c>
      <c r="AB3682">
        <v>32</v>
      </c>
      <c r="AC3682">
        <v>-45.863399999999999</v>
      </c>
      <c r="AD3682">
        <v>-1.1090360758569999</v>
      </c>
      <c r="AE3682">
        <v>-1.6384000000000101</v>
      </c>
      <c r="AF3682">
        <v>-1.5017022843713499</v>
      </c>
      <c r="AG3682">
        <v>-1.1090360758569999</v>
      </c>
      <c r="AH3682">
        <v>45.841279819721301</v>
      </c>
      <c r="AI3682">
        <v>91.385141209602097</v>
      </c>
      <c r="AJ3682">
        <v>91.876266220929097</v>
      </c>
      <c r="AK3682">
        <v>45.879276435864</v>
      </c>
      <c r="AL3682">
        <v>80.666748809145602</v>
      </c>
      <c r="AM3682">
        <v>88.512082695805802</v>
      </c>
      <c r="AN3682">
        <v>0.99999994803127901</v>
      </c>
    </row>
    <row r="3683" spans="1:40" x14ac:dyDescent="0.25">
      <c r="A3683" t="str">
        <f>"20190312164545168"</f>
        <v>20190312164545168</v>
      </c>
      <c r="B3683" t="str">
        <f>"1552380345155121"</f>
        <v>1552380345155121</v>
      </c>
      <c r="C3683" t="s">
        <v>40</v>
      </c>
      <c r="D3683">
        <v>4.8956470000000003</v>
      </c>
      <c r="E3683">
        <v>0.48188320000000001</v>
      </c>
      <c r="F3683" t="s">
        <v>42</v>
      </c>
      <c r="G3683">
        <v>-336.61500000000001</v>
      </c>
      <c r="H3683" s="1">
        <v>-1.655337E-6</v>
      </c>
      <c r="I3683">
        <v>139.19489999999999</v>
      </c>
      <c r="J3683">
        <v>-281.96199999999999</v>
      </c>
      <c r="K3683">
        <v>1.10902099999999</v>
      </c>
      <c r="L3683">
        <v>141.09450000000001</v>
      </c>
      <c r="M3683">
        <v>-0.99990210000000002</v>
      </c>
      <c r="N3683">
        <v>0</v>
      </c>
      <c r="O3683">
        <v>-2.9416730000000001E-3</v>
      </c>
      <c r="P3683">
        <v>-0.98859969999999997</v>
      </c>
      <c r="Q3683">
        <v>0.1488487</v>
      </c>
      <c r="R3683">
        <v>2.2695400000000001E-2</v>
      </c>
      <c r="S3683">
        <v>-3.046173</v>
      </c>
      <c r="T3683">
        <v>-6.1466809999999997E-2</v>
      </c>
      <c r="U3683">
        <v>-0.10533140000000001</v>
      </c>
      <c r="V3683">
        <v>2.5604430000000001E-2</v>
      </c>
      <c r="W3683">
        <v>0.16236519999999999</v>
      </c>
      <c r="X3683">
        <v>0.98639849999999996</v>
      </c>
      <c r="Y3683">
        <v>-3.1611460000000001E-2</v>
      </c>
      <c r="Z3683">
        <v>-2.5946699999999999E-4</v>
      </c>
      <c r="AA3683">
        <v>0.99950019999999995</v>
      </c>
      <c r="AB3683">
        <v>32</v>
      </c>
      <c r="AC3683">
        <v>-54.652999999999999</v>
      </c>
      <c r="AD3683">
        <v>-1.10902265533699</v>
      </c>
      <c r="AE3683">
        <v>-1.8996000000000199</v>
      </c>
      <c r="AF3683">
        <v>-1.7380906527795099</v>
      </c>
      <c r="AG3683">
        <v>-1.10902265533699</v>
      </c>
      <c r="AH3683">
        <v>54.635881838014001</v>
      </c>
      <c r="AI3683">
        <v>91.162266903990499</v>
      </c>
      <c r="AJ3683">
        <v>91.822093499210496</v>
      </c>
      <c r="AK3683">
        <v>54.674770000291304</v>
      </c>
      <c r="AL3683">
        <v>80.655792580436497</v>
      </c>
      <c r="AM3683">
        <v>88.513079227888795</v>
      </c>
      <c r="AN3683">
        <v>1.0000000229044499</v>
      </c>
    </row>
    <row r="3684" spans="1:40" x14ac:dyDescent="0.25">
      <c r="A3684" t="str">
        <f>"20190312164545190"</f>
        <v>20190312164545190</v>
      </c>
      <c r="B3684" t="str">
        <f>"1552380345185377"</f>
        <v>1552380345185377</v>
      </c>
      <c r="C3684" t="s">
        <v>40</v>
      </c>
      <c r="D3684">
        <v>4.9517629999999997</v>
      </c>
      <c r="E3684">
        <v>0.4819949</v>
      </c>
      <c r="F3684" t="s">
        <v>42</v>
      </c>
      <c r="G3684">
        <v>-344.28289999999998</v>
      </c>
      <c r="H3684" s="1">
        <v>-2.545953E-6</v>
      </c>
      <c r="I3684">
        <v>138.9905</v>
      </c>
      <c r="J3684">
        <v>-282.26229999999998</v>
      </c>
      <c r="K3684">
        <v>1.1089979999999999</v>
      </c>
      <c r="L3684">
        <v>141.09360000000001</v>
      </c>
      <c r="M3684">
        <v>-0.99990210000000002</v>
      </c>
      <c r="N3684">
        <v>0</v>
      </c>
      <c r="O3684">
        <v>-2.9075749999999999E-3</v>
      </c>
      <c r="P3684">
        <v>-0.98866310000000002</v>
      </c>
      <c r="Q3684">
        <v>0.14846670000000001</v>
      </c>
      <c r="R3684">
        <v>2.242392E-2</v>
      </c>
      <c r="S3684">
        <v>-3.045105</v>
      </c>
      <c r="T3684">
        <v>-5.4188849999999997E-2</v>
      </c>
      <c r="U3684">
        <v>-0.1027985</v>
      </c>
      <c r="V3684">
        <v>2.5305279999999999E-2</v>
      </c>
      <c r="W3684">
        <v>0.16198460000000001</v>
      </c>
      <c r="X3684">
        <v>0.98646880000000003</v>
      </c>
      <c r="Y3684">
        <v>-3.0828629999999999E-2</v>
      </c>
      <c r="Z3684">
        <v>-2.2247719999999999E-4</v>
      </c>
      <c r="AA3684">
        <v>0.99952470000000004</v>
      </c>
      <c r="AB3684">
        <v>32</v>
      </c>
      <c r="AC3684">
        <v>-62.020600000000002</v>
      </c>
      <c r="AD3684">
        <v>-1.1090005459529999</v>
      </c>
      <c r="AE3684">
        <v>-2.1031000000000102</v>
      </c>
      <c r="AF3684">
        <v>-1.9221308003305799</v>
      </c>
      <c r="AG3684">
        <v>-1.1090005459529999</v>
      </c>
      <c r="AH3684">
        <v>62.006650293263199</v>
      </c>
      <c r="AI3684">
        <v>91.024144656195304</v>
      </c>
      <c r="AJ3684">
        <v>91.775530959926698</v>
      </c>
      <c r="AK3684">
        <v>62.046346787023197</v>
      </c>
      <c r="AL3684">
        <v>80.677891976365899</v>
      </c>
      <c r="AM3684">
        <v>88.530548721978107</v>
      </c>
      <c r="AN3684">
        <v>1.00000003060323</v>
      </c>
    </row>
    <row r="3685" spans="1:40" x14ac:dyDescent="0.25">
      <c r="A3685" t="str">
        <f>"20190312164545211"</f>
        <v>20190312164545211</v>
      </c>
      <c r="B3685" t="str">
        <f>"1552380345204897"</f>
        <v>1552380345204897</v>
      </c>
      <c r="C3685" t="s">
        <v>40</v>
      </c>
      <c r="D3685">
        <v>5.3554760000000003</v>
      </c>
      <c r="E3685">
        <v>0.4819679</v>
      </c>
      <c r="F3685" t="s">
        <v>42</v>
      </c>
      <c r="G3685">
        <v>-352.11040000000003</v>
      </c>
      <c r="H3685" s="1">
        <v>-3.5197910000000001E-6</v>
      </c>
      <c r="I3685">
        <v>138.75460000000001</v>
      </c>
      <c r="J3685">
        <v>-282.59249999999997</v>
      </c>
      <c r="K3685">
        <v>1.1089800000000001</v>
      </c>
      <c r="L3685">
        <v>141.09270000000001</v>
      </c>
      <c r="M3685">
        <v>-0.99990239999999997</v>
      </c>
      <c r="N3685">
        <v>0</v>
      </c>
      <c r="O3685">
        <v>-2.8518139999999998E-3</v>
      </c>
      <c r="P3685">
        <v>-0.98871770000000003</v>
      </c>
      <c r="Q3685">
        <v>0.14815410000000001</v>
      </c>
      <c r="R3685">
        <v>2.2089950000000001E-2</v>
      </c>
      <c r="S3685">
        <v>-3.0439759999999998</v>
      </c>
      <c r="T3685">
        <v>-4.8330310000000001E-2</v>
      </c>
      <c r="U3685">
        <v>-0.1019287</v>
      </c>
      <c r="V3685">
        <v>2.492434E-2</v>
      </c>
      <c r="W3685">
        <v>0.1616726</v>
      </c>
      <c r="X3685">
        <v>0.98652960000000001</v>
      </c>
      <c r="Y3685">
        <v>-3.0612520000000001E-2</v>
      </c>
      <c r="Z3685">
        <v>-1.9767219999999999E-4</v>
      </c>
      <c r="AA3685">
        <v>0.99953130000000001</v>
      </c>
      <c r="AB3685">
        <v>32</v>
      </c>
      <c r="AC3685">
        <v>-69.517899999999997</v>
      </c>
      <c r="AD3685">
        <v>-1.1089835197909901</v>
      </c>
      <c r="AE3685">
        <v>-2.3380999999999901</v>
      </c>
      <c r="AF3685">
        <v>-2.1392760332454901</v>
      </c>
      <c r="AG3685">
        <v>-1.1089835197909901</v>
      </c>
      <c r="AH3685">
        <v>69.506617517471298</v>
      </c>
      <c r="AI3685">
        <v>90.913648517649406</v>
      </c>
      <c r="AJ3685">
        <v>91.762894107638402</v>
      </c>
      <c r="AK3685">
        <v>69.548373274388197</v>
      </c>
      <c r="AL3685">
        <v>80.696006297983104</v>
      </c>
      <c r="AM3685">
        <v>88.552749192286996</v>
      </c>
      <c r="AN3685">
        <v>0.99999995199567604</v>
      </c>
    </row>
    <row r="3686" spans="1:40" x14ac:dyDescent="0.25">
      <c r="A3686" t="str">
        <f>"20190312164545235"</f>
        <v>20190312164545235</v>
      </c>
      <c r="B3686" t="str">
        <f>"1552380345225401"</f>
        <v>1552380345225401</v>
      </c>
      <c r="C3686" t="s">
        <v>40</v>
      </c>
      <c r="D3686">
        <v>5.0976189999999999</v>
      </c>
      <c r="E3686">
        <v>0.48196</v>
      </c>
      <c r="F3686" t="s">
        <v>42</v>
      </c>
      <c r="G3686">
        <v>-359.64870000000002</v>
      </c>
      <c r="H3686" s="1">
        <v>-4.0663009999999997E-7</v>
      </c>
      <c r="I3686">
        <v>138.48490000000001</v>
      </c>
      <c r="J3686">
        <v>-282.9128</v>
      </c>
      <c r="K3686">
        <v>1.1089610000000001</v>
      </c>
      <c r="L3686">
        <v>141.09180000000001</v>
      </c>
      <c r="M3686">
        <v>-0.99990250000000003</v>
      </c>
      <c r="N3686">
        <v>0</v>
      </c>
      <c r="O3686">
        <v>-2.7819870000000001E-3</v>
      </c>
      <c r="P3686">
        <v>-0.98872850000000001</v>
      </c>
      <c r="Q3686">
        <v>0.1479944</v>
      </c>
      <c r="R3686">
        <v>2.2669000000000002E-2</v>
      </c>
      <c r="S3686">
        <v>-3.043091</v>
      </c>
      <c r="T3686">
        <v>-4.37957E-2</v>
      </c>
      <c r="U3686">
        <v>-0.10298160000000001</v>
      </c>
      <c r="V3686">
        <v>2.5442429999999999E-2</v>
      </c>
      <c r="W3686">
        <v>0.16151209999999999</v>
      </c>
      <c r="X3686">
        <v>0.98654269999999999</v>
      </c>
      <c r="Y3686">
        <v>-3.1038039999999999E-2</v>
      </c>
      <c r="Z3686">
        <v>-1.8324429999999999E-4</v>
      </c>
      <c r="AA3686">
        <v>0.99951820000000002</v>
      </c>
      <c r="AB3686">
        <v>32</v>
      </c>
      <c r="AC3686">
        <v>-76.735900000000001</v>
      </c>
      <c r="AD3686">
        <v>-1.1089614066300999</v>
      </c>
      <c r="AE3686">
        <v>-2.6068999999999898</v>
      </c>
      <c r="AF3686">
        <v>-2.3928924631875801</v>
      </c>
      <c r="AG3686">
        <v>-1.1089614066300999</v>
      </c>
      <c r="AH3686">
        <v>76.726850063748799</v>
      </c>
      <c r="AI3686">
        <v>90.827656982395297</v>
      </c>
      <c r="AJ3686">
        <v>91.786313582867194</v>
      </c>
      <c r="AK3686">
        <v>76.7721645549139</v>
      </c>
      <c r="AL3686">
        <v>80.705325068887703</v>
      </c>
      <c r="AM3686">
        <v>88.522698705488807</v>
      </c>
      <c r="AN3686">
        <v>0.99999998730700201</v>
      </c>
    </row>
    <row r="3687" spans="1:40" x14ac:dyDescent="0.25">
      <c r="A3687" t="str">
        <f>"20190312164545255"</f>
        <v>20190312164545255</v>
      </c>
      <c r="B3687" t="str">
        <f>"1552380345245889"</f>
        <v>1552380345245889</v>
      </c>
      <c r="C3687" t="s">
        <v>40</v>
      </c>
      <c r="D3687">
        <v>5.2534939999999999</v>
      </c>
      <c r="E3687">
        <v>0.48196460000000002</v>
      </c>
      <c r="F3687" t="s">
        <v>42</v>
      </c>
      <c r="G3687">
        <v>-367.42559999999997</v>
      </c>
      <c r="H3687" s="1">
        <v>-1.323466E-6</v>
      </c>
      <c r="I3687">
        <v>138.28149999999999</v>
      </c>
      <c r="J3687">
        <v>-283.20549999999997</v>
      </c>
      <c r="K3687">
        <v>1.108946</v>
      </c>
      <c r="L3687">
        <v>141.09110000000001</v>
      </c>
      <c r="M3687">
        <v>-0.99990270000000003</v>
      </c>
      <c r="N3687">
        <v>0</v>
      </c>
      <c r="O3687">
        <v>-2.699187E-3</v>
      </c>
      <c r="P3687">
        <v>-0.98875000000000002</v>
      </c>
      <c r="Q3687">
        <v>0.14782609999999999</v>
      </c>
      <c r="R3687">
        <v>2.2826599999999999E-2</v>
      </c>
      <c r="S3687">
        <v>-3.0424190000000002</v>
      </c>
      <c r="T3687">
        <v>-3.9922119999999998E-2</v>
      </c>
      <c r="U3687">
        <v>-0.1011658</v>
      </c>
      <c r="V3687">
        <v>2.552569E-2</v>
      </c>
      <c r="W3687">
        <v>0.16134370000000001</v>
      </c>
      <c r="X3687">
        <v>0.98656809999999995</v>
      </c>
      <c r="Y3687">
        <v>-3.053293E-2</v>
      </c>
      <c r="Z3687">
        <v>-1.64850099999999E-4</v>
      </c>
      <c r="AA3687">
        <v>0.99953380000000003</v>
      </c>
      <c r="AB3687">
        <v>32</v>
      </c>
      <c r="AC3687">
        <v>-84.220100000000002</v>
      </c>
      <c r="AD3687">
        <v>-1.1089473234659999</v>
      </c>
      <c r="AE3687">
        <v>-2.8096000000000099</v>
      </c>
      <c r="AF3687">
        <v>-2.58179554639942</v>
      </c>
      <c r="AG3687">
        <v>-1.1089473234659999</v>
      </c>
      <c r="AH3687">
        <v>84.212793198969095</v>
      </c>
      <c r="AI3687">
        <v>90.754095580782405</v>
      </c>
      <c r="AJ3687">
        <v>91.756023794416393</v>
      </c>
      <c r="AK3687">
        <v>84.259658026732893</v>
      </c>
      <c r="AL3687">
        <v>80.715101867466601</v>
      </c>
      <c r="AM3687">
        <v>88.517904552042907</v>
      </c>
      <c r="AN3687">
        <v>0.99999998315863703</v>
      </c>
    </row>
    <row r="3688" spans="1:40" x14ac:dyDescent="0.25">
      <c r="A3688" t="str">
        <f>"20190312164545267"</f>
        <v>20190312164545267</v>
      </c>
      <c r="B3688" t="str">
        <f>"1552380345255650"</f>
        <v>1552380345255650</v>
      </c>
      <c r="C3688" t="s">
        <v>40</v>
      </c>
      <c r="D3688">
        <v>5.0460719999999997</v>
      </c>
      <c r="E3688">
        <v>0.48200569999999998</v>
      </c>
      <c r="F3688" t="s">
        <v>42</v>
      </c>
      <c r="G3688">
        <v>-370.55009999999999</v>
      </c>
      <c r="H3688" s="1">
        <v>-4.286417E-6</v>
      </c>
      <c r="I3688">
        <v>138.20609999999999</v>
      </c>
      <c r="J3688">
        <v>-283.38150000000002</v>
      </c>
      <c r="K3688">
        <v>1.1089340000000001</v>
      </c>
      <c r="L3688">
        <v>141.09059999999999</v>
      </c>
      <c r="M3688">
        <v>-0.99990279999999998</v>
      </c>
      <c r="N3688">
        <v>0</v>
      </c>
      <c r="O3688">
        <v>-2.640108E-3</v>
      </c>
      <c r="P3688">
        <v>-0.98877150000000003</v>
      </c>
      <c r="Q3688">
        <v>0.14769930000000001</v>
      </c>
      <c r="R3688">
        <v>2.2715619999999999E-2</v>
      </c>
      <c r="S3688">
        <v>-3.0421749999999999</v>
      </c>
      <c r="T3688">
        <v>-3.8624289999999999E-2</v>
      </c>
      <c r="U3688">
        <v>-0.1004791</v>
      </c>
      <c r="V3688">
        <v>2.5361069999999999E-2</v>
      </c>
      <c r="W3688">
        <v>0.1612161</v>
      </c>
      <c r="X3688">
        <v>0.98659319999999895</v>
      </c>
      <c r="Y3688">
        <v>-3.0369449999999999E-2</v>
      </c>
      <c r="Z3688">
        <v>-1.5921729999999901E-4</v>
      </c>
      <c r="AA3688">
        <v>0.9995387</v>
      </c>
      <c r="AB3688">
        <v>32</v>
      </c>
      <c r="AC3688">
        <v>-87.168599999999898</v>
      </c>
      <c r="AD3688">
        <v>-1.1089382864170001</v>
      </c>
      <c r="AE3688">
        <v>-2.8845000000000001</v>
      </c>
      <c r="AF3688">
        <v>-2.65390481139071</v>
      </c>
      <c r="AG3688">
        <v>-1.1089382864170001</v>
      </c>
      <c r="AH3688">
        <v>87.161821134666894</v>
      </c>
      <c r="AI3688">
        <v>90.7285830862604</v>
      </c>
      <c r="AJ3688">
        <v>91.744004188217005</v>
      </c>
      <c r="AK3688">
        <v>87.209265668176897</v>
      </c>
      <c r="AL3688">
        <v>80.7225097449993</v>
      </c>
      <c r="AM3688">
        <v>88.527496090203798</v>
      </c>
      <c r="AN3688">
        <v>0.99999997852849698</v>
      </c>
    </row>
    <row r="3689" spans="1:40" x14ac:dyDescent="0.25">
      <c r="A3689" t="str">
        <f>"20190312164545281"</f>
        <v>20190312164545281</v>
      </c>
      <c r="B3689" t="str">
        <f>"1552380345275169"</f>
        <v>1552380345275169</v>
      </c>
      <c r="C3689" t="s">
        <v>40</v>
      </c>
      <c r="D3689">
        <v>5.0113640000000004</v>
      </c>
      <c r="E3689">
        <v>0.47871849999999999</v>
      </c>
      <c r="F3689" t="s">
        <v>42</v>
      </c>
      <c r="G3689">
        <v>-372.15870000000001</v>
      </c>
      <c r="H3689" s="1">
        <v>-3.603957E-6</v>
      </c>
      <c r="I3689">
        <v>138.16309999999999</v>
      </c>
      <c r="J3689">
        <v>-283.57049999999998</v>
      </c>
      <c r="K3689">
        <v>1.1089180000000001</v>
      </c>
      <c r="L3689">
        <v>141.09020000000001</v>
      </c>
      <c r="M3689">
        <v>-0.99990310000000004</v>
      </c>
      <c r="N3689">
        <v>0</v>
      </c>
      <c r="O3689">
        <v>-2.559768E-3</v>
      </c>
      <c r="P3689">
        <v>-0.98877369999999998</v>
      </c>
      <c r="Q3689">
        <v>0.14769070000000001</v>
      </c>
      <c r="R3689">
        <v>2.2680579999999999E-2</v>
      </c>
      <c r="S3689">
        <v>-3.0420530000000001</v>
      </c>
      <c r="T3689">
        <v>-3.7999030000000003E-2</v>
      </c>
      <c r="U3689">
        <v>-0.10031130000000001</v>
      </c>
      <c r="V3689">
        <v>2.525202E-2</v>
      </c>
      <c r="W3689">
        <v>0.16120670000000001</v>
      </c>
      <c r="X3689">
        <v>0.98659750000000002</v>
      </c>
      <c r="Y3689">
        <v>-3.0396059999999999E-2</v>
      </c>
      <c r="Z3689">
        <v>-1.5781589999999999E-4</v>
      </c>
      <c r="AA3689">
        <v>0.99953789999999998</v>
      </c>
      <c r="AB3689">
        <v>32</v>
      </c>
      <c r="AC3689">
        <v>-88.588200000000001</v>
      </c>
      <c r="AD3689">
        <v>-1.108921603957</v>
      </c>
      <c r="AE3689">
        <v>-2.9271000000000198</v>
      </c>
      <c r="AF3689">
        <v>-2.69988134485589</v>
      </c>
      <c r="AG3689">
        <v>-1.108921603957</v>
      </c>
      <c r="AH3689">
        <v>88.581538129766699</v>
      </c>
      <c r="AI3689">
        <v>90.7168956828841</v>
      </c>
      <c r="AJ3689">
        <v>91.745780607428003</v>
      </c>
      <c r="AK3689">
        <v>88.629611100553404</v>
      </c>
      <c r="AL3689">
        <v>80.723055157300806</v>
      </c>
      <c r="AM3689">
        <v>88.533831323730396</v>
      </c>
      <c r="AN3689">
        <v>0.99999994582260798</v>
      </c>
    </row>
    <row r="3690" spans="1:40" x14ac:dyDescent="0.25">
      <c r="A3690" t="str">
        <f>"20190312164545294"</f>
        <v>20190312164545294</v>
      </c>
      <c r="B3690" t="str">
        <f>"1552380345284930"</f>
        <v>1552380345284930</v>
      </c>
      <c r="C3690" t="s">
        <v>40</v>
      </c>
      <c r="D3690">
        <v>5.2091500000000002</v>
      </c>
      <c r="E3690">
        <v>0.48000739999999997</v>
      </c>
      <c r="F3690" t="s">
        <v>71</v>
      </c>
      <c r="G3690">
        <v>-302.4366</v>
      </c>
      <c r="H3690" s="1">
        <v>-8.6003889999999998E-6</v>
      </c>
      <c r="I3690">
        <v>140.26859999999999</v>
      </c>
      <c r="J3690">
        <v>-283.76260000000002</v>
      </c>
      <c r="K3690">
        <v>1.1089</v>
      </c>
      <c r="L3690">
        <v>141.0898</v>
      </c>
      <c r="M3690">
        <v>-0.99990330000000005</v>
      </c>
      <c r="N3690">
        <v>0</v>
      </c>
      <c r="O3690">
        <v>-2.4659230000000001E-3</v>
      </c>
      <c r="P3690">
        <v>-0.98882000000000003</v>
      </c>
      <c r="Q3690">
        <v>0.1473286</v>
      </c>
      <c r="R3690">
        <v>2.3010719999999998E-2</v>
      </c>
      <c r="S3690">
        <v>-3.0639949999999998</v>
      </c>
      <c r="T3690">
        <v>-0.1800976</v>
      </c>
      <c r="U3690">
        <v>-0.1334381</v>
      </c>
      <c r="V3690">
        <v>2.5495940000000002E-2</v>
      </c>
      <c r="W3690">
        <v>0.16084379999999901</v>
      </c>
      <c r="X3690">
        <v>0.98665049999999999</v>
      </c>
      <c r="Y3690">
        <v>-4.0978830000000001E-2</v>
      </c>
      <c r="Z3690">
        <v>-1.0579719999999999E-3</v>
      </c>
      <c r="AA3690">
        <v>0.99915949999999998</v>
      </c>
      <c r="AB3690">
        <v>32</v>
      </c>
      <c r="AC3690">
        <v>-18.6739999999999</v>
      </c>
      <c r="AD3690">
        <v>-1.1089086003890001</v>
      </c>
      <c r="AE3690">
        <v>-0.82120000000000404</v>
      </c>
      <c r="AF3690">
        <v>-0.77242601021566504</v>
      </c>
      <c r="AG3690">
        <v>-1.1089086003890001</v>
      </c>
      <c r="AH3690">
        <v>18.610469358206899</v>
      </c>
      <c r="AI3690">
        <v>93.407022541517605</v>
      </c>
      <c r="AJ3690">
        <v>92.376692530930796</v>
      </c>
      <c r="AK3690">
        <v>18.659471856353001</v>
      </c>
      <c r="AL3690">
        <v>80.744123135638105</v>
      </c>
      <c r="AM3690">
        <v>88.519754731876205</v>
      </c>
      <c r="AN3690">
        <v>0.999999990052586</v>
      </c>
    </row>
    <row r="3691" spans="1:40" x14ac:dyDescent="0.25">
      <c r="A3691" t="str">
        <f>"20190312164545313"</f>
        <v>20190312164545313</v>
      </c>
      <c r="B3691" t="str">
        <f>"1552380345305425"</f>
        <v>1552380345305425</v>
      </c>
      <c r="C3691" t="s">
        <v>40</v>
      </c>
      <c r="D3691">
        <v>5.0091130000000001</v>
      </c>
      <c r="E3691">
        <v>0.48100159999999997</v>
      </c>
      <c r="F3691" t="s">
        <v>71</v>
      </c>
      <c r="G3691">
        <v>-310.76850000000002</v>
      </c>
      <c r="H3691" s="1">
        <v>-9.2915650000000002E-6</v>
      </c>
      <c r="I3691">
        <v>140.0342</v>
      </c>
      <c r="J3691">
        <v>-284.02420000000001</v>
      </c>
      <c r="K3691">
        <v>1.108878</v>
      </c>
      <c r="L3691">
        <v>141.08930000000001</v>
      </c>
      <c r="M3691">
        <v>-0.9999036</v>
      </c>
      <c r="N3691">
        <v>0</v>
      </c>
      <c r="O3691">
        <v>-2.311596E-3</v>
      </c>
      <c r="P3691">
        <v>-0.98885230000000002</v>
      </c>
      <c r="Q3691">
        <v>0.1471045</v>
      </c>
      <c r="R3691">
        <v>2.305246E-2</v>
      </c>
      <c r="S3691">
        <v>-3.0553889999999999</v>
      </c>
      <c r="T3691">
        <v>-0.1254596</v>
      </c>
      <c r="U3691">
        <v>-0.11943049999999999</v>
      </c>
      <c r="V3691">
        <v>2.539541E-2</v>
      </c>
      <c r="W3691">
        <v>0.16061839999999999</v>
      </c>
      <c r="X3691">
        <v>0.98668979999999995</v>
      </c>
      <c r="Y3691">
        <v>-3.6719559999999998E-2</v>
      </c>
      <c r="Z3691">
        <v>-6.5842949999999896E-4</v>
      </c>
      <c r="AA3691">
        <v>0.99932540000000003</v>
      </c>
      <c r="AB3691">
        <v>32</v>
      </c>
      <c r="AC3691">
        <v>-26.744299999999999</v>
      </c>
      <c r="AD3691">
        <v>-1.1088872915649901</v>
      </c>
      <c r="AE3691">
        <v>-1.0551000000000099</v>
      </c>
      <c r="AF3691">
        <v>-0.99156737019518204</v>
      </c>
      <c r="AG3691">
        <v>-1.1088872915649901</v>
      </c>
      <c r="AH3691">
        <v>26.700836466745599</v>
      </c>
      <c r="AI3691">
        <v>92.376494197765396</v>
      </c>
      <c r="AJ3691">
        <v>92.126769712759696</v>
      </c>
      <c r="AK3691">
        <v>26.7422419572279</v>
      </c>
      <c r="AL3691">
        <v>80.757207627476703</v>
      </c>
      <c r="AM3691">
        <v>88.525647429108503</v>
      </c>
      <c r="AN3691">
        <v>0.99999997934583296</v>
      </c>
    </row>
    <row r="3692" spans="1:40" x14ac:dyDescent="0.25">
      <c r="A3692" t="str">
        <f>"20190312164545334"</f>
        <v>20190312164545334</v>
      </c>
      <c r="B3692" t="str">
        <f>"1552380345324945"</f>
        <v>1552380345324945</v>
      </c>
      <c r="C3692" t="s">
        <v>40</v>
      </c>
      <c r="D3692">
        <v>5.2118330000000004</v>
      </c>
      <c r="E3692">
        <v>0.48126940000000001</v>
      </c>
      <c r="F3692" t="s">
        <v>42</v>
      </c>
      <c r="G3692">
        <v>-325.64490000000001</v>
      </c>
      <c r="H3692" s="1">
        <v>-1.8546480000000001E-6</v>
      </c>
      <c r="I3692">
        <v>139.59370000000001</v>
      </c>
      <c r="J3692">
        <v>-284.32709999999997</v>
      </c>
      <c r="K3692">
        <v>1.108843</v>
      </c>
      <c r="L3692">
        <v>141.08879999999999</v>
      </c>
      <c r="M3692">
        <v>-0.99990409999999996</v>
      </c>
      <c r="N3692">
        <v>0</v>
      </c>
      <c r="O3692">
        <v>-2.092764E-3</v>
      </c>
      <c r="P3692">
        <v>-0.98884190000000005</v>
      </c>
      <c r="Q3692">
        <v>0.14713019999999999</v>
      </c>
      <c r="R3692">
        <v>2.3336329999999999E-2</v>
      </c>
      <c r="S3692">
        <v>-3.0485229999999999</v>
      </c>
      <c r="T3692">
        <v>-8.1220269999999997E-2</v>
      </c>
      <c r="U3692">
        <v>-0.1095428</v>
      </c>
      <c r="V3692">
        <v>2.5476800000000001E-2</v>
      </c>
      <c r="W3692">
        <v>0.16064149999999999</v>
      </c>
      <c r="X3692">
        <v>0.98668400000000001</v>
      </c>
      <c r="Y3692">
        <v>-3.3806990000000002E-2</v>
      </c>
      <c r="Z3692">
        <v>-3.9439290000000001E-4</v>
      </c>
      <c r="AA3692">
        <v>0.99942830000000005</v>
      </c>
      <c r="AB3692">
        <v>32</v>
      </c>
      <c r="AC3692">
        <v>-41.317799999999998</v>
      </c>
      <c r="AD3692">
        <v>-1.1088448546480001</v>
      </c>
      <c r="AE3692">
        <v>-1.4950999999999699</v>
      </c>
      <c r="AF3692">
        <v>-1.4076077510020899</v>
      </c>
      <c r="AG3692">
        <v>-1.1088448546480001</v>
      </c>
      <c r="AH3692">
        <v>41.291138735246001</v>
      </c>
      <c r="AI3692">
        <v>91.537376046258302</v>
      </c>
      <c r="AJ3692">
        <v>91.9524470873165</v>
      </c>
      <c r="AK3692">
        <v>41.330001627700099</v>
      </c>
      <c r="AL3692">
        <v>80.755867223344694</v>
      </c>
      <c r="AM3692">
        <v>88.520915667066802</v>
      </c>
      <c r="AN3692">
        <v>1.0000000373582401</v>
      </c>
    </row>
    <row r="3693" spans="1:40" x14ac:dyDescent="0.25">
      <c r="A3693" t="str">
        <f>"20190312164545348"</f>
        <v>20190312164545348</v>
      </c>
      <c r="B3693" t="str">
        <f>"1552380345345441"</f>
        <v>1552380345345441</v>
      </c>
      <c r="C3693" t="s">
        <v>40</v>
      </c>
      <c r="D3693">
        <v>5.064279</v>
      </c>
      <c r="E3693">
        <v>0.48148170000000001</v>
      </c>
      <c r="F3693" t="s">
        <v>42</v>
      </c>
      <c r="G3693">
        <v>-338.79329999999999</v>
      </c>
      <c r="H3693" s="1">
        <v>-6.2441449999999998E-7</v>
      </c>
      <c r="I3693">
        <v>139.20179999999999</v>
      </c>
      <c r="J3693">
        <v>-284.52480000000003</v>
      </c>
      <c r="K3693">
        <v>1.108819</v>
      </c>
      <c r="L3693">
        <v>141.08850000000001</v>
      </c>
      <c r="M3693">
        <v>-0.99990449999999997</v>
      </c>
      <c r="N3693">
        <v>0</v>
      </c>
      <c r="O3693">
        <v>-1.9327649999999999E-3</v>
      </c>
      <c r="P3693">
        <v>-0.98882619999999999</v>
      </c>
      <c r="Q3693">
        <v>0.14722070000000001</v>
      </c>
      <c r="R3693">
        <v>2.343437E-2</v>
      </c>
      <c r="S3693">
        <v>-3.0455320000000001</v>
      </c>
      <c r="T3693">
        <v>-6.2002059999999998E-2</v>
      </c>
      <c r="U3693">
        <v>-0.1055145</v>
      </c>
      <c r="V3693">
        <v>2.5425759999999999E-2</v>
      </c>
      <c r="W3693">
        <v>0.1607304</v>
      </c>
      <c r="X3693">
        <v>0.98667079999999996</v>
      </c>
      <c r="Y3693">
        <v>-3.2686689999999997E-2</v>
      </c>
      <c r="Z3693">
        <v>-2.9325409999999999E-4</v>
      </c>
      <c r="AA3693">
        <v>0.99946559999999995</v>
      </c>
      <c r="AB3693">
        <v>32</v>
      </c>
      <c r="AC3693">
        <v>-54.268499999999896</v>
      </c>
      <c r="AD3693">
        <v>-1.1088196244145001</v>
      </c>
      <c r="AE3693">
        <v>-1.88670000000001</v>
      </c>
      <c r="AF3693">
        <v>-1.7810557548799499</v>
      </c>
      <c r="AG3693">
        <v>-1.1088196244145001</v>
      </c>
      <c r="AH3693">
        <v>54.249425293941897</v>
      </c>
      <c r="AI3693">
        <v>91.170291533786298</v>
      </c>
      <c r="AJ3693">
        <v>91.880394799618401</v>
      </c>
      <c r="AK3693">
        <v>54.2899786819304</v>
      </c>
      <c r="AL3693">
        <v>80.750706212688598</v>
      </c>
      <c r="AM3693">
        <v>88.523857800142395</v>
      </c>
      <c r="AN3693">
        <v>0.99999999916418802</v>
      </c>
    </row>
    <row r="3694" spans="1:40" x14ac:dyDescent="0.25">
      <c r="A3694" t="str">
        <f>"20190312164545368"</f>
        <v>20190312164545368</v>
      </c>
      <c r="B3694" t="str">
        <f>"1552380345364961"</f>
        <v>1552380345364961</v>
      </c>
      <c r="C3694" t="s">
        <v>40</v>
      </c>
      <c r="D3694">
        <v>5.2749009999999998</v>
      </c>
      <c r="E3694">
        <v>0.48157699999999998</v>
      </c>
      <c r="F3694" t="s">
        <v>42</v>
      </c>
      <c r="G3694">
        <v>-347.61799999999999</v>
      </c>
      <c r="H3694" s="1">
        <v>-1.121148E-6</v>
      </c>
      <c r="I3694">
        <v>138.95699999999999</v>
      </c>
      <c r="J3694">
        <v>-284.80439999999999</v>
      </c>
      <c r="K3694">
        <v>1.108789</v>
      </c>
      <c r="L3694">
        <v>141.0883</v>
      </c>
      <c r="M3694">
        <v>-0.99990489999999999</v>
      </c>
      <c r="N3694">
        <v>0</v>
      </c>
      <c r="O3694">
        <v>-1.6710539999999999E-3</v>
      </c>
      <c r="P3694">
        <v>-0.98883580000000004</v>
      </c>
      <c r="Q3694">
        <v>0.14710090000000001</v>
      </c>
      <c r="R3694">
        <v>2.3765979999999999E-2</v>
      </c>
      <c r="S3694">
        <v>-3.0443120000000001</v>
      </c>
      <c r="T3694">
        <v>-5.3501840000000002E-2</v>
      </c>
      <c r="U3694">
        <v>-0.1028442</v>
      </c>
      <c r="V3694">
        <v>2.5511320000000001E-2</v>
      </c>
      <c r="W3694">
        <v>0.1606081</v>
      </c>
      <c r="X3694">
        <v>0.98668849999999997</v>
      </c>
      <c r="Y3694">
        <v>-3.2088180000000001E-2</v>
      </c>
      <c r="Z3694">
        <v>-2.5250290000000002E-4</v>
      </c>
      <c r="AA3694">
        <v>0.99948499999999996</v>
      </c>
      <c r="AB3694">
        <v>32</v>
      </c>
      <c r="AC3694">
        <v>-62.813600000000001</v>
      </c>
      <c r="AD3694">
        <v>-1.108790121148</v>
      </c>
      <c r="AE3694">
        <v>-2.1313000000000102</v>
      </c>
      <c r="AF3694">
        <v>-2.02569179882699</v>
      </c>
      <c r="AG3694">
        <v>-1.108790121148</v>
      </c>
      <c r="AH3694">
        <v>62.797529201110599</v>
      </c>
      <c r="AI3694">
        <v>91.011017123342199</v>
      </c>
      <c r="AJ3694">
        <v>91.847578411511705</v>
      </c>
      <c r="AK3694">
        <v>62.839975465947802</v>
      </c>
      <c r="AL3694">
        <v>80.7578056602988</v>
      </c>
      <c r="AM3694">
        <v>88.518919213425093</v>
      </c>
      <c r="AN3694">
        <v>0.99999999263300099</v>
      </c>
    </row>
    <row r="3695" spans="1:40" x14ac:dyDescent="0.25">
      <c r="A3695" t="str">
        <f>"20190312164545391"</f>
        <v>20190312164545391</v>
      </c>
      <c r="B3695" t="str">
        <f>"1552380345385457"</f>
        <v>1552380345385457</v>
      </c>
      <c r="C3695" t="s">
        <v>40</v>
      </c>
      <c r="D3695">
        <v>5.0357450000000004</v>
      </c>
      <c r="E3695">
        <v>0.48172399999999999</v>
      </c>
      <c r="F3695" t="s">
        <v>42</v>
      </c>
      <c r="G3695">
        <v>-337.3</v>
      </c>
      <c r="H3695" s="1">
        <v>-1.3065889999999901E-6</v>
      </c>
      <c r="I3695">
        <v>139.3355</v>
      </c>
      <c r="J3695">
        <v>-285.11649999999997</v>
      </c>
      <c r="K3695">
        <v>1.108751</v>
      </c>
      <c r="L3695">
        <v>141.0881</v>
      </c>
      <c r="M3695">
        <v>-0.9999055</v>
      </c>
      <c r="N3695">
        <v>0</v>
      </c>
      <c r="O3695">
        <v>-1.326994E-3</v>
      </c>
      <c r="P3695">
        <v>-0.98890670000000003</v>
      </c>
      <c r="Q3695">
        <v>0.14647769999999999</v>
      </c>
      <c r="R3695">
        <v>2.4653810000000002E-2</v>
      </c>
      <c r="S3695">
        <v>-3.0458980000000002</v>
      </c>
      <c r="T3695">
        <v>-6.4334150000000007E-2</v>
      </c>
      <c r="U3695">
        <v>-0.10169980000000001</v>
      </c>
      <c r="V3695">
        <v>2.6074119999999999E-2</v>
      </c>
      <c r="W3695">
        <v>0.1599826</v>
      </c>
      <c r="X3695">
        <v>0.98677539999999997</v>
      </c>
      <c r="Y3695">
        <v>-3.2037259999999998E-2</v>
      </c>
      <c r="Z3695">
        <v>-3.1018689999999998E-4</v>
      </c>
      <c r="AA3695">
        <v>0.9994866</v>
      </c>
      <c r="AB3695">
        <v>32</v>
      </c>
      <c r="AC3695">
        <v>-52.183500000000002</v>
      </c>
      <c r="AD3695">
        <v>-1.1087523065889999</v>
      </c>
      <c r="AE3695">
        <v>-1.7525999999999999</v>
      </c>
      <c r="AF3695">
        <v>-1.6825860463265601</v>
      </c>
      <c r="AG3695">
        <v>-1.1087523065889999</v>
      </c>
      <c r="AH3695">
        <v>52.162258213149798</v>
      </c>
      <c r="AI3695">
        <v>91.217053401500394</v>
      </c>
      <c r="AJ3695">
        <v>91.847536261072193</v>
      </c>
      <c r="AK3695">
        <v>52.201164827769702</v>
      </c>
      <c r="AL3695">
        <v>80.794113651853095</v>
      </c>
      <c r="AM3695">
        <v>88.486393676943493</v>
      </c>
      <c r="AN3695">
        <v>0.99999999104084702</v>
      </c>
    </row>
    <row r="3696" spans="1:40" x14ac:dyDescent="0.25">
      <c r="A3696" t="str">
        <f>"20190312164545413"</f>
        <v>20190312164545413</v>
      </c>
      <c r="B3696" t="str">
        <f>"1552380345404977"</f>
        <v>1552380345404977</v>
      </c>
      <c r="C3696" t="s">
        <v>40</v>
      </c>
      <c r="D3696">
        <v>5.2551040000000002</v>
      </c>
      <c r="E3696">
        <v>0.48198099999999999</v>
      </c>
      <c r="F3696" t="s">
        <v>42</v>
      </c>
      <c r="G3696">
        <v>-342.14080000000001</v>
      </c>
      <c r="H3696" s="1">
        <v>-3.4175599999999999E-6</v>
      </c>
      <c r="I3696">
        <v>139.25739999999999</v>
      </c>
      <c r="J3696">
        <v>-285.4418</v>
      </c>
      <c r="K3696">
        <v>1.1087070000000001</v>
      </c>
      <c r="L3696">
        <v>141.0881</v>
      </c>
      <c r="M3696">
        <v>-0.99990610000000002</v>
      </c>
      <c r="N3696">
        <v>0</v>
      </c>
      <c r="O3696">
        <v>-9.0860840000000001E-4</v>
      </c>
      <c r="P3696">
        <v>-0.98895149999999998</v>
      </c>
      <c r="Q3696">
        <v>0.14603169999999999</v>
      </c>
      <c r="R3696">
        <v>2.549593E-2</v>
      </c>
      <c r="S3696">
        <v>-3.044861</v>
      </c>
      <c r="T3696">
        <v>-5.9202909999999997E-2</v>
      </c>
      <c r="U3696">
        <v>-9.7747799999999996E-2</v>
      </c>
      <c r="V3696">
        <v>2.6519339999999999E-2</v>
      </c>
      <c r="W3696">
        <v>0.15953349999999999</v>
      </c>
      <c r="X3696">
        <v>0.9868363</v>
      </c>
      <c r="Y3696">
        <v>-3.117207E-2</v>
      </c>
      <c r="Z3696">
        <v>-2.8527929999999998E-4</v>
      </c>
      <c r="AA3696">
        <v>0.99951400000000001</v>
      </c>
      <c r="AB3696">
        <v>32</v>
      </c>
      <c r="AC3696">
        <v>-56.698999999999998</v>
      </c>
      <c r="AD3696">
        <v>-1.10871041756</v>
      </c>
      <c r="AE3696">
        <v>-1.8307</v>
      </c>
      <c r="AF3696">
        <v>-1.7784979012570099</v>
      </c>
      <c r="AG3696">
        <v>-1.10871041756</v>
      </c>
      <c r="AH3696">
        <v>56.678990278736499</v>
      </c>
      <c r="AI3696">
        <v>91.120081507617499</v>
      </c>
      <c r="AJ3696">
        <v>91.797262070700896</v>
      </c>
      <c r="AK3696">
        <v>56.7177241485577</v>
      </c>
      <c r="AL3696">
        <v>80.820180505012402</v>
      </c>
      <c r="AM3696">
        <v>88.460655882552203</v>
      </c>
      <c r="AN3696">
        <v>1.0000000480069799</v>
      </c>
    </row>
    <row r="3697" spans="1:40" x14ac:dyDescent="0.25">
      <c r="A3697" t="str">
        <f>"20190312164545435"</f>
        <v>20190312164545435</v>
      </c>
      <c r="B3697" t="str">
        <f>"1552380345425476"</f>
        <v>1552380345425476</v>
      </c>
      <c r="C3697" t="s">
        <v>40</v>
      </c>
      <c r="D3697">
        <v>5.088832</v>
      </c>
      <c r="E3697">
        <v>0.48220269999999998</v>
      </c>
      <c r="F3697" t="s">
        <v>42</v>
      </c>
      <c r="G3697">
        <v>-339.65629999999999</v>
      </c>
      <c r="H3697" s="1">
        <v>-1.7680949999999999E-7</v>
      </c>
      <c r="I3697">
        <v>139.4255</v>
      </c>
      <c r="J3697">
        <v>-285.7509</v>
      </c>
      <c r="K3697">
        <v>1.108671</v>
      </c>
      <c r="L3697">
        <v>141.0882</v>
      </c>
      <c r="M3697">
        <v>-0.99990619999999997</v>
      </c>
      <c r="N3697">
        <v>0</v>
      </c>
      <c r="O3697">
        <v>-4.7027400000000002E-4</v>
      </c>
      <c r="P3697">
        <v>-0.98897000000000002</v>
      </c>
      <c r="Q3697">
        <v>0.14578559999999999</v>
      </c>
      <c r="R3697">
        <v>2.6170180000000001E-2</v>
      </c>
      <c r="S3697">
        <v>-3.045166</v>
      </c>
      <c r="T3697">
        <v>-6.2274929999999999E-2</v>
      </c>
      <c r="U3697">
        <v>-9.3383789999999994E-2</v>
      </c>
      <c r="V3697">
        <v>2.6775E-2</v>
      </c>
      <c r="W3697">
        <v>0.15928399999999901</v>
      </c>
      <c r="X3697">
        <v>0.98686960000000001</v>
      </c>
      <c r="Y3697">
        <v>-3.0175529999999999E-2</v>
      </c>
      <c r="Z3697">
        <v>-2.9883150000000001E-4</v>
      </c>
      <c r="AA3697">
        <v>0.99954460000000001</v>
      </c>
      <c r="AB3697">
        <v>32</v>
      </c>
      <c r="AC3697">
        <v>-53.905399999999901</v>
      </c>
      <c r="AD3697">
        <v>-1.1086711768094999</v>
      </c>
      <c r="AE3697">
        <v>-1.6627000000000001</v>
      </c>
      <c r="AF3697">
        <v>-1.6366554845557899</v>
      </c>
      <c r="AG3697">
        <v>-1.1086711768094999</v>
      </c>
      <c r="AH3697">
        <v>53.883404988492401</v>
      </c>
      <c r="AI3697">
        <v>91.178172539480201</v>
      </c>
      <c r="AJ3697">
        <v>91.739768113917506</v>
      </c>
      <c r="AK3697">
        <v>53.9196543581958</v>
      </c>
      <c r="AL3697">
        <v>80.834660064992306</v>
      </c>
      <c r="AM3697">
        <v>88.445875478665798</v>
      </c>
      <c r="AN3697">
        <v>0.99999995034257805</v>
      </c>
    </row>
    <row r="3698" spans="1:40" x14ac:dyDescent="0.25">
      <c r="A3698" t="str">
        <f>"20190312164545449"</f>
        <v>20190312164545449</v>
      </c>
      <c r="B3698" t="str">
        <f>"1552380345444994"</f>
        <v>1552380345444994</v>
      </c>
      <c r="C3698" t="s">
        <v>40</v>
      </c>
      <c r="D3698">
        <v>5.2324900000000003</v>
      </c>
      <c r="E3698">
        <v>0.4821898</v>
      </c>
      <c r="F3698" t="s">
        <v>42</v>
      </c>
      <c r="G3698">
        <v>-339.67939999999999</v>
      </c>
      <c r="H3698" s="1">
        <v>-1.530025E-7</v>
      </c>
      <c r="I3698">
        <v>139.4982</v>
      </c>
      <c r="J3698">
        <v>-285.95429999999999</v>
      </c>
      <c r="K3698">
        <v>1.1086480000000001</v>
      </c>
      <c r="L3698">
        <v>141.08850000000001</v>
      </c>
      <c r="M3698">
        <v>-0.99990630000000003</v>
      </c>
      <c r="N3698">
        <v>0</v>
      </c>
      <c r="O3698">
        <v>-1.6318659999999999E-4</v>
      </c>
      <c r="P3698">
        <v>-0.98894990000000005</v>
      </c>
      <c r="Q3698">
        <v>0.14583460000000001</v>
      </c>
      <c r="R3698">
        <v>2.6655870000000002E-2</v>
      </c>
      <c r="S3698">
        <v>-3.045105</v>
      </c>
      <c r="T3698">
        <v>-6.2601799999999999E-2</v>
      </c>
      <c r="U3698">
        <v>-8.9782710000000002E-2</v>
      </c>
      <c r="V3698">
        <v>2.696639E-2</v>
      </c>
      <c r="W3698">
        <v>0.15933059999999999</v>
      </c>
      <c r="X3698">
        <v>0.98685690000000004</v>
      </c>
      <c r="Y3698">
        <v>-2.9302189999999999E-2</v>
      </c>
      <c r="Z3698">
        <v>-2.9774849999999998E-4</v>
      </c>
      <c r="AA3698">
        <v>0.99957050000000003</v>
      </c>
      <c r="AB3698">
        <v>32</v>
      </c>
      <c r="AC3698">
        <v>-53.725099999999998</v>
      </c>
      <c r="AD3698">
        <v>-1.1086481530025001</v>
      </c>
      <c r="AE3698">
        <v>-1.59030000000001</v>
      </c>
      <c r="AF3698">
        <v>-1.58085935797488</v>
      </c>
      <c r="AG3698">
        <v>-1.1086481530025001</v>
      </c>
      <c r="AH3698">
        <v>53.702510874484602</v>
      </c>
      <c r="AI3698">
        <v>91.182148560219701</v>
      </c>
      <c r="AJ3698">
        <v>91.6861487121094</v>
      </c>
      <c r="AK3698">
        <v>53.737211420588103</v>
      </c>
      <c r="AL3698">
        <v>80.831955850478593</v>
      </c>
      <c r="AM3698">
        <v>88.434751836608697</v>
      </c>
      <c r="AN3698">
        <v>0.99999998368179999</v>
      </c>
    </row>
    <row r="3699" spans="1:40" x14ac:dyDescent="0.25">
      <c r="A3699" t="str">
        <f>"20190312164545469"</f>
        <v>20190312164545469</v>
      </c>
      <c r="B3699" t="str">
        <f>"1552380345465490"</f>
        <v>1552380345465490</v>
      </c>
      <c r="C3699" t="s">
        <v>40</v>
      </c>
      <c r="D3699">
        <v>5.1992620000000001</v>
      </c>
      <c r="E3699">
        <v>0.4822708</v>
      </c>
      <c r="F3699" t="s">
        <v>42</v>
      </c>
      <c r="G3699">
        <v>-343.20339999999999</v>
      </c>
      <c r="H3699" s="1">
        <v>-2.9315070000000002E-6</v>
      </c>
      <c r="I3699">
        <v>139.42769999999999</v>
      </c>
      <c r="J3699">
        <v>-286.22190000000001</v>
      </c>
      <c r="K3699">
        <v>1.1086199999999999</v>
      </c>
      <c r="L3699">
        <v>141.08879999999999</v>
      </c>
      <c r="M3699">
        <v>-0.99990650000000003</v>
      </c>
      <c r="N3699">
        <v>0</v>
      </c>
      <c r="O3699">
        <v>2.7033500000000002E-4</v>
      </c>
      <c r="P3699">
        <v>-0.9889599</v>
      </c>
      <c r="Q3699">
        <v>0.14565890000000001</v>
      </c>
      <c r="R3699">
        <v>2.72435E-2</v>
      </c>
      <c r="S3699">
        <v>-3.0445859999999998</v>
      </c>
      <c r="T3699">
        <v>-5.895972E-2</v>
      </c>
      <c r="U3699">
        <v>-8.8317870000000007E-2</v>
      </c>
      <c r="V3699">
        <v>2.7136199999999999E-2</v>
      </c>
      <c r="W3699">
        <v>0.15915219999999999</v>
      </c>
      <c r="X3699">
        <v>0.98688109999999996</v>
      </c>
      <c r="Y3699">
        <v>-2.9260689999999999E-2</v>
      </c>
      <c r="Z3699">
        <v>-2.8847079999999998E-4</v>
      </c>
      <c r="AA3699">
        <v>0.99957180000000001</v>
      </c>
      <c r="AB3699">
        <v>32</v>
      </c>
      <c r="AC3699">
        <v>-56.981499999999897</v>
      </c>
      <c r="AD3699">
        <v>-1.108622931507</v>
      </c>
      <c r="AE3699">
        <v>-1.6611</v>
      </c>
      <c r="AF3699">
        <v>-1.67587164439437</v>
      </c>
      <c r="AG3699">
        <v>-1.108622931507</v>
      </c>
      <c r="AH3699">
        <v>56.959506264406002</v>
      </c>
      <c r="AI3699">
        <v>91.114544967116998</v>
      </c>
      <c r="AJ3699">
        <v>91.685279346656699</v>
      </c>
      <c r="AK3699">
        <v>56.994937884496899</v>
      </c>
      <c r="AL3699">
        <v>80.842310154272496</v>
      </c>
      <c r="AM3699">
        <v>88.424938869910903</v>
      </c>
      <c r="AN3699">
        <v>1.0000000508262401</v>
      </c>
    </row>
    <row r="3700" spans="1:40" x14ac:dyDescent="0.25">
      <c r="A3700" t="str">
        <f>"20190312164545491"</f>
        <v>20190312164545491</v>
      </c>
      <c r="B3700" t="str">
        <f>"1552380345485010"</f>
        <v>1552380345485010</v>
      </c>
      <c r="C3700" t="s">
        <v>40</v>
      </c>
      <c r="D3700">
        <v>5.1366740000000002</v>
      </c>
      <c r="E3700">
        <v>0.48236620000000002</v>
      </c>
      <c r="F3700" t="s">
        <v>42</v>
      </c>
      <c r="G3700">
        <v>-345.68150000000003</v>
      </c>
      <c r="H3700" s="1">
        <v>-1.871883E-6</v>
      </c>
      <c r="I3700">
        <v>139.40809999999999</v>
      </c>
      <c r="J3700">
        <v>-286.54219999999998</v>
      </c>
      <c r="K3700">
        <v>1.108587</v>
      </c>
      <c r="L3700">
        <v>141.08949999999999</v>
      </c>
      <c r="M3700">
        <v>-0.99990610000000002</v>
      </c>
      <c r="N3700">
        <v>0</v>
      </c>
      <c r="O3700">
        <v>8.2631860000000003E-4</v>
      </c>
      <c r="P3700">
        <v>-0.98895909999999998</v>
      </c>
      <c r="Q3700">
        <v>0.14548839999999999</v>
      </c>
      <c r="R3700">
        <v>2.8167950000000001E-2</v>
      </c>
      <c r="S3700">
        <v>-3.0442200000000001</v>
      </c>
      <c r="T3700">
        <v>-5.6759480000000001E-2</v>
      </c>
      <c r="U3700">
        <v>-8.6044309999999999E-2</v>
      </c>
      <c r="V3700">
        <v>2.7522999999999999E-2</v>
      </c>
      <c r="W3700">
        <v>0.15897849999999999</v>
      </c>
      <c r="X3700">
        <v>0.98689839999999995</v>
      </c>
      <c r="Y3700">
        <v>-2.90744E-2</v>
      </c>
      <c r="Z3700">
        <v>-2.8637219999999998E-4</v>
      </c>
      <c r="AA3700">
        <v>0.99957720000000005</v>
      </c>
      <c r="AB3700">
        <v>32</v>
      </c>
      <c r="AC3700">
        <v>-59.139299999999999</v>
      </c>
      <c r="AD3700">
        <v>-1.1085888718829999</v>
      </c>
      <c r="AE3700">
        <v>-1.68139999999999</v>
      </c>
      <c r="AF3700">
        <v>-1.7296646069485</v>
      </c>
      <c r="AG3700">
        <v>-1.1085888718829999</v>
      </c>
      <c r="AH3700">
        <v>59.1171339470378</v>
      </c>
      <c r="AI3700">
        <v>91.073848740538395</v>
      </c>
      <c r="AJ3700">
        <v>91.675896835558206</v>
      </c>
      <c r="AK3700">
        <v>59.152821023611402</v>
      </c>
      <c r="AL3700">
        <v>80.852390911571803</v>
      </c>
      <c r="AM3700">
        <v>88.402527454461193</v>
      </c>
      <c r="AN3700">
        <v>1.0000000654568999</v>
      </c>
    </row>
    <row r="3701" spans="1:40" x14ac:dyDescent="0.25">
      <c r="A3701" t="str">
        <f>"20190312164545514"</f>
        <v>20190312164545514</v>
      </c>
      <c r="B3701" t="str">
        <f>"1552380345505506"</f>
        <v>1552380345505506</v>
      </c>
      <c r="C3701" t="s">
        <v>40</v>
      </c>
      <c r="D3701">
        <v>5.2651570000000003</v>
      </c>
      <c r="E3701">
        <v>0.4824503</v>
      </c>
      <c r="F3701" t="s">
        <v>42</v>
      </c>
      <c r="G3701">
        <v>-348.52850000000001</v>
      </c>
      <c r="H3701" s="1">
        <v>-6.5004390000000003E-7</v>
      </c>
      <c r="I3701">
        <v>139.41079999999999</v>
      </c>
      <c r="J3701">
        <v>-286.87040000000002</v>
      </c>
      <c r="K3701">
        <v>1.1085560000000001</v>
      </c>
      <c r="L3701">
        <v>141.09039999999999</v>
      </c>
      <c r="M3701">
        <v>-0.99990540000000006</v>
      </c>
      <c r="N3701">
        <v>0</v>
      </c>
      <c r="O3701">
        <v>1.4256920000000001E-3</v>
      </c>
      <c r="P3701">
        <v>-0.98907789999999995</v>
      </c>
      <c r="Q3701">
        <v>0.1444954</v>
      </c>
      <c r="R3701">
        <v>2.9088180000000002E-2</v>
      </c>
      <c r="S3701">
        <v>-3.0438540000000001</v>
      </c>
      <c r="T3701">
        <v>-5.4437520000000003E-2</v>
      </c>
      <c r="U3701">
        <v>-8.2427979999999998E-2</v>
      </c>
      <c r="V3701">
        <v>2.7859809999999999E-2</v>
      </c>
      <c r="W3701">
        <v>0.15798409999999999</v>
      </c>
      <c r="X3701">
        <v>0.98704860000000005</v>
      </c>
      <c r="Y3701">
        <v>-2.8490709999999999E-2</v>
      </c>
      <c r="Z3701">
        <v>-2.8019610000000001E-4</v>
      </c>
      <c r="AA3701">
        <v>0.99959399999999998</v>
      </c>
      <c r="AB3701">
        <v>31</v>
      </c>
      <c r="AC3701">
        <v>-61.658099999999898</v>
      </c>
      <c r="AD3701">
        <v>-1.1085566500438999</v>
      </c>
      <c r="AE3701">
        <v>-1.67959999999999</v>
      </c>
      <c r="AF3701">
        <v>-1.7669412436248499</v>
      </c>
      <c r="AG3701">
        <v>-1.1085566500438999</v>
      </c>
      <c r="AH3701">
        <v>61.635733669989897</v>
      </c>
      <c r="AI3701">
        <v>91.029965758206501</v>
      </c>
      <c r="AJ3701">
        <v>91.642075954700104</v>
      </c>
      <c r="AK3701">
        <v>61.6710194843794</v>
      </c>
      <c r="AL3701">
        <v>80.910094883503902</v>
      </c>
      <c r="AM3701">
        <v>88.383234788951</v>
      </c>
      <c r="AN3701">
        <v>1.000000041814</v>
      </c>
    </row>
    <row r="3702" spans="1:40" x14ac:dyDescent="0.25">
      <c r="A3702" t="str">
        <f>"20190312164545526"</f>
        <v>20190312164545526</v>
      </c>
      <c r="B3702" t="str">
        <f>"1552380345515266"</f>
        <v>1552380345515266</v>
      </c>
      <c r="C3702" t="s">
        <v>40</v>
      </c>
      <c r="D3702">
        <v>5.2291189999999999</v>
      </c>
      <c r="E3702">
        <v>0.48241610000000001</v>
      </c>
      <c r="F3702" t="s">
        <v>42</v>
      </c>
      <c r="G3702">
        <v>-347.55009999999999</v>
      </c>
      <c r="H3702" s="1">
        <v>-1.0512730000000001E-6</v>
      </c>
      <c r="I3702">
        <v>139.51509999999999</v>
      </c>
      <c r="J3702">
        <v>-287.05200000000002</v>
      </c>
      <c r="K3702">
        <v>1.1085400000000001</v>
      </c>
      <c r="L3702">
        <v>141.09100000000001</v>
      </c>
      <c r="M3702">
        <v>-0.99990489999999999</v>
      </c>
      <c r="N3702">
        <v>0</v>
      </c>
      <c r="O3702">
        <v>1.7653289999999999E-3</v>
      </c>
      <c r="P3702">
        <v>-0.98915819999999999</v>
      </c>
      <c r="Q3702">
        <v>0.1438121</v>
      </c>
      <c r="R3702">
        <v>2.9736510000000001E-2</v>
      </c>
      <c r="S3702">
        <v>-3.0436100000000001</v>
      </c>
      <c r="T3702">
        <v>-5.5603739999999999E-2</v>
      </c>
      <c r="U3702">
        <v>-7.9010010000000006E-2</v>
      </c>
      <c r="V3702">
        <v>2.817619E-2</v>
      </c>
      <c r="W3702">
        <v>0.1573</v>
      </c>
      <c r="X3702">
        <v>0.98714880000000005</v>
      </c>
      <c r="Y3702">
        <v>-2.7710519999999999E-2</v>
      </c>
      <c r="Z3702">
        <v>-2.8530409999999998E-4</v>
      </c>
      <c r="AA3702">
        <v>0.99961599999999995</v>
      </c>
      <c r="AB3702">
        <v>31</v>
      </c>
      <c r="AC3702">
        <v>-60.498099999999901</v>
      </c>
      <c r="AD3702">
        <v>-1.1085410512729901</v>
      </c>
      <c r="AE3702">
        <v>-1.5759000000000101</v>
      </c>
      <c r="AF3702">
        <v>-1.6821421838900401</v>
      </c>
      <c r="AG3702">
        <v>-1.1085410512729901</v>
      </c>
      <c r="AH3702">
        <v>60.474932591612898</v>
      </c>
      <c r="AI3702">
        <v>91.049741772448797</v>
      </c>
      <c r="AJ3702">
        <v>91.593301532623698</v>
      </c>
      <c r="AK3702">
        <v>60.508478228668899</v>
      </c>
      <c r="AL3702">
        <v>80.949786575018607</v>
      </c>
      <c r="AM3702">
        <v>88.365050363802894</v>
      </c>
      <c r="AN3702">
        <v>0.99999997051217704</v>
      </c>
    </row>
    <row r="3703" spans="1:40" x14ac:dyDescent="0.25">
      <c r="A3703" t="str">
        <f>"20190312164545546"</f>
        <v>20190312164545546</v>
      </c>
      <c r="B3703" t="str">
        <f>"1552380345535766"</f>
        <v>1552380345535766</v>
      </c>
      <c r="C3703" t="s">
        <v>40</v>
      </c>
      <c r="D3703">
        <v>5.6182699999999999</v>
      </c>
      <c r="E3703">
        <v>0.48238740000000002</v>
      </c>
      <c r="F3703" t="s">
        <v>42</v>
      </c>
      <c r="G3703">
        <v>-343.19540000000001</v>
      </c>
      <c r="H3703" s="1">
        <v>-2.9128650000000002E-6</v>
      </c>
      <c r="I3703">
        <v>139.6592</v>
      </c>
      <c r="J3703">
        <v>-287.31020000000001</v>
      </c>
      <c r="K3703">
        <v>1.108522</v>
      </c>
      <c r="L3703">
        <v>141.09200000000001</v>
      </c>
      <c r="M3703">
        <v>-0.99990389999999996</v>
      </c>
      <c r="N3703">
        <v>0</v>
      </c>
      <c r="O3703">
        <v>2.2574420000000001E-3</v>
      </c>
      <c r="P3703">
        <v>-0.98929040000000001</v>
      </c>
      <c r="Q3703">
        <v>0.14278840000000001</v>
      </c>
      <c r="R3703">
        <v>3.0271289999999999E-2</v>
      </c>
      <c r="S3703">
        <v>-3.0439449999999999</v>
      </c>
      <c r="T3703">
        <v>-6.0102219999999998E-2</v>
      </c>
      <c r="U3703">
        <v>-7.7621460000000003E-2</v>
      </c>
      <c r="V3703">
        <v>2.8228059999999999E-2</v>
      </c>
      <c r="W3703">
        <v>0.1562761</v>
      </c>
      <c r="X3703">
        <v>0.98730989999999996</v>
      </c>
      <c r="Y3703">
        <v>-2.7743009999999999E-2</v>
      </c>
      <c r="Z3703">
        <v>-3.1838519999999998E-4</v>
      </c>
      <c r="AA3703">
        <v>0.99961500000000003</v>
      </c>
      <c r="AB3703">
        <v>31</v>
      </c>
      <c r="AC3703">
        <v>-55.885199999999998</v>
      </c>
      <c r="AD3703">
        <v>-1.1085249128650001</v>
      </c>
      <c r="AE3703">
        <v>-1.4328000000000101</v>
      </c>
      <c r="AF3703">
        <v>-1.55835300737116</v>
      </c>
      <c r="AG3703">
        <v>-1.1085249128650001</v>
      </c>
      <c r="AH3703">
        <v>55.859858794840903</v>
      </c>
      <c r="AI3703">
        <v>91.136429152974401</v>
      </c>
      <c r="AJ3703">
        <v>91.597997198948207</v>
      </c>
      <c r="AK3703">
        <v>55.8925855204211</v>
      </c>
      <c r="AL3703">
        <v>81.009186098598207</v>
      </c>
      <c r="AM3703">
        <v>88.362309317972901</v>
      </c>
      <c r="AN3703">
        <v>0.99999994072028997</v>
      </c>
    </row>
    <row r="3704" spans="1:40" x14ac:dyDescent="0.25">
      <c r="A3704" t="str">
        <f>"20190312164545568"</f>
        <v>20190312164545568</v>
      </c>
      <c r="B3704" t="str">
        <f>"1552380345565042"</f>
        <v>1552380345565042</v>
      </c>
      <c r="C3704" t="s">
        <v>40</v>
      </c>
      <c r="D3704">
        <v>5.301221</v>
      </c>
      <c r="E3704">
        <v>0.48236570000000001</v>
      </c>
      <c r="F3704" t="s">
        <v>42</v>
      </c>
      <c r="G3704">
        <v>-341.62430000000001</v>
      </c>
      <c r="H3704" s="1">
        <v>-3.6073370000000001E-6</v>
      </c>
      <c r="I3704">
        <v>139.7362</v>
      </c>
      <c r="J3704">
        <v>-287.62920000000003</v>
      </c>
      <c r="K3704">
        <v>1.108503</v>
      </c>
      <c r="L3704">
        <v>141.0934</v>
      </c>
      <c r="M3704">
        <v>-0.99990239999999997</v>
      </c>
      <c r="N3704">
        <v>0</v>
      </c>
      <c r="O3704">
        <v>2.8723020000000002E-3</v>
      </c>
      <c r="P3704">
        <v>-0.98932520000000002</v>
      </c>
      <c r="Q3704">
        <v>0.1424368</v>
      </c>
      <c r="R3704">
        <v>3.0788490000000002E-2</v>
      </c>
      <c r="S3704">
        <v>-3.0437620000000001</v>
      </c>
      <c r="T3704">
        <v>-6.2121870000000003E-2</v>
      </c>
      <c r="U3704">
        <v>-7.5973509999999994E-2</v>
      </c>
      <c r="V3704">
        <v>2.8140680000000001E-2</v>
      </c>
      <c r="W3704">
        <v>0.15592339999999999</v>
      </c>
      <c r="X3704">
        <v>0.98736820000000003</v>
      </c>
      <c r="Y3704">
        <v>-2.7817809999999998E-2</v>
      </c>
      <c r="Z3704">
        <v>-3.4241410000000001E-4</v>
      </c>
      <c r="AA3704">
        <v>0.99961290000000003</v>
      </c>
      <c r="AB3704">
        <v>31</v>
      </c>
      <c r="AC3704">
        <v>-53.995099999999901</v>
      </c>
      <c r="AD3704">
        <v>-1.108506607337</v>
      </c>
      <c r="AE3704">
        <v>-1.3572</v>
      </c>
      <c r="AF3704">
        <v>-1.51166241262948</v>
      </c>
      <c r="AG3704">
        <v>-1.108506607337</v>
      </c>
      <c r="AH3704">
        <v>53.968246873929601</v>
      </c>
      <c r="AI3704">
        <v>91.176227397790001</v>
      </c>
      <c r="AJ3704">
        <v>91.604447816443894</v>
      </c>
      <c r="AK3704">
        <v>54.000792408942303</v>
      </c>
      <c r="AL3704">
        <v>81.029645508998598</v>
      </c>
      <c r="AM3704">
        <v>88.367472391423206</v>
      </c>
      <c r="AN3704">
        <v>0.99999998345483099</v>
      </c>
    </row>
    <row r="3705" spans="1:40" x14ac:dyDescent="0.25">
      <c r="A3705" t="str">
        <f>"20190312164545603"</f>
        <v>20190312164545603</v>
      </c>
      <c r="B3705" t="str">
        <f>"1552380345595826"</f>
        <v>1552380345595826</v>
      </c>
      <c r="C3705" t="s">
        <v>40</v>
      </c>
      <c r="D3705">
        <v>5.2652539999999997</v>
      </c>
      <c r="E3705">
        <v>0.48234709999999997</v>
      </c>
      <c r="F3705" t="s">
        <v>42</v>
      </c>
      <c r="G3705">
        <v>-343.55829999999997</v>
      </c>
      <c r="H3705" s="1">
        <v>-2.7772310000000001E-6</v>
      </c>
      <c r="I3705">
        <v>139.7346</v>
      </c>
      <c r="J3705">
        <v>-288.1114</v>
      </c>
      <c r="K3705">
        <v>1.1084879999999999</v>
      </c>
      <c r="L3705">
        <v>141.0958</v>
      </c>
      <c r="M3705">
        <v>-0.99989930000000005</v>
      </c>
      <c r="N3705">
        <v>0</v>
      </c>
      <c r="O3705">
        <v>3.809022E-3</v>
      </c>
      <c r="P3705">
        <v>-0.98953659999999999</v>
      </c>
      <c r="Q3705">
        <v>0.1409183</v>
      </c>
      <c r="R3705">
        <v>3.0978120000000001E-2</v>
      </c>
      <c r="S3705">
        <v>-3.0433349999999999</v>
      </c>
      <c r="T3705">
        <v>-6.031835E-2</v>
      </c>
      <c r="U3705">
        <v>-7.3928830000000001E-2</v>
      </c>
      <c r="V3705">
        <v>2.7403770000000001E-2</v>
      </c>
      <c r="W3705">
        <v>0.1544065</v>
      </c>
      <c r="X3705">
        <v>0.98762729999999999</v>
      </c>
      <c r="Y3705">
        <v>-2.8086699999999999E-2</v>
      </c>
      <c r="Z3705">
        <v>-3.5375169999999999E-4</v>
      </c>
      <c r="AA3705">
        <v>0.99960539999999998</v>
      </c>
      <c r="AB3705">
        <v>31</v>
      </c>
      <c r="AC3705">
        <v>-55.4468999999999</v>
      </c>
      <c r="AD3705">
        <v>-1.108490777231</v>
      </c>
      <c r="AE3705">
        <v>-1.36119999999999</v>
      </c>
      <c r="AF3705">
        <v>-1.5717804959285999</v>
      </c>
      <c r="AG3705">
        <v>-1.108490777231</v>
      </c>
      <c r="AH3705">
        <v>55.419175915544798</v>
      </c>
      <c r="AI3705">
        <v>91.1454132238444</v>
      </c>
      <c r="AJ3705">
        <v>91.624568612665001</v>
      </c>
      <c r="AK3705">
        <v>55.452541013813601</v>
      </c>
      <c r="AL3705">
        <v>81.117623247300898</v>
      </c>
      <c r="AM3705">
        <v>88.410617441991405</v>
      </c>
      <c r="AN3705">
        <v>1.0000000087788701</v>
      </c>
    </row>
    <row r="3706" spans="1:40" x14ac:dyDescent="0.25">
      <c r="A3706" t="str">
        <f>"20190312164545625"</f>
        <v>20190312164545625</v>
      </c>
      <c r="B3706" t="str">
        <f>"1552380345615350"</f>
        <v>1552380345615350</v>
      </c>
      <c r="C3706" t="s">
        <v>40</v>
      </c>
      <c r="D3706">
        <v>5.2276350000000003</v>
      </c>
      <c r="E3706">
        <v>0.48230000000000001</v>
      </c>
      <c r="F3706" t="s">
        <v>42</v>
      </c>
      <c r="G3706">
        <v>-340.9753</v>
      </c>
      <c r="H3706" s="1">
        <v>-3.9106670000000002E-6</v>
      </c>
      <c r="I3706">
        <v>139.82980000000001</v>
      </c>
      <c r="J3706">
        <v>-288.42070000000001</v>
      </c>
      <c r="K3706">
        <v>1.108482</v>
      </c>
      <c r="L3706">
        <v>141.0977</v>
      </c>
      <c r="M3706">
        <v>-0.99989680000000003</v>
      </c>
      <c r="N3706">
        <v>0</v>
      </c>
      <c r="O3706">
        <v>4.4087789999999998E-3</v>
      </c>
      <c r="P3706">
        <v>-0.98966580000000004</v>
      </c>
      <c r="Q3706">
        <v>0.13996149999999999</v>
      </c>
      <c r="R3706">
        <v>3.1184960000000001E-2</v>
      </c>
      <c r="S3706">
        <v>-3.043091</v>
      </c>
      <c r="T3706">
        <v>-6.3809989999999997E-2</v>
      </c>
      <c r="U3706">
        <v>-7.2875980000000007E-2</v>
      </c>
      <c r="V3706">
        <v>2.701599E-2</v>
      </c>
      <c r="W3706">
        <v>0.153451</v>
      </c>
      <c r="X3706">
        <v>0.98778690000000002</v>
      </c>
      <c r="Y3706">
        <v>-2.8341649999999999E-2</v>
      </c>
      <c r="Z3706">
        <v>-3.8950319999999999E-4</v>
      </c>
      <c r="AA3706">
        <v>0.99959819999999999</v>
      </c>
      <c r="AB3706">
        <v>31</v>
      </c>
      <c r="AC3706">
        <v>-52.554599999999901</v>
      </c>
      <c r="AD3706">
        <v>-1.108485910667</v>
      </c>
      <c r="AE3706">
        <v>-1.26789999999999</v>
      </c>
      <c r="AF3706">
        <v>-1.4989444973622399</v>
      </c>
      <c r="AG3706">
        <v>-1.108485910667</v>
      </c>
      <c r="AH3706">
        <v>52.525145148988798</v>
      </c>
      <c r="AI3706">
        <v>91.208493632854697</v>
      </c>
      <c r="AJ3706">
        <v>91.634643563661101</v>
      </c>
      <c r="AK3706">
        <v>52.5582196097115</v>
      </c>
      <c r="AL3706">
        <v>81.173029771714397</v>
      </c>
      <c r="AM3706">
        <v>88.433349922185599</v>
      </c>
      <c r="AN3706">
        <v>1.0000000164641401</v>
      </c>
    </row>
    <row r="3707" spans="1:40" x14ac:dyDescent="0.25">
      <c r="A3707" t="str">
        <f>"20190312164545645"</f>
        <v>20190312164545645</v>
      </c>
      <c r="B3707" t="str">
        <f>"1552380345635843"</f>
        <v>1552380345635843</v>
      </c>
      <c r="C3707" t="s">
        <v>40</v>
      </c>
      <c r="D3707">
        <v>5.2865669999999998</v>
      </c>
      <c r="E3707">
        <v>0.48227130000000001</v>
      </c>
      <c r="F3707" t="s">
        <v>42</v>
      </c>
      <c r="G3707">
        <v>-339.62349999999998</v>
      </c>
      <c r="H3707" s="1">
        <v>-2.2679289999999999E-7</v>
      </c>
      <c r="I3707">
        <v>139.8732</v>
      </c>
      <c r="J3707">
        <v>-288.71109999999999</v>
      </c>
      <c r="K3707">
        <v>1.1084780000000001</v>
      </c>
      <c r="L3707">
        <v>141.09950000000001</v>
      </c>
      <c r="M3707">
        <v>-0.99989410000000001</v>
      </c>
      <c r="N3707">
        <v>0</v>
      </c>
      <c r="O3707">
        <v>4.9681550000000001E-3</v>
      </c>
      <c r="P3707">
        <v>-0.98971370000000003</v>
      </c>
      <c r="Q3707">
        <v>0.13961080000000001</v>
      </c>
      <c r="R3707">
        <v>3.1235249999999999E-2</v>
      </c>
      <c r="S3707">
        <v>-3.0429379999999999</v>
      </c>
      <c r="T3707">
        <v>-6.5876130000000005E-2</v>
      </c>
      <c r="U3707">
        <v>-7.2769169999999994E-2</v>
      </c>
      <c r="V3707">
        <v>2.651206E-2</v>
      </c>
      <c r="W3707">
        <v>0.15310000000000001</v>
      </c>
      <c r="X3707">
        <v>0.98785500000000004</v>
      </c>
      <c r="Y3707">
        <v>-2.8866260000000001E-2</v>
      </c>
      <c r="Z3707">
        <v>-4.1991769999999998E-4</v>
      </c>
      <c r="AA3707">
        <v>0.99958320000000001</v>
      </c>
      <c r="AB3707">
        <v>31</v>
      </c>
      <c r="AC3707">
        <v>-50.912399999999899</v>
      </c>
      <c r="AD3707">
        <v>-1.1084782267928901</v>
      </c>
      <c r="AE3707">
        <v>-1.2262999999999999</v>
      </c>
      <c r="AF3707">
        <v>-1.47854875200748</v>
      </c>
      <c r="AG3707">
        <v>-1.1084782267928901</v>
      </c>
      <c r="AH3707">
        <v>50.881573052779402</v>
      </c>
      <c r="AI3707">
        <v>91.247490804567406</v>
      </c>
      <c r="AJ3707">
        <v>91.664468408479195</v>
      </c>
      <c r="AK3707">
        <v>50.915118645807603</v>
      </c>
      <c r="AL3707">
        <v>81.193380926727002</v>
      </c>
      <c r="AM3707">
        <v>88.462664466299898</v>
      </c>
      <c r="AN3707">
        <v>1.0000000001752201</v>
      </c>
    </row>
    <row r="3708" spans="1:40" x14ac:dyDescent="0.25">
      <c r="A3708" t="str">
        <f>"20190312164545669"</f>
        <v>20190312164545669</v>
      </c>
      <c r="B3708" t="str">
        <f>"1552380345665124"</f>
        <v>1552380345665124</v>
      </c>
      <c r="C3708" t="s">
        <v>40</v>
      </c>
      <c r="D3708">
        <v>5.3731369999999998</v>
      </c>
      <c r="E3708">
        <v>0.48206599999999999</v>
      </c>
      <c r="F3708" t="s">
        <v>42</v>
      </c>
      <c r="G3708">
        <v>-340.12520000000001</v>
      </c>
      <c r="H3708" s="1">
        <v>-4.2776719999999998E-6</v>
      </c>
      <c r="I3708">
        <v>139.8657</v>
      </c>
      <c r="J3708">
        <v>-289.03230000000002</v>
      </c>
      <c r="K3708">
        <v>1.1084879999999999</v>
      </c>
      <c r="L3708">
        <v>141.1018</v>
      </c>
      <c r="M3708">
        <v>-0.99989099999999997</v>
      </c>
      <c r="N3708">
        <v>0</v>
      </c>
      <c r="O3708">
        <v>5.5737039999999996E-3</v>
      </c>
      <c r="P3708">
        <v>-0.98962340000000004</v>
      </c>
      <c r="Q3708">
        <v>0.14014089999999901</v>
      </c>
      <c r="R3708">
        <v>3.1722010000000002E-2</v>
      </c>
      <c r="S3708">
        <v>-3.0427249999999999</v>
      </c>
      <c r="T3708">
        <v>-6.5600870000000006E-2</v>
      </c>
      <c r="U3708">
        <v>-7.3013309999999998E-2</v>
      </c>
      <c r="V3708">
        <v>2.639857E-2</v>
      </c>
      <c r="W3708">
        <v>0.15362819999999999</v>
      </c>
      <c r="X3708">
        <v>0.98777599999999999</v>
      </c>
      <c r="Y3708">
        <v>-2.9553220000000002E-2</v>
      </c>
      <c r="Z3708">
        <v>-4.3864959999999998E-4</v>
      </c>
      <c r="AA3708">
        <v>0.99956310000000004</v>
      </c>
      <c r="AB3708">
        <v>31</v>
      </c>
      <c r="AC3708">
        <v>-51.092899999999901</v>
      </c>
      <c r="AD3708">
        <v>-1.1084922776720001</v>
      </c>
      <c r="AE3708">
        <v>-1.23609999999999</v>
      </c>
      <c r="AF3708">
        <v>-1.5201689911142799</v>
      </c>
      <c r="AG3708">
        <v>-1.1084922776720001</v>
      </c>
      <c r="AH3708">
        <v>51.061195468010297</v>
      </c>
      <c r="AI3708">
        <v>91.243093492767102</v>
      </c>
      <c r="AJ3708">
        <v>91.7052782831027</v>
      </c>
      <c r="AK3708">
        <v>51.095844757803597</v>
      </c>
      <c r="AL3708">
        <v>81.162754689749406</v>
      </c>
      <c r="AM3708">
        <v>88.469119822378701</v>
      </c>
      <c r="AN3708">
        <v>0.99999996725464102</v>
      </c>
    </row>
    <row r="3709" spans="1:40" x14ac:dyDescent="0.25">
      <c r="A3709" t="str">
        <f>"20190312164545692"</f>
        <v>20190312164545692</v>
      </c>
      <c r="B3709" t="str">
        <f>"1552380345685618"</f>
        <v>1552380345685618</v>
      </c>
      <c r="C3709" t="s">
        <v>40</v>
      </c>
      <c r="D3709">
        <v>5.2425459999999999</v>
      </c>
      <c r="E3709">
        <v>0.48205870000000001</v>
      </c>
      <c r="F3709" t="s">
        <v>42</v>
      </c>
      <c r="G3709">
        <v>-341.57810000000001</v>
      </c>
      <c r="H3709" s="1">
        <v>-3.6501360000000001E-6</v>
      </c>
      <c r="I3709">
        <v>139.82239999999999</v>
      </c>
      <c r="J3709">
        <v>-289.35419999999999</v>
      </c>
      <c r="K3709">
        <v>1.1085050000000001</v>
      </c>
      <c r="L3709">
        <v>141.10429999999999</v>
      </c>
      <c r="M3709">
        <v>-0.99988750000000004</v>
      </c>
      <c r="N3709">
        <v>0</v>
      </c>
      <c r="O3709">
        <v>6.1477719999999897E-3</v>
      </c>
      <c r="P3709">
        <v>-0.98956789999999994</v>
      </c>
      <c r="Q3709">
        <v>0.14041670000000001</v>
      </c>
      <c r="R3709">
        <v>3.2226930000000001E-2</v>
      </c>
      <c r="S3709">
        <v>-3.0429080000000002</v>
      </c>
      <c r="T3709">
        <v>-6.4192410000000005E-2</v>
      </c>
      <c r="U3709">
        <v>-7.4081419999999995E-2</v>
      </c>
      <c r="V3709">
        <v>2.6329430000000001E-2</v>
      </c>
      <c r="W3709">
        <v>0.15390290000000001</v>
      </c>
      <c r="X3709">
        <v>0.98773509999999998</v>
      </c>
      <c r="Y3709">
        <v>-3.047631E-2</v>
      </c>
      <c r="Z3709">
        <v>-4.510491E-4</v>
      </c>
      <c r="AA3709">
        <v>0.99953539999999996</v>
      </c>
      <c r="AB3709">
        <v>31</v>
      </c>
      <c r="AC3709">
        <v>-52.2239</v>
      </c>
      <c r="AD3709">
        <v>-1.10850865013599</v>
      </c>
      <c r="AE3709">
        <v>-1.2819</v>
      </c>
      <c r="AF3709">
        <v>-1.6022450037568201</v>
      </c>
      <c r="AG3709">
        <v>-1.10850865013599</v>
      </c>
      <c r="AH3709">
        <v>52.191530786132702</v>
      </c>
      <c r="AI3709">
        <v>91.216163318144098</v>
      </c>
      <c r="AJ3709">
        <v>91.758389758872795</v>
      </c>
      <c r="AK3709">
        <v>52.227883991976199</v>
      </c>
      <c r="AL3709">
        <v>81.1468262607969</v>
      </c>
      <c r="AM3709">
        <v>88.473064226868402</v>
      </c>
      <c r="AN3709">
        <v>0.99999998464227202</v>
      </c>
    </row>
    <row r="3710" spans="1:40" x14ac:dyDescent="0.25">
      <c r="A3710" t="str">
        <f>"20190312164545713"</f>
        <v>20190312164545713</v>
      </c>
      <c r="B3710" t="str">
        <f>"1552380345705138"</f>
        <v>1552380345705138</v>
      </c>
      <c r="C3710" t="s">
        <v>40</v>
      </c>
      <c r="D3710">
        <v>5.3233269999999999</v>
      </c>
      <c r="E3710">
        <v>0.48224610000000001</v>
      </c>
      <c r="F3710" t="s">
        <v>42</v>
      </c>
      <c r="G3710">
        <v>-343.58429999999998</v>
      </c>
      <c r="H3710" s="1">
        <v>-2.7827769999999999E-6</v>
      </c>
      <c r="I3710">
        <v>139.7972</v>
      </c>
      <c r="J3710">
        <v>-289.66219999999998</v>
      </c>
      <c r="K3710">
        <v>1.1085339999999999</v>
      </c>
      <c r="L3710">
        <v>141.10679999999999</v>
      </c>
      <c r="M3710">
        <v>-0.99988449999999995</v>
      </c>
      <c r="N3710">
        <v>0</v>
      </c>
      <c r="O3710">
        <v>6.6531100000000003E-3</v>
      </c>
      <c r="P3710">
        <v>-0.98967400000000005</v>
      </c>
      <c r="Q3710">
        <v>0.13957910000000001</v>
      </c>
      <c r="R3710">
        <v>3.260627E-2</v>
      </c>
      <c r="S3710">
        <v>-3.0428470000000001</v>
      </c>
      <c r="T3710">
        <v>-6.2198400000000001E-2</v>
      </c>
      <c r="U3710">
        <v>-7.3333739999999994E-2</v>
      </c>
      <c r="V3710">
        <v>2.619556E-2</v>
      </c>
      <c r="W3710">
        <v>0.1530675</v>
      </c>
      <c r="X3710">
        <v>0.98786850000000004</v>
      </c>
      <c r="Y3710">
        <v>-3.0736840000000001E-2</v>
      </c>
      <c r="Z3710">
        <v>-4.5004129999999998E-4</v>
      </c>
      <c r="AA3710">
        <v>0.99952739999999995</v>
      </c>
      <c r="AB3710">
        <v>31</v>
      </c>
      <c r="AC3710">
        <v>-53.9221</v>
      </c>
      <c r="AD3710">
        <v>-1.1085367827770001</v>
      </c>
      <c r="AE3710">
        <v>-1.3095999999999799</v>
      </c>
      <c r="AF3710">
        <v>-1.6676497775126899</v>
      </c>
      <c r="AG3710">
        <v>-1.1085367827770001</v>
      </c>
      <c r="AH3710">
        <v>53.889430443001203</v>
      </c>
      <c r="AI3710">
        <v>91.177877457678207</v>
      </c>
      <c r="AJ3710">
        <v>91.772496203064193</v>
      </c>
      <c r="AK3710">
        <v>53.926622581525301</v>
      </c>
      <c r="AL3710">
        <v>81.195265426544097</v>
      </c>
      <c r="AM3710">
        <v>88.481029219818396</v>
      </c>
      <c r="AN3710">
        <v>1.0000000201060999</v>
      </c>
    </row>
    <row r="3711" spans="1:40" x14ac:dyDescent="0.25">
      <c r="A3711" t="str">
        <f>"20190312164545735"</f>
        <v>20190312164545735</v>
      </c>
      <c r="B3711" t="str">
        <f>"1552380345725638"</f>
        <v>1552380345725638</v>
      </c>
      <c r="C3711" t="s">
        <v>40</v>
      </c>
      <c r="D3711">
        <v>5.5732929999999996</v>
      </c>
      <c r="E3711">
        <v>0.48248400000000002</v>
      </c>
      <c r="F3711" t="s">
        <v>42</v>
      </c>
      <c r="G3711">
        <v>-342.50720000000001</v>
      </c>
      <c r="H3711" s="1">
        <v>-3.2644160000000001E-6</v>
      </c>
      <c r="I3711">
        <v>139.87090000000001</v>
      </c>
      <c r="J3711">
        <v>-289.9633</v>
      </c>
      <c r="K3711">
        <v>1.1085640000000001</v>
      </c>
      <c r="L3711">
        <v>141.10929999999999</v>
      </c>
      <c r="M3711">
        <v>-0.99988140000000003</v>
      </c>
      <c r="N3711">
        <v>0</v>
      </c>
      <c r="O3711">
        <v>7.1053690000000003E-3</v>
      </c>
      <c r="P3711">
        <v>-0.98971529999999996</v>
      </c>
      <c r="Q3711">
        <v>0.13910919999999999</v>
      </c>
      <c r="R3711">
        <v>3.3349240000000002E-2</v>
      </c>
      <c r="S3711">
        <v>-3.0426329999999999</v>
      </c>
      <c r="T3711">
        <v>-6.3825850000000003E-2</v>
      </c>
      <c r="U3711">
        <v>-7.1151729999999996E-2</v>
      </c>
      <c r="V3711">
        <v>2.647658E-2</v>
      </c>
      <c r="W3711">
        <v>0.15259809999999999</v>
      </c>
      <c r="X3711">
        <v>0.98793359999999997</v>
      </c>
      <c r="Y3711">
        <v>-3.0473770000000001E-2</v>
      </c>
      <c r="Z3711">
        <v>-4.6857790000000001E-4</v>
      </c>
      <c r="AA3711">
        <v>0.99953539999999996</v>
      </c>
      <c r="AB3711">
        <v>31</v>
      </c>
      <c r="AC3711">
        <v>-52.543900000000001</v>
      </c>
      <c r="AD3711">
        <v>-1.1085672644159901</v>
      </c>
      <c r="AE3711">
        <v>-1.23839999999998</v>
      </c>
      <c r="AF3711">
        <v>-1.61103067954643</v>
      </c>
      <c r="AG3711">
        <v>-1.1085672644159901</v>
      </c>
      <c r="AH3711">
        <v>52.5104126658524</v>
      </c>
      <c r="AI3711">
        <v>91.208844682836201</v>
      </c>
      <c r="AJ3711">
        <v>91.757295528736606</v>
      </c>
      <c r="AK3711">
        <v>52.546815122976597</v>
      </c>
      <c r="AL3711">
        <v>81.222479544196304</v>
      </c>
      <c r="AM3711">
        <v>88.464842922291894</v>
      </c>
      <c r="AN3711">
        <v>0.99999999371053305</v>
      </c>
    </row>
    <row r="3712" spans="1:40" x14ac:dyDescent="0.25">
      <c r="A3712" t="str">
        <f>"20190312164545758"</f>
        <v>20190312164545758</v>
      </c>
      <c r="B3712" t="str">
        <f>"1552380345754914"</f>
        <v>1552380345754914</v>
      </c>
      <c r="C3712" t="s">
        <v>40</v>
      </c>
      <c r="D3712">
        <v>5.2964510000000002</v>
      </c>
      <c r="E3712">
        <v>0.49847570000000002</v>
      </c>
      <c r="F3712" t="s">
        <v>42</v>
      </c>
      <c r="G3712">
        <v>-341.83440000000002</v>
      </c>
      <c r="H3712" s="1">
        <v>-3.5772409999999999E-6</v>
      </c>
      <c r="I3712">
        <v>139.96170000000001</v>
      </c>
      <c r="J3712">
        <v>-290.28739999999999</v>
      </c>
      <c r="K3712">
        <v>1.1086039999999999</v>
      </c>
      <c r="L3712">
        <v>141.1121</v>
      </c>
      <c r="M3712">
        <v>-0.9998783</v>
      </c>
      <c r="N3712">
        <v>0</v>
      </c>
      <c r="O3712">
        <v>7.5312540000000002E-3</v>
      </c>
      <c r="P3712">
        <v>-0.98975769999999996</v>
      </c>
      <c r="Q3712">
        <v>0.1385962</v>
      </c>
      <c r="R3712">
        <v>3.4219479999999997E-2</v>
      </c>
      <c r="S3712">
        <v>-3.0426030000000002</v>
      </c>
      <c r="T3712">
        <v>-6.5025330000000006E-2</v>
      </c>
      <c r="U3712">
        <v>-6.7306519999999995E-2</v>
      </c>
      <c r="V3712">
        <v>2.690764E-2</v>
      </c>
      <c r="W3712">
        <v>0.15208720000000001</v>
      </c>
      <c r="X3712">
        <v>0.98800080000000001</v>
      </c>
      <c r="Y3712">
        <v>-2.963696E-2</v>
      </c>
      <c r="Z3712">
        <v>-4.775542E-4</v>
      </c>
      <c r="AA3712">
        <v>0.99956060000000002</v>
      </c>
      <c r="AB3712">
        <v>31</v>
      </c>
      <c r="AC3712">
        <v>-51.546999999999997</v>
      </c>
      <c r="AD3712">
        <v>-1.108607577241</v>
      </c>
      <c r="AE3712">
        <v>-1.1503999999999901</v>
      </c>
      <c r="AF3712">
        <v>-1.53790616791433</v>
      </c>
      <c r="AG3712">
        <v>-1.108607577241</v>
      </c>
      <c r="AH3712">
        <v>51.513058109156297</v>
      </c>
      <c r="AI3712">
        <v>91.232317766968094</v>
      </c>
      <c r="AJ3712">
        <v>91.710039565537201</v>
      </c>
      <c r="AK3712">
        <v>51.547932275688197</v>
      </c>
      <c r="AL3712">
        <v>81.252098245935997</v>
      </c>
      <c r="AM3712">
        <v>88.439967647117001</v>
      </c>
      <c r="AN3712">
        <v>1.0000000591474201</v>
      </c>
    </row>
    <row r="3713" spans="1:40" x14ac:dyDescent="0.25">
      <c r="A3713" t="str">
        <f>"20190312164545782"</f>
        <v>20190312164545782</v>
      </c>
      <c r="B3713" t="str">
        <f>"1552380345775410"</f>
        <v>1552380345775410</v>
      </c>
      <c r="C3713" t="s">
        <v>40</v>
      </c>
      <c r="D3713">
        <v>5.2862489999999998</v>
      </c>
      <c r="E3713">
        <v>0.49875550000000002</v>
      </c>
      <c r="F3713" t="s">
        <v>42</v>
      </c>
      <c r="G3713">
        <v>-325.5016</v>
      </c>
      <c r="H3713" s="1">
        <v>-2.4974009999999998E-6</v>
      </c>
      <c r="I3713">
        <v>141.81620000000001</v>
      </c>
      <c r="J3713">
        <v>-290.60809999999998</v>
      </c>
      <c r="K3713">
        <v>1.10866</v>
      </c>
      <c r="L3713">
        <v>141.11490000000001</v>
      </c>
      <c r="M3713">
        <v>-0.99987570000000003</v>
      </c>
      <c r="N3713">
        <v>0</v>
      </c>
      <c r="O3713">
        <v>7.8786020000000002E-3</v>
      </c>
      <c r="P3713">
        <v>-0.98972839999999995</v>
      </c>
      <c r="Q3713">
        <v>0.1385711</v>
      </c>
      <c r="R3713">
        <v>3.5155770000000003E-2</v>
      </c>
      <c r="S3713">
        <v>-3.042297</v>
      </c>
      <c r="T3713">
        <v>-9.5777150000000005E-2</v>
      </c>
      <c r="U3713">
        <v>6.0836790000000002E-2</v>
      </c>
      <c r="V3713">
        <v>2.7481129999999999E-2</v>
      </c>
      <c r="W3713">
        <v>0.15206229999999901</v>
      </c>
      <c r="X3713">
        <v>0.9879888</v>
      </c>
      <c r="Y3713">
        <v>1.211251E-2</v>
      </c>
      <c r="Z3713" s="1">
        <v>-5.7367200000000002E-5</v>
      </c>
      <c r="AA3713">
        <v>0.9999266</v>
      </c>
      <c r="AB3713">
        <v>31</v>
      </c>
      <c r="AC3713">
        <v>-34.893500000000003</v>
      </c>
      <c r="AD3713">
        <v>-1.108662497401</v>
      </c>
      <c r="AE3713">
        <v>0.70130000000000303</v>
      </c>
      <c r="AF3713">
        <v>0.42591080359583</v>
      </c>
      <c r="AG3713">
        <v>-1.108662497401</v>
      </c>
      <c r="AH3713">
        <v>34.862762581503702</v>
      </c>
      <c r="AI3713">
        <v>91.821299931194005</v>
      </c>
      <c r="AJ3713">
        <v>89.300064717917394</v>
      </c>
      <c r="AK3713">
        <v>34.882986502879298</v>
      </c>
      <c r="AL3713">
        <v>81.253541286229805</v>
      </c>
      <c r="AM3713">
        <v>88.406715862090607</v>
      </c>
      <c r="AN3713">
        <v>1.0000000122563999</v>
      </c>
    </row>
    <row r="3714" spans="1:40" x14ac:dyDescent="0.25">
      <c r="A3714" t="str">
        <f>"20190312164545803"</f>
        <v>20190312164545803</v>
      </c>
      <c r="B3714" t="str">
        <f>"1552380345794930"</f>
        <v>1552380345794930</v>
      </c>
      <c r="C3714" t="s">
        <v>40</v>
      </c>
      <c r="D3714">
        <v>5.3337070000000004</v>
      </c>
      <c r="E3714">
        <v>0.49917990000000001</v>
      </c>
      <c r="F3714" t="s">
        <v>42</v>
      </c>
      <c r="G3714">
        <v>-320.68110000000001</v>
      </c>
      <c r="H3714" s="1">
        <v>-4.42483E-6</v>
      </c>
      <c r="I3714">
        <v>141.7619</v>
      </c>
      <c r="J3714">
        <v>-290.91640000000001</v>
      </c>
      <c r="K3714">
        <v>1.108714</v>
      </c>
      <c r="L3714">
        <v>141.11760000000001</v>
      </c>
      <c r="M3714">
        <v>-0.99987360000000003</v>
      </c>
      <c r="N3714">
        <v>0</v>
      </c>
      <c r="O3714">
        <v>8.1416909999999995E-3</v>
      </c>
      <c r="P3714">
        <v>-0.98977950000000003</v>
      </c>
      <c r="Q3714">
        <v>0.13795070000000001</v>
      </c>
      <c r="R3714">
        <v>3.6146909999999997E-2</v>
      </c>
      <c r="S3714">
        <v>-3.0445250000000001</v>
      </c>
      <c r="T3714">
        <v>-0.11223909999999999</v>
      </c>
      <c r="U3714">
        <v>6.5505980000000005E-2</v>
      </c>
      <c r="V3714">
        <v>2.8191210000000001E-2</v>
      </c>
      <c r="W3714">
        <v>0.15144440000000001</v>
      </c>
      <c r="X3714">
        <v>0.98806369999999999</v>
      </c>
      <c r="Y3714">
        <v>1.336619E-2</v>
      </c>
      <c r="Z3714" s="1">
        <v>-5.3766849999999998E-5</v>
      </c>
      <c r="AA3714">
        <v>0.99991070000000004</v>
      </c>
      <c r="AB3714">
        <v>31</v>
      </c>
      <c r="AC3714">
        <v>-29.764700000000001</v>
      </c>
      <c r="AD3714">
        <v>-1.1087184248299999</v>
      </c>
      <c r="AE3714">
        <v>0.64429999999998699</v>
      </c>
      <c r="AF3714">
        <v>0.40136440997987899</v>
      </c>
      <c r="AG3714">
        <v>-1.1087184248299999</v>
      </c>
      <c r="AH3714">
        <v>29.727730944673301</v>
      </c>
      <c r="AI3714">
        <v>92.135705420529504</v>
      </c>
      <c r="AJ3714">
        <v>89.226476799764896</v>
      </c>
      <c r="AK3714">
        <v>29.751106484533299</v>
      </c>
      <c r="AL3714">
        <v>81.289359183239398</v>
      </c>
      <c r="AM3714">
        <v>88.365693158097201</v>
      </c>
      <c r="AN3714">
        <v>1.0000000129351501</v>
      </c>
    </row>
    <row r="3715" spans="1:40" x14ac:dyDescent="0.25">
      <c r="A3715" t="str">
        <f>"20190312164545826"</f>
        <v>20190312164545826</v>
      </c>
      <c r="B3715" t="str">
        <f>"1552380345815429"</f>
        <v>1552380345815429</v>
      </c>
      <c r="C3715" t="s">
        <v>40</v>
      </c>
      <c r="D3715">
        <v>5.3725500000000004</v>
      </c>
      <c r="E3715">
        <v>0.49799939999999998</v>
      </c>
      <c r="F3715" t="s">
        <v>71</v>
      </c>
      <c r="G3715">
        <v>-319.04610000000002</v>
      </c>
      <c r="H3715" s="1">
        <v>-6.3635430000000003E-6</v>
      </c>
      <c r="I3715">
        <v>141.7842</v>
      </c>
      <c r="J3715">
        <v>-291.21550000000002</v>
      </c>
      <c r="K3715">
        <v>1.108768</v>
      </c>
      <c r="L3715">
        <v>141.12029999999999</v>
      </c>
      <c r="M3715">
        <v>-0.99987210000000004</v>
      </c>
      <c r="N3715">
        <v>0</v>
      </c>
      <c r="O3715">
        <v>8.3349459999999993E-3</v>
      </c>
      <c r="P3715">
        <v>-0.98979090000000003</v>
      </c>
      <c r="Q3715">
        <v>0.13768810000000001</v>
      </c>
      <c r="R3715">
        <v>3.6829939999999999E-2</v>
      </c>
      <c r="S3715">
        <v>-3.0450439999999999</v>
      </c>
      <c r="T3715">
        <v>-0.1200193</v>
      </c>
      <c r="U3715">
        <v>7.2158810000000004E-2</v>
      </c>
      <c r="V3715">
        <v>2.866351E-2</v>
      </c>
      <c r="W3715">
        <v>0.15118319999999999</v>
      </c>
      <c r="X3715">
        <v>0.98809009999999997</v>
      </c>
      <c r="Y3715">
        <v>1.5350829999999999E-2</v>
      </c>
      <c r="Z3715" s="1">
        <v>-2.600104E-5</v>
      </c>
      <c r="AA3715">
        <v>0.99988220000000005</v>
      </c>
      <c r="AB3715">
        <v>31</v>
      </c>
      <c r="AC3715">
        <v>-27.8306</v>
      </c>
      <c r="AD3715">
        <v>-1.1087743635430001</v>
      </c>
      <c r="AE3715">
        <v>0.66390000000001204</v>
      </c>
      <c r="AF3715">
        <v>0.43120474004755599</v>
      </c>
      <c r="AG3715">
        <v>-1.1087743635430001</v>
      </c>
      <c r="AH3715">
        <v>27.791081287555699</v>
      </c>
      <c r="AI3715">
        <v>92.284430119229995</v>
      </c>
      <c r="AJ3715">
        <v>89.111073473023694</v>
      </c>
      <c r="AK3715">
        <v>27.816533163725101</v>
      </c>
      <c r="AL3715">
        <v>81.304499063354399</v>
      </c>
      <c r="AM3715">
        <v>88.338372477735803</v>
      </c>
      <c r="AN3715">
        <v>1.00000000124288</v>
      </c>
    </row>
    <row r="3716" spans="1:40" x14ac:dyDescent="0.25">
      <c r="A3716" t="str">
        <f>"20190312164545847"</f>
        <v>20190312164545847</v>
      </c>
      <c r="B3716" t="str">
        <f>"1552380345834947"</f>
        <v>1552380345834947</v>
      </c>
      <c r="C3716" t="s">
        <v>40</v>
      </c>
      <c r="D3716">
        <v>5.4175950000000004</v>
      </c>
      <c r="E3716">
        <v>0.49821159999999998</v>
      </c>
      <c r="F3716" t="s">
        <v>42</v>
      </c>
      <c r="G3716">
        <v>-322.84780000000001</v>
      </c>
      <c r="H3716" s="1">
        <v>-3.6333119999999999E-6</v>
      </c>
      <c r="I3716">
        <v>141.8065</v>
      </c>
      <c r="J3716">
        <v>-291.51589999999999</v>
      </c>
      <c r="K3716">
        <v>1.1088150000000001</v>
      </c>
      <c r="L3716">
        <v>141.12299999999999</v>
      </c>
      <c r="M3716">
        <v>-0.99987090000000001</v>
      </c>
      <c r="N3716">
        <v>0</v>
      </c>
      <c r="O3716">
        <v>8.4797620000000001E-3</v>
      </c>
      <c r="P3716">
        <v>-0.98977269999999995</v>
      </c>
      <c r="Q3716">
        <v>0.1377206</v>
      </c>
      <c r="R3716">
        <v>3.719596E-2</v>
      </c>
      <c r="S3716">
        <v>-3.0433349999999999</v>
      </c>
      <c r="T3716">
        <v>-0.10667459999999999</v>
      </c>
      <c r="U3716">
        <v>6.6024780000000005E-2</v>
      </c>
      <c r="V3716">
        <v>2.886907E-2</v>
      </c>
      <c r="W3716">
        <v>0.15121670000000001</v>
      </c>
      <c r="X3716">
        <v>0.98807900000000004</v>
      </c>
      <c r="Y3716">
        <v>1.320754E-2</v>
      </c>
      <c r="Z3716" s="1">
        <v>-6.5747310000000001E-5</v>
      </c>
      <c r="AA3716">
        <v>0.99991280000000005</v>
      </c>
      <c r="AB3716">
        <v>31</v>
      </c>
      <c r="AC3716">
        <v>-31.331900000000001</v>
      </c>
      <c r="AD3716">
        <v>-1.10881863331199</v>
      </c>
      <c r="AE3716">
        <v>0.68350000000000899</v>
      </c>
      <c r="AF3716">
        <v>0.41724130694737999</v>
      </c>
      <c r="AG3716">
        <v>-1.10881863331199</v>
      </c>
      <c r="AH3716">
        <v>31.297391130609</v>
      </c>
      <c r="AI3716">
        <v>92.028872923159796</v>
      </c>
      <c r="AJ3716">
        <v>89.236206311740204</v>
      </c>
      <c r="AK3716">
        <v>31.319806203936299</v>
      </c>
      <c r="AL3716">
        <v>81.302557424452999</v>
      </c>
      <c r="AM3716">
        <v>88.326444099610995</v>
      </c>
      <c r="AN3716">
        <v>1.00000001190127</v>
      </c>
    </row>
    <row r="3717" spans="1:40" x14ac:dyDescent="0.25">
      <c r="A3717" t="str">
        <f>"20190312164545871"</f>
        <v>20190312164545871</v>
      </c>
      <c r="B3717" t="str">
        <f>"1552380345865203"</f>
        <v>1552380345865203</v>
      </c>
      <c r="C3717" t="s">
        <v>40</v>
      </c>
      <c r="D3717">
        <v>5.4184530000000004</v>
      </c>
      <c r="E3717">
        <v>0.49752999999999997</v>
      </c>
      <c r="F3717" t="s">
        <v>42</v>
      </c>
      <c r="G3717">
        <v>-321.75349999999997</v>
      </c>
      <c r="H3717" s="1">
        <v>-4.068489E-6</v>
      </c>
      <c r="I3717">
        <v>141.81039999999999</v>
      </c>
      <c r="J3717">
        <v>-291.82709999999997</v>
      </c>
      <c r="K3717">
        <v>1.108857</v>
      </c>
      <c r="L3717">
        <v>141.1259</v>
      </c>
      <c r="M3717">
        <v>-0.99986980000000003</v>
      </c>
      <c r="N3717">
        <v>0</v>
      </c>
      <c r="O3717">
        <v>8.5924720000000003E-3</v>
      </c>
      <c r="P3717">
        <v>-0.98969879999999999</v>
      </c>
      <c r="Q3717">
        <v>0.1383318</v>
      </c>
      <c r="R3717">
        <v>3.6887589999999998E-2</v>
      </c>
      <c r="S3717">
        <v>-3.0439449999999999</v>
      </c>
      <c r="T3717">
        <v>-0.1116225</v>
      </c>
      <c r="U3717">
        <v>6.9198609999999994E-2</v>
      </c>
      <c r="V3717">
        <v>2.843617E-2</v>
      </c>
      <c r="W3717">
        <v>0.15182799999999999</v>
      </c>
      <c r="X3717">
        <v>0.98799780000000004</v>
      </c>
      <c r="Y3717">
        <v>1.413171E-2</v>
      </c>
      <c r="Z3717" s="1">
        <v>-5.5974290000000003E-5</v>
      </c>
      <c r="AA3717">
        <v>0.99990020000000002</v>
      </c>
      <c r="AB3717">
        <v>31</v>
      </c>
      <c r="AC3717">
        <v>-29.926400000000001</v>
      </c>
      <c r="AD3717">
        <v>-1.1088610684889999</v>
      </c>
      <c r="AE3717">
        <v>0.68449999999998501</v>
      </c>
      <c r="AF3717">
        <v>0.42672343275834201</v>
      </c>
      <c r="AG3717">
        <v>-1.1088610684889999</v>
      </c>
      <c r="AH3717">
        <v>29.890161776193299</v>
      </c>
      <c r="AI3717">
        <v>92.124360295441406</v>
      </c>
      <c r="AJ3717">
        <v>89.182079004912694</v>
      </c>
      <c r="AK3717">
        <v>29.913766676302799</v>
      </c>
      <c r="AL3717">
        <v>81.267123326840306</v>
      </c>
      <c r="AM3717">
        <v>88.351390191625896</v>
      </c>
      <c r="AN3717">
        <v>1.0000000050765501</v>
      </c>
    </row>
    <row r="3718" spans="1:40" x14ac:dyDescent="0.25">
      <c r="A3718" t="str">
        <f>"20190312164545893"</f>
        <v>20190312164545893</v>
      </c>
      <c r="B3718" t="str">
        <f>"1552380345885702"</f>
        <v>1552380345885702</v>
      </c>
      <c r="C3718" t="s">
        <v>40</v>
      </c>
      <c r="D3718">
        <v>5.4870929999999998</v>
      </c>
      <c r="E3718">
        <v>0.49723519999999999</v>
      </c>
      <c r="F3718" t="s">
        <v>42</v>
      </c>
      <c r="G3718">
        <v>-321.03359999999998</v>
      </c>
      <c r="H3718" s="1">
        <v>-4.2987199999999997E-6</v>
      </c>
      <c r="I3718">
        <v>141.72730000000001</v>
      </c>
      <c r="J3718">
        <v>-292.15410000000003</v>
      </c>
      <c r="K3718">
        <v>1.108889</v>
      </c>
      <c r="L3718">
        <v>141.12880000000001</v>
      </c>
      <c r="M3718">
        <v>-0.99986909999999896</v>
      </c>
      <c r="N3718">
        <v>0</v>
      </c>
      <c r="O3718">
        <v>8.6845629999999993E-3</v>
      </c>
      <c r="P3718">
        <v>-0.98976430000000004</v>
      </c>
      <c r="Q3718">
        <v>0.13792560000000001</v>
      </c>
      <c r="R3718">
        <v>3.6647159999999998E-2</v>
      </c>
      <c r="S3718">
        <v>-3.0450740000000001</v>
      </c>
      <c r="T3718">
        <v>-0.11561</v>
      </c>
      <c r="U3718">
        <v>6.2713619999999998E-2</v>
      </c>
      <c r="V3718">
        <v>2.8094149999999998E-2</v>
      </c>
      <c r="W3718">
        <v>0.15142269999999999</v>
      </c>
      <c r="X3718">
        <v>0.9880698</v>
      </c>
      <c r="Y3718">
        <v>1.1904110000000001E-2</v>
      </c>
      <c r="Z3718">
        <v>-1.037149E-4</v>
      </c>
      <c r="AA3718">
        <v>0.99992910000000002</v>
      </c>
      <c r="AB3718">
        <v>31</v>
      </c>
      <c r="AC3718">
        <v>-28.879499999999901</v>
      </c>
      <c r="AD3718">
        <v>-1.10889329872</v>
      </c>
      <c r="AE3718">
        <v>0.59850000000000103</v>
      </c>
      <c r="AF3718">
        <v>0.34713663408596201</v>
      </c>
      <c r="AG3718">
        <v>-1.10889329872</v>
      </c>
      <c r="AH3718">
        <v>28.841105314065501</v>
      </c>
      <c r="AI3718">
        <v>92.201685086649505</v>
      </c>
      <c r="AJ3718">
        <v>89.310411183787807</v>
      </c>
      <c r="AK3718">
        <v>28.864502488830301</v>
      </c>
      <c r="AL3718">
        <v>81.2906170915752</v>
      </c>
      <c r="AM3718">
        <v>88.371326954820901</v>
      </c>
      <c r="AN3718">
        <v>1.0000000225057699</v>
      </c>
    </row>
    <row r="3719" spans="1:40" x14ac:dyDescent="0.25">
      <c r="A3719" t="str">
        <f>"20190312164545914"</f>
        <v>20190312164545914</v>
      </c>
      <c r="B3719" t="str">
        <f>"1552380345905222"</f>
        <v>1552380345905222</v>
      </c>
      <c r="C3719" t="s">
        <v>40</v>
      </c>
      <c r="D3719">
        <v>5.2479170000000002</v>
      </c>
      <c r="E3719">
        <v>0.49695299999999998</v>
      </c>
      <c r="F3719" t="s">
        <v>42</v>
      </c>
      <c r="G3719">
        <v>-323.07069999999999</v>
      </c>
      <c r="H3719" s="1">
        <v>-3.517154E-6</v>
      </c>
      <c r="I3719">
        <v>141.72929999999999</v>
      </c>
      <c r="J3719">
        <v>-292.44889999999998</v>
      </c>
      <c r="K3719">
        <v>1.108895</v>
      </c>
      <c r="L3719">
        <v>141.13149999999999</v>
      </c>
      <c r="M3719">
        <v>-0.99986850000000005</v>
      </c>
      <c r="N3719">
        <v>0</v>
      </c>
      <c r="O3719">
        <v>8.7581869999999902E-3</v>
      </c>
      <c r="P3719">
        <v>-0.98980480000000004</v>
      </c>
      <c r="Q3719">
        <v>0.137774799999999</v>
      </c>
      <c r="R3719">
        <v>3.612605E-2</v>
      </c>
      <c r="S3719">
        <v>-3.0440369999999999</v>
      </c>
      <c r="T3719">
        <v>-0.1091813</v>
      </c>
      <c r="U3719">
        <v>5.9127810000000003E-2</v>
      </c>
      <c r="V3719">
        <v>2.749474E-2</v>
      </c>
      <c r="W3719">
        <v>0.1512714</v>
      </c>
      <c r="X3719">
        <v>0.98810980000000004</v>
      </c>
      <c r="Y3719">
        <v>1.0661159999999999E-2</v>
      </c>
      <c r="Z3719">
        <v>-1.229073E-4</v>
      </c>
      <c r="AA3719">
        <v>0.99994309999999997</v>
      </c>
      <c r="AB3719">
        <v>31</v>
      </c>
      <c r="AC3719">
        <v>-30.6218</v>
      </c>
      <c r="AD3719">
        <v>-1.108898517154</v>
      </c>
      <c r="AE3719">
        <v>0.59780000000000599</v>
      </c>
      <c r="AF3719">
        <v>0.32912919214391501</v>
      </c>
      <c r="AG3719">
        <v>-1.108898517154</v>
      </c>
      <c r="AH3719">
        <v>30.585767760489102</v>
      </c>
      <c r="AI3719">
        <v>92.076250495212804</v>
      </c>
      <c r="AJ3719">
        <v>89.383471883418807</v>
      </c>
      <c r="AK3719">
        <v>30.6076325684468</v>
      </c>
      <c r="AL3719">
        <v>81.299386654605996</v>
      </c>
      <c r="AM3719">
        <v>88.406122299988695</v>
      </c>
      <c r="AN3719">
        <v>0.99999998702083304</v>
      </c>
    </row>
    <row r="3720" spans="1:40" x14ac:dyDescent="0.25">
      <c r="A3720" t="str">
        <f>"20190312164545936"</f>
        <v>20190312164545936</v>
      </c>
      <c r="B3720" t="str">
        <f>"1552380345925715"</f>
        <v>1552380345925715</v>
      </c>
      <c r="C3720" t="s">
        <v>40</v>
      </c>
      <c r="D3720">
        <v>5.340954</v>
      </c>
      <c r="E3720">
        <v>0.49683329999999998</v>
      </c>
      <c r="F3720" t="s">
        <v>42</v>
      </c>
      <c r="G3720">
        <v>-324.6651</v>
      </c>
      <c r="H3720" s="1">
        <v>-2.8300890000000001E-6</v>
      </c>
      <c r="I3720">
        <v>141.71770000000001</v>
      </c>
      <c r="J3720">
        <v>-292.74630000000002</v>
      </c>
      <c r="K3720">
        <v>1.1089020000000001</v>
      </c>
      <c r="L3720">
        <v>141.13419999999999</v>
      </c>
      <c r="M3720">
        <v>-0.99986790000000003</v>
      </c>
      <c r="N3720">
        <v>0</v>
      </c>
      <c r="O3720">
        <v>8.8302450000000005E-3</v>
      </c>
      <c r="P3720">
        <v>-0.98979989999999995</v>
      </c>
      <c r="Q3720">
        <v>0.13783129999999999</v>
      </c>
      <c r="R3720">
        <v>3.6040540000000003E-2</v>
      </c>
      <c r="S3720">
        <v>-3.0434570000000001</v>
      </c>
      <c r="T3720">
        <v>-0.1047573</v>
      </c>
      <c r="U3720">
        <v>5.5389399999999998E-2</v>
      </c>
      <c r="V3720">
        <v>2.733476E-2</v>
      </c>
      <c r="W3720">
        <v>0.15132699999999999</v>
      </c>
      <c r="X3720">
        <v>0.98810569999999998</v>
      </c>
      <c r="Y3720">
        <v>9.3658590000000007E-3</v>
      </c>
      <c r="Z3720">
        <v>-1.427179E-4</v>
      </c>
      <c r="AA3720">
        <v>0.99995610000000001</v>
      </c>
      <c r="AB3720">
        <v>31</v>
      </c>
      <c r="AC3720">
        <v>-31.918799999999901</v>
      </c>
      <c r="AD3720">
        <v>-1.1089048300890001</v>
      </c>
      <c r="AE3720">
        <v>0.58350000000001501</v>
      </c>
      <c r="AF3720">
        <v>0.301236715886117</v>
      </c>
      <c r="AG3720">
        <v>-1.1089048300890001</v>
      </c>
      <c r="AH3720">
        <v>31.884237895280101</v>
      </c>
      <c r="AI3720">
        <v>91.991803479228906</v>
      </c>
      <c r="AJ3720">
        <v>89.458695578663594</v>
      </c>
      <c r="AK3720">
        <v>31.904937543333499</v>
      </c>
      <c r="AL3720">
        <v>81.2961636913288</v>
      </c>
      <c r="AM3720">
        <v>88.4153850709897</v>
      </c>
      <c r="AN3720">
        <v>0.99999996220287302</v>
      </c>
    </row>
    <row r="3721" spans="1:40" x14ac:dyDescent="0.25">
      <c r="A3721" t="str">
        <f>"20190312164545960"</f>
        <v>20190312164545960</v>
      </c>
      <c r="B3721" t="str">
        <f>"1552380345954995"</f>
        <v>1552380345954995</v>
      </c>
      <c r="C3721" t="s">
        <v>40</v>
      </c>
      <c r="D3721">
        <v>5.7361399999999998</v>
      </c>
      <c r="E3721">
        <v>0.49662030000000001</v>
      </c>
      <c r="F3721" t="s">
        <v>42</v>
      </c>
      <c r="G3721">
        <v>-326.84899999999999</v>
      </c>
      <c r="H3721" s="1">
        <v>-1.9000729999999999E-6</v>
      </c>
      <c r="I3721">
        <v>141.74350000000001</v>
      </c>
      <c r="J3721">
        <v>-293.08150000000001</v>
      </c>
      <c r="K3721">
        <v>1.108908</v>
      </c>
      <c r="L3721">
        <v>141.13730000000001</v>
      </c>
      <c r="M3721">
        <v>-0.99986730000000001</v>
      </c>
      <c r="N3721">
        <v>0</v>
      </c>
      <c r="O3721">
        <v>8.9151100000000004E-3</v>
      </c>
      <c r="P3721">
        <v>-0.98984470000000002</v>
      </c>
      <c r="Q3721">
        <v>0.13754279999999999</v>
      </c>
      <c r="R3721">
        <v>3.5913710000000001E-2</v>
      </c>
      <c r="S3721">
        <v>-3.0427249999999999</v>
      </c>
      <c r="T3721">
        <v>-9.893942E-2</v>
      </c>
      <c r="U3721">
        <v>5.4367070000000003E-2</v>
      </c>
      <c r="V3721">
        <v>2.7121530000000001E-2</v>
      </c>
      <c r="W3721">
        <v>0.15103810000000001</v>
      </c>
      <c r="X3721">
        <v>0.98815580000000003</v>
      </c>
      <c r="Y3721">
        <v>8.949795E-3</v>
      </c>
      <c r="Z3721">
        <v>-1.443498E-4</v>
      </c>
      <c r="AA3721">
        <v>0.99995990000000001</v>
      </c>
      <c r="AB3721">
        <v>31</v>
      </c>
      <c r="AC3721">
        <v>-33.767499999999899</v>
      </c>
      <c r="AD3721">
        <v>-1.1089099000730001</v>
      </c>
      <c r="AE3721">
        <v>0.60620000000000096</v>
      </c>
      <c r="AF3721">
        <v>0.30477836351952198</v>
      </c>
      <c r="AG3721">
        <v>-1.1089099000730001</v>
      </c>
      <c r="AH3721">
        <v>33.735193106243102</v>
      </c>
      <c r="AI3721">
        <v>91.8826155290336</v>
      </c>
      <c r="AJ3721">
        <v>89.4823791646225</v>
      </c>
      <c r="AK3721">
        <v>33.754789659141103</v>
      </c>
      <c r="AL3721">
        <v>81.312909114738403</v>
      </c>
      <c r="AM3721">
        <v>88.427819607008203</v>
      </c>
      <c r="AN3721">
        <v>0.99999998505739496</v>
      </c>
    </row>
    <row r="3722" spans="1:40" x14ac:dyDescent="0.25">
      <c r="A3722" t="str">
        <f>"20190312164545985"</f>
        <v>20190312164545985</v>
      </c>
      <c r="B3722" t="str">
        <f>"1552380345975491"</f>
        <v>1552380345975491</v>
      </c>
      <c r="C3722" t="s">
        <v>40</v>
      </c>
      <c r="D3722">
        <v>5.3241509999999996</v>
      </c>
      <c r="E3722">
        <v>0.49656159999999999</v>
      </c>
      <c r="F3722" t="s">
        <v>42</v>
      </c>
      <c r="G3722">
        <v>-328.91469999999998</v>
      </c>
      <c r="H3722" s="1">
        <v>-1.017415E-6</v>
      </c>
      <c r="I3722">
        <v>141.7568</v>
      </c>
      <c r="J3722">
        <v>-293.4051</v>
      </c>
      <c r="K3722">
        <v>1.10891299999999</v>
      </c>
      <c r="L3722">
        <v>141.1403</v>
      </c>
      <c r="M3722">
        <v>-0.99986640000000004</v>
      </c>
      <c r="N3722">
        <v>0</v>
      </c>
      <c r="O3722">
        <v>9.0028199999999999E-3</v>
      </c>
      <c r="P3722">
        <v>-0.98982910000000002</v>
      </c>
      <c r="Q3722">
        <v>0.13761689999999999</v>
      </c>
      <c r="R3722">
        <v>3.6059500000000001E-2</v>
      </c>
      <c r="S3722">
        <v>-3.0419619999999998</v>
      </c>
      <c r="T3722">
        <v>-9.4138029999999998E-2</v>
      </c>
      <c r="U3722">
        <v>5.2597049999999999E-2</v>
      </c>
      <c r="V3722">
        <v>2.717996E-2</v>
      </c>
      <c r="W3722">
        <v>0.1511102</v>
      </c>
      <c r="X3722">
        <v>0.9881432</v>
      </c>
      <c r="Y3722">
        <v>8.2852480000000003E-3</v>
      </c>
      <c r="Z3722">
        <v>-1.503764E-4</v>
      </c>
      <c r="AA3722">
        <v>0.99996569999999996</v>
      </c>
      <c r="AB3722">
        <v>31</v>
      </c>
      <c r="AC3722">
        <v>-35.509599999999899</v>
      </c>
      <c r="AD3722">
        <v>-1.1089140174149901</v>
      </c>
      <c r="AE3722">
        <v>0.61650000000000205</v>
      </c>
      <c r="AF3722">
        <v>0.29646968077211899</v>
      </c>
      <c r="AG3722">
        <v>-1.1089140174149901</v>
      </c>
      <c r="AH3722">
        <v>35.479121768408802</v>
      </c>
      <c r="AI3722">
        <v>91.790157044054098</v>
      </c>
      <c r="AJ3722">
        <v>89.521237695063903</v>
      </c>
      <c r="AK3722">
        <v>35.497685361544598</v>
      </c>
      <c r="AL3722">
        <v>81.3087303711511</v>
      </c>
      <c r="AM3722">
        <v>88.424414162953795</v>
      </c>
      <c r="AN3722">
        <v>1.0000000132379401</v>
      </c>
    </row>
    <row r="3723" spans="1:40" x14ac:dyDescent="0.25">
      <c r="A3723" t="str">
        <f>"20190312164546003"</f>
        <v>20190312164546003</v>
      </c>
      <c r="B3723" t="str">
        <f>"1552380345995010"</f>
        <v>1552380345995010</v>
      </c>
      <c r="C3723" t="s">
        <v>40</v>
      </c>
      <c r="D3723">
        <v>5.2555230000000002</v>
      </c>
      <c r="E3723">
        <v>0.49646679999999999</v>
      </c>
      <c r="F3723" t="s">
        <v>42</v>
      </c>
      <c r="G3723">
        <v>-329.16109999999998</v>
      </c>
      <c r="H3723" s="1">
        <v>-9.1282780000000002E-7</v>
      </c>
      <c r="I3723">
        <v>141.76089999999999</v>
      </c>
      <c r="J3723">
        <v>-293.68790000000001</v>
      </c>
      <c r="K3723">
        <v>1.1089100000000001</v>
      </c>
      <c r="L3723">
        <v>141.1429</v>
      </c>
      <c r="M3723">
        <v>-0.99986580000000003</v>
      </c>
      <c r="N3723">
        <v>0</v>
      </c>
      <c r="O3723">
        <v>9.0834020000000008E-3</v>
      </c>
      <c r="P3723">
        <v>-0.98988030000000005</v>
      </c>
      <c r="Q3723">
        <v>0.13713069999999999</v>
      </c>
      <c r="R3723">
        <v>3.650072E-2</v>
      </c>
      <c r="S3723">
        <v>-3.0420530000000001</v>
      </c>
      <c r="T3723">
        <v>-9.4344499999999998E-2</v>
      </c>
      <c r="U3723">
        <v>5.2810669999999997E-2</v>
      </c>
      <c r="V3723">
        <v>2.75404E-2</v>
      </c>
      <c r="W3723">
        <v>0.150622799999999</v>
      </c>
      <c r="X3723">
        <v>0.98820759999999996</v>
      </c>
      <c r="Y3723">
        <v>8.2743869999999994E-3</v>
      </c>
      <c r="Z3723">
        <v>-1.5336829999999999E-4</v>
      </c>
      <c r="AA3723">
        <v>0.99996569999999996</v>
      </c>
      <c r="AB3723">
        <v>31</v>
      </c>
      <c r="AC3723">
        <v>-35.473199999999899</v>
      </c>
      <c r="AD3723">
        <v>-1.1089109128278001</v>
      </c>
      <c r="AE3723">
        <v>0.617999999999995</v>
      </c>
      <c r="AF3723">
        <v>0.29543859276458601</v>
      </c>
      <c r="AG3723">
        <v>-1.1089109128278001</v>
      </c>
      <c r="AH3723">
        <v>35.442725497425798</v>
      </c>
      <c r="AI3723">
        <v>91.791989458040007</v>
      </c>
      <c r="AJ3723">
        <v>89.522412788722704</v>
      </c>
      <c r="AK3723">
        <v>35.461299441229798</v>
      </c>
      <c r="AL3723">
        <v>81.336979390871605</v>
      </c>
      <c r="AM3723">
        <v>88.4036346673427</v>
      </c>
      <c r="AN3723">
        <v>0.99999998110487898</v>
      </c>
    </row>
    <row r="3724" spans="1:40" x14ac:dyDescent="0.25">
      <c r="A3724" t="str">
        <f>"20190312164546025"</f>
        <v>20190312164546025</v>
      </c>
      <c r="B3724" t="str">
        <f>"1552380346015506"</f>
        <v>1552380346015506</v>
      </c>
      <c r="C3724" t="s">
        <v>40</v>
      </c>
      <c r="D3724">
        <v>5.1972040000000002</v>
      </c>
      <c r="E3724">
        <v>0.49632500000000002</v>
      </c>
      <c r="F3724" t="s">
        <v>42</v>
      </c>
      <c r="G3724">
        <v>-329.75389999999999</v>
      </c>
      <c r="H3724" s="1">
        <v>-6.6318239999999996E-7</v>
      </c>
      <c r="I3724">
        <v>141.7784</v>
      </c>
      <c r="J3724">
        <v>-293.98200000000003</v>
      </c>
      <c r="K3724">
        <v>1.108911</v>
      </c>
      <c r="L3724">
        <v>141.1456</v>
      </c>
      <c r="M3724">
        <v>-0.99986489999999995</v>
      </c>
      <c r="N3724">
        <v>0</v>
      </c>
      <c r="O3724">
        <v>9.1698400000000003E-3</v>
      </c>
      <c r="P3724">
        <v>-0.98988719999999997</v>
      </c>
      <c r="Q3724">
        <v>0.1371222</v>
      </c>
      <c r="R3724">
        <v>3.6341980000000003E-2</v>
      </c>
      <c r="S3724">
        <v>-3.041687</v>
      </c>
      <c r="T3724">
        <v>-9.3522190000000005E-2</v>
      </c>
      <c r="U3724">
        <v>5.360413E-2</v>
      </c>
      <c r="V3724">
        <v>2.72961E-2</v>
      </c>
      <c r="W3724">
        <v>0.15061289999999999</v>
      </c>
      <c r="X3724">
        <v>0.98821590000000004</v>
      </c>
      <c r="Y3724">
        <v>8.4507490000000005E-3</v>
      </c>
      <c r="Z3724">
        <v>-1.5199650000000001E-4</v>
      </c>
      <c r="AA3724">
        <v>0.99996430000000003</v>
      </c>
      <c r="AB3724">
        <v>31</v>
      </c>
      <c r="AC3724">
        <v>-35.771899999999903</v>
      </c>
      <c r="AD3724">
        <v>-1.1089116631823901</v>
      </c>
      <c r="AE3724">
        <v>0.63280000000000303</v>
      </c>
      <c r="AF3724">
        <v>0.30442780960902899</v>
      </c>
      <c r="AG3724">
        <v>-1.1089116631823901</v>
      </c>
      <c r="AH3724">
        <v>35.7418628282593</v>
      </c>
      <c r="AI3724">
        <v>91.776999750892998</v>
      </c>
      <c r="AJ3724">
        <v>89.512000620516403</v>
      </c>
      <c r="AK3724">
        <v>35.760356818719103</v>
      </c>
      <c r="AL3724">
        <v>81.337553276079404</v>
      </c>
      <c r="AM3724">
        <v>88.417801445082603</v>
      </c>
      <c r="AN3724">
        <v>0.99999999386721505</v>
      </c>
    </row>
    <row r="3725" spans="1:40" x14ac:dyDescent="0.25">
      <c r="A3725" t="str">
        <f>"20190312164546049"</f>
        <v>20190312164546049</v>
      </c>
      <c r="B3725" t="str">
        <f>"1552380346045764"</f>
        <v>1552380346045764</v>
      </c>
      <c r="C3725" t="s">
        <v>40</v>
      </c>
      <c r="D3725">
        <v>5.3255339999999904</v>
      </c>
      <c r="E3725">
        <v>0.49626819999999999</v>
      </c>
      <c r="F3725" t="s">
        <v>42</v>
      </c>
      <c r="G3725">
        <v>-331.14530000000002</v>
      </c>
      <c r="H3725" s="1">
        <v>-4.6571190000000002E-6</v>
      </c>
      <c r="I3725">
        <v>141.79040000000001</v>
      </c>
      <c r="J3725">
        <v>-294.29649999999998</v>
      </c>
      <c r="K3725">
        <v>1.108914</v>
      </c>
      <c r="L3725">
        <v>141.14859999999999</v>
      </c>
      <c r="M3725">
        <v>-0.99986399999999998</v>
      </c>
      <c r="N3725">
        <v>0</v>
      </c>
      <c r="O3725">
        <v>9.2635019999999998E-3</v>
      </c>
      <c r="P3725">
        <v>-0.98987639999999999</v>
      </c>
      <c r="Q3725">
        <v>0.13725399999999999</v>
      </c>
      <c r="R3725">
        <v>3.6136649999999999E-2</v>
      </c>
      <c r="S3725">
        <v>-3.0412599999999999</v>
      </c>
      <c r="T3725">
        <v>-9.0748190000000006E-2</v>
      </c>
      <c r="U3725">
        <v>5.2764890000000002E-2</v>
      </c>
      <c r="V3725">
        <v>2.6998399999999999E-2</v>
      </c>
      <c r="W3725">
        <v>0.1507425</v>
      </c>
      <c r="X3725">
        <v>0.98820430000000004</v>
      </c>
      <c r="Y3725">
        <v>8.0838860000000002E-3</v>
      </c>
      <c r="Z3725">
        <v>-1.5577700000000001E-4</v>
      </c>
      <c r="AA3725">
        <v>0.9999673</v>
      </c>
      <c r="AB3725">
        <v>31</v>
      </c>
      <c r="AC3725">
        <v>-36.848799999999997</v>
      </c>
      <c r="AD3725">
        <v>-1.108918657119</v>
      </c>
      <c r="AE3725">
        <v>0.64180000000001702</v>
      </c>
      <c r="AF3725">
        <v>0.30012002937183302</v>
      </c>
      <c r="AG3725">
        <v>-1.108918657119</v>
      </c>
      <c r="AH3725">
        <v>36.819829323436501</v>
      </c>
      <c r="AI3725">
        <v>91.725022940762798</v>
      </c>
      <c r="AJ3725">
        <v>89.532989952999898</v>
      </c>
      <c r="AK3725">
        <v>36.837746999879599</v>
      </c>
      <c r="AL3725">
        <v>81.330041836381199</v>
      </c>
      <c r="AM3725">
        <v>88.435030419456993</v>
      </c>
      <c r="AN3725">
        <v>0.99999997672364904</v>
      </c>
    </row>
    <row r="3726" spans="1:40" x14ac:dyDescent="0.25">
      <c r="A3726" t="str">
        <f>"20190312164546072"</f>
        <v>20190312164546072</v>
      </c>
      <c r="B3726" t="str">
        <f>"1552380346065284"</f>
        <v>1552380346065284</v>
      </c>
      <c r="C3726" t="s">
        <v>40</v>
      </c>
      <c r="D3726">
        <v>5.1940309999999998</v>
      </c>
      <c r="E3726">
        <v>0.49619259999999898</v>
      </c>
      <c r="F3726" t="s">
        <v>42</v>
      </c>
      <c r="G3726">
        <v>-332.55070000000001</v>
      </c>
      <c r="H3726" s="1">
        <v>-4.0831729999999996E-6</v>
      </c>
      <c r="I3726">
        <v>141.8013</v>
      </c>
      <c r="J3726">
        <v>-294.61540000000002</v>
      </c>
      <c r="K3726">
        <v>1.1089150000000001</v>
      </c>
      <c r="L3726">
        <v>141.15170000000001</v>
      </c>
      <c r="M3726">
        <v>-0.99986330000000001</v>
      </c>
      <c r="N3726">
        <v>0</v>
      </c>
      <c r="O3726">
        <v>9.3591319999999992E-3</v>
      </c>
      <c r="P3726">
        <v>-0.98982550000000002</v>
      </c>
      <c r="Q3726">
        <v>0.13754479999999999</v>
      </c>
      <c r="R3726">
        <v>3.6429419999999997E-2</v>
      </c>
      <c r="S3726">
        <v>-3.0410159999999999</v>
      </c>
      <c r="T3726">
        <v>-8.8153480000000006E-2</v>
      </c>
      <c r="U3726">
        <v>5.1879880000000003E-2</v>
      </c>
      <c r="V3726">
        <v>2.719746E-2</v>
      </c>
      <c r="W3726">
        <v>0.15103059999999999</v>
      </c>
      <c r="X3726">
        <v>0.98815489999999995</v>
      </c>
      <c r="Y3726">
        <v>7.6988819999999998E-3</v>
      </c>
      <c r="Z3726">
        <v>-1.596875E-4</v>
      </c>
      <c r="AA3726">
        <v>0.99997040000000004</v>
      </c>
      <c r="AB3726">
        <v>31</v>
      </c>
      <c r="AC3726">
        <v>-37.935299999999899</v>
      </c>
      <c r="AD3726">
        <v>-1.10891908317299</v>
      </c>
      <c r="AE3726">
        <v>0.64959999999999196</v>
      </c>
      <c r="AF3726">
        <v>0.29424571818812501</v>
      </c>
      <c r="AG3726">
        <v>-1.10891908317299</v>
      </c>
      <c r="AH3726">
        <v>37.907336103659297</v>
      </c>
      <c r="AI3726">
        <v>91.675568972043493</v>
      </c>
      <c r="AJ3726">
        <v>89.555265525401097</v>
      </c>
      <c r="AK3726">
        <v>37.924693967802703</v>
      </c>
      <c r="AL3726">
        <v>81.313344171034004</v>
      </c>
      <c r="AM3726">
        <v>88.4234188811688</v>
      </c>
      <c r="AN3726">
        <v>1.00000002518041</v>
      </c>
    </row>
    <row r="3727" spans="1:40" x14ac:dyDescent="0.25">
      <c r="A3727" t="str">
        <f>"20190312164546094"</f>
        <v>20190312164546094</v>
      </c>
      <c r="B3727" t="str">
        <f>"1552380346085778"</f>
        <v>1552380346085778</v>
      </c>
      <c r="C3727" t="s">
        <v>40</v>
      </c>
      <c r="D3727">
        <v>5.2533070000000004</v>
      </c>
      <c r="E3727">
        <v>0.4960831</v>
      </c>
      <c r="F3727" t="s">
        <v>42</v>
      </c>
      <c r="G3727">
        <v>-334.18079999999998</v>
      </c>
      <c r="H3727" s="1">
        <v>-3.3205740000000002E-6</v>
      </c>
      <c r="I3727">
        <v>141.8313</v>
      </c>
      <c r="J3727">
        <v>-294.92700000000002</v>
      </c>
      <c r="K3727">
        <v>1.1089180000000001</v>
      </c>
      <c r="L3727">
        <v>141.15469999999999</v>
      </c>
      <c r="M3727">
        <v>-0.99986240000000004</v>
      </c>
      <c r="N3727">
        <v>0</v>
      </c>
      <c r="O3727">
        <v>9.4523130000000004E-3</v>
      </c>
      <c r="P3727">
        <v>-0.98979010000000001</v>
      </c>
      <c r="Q3727">
        <v>0.13776640000000001</v>
      </c>
      <c r="R3727">
        <v>3.6555650000000002E-2</v>
      </c>
      <c r="S3727">
        <v>-3.0407709999999999</v>
      </c>
      <c r="T3727">
        <v>-8.5225110000000007E-2</v>
      </c>
      <c r="U3727">
        <v>5.2230829999999999E-2</v>
      </c>
      <c r="V3727">
        <v>2.723211E-2</v>
      </c>
      <c r="W3727">
        <v>0.1512502</v>
      </c>
      <c r="X3727">
        <v>0.98812029999999995</v>
      </c>
      <c r="Y3727">
        <v>7.7224210000000001E-3</v>
      </c>
      <c r="Z3727">
        <v>-1.5667839999999999E-4</v>
      </c>
      <c r="AA3727">
        <v>0.99997020000000003</v>
      </c>
      <c r="AB3727">
        <v>31</v>
      </c>
      <c r="AC3727">
        <v>-39.253799999999899</v>
      </c>
      <c r="AD3727">
        <v>-1.1089213205740001</v>
      </c>
      <c r="AE3727">
        <v>0.67660000000000697</v>
      </c>
      <c r="AF3727">
        <v>0.30525254412859298</v>
      </c>
      <c r="AG3727">
        <v>-1.1089213205740001</v>
      </c>
      <c r="AH3727">
        <v>39.227145576083899</v>
      </c>
      <c r="AI3727">
        <v>91.619227489511005</v>
      </c>
      <c r="AJ3727">
        <v>89.554152381090304</v>
      </c>
      <c r="AK3727">
        <v>39.2440038178853</v>
      </c>
      <c r="AL3727">
        <v>81.300615306359703</v>
      </c>
      <c r="AM3727">
        <v>88.421356059357905</v>
      </c>
      <c r="AN3727">
        <v>0.99999996904359001</v>
      </c>
    </row>
    <row r="3728" spans="1:40" x14ac:dyDescent="0.25">
      <c r="A3728" t="str">
        <f>"20190312164546115"</f>
        <v>20190312164546115</v>
      </c>
      <c r="B3728" t="str">
        <f>"1552380346105302"</f>
        <v>1552380346105302</v>
      </c>
      <c r="C3728" t="s">
        <v>40</v>
      </c>
      <c r="D3728">
        <v>4.9661589999999904</v>
      </c>
      <c r="E3728">
        <v>0.49602800000000002</v>
      </c>
      <c r="F3728" t="s">
        <v>42</v>
      </c>
      <c r="G3728">
        <v>-335.57810000000001</v>
      </c>
      <c r="H3728" s="1">
        <v>-2.664174E-6</v>
      </c>
      <c r="I3728">
        <v>141.8467</v>
      </c>
      <c r="J3728">
        <v>-295.21359999999999</v>
      </c>
      <c r="K3728">
        <v>1.1089100000000001</v>
      </c>
      <c r="L3728">
        <v>141.1575</v>
      </c>
      <c r="M3728">
        <v>-0.99986149999999996</v>
      </c>
      <c r="N3728">
        <v>0</v>
      </c>
      <c r="O3728">
        <v>9.5382179999999993E-3</v>
      </c>
      <c r="P3728">
        <v>-0.98967769999999999</v>
      </c>
      <c r="Q3728">
        <v>0.13844029999999999</v>
      </c>
      <c r="R3728">
        <v>3.7045920000000003E-2</v>
      </c>
      <c r="S3728">
        <v>-3.0405880000000001</v>
      </c>
      <c r="T3728">
        <v>-8.2944039999999997E-2</v>
      </c>
      <c r="U3728">
        <v>5.1757810000000001E-2</v>
      </c>
      <c r="V3728">
        <v>2.7638639999999999E-2</v>
      </c>
      <c r="W3728">
        <v>0.151920899999999</v>
      </c>
      <c r="X3728">
        <v>0.98800619999999995</v>
      </c>
      <c r="Y3728">
        <v>7.4821050000000002E-3</v>
      </c>
      <c r="Z3728">
        <v>-1.5811570000000001E-4</v>
      </c>
      <c r="AA3728">
        <v>0.99997199999999997</v>
      </c>
      <c r="AB3728">
        <v>31</v>
      </c>
      <c r="AC3728">
        <v>-40.3645</v>
      </c>
      <c r="AD3728">
        <v>-1.1089126641739999</v>
      </c>
      <c r="AE3728">
        <v>0.68919999999999904</v>
      </c>
      <c r="AF3728">
        <v>0.30389813473340899</v>
      </c>
      <c r="AG3728">
        <v>-1.1089126641739999</v>
      </c>
      <c r="AH3728">
        <v>40.338801530064302</v>
      </c>
      <c r="AI3728">
        <v>91.574618334549399</v>
      </c>
      <c r="AJ3728">
        <v>89.568362210555506</v>
      </c>
      <c r="AK3728">
        <v>40.355184924058698</v>
      </c>
      <c r="AL3728">
        <v>81.261738498875701</v>
      </c>
      <c r="AM3728">
        <v>88.397616796993901</v>
      </c>
      <c r="AN3728">
        <v>1.0000000527581401</v>
      </c>
    </row>
    <row r="3729" spans="1:40" x14ac:dyDescent="0.25">
      <c r="A3729" t="str">
        <f>"20190312164546127"</f>
        <v>20190312164546127</v>
      </c>
      <c r="B3729" t="str">
        <f>"1552380346115059"</f>
        <v>1552380346115059</v>
      </c>
      <c r="C3729" t="s">
        <v>40</v>
      </c>
      <c r="D3729">
        <v>4.9641339999999996</v>
      </c>
      <c r="E3729">
        <v>0.49597590000000003</v>
      </c>
      <c r="F3729" t="s">
        <v>42</v>
      </c>
      <c r="G3729">
        <v>-337.64920000000001</v>
      </c>
      <c r="H3729" s="1">
        <v>-1.698681E-6</v>
      </c>
      <c r="I3729">
        <v>141.89760000000001</v>
      </c>
      <c r="J3729">
        <v>-295.39010000000002</v>
      </c>
      <c r="K3729">
        <v>1.108914</v>
      </c>
      <c r="L3729">
        <v>141.1592</v>
      </c>
      <c r="M3729">
        <v>-0.999861</v>
      </c>
      <c r="N3729">
        <v>0</v>
      </c>
      <c r="O3729">
        <v>9.5912129999999995E-3</v>
      </c>
      <c r="P3729">
        <v>-0.98964129999999995</v>
      </c>
      <c r="Q3729">
        <v>0.13863429999999999</v>
      </c>
      <c r="R3729">
        <v>3.7287389999999997E-2</v>
      </c>
      <c r="S3729">
        <v>-3.0404360000000001</v>
      </c>
      <c r="T3729">
        <v>-7.9451560000000004E-2</v>
      </c>
      <c r="U3729">
        <v>5.3024290000000002E-2</v>
      </c>
      <c r="V3729">
        <v>2.7827870000000001E-2</v>
      </c>
      <c r="W3729">
        <v>0.15211359999999999</v>
      </c>
      <c r="X3729">
        <v>0.98797120000000005</v>
      </c>
      <c r="Y3729">
        <v>7.8461980000000004E-3</v>
      </c>
      <c r="Z3729">
        <v>-1.480958E-4</v>
      </c>
      <c r="AA3729">
        <v>0.9999692</v>
      </c>
      <c r="AB3729">
        <v>31</v>
      </c>
      <c r="AC3729">
        <v>-42.259099999999897</v>
      </c>
      <c r="AD3729">
        <v>-1.108915698681</v>
      </c>
      <c r="AE3729">
        <v>0.73840000000001205</v>
      </c>
      <c r="AF3729">
        <v>0.33278322383852399</v>
      </c>
      <c r="AG3729">
        <v>-1.108915698681</v>
      </c>
      <c r="AH3729">
        <v>42.235165108936002</v>
      </c>
      <c r="AI3729">
        <v>91.503951140469994</v>
      </c>
      <c r="AJ3729">
        <v>89.548559130709293</v>
      </c>
      <c r="AK3729">
        <v>42.251030880677099</v>
      </c>
      <c r="AL3729">
        <v>81.250567440453295</v>
      </c>
      <c r="AM3729">
        <v>88.386594615455905</v>
      </c>
      <c r="AN3729">
        <v>1.00000001484156</v>
      </c>
    </row>
    <row r="3730" spans="1:40" x14ac:dyDescent="0.25">
      <c r="A3730" t="str">
        <f>"20190312164546140"</f>
        <v>20190312164546140</v>
      </c>
      <c r="B3730" t="str">
        <f>"1552380346135555"</f>
        <v>1552380346135555</v>
      </c>
      <c r="C3730" t="s">
        <v>40</v>
      </c>
      <c r="D3730">
        <v>4.929335</v>
      </c>
      <c r="E3730">
        <v>0.49552750000000001</v>
      </c>
      <c r="F3730" t="s">
        <v>42</v>
      </c>
      <c r="G3730">
        <v>-338.50220000000002</v>
      </c>
      <c r="H3730" s="1">
        <v>-1.2999419999999999E-6</v>
      </c>
      <c r="I3730">
        <v>141.9144</v>
      </c>
      <c r="J3730">
        <v>-295.56</v>
      </c>
      <c r="K3730">
        <v>1.108911</v>
      </c>
      <c r="L3730">
        <v>141.1609</v>
      </c>
      <c r="M3730">
        <v>-0.99986059999999999</v>
      </c>
      <c r="N3730">
        <v>0</v>
      </c>
      <c r="O3730">
        <v>9.6420610000000004E-3</v>
      </c>
      <c r="P3730">
        <v>-0.98955320000000002</v>
      </c>
      <c r="Q3730">
        <v>0.13922760000000001</v>
      </c>
      <c r="R3730">
        <v>3.7423610000000003E-2</v>
      </c>
      <c r="S3730">
        <v>-3.040375</v>
      </c>
      <c r="T3730">
        <v>-7.8203439999999999E-2</v>
      </c>
      <c r="U3730">
        <v>5.3253170000000002E-2</v>
      </c>
      <c r="V3730">
        <v>2.7915079999999998E-2</v>
      </c>
      <c r="W3730">
        <v>0.15270410000000001</v>
      </c>
      <c r="X3730">
        <v>0.98787760000000002</v>
      </c>
      <c r="Y3730">
        <v>7.8709399999999999E-3</v>
      </c>
      <c r="Z3730">
        <v>-1.4676229999999901E-4</v>
      </c>
      <c r="AA3730">
        <v>0.999969</v>
      </c>
      <c r="AB3730">
        <v>31</v>
      </c>
      <c r="AC3730">
        <v>-42.9422</v>
      </c>
      <c r="AD3730">
        <v>-1.108912299942</v>
      </c>
      <c r="AE3730">
        <v>0.75350000000000195</v>
      </c>
      <c r="AF3730">
        <v>0.33914909080619798</v>
      </c>
      <c r="AG3730">
        <v>-1.108912299942</v>
      </c>
      <c r="AH3730">
        <v>42.918857919346401</v>
      </c>
      <c r="AI3730">
        <v>91.479999301357694</v>
      </c>
      <c r="AJ3730">
        <v>89.547252466055696</v>
      </c>
      <c r="AK3730">
        <v>42.934520769373897</v>
      </c>
      <c r="AL3730">
        <v>81.216333987154798</v>
      </c>
      <c r="AM3730">
        <v>88.381387770421398</v>
      </c>
      <c r="AN3730">
        <v>0.99999997321498701</v>
      </c>
    </row>
    <row r="3731" spans="1:40" x14ac:dyDescent="0.25">
      <c r="A3731" t="str">
        <f>"20190312164546153"</f>
        <v>20190312164546153</v>
      </c>
      <c r="B3731" t="str">
        <f>"1552380346145315"</f>
        <v>1552380346145315</v>
      </c>
      <c r="C3731" t="s">
        <v>40</v>
      </c>
      <c r="D3731">
        <v>5.0324849999999897</v>
      </c>
      <c r="E3731">
        <v>0.49578290000000003</v>
      </c>
      <c r="F3731" t="s">
        <v>71</v>
      </c>
      <c r="G3731">
        <v>-310.24200000000002</v>
      </c>
      <c r="H3731" s="1">
        <v>-9.8793849999999996E-6</v>
      </c>
      <c r="I3731">
        <v>141.36080000000001</v>
      </c>
      <c r="J3731">
        <v>-295.73649999999998</v>
      </c>
      <c r="K3731">
        <v>1.10891299999999</v>
      </c>
      <c r="L3731">
        <v>141.1627</v>
      </c>
      <c r="M3731">
        <v>-0.99986019999999998</v>
      </c>
      <c r="N3731">
        <v>0</v>
      </c>
      <c r="O3731">
        <v>9.694935E-3</v>
      </c>
      <c r="P3731">
        <v>-0.98948119999999995</v>
      </c>
      <c r="Q3731">
        <v>0.1396657</v>
      </c>
      <c r="R3731">
        <v>3.7696430000000003E-2</v>
      </c>
      <c r="S3731">
        <v>-3.0626530000000001</v>
      </c>
      <c r="T3731">
        <v>-0.23131950000000001</v>
      </c>
      <c r="U3731">
        <v>4.170227E-2</v>
      </c>
      <c r="V3731">
        <v>2.813622E-2</v>
      </c>
      <c r="W3731">
        <v>0.15314049999999901</v>
      </c>
      <c r="X3731">
        <v>0.98780380000000001</v>
      </c>
      <c r="Y3731">
        <v>3.9359529999999998E-3</v>
      </c>
      <c r="Z3731">
        <v>-5.8280099999999998E-4</v>
      </c>
      <c r="AA3731">
        <v>0.99999210000000005</v>
      </c>
      <c r="AB3731">
        <v>31</v>
      </c>
      <c r="AC3731">
        <v>-14.5055</v>
      </c>
      <c r="AD3731">
        <v>-1.1089228793849999</v>
      </c>
      <c r="AE3731">
        <v>0.19810000000000999</v>
      </c>
      <c r="AF3731">
        <v>5.7114024131481402E-2</v>
      </c>
      <c r="AG3731">
        <v>-1.1089228793849999</v>
      </c>
      <c r="AH3731">
        <v>14.4224644846781</v>
      </c>
      <c r="AI3731">
        <v>94.396706365619394</v>
      </c>
      <c r="AJ3731">
        <v>89.773105669194607</v>
      </c>
      <c r="AK3731">
        <v>14.4651461719534</v>
      </c>
      <c r="AL3731">
        <v>81.191032786139203</v>
      </c>
      <c r="AM3731">
        <v>88.368450395805496</v>
      </c>
      <c r="AN3731">
        <v>1.0000000034552801</v>
      </c>
    </row>
    <row r="3732" spans="1:40" x14ac:dyDescent="0.25">
      <c r="A3732" t="str">
        <f>"20190312164546173"</f>
        <v>20190312164546173</v>
      </c>
      <c r="B3732" t="str">
        <f>"1552380346165811"</f>
        <v>1552380346165811</v>
      </c>
      <c r="C3732" t="s">
        <v>40</v>
      </c>
      <c r="D3732">
        <v>5.0680360000000002</v>
      </c>
      <c r="E3732">
        <v>0.49510150000000003</v>
      </c>
      <c r="F3732" t="s">
        <v>41</v>
      </c>
      <c r="G3732">
        <v>-296.67770000000002</v>
      </c>
      <c r="H3732">
        <v>1.040454</v>
      </c>
      <c r="I3732">
        <v>141.1764</v>
      </c>
      <c r="J3732">
        <v>-296.01119999999997</v>
      </c>
      <c r="K3732">
        <v>1.108916</v>
      </c>
      <c r="L3732">
        <v>141.16550000000001</v>
      </c>
      <c r="M3732">
        <v>-0.99985930000000001</v>
      </c>
      <c r="N3732">
        <v>0</v>
      </c>
      <c r="O3732">
        <v>9.7771339999999998E-3</v>
      </c>
      <c r="P3732">
        <v>-0.98934109999999997</v>
      </c>
      <c r="Q3732">
        <v>0.14054559999999999</v>
      </c>
      <c r="R3732">
        <v>3.809821E-2</v>
      </c>
      <c r="S3732">
        <v>-3.0616150000000002</v>
      </c>
      <c r="T3732">
        <v>-0.22263260000000001</v>
      </c>
      <c r="U3732">
        <v>4.4845580000000003E-2</v>
      </c>
      <c r="V3732">
        <v>2.8458170000000001E-2</v>
      </c>
      <c r="W3732">
        <v>0.15401689999999901</v>
      </c>
      <c r="X3732">
        <v>0.98765829999999999</v>
      </c>
      <c r="Y3732">
        <v>4.8813490000000001E-3</v>
      </c>
      <c r="Z3732">
        <v>-5.3280109999999999E-4</v>
      </c>
      <c r="AA3732">
        <v>0.99998799999999999</v>
      </c>
      <c r="AB3732">
        <v>31</v>
      </c>
      <c r="AC3732">
        <v>-0.66650000000004095</v>
      </c>
      <c r="AD3732">
        <v>-6.8461999999999995E-2</v>
      </c>
      <c r="AE3732">
        <v>1.08999999999923E-2</v>
      </c>
      <c r="AF3732">
        <v>4.3366691643985898E-3</v>
      </c>
      <c r="AG3732">
        <v>-6.8461999999999995E-2</v>
      </c>
      <c r="AH3732">
        <v>0.65961687720416395</v>
      </c>
      <c r="AI3732">
        <v>95.925416634756999</v>
      </c>
      <c r="AJ3732">
        <v>89.623312760916605</v>
      </c>
      <c r="AK3732">
        <v>0.66317439398397704</v>
      </c>
      <c r="AL3732">
        <v>81.140215819716005</v>
      </c>
      <c r="AM3732">
        <v>88.349548607038201</v>
      </c>
      <c r="AN3732">
        <v>0.99999999524212402</v>
      </c>
    </row>
    <row r="3733" spans="1:40" x14ac:dyDescent="0.25">
      <c r="A3733" t="str">
        <f>"20190312164546195"</f>
        <v>20190312164546195</v>
      </c>
      <c r="B3733" t="str">
        <f>"1552380346185331"</f>
        <v>1552380346185331</v>
      </c>
      <c r="C3733" t="s">
        <v>40</v>
      </c>
      <c r="D3733">
        <v>5.3164089999999904</v>
      </c>
      <c r="E3733">
        <v>0.49437579999999998</v>
      </c>
      <c r="F3733" t="s">
        <v>71</v>
      </c>
      <c r="G3733">
        <v>-312.62740000000002</v>
      </c>
      <c r="H3733" s="1">
        <v>-8.9493949999999906E-6</v>
      </c>
      <c r="I3733">
        <v>141.3888</v>
      </c>
      <c r="J3733">
        <v>-296.31389999999999</v>
      </c>
      <c r="K3733">
        <v>1.108922</v>
      </c>
      <c r="L3733">
        <v>141.16849999999999</v>
      </c>
      <c r="M3733">
        <v>-0.99985849999999998</v>
      </c>
      <c r="N3733">
        <v>0</v>
      </c>
      <c r="O3733">
        <v>9.8667189999999995E-3</v>
      </c>
      <c r="P3733">
        <v>-0.98924129999999999</v>
      </c>
      <c r="Q3733">
        <v>0.14115820000000001</v>
      </c>
      <c r="R3733">
        <v>3.8420509999999998E-2</v>
      </c>
      <c r="S3733">
        <v>-3.0597530000000002</v>
      </c>
      <c r="T3733">
        <v>-0.20420050000000001</v>
      </c>
      <c r="U3733">
        <v>4.1122440000000003E-2</v>
      </c>
      <c r="V3733">
        <v>2.8692740000000001E-2</v>
      </c>
      <c r="W3733">
        <v>0.15462609999999999</v>
      </c>
      <c r="X3733">
        <v>0.98755630000000005</v>
      </c>
      <c r="Y3733">
        <v>3.5851479999999998E-3</v>
      </c>
      <c r="Z3733">
        <v>-5.3826809999999998E-4</v>
      </c>
      <c r="AA3733">
        <v>0.99999340000000003</v>
      </c>
      <c r="AB3733">
        <v>31</v>
      </c>
      <c r="AC3733">
        <v>-16.313500000000001</v>
      </c>
      <c r="AD3733">
        <v>-1.1089309493949999</v>
      </c>
      <c r="AE3733">
        <v>0.22030000000000799</v>
      </c>
      <c r="AF3733">
        <v>5.9040847863419697E-2</v>
      </c>
      <c r="AG3733">
        <v>-1.1089309493949999</v>
      </c>
      <c r="AH3733">
        <v>16.2398525919067</v>
      </c>
      <c r="AI3733">
        <v>93.906326559149207</v>
      </c>
      <c r="AJ3733">
        <v>89.791699063849705</v>
      </c>
      <c r="AK3733">
        <v>16.277777055823702</v>
      </c>
      <c r="AL3733">
        <v>81.104887844916405</v>
      </c>
      <c r="AM3733">
        <v>88.335780399044694</v>
      </c>
      <c r="AN3733">
        <v>0.99999997489980297</v>
      </c>
    </row>
    <row r="3734" spans="1:40" x14ac:dyDescent="0.25">
      <c r="A3734" t="str">
        <f>"20190312164546215"</f>
        <v>20190312164546215</v>
      </c>
      <c r="B3734" t="str">
        <f>"1552380346205828"</f>
        <v>1552380346205828</v>
      </c>
      <c r="C3734" t="s">
        <v>40</v>
      </c>
      <c r="D3734">
        <v>5.0248989999999996</v>
      </c>
      <c r="E3734">
        <v>0.4946719</v>
      </c>
      <c r="F3734" t="s">
        <v>71</v>
      </c>
      <c r="G3734">
        <v>-316.33929999999998</v>
      </c>
      <c r="H3734" s="1">
        <v>-7.4677199999999901E-6</v>
      </c>
      <c r="I3734">
        <v>141.41980000000001</v>
      </c>
      <c r="J3734">
        <v>-296.59210000000002</v>
      </c>
      <c r="K3734">
        <v>1.1089340000000001</v>
      </c>
      <c r="L3734">
        <v>141.17140000000001</v>
      </c>
      <c r="M3734">
        <v>-0.99985769999999996</v>
      </c>
      <c r="N3734">
        <v>0</v>
      </c>
      <c r="O3734">
        <v>9.9458529999999993E-3</v>
      </c>
      <c r="P3734">
        <v>-0.98924699999999999</v>
      </c>
      <c r="Q3734">
        <v>0.1410747</v>
      </c>
      <c r="R3734">
        <v>3.8585380000000002E-2</v>
      </c>
      <c r="S3734">
        <v>-3.0552670000000002</v>
      </c>
      <c r="T3734">
        <v>-0.16918920000000001</v>
      </c>
      <c r="U3734">
        <v>3.8345339999999999E-2</v>
      </c>
      <c r="V3734">
        <v>2.8778539999999998E-2</v>
      </c>
      <c r="W3734">
        <v>0.15454129999999899</v>
      </c>
      <c r="X3734">
        <v>0.98756710000000003</v>
      </c>
      <c r="Y3734">
        <v>2.614197E-3</v>
      </c>
      <c r="Z3734">
        <v>-4.7803249999999999E-4</v>
      </c>
      <c r="AA3734">
        <v>0.99999649999999995</v>
      </c>
      <c r="AB3734">
        <v>31</v>
      </c>
      <c r="AC3734">
        <v>-19.7471999999999</v>
      </c>
      <c r="AD3734">
        <v>-1.10894146772</v>
      </c>
      <c r="AE3734">
        <v>0.24840000000000301</v>
      </c>
      <c r="AF3734">
        <v>5.1803387444307902E-2</v>
      </c>
      <c r="AG3734">
        <v>-1.10894146772</v>
      </c>
      <c r="AH3734">
        <v>19.686620032826699</v>
      </c>
      <c r="AI3734">
        <v>93.224036003734398</v>
      </c>
      <c r="AJ3734">
        <v>89.849232188692497</v>
      </c>
      <c r="AK3734">
        <v>19.717896517800099</v>
      </c>
      <c r="AL3734">
        <v>81.109805842073499</v>
      </c>
      <c r="AM3734">
        <v>88.330824932445097</v>
      </c>
      <c r="AN3734">
        <v>0.99999999738631495</v>
      </c>
    </row>
    <row r="3735" spans="1:40" x14ac:dyDescent="0.25">
      <c r="A3735" t="str">
        <f>"20190312164546230"</f>
        <v>20190312164546230</v>
      </c>
      <c r="B3735" t="str">
        <f>"1552380346225348"</f>
        <v>1552380346225348</v>
      </c>
      <c r="C3735" t="s">
        <v>40</v>
      </c>
      <c r="D3735">
        <v>5.3241839999999998</v>
      </c>
      <c r="E3735">
        <v>0.49458419999999997</v>
      </c>
      <c r="F3735" t="s">
        <v>42</v>
      </c>
      <c r="G3735">
        <v>-320.00869999999998</v>
      </c>
      <c r="H3735" s="1">
        <v>-4.6065249999999999E-6</v>
      </c>
      <c r="I3735">
        <v>141.49619999999999</v>
      </c>
      <c r="J3735">
        <v>-296.77730000000003</v>
      </c>
      <c r="K3735">
        <v>1.108938</v>
      </c>
      <c r="L3735">
        <v>141.17320000000001</v>
      </c>
      <c r="M3735">
        <v>-0.9998572</v>
      </c>
      <c r="N3735">
        <v>0</v>
      </c>
      <c r="O3735">
        <v>9.9964849999999994E-3</v>
      </c>
      <c r="P3735">
        <v>-0.98925929999999995</v>
      </c>
      <c r="Q3735">
        <v>0.14094979999999999</v>
      </c>
      <c r="R3735">
        <v>3.8723960000000002E-2</v>
      </c>
      <c r="S3735">
        <v>-3.0515439999999998</v>
      </c>
      <c r="T3735">
        <v>-0.14451269999999999</v>
      </c>
      <c r="U3735">
        <v>4.2343140000000001E-2</v>
      </c>
      <c r="V3735">
        <v>2.8865930000000001E-2</v>
      </c>
      <c r="W3735">
        <v>0.15441589999999999</v>
      </c>
      <c r="X3735">
        <v>0.98758420000000002</v>
      </c>
      <c r="Y3735">
        <v>3.8843419999999998E-3</v>
      </c>
      <c r="Z3735">
        <v>-3.8122779999999999E-4</v>
      </c>
      <c r="AA3735">
        <v>0.9999924</v>
      </c>
      <c r="AB3735">
        <v>31</v>
      </c>
      <c r="AC3735">
        <v>-23.231399999999901</v>
      </c>
      <c r="AD3735">
        <v>-1.1089426065250001</v>
      </c>
      <c r="AE3735">
        <v>0.32299999999997903</v>
      </c>
      <c r="AF3735">
        <v>9.0523729203129094E-2</v>
      </c>
      <c r="AG3735">
        <v>-1.1089426065250001</v>
      </c>
      <c r="AH3735">
        <v>23.1806590126318</v>
      </c>
      <c r="AI3735">
        <v>92.738871387358301</v>
      </c>
      <c r="AJ3735">
        <v>89.776253071106694</v>
      </c>
      <c r="AK3735">
        <v>23.207345830792899</v>
      </c>
      <c r="AL3735">
        <v>81.117078337931005</v>
      </c>
      <c r="AM3735">
        <v>88.325788105892101</v>
      </c>
      <c r="AN3735">
        <v>1.0000000320886</v>
      </c>
    </row>
    <row r="3736" spans="1:40" x14ac:dyDescent="0.25">
      <c r="A3736" t="str">
        <f>"20190312164546250"</f>
        <v>20190312164546250</v>
      </c>
      <c r="B3736" t="str">
        <f>"1552380346244867"</f>
        <v>1552380346244867</v>
      </c>
      <c r="C3736" t="s">
        <v>40</v>
      </c>
      <c r="D3736">
        <v>5.2350099999999999</v>
      </c>
      <c r="E3736">
        <v>0.49480210000000002</v>
      </c>
      <c r="F3736" t="s">
        <v>42</v>
      </c>
      <c r="G3736">
        <v>-322.9348</v>
      </c>
      <c r="H3736" s="1">
        <v>-3.5250269999999998E-6</v>
      </c>
      <c r="I3736">
        <v>141.53970000000001</v>
      </c>
      <c r="J3736">
        <v>-297.0566</v>
      </c>
      <c r="K3736">
        <v>1.1089389999999999</v>
      </c>
      <c r="L3736">
        <v>141.17609999999999</v>
      </c>
      <c r="M3736">
        <v>-0.99985659999999998</v>
      </c>
      <c r="N3736">
        <v>0</v>
      </c>
      <c r="O3736">
        <v>1.006363E-2</v>
      </c>
      <c r="P3736">
        <v>-0.98929129999999998</v>
      </c>
      <c r="Q3736">
        <v>0.14073459999999999</v>
      </c>
      <c r="R3736">
        <v>3.8688149999999998E-2</v>
      </c>
      <c r="S3736">
        <v>-3.0492859999999999</v>
      </c>
      <c r="T3736">
        <v>-0.1292741</v>
      </c>
      <c r="U3736">
        <v>4.2724610000000003E-2</v>
      </c>
      <c r="V3736">
        <v>2.876101E-2</v>
      </c>
      <c r="W3736">
        <v>0.1541997</v>
      </c>
      <c r="X3736">
        <v>0.98762099999999997</v>
      </c>
      <c r="Y3736">
        <v>3.9511809999999998E-3</v>
      </c>
      <c r="Z3736">
        <v>-3.4274719999999998E-4</v>
      </c>
      <c r="AA3736">
        <v>0.99999210000000005</v>
      </c>
      <c r="AB3736">
        <v>31</v>
      </c>
      <c r="AC3736">
        <v>-25.8782</v>
      </c>
      <c r="AD3736">
        <v>-1.108942525027</v>
      </c>
      <c r="AE3736">
        <v>0.36360000000001902</v>
      </c>
      <c r="AF3736">
        <v>0.102939801882054</v>
      </c>
      <c r="AG3736">
        <v>-1.108942525027</v>
      </c>
      <c r="AH3736">
        <v>25.833120085602701</v>
      </c>
      <c r="AI3736">
        <v>92.4580166048829</v>
      </c>
      <c r="AJ3736">
        <v>89.771689019559204</v>
      </c>
      <c r="AK3736">
        <v>25.8571159158131</v>
      </c>
      <c r="AL3736">
        <v>81.129615485287104</v>
      </c>
      <c r="AM3736">
        <v>88.331932099134704</v>
      </c>
      <c r="AN3736">
        <v>0.99999999140865403</v>
      </c>
    </row>
    <row r="3737" spans="1:40" x14ac:dyDescent="0.25">
      <c r="A3737" t="str">
        <f>"20190312164546262"</f>
        <v>20190312164546262</v>
      </c>
      <c r="B3737" t="str">
        <f>"1552380346255603"</f>
        <v>1552380346255603</v>
      </c>
      <c r="C3737" t="s">
        <v>40</v>
      </c>
      <c r="D3737">
        <v>4.9699589999999896</v>
      </c>
      <c r="E3737">
        <v>0.4949035</v>
      </c>
      <c r="F3737" t="s">
        <v>42</v>
      </c>
      <c r="G3737">
        <v>-325.06029999999998</v>
      </c>
      <c r="H3737" s="1">
        <v>-2.6254720000000002E-6</v>
      </c>
      <c r="I3737">
        <v>141.58580000000001</v>
      </c>
      <c r="J3737">
        <v>-297.23630000000003</v>
      </c>
      <c r="K3737">
        <v>1.1089450000000001</v>
      </c>
      <c r="L3737">
        <v>141.178</v>
      </c>
      <c r="M3737">
        <v>-0.99985630000000003</v>
      </c>
      <c r="N3737">
        <v>0</v>
      </c>
      <c r="O3737">
        <v>1.009929E-2</v>
      </c>
      <c r="P3737">
        <v>-0.98931429999999998</v>
      </c>
      <c r="Q3737">
        <v>0.1405438</v>
      </c>
      <c r="R3737">
        <v>3.8797280000000003E-2</v>
      </c>
      <c r="S3737">
        <v>-3.047882</v>
      </c>
      <c r="T3737">
        <v>-0.12069580000000001</v>
      </c>
      <c r="U3737">
        <v>4.4601439999999999E-2</v>
      </c>
      <c r="V3737">
        <v>2.8832190000000001E-2</v>
      </c>
      <c r="W3737">
        <v>0.1540089</v>
      </c>
      <c r="X3737">
        <v>0.98764870000000005</v>
      </c>
      <c r="Y3737">
        <v>4.536488E-3</v>
      </c>
      <c r="Z3737">
        <v>-3.0999510000000001E-4</v>
      </c>
      <c r="AA3737">
        <v>0.99998969999999998</v>
      </c>
      <c r="AB3737">
        <v>31</v>
      </c>
      <c r="AC3737">
        <v>-27.823999999999899</v>
      </c>
      <c r="AD3737">
        <v>-1.1089476254719901</v>
      </c>
      <c r="AE3737">
        <v>0.40780000000000799</v>
      </c>
      <c r="AF3737">
        <v>0.12654952469514399</v>
      </c>
      <c r="AG3737">
        <v>-1.1089476254719901</v>
      </c>
      <c r="AH3737">
        <v>27.782576898686902</v>
      </c>
      <c r="AI3737">
        <v>92.285736472957396</v>
      </c>
      <c r="AJ3737">
        <v>89.739019762446802</v>
      </c>
      <c r="AK3737">
        <v>27.804988019233001</v>
      </c>
      <c r="AL3737">
        <v>81.140679723454696</v>
      </c>
      <c r="AM3737">
        <v>88.327853047425805</v>
      </c>
      <c r="AN3737">
        <v>0.99999999553554797</v>
      </c>
    </row>
    <row r="3738" spans="1:40" x14ac:dyDescent="0.25">
      <c r="A3738" t="str">
        <f>"20190312164546276"</f>
        <v>20190312164546276</v>
      </c>
      <c r="B3738" t="str">
        <f>"1552380346265363"</f>
        <v>1552380346265363</v>
      </c>
      <c r="C3738" t="s">
        <v>40</v>
      </c>
      <c r="D3738">
        <v>5.0966110000000002</v>
      </c>
      <c r="E3738">
        <v>0.49492730000000001</v>
      </c>
      <c r="F3738" t="s">
        <v>42</v>
      </c>
      <c r="G3738">
        <v>-326.13279999999997</v>
      </c>
      <c r="H3738" s="1">
        <v>-2.1721279999999998E-6</v>
      </c>
      <c r="I3738">
        <v>141.6113</v>
      </c>
      <c r="J3738">
        <v>-297.41379999999998</v>
      </c>
      <c r="K3738">
        <v>1.1089530000000001</v>
      </c>
      <c r="L3738">
        <v>141.1798</v>
      </c>
      <c r="M3738">
        <v>-0.99985599999999997</v>
      </c>
      <c r="N3738">
        <v>0</v>
      </c>
      <c r="O3738">
        <v>1.01285E-2</v>
      </c>
      <c r="P3738">
        <v>-0.9893113</v>
      </c>
      <c r="Q3738">
        <v>0.14049039999999999</v>
      </c>
      <c r="R3738">
        <v>3.9063870000000001E-2</v>
      </c>
      <c r="S3738">
        <v>-3.047272</v>
      </c>
      <c r="T3738">
        <v>-0.1169441</v>
      </c>
      <c r="U3738">
        <v>4.5700070000000002E-2</v>
      </c>
      <c r="V3738">
        <v>2.9067019999999999E-2</v>
      </c>
      <c r="W3738">
        <v>0.15395519999999999</v>
      </c>
      <c r="X3738">
        <v>0.98765020000000003</v>
      </c>
      <c r="Y3738">
        <v>4.8701639999999997E-3</v>
      </c>
      <c r="Z3738">
        <v>-2.951459E-4</v>
      </c>
      <c r="AA3738">
        <v>0.99998810000000005</v>
      </c>
      <c r="AB3738">
        <v>31</v>
      </c>
      <c r="AC3738">
        <v>-28.718999999999902</v>
      </c>
      <c r="AD3738">
        <v>-1.108955172128</v>
      </c>
      <c r="AE3738">
        <v>0.431499999999999</v>
      </c>
      <c r="AF3738">
        <v>0.140361266423395</v>
      </c>
      <c r="AG3738">
        <v>-1.108955172128</v>
      </c>
      <c r="AH3738">
        <v>28.6791453433699</v>
      </c>
      <c r="AI3738">
        <v>92.214363487306997</v>
      </c>
      <c r="AJ3738">
        <v>89.719585647807605</v>
      </c>
      <c r="AK3738">
        <v>28.700920899598898</v>
      </c>
      <c r="AL3738">
        <v>81.143793741632194</v>
      </c>
      <c r="AM3738">
        <v>88.314244270717694</v>
      </c>
      <c r="AN3738">
        <v>1.0000000064093799</v>
      </c>
    </row>
    <row r="3739" spans="1:40" x14ac:dyDescent="0.25">
      <c r="A3739" t="str">
        <f>"20190312164546290"</f>
        <v>20190312164546290</v>
      </c>
      <c r="B3739" t="str">
        <f>"1552380346284883"</f>
        <v>1552380346284883</v>
      </c>
      <c r="C3739" t="s">
        <v>40</v>
      </c>
      <c r="D3739">
        <v>5.4133100000000001</v>
      </c>
      <c r="E3739">
        <v>0.49513420000000002</v>
      </c>
      <c r="F3739" t="s">
        <v>42</v>
      </c>
      <c r="G3739">
        <v>-325.9316</v>
      </c>
      <c r="H3739" s="1">
        <v>-2.258905E-6</v>
      </c>
      <c r="I3739">
        <v>141.613</v>
      </c>
      <c r="J3739">
        <v>-297.60340000000002</v>
      </c>
      <c r="K3739">
        <v>1.108959</v>
      </c>
      <c r="L3739">
        <v>141.18180000000001</v>
      </c>
      <c r="M3739">
        <v>-0.99985579999999996</v>
      </c>
      <c r="N3739">
        <v>0</v>
      </c>
      <c r="O3739">
        <v>1.015422E-2</v>
      </c>
      <c r="P3739">
        <v>-0.98932379999999998</v>
      </c>
      <c r="Q3739">
        <v>0.1403607</v>
      </c>
      <c r="R3739">
        <v>3.9215470000000002E-2</v>
      </c>
      <c r="S3739">
        <v>-3.0474239999999999</v>
      </c>
      <c r="T3739">
        <v>-0.1185039</v>
      </c>
      <c r="U3739">
        <v>4.6295169999999997E-2</v>
      </c>
      <c r="V3739">
        <v>2.9189679999999999E-2</v>
      </c>
      <c r="W3739">
        <v>0.15382509999999999</v>
      </c>
      <c r="X3739">
        <v>0.98766679999999996</v>
      </c>
      <c r="Y3739">
        <v>5.0389129999999999E-3</v>
      </c>
      <c r="Z3739">
        <v>-2.9678449999999998E-4</v>
      </c>
      <c r="AA3739">
        <v>0.99998719999999996</v>
      </c>
      <c r="AB3739">
        <v>31</v>
      </c>
      <c r="AC3739">
        <v>-28.328199999999899</v>
      </c>
      <c r="AD3739">
        <v>-1.108961258905</v>
      </c>
      <c r="AE3739">
        <v>0.43119999999998898</v>
      </c>
      <c r="AF3739">
        <v>0.143280815690883</v>
      </c>
      <c r="AG3739">
        <v>-1.108961258905</v>
      </c>
      <c r="AH3739">
        <v>28.2877777531947</v>
      </c>
      <c r="AI3739">
        <v>92.244978958298304</v>
      </c>
      <c r="AJ3739">
        <v>89.709792833780796</v>
      </c>
      <c r="AK3739">
        <v>28.3098692098716</v>
      </c>
      <c r="AL3739">
        <v>81.151337313878003</v>
      </c>
      <c r="AM3739">
        <v>88.307163111897907</v>
      </c>
      <c r="AN3739">
        <v>0.99999995331537495</v>
      </c>
    </row>
    <row r="3740" spans="1:40" x14ac:dyDescent="0.25">
      <c r="A3740" t="str">
        <f>"20190312164546305"</f>
        <v>20190312164546305</v>
      </c>
      <c r="B3740" t="str">
        <f>"1552380346295619"</f>
        <v>1552380346295619</v>
      </c>
      <c r="C3740" t="s">
        <v>40</v>
      </c>
      <c r="D3740">
        <v>4.9604850000000003</v>
      </c>
      <c r="E3740">
        <v>0.49505500000000002</v>
      </c>
      <c r="F3740" t="s">
        <v>42</v>
      </c>
      <c r="G3740">
        <v>-327.38810000000001</v>
      </c>
      <c r="H3740" s="1">
        <v>-1.6454200000000001E-6</v>
      </c>
      <c r="I3740">
        <v>141.65559999999999</v>
      </c>
      <c r="J3740">
        <v>-297.8193</v>
      </c>
      <c r="K3740">
        <v>1.1089719999999901</v>
      </c>
      <c r="L3740">
        <v>141.184</v>
      </c>
      <c r="M3740">
        <v>-0.99985550000000001</v>
      </c>
      <c r="N3740">
        <v>0</v>
      </c>
      <c r="O3740">
        <v>1.017348E-2</v>
      </c>
      <c r="P3740">
        <v>-0.98935399999999996</v>
      </c>
      <c r="Q3740">
        <v>0.140157</v>
      </c>
      <c r="R3740">
        <v>3.9173979999999997E-2</v>
      </c>
      <c r="S3740">
        <v>-3.04657</v>
      </c>
      <c r="T3740">
        <v>-0.1134318</v>
      </c>
      <c r="U3740">
        <v>4.847717E-2</v>
      </c>
      <c r="V3740">
        <v>2.9124500000000001E-2</v>
      </c>
      <c r="W3740">
        <v>0.1536216</v>
      </c>
      <c r="X3740">
        <v>0.98770049999999998</v>
      </c>
      <c r="Y3740">
        <v>5.7391489999999998E-3</v>
      </c>
      <c r="Z3740">
        <v>-2.7185479999999998E-4</v>
      </c>
      <c r="AA3740">
        <v>0.99998350000000003</v>
      </c>
      <c r="AB3740">
        <v>30</v>
      </c>
      <c r="AC3740">
        <v>-29.5688</v>
      </c>
      <c r="AD3740">
        <v>-1.1089736454200001</v>
      </c>
      <c r="AE3740">
        <v>0.47159999999999502</v>
      </c>
      <c r="AF3740">
        <v>0.170490339395897</v>
      </c>
      <c r="AG3740">
        <v>-1.1089736454200001</v>
      </c>
      <c r="AH3740">
        <v>29.5305402351363</v>
      </c>
      <c r="AI3740">
        <v>92.150607733111798</v>
      </c>
      <c r="AJ3740">
        <v>89.669214708315494</v>
      </c>
      <c r="AK3740">
        <v>29.551847591666199</v>
      </c>
      <c r="AL3740">
        <v>81.163138167222897</v>
      </c>
      <c r="AM3740">
        <v>88.3109985890719</v>
      </c>
      <c r="AN3740">
        <v>1.00000005509352</v>
      </c>
    </row>
    <row r="3741" spans="1:40" x14ac:dyDescent="0.25">
      <c r="A3741" t="str">
        <f>"20190312164546320"</f>
        <v>20190312164546320</v>
      </c>
      <c r="B3741" t="str">
        <f>"1552380346315139"</f>
        <v>1552380346315139</v>
      </c>
      <c r="C3741" t="s">
        <v>40</v>
      </c>
      <c r="D3741">
        <v>4.9604369999999998</v>
      </c>
      <c r="E3741">
        <v>0.49517230000000001</v>
      </c>
      <c r="F3741" t="s">
        <v>42</v>
      </c>
      <c r="G3741">
        <v>-328.45159999999998</v>
      </c>
      <c r="H3741" s="1">
        <v>-1.191871E-6</v>
      </c>
      <c r="I3741">
        <v>141.66579999999999</v>
      </c>
      <c r="J3741">
        <v>-298.0093</v>
      </c>
      <c r="K3741">
        <v>1.1089800000000001</v>
      </c>
      <c r="L3741">
        <v>141.1859</v>
      </c>
      <c r="M3741">
        <v>-0.99985539999999995</v>
      </c>
      <c r="N3741">
        <v>0</v>
      </c>
      <c r="O3741">
        <v>1.0183889999999999E-2</v>
      </c>
      <c r="P3741">
        <v>-0.989344</v>
      </c>
      <c r="Q3741">
        <v>0.14020179999999999</v>
      </c>
      <c r="R3741">
        <v>3.9269369999999998E-2</v>
      </c>
      <c r="S3741">
        <v>-3.0459900000000002</v>
      </c>
      <c r="T3741">
        <v>-0.1102735</v>
      </c>
      <c r="U3741">
        <v>4.79126E-2</v>
      </c>
      <c r="V3741">
        <v>2.9206510000000001E-2</v>
      </c>
      <c r="W3741">
        <v>0.15366589999999999</v>
      </c>
      <c r="X3741">
        <v>0.98769119999999999</v>
      </c>
      <c r="Y3741">
        <v>5.5464279999999999E-3</v>
      </c>
      <c r="Z3741">
        <v>-2.6820529999999998E-4</v>
      </c>
      <c r="AA3741">
        <v>0.9999846</v>
      </c>
      <c r="AB3741">
        <v>30</v>
      </c>
      <c r="AC3741">
        <v>-30.4422999999999</v>
      </c>
      <c r="AD3741">
        <v>-1.10898119187099</v>
      </c>
      <c r="AE3741">
        <v>0.479899999999986</v>
      </c>
      <c r="AF3741">
        <v>0.169600305824889</v>
      </c>
      <c r="AG3741">
        <v>-1.10898119187099</v>
      </c>
      <c r="AH3741">
        <v>30.405268899502801</v>
      </c>
      <c r="AI3741">
        <v>92.088809067263199</v>
      </c>
      <c r="AJ3741">
        <v>89.680407991793899</v>
      </c>
      <c r="AK3741">
        <v>30.425958988973999</v>
      </c>
      <c r="AL3741">
        <v>81.160569577590607</v>
      </c>
      <c r="AM3741">
        <v>88.306229454883393</v>
      </c>
      <c r="AN3741">
        <v>1.0000000678033101</v>
      </c>
    </row>
    <row r="3742" spans="1:40" x14ac:dyDescent="0.25">
      <c r="A3742" t="str">
        <f>"20190312164546339"</f>
        <v>20190312164546339</v>
      </c>
      <c r="B3742" t="str">
        <f>"1552380346335635"</f>
        <v>1552380346335635</v>
      </c>
      <c r="C3742" t="s">
        <v>40</v>
      </c>
      <c r="D3742">
        <v>5.2952510000000004</v>
      </c>
      <c r="E3742">
        <v>0.49513049999999997</v>
      </c>
      <c r="F3742" t="s">
        <v>42</v>
      </c>
      <c r="G3742">
        <v>-329.7672</v>
      </c>
      <c r="H3742" s="1">
        <v>-6.3737659999999996E-7</v>
      </c>
      <c r="I3742">
        <v>141.703</v>
      </c>
      <c r="J3742">
        <v>-298.26330000000002</v>
      </c>
      <c r="K3742">
        <v>1.108992</v>
      </c>
      <c r="L3742">
        <v>141.1885</v>
      </c>
      <c r="M3742">
        <v>-0.9998553</v>
      </c>
      <c r="N3742">
        <v>0</v>
      </c>
      <c r="O3742">
        <v>1.0191489999999999E-2</v>
      </c>
      <c r="P3742">
        <v>-0.98930079999999998</v>
      </c>
      <c r="Q3742">
        <v>0.14046249999999999</v>
      </c>
      <c r="R3742">
        <v>3.942213E-2</v>
      </c>
      <c r="S3742">
        <v>-3.04541</v>
      </c>
      <c r="T3742">
        <v>-0.1063452</v>
      </c>
      <c r="U3742">
        <v>4.9591059999999999E-2</v>
      </c>
      <c r="V3742">
        <v>2.9348570000000001E-2</v>
      </c>
      <c r="W3742">
        <v>0.15392500000000001</v>
      </c>
      <c r="X3742">
        <v>0.98764660000000004</v>
      </c>
      <c r="Y3742">
        <v>6.0922750000000003E-3</v>
      </c>
      <c r="Z3742">
        <v>-2.494431E-4</v>
      </c>
      <c r="AA3742">
        <v>0.99998140000000002</v>
      </c>
      <c r="AB3742">
        <v>30</v>
      </c>
      <c r="AC3742">
        <v>-31.503899999999899</v>
      </c>
      <c r="AD3742">
        <v>-1.1089926373765999</v>
      </c>
      <c r="AE3742">
        <v>0.51449999999999796</v>
      </c>
      <c r="AF3742">
        <v>0.19313254829236001</v>
      </c>
      <c r="AG3742">
        <v>-1.1089926373765999</v>
      </c>
      <c r="AH3742">
        <v>31.468523308107802</v>
      </c>
      <c r="AI3742">
        <v>92.018306250065805</v>
      </c>
      <c r="AJ3742">
        <v>89.648361606851694</v>
      </c>
      <c r="AK3742">
        <v>31.488650718058601</v>
      </c>
      <c r="AL3742">
        <v>81.145545117183403</v>
      </c>
      <c r="AM3742">
        <v>88.297919002216801</v>
      </c>
      <c r="AN3742">
        <v>1.0000000253387999</v>
      </c>
    </row>
    <row r="3743" spans="1:40" x14ac:dyDescent="0.25">
      <c r="A3743" t="str">
        <f>"20190312164546352"</f>
        <v>20190312164546352</v>
      </c>
      <c r="B3743" t="str">
        <f>"1552380346345395"</f>
        <v>1552380346345395</v>
      </c>
      <c r="C3743" t="s">
        <v>40</v>
      </c>
      <c r="D3743">
        <v>5.2151579999999997</v>
      </c>
      <c r="E3743">
        <v>0.49519059999999998</v>
      </c>
      <c r="F3743" t="s">
        <v>42</v>
      </c>
      <c r="G3743">
        <v>-331.55500000000001</v>
      </c>
      <c r="H3743" s="1">
        <v>-4.4910209999999998E-6</v>
      </c>
      <c r="I3743">
        <v>141.74090000000001</v>
      </c>
      <c r="J3743">
        <v>-298.44979999999998</v>
      </c>
      <c r="K3743">
        <v>1.108997</v>
      </c>
      <c r="L3743">
        <v>141.19040000000001</v>
      </c>
      <c r="M3743">
        <v>-0.99985539999999995</v>
      </c>
      <c r="N3743">
        <v>0</v>
      </c>
      <c r="O3743">
        <v>1.01929E-2</v>
      </c>
      <c r="P3743">
        <v>-0.98933990000000005</v>
      </c>
      <c r="Q3743">
        <v>0.14021789999999901</v>
      </c>
      <c r="R3743">
        <v>3.9314109999999999E-2</v>
      </c>
      <c r="S3743">
        <v>-3.0448909999999998</v>
      </c>
      <c r="T3743">
        <v>-0.1014301</v>
      </c>
      <c r="U3743">
        <v>5.052185E-2</v>
      </c>
      <c r="V3743">
        <v>2.9236760000000001E-2</v>
      </c>
      <c r="W3743">
        <v>0.1536805</v>
      </c>
      <c r="X3743">
        <v>0.98768789999999995</v>
      </c>
      <c r="Y3743">
        <v>6.3988489999999999E-3</v>
      </c>
      <c r="Z3743">
        <v>-2.329028E-4</v>
      </c>
      <c r="AA3743">
        <v>0.99997950000000002</v>
      </c>
      <c r="AB3743">
        <v>30</v>
      </c>
      <c r="AC3743">
        <v>-33.105200000000004</v>
      </c>
      <c r="AD3743">
        <v>-1.109001491021</v>
      </c>
      <c r="AE3743">
        <v>0.55049999999999899</v>
      </c>
      <c r="AF3743">
        <v>0.21276344047696499</v>
      </c>
      <c r="AG3743">
        <v>-1.109001491021</v>
      </c>
      <c r="AH3743">
        <v>33.071988352830303</v>
      </c>
      <c r="AI3743">
        <v>91.920537417686006</v>
      </c>
      <c r="AJ3743">
        <v>89.631401690483997</v>
      </c>
      <c r="AK3743">
        <v>33.091261175700602</v>
      </c>
      <c r="AL3743">
        <v>81.159721829013804</v>
      </c>
      <c r="AM3743">
        <v>88.304470531105807</v>
      </c>
      <c r="AN3743">
        <v>0.99999993601097603</v>
      </c>
    </row>
    <row r="3744" spans="1:40" x14ac:dyDescent="0.25">
      <c r="A3744" t="str">
        <f>"20190312164546365"</f>
        <v>20190312164546365</v>
      </c>
      <c r="B3744" t="str">
        <f>"1552380346355155"</f>
        <v>1552380346355155</v>
      </c>
      <c r="C3744" t="s">
        <v>40</v>
      </c>
      <c r="D3744">
        <v>4.991778</v>
      </c>
      <c r="E3744">
        <v>0.49527330000000003</v>
      </c>
      <c r="F3744" t="s">
        <v>42</v>
      </c>
      <c r="G3744">
        <v>-331.74290000000002</v>
      </c>
      <c r="H3744" s="1">
        <v>-4.4204150000000003E-6</v>
      </c>
      <c r="I3744">
        <v>141.74969999999999</v>
      </c>
      <c r="J3744">
        <v>-298.63659999999999</v>
      </c>
      <c r="K3744">
        <v>1.109</v>
      </c>
      <c r="L3744">
        <v>141.19239999999999</v>
      </c>
      <c r="M3744">
        <v>-0.9998553</v>
      </c>
      <c r="N3744">
        <v>0</v>
      </c>
      <c r="O3744">
        <v>1.019135E-2</v>
      </c>
      <c r="P3744">
        <v>-0.98935470000000003</v>
      </c>
      <c r="Q3744">
        <v>0.14015439999999901</v>
      </c>
      <c r="R3744">
        <v>3.9161899999999999E-2</v>
      </c>
      <c r="S3744">
        <v>-3.044708</v>
      </c>
      <c r="T3744">
        <v>-0.10142</v>
      </c>
      <c r="U3744">
        <v>5.1147459999999999E-2</v>
      </c>
      <c r="V3744">
        <v>2.908434E-2</v>
      </c>
      <c r="W3744">
        <v>0.15361639999999999</v>
      </c>
      <c r="X3744">
        <v>0.98770239999999998</v>
      </c>
      <c r="Y3744">
        <v>6.6066880000000003E-3</v>
      </c>
      <c r="Z3744">
        <v>-2.2938160000000001E-4</v>
      </c>
      <c r="AA3744">
        <v>0.99997809999999998</v>
      </c>
      <c r="AB3744">
        <v>30</v>
      </c>
      <c r="AC3744">
        <v>-33.106299999999997</v>
      </c>
      <c r="AD3744">
        <v>-1.109004420415</v>
      </c>
      <c r="AE3744">
        <v>0.55729999999999702</v>
      </c>
      <c r="AF3744">
        <v>0.219595515068533</v>
      </c>
      <c r="AG3744">
        <v>-1.109004420415</v>
      </c>
      <c r="AH3744">
        <v>33.073158484447603</v>
      </c>
      <c r="AI3744">
        <v>91.920472000562697</v>
      </c>
      <c r="AJ3744">
        <v>89.619579383951105</v>
      </c>
      <c r="AK3744">
        <v>33.092475355163799</v>
      </c>
      <c r="AL3744">
        <v>81.163438873481596</v>
      </c>
      <c r="AM3744">
        <v>88.313329462768294</v>
      </c>
      <c r="AN3744">
        <v>0.99999996407397695</v>
      </c>
    </row>
    <row r="3745" spans="1:40" x14ac:dyDescent="0.25">
      <c r="A3745" t="str">
        <f>"20190312164546386"</f>
        <v>20190312164546386</v>
      </c>
      <c r="B3745" t="str">
        <f>"1552380346375651"</f>
        <v>1552380346375651</v>
      </c>
      <c r="C3745" t="s">
        <v>40</v>
      </c>
      <c r="D3745">
        <v>5.0439759999999998</v>
      </c>
      <c r="E3745">
        <v>0.49571280000000001</v>
      </c>
      <c r="F3745" t="s">
        <v>42</v>
      </c>
      <c r="G3745">
        <v>-332.30149999999998</v>
      </c>
      <c r="H3745" s="1">
        <v>-4.1912319999999998E-6</v>
      </c>
      <c r="I3745">
        <v>141.7647</v>
      </c>
      <c r="J3745">
        <v>-298.9085</v>
      </c>
      <c r="K3745">
        <v>1.109005</v>
      </c>
      <c r="L3745">
        <v>141.1951</v>
      </c>
      <c r="M3745">
        <v>-0.99985550000000001</v>
      </c>
      <c r="N3745">
        <v>0</v>
      </c>
      <c r="O3745">
        <v>1.0185939999999999E-2</v>
      </c>
      <c r="P3745">
        <v>-0.98942200000000002</v>
      </c>
      <c r="Q3745">
        <v>0.13972029999999999</v>
      </c>
      <c r="R3745">
        <v>3.9019890000000002E-2</v>
      </c>
      <c r="S3745">
        <v>-3.0444339999999999</v>
      </c>
      <c r="T3745">
        <v>-0.10029100000000001</v>
      </c>
      <c r="U3745">
        <v>5.1757810000000001E-2</v>
      </c>
      <c r="V3745">
        <v>2.8945789999999999E-2</v>
      </c>
      <c r="W3745">
        <v>0.15318199999999901</v>
      </c>
      <c r="X3745">
        <v>0.98777400000000004</v>
      </c>
      <c r="Y3745">
        <v>6.8138790000000001E-3</v>
      </c>
      <c r="Z3745">
        <v>-2.2325949999999999E-4</v>
      </c>
      <c r="AA3745">
        <v>0.9999768</v>
      </c>
      <c r="AB3745">
        <v>30</v>
      </c>
      <c r="AC3745">
        <v>-33.392999999999901</v>
      </c>
      <c r="AD3745">
        <v>-1.1090091912319999</v>
      </c>
      <c r="AE3745">
        <v>0.56960000000000799</v>
      </c>
      <c r="AF3745">
        <v>0.229147178287604</v>
      </c>
      <c r="AG3745">
        <v>-1.1090091912319999</v>
      </c>
      <c r="AH3745">
        <v>33.360285436342501</v>
      </c>
      <c r="AI3745">
        <v>91.903960245420393</v>
      </c>
      <c r="AJ3745">
        <v>89.606449418708195</v>
      </c>
      <c r="AK3745">
        <v>33.379500508692402</v>
      </c>
      <c r="AL3745">
        <v>81.188626852598802</v>
      </c>
      <c r="AM3745">
        <v>88.321481309718195</v>
      </c>
      <c r="AN3745">
        <v>1.0000000294793601</v>
      </c>
    </row>
    <row r="3746" spans="1:40" x14ac:dyDescent="0.25">
      <c r="A3746" t="str">
        <f>"20190312164546406"</f>
        <v>20190312164546406</v>
      </c>
      <c r="B3746" t="str">
        <f>"1552380346395171"</f>
        <v>1552380346395171</v>
      </c>
      <c r="C3746" t="s">
        <v>40</v>
      </c>
      <c r="D3746">
        <v>5.5473179999999997</v>
      </c>
      <c r="E3746">
        <v>0.52721459999999998</v>
      </c>
      <c r="F3746" t="s">
        <v>42</v>
      </c>
      <c r="G3746">
        <v>-332.36840000000001</v>
      </c>
      <c r="H3746" s="1">
        <v>-4.1704839999999997E-6</v>
      </c>
      <c r="I3746">
        <v>141.8056</v>
      </c>
      <c r="J3746">
        <v>-299.18560000000002</v>
      </c>
      <c r="K3746">
        <v>1.1090040000000001</v>
      </c>
      <c r="L3746">
        <v>141.1979</v>
      </c>
      <c r="M3746">
        <v>-0.99985559999999996</v>
      </c>
      <c r="N3746">
        <v>0</v>
      </c>
      <c r="O3746">
        <v>1.017972E-2</v>
      </c>
      <c r="P3746">
        <v>-0.98945170000000005</v>
      </c>
      <c r="Q3746">
        <v>0.13948099999999999</v>
      </c>
      <c r="R3746">
        <v>3.9118920000000001E-2</v>
      </c>
      <c r="S3746">
        <v>-3.0441280000000002</v>
      </c>
      <c r="T3746">
        <v>-0.1008959</v>
      </c>
      <c r="U3746">
        <v>5.5541989999999999E-2</v>
      </c>
      <c r="V3746">
        <v>2.9049729999999999E-2</v>
      </c>
      <c r="W3746">
        <v>0.1529421</v>
      </c>
      <c r="X3746">
        <v>0.98780809999999997</v>
      </c>
      <c r="Y3746">
        <v>8.0638250000000002E-3</v>
      </c>
      <c r="Z3746">
        <v>-2.037118E-4</v>
      </c>
      <c r="AA3746">
        <v>0.99996750000000001</v>
      </c>
      <c r="AB3746">
        <v>30</v>
      </c>
      <c r="AC3746">
        <v>-33.182799999999901</v>
      </c>
      <c r="AD3746">
        <v>-1.109008170484</v>
      </c>
      <c r="AE3746">
        <v>0.60769999999999402</v>
      </c>
      <c r="AF3746">
        <v>0.26954464407831202</v>
      </c>
      <c r="AG3746">
        <v>-1.109008170484</v>
      </c>
      <c r="AH3746">
        <v>33.1502515278994</v>
      </c>
      <c r="AI3746">
        <v>91.915994540524807</v>
      </c>
      <c r="AJ3746">
        <v>89.5341383714334</v>
      </c>
      <c r="AK3746">
        <v>33.169891917224398</v>
      </c>
      <c r="AL3746">
        <v>81.202535813086598</v>
      </c>
      <c r="AM3746">
        <v>88.315515585240604</v>
      </c>
      <c r="AN3746">
        <v>1.00000000759554</v>
      </c>
    </row>
    <row r="3747" spans="1:40" x14ac:dyDescent="0.25">
      <c r="A3747" t="str">
        <f>"20190312164546420"</f>
        <v>20190312164546420</v>
      </c>
      <c r="B3747" t="str">
        <f>"1552380346415668"</f>
        <v>1552380346415668</v>
      </c>
      <c r="C3747" t="s">
        <v>40</v>
      </c>
      <c r="D3747">
        <v>5.2016850000000003</v>
      </c>
      <c r="E3747">
        <v>0.53337129999999999</v>
      </c>
      <c r="F3747" t="s">
        <v>71</v>
      </c>
      <c r="G3747">
        <v>-315.10019999999997</v>
      </c>
      <c r="H3747" s="1">
        <v>-8.3734289999999995E-6</v>
      </c>
      <c r="I3747">
        <v>142.76929999999999</v>
      </c>
      <c r="J3747">
        <v>-299.37400000000002</v>
      </c>
      <c r="K3747">
        <v>1.109005</v>
      </c>
      <c r="L3747">
        <v>141.19990000000001</v>
      </c>
      <c r="M3747">
        <v>-0.99985570000000001</v>
      </c>
      <c r="N3747">
        <v>0</v>
      </c>
      <c r="O3747">
        <v>1.0176019999999999E-2</v>
      </c>
      <c r="P3747">
        <v>-0.98945989999999995</v>
      </c>
      <c r="Q3747">
        <v>0.1394494</v>
      </c>
      <c r="R3747">
        <v>3.9024879999999998E-2</v>
      </c>
      <c r="S3747">
        <v>-3.050049</v>
      </c>
      <c r="T3747">
        <v>-0.21254400000000001</v>
      </c>
      <c r="U3747">
        <v>0.30114750000000001</v>
      </c>
      <c r="V3747">
        <v>2.8958999999999999E-2</v>
      </c>
      <c r="W3747">
        <v>0.1529092</v>
      </c>
      <c r="X3747">
        <v>0.98781589999999997</v>
      </c>
      <c r="Y3747">
        <v>8.7938000000000002E-2</v>
      </c>
      <c r="Z3747">
        <v>2.3463749999999999E-3</v>
      </c>
      <c r="AA3747">
        <v>0.99612319999999999</v>
      </c>
      <c r="AB3747">
        <v>30</v>
      </c>
      <c r="AC3747">
        <v>-15.726199999999899</v>
      </c>
      <c r="AD3747">
        <v>-1.109013373429</v>
      </c>
      <c r="AE3747">
        <v>1.5693999999999699</v>
      </c>
      <c r="AF3747">
        <v>1.4023684649865</v>
      </c>
      <c r="AG3747">
        <v>-1.109013373429</v>
      </c>
      <c r="AH3747">
        <v>15.664225931226101</v>
      </c>
      <c r="AI3747">
        <v>94.0336540585877</v>
      </c>
      <c r="AJ3747">
        <v>84.884129486557399</v>
      </c>
      <c r="AK3747">
        <v>15.7659291511325</v>
      </c>
      <c r="AL3747">
        <v>81.204443653777602</v>
      </c>
      <c r="AM3747">
        <v>88.320786911187597</v>
      </c>
      <c r="AN3747">
        <v>1.0000000497092201</v>
      </c>
    </row>
    <row r="3748" spans="1:40" x14ac:dyDescent="0.25">
      <c r="A3748" t="str">
        <f>"20190312164546440"</f>
        <v>20190312164546440</v>
      </c>
      <c r="B3748" t="str">
        <f>"1552380346435187"</f>
        <v>1552380346435187</v>
      </c>
      <c r="C3748" t="s">
        <v>40</v>
      </c>
      <c r="D3748">
        <v>5.4698520000000004</v>
      </c>
      <c r="E3748">
        <v>0.53559579999999996</v>
      </c>
      <c r="F3748" t="s">
        <v>41</v>
      </c>
      <c r="G3748">
        <v>-300.21129999999999</v>
      </c>
      <c r="H3748">
        <v>1.0373490000000001</v>
      </c>
      <c r="I3748">
        <v>141.2953</v>
      </c>
      <c r="J3748">
        <v>-299.6318</v>
      </c>
      <c r="K3748">
        <v>1.1090059999999999</v>
      </c>
      <c r="L3748">
        <v>141.20249999999999</v>
      </c>
      <c r="M3748">
        <v>-0.99985570000000001</v>
      </c>
      <c r="N3748">
        <v>0</v>
      </c>
      <c r="O3748">
        <v>1.0172489999999999E-2</v>
      </c>
      <c r="P3748">
        <v>-0.98945720000000004</v>
      </c>
      <c r="Q3748">
        <v>0.13953309999999999</v>
      </c>
      <c r="R3748">
        <v>3.8795419999999997E-2</v>
      </c>
      <c r="S3748">
        <v>-3.0551149999999998</v>
      </c>
      <c r="T3748">
        <v>-0.26151350000000001</v>
      </c>
      <c r="U3748">
        <v>0.34730529999999998</v>
      </c>
      <c r="V3748">
        <v>2.8732779999999999E-2</v>
      </c>
      <c r="W3748">
        <v>0.15299160000000001</v>
      </c>
      <c r="X3748">
        <v>0.98780970000000001</v>
      </c>
      <c r="Y3748">
        <v>0.102505</v>
      </c>
      <c r="Z3748">
        <v>3.4988229999999999E-3</v>
      </c>
      <c r="AA3748">
        <v>0.99472640000000001</v>
      </c>
      <c r="AB3748">
        <v>30</v>
      </c>
      <c r="AC3748">
        <v>-0.57949999999999502</v>
      </c>
      <c r="AD3748">
        <v>-7.1656999999999804E-2</v>
      </c>
      <c r="AE3748">
        <v>9.2800000000011096E-2</v>
      </c>
      <c r="AF3748">
        <v>8.5623239563708001E-2</v>
      </c>
      <c r="AG3748">
        <v>-7.1656999999999804E-2</v>
      </c>
      <c r="AH3748">
        <v>0.57188850392867996</v>
      </c>
      <c r="AI3748">
        <v>97.063952095806698</v>
      </c>
      <c r="AJ3748">
        <v>81.484915742819595</v>
      </c>
      <c r="AK3748">
        <v>0.58268561482858605</v>
      </c>
      <c r="AL3748">
        <v>81.199665854942893</v>
      </c>
      <c r="AM3748">
        <v>88.333886602934996</v>
      </c>
      <c r="AN3748">
        <v>1.00000000286558</v>
      </c>
    </row>
    <row r="3749" spans="1:40" x14ac:dyDescent="0.25">
      <c r="A3749" t="str">
        <f>"20190312164546454"</f>
        <v>20190312164546454</v>
      </c>
      <c r="B3749" t="str">
        <f>"1552380346444947"</f>
        <v>1552380346444947</v>
      </c>
      <c r="C3749" t="s">
        <v>40</v>
      </c>
      <c r="D3749">
        <v>5.1204710000000002</v>
      </c>
      <c r="E3749">
        <v>0.53559579999999996</v>
      </c>
      <c r="F3749" t="s">
        <v>41</v>
      </c>
      <c r="G3749">
        <v>-300.47809999999998</v>
      </c>
      <c r="H3749">
        <v>1.02966</v>
      </c>
      <c r="I3749">
        <v>141.303</v>
      </c>
      <c r="J3749">
        <v>-299.83530000000002</v>
      </c>
      <c r="K3749">
        <v>1.109011</v>
      </c>
      <c r="L3749">
        <v>141.2045</v>
      </c>
      <c r="M3749">
        <v>-0.99985579999999996</v>
      </c>
      <c r="N3749">
        <v>0</v>
      </c>
      <c r="O3749">
        <v>1.017065E-2</v>
      </c>
      <c r="P3749">
        <v>-0.98944810000000005</v>
      </c>
      <c r="Q3749">
        <v>0.13966310000000001</v>
      </c>
      <c r="R3749">
        <v>3.8559990000000002E-2</v>
      </c>
      <c r="S3749">
        <v>-3.0581670000000001</v>
      </c>
      <c r="T3749">
        <v>-0.28665380000000001</v>
      </c>
      <c r="U3749">
        <v>0.3628845</v>
      </c>
      <c r="V3749">
        <v>2.8499179999999999E-2</v>
      </c>
      <c r="W3749">
        <v>0.15312020000000001</v>
      </c>
      <c r="X3749">
        <v>0.98779649999999997</v>
      </c>
      <c r="Y3749">
        <v>0.1073076</v>
      </c>
      <c r="Z3749">
        <v>4.0528719999999999E-3</v>
      </c>
      <c r="AA3749">
        <v>0.99421760000000003</v>
      </c>
      <c r="AB3749">
        <v>30</v>
      </c>
      <c r="AC3749">
        <v>-0.64279999999996495</v>
      </c>
      <c r="AD3749">
        <v>-7.9350999999999894E-2</v>
      </c>
      <c r="AE3749">
        <v>9.8500000000001295E-2</v>
      </c>
      <c r="AF3749">
        <v>9.0607526698728999E-2</v>
      </c>
      <c r="AG3749">
        <v>-7.9350999999999894E-2</v>
      </c>
      <c r="AH3749">
        <v>0.63432403122713699</v>
      </c>
      <c r="AI3749">
        <v>97.059474891388902</v>
      </c>
      <c r="AJ3749">
        <v>81.870799839939906</v>
      </c>
      <c r="AK3749">
        <v>0.64565724783952305</v>
      </c>
      <c r="AL3749">
        <v>81.192209405221504</v>
      </c>
      <c r="AM3749">
        <v>88.3474026364662</v>
      </c>
      <c r="AN3749">
        <v>0.99999996216048004</v>
      </c>
    </row>
    <row r="3750" spans="1:40" x14ac:dyDescent="0.25">
      <c r="A3750" t="str">
        <f>"20190312164546475"</f>
        <v>20190312164546475</v>
      </c>
      <c r="B3750" t="str">
        <f>"1552380346465443"</f>
        <v>1552380346465443</v>
      </c>
      <c r="C3750" t="s">
        <v>40</v>
      </c>
      <c r="D3750">
        <v>5.0967849999999997</v>
      </c>
      <c r="E3750">
        <v>0.53690890000000002</v>
      </c>
      <c r="F3750" t="s">
        <v>41</v>
      </c>
      <c r="G3750">
        <v>-300.7457</v>
      </c>
      <c r="H3750">
        <v>1.023784</v>
      </c>
      <c r="I3750">
        <v>141.31229999999999</v>
      </c>
      <c r="J3750">
        <v>-300.11250000000001</v>
      </c>
      <c r="K3750">
        <v>1.1090120000000001</v>
      </c>
      <c r="L3750">
        <v>141.20740000000001</v>
      </c>
      <c r="M3750">
        <v>-0.99985559999999996</v>
      </c>
      <c r="N3750">
        <v>0</v>
      </c>
      <c r="O3750">
        <v>1.016946E-2</v>
      </c>
      <c r="P3750">
        <v>-0.98938599999999999</v>
      </c>
      <c r="Q3750">
        <v>0.140158</v>
      </c>
      <c r="R3750">
        <v>3.8355159999999999E-2</v>
      </c>
      <c r="S3750">
        <v>-3.0582889999999998</v>
      </c>
      <c r="T3750">
        <v>-0.2862864</v>
      </c>
      <c r="U3750">
        <v>0.3620758</v>
      </c>
      <c r="V3750">
        <v>2.8296060000000001E-2</v>
      </c>
      <c r="W3750">
        <v>0.1536131</v>
      </c>
      <c r="X3750">
        <v>0.98772590000000005</v>
      </c>
      <c r="Y3750">
        <v>0.10704710000000001</v>
      </c>
      <c r="Z3750">
        <v>4.0355879999999997E-3</v>
      </c>
      <c r="AA3750">
        <v>0.99424579999999996</v>
      </c>
      <c r="AB3750">
        <v>30</v>
      </c>
      <c r="AC3750">
        <v>-0.633199999999987</v>
      </c>
      <c r="AD3750">
        <v>-8.5227999999999998E-2</v>
      </c>
      <c r="AE3750">
        <v>0.104899999999986</v>
      </c>
      <c r="AF3750">
        <v>9.6748714067473193E-2</v>
      </c>
      <c r="AG3750">
        <v>-8.5227999999999998E-2</v>
      </c>
      <c r="AH3750">
        <v>0.623244510584403</v>
      </c>
      <c r="AI3750">
        <v>97.695787076369697</v>
      </c>
      <c r="AJ3750">
        <v>81.176176997080205</v>
      </c>
      <c r="AK3750">
        <v>0.636441549265368</v>
      </c>
      <c r="AL3750">
        <v>81.163631008466893</v>
      </c>
      <c r="AM3750">
        <v>88.359057386194607</v>
      </c>
      <c r="AN3750">
        <v>1.0000000525169701</v>
      </c>
    </row>
    <row r="3751" spans="1:40" x14ac:dyDescent="0.25">
      <c r="A3751" t="str">
        <f>"20190312164546495"</f>
        <v>20190312164546495</v>
      </c>
      <c r="B3751" t="str">
        <f>"1552380346484964"</f>
        <v>1552380346484964</v>
      </c>
      <c r="C3751" t="s">
        <v>40</v>
      </c>
      <c r="D3751">
        <v>5.573601</v>
      </c>
      <c r="E3751">
        <v>0.5370895</v>
      </c>
      <c r="F3751" t="s">
        <v>41</v>
      </c>
      <c r="G3751">
        <v>-301.00700000000001</v>
      </c>
      <c r="H3751">
        <v>1.0054879999999999</v>
      </c>
      <c r="I3751">
        <v>141.31479999999999</v>
      </c>
      <c r="J3751">
        <v>-300.39339999999999</v>
      </c>
      <c r="K3751">
        <v>1.109011</v>
      </c>
      <c r="L3751">
        <v>141.21019999999999</v>
      </c>
      <c r="M3751">
        <v>-0.99985579999999996</v>
      </c>
      <c r="N3751">
        <v>0</v>
      </c>
      <c r="O3751">
        <v>1.016882E-2</v>
      </c>
      <c r="P3751">
        <v>-0.98937430000000004</v>
      </c>
      <c r="Q3751">
        <v>0.140233</v>
      </c>
      <c r="R3751">
        <v>3.8384300000000003E-2</v>
      </c>
      <c r="S3751">
        <v>-3.0682070000000001</v>
      </c>
      <c r="T3751">
        <v>-0.35511359999999997</v>
      </c>
      <c r="U3751">
        <v>0.3683167</v>
      </c>
      <c r="V3751">
        <v>2.8325949999999999E-2</v>
      </c>
      <c r="W3751">
        <v>0.1536862</v>
      </c>
      <c r="X3751">
        <v>0.98771359999999997</v>
      </c>
      <c r="Y3751">
        <v>0.1084374</v>
      </c>
      <c r="Z3751">
        <v>5.0634499999999997E-3</v>
      </c>
      <c r="AA3751">
        <v>0.99409040000000004</v>
      </c>
      <c r="AB3751">
        <v>30</v>
      </c>
      <c r="AC3751">
        <v>-0.61360000000001902</v>
      </c>
      <c r="AD3751">
        <v>-0.103523</v>
      </c>
      <c r="AE3751">
        <v>0.104600000000004</v>
      </c>
      <c r="AF3751">
        <v>9.5707104934976903E-2</v>
      </c>
      <c r="AG3751">
        <v>-0.103523</v>
      </c>
      <c r="AH3751">
        <v>0.59808850872327302</v>
      </c>
      <c r="AI3751">
        <v>99.699006883064598</v>
      </c>
      <c r="AJ3751">
        <v>80.908514066817602</v>
      </c>
      <c r="AK3751">
        <v>0.61448085871804303</v>
      </c>
      <c r="AL3751">
        <v>81.159391722602194</v>
      </c>
      <c r="AM3751">
        <v>88.357304512128906</v>
      </c>
      <c r="AN3751">
        <v>0.99999998156940095</v>
      </c>
    </row>
    <row r="3752" spans="1:40" x14ac:dyDescent="0.25">
      <c r="A3752" t="str">
        <f>"20190312164546518"</f>
        <v>20190312164546518</v>
      </c>
      <c r="B3752" t="str">
        <f>"1552380346505460"</f>
        <v>1552380346505460</v>
      </c>
      <c r="C3752" t="s">
        <v>40</v>
      </c>
      <c r="D3752">
        <v>5.120412</v>
      </c>
      <c r="E3752">
        <v>0.53689619999999905</v>
      </c>
      <c r="F3752" t="s">
        <v>41</v>
      </c>
      <c r="G3752">
        <v>-301.27760000000001</v>
      </c>
      <c r="H3752">
        <v>1.0068170000000001</v>
      </c>
      <c r="I3752">
        <v>141.3169</v>
      </c>
      <c r="J3752">
        <v>-300.68610000000001</v>
      </c>
      <c r="K3752">
        <v>1.109011</v>
      </c>
      <c r="L3752">
        <v>141.2132</v>
      </c>
      <c r="M3752">
        <v>-0.99985570000000001</v>
      </c>
      <c r="N3752">
        <v>0</v>
      </c>
      <c r="O3752">
        <v>1.016865E-2</v>
      </c>
      <c r="P3752">
        <v>-0.9893883</v>
      </c>
      <c r="Q3752">
        <v>0.14007149999999999</v>
      </c>
      <c r="R3752">
        <v>3.8609919999999999E-2</v>
      </c>
      <c r="S3752">
        <v>-3.0681150000000001</v>
      </c>
      <c r="T3752">
        <v>-0.35457870000000002</v>
      </c>
      <c r="U3752">
        <v>0.37007139999999999</v>
      </c>
      <c r="V3752">
        <v>2.8551710000000001E-2</v>
      </c>
      <c r="W3752">
        <v>0.1535231</v>
      </c>
      <c r="X3752">
        <v>0.98773250000000001</v>
      </c>
      <c r="Y3752">
        <v>0.1089997</v>
      </c>
      <c r="Z3752">
        <v>5.0881429999999998E-3</v>
      </c>
      <c r="AA3752">
        <v>0.99402869999999999</v>
      </c>
      <c r="AB3752">
        <v>30</v>
      </c>
      <c r="AC3752">
        <v>-0.59149999999999603</v>
      </c>
      <c r="AD3752">
        <v>-0.10219399999999899</v>
      </c>
      <c r="AE3752">
        <v>0.103700000000003</v>
      </c>
      <c r="AF3752">
        <v>9.4930176053371201E-2</v>
      </c>
      <c r="AG3752">
        <v>-0.10219399999999899</v>
      </c>
      <c r="AH3752">
        <v>0.57584763314002696</v>
      </c>
      <c r="AI3752">
        <v>99.932009378772904</v>
      </c>
      <c r="AJ3752">
        <v>80.638817627224398</v>
      </c>
      <c r="AK3752">
        <v>0.592499661227326</v>
      </c>
      <c r="AL3752">
        <v>81.168849213645601</v>
      </c>
      <c r="AM3752">
        <v>88.344251027383294</v>
      </c>
      <c r="AN3752">
        <v>1.0000000169668899</v>
      </c>
    </row>
    <row r="3753" spans="1:40" x14ac:dyDescent="0.25">
      <c r="A3753" t="str">
        <f>"20190312164546531"</f>
        <v>20190312164546531</v>
      </c>
      <c r="B3753" t="str">
        <f>"1552380346524979"</f>
        <v>1552380346524979</v>
      </c>
      <c r="C3753" t="s">
        <v>40</v>
      </c>
      <c r="D3753">
        <v>5.3279389999999998</v>
      </c>
      <c r="E3753">
        <v>0.53748940000000001</v>
      </c>
      <c r="F3753" t="s">
        <v>41</v>
      </c>
      <c r="G3753">
        <v>-301.54640000000001</v>
      </c>
      <c r="H3753">
        <v>1.004845</v>
      </c>
      <c r="I3753">
        <v>141.31649999999999</v>
      </c>
      <c r="J3753">
        <v>-300.88139999999999</v>
      </c>
      <c r="K3753">
        <v>1.109011</v>
      </c>
      <c r="L3753">
        <v>141.21520000000001</v>
      </c>
      <c r="M3753">
        <v>-0.99985590000000002</v>
      </c>
      <c r="N3753">
        <v>0</v>
      </c>
      <c r="O3753">
        <v>1.0168190000000001E-2</v>
      </c>
      <c r="P3753">
        <v>-0.98938389999999998</v>
      </c>
      <c r="Q3753">
        <v>0.14013709999999999</v>
      </c>
      <c r="R3753">
        <v>3.8485999999999999E-2</v>
      </c>
      <c r="S3753">
        <v>-3.0704039999999999</v>
      </c>
      <c r="T3753">
        <v>-0.37168259999999997</v>
      </c>
      <c r="U3753">
        <v>0.36849979999999999</v>
      </c>
      <c r="V3753">
        <v>2.84283E-2</v>
      </c>
      <c r="W3753">
        <v>0.15358769999999999</v>
      </c>
      <c r="X3753">
        <v>0.98772599999999999</v>
      </c>
      <c r="Y3753">
        <v>0.1083523</v>
      </c>
      <c r="Z3753">
        <v>5.2892529999999998E-3</v>
      </c>
      <c r="AA3753">
        <v>0.9940985</v>
      </c>
      <c r="AB3753">
        <v>30</v>
      </c>
      <c r="AC3753">
        <v>-0.66500000000002002</v>
      </c>
      <c r="AD3753">
        <v>-0.104165999999999</v>
      </c>
      <c r="AE3753">
        <v>0.10129999999998</v>
      </c>
      <c r="AF3753">
        <v>9.2318508424655402E-2</v>
      </c>
      <c r="AG3753">
        <v>-0.104165999999999</v>
      </c>
      <c r="AH3753">
        <v>0.65039928114773204</v>
      </c>
      <c r="AI3753">
        <v>99.010237862095707</v>
      </c>
      <c r="AJ3753">
        <v>81.9213296333334</v>
      </c>
      <c r="AK3753">
        <v>0.66512591850809699</v>
      </c>
      <c r="AL3753">
        <v>81.165103335071393</v>
      </c>
      <c r="AM3753">
        <v>88.351392924873196</v>
      </c>
      <c r="AN3753">
        <v>1.0000000004540801</v>
      </c>
    </row>
    <row r="3754" spans="1:40" x14ac:dyDescent="0.25">
      <c r="A3754" t="str">
        <f>"20190312164546544"</f>
        <v>20190312164546544</v>
      </c>
      <c r="B3754" t="str">
        <f>"1552380346535716"</f>
        <v>1552380346535716</v>
      </c>
      <c r="C3754" t="s">
        <v>40</v>
      </c>
      <c r="D3754">
        <v>5.1659040000000003</v>
      </c>
      <c r="E3754">
        <v>0.53775589999999995</v>
      </c>
      <c r="F3754" t="s">
        <v>41</v>
      </c>
      <c r="G3754">
        <v>-301.8107</v>
      </c>
      <c r="H3754">
        <v>0.99393770000000004</v>
      </c>
      <c r="I3754">
        <v>141.32810000000001</v>
      </c>
      <c r="J3754">
        <v>-301.05849999999998</v>
      </c>
      <c r="K3754">
        <v>1.1090100000000001</v>
      </c>
      <c r="L3754">
        <v>141.21700000000001</v>
      </c>
      <c r="M3754">
        <v>-0.99985590000000002</v>
      </c>
      <c r="N3754">
        <v>0</v>
      </c>
      <c r="O3754">
        <v>1.016802E-2</v>
      </c>
      <c r="P3754">
        <v>-0.98939999999999995</v>
      </c>
      <c r="Q3754">
        <v>0.13996149999999999</v>
      </c>
      <c r="R3754">
        <v>3.8713379999999999E-2</v>
      </c>
      <c r="S3754">
        <v>-3.0715330000000001</v>
      </c>
      <c r="T3754">
        <v>-0.38038159999999999</v>
      </c>
      <c r="U3754">
        <v>0.37258910000000001</v>
      </c>
      <c r="V3754">
        <v>2.865579E-2</v>
      </c>
      <c r="W3754">
        <v>0.15341150000000001</v>
      </c>
      <c r="X3754">
        <v>0.98774680000000004</v>
      </c>
      <c r="Y3754">
        <v>0.1095719</v>
      </c>
      <c r="Z3754">
        <v>5.4847169999999897E-3</v>
      </c>
      <c r="AA3754">
        <v>0.99396370000000001</v>
      </c>
      <c r="AB3754">
        <v>30</v>
      </c>
      <c r="AC3754">
        <v>-0.75220000000001597</v>
      </c>
      <c r="AD3754">
        <v>-0.1150723</v>
      </c>
      <c r="AE3754">
        <v>0.111099999999993</v>
      </c>
      <c r="AF3754">
        <v>0.101128953584304</v>
      </c>
      <c r="AG3754">
        <v>-0.1150723</v>
      </c>
      <c r="AH3754">
        <v>0.73642416202215799</v>
      </c>
      <c r="AI3754">
        <v>98.799841197973393</v>
      </c>
      <c r="AJ3754">
        <v>82.180802191410507</v>
      </c>
      <c r="AK3754">
        <v>0.75218963426145602</v>
      </c>
      <c r="AL3754">
        <v>81.175319854044403</v>
      </c>
      <c r="AM3754">
        <v>88.338242722393801</v>
      </c>
      <c r="AN3754">
        <v>0.999999991771507</v>
      </c>
    </row>
    <row r="3755" spans="1:40" x14ac:dyDescent="0.25">
      <c r="A3755" t="str">
        <f>"20190312164546563"</f>
        <v>20190312164546563</v>
      </c>
      <c r="B3755" t="str">
        <f>"1552380346555238"</f>
        <v>1552380346555238</v>
      </c>
      <c r="C3755" t="s">
        <v>40</v>
      </c>
      <c r="D3755">
        <v>5.3834220000000004</v>
      </c>
      <c r="E3755">
        <v>0.53846569999999905</v>
      </c>
      <c r="F3755" t="s">
        <v>41</v>
      </c>
      <c r="G3755">
        <v>-301.82089999999999</v>
      </c>
      <c r="H3755">
        <v>1.0145770000000001</v>
      </c>
      <c r="I3755">
        <v>141.31039999999999</v>
      </c>
      <c r="J3755">
        <v>-301.30529999999999</v>
      </c>
      <c r="K3755">
        <v>1.1090100000000001</v>
      </c>
      <c r="L3755">
        <v>141.21950000000001</v>
      </c>
      <c r="M3755">
        <v>-0.99985590000000002</v>
      </c>
      <c r="N3755">
        <v>0</v>
      </c>
      <c r="O3755">
        <v>1.016803E-2</v>
      </c>
      <c r="P3755">
        <v>-0.98942719999999995</v>
      </c>
      <c r="Q3755">
        <v>0.1397052</v>
      </c>
      <c r="R3755">
        <v>3.8940809999999999E-2</v>
      </c>
      <c r="S3755">
        <v>-3.071259</v>
      </c>
      <c r="T3755">
        <v>-0.38049549999999999</v>
      </c>
      <c r="U3755">
        <v>0.37554929999999997</v>
      </c>
      <c r="V3755">
        <v>2.8883099999999901E-2</v>
      </c>
      <c r="W3755">
        <v>0.15315419999999999</v>
      </c>
      <c r="X3755">
        <v>0.98778010000000005</v>
      </c>
      <c r="Y3755">
        <v>0.1105189</v>
      </c>
      <c r="Z3755">
        <v>5.5447389999999999E-3</v>
      </c>
      <c r="AA3755">
        <v>0.99385860000000004</v>
      </c>
      <c r="AB3755">
        <v>30</v>
      </c>
      <c r="AC3755">
        <v>-0.51560000000000605</v>
      </c>
      <c r="AD3755">
        <v>-9.4433000000000003E-2</v>
      </c>
      <c r="AE3755">
        <v>9.0899999999976402E-2</v>
      </c>
      <c r="AF3755">
        <v>8.2953426542762401E-2</v>
      </c>
      <c r="AG3755">
        <v>-9.4433000000000003E-2</v>
      </c>
      <c r="AH3755">
        <v>0.50022374672014402</v>
      </c>
      <c r="AI3755">
        <v>100.549791801918</v>
      </c>
      <c r="AJ3755">
        <v>80.584178533094402</v>
      </c>
      <c r="AK3755">
        <v>0.51577384505897905</v>
      </c>
      <c r="AL3755">
        <v>81.190238292641993</v>
      </c>
      <c r="AM3755">
        <v>88.325124864018704</v>
      </c>
      <c r="AN3755">
        <v>0.99999998419962999</v>
      </c>
    </row>
    <row r="3756" spans="1:40" x14ac:dyDescent="0.25">
      <c r="A3756" t="str">
        <f>"20190312164546585"</f>
        <v>20190312164546585</v>
      </c>
      <c r="B3756" t="str">
        <f>"1552380346575731"</f>
        <v>1552380346575731</v>
      </c>
      <c r="C3756" t="s">
        <v>40</v>
      </c>
      <c r="D3756">
        <v>5.4043869999999998</v>
      </c>
      <c r="E3756">
        <v>0.53922399999999904</v>
      </c>
      <c r="F3756" t="s">
        <v>41</v>
      </c>
      <c r="G3756">
        <v>-302.08620000000002</v>
      </c>
      <c r="H3756">
        <v>1.0065569999999999</v>
      </c>
      <c r="I3756">
        <v>141.31659999999999</v>
      </c>
      <c r="J3756">
        <v>-301.60539999999997</v>
      </c>
      <c r="K3756">
        <v>1.1090059999999999</v>
      </c>
      <c r="L3756">
        <v>141.2225</v>
      </c>
      <c r="M3756">
        <v>-0.99985590000000002</v>
      </c>
      <c r="N3756">
        <v>0</v>
      </c>
      <c r="O3756">
        <v>1.016805E-2</v>
      </c>
      <c r="P3756">
        <v>-0.98941020000000002</v>
      </c>
      <c r="Q3756">
        <v>0.13984530000000001</v>
      </c>
      <c r="R3756">
        <v>3.8867859999999997E-2</v>
      </c>
      <c r="S3756">
        <v>-3.0740050000000001</v>
      </c>
      <c r="T3756">
        <v>-0.40329589999999998</v>
      </c>
      <c r="U3756">
        <v>0.38134770000000001</v>
      </c>
      <c r="V3756">
        <v>2.8810280000000001E-2</v>
      </c>
      <c r="W3756">
        <v>0.1532927</v>
      </c>
      <c r="X3756">
        <v>0.98776079999999999</v>
      </c>
      <c r="Y3756">
        <v>0.1121534</v>
      </c>
      <c r="Z3756">
        <v>5.9748099999999997E-3</v>
      </c>
      <c r="AA3756">
        <v>0.99367300000000003</v>
      </c>
      <c r="AB3756">
        <v>30</v>
      </c>
      <c r="AC3756">
        <v>-0.48080000000004403</v>
      </c>
      <c r="AD3756">
        <v>-0.102449</v>
      </c>
      <c r="AE3756">
        <v>9.4099999999997394E-2</v>
      </c>
      <c r="AF3756">
        <v>8.5468499195177294E-2</v>
      </c>
      <c r="AG3756">
        <v>-0.102449</v>
      </c>
      <c r="AH3756">
        <v>0.46154931320667503</v>
      </c>
      <c r="AI3756">
        <v>102.312131193106</v>
      </c>
      <c r="AJ3756">
        <v>79.508954568397797</v>
      </c>
      <c r="AK3756">
        <v>0.48044607447374299</v>
      </c>
      <c r="AL3756">
        <v>81.182208507294206</v>
      </c>
      <c r="AM3756">
        <v>88.329312534312805</v>
      </c>
      <c r="AN3756">
        <v>1.0000000410618</v>
      </c>
    </row>
    <row r="3757" spans="1:40" x14ac:dyDescent="0.25">
      <c r="A3757" t="str">
        <f>"20190312164546607"</f>
        <v>20190312164546607</v>
      </c>
      <c r="B3757" t="str">
        <f>"1552380346605988"</f>
        <v>1552380346605988</v>
      </c>
      <c r="C3757" t="s">
        <v>40</v>
      </c>
      <c r="D3757">
        <v>5.3149519999999999</v>
      </c>
      <c r="E3757">
        <v>0.53947429999999996</v>
      </c>
      <c r="F3757" t="s">
        <v>41</v>
      </c>
      <c r="G3757">
        <v>-302.35629999999998</v>
      </c>
      <c r="H3757">
        <v>1.008365</v>
      </c>
      <c r="I3757">
        <v>141.31720000000001</v>
      </c>
      <c r="J3757">
        <v>-301.9008</v>
      </c>
      <c r="K3757">
        <v>1.1090100000000001</v>
      </c>
      <c r="L3757">
        <v>141.22550000000001</v>
      </c>
      <c r="M3757">
        <v>-0.99985590000000002</v>
      </c>
      <c r="N3757">
        <v>0</v>
      </c>
      <c r="O3757">
        <v>1.016806E-2</v>
      </c>
      <c r="P3757">
        <v>-0.98938879999999996</v>
      </c>
      <c r="Q3757">
        <v>0.14000029999999999</v>
      </c>
      <c r="R3757">
        <v>3.8853579999999999E-2</v>
      </c>
      <c r="S3757">
        <v>-3.0751339999999998</v>
      </c>
      <c r="T3757">
        <v>-0.41217589999999998</v>
      </c>
      <c r="U3757">
        <v>0.38713069999999999</v>
      </c>
      <c r="V3757">
        <v>2.8796309999999999E-2</v>
      </c>
      <c r="W3757">
        <v>0.15344579999999999</v>
      </c>
      <c r="X3757">
        <v>0.98773739999999999</v>
      </c>
      <c r="Y3757">
        <v>0.1138961</v>
      </c>
      <c r="Z3757">
        <v>6.2181370000000003E-3</v>
      </c>
      <c r="AA3757">
        <v>0.99347319999999995</v>
      </c>
      <c r="AB3757">
        <v>30</v>
      </c>
      <c r="AC3757">
        <v>-0.45549999999997198</v>
      </c>
      <c r="AD3757">
        <v>-0.100645</v>
      </c>
      <c r="AE3757">
        <v>9.1700000000003001E-2</v>
      </c>
      <c r="AF3757">
        <v>8.3161386474917096E-2</v>
      </c>
      <c r="AG3757">
        <v>-0.100645</v>
      </c>
      <c r="AH3757">
        <v>0.43595418196793501</v>
      </c>
      <c r="AI3757">
        <v>102.777001888277</v>
      </c>
      <c r="AJ3757">
        <v>79.200167573349503</v>
      </c>
      <c r="AK3757">
        <v>0.45508381755536198</v>
      </c>
      <c r="AL3757">
        <v>81.173331189161999</v>
      </c>
      <c r="AM3757">
        <v>88.330082647951897</v>
      </c>
      <c r="AN3757">
        <v>1.0000000061829999</v>
      </c>
    </row>
    <row r="3758" spans="1:40" x14ac:dyDescent="0.25">
      <c r="A3758" t="str">
        <f>"20190312164546630"</f>
        <v>20190312164546630</v>
      </c>
      <c r="B3758" t="str">
        <f>"1552380346625507"</f>
        <v>1552380346625507</v>
      </c>
      <c r="C3758" t="s">
        <v>40</v>
      </c>
      <c r="D3758">
        <v>5.339423</v>
      </c>
      <c r="E3758">
        <v>0.53994880000000001</v>
      </c>
      <c r="F3758" t="s">
        <v>41</v>
      </c>
      <c r="G3758">
        <v>-302.62630000000001</v>
      </c>
      <c r="H3758">
        <v>1.0104580000000001</v>
      </c>
      <c r="I3758">
        <v>141.31739999999999</v>
      </c>
      <c r="J3758">
        <v>-302.19159999999999</v>
      </c>
      <c r="K3758">
        <v>1.109008</v>
      </c>
      <c r="L3758">
        <v>141.2285</v>
      </c>
      <c r="M3758">
        <v>-0.99985590000000002</v>
      </c>
      <c r="N3758">
        <v>0</v>
      </c>
      <c r="O3758">
        <v>1.016772E-2</v>
      </c>
      <c r="P3758">
        <v>-0.98942410000000003</v>
      </c>
      <c r="Q3758">
        <v>0.13989089999999901</v>
      </c>
      <c r="R3758">
        <v>3.8343019999999998E-2</v>
      </c>
      <c r="S3758">
        <v>-3.07605</v>
      </c>
      <c r="T3758">
        <v>-0.4178984</v>
      </c>
      <c r="U3758">
        <v>0.3888702</v>
      </c>
      <c r="V3758">
        <v>2.8285709999999999E-2</v>
      </c>
      <c r="W3758">
        <v>0.1533351</v>
      </c>
      <c r="X3758">
        <v>0.98776940000000002</v>
      </c>
      <c r="Y3758">
        <v>0.1143836</v>
      </c>
      <c r="Z3758">
        <v>6.3345169999999996E-3</v>
      </c>
      <c r="AA3758">
        <v>0.99341650000000004</v>
      </c>
      <c r="AB3758">
        <v>30</v>
      </c>
      <c r="AC3758">
        <v>-0.43470000000002001</v>
      </c>
      <c r="AD3758">
        <v>-9.8549999999999902E-2</v>
      </c>
      <c r="AE3758">
        <v>8.8899999999995302E-2</v>
      </c>
      <c r="AF3758">
        <v>8.0503584392833394E-2</v>
      </c>
      <c r="AG3758">
        <v>-9.8549999999999902E-2</v>
      </c>
      <c r="AH3758">
        <v>0.41510313477729999</v>
      </c>
      <c r="AI3758">
        <v>103.119621973886</v>
      </c>
      <c r="AJ3758">
        <v>79.024513234653298</v>
      </c>
      <c r="AK3758">
        <v>0.43416994610640097</v>
      </c>
      <c r="AL3758">
        <v>81.179750278576506</v>
      </c>
      <c r="AM3758">
        <v>88.359729473463901</v>
      </c>
      <c r="AN3758">
        <v>1.0000000609292801</v>
      </c>
    </row>
    <row r="3759" spans="1:40" x14ac:dyDescent="0.25">
      <c r="A3759" t="str">
        <f>"20190312164546642"</f>
        <v>20190312164546642</v>
      </c>
      <c r="B3759" t="str">
        <f>"1552380346635268"</f>
        <v>1552380346635268</v>
      </c>
      <c r="C3759" t="s">
        <v>40</v>
      </c>
      <c r="D3759">
        <v>5.4187250000000002</v>
      </c>
      <c r="E3759">
        <v>0.53994880000000001</v>
      </c>
      <c r="F3759" t="s">
        <v>41</v>
      </c>
      <c r="G3759">
        <v>-303.14690000000002</v>
      </c>
      <c r="H3759">
        <v>0.97670559999999995</v>
      </c>
      <c r="I3759">
        <v>141.3501</v>
      </c>
      <c r="J3759">
        <v>-302.37139999999999</v>
      </c>
      <c r="K3759">
        <v>1.109003</v>
      </c>
      <c r="L3759">
        <v>141.2303</v>
      </c>
      <c r="M3759">
        <v>-0.99985599999999997</v>
      </c>
      <c r="N3759">
        <v>0</v>
      </c>
      <c r="O3759">
        <v>1.0167539999999999E-2</v>
      </c>
      <c r="P3759">
        <v>-0.98946339999999999</v>
      </c>
      <c r="Q3759">
        <v>0.139709</v>
      </c>
      <c r="R3759">
        <v>3.8000430000000002E-2</v>
      </c>
      <c r="S3759">
        <v>-3.0770870000000001</v>
      </c>
      <c r="T3759">
        <v>-0.42617149999999998</v>
      </c>
      <c r="U3759">
        <v>0.39123540000000001</v>
      </c>
      <c r="V3759">
        <v>2.7943039999999999E-2</v>
      </c>
      <c r="W3759">
        <v>0.1531527</v>
      </c>
      <c r="X3759">
        <v>0.9878074</v>
      </c>
      <c r="Y3759">
        <v>0.1150506</v>
      </c>
      <c r="Z3759">
        <v>6.5021230000000003E-3</v>
      </c>
      <c r="AA3759">
        <v>0.99333830000000001</v>
      </c>
      <c r="AB3759">
        <v>30</v>
      </c>
      <c r="AC3759">
        <v>-0.77550000000002195</v>
      </c>
      <c r="AD3759">
        <v>-0.13229739999999901</v>
      </c>
      <c r="AE3759">
        <v>0.11979999999999701</v>
      </c>
      <c r="AF3759">
        <v>0.108815109376049</v>
      </c>
      <c r="AG3759">
        <v>-0.13229739999999901</v>
      </c>
      <c r="AH3759">
        <v>0.75521139844931295</v>
      </c>
      <c r="AI3759">
        <v>99.836644099511005</v>
      </c>
      <c r="AJ3759">
        <v>81.8009302107953</v>
      </c>
      <c r="AK3759">
        <v>0.77439498088704595</v>
      </c>
      <c r="AL3759">
        <v>81.190325502530001</v>
      </c>
      <c r="AM3759">
        <v>88.3796523344419</v>
      </c>
      <c r="AN3759">
        <v>1.0000000112482399</v>
      </c>
    </row>
    <row r="3760" spans="1:40" x14ac:dyDescent="0.25">
      <c r="A3760" t="str">
        <f>"20190312164546663"</f>
        <v>20190312164546663</v>
      </c>
      <c r="B3760" t="str">
        <f>"1552380346655763"</f>
        <v>1552380346655763</v>
      </c>
      <c r="C3760" t="s">
        <v>40</v>
      </c>
      <c r="D3760">
        <v>4.970091</v>
      </c>
      <c r="E3760">
        <v>0.54004259999999904</v>
      </c>
      <c r="F3760" t="s">
        <v>41</v>
      </c>
      <c r="G3760">
        <v>-303.15820000000002</v>
      </c>
      <c r="H3760">
        <v>0.99994059999999996</v>
      </c>
      <c r="I3760">
        <v>141.33029999999999</v>
      </c>
      <c r="J3760">
        <v>-302.6497</v>
      </c>
      <c r="K3760">
        <v>1.1090009999999999</v>
      </c>
      <c r="L3760">
        <v>141.23310000000001</v>
      </c>
      <c r="M3760">
        <v>-0.99985599999999997</v>
      </c>
      <c r="N3760">
        <v>0</v>
      </c>
      <c r="O3760">
        <v>1.016738E-2</v>
      </c>
      <c r="P3760">
        <v>-0.98953100000000005</v>
      </c>
      <c r="Q3760">
        <v>0.13944289999999901</v>
      </c>
      <c r="R3760">
        <v>3.7205960000000003E-2</v>
      </c>
      <c r="S3760">
        <v>-3.0771790000000001</v>
      </c>
      <c r="T3760">
        <v>-0.4266046</v>
      </c>
      <c r="U3760">
        <v>0.39051819999999998</v>
      </c>
      <c r="V3760">
        <v>2.7147999999999999E-2</v>
      </c>
      <c r="W3760">
        <v>0.15288560000000001</v>
      </c>
      <c r="X3760">
        <v>0.9878709</v>
      </c>
      <c r="Y3760">
        <v>0.1148194</v>
      </c>
      <c r="Z3760">
        <v>6.492711E-3</v>
      </c>
      <c r="AA3760">
        <v>0.99336519999999995</v>
      </c>
      <c r="AB3760">
        <v>30</v>
      </c>
      <c r="AC3760">
        <v>-0.50850000000002604</v>
      </c>
      <c r="AD3760">
        <v>-0.1090604</v>
      </c>
      <c r="AE3760">
        <v>9.7199999999986603E-2</v>
      </c>
      <c r="AF3760">
        <v>8.8114066940209401E-2</v>
      </c>
      <c r="AG3760">
        <v>-0.1090604</v>
      </c>
      <c r="AH3760">
        <v>0.48781391100844101</v>
      </c>
      <c r="AI3760">
        <v>102.407928135744</v>
      </c>
      <c r="AJ3760">
        <v>79.761039279185695</v>
      </c>
      <c r="AK3760">
        <v>0.50756346540531705</v>
      </c>
      <c r="AL3760">
        <v>81.205811196333499</v>
      </c>
      <c r="AM3760">
        <v>88.425832338051407</v>
      </c>
      <c r="AN3760">
        <v>0.99999996782908396</v>
      </c>
    </row>
    <row r="3761" spans="1:40" x14ac:dyDescent="0.25">
      <c r="A3761" t="str">
        <f>"20190312164546676"</f>
        <v>20190312164546676</v>
      </c>
      <c r="B3761" t="str">
        <f>"1552380346665523"</f>
        <v>1552380346665523</v>
      </c>
      <c r="C3761" t="s">
        <v>40</v>
      </c>
      <c r="D3761">
        <v>4.7939299999999996</v>
      </c>
      <c r="E3761">
        <v>0.54031589999999996</v>
      </c>
      <c r="F3761" t="s">
        <v>41</v>
      </c>
      <c r="G3761">
        <v>-303.42489999999998</v>
      </c>
      <c r="H3761">
        <v>0.99684519999999999</v>
      </c>
      <c r="I3761">
        <v>141.33099999999999</v>
      </c>
      <c r="J3761">
        <v>-302.82510000000002</v>
      </c>
      <c r="K3761">
        <v>1.1090059999999999</v>
      </c>
      <c r="L3761">
        <v>141.23490000000001</v>
      </c>
      <c r="M3761">
        <v>-0.99985590000000002</v>
      </c>
      <c r="N3761">
        <v>0</v>
      </c>
      <c r="O3761">
        <v>1.016738E-2</v>
      </c>
      <c r="P3761">
        <v>-0.98956049999999995</v>
      </c>
      <c r="Q3761">
        <v>0.1393596</v>
      </c>
      <c r="R3761">
        <v>3.6729329999999998E-2</v>
      </c>
      <c r="S3761">
        <v>-3.0799560000000001</v>
      </c>
      <c r="T3761">
        <v>-0.44557999999999998</v>
      </c>
      <c r="U3761">
        <v>0.38841249999999999</v>
      </c>
      <c r="V3761">
        <v>2.667108E-2</v>
      </c>
      <c r="W3761">
        <v>0.1528022</v>
      </c>
      <c r="X3761">
        <v>0.98789689999999997</v>
      </c>
      <c r="Y3761">
        <v>0.11396050000000001</v>
      </c>
      <c r="Z3761">
        <v>6.7113340000000002E-3</v>
      </c>
      <c r="AA3761">
        <v>0.99346259999999997</v>
      </c>
      <c r="AB3761">
        <v>30</v>
      </c>
      <c r="AC3761">
        <v>-0.59979999999995903</v>
      </c>
      <c r="AD3761">
        <v>-0.11216079999999901</v>
      </c>
      <c r="AE3761">
        <v>9.6100000000006902E-2</v>
      </c>
      <c r="AF3761">
        <v>8.70290192416181E-2</v>
      </c>
      <c r="AG3761">
        <v>-0.11216079999999901</v>
      </c>
      <c r="AH3761">
        <v>0.58094034078221501</v>
      </c>
      <c r="AI3761">
        <v>100.809775936139</v>
      </c>
      <c r="AJ3761">
        <v>81.480040805734802</v>
      </c>
      <c r="AK3761">
        <v>0.59803492773830103</v>
      </c>
      <c r="AL3761">
        <v>81.210647399631</v>
      </c>
      <c r="AM3761">
        <v>88.453513516719397</v>
      </c>
      <c r="AN3761">
        <v>1.0000000719313999</v>
      </c>
    </row>
    <row r="3762" spans="1:40" x14ac:dyDescent="0.25">
      <c r="A3762" t="str">
        <f>"20190312164546689"</f>
        <v>20190312164546689</v>
      </c>
      <c r="B3762" t="str">
        <f>"1552380346686019"</f>
        <v>1552380346686019</v>
      </c>
      <c r="C3762" t="s">
        <v>40</v>
      </c>
      <c r="D3762">
        <v>4.7238199999999999</v>
      </c>
      <c r="E3762">
        <v>0.54076179999999996</v>
      </c>
      <c r="F3762" t="s">
        <v>41</v>
      </c>
      <c r="G3762">
        <v>-303.68549999999999</v>
      </c>
      <c r="H3762">
        <v>0.98156399999999999</v>
      </c>
      <c r="I3762">
        <v>141.34370000000001</v>
      </c>
      <c r="J3762">
        <v>-302.99470000000002</v>
      </c>
      <c r="K3762">
        <v>1.1090059999999999</v>
      </c>
      <c r="L3762">
        <v>141.23670000000001</v>
      </c>
      <c r="M3762">
        <v>-0.99985610000000003</v>
      </c>
      <c r="N3762">
        <v>0</v>
      </c>
      <c r="O3762">
        <v>1.016709E-2</v>
      </c>
      <c r="P3762">
        <v>-0.98954909999999996</v>
      </c>
      <c r="Q3762">
        <v>0.13953550000000001</v>
      </c>
      <c r="R3762">
        <v>3.6369449999999998E-2</v>
      </c>
      <c r="S3762">
        <v>-3.0814819999999998</v>
      </c>
      <c r="T3762">
        <v>-0.4564455</v>
      </c>
      <c r="U3762">
        <v>0.3891907</v>
      </c>
      <c r="V3762">
        <v>2.6311600000000001E-2</v>
      </c>
      <c r="W3762">
        <v>0.15297649999999999</v>
      </c>
      <c r="X3762">
        <v>0.98787950000000002</v>
      </c>
      <c r="Y3762">
        <v>0.11409420000000001</v>
      </c>
      <c r="Z3762">
        <v>6.8796660000000004E-3</v>
      </c>
      <c r="AA3762">
        <v>0.9934461</v>
      </c>
      <c r="AB3762">
        <v>30</v>
      </c>
      <c r="AC3762">
        <v>-0.690799999999967</v>
      </c>
      <c r="AD3762">
        <v>-0.127441999999999</v>
      </c>
      <c r="AE3762">
        <v>0.106999999999999</v>
      </c>
      <c r="AF3762">
        <v>9.6754547891897302E-2</v>
      </c>
      <c r="AG3762">
        <v>-0.127441999999999</v>
      </c>
      <c r="AH3762">
        <v>0.66959676698023796</v>
      </c>
      <c r="AI3762">
        <v>100.667809088635</v>
      </c>
      <c r="AJ3762">
        <v>81.7778558681524</v>
      </c>
      <c r="AK3762">
        <v>0.68844951612456895</v>
      </c>
      <c r="AL3762">
        <v>81.200541373854804</v>
      </c>
      <c r="AM3762">
        <v>88.474320700186496</v>
      </c>
      <c r="AN3762">
        <v>1.0000000081835201</v>
      </c>
    </row>
    <row r="3763" spans="1:40" x14ac:dyDescent="0.25">
      <c r="A3763" t="str">
        <f>"20190312164546706"</f>
        <v>20190312164546706</v>
      </c>
      <c r="B3763" t="str">
        <f>"1552380346695783"</f>
        <v>1552380346695783</v>
      </c>
      <c r="C3763" t="s">
        <v>40</v>
      </c>
      <c r="D3763">
        <v>5.2127299999999996</v>
      </c>
      <c r="E3763">
        <v>0.54097090000000003</v>
      </c>
      <c r="F3763" t="s">
        <v>41</v>
      </c>
      <c r="G3763">
        <v>-303.94409999999999</v>
      </c>
      <c r="H3763">
        <v>0.96240060000000005</v>
      </c>
      <c r="I3763">
        <v>141.35720000000001</v>
      </c>
      <c r="J3763">
        <v>-303.233</v>
      </c>
      <c r="K3763">
        <v>1.1090089999999999</v>
      </c>
      <c r="L3763">
        <v>141.23910000000001</v>
      </c>
      <c r="M3763">
        <v>-0.99985610000000003</v>
      </c>
      <c r="N3763">
        <v>0</v>
      </c>
      <c r="O3763">
        <v>1.01671E-2</v>
      </c>
      <c r="P3763">
        <v>-0.98955599999999999</v>
      </c>
      <c r="Q3763">
        <v>0.1396733</v>
      </c>
      <c r="R3763">
        <v>3.5643719999999997E-2</v>
      </c>
      <c r="S3763">
        <v>-3.0845030000000002</v>
      </c>
      <c r="T3763">
        <v>-0.47641109999999998</v>
      </c>
      <c r="U3763">
        <v>0.39073180000000002</v>
      </c>
      <c r="V3763">
        <v>2.558593E-2</v>
      </c>
      <c r="W3763">
        <v>0.1531132</v>
      </c>
      <c r="X3763">
        <v>0.98787740000000002</v>
      </c>
      <c r="Y3763">
        <v>0.1143619</v>
      </c>
      <c r="Z3763">
        <v>7.1905290000000002E-3</v>
      </c>
      <c r="AA3763">
        <v>0.9934132</v>
      </c>
      <c r="AB3763">
        <v>30</v>
      </c>
      <c r="AC3763">
        <v>-0.71109999999998696</v>
      </c>
      <c r="AD3763">
        <v>-0.146608399999999</v>
      </c>
      <c r="AE3763">
        <v>0.118099999999998</v>
      </c>
      <c r="AF3763">
        <v>0.106459634566947</v>
      </c>
      <c r="AG3763">
        <v>-0.146608399999999</v>
      </c>
      <c r="AH3763">
        <v>0.68397119290055797</v>
      </c>
      <c r="AI3763">
        <v>101.95844049351599</v>
      </c>
      <c r="AJ3763">
        <v>81.152941482992603</v>
      </c>
      <c r="AK3763">
        <v>0.70756220183140095</v>
      </c>
      <c r="AL3763">
        <v>81.192615816068198</v>
      </c>
      <c r="AM3763">
        <v>88.516376482172703</v>
      </c>
      <c r="AN3763">
        <v>1.00000002462948</v>
      </c>
    </row>
    <row r="3764" spans="1:40" x14ac:dyDescent="0.25">
      <c r="A3764" t="str">
        <f>"20190312164546719"</f>
        <v>20190312164546719</v>
      </c>
      <c r="B3764" t="str">
        <f>"1552380346715299"</f>
        <v>1552380346715299</v>
      </c>
      <c r="C3764" t="s">
        <v>40</v>
      </c>
      <c r="D3764">
        <v>4.5826500000000001</v>
      </c>
      <c r="E3764">
        <v>0.54143699999999995</v>
      </c>
      <c r="F3764" t="s">
        <v>41</v>
      </c>
      <c r="G3764">
        <v>-303.96089999999998</v>
      </c>
      <c r="H3764">
        <v>0.99715109999999996</v>
      </c>
      <c r="I3764">
        <v>141.3314</v>
      </c>
      <c r="J3764">
        <v>-303.39280000000002</v>
      </c>
      <c r="K3764">
        <v>1.109008</v>
      </c>
      <c r="L3764">
        <v>141.2407</v>
      </c>
      <c r="M3764">
        <v>-0.99985610000000003</v>
      </c>
      <c r="N3764">
        <v>0</v>
      </c>
      <c r="O3764">
        <v>1.0166929999999999E-2</v>
      </c>
      <c r="P3764">
        <v>-0.98953590000000002</v>
      </c>
      <c r="Q3764">
        <v>0.13994389999999901</v>
      </c>
      <c r="R3764">
        <v>3.514113E-2</v>
      </c>
      <c r="S3764">
        <v>-3.0845030000000002</v>
      </c>
      <c r="T3764">
        <v>-0.47405649999999999</v>
      </c>
      <c r="U3764">
        <v>0.39036559999999998</v>
      </c>
      <c r="V3764">
        <v>2.5083810000000002E-2</v>
      </c>
      <c r="W3764">
        <v>0.15338270000000001</v>
      </c>
      <c r="X3764">
        <v>0.98784850000000002</v>
      </c>
      <c r="Y3764">
        <v>0.114259</v>
      </c>
      <c r="Z3764">
        <v>7.1476530000000003E-3</v>
      </c>
      <c r="AA3764">
        <v>0.99342529999999996</v>
      </c>
      <c r="AB3764">
        <v>30</v>
      </c>
      <c r="AC3764">
        <v>-0.56809999999995797</v>
      </c>
      <c r="AD3764">
        <v>-0.111856899999999</v>
      </c>
      <c r="AE3764">
        <v>9.0699999999998199E-2</v>
      </c>
      <c r="AF3764">
        <v>8.1825562929286694E-2</v>
      </c>
      <c r="AG3764">
        <v>-0.111856899999999</v>
      </c>
      <c r="AH3764">
        <v>0.54826588461150205</v>
      </c>
      <c r="AI3764">
        <v>101.408213675665</v>
      </c>
      <c r="AJ3764">
        <v>81.511584233652002</v>
      </c>
      <c r="AK3764">
        <v>0.56551115732153101</v>
      </c>
      <c r="AL3764">
        <v>81.176990294660598</v>
      </c>
      <c r="AM3764">
        <v>88.545437201719295</v>
      </c>
      <c r="AN3764">
        <v>1.00000005456782</v>
      </c>
    </row>
    <row r="3765" spans="1:40" x14ac:dyDescent="0.25">
      <c r="A3765" t="str">
        <f>"20190312164546731"</f>
        <v>20190312164546731</v>
      </c>
      <c r="B3765" t="str">
        <f>"1552380346725060"</f>
        <v>1552380346725060</v>
      </c>
      <c r="C3765" t="s">
        <v>40</v>
      </c>
      <c r="D3765">
        <v>4.8383219999999998</v>
      </c>
      <c r="E3765">
        <v>0.54166159999999997</v>
      </c>
      <c r="F3765" t="s">
        <v>41</v>
      </c>
      <c r="G3765">
        <v>-304.22129999999999</v>
      </c>
      <c r="H3765">
        <v>0.98255689999999996</v>
      </c>
      <c r="I3765">
        <v>141.34610000000001</v>
      </c>
      <c r="J3765">
        <v>-303.55579999999998</v>
      </c>
      <c r="K3765">
        <v>1.1090089999999999</v>
      </c>
      <c r="L3765">
        <v>141.2423</v>
      </c>
      <c r="M3765">
        <v>-0.99985610000000003</v>
      </c>
      <c r="N3765">
        <v>0</v>
      </c>
      <c r="O3765">
        <v>1.016676E-2</v>
      </c>
      <c r="P3765">
        <v>-0.98956219999999995</v>
      </c>
      <c r="Q3765">
        <v>0.1398054</v>
      </c>
      <c r="R3765">
        <v>3.4943960000000003E-2</v>
      </c>
      <c r="S3765">
        <v>-3.084381</v>
      </c>
      <c r="T3765">
        <v>-0.47079209999999999</v>
      </c>
      <c r="U3765">
        <v>0.39213559999999997</v>
      </c>
      <c r="V3765">
        <v>2.4886450000000001E-2</v>
      </c>
      <c r="W3765">
        <v>0.15324370000000001</v>
      </c>
      <c r="X3765">
        <v>0.98787499999999995</v>
      </c>
      <c r="Y3765">
        <v>0.11483500000000001</v>
      </c>
      <c r="Z3765">
        <v>7.142575E-3</v>
      </c>
      <c r="AA3765">
        <v>0.99335890000000004</v>
      </c>
      <c r="AB3765">
        <v>30</v>
      </c>
      <c r="AC3765">
        <v>-0.66550000000000797</v>
      </c>
      <c r="AD3765">
        <v>-0.12645209999999901</v>
      </c>
      <c r="AE3765">
        <v>0.103800000000006</v>
      </c>
      <c r="AF3765">
        <v>9.3724560378958294E-2</v>
      </c>
      <c r="AG3765">
        <v>-0.12645209999999901</v>
      </c>
      <c r="AH3765">
        <v>0.64382825482595396</v>
      </c>
      <c r="AI3765">
        <v>100.998766941559</v>
      </c>
      <c r="AJ3765">
        <v>81.717413040069502</v>
      </c>
      <c r="AK3765">
        <v>0.66278899245904199</v>
      </c>
      <c r="AL3765">
        <v>81.185049126463696</v>
      </c>
      <c r="AM3765">
        <v>88.556915572576898</v>
      </c>
      <c r="AN3765">
        <v>0.99999999130414596</v>
      </c>
    </row>
    <row r="3766" spans="1:40" x14ac:dyDescent="0.25">
      <c r="A3766" t="str">
        <f>"20190312164546743"</f>
        <v>20190312164546743</v>
      </c>
      <c r="B3766" t="str">
        <f>"1552380346735796"</f>
        <v>1552380346735796</v>
      </c>
      <c r="C3766" t="s">
        <v>40</v>
      </c>
      <c r="D3766">
        <v>4.7263460000000004</v>
      </c>
      <c r="E3766">
        <v>0.54193259999999999</v>
      </c>
      <c r="F3766" t="s">
        <v>41</v>
      </c>
      <c r="G3766">
        <v>-304.48160000000001</v>
      </c>
      <c r="H3766">
        <v>0.96785500000000002</v>
      </c>
      <c r="I3766">
        <v>141.3604</v>
      </c>
      <c r="J3766">
        <v>-303.72539999999998</v>
      </c>
      <c r="K3766">
        <v>1.109008</v>
      </c>
      <c r="L3766">
        <v>141.2441</v>
      </c>
      <c r="M3766">
        <v>-0.99985610000000003</v>
      </c>
      <c r="N3766">
        <v>0</v>
      </c>
      <c r="O3766">
        <v>1.016676E-2</v>
      </c>
      <c r="P3766">
        <v>-0.98958369999999996</v>
      </c>
      <c r="Q3766">
        <v>0.139732</v>
      </c>
      <c r="R3766">
        <v>3.4629939999999998E-2</v>
      </c>
      <c r="S3766">
        <v>-3.0841669999999999</v>
      </c>
      <c r="T3766">
        <v>-0.47022510000000001</v>
      </c>
      <c r="U3766">
        <v>0.39305109999999999</v>
      </c>
      <c r="V3766">
        <v>2.457227E-2</v>
      </c>
      <c r="W3766">
        <v>0.15316920000000001</v>
      </c>
      <c r="X3766">
        <v>0.98789439999999995</v>
      </c>
      <c r="Y3766">
        <v>0.1151331</v>
      </c>
      <c r="Z3766">
        <v>7.1569320000000004E-3</v>
      </c>
      <c r="AA3766">
        <v>0.99332430000000005</v>
      </c>
      <c r="AB3766">
        <v>30</v>
      </c>
      <c r="AC3766">
        <v>-0.75620000000003496</v>
      </c>
      <c r="AD3766">
        <v>-0.141153</v>
      </c>
      <c r="AE3766">
        <v>0.116299999999995</v>
      </c>
      <c r="AF3766">
        <v>0.105030237644302</v>
      </c>
      <c r="AG3766">
        <v>-0.141153</v>
      </c>
      <c r="AH3766">
        <v>0.73241407237226497</v>
      </c>
      <c r="AI3766">
        <v>100.80061822151799</v>
      </c>
      <c r="AJ3766">
        <v>81.839260732086004</v>
      </c>
      <c r="AK3766">
        <v>0.75325021980583895</v>
      </c>
      <c r="AL3766">
        <v>81.1893684942861</v>
      </c>
      <c r="AM3766">
        <v>88.575154261857804</v>
      </c>
      <c r="AN3766">
        <v>0.99999997291647602</v>
      </c>
    </row>
    <row r="3767" spans="1:40" x14ac:dyDescent="0.25">
      <c r="A3767" t="str">
        <f>"20190312164546757"</f>
        <v>20190312164546757</v>
      </c>
      <c r="B3767" t="str">
        <f>"1552380346745555"</f>
        <v>1552380346745555</v>
      </c>
      <c r="C3767" t="s">
        <v>40</v>
      </c>
      <c r="D3767">
        <v>4.9256010000000003</v>
      </c>
      <c r="E3767">
        <v>0.54165509999999994</v>
      </c>
      <c r="F3767" t="s">
        <v>41</v>
      </c>
      <c r="G3767">
        <v>-304.49329999999998</v>
      </c>
      <c r="H3767">
        <v>0.99197789999999997</v>
      </c>
      <c r="I3767">
        <v>141.3424</v>
      </c>
      <c r="J3767">
        <v>-303.89870000000002</v>
      </c>
      <c r="K3767">
        <v>1.1090089999999999</v>
      </c>
      <c r="L3767">
        <v>141.2458</v>
      </c>
      <c r="M3767">
        <v>-0.99985610000000003</v>
      </c>
      <c r="N3767">
        <v>0</v>
      </c>
      <c r="O3767">
        <v>1.016647E-2</v>
      </c>
      <c r="P3767">
        <v>-0.9896414</v>
      </c>
      <c r="Q3767">
        <v>0.13934730000000001</v>
      </c>
      <c r="R3767">
        <v>3.4528360000000001E-2</v>
      </c>
      <c r="S3767">
        <v>-3.0841370000000001</v>
      </c>
      <c r="T3767">
        <v>-0.47003050000000002</v>
      </c>
      <c r="U3767">
        <v>0.39457700000000001</v>
      </c>
      <c r="V3767">
        <v>2.4470309999999999E-2</v>
      </c>
      <c r="W3767">
        <v>0.1527847</v>
      </c>
      <c r="X3767">
        <v>0.98795650000000002</v>
      </c>
      <c r="Y3767">
        <v>0.1156138</v>
      </c>
      <c r="Z3767">
        <v>7.1901719999999999E-3</v>
      </c>
      <c r="AA3767">
        <v>0.99326820000000005</v>
      </c>
      <c r="AB3767">
        <v>30</v>
      </c>
      <c r="AC3767">
        <v>-0.59459999999995705</v>
      </c>
      <c r="AD3767">
        <v>-0.117031099999999</v>
      </c>
      <c r="AE3767">
        <v>9.6599999999995106E-2</v>
      </c>
      <c r="AF3767">
        <v>8.7256140577256794E-2</v>
      </c>
      <c r="AG3767">
        <v>-0.117031099999999</v>
      </c>
      <c r="AH3767">
        <v>0.57389095777937105</v>
      </c>
      <c r="AI3767">
        <v>101.39853076388999</v>
      </c>
      <c r="AJ3767">
        <v>81.3547856759658</v>
      </c>
      <c r="AK3767">
        <v>0.59216614548332003</v>
      </c>
      <c r="AL3767">
        <v>81.211661380563001</v>
      </c>
      <c r="AM3767">
        <v>88.581153238017293</v>
      </c>
      <c r="AN3767">
        <v>1.00000000325891</v>
      </c>
    </row>
    <row r="3768" spans="1:40" x14ac:dyDescent="0.25">
      <c r="A3768" t="str">
        <f>"20190312164546776"</f>
        <v>20190312164546776</v>
      </c>
      <c r="B3768" t="str">
        <f>"1552380346765075"</f>
        <v>1552380346765075</v>
      </c>
      <c r="C3768" t="s">
        <v>40</v>
      </c>
      <c r="D3768">
        <v>4.9812989999999999</v>
      </c>
      <c r="E3768">
        <v>0.54210789999999998</v>
      </c>
      <c r="F3768" t="s">
        <v>41</v>
      </c>
      <c r="G3768">
        <v>-304.75369999999998</v>
      </c>
      <c r="H3768">
        <v>0.97812960000000004</v>
      </c>
      <c r="I3768">
        <v>141.3546</v>
      </c>
      <c r="J3768">
        <v>-304.16090000000003</v>
      </c>
      <c r="K3768">
        <v>1.109002</v>
      </c>
      <c r="L3768">
        <v>141.24850000000001</v>
      </c>
      <c r="M3768">
        <v>-0.99985599999999997</v>
      </c>
      <c r="N3768">
        <v>0</v>
      </c>
      <c r="O3768">
        <v>1.01663E-2</v>
      </c>
      <c r="P3768">
        <v>-0.98970409999999998</v>
      </c>
      <c r="Q3768">
        <v>0.13899489999999901</v>
      </c>
      <c r="R3768">
        <v>3.4147879999999999E-2</v>
      </c>
      <c r="S3768">
        <v>-3.0841980000000002</v>
      </c>
      <c r="T3768">
        <v>-0.47212989999999999</v>
      </c>
      <c r="U3768">
        <v>0.39234920000000001</v>
      </c>
      <c r="V3768">
        <v>2.408942E-2</v>
      </c>
      <c r="W3768">
        <v>0.15243129999999999</v>
      </c>
      <c r="X3768">
        <v>0.98802040000000002</v>
      </c>
      <c r="Y3768">
        <v>0.1149029</v>
      </c>
      <c r="Z3768">
        <v>7.1682439999999998E-3</v>
      </c>
      <c r="AA3768">
        <v>0.99335090000000004</v>
      </c>
      <c r="AB3768">
        <v>30</v>
      </c>
      <c r="AC3768">
        <v>-0.59279999999995403</v>
      </c>
      <c r="AD3768">
        <v>-0.1308724</v>
      </c>
      <c r="AE3768">
        <v>0.106099999999997</v>
      </c>
      <c r="AF3768">
        <v>9.5554665732181396E-2</v>
      </c>
      <c r="AG3768">
        <v>-0.1308724</v>
      </c>
      <c r="AH3768">
        <v>0.56706749787368205</v>
      </c>
      <c r="AI3768">
        <v>102.820986960349</v>
      </c>
      <c r="AJ3768">
        <v>80.435132399572595</v>
      </c>
      <c r="AK3768">
        <v>0.58976590811072405</v>
      </c>
      <c r="AL3768">
        <v>81.232149276020493</v>
      </c>
      <c r="AM3768">
        <v>88.603319627881504</v>
      </c>
      <c r="AN3768">
        <v>0.99999995609589198</v>
      </c>
    </row>
    <row r="3769" spans="1:40" x14ac:dyDescent="0.25">
      <c r="A3769" t="str">
        <f>"20190312164546798"</f>
        <v>20190312164546798</v>
      </c>
      <c r="B3769" t="str">
        <f>"1552380346785571"</f>
        <v>1552380346785571</v>
      </c>
      <c r="C3769" t="s">
        <v>40</v>
      </c>
      <c r="D3769">
        <v>4.681114</v>
      </c>
      <c r="E3769">
        <v>0.54257489999999997</v>
      </c>
      <c r="F3769" t="s">
        <v>41</v>
      </c>
      <c r="G3769">
        <v>-305.02019999999999</v>
      </c>
      <c r="H3769">
        <v>0.97732949999999996</v>
      </c>
      <c r="I3769">
        <v>141.3587</v>
      </c>
      <c r="J3769">
        <v>-304.44299999999998</v>
      </c>
      <c r="K3769">
        <v>1.1089990000000001</v>
      </c>
      <c r="L3769">
        <v>141.25139999999999</v>
      </c>
      <c r="M3769">
        <v>-0.99985610000000003</v>
      </c>
      <c r="N3769">
        <v>0</v>
      </c>
      <c r="O3769">
        <v>1.0166130000000001E-2</v>
      </c>
      <c r="P3769">
        <v>-0.98967309999999997</v>
      </c>
      <c r="Q3769">
        <v>0.1393026</v>
      </c>
      <c r="R3769">
        <v>3.3792849999999999E-2</v>
      </c>
      <c r="S3769">
        <v>-3.0839539999999999</v>
      </c>
      <c r="T3769">
        <v>-0.47261560000000002</v>
      </c>
      <c r="U3769">
        <v>0.39485170000000003</v>
      </c>
      <c r="V3769">
        <v>2.37349E-2</v>
      </c>
      <c r="W3769">
        <v>0.15273709999999999</v>
      </c>
      <c r="X3769">
        <v>0.98798180000000002</v>
      </c>
      <c r="Y3769">
        <v>0.1156944</v>
      </c>
      <c r="Z3769">
        <v>7.2358129999999998E-3</v>
      </c>
      <c r="AA3769">
        <v>0.99325850000000004</v>
      </c>
      <c r="AB3769">
        <v>30</v>
      </c>
      <c r="AC3769">
        <v>-0.57720000000000404</v>
      </c>
      <c r="AD3769">
        <v>-0.13166949999999999</v>
      </c>
      <c r="AE3769">
        <v>0.107300000000009</v>
      </c>
      <c r="AF3769">
        <v>9.6568674715410793E-2</v>
      </c>
      <c r="AG3769">
        <v>-0.13166949999999999</v>
      </c>
      <c r="AH3769">
        <v>0.55056785167644595</v>
      </c>
      <c r="AI3769">
        <v>103.254749233296</v>
      </c>
      <c r="AJ3769">
        <v>80.051612246945894</v>
      </c>
      <c r="AK3769">
        <v>0.57427112539823699</v>
      </c>
      <c r="AL3769">
        <v>81.2144210396972</v>
      </c>
      <c r="AM3769">
        <v>88.623812634126196</v>
      </c>
      <c r="AN3769">
        <v>1.0000000021628299</v>
      </c>
    </row>
    <row r="3770" spans="1:40" x14ac:dyDescent="0.25">
      <c r="A3770" t="str">
        <f>"20190312164546819"</f>
        <v>20190312164546819</v>
      </c>
      <c r="B3770" t="str">
        <f>"1552380346815828"</f>
        <v>1552380346815828</v>
      </c>
      <c r="C3770" t="s">
        <v>40</v>
      </c>
      <c r="D3770">
        <v>4.6709990000000001</v>
      </c>
      <c r="E3770">
        <v>0.54263159999999999</v>
      </c>
      <c r="F3770" t="s">
        <v>41</v>
      </c>
      <c r="G3770">
        <v>-305.28820000000002</v>
      </c>
      <c r="H3770">
        <v>0.97987290000000005</v>
      </c>
      <c r="I3770">
        <v>141.3604</v>
      </c>
      <c r="J3770">
        <v>-304.72919999999999</v>
      </c>
      <c r="K3770">
        <v>1.109008</v>
      </c>
      <c r="L3770">
        <v>141.2543</v>
      </c>
      <c r="M3770">
        <v>-0.99985619999999997</v>
      </c>
      <c r="N3770">
        <v>0</v>
      </c>
      <c r="O3770">
        <v>1.0165789999999999E-2</v>
      </c>
      <c r="P3770">
        <v>-0.98956750000000004</v>
      </c>
      <c r="Q3770">
        <v>0.14001269999999999</v>
      </c>
      <c r="R3770">
        <v>3.3953919999999999E-2</v>
      </c>
      <c r="S3770">
        <v>-3.0840450000000001</v>
      </c>
      <c r="T3770">
        <v>-0.47110800000000003</v>
      </c>
      <c r="U3770">
        <v>0.39750669999999999</v>
      </c>
      <c r="V3770">
        <v>2.3897410000000001E-2</v>
      </c>
      <c r="W3770">
        <v>0.15344389999999999</v>
      </c>
      <c r="X3770">
        <v>0.98786839999999998</v>
      </c>
      <c r="Y3770">
        <v>0.1165306</v>
      </c>
      <c r="Z3770">
        <v>7.2756890000000001E-3</v>
      </c>
      <c r="AA3770">
        <v>0.9931605</v>
      </c>
      <c r="AB3770">
        <v>30</v>
      </c>
      <c r="AC3770">
        <v>-0.55900000000002503</v>
      </c>
      <c r="AD3770">
        <v>-0.1291351</v>
      </c>
      <c r="AE3770">
        <v>0.106099999999997</v>
      </c>
      <c r="AF3770">
        <v>9.5492464426454399E-2</v>
      </c>
      <c r="AG3770">
        <v>-0.1291351</v>
      </c>
      <c r="AH3770">
        <v>0.53261462433304496</v>
      </c>
      <c r="AI3770">
        <v>103.422557677795</v>
      </c>
      <c r="AJ3770">
        <v>79.835435691651497</v>
      </c>
      <c r="AK3770">
        <v>0.55630299555878504</v>
      </c>
      <c r="AL3770">
        <v>81.173441711724493</v>
      </c>
      <c r="AM3770">
        <v>88.614234710591504</v>
      </c>
      <c r="AN3770">
        <v>1.0000000461852301</v>
      </c>
    </row>
    <row r="3771" spans="1:40" x14ac:dyDescent="0.25">
      <c r="A3771" t="str">
        <f>"20190312164546833"</f>
        <v>20190312164546833</v>
      </c>
      <c r="B3771" t="str">
        <f>"1552380346825588"</f>
        <v>1552380346825588</v>
      </c>
      <c r="C3771" t="s">
        <v>40</v>
      </c>
      <c r="D3771">
        <v>4.5177630000000004</v>
      </c>
      <c r="E3771">
        <v>0.50123130000000005</v>
      </c>
      <c r="F3771" t="s">
        <v>41</v>
      </c>
      <c r="G3771">
        <v>-305.5566</v>
      </c>
      <c r="H3771">
        <v>0.98380979999999996</v>
      </c>
      <c r="I3771">
        <v>141.3612</v>
      </c>
      <c r="J3771">
        <v>-304.92039999999997</v>
      </c>
      <c r="K3771">
        <v>1.109011</v>
      </c>
      <c r="L3771">
        <v>141.25620000000001</v>
      </c>
      <c r="M3771">
        <v>-0.99985610000000003</v>
      </c>
      <c r="N3771">
        <v>0</v>
      </c>
      <c r="O3771">
        <v>1.0165789999999999E-2</v>
      </c>
      <c r="P3771">
        <v>-0.98947969999999996</v>
      </c>
      <c r="Q3771">
        <v>0.14066770000000001</v>
      </c>
      <c r="R3771">
        <v>3.3806669999999997E-2</v>
      </c>
      <c r="S3771">
        <v>-3.084015</v>
      </c>
      <c r="T3771">
        <v>-0.4666767</v>
      </c>
      <c r="U3771">
        <v>0.39840700000000001</v>
      </c>
      <c r="V3771">
        <v>2.37512E-2</v>
      </c>
      <c r="W3771">
        <v>0.1540965</v>
      </c>
      <c r="X3771">
        <v>0.98777029999999999</v>
      </c>
      <c r="Y3771">
        <v>0.1168362</v>
      </c>
      <c r="Z3771">
        <v>7.2308549999999996E-3</v>
      </c>
      <c r="AA3771">
        <v>0.99312489999999998</v>
      </c>
      <c r="AB3771">
        <v>30</v>
      </c>
      <c r="AC3771">
        <v>-0.63620000000002996</v>
      </c>
      <c r="AD3771">
        <v>-0.12520119999999901</v>
      </c>
      <c r="AE3771">
        <v>0.104999999999989</v>
      </c>
      <c r="AF3771">
        <v>9.4946865916556905E-2</v>
      </c>
      <c r="AG3771">
        <v>-0.12520119999999901</v>
      </c>
      <c r="AH3771">
        <v>0.61408280848712504</v>
      </c>
      <c r="AI3771">
        <v>101.39194518314299</v>
      </c>
      <c r="AJ3771">
        <v>81.210768380437898</v>
      </c>
      <c r="AK3771">
        <v>0.63386744947840001</v>
      </c>
      <c r="AL3771">
        <v>81.135600087370904</v>
      </c>
      <c r="AM3771">
        <v>88.622573141930701</v>
      </c>
      <c r="AN3771">
        <v>1.0000000081878899</v>
      </c>
    </row>
    <row r="3772" spans="1:40" x14ac:dyDescent="0.25">
      <c r="A3772" t="str">
        <f>"20190312164546845"</f>
        <v>20190312164546845</v>
      </c>
      <c r="B3772" t="str">
        <f>"1552380346835347"</f>
        <v>1552380346835347</v>
      </c>
      <c r="C3772" t="s">
        <v>40</v>
      </c>
      <c r="D3772">
        <v>4.6444089999999996</v>
      </c>
      <c r="E3772">
        <v>0.49604399999999998</v>
      </c>
      <c r="F3772" t="s">
        <v>41</v>
      </c>
      <c r="G3772">
        <v>-305.83</v>
      </c>
      <c r="H3772">
        <v>0.99543300000000001</v>
      </c>
      <c r="I3772">
        <v>141.2773</v>
      </c>
      <c r="J3772">
        <v>-305.08109999999999</v>
      </c>
      <c r="K3772">
        <v>1.1090089999999999</v>
      </c>
      <c r="L3772">
        <v>141.2578</v>
      </c>
      <c r="M3772">
        <v>-0.99985619999999997</v>
      </c>
      <c r="N3772">
        <v>0</v>
      </c>
      <c r="O3772">
        <v>1.016562E-2</v>
      </c>
      <c r="P3772">
        <v>-0.98938820000000005</v>
      </c>
      <c r="Q3772">
        <v>0.141267899999999</v>
      </c>
      <c r="R3772">
        <v>3.3981690000000002E-2</v>
      </c>
      <c r="S3772">
        <v>-3.0841980000000002</v>
      </c>
      <c r="T3772">
        <v>-0.38513019999999998</v>
      </c>
      <c r="U3772">
        <v>7.13501E-2</v>
      </c>
      <c r="V3772">
        <v>2.3927259999999999E-2</v>
      </c>
      <c r="W3772">
        <v>0.15469479999999999</v>
      </c>
      <c r="X3772">
        <v>0.98767249999999995</v>
      </c>
      <c r="Y3772">
        <v>1.2941319999999999E-2</v>
      </c>
      <c r="Z3772">
        <v>-4.5961469999999998E-4</v>
      </c>
      <c r="AA3772">
        <v>0.99991609999999997</v>
      </c>
      <c r="AB3772">
        <v>30</v>
      </c>
      <c r="AC3772">
        <v>-0.74889999999999102</v>
      </c>
      <c r="AD3772">
        <v>-0.113575999999999</v>
      </c>
      <c r="AE3772">
        <v>1.9499999999993599E-2</v>
      </c>
      <c r="AF3772">
        <v>1.16182214056557E-2</v>
      </c>
      <c r="AG3772">
        <v>-0.113575999999999</v>
      </c>
      <c r="AH3772">
        <v>0.73222976144930596</v>
      </c>
      <c r="AI3772">
        <v>98.815783236350697</v>
      </c>
      <c r="AJ3772">
        <v>89.090969484847193</v>
      </c>
      <c r="AK3772">
        <v>0.74107686132866002</v>
      </c>
      <c r="AL3772">
        <v>81.100903741614403</v>
      </c>
      <c r="AM3772">
        <v>88.612229346833104</v>
      </c>
      <c r="AN3772">
        <v>0.99999998108719801</v>
      </c>
    </row>
    <row r="3773" spans="1:40" x14ac:dyDescent="0.25">
      <c r="A3773" t="str">
        <f>"20190312164546857"</f>
        <v>20190312164546857</v>
      </c>
      <c r="B3773" t="str">
        <f>"1552380346845108"</f>
        <v>1552380346845108</v>
      </c>
      <c r="C3773" t="s">
        <v>40</v>
      </c>
      <c r="D3773">
        <v>4.6668010000000004</v>
      </c>
      <c r="E3773">
        <v>0.49135210000000001</v>
      </c>
      <c r="F3773" t="s">
        <v>41</v>
      </c>
      <c r="G3773">
        <v>-305.84660000000002</v>
      </c>
      <c r="H3773">
        <v>1.028932</v>
      </c>
      <c r="I3773">
        <v>141.2662</v>
      </c>
      <c r="J3773">
        <v>-305.23779999999999</v>
      </c>
      <c r="K3773">
        <v>1.109013</v>
      </c>
      <c r="L3773">
        <v>141.2595</v>
      </c>
      <c r="M3773">
        <v>-0.99985610000000003</v>
      </c>
      <c r="N3773">
        <v>0</v>
      </c>
      <c r="O3773">
        <v>1.016563E-2</v>
      </c>
      <c r="P3773">
        <v>-0.98933629999999995</v>
      </c>
      <c r="Q3773">
        <v>0.1415756</v>
      </c>
      <c r="R3773">
        <v>3.420583E-2</v>
      </c>
      <c r="S3773">
        <v>-3.0769959999999998</v>
      </c>
      <c r="T3773">
        <v>-0.32185760000000002</v>
      </c>
      <c r="U3773">
        <v>3.3325199999999902E-2</v>
      </c>
      <c r="V3773">
        <v>2.4151760000000001E-2</v>
      </c>
      <c r="W3773">
        <v>0.15500149999999999</v>
      </c>
      <c r="X3773">
        <v>0.98761900000000002</v>
      </c>
      <c r="Y3773">
        <v>7.1482649999999996E-4</v>
      </c>
      <c r="Z3773">
        <v>-1.0231999999999999E-3</v>
      </c>
      <c r="AA3773">
        <v>0.99999919999999998</v>
      </c>
      <c r="AB3773">
        <v>30</v>
      </c>
      <c r="AC3773">
        <v>-0.60880000000002998</v>
      </c>
      <c r="AD3773">
        <v>-8.0080999999999999E-2</v>
      </c>
      <c r="AE3773">
        <v>6.6999999999950398E-3</v>
      </c>
      <c r="AF3773">
        <v>5.0157000240468996E-4</v>
      </c>
      <c r="AG3773">
        <v>-8.0080999999999999E-2</v>
      </c>
      <c r="AH3773">
        <v>0.59848264102821602</v>
      </c>
      <c r="AI3773">
        <v>97.621288439769998</v>
      </c>
      <c r="AJ3773">
        <v>89.951982170291998</v>
      </c>
      <c r="AK3773">
        <v>0.60381676835408904</v>
      </c>
      <c r="AL3773">
        <v>81.083117029161201</v>
      </c>
      <c r="AM3773">
        <v>88.599137757199799</v>
      </c>
      <c r="AN3773">
        <v>1.0000000308371699</v>
      </c>
    </row>
    <row r="3774" spans="1:40" x14ac:dyDescent="0.25">
      <c r="A3774" t="str">
        <f>"20190312164546875"</f>
        <v>20190312164546875</v>
      </c>
      <c r="B3774" t="str">
        <f>"1552380346865607"</f>
        <v>1552380346865607</v>
      </c>
      <c r="C3774" t="s">
        <v>40</v>
      </c>
      <c r="D3774">
        <v>4.621289</v>
      </c>
      <c r="E3774">
        <v>0.48931049999999998</v>
      </c>
      <c r="F3774" t="s">
        <v>41</v>
      </c>
      <c r="G3774">
        <v>-306.11360000000002</v>
      </c>
      <c r="H3774">
        <v>1.0286839999999999</v>
      </c>
      <c r="I3774">
        <v>141.25909999999999</v>
      </c>
      <c r="J3774">
        <v>-305.47809999999998</v>
      </c>
      <c r="K3774">
        <v>1.109013</v>
      </c>
      <c r="L3774">
        <v>141.2619</v>
      </c>
      <c r="M3774">
        <v>-0.99985619999999997</v>
      </c>
      <c r="N3774">
        <v>0</v>
      </c>
      <c r="O3774">
        <v>1.016534E-2</v>
      </c>
      <c r="P3774">
        <v>-0.9892628</v>
      </c>
      <c r="Q3774">
        <v>0.14198459999999999</v>
      </c>
      <c r="R3774">
        <v>3.4638259999999997E-2</v>
      </c>
      <c r="S3774">
        <v>-3.0727229999999999</v>
      </c>
      <c r="T3774">
        <v>-0.2818406</v>
      </c>
      <c r="U3774">
        <v>-1.556396E-3</v>
      </c>
      <c r="V3774">
        <v>2.4585329999999999E-2</v>
      </c>
      <c r="W3774">
        <v>0.15540760000000001</v>
      </c>
      <c r="X3774">
        <v>0.98754450000000005</v>
      </c>
      <c r="Y3774">
        <v>-1.058565E-2</v>
      </c>
      <c r="Z3774">
        <v>-1.414979E-3</v>
      </c>
      <c r="AA3774">
        <v>0.99994300000000003</v>
      </c>
      <c r="AB3774">
        <v>30</v>
      </c>
      <c r="AC3774">
        <v>-0.63550000000003504</v>
      </c>
      <c r="AD3774">
        <v>-8.0329000000000095E-2</v>
      </c>
      <c r="AE3774">
        <v>-2.80000000000768E-3</v>
      </c>
      <c r="AF3774">
        <v>-9.1148921066483007E-3</v>
      </c>
      <c r="AG3774">
        <v>-8.0329000000000095E-2</v>
      </c>
      <c r="AH3774">
        <v>0.62544571802943005</v>
      </c>
      <c r="AI3774">
        <v>97.317937330738602</v>
      </c>
      <c r="AJ3774">
        <v>90.834937174823096</v>
      </c>
      <c r="AK3774">
        <v>0.63064901149566999</v>
      </c>
      <c r="AL3774">
        <v>81.059563977083798</v>
      </c>
      <c r="AM3774">
        <v>88.573892376915097</v>
      </c>
      <c r="AN3774">
        <v>1.0000000500346</v>
      </c>
    </row>
    <row r="3775" spans="1:40" x14ac:dyDescent="0.25">
      <c r="A3775" t="str">
        <f>"20190312164546888"</f>
        <v>20190312164546888</v>
      </c>
      <c r="B3775" t="str">
        <f>"1552380346885124"</f>
        <v>1552380346885124</v>
      </c>
      <c r="C3775" t="s">
        <v>40</v>
      </c>
      <c r="D3775">
        <v>4.490094</v>
      </c>
      <c r="E3775">
        <v>0.4888844</v>
      </c>
      <c r="F3775" t="s">
        <v>42</v>
      </c>
      <c r="G3775">
        <v>-320.38639999999998</v>
      </c>
      <c r="H3775" s="1">
        <v>-4.4240070000000003E-6</v>
      </c>
      <c r="I3775">
        <v>141.19200000000001</v>
      </c>
      <c r="J3775">
        <v>-305.65649999999999</v>
      </c>
      <c r="K3775">
        <v>1.109016</v>
      </c>
      <c r="L3775">
        <v>141.2637</v>
      </c>
      <c r="M3775">
        <v>-0.99985630000000003</v>
      </c>
      <c r="N3775">
        <v>0</v>
      </c>
      <c r="O3775">
        <v>1.0165169999999999E-2</v>
      </c>
      <c r="P3775">
        <v>-0.98924990000000002</v>
      </c>
      <c r="Q3775">
        <v>0.14204600000000001</v>
      </c>
      <c r="R3775">
        <v>3.4755290000000001E-2</v>
      </c>
      <c r="S3775">
        <v>-3.0658259999999999</v>
      </c>
      <c r="T3775">
        <v>-0.22806570000000001</v>
      </c>
      <c r="U3775">
        <v>-1.435852E-2</v>
      </c>
      <c r="V3775">
        <v>2.470263E-2</v>
      </c>
      <c r="W3775">
        <v>0.15546789999999999</v>
      </c>
      <c r="X3775">
        <v>0.98753199999999997</v>
      </c>
      <c r="Y3775">
        <v>-1.478018E-2</v>
      </c>
      <c r="Z3775">
        <v>-1.304185E-3</v>
      </c>
      <c r="AA3775">
        <v>0.9998899</v>
      </c>
      <c r="AB3775">
        <v>30</v>
      </c>
      <c r="AC3775">
        <v>-14.729899999999899</v>
      </c>
      <c r="AD3775">
        <v>-1.1090204240070001</v>
      </c>
      <c r="AE3775">
        <v>-7.16999999999927E-2</v>
      </c>
      <c r="AF3775">
        <v>-0.22019384147467699</v>
      </c>
      <c r="AG3775">
        <v>-1.1090204240070001</v>
      </c>
      <c r="AH3775">
        <v>14.6453922980944</v>
      </c>
      <c r="AI3775">
        <v>94.329963245735399</v>
      </c>
      <c r="AJ3775">
        <v>90.8613785842049</v>
      </c>
      <c r="AK3775">
        <v>14.6889729795439</v>
      </c>
      <c r="AL3775">
        <v>81.056065806000007</v>
      </c>
      <c r="AM3775">
        <v>88.567072920848503</v>
      </c>
      <c r="AN3775">
        <v>0.99999996944166203</v>
      </c>
    </row>
    <row r="3776" spans="1:40" x14ac:dyDescent="0.25">
      <c r="A3776" t="str">
        <f>"20190312164546908"</f>
        <v>20190312164546908</v>
      </c>
      <c r="B3776" t="str">
        <f>"1552380346905619"</f>
        <v>1552380346905619</v>
      </c>
      <c r="C3776" t="s">
        <v>40</v>
      </c>
      <c r="D3776">
        <v>4.5639320000000003</v>
      </c>
      <c r="E3776">
        <v>0.48933140000000003</v>
      </c>
      <c r="F3776" t="s">
        <v>42</v>
      </c>
      <c r="G3776">
        <v>-321.29360000000003</v>
      </c>
      <c r="H3776" s="1">
        <v>-4.1128510000000002E-6</v>
      </c>
      <c r="I3776">
        <v>141.1782</v>
      </c>
      <c r="J3776">
        <v>-305.91669999999999</v>
      </c>
      <c r="K3776">
        <v>1.1090169999999999</v>
      </c>
      <c r="L3776">
        <v>141.2664</v>
      </c>
      <c r="M3776">
        <v>-0.99985619999999997</v>
      </c>
      <c r="N3776">
        <v>0</v>
      </c>
      <c r="O3776">
        <v>1.0165E-2</v>
      </c>
      <c r="P3776">
        <v>-0.98922129999999997</v>
      </c>
      <c r="Q3776">
        <v>0.1422177</v>
      </c>
      <c r="R3776">
        <v>3.4860339999999997E-2</v>
      </c>
      <c r="S3776">
        <v>-3.0643919999999998</v>
      </c>
      <c r="T3776">
        <v>-0.2173351</v>
      </c>
      <c r="U3776">
        <v>-1.6754149999999999E-2</v>
      </c>
      <c r="V3776">
        <v>2.4808199999999999E-2</v>
      </c>
      <c r="W3776">
        <v>0.1556379</v>
      </c>
      <c r="X3776">
        <v>0.98750260000000001</v>
      </c>
      <c r="Y3776">
        <v>-1.5568149999999999E-2</v>
      </c>
      <c r="Z3776">
        <v>-1.2714530000000001E-3</v>
      </c>
      <c r="AA3776">
        <v>0.99987800000000004</v>
      </c>
      <c r="AB3776">
        <v>30</v>
      </c>
      <c r="AC3776">
        <v>-15.376899999999999</v>
      </c>
      <c r="AD3776">
        <v>-1.1090211128509999</v>
      </c>
      <c r="AE3776">
        <v>-8.82000000000005E-2</v>
      </c>
      <c r="AF3776">
        <v>-0.243250766268723</v>
      </c>
      <c r="AG3776">
        <v>-1.1090211128509999</v>
      </c>
      <c r="AH3776">
        <v>15.2956486094441</v>
      </c>
      <c r="AI3776">
        <v>94.146488991295698</v>
      </c>
      <c r="AJ3776">
        <v>90.911113208121705</v>
      </c>
      <c r="AK3776">
        <v>15.337730117185799</v>
      </c>
      <c r="AL3776">
        <v>81.046205719597793</v>
      </c>
      <c r="AM3776">
        <v>88.5609088590422</v>
      </c>
      <c r="AN3776">
        <v>0.99999999385520499</v>
      </c>
    </row>
    <row r="3777" spans="1:40" x14ac:dyDescent="0.25">
      <c r="A3777" t="str">
        <f>"20190312164546922"</f>
        <v>20190312164546922</v>
      </c>
      <c r="B3777" t="str">
        <f>"1552380346915380"</f>
        <v>1552380346915380</v>
      </c>
      <c r="C3777" t="s">
        <v>40</v>
      </c>
      <c r="D3777">
        <v>4.6370769999999997</v>
      </c>
      <c r="E3777">
        <v>0.48875400000000002</v>
      </c>
      <c r="F3777" t="s">
        <v>42</v>
      </c>
      <c r="G3777">
        <v>-322.51139999999998</v>
      </c>
      <c r="H3777" s="1">
        <v>-3.6164619999999998E-6</v>
      </c>
      <c r="I3777">
        <v>141.20070000000001</v>
      </c>
      <c r="J3777">
        <v>-306.09370000000001</v>
      </c>
      <c r="K3777">
        <v>1.109019</v>
      </c>
      <c r="L3777">
        <v>141.26820000000001</v>
      </c>
      <c r="M3777">
        <v>-0.99985619999999997</v>
      </c>
      <c r="N3777">
        <v>0</v>
      </c>
      <c r="O3777">
        <v>1.016482E-2</v>
      </c>
      <c r="P3777">
        <v>-0.98919630000000003</v>
      </c>
      <c r="Q3777">
        <v>0.1423507</v>
      </c>
      <c r="R3777">
        <v>3.5028120000000003E-2</v>
      </c>
      <c r="S3777">
        <v>-3.0625309999999999</v>
      </c>
      <c r="T3777">
        <v>-0.20466909999999999</v>
      </c>
      <c r="U3777">
        <v>-1.210022E-2</v>
      </c>
      <c r="V3777">
        <v>2.497634E-2</v>
      </c>
      <c r="W3777">
        <v>0.1557703</v>
      </c>
      <c r="X3777">
        <v>0.98747750000000001</v>
      </c>
      <c r="Y3777">
        <v>-1.4062450000000001E-2</v>
      </c>
      <c r="Z3777">
        <v>-1.1479859999999999E-3</v>
      </c>
      <c r="AA3777">
        <v>0.99990049999999997</v>
      </c>
      <c r="AB3777">
        <v>30</v>
      </c>
      <c r="AC3777">
        <v>-16.4176999999999</v>
      </c>
      <c r="AD3777">
        <v>-1.1090226164620001</v>
      </c>
      <c r="AE3777">
        <v>-6.7499999999995397E-2</v>
      </c>
      <c r="AF3777">
        <v>-0.23333017254095301</v>
      </c>
      <c r="AG3777">
        <v>-1.1090226164620001</v>
      </c>
      <c r="AH3777">
        <v>16.3415990299493</v>
      </c>
      <c r="AI3777">
        <v>93.882030515275105</v>
      </c>
      <c r="AJ3777">
        <v>90.818030457494402</v>
      </c>
      <c r="AK3777">
        <v>16.3808495808026</v>
      </c>
      <c r="AL3777">
        <v>81.038526227658707</v>
      </c>
      <c r="AM3777">
        <v>88.551122610158302</v>
      </c>
      <c r="AN3777">
        <v>1.0000000084640599</v>
      </c>
    </row>
    <row r="3778" spans="1:40" x14ac:dyDescent="0.25">
      <c r="A3778" t="str">
        <f>"20190312164546933"</f>
        <v>20190312164546933</v>
      </c>
      <c r="B3778" t="str">
        <f>"1552380346925140"</f>
        <v>1552380346925140</v>
      </c>
      <c r="C3778" t="s">
        <v>40</v>
      </c>
      <c r="D3778">
        <v>4.5357000000000003</v>
      </c>
      <c r="E3778">
        <v>0.48837589999999997</v>
      </c>
      <c r="F3778" t="s">
        <v>42</v>
      </c>
      <c r="G3778">
        <v>-323.14679999999998</v>
      </c>
      <c r="H3778" s="1">
        <v>-3.33838E-6</v>
      </c>
      <c r="I3778">
        <v>141.18010000000001</v>
      </c>
      <c r="J3778">
        <v>-306.2568</v>
      </c>
      <c r="K3778">
        <v>1.1090199999999999</v>
      </c>
      <c r="L3778">
        <v>141.2698</v>
      </c>
      <c r="M3778">
        <v>-0.99985619999999997</v>
      </c>
      <c r="N3778">
        <v>0</v>
      </c>
      <c r="O3778">
        <v>1.016471E-2</v>
      </c>
      <c r="P3778">
        <v>-0.98914869999999999</v>
      </c>
      <c r="Q3778">
        <v>0.14273820000000001</v>
      </c>
      <c r="R3778">
        <v>3.4794449999999998E-2</v>
      </c>
      <c r="S3778">
        <v>-3.0619809999999998</v>
      </c>
      <c r="T3778">
        <v>-0.19913210000000001</v>
      </c>
      <c r="U3778">
        <v>-1.580811E-2</v>
      </c>
      <c r="V3778">
        <v>2.4743299999999999E-2</v>
      </c>
      <c r="W3778">
        <v>0.15615599999999999</v>
      </c>
      <c r="X3778">
        <v>0.98742249999999998</v>
      </c>
      <c r="Y3778">
        <v>-1.527414E-2</v>
      </c>
      <c r="Z3778">
        <v>-1.156544E-3</v>
      </c>
      <c r="AA3778">
        <v>0.99988270000000001</v>
      </c>
      <c r="AB3778">
        <v>30</v>
      </c>
      <c r="AC3778">
        <v>-16.889999999999901</v>
      </c>
      <c r="AD3778">
        <v>-1.1090233383799999</v>
      </c>
      <c r="AE3778">
        <v>-8.9699999999993396E-2</v>
      </c>
      <c r="AF3778">
        <v>-0.26027102548518599</v>
      </c>
      <c r="AG3778">
        <v>-1.1090233383799999</v>
      </c>
      <c r="AH3778">
        <v>16.815717542924599</v>
      </c>
      <c r="AI3778">
        <v>93.772832832776103</v>
      </c>
      <c r="AJ3778">
        <v>90.886744237803299</v>
      </c>
      <c r="AK3778">
        <v>16.854258519887502</v>
      </c>
      <c r="AL3778">
        <v>81.016153937421393</v>
      </c>
      <c r="AM3778">
        <v>88.564555660455497</v>
      </c>
      <c r="AN3778">
        <v>1.0000000603685599</v>
      </c>
    </row>
    <row r="3779" spans="1:40" x14ac:dyDescent="0.25">
      <c r="A3779" t="str">
        <f>"20190312164546945"</f>
        <v>20190312164546945</v>
      </c>
      <c r="B3779" t="str">
        <f>"1552380346935876"</f>
        <v>1552380346935876</v>
      </c>
      <c r="C3779" t="s">
        <v>40</v>
      </c>
      <c r="D3779">
        <v>4.722766</v>
      </c>
      <c r="E3779">
        <v>0.48831269999999999</v>
      </c>
      <c r="F3779" t="s">
        <v>42</v>
      </c>
      <c r="G3779">
        <v>-323.58109999999999</v>
      </c>
      <c r="H3779" s="1">
        <v>-3.1469279999999998E-6</v>
      </c>
      <c r="I3779">
        <v>141.16079999999999</v>
      </c>
      <c r="J3779">
        <v>-306.41730000000001</v>
      </c>
      <c r="K3779">
        <v>1.1090279999999999</v>
      </c>
      <c r="L3779">
        <v>141.2715</v>
      </c>
      <c r="M3779">
        <v>-0.99985639999999998</v>
      </c>
      <c r="N3779">
        <v>0</v>
      </c>
      <c r="O3779">
        <v>1.016454E-2</v>
      </c>
      <c r="P3779">
        <v>-0.98909270000000005</v>
      </c>
      <c r="Q3779">
        <v>0.14311219999999999</v>
      </c>
      <c r="R3779">
        <v>3.4854160000000002E-2</v>
      </c>
      <c r="S3779">
        <v>-3.0618590000000001</v>
      </c>
      <c r="T3779">
        <v>-0.19600670000000001</v>
      </c>
      <c r="U3779">
        <v>-1.9256590000000001E-2</v>
      </c>
      <c r="V3779">
        <v>2.480373E-2</v>
      </c>
      <c r="W3779">
        <v>0.15652859999999999</v>
      </c>
      <c r="X3779">
        <v>0.98736190000000001</v>
      </c>
      <c r="Y3779">
        <v>-1.6399629999999998E-2</v>
      </c>
      <c r="Z3779">
        <v>-1.174448E-3</v>
      </c>
      <c r="AA3779">
        <v>0.9998648</v>
      </c>
      <c r="AB3779">
        <v>30</v>
      </c>
      <c r="AC3779">
        <v>-17.163799999999899</v>
      </c>
      <c r="AD3779">
        <v>-1.1090311469280001</v>
      </c>
      <c r="AE3779">
        <v>-0.110700000000008</v>
      </c>
      <c r="AF3779">
        <v>-0.28398684545608099</v>
      </c>
      <c r="AG3779">
        <v>-1.1090311469280001</v>
      </c>
      <c r="AH3779">
        <v>17.090437547280601</v>
      </c>
      <c r="AI3779">
        <v>93.712315879795796</v>
      </c>
      <c r="AJ3779">
        <v>90.951979743415293</v>
      </c>
      <c r="AK3779">
        <v>17.128737670089599</v>
      </c>
      <c r="AL3779">
        <v>80.994538961183096</v>
      </c>
      <c r="AM3779">
        <v>88.560963100169602</v>
      </c>
      <c r="AN3779">
        <v>0.99999997460574097</v>
      </c>
    </row>
    <row r="3780" spans="1:40" x14ac:dyDescent="0.25">
      <c r="A3780" t="str">
        <f>"20190312164546958"</f>
        <v>20190312164546958</v>
      </c>
      <c r="B3780" t="str">
        <f>"1552380346955396"</f>
        <v>1552380346955396</v>
      </c>
      <c r="C3780" t="s">
        <v>40</v>
      </c>
      <c r="D3780">
        <v>4.5042619999999998</v>
      </c>
      <c r="E3780">
        <v>0.4880738</v>
      </c>
      <c r="F3780" t="s">
        <v>42</v>
      </c>
      <c r="G3780">
        <v>-324.57799999999997</v>
      </c>
      <c r="H3780" s="1">
        <v>-2.7186289999999999E-6</v>
      </c>
      <c r="I3780">
        <v>141.1584</v>
      </c>
      <c r="J3780">
        <v>-306.57600000000002</v>
      </c>
      <c r="K3780">
        <v>1.109029</v>
      </c>
      <c r="L3780">
        <v>141.2731</v>
      </c>
      <c r="M3780">
        <v>-0.99985619999999997</v>
      </c>
      <c r="N3780">
        <v>0</v>
      </c>
      <c r="O3780">
        <v>1.016454E-2</v>
      </c>
      <c r="P3780">
        <v>-0.98907489999999998</v>
      </c>
      <c r="Q3780">
        <v>0.143280399999999</v>
      </c>
      <c r="R3780">
        <v>3.4665439999999999E-2</v>
      </c>
      <c r="S3780">
        <v>-3.060791</v>
      </c>
      <c r="T3780">
        <v>-0.1869159</v>
      </c>
      <c r="U3780">
        <v>-1.9042969999999999E-2</v>
      </c>
      <c r="V3780">
        <v>2.4615430000000001E-2</v>
      </c>
      <c r="W3780">
        <v>0.15669530000000001</v>
      </c>
      <c r="X3780">
        <v>0.9873402</v>
      </c>
      <c r="Y3780">
        <v>-1.633706E-2</v>
      </c>
      <c r="Z3780">
        <v>-1.118562E-3</v>
      </c>
      <c r="AA3780">
        <v>0.99986589999999997</v>
      </c>
      <c r="AB3780">
        <v>30</v>
      </c>
      <c r="AC3780">
        <v>-18.001999999999999</v>
      </c>
      <c r="AD3780">
        <v>-1.109031718629</v>
      </c>
      <c r="AE3780">
        <v>-0.114699999999999</v>
      </c>
      <c r="AF3780">
        <v>-0.29656746554160202</v>
      </c>
      <c r="AG3780">
        <v>-1.109031718629</v>
      </c>
      <c r="AH3780">
        <v>17.931849824852101</v>
      </c>
      <c r="AI3780">
        <v>93.5385835368145</v>
      </c>
      <c r="AJ3780">
        <v>90.947504874614495</v>
      </c>
      <c r="AK3780">
        <v>17.9685598130621</v>
      </c>
      <c r="AL3780">
        <v>80.984868684619002</v>
      </c>
      <c r="AM3780">
        <v>88.571851776898001</v>
      </c>
      <c r="AN3780">
        <v>1.0000000034861001</v>
      </c>
    </row>
    <row r="3781" spans="1:40" x14ac:dyDescent="0.25">
      <c r="A3781" t="str">
        <f>"20190312164546976"</f>
        <v>20190312164546976</v>
      </c>
      <c r="B3781" t="str">
        <f>"1552380346965159"</f>
        <v>1552380346965159</v>
      </c>
      <c r="C3781" t="s">
        <v>40</v>
      </c>
      <c r="D3781">
        <v>4.5410199999999996</v>
      </c>
      <c r="E3781">
        <v>0.4880333</v>
      </c>
      <c r="F3781" t="s">
        <v>42</v>
      </c>
      <c r="G3781">
        <v>-325.6456</v>
      </c>
      <c r="H3781" s="1">
        <v>-2.2561899999999998E-6</v>
      </c>
      <c r="I3781">
        <v>141.14179999999999</v>
      </c>
      <c r="J3781">
        <v>-306.81659999999999</v>
      </c>
      <c r="K3781">
        <v>1.1090329999999999</v>
      </c>
      <c r="L3781">
        <v>141.27549999999999</v>
      </c>
      <c r="M3781">
        <v>-0.99985619999999997</v>
      </c>
      <c r="N3781">
        <v>0</v>
      </c>
      <c r="O3781">
        <v>1.0164370000000001E-2</v>
      </c>
      <c r="P3781">
        <v>-0.9890023</v>
      </c>
      <c r="Q3781">
        <v>0.14378070000000001</v>
      </c>
      <c r="R3781">
        <v>3.4663680000000002E-2</v>
      </c>
      <c r="S3781">
        <v>-3.059631</v>
      </c>
      <c r="T3781">
        <v>-0.17793879999999901</v>
      </c>
      <c r="U3781">
        <v>-2.105713E-2</v>
      </c>
      <c r="V3781">
        <v>2.4614480000000001E-2</v>
      </c>
      <c r="W3781">
        <v>0.15719350000000001</v>
      </c>
      <c r="X3781">
        <v>0.98726100000000006</v>
      </c>
      <c r="Y3781">
        <v>-1.7000890000000001E-2</v>
      </c>
      <c r="Z3781">
        <v>-1.084612E-3</v>
      </c>
      <c r="AA3781">
        <v>0.99985489999999999</v>
      </c>
      <c r="AB3781">
        <v>30</v>
      </c>
      <c r="AC3781">
        <v>-18.829000000000001</v>
      </c>
      <c r="AD3781">
        <v>-1.1090352561900001</v>
      </c>
      <c r="AE3781">
        <v>-0.13370000000000401</v>
      </c>
      <c r="AF3781">
        <v>-0.32397176598126098</v>
      </c>
      <c r="AG3781">
        <v>-1.1090352561900001</v>
      </c>
      <c r="AH3781">
        <v>18.761582612183499</v>
      </c>
      <c r="AI3781">
        <v>93.382430243497197</v>
      </c>
      <c r="AJ3781">
        <v>90.989275299352201</v>
      </c>
      <c r="AK3781">
        <v>18.797124754025901</v>
      </c>
      <c r="AL3781">
        <v>80.955965491263896</v>
      </c>
      <c r="AM3781">
        <v>88.571792354603204</v>
      </c>
      <c r="AN3781">
        <v>0.99999997559445897</v>
      </c>
    </row>
    <row r="3782" spans="1:40" x14ac:dyDescent="0.25">
      <c r="A3782" t="str">
        <f>"20190312164546999"</f>
        <v>20190312164546999</v>
      </c>
      <c r="B3782" t="str">
        <f>"1552380346995411"</f>
        <v>1552380346995411</v>
      </c>
      <c r="C3782" t="s">
        <v>40</v>
      </c>
      <c r="D3782">
        <v>4.6530079999999998</v>
      </c>
      <c r="E3782">
        <v>0.48843550000000002</v>
      </c>
      <c r="F3782" t="s">
        <v>42</v>
      </c>
      <c r="G3782">
        <v>-326.08170000000001</v>
      </c>
      <c r="H3782" s="1">
        <v>-2.068533E-6</v>
      </c>
      <c r="I3782">
        <v>141.1395</v>
      </c>
      <c r="J3782">
        <v>-307.11399999999998</v>
      </c>
      <c r="K3782">
        <v>1.109035</v>
      </c>
      <c r="L3782">
        <v>141.27850000000001</v>
      </c>
      <c r="M3782">
        <v>-0.99985630000000003</v>
      </c>
      <c r="N3782">
        <v>0</v>
      </c>
      <c r="O3782">
        <v>1.0163719999999999E-2</v>
      </c>
      <c r="P3782">
        <v>-0.98901810000000001</v>
      </c>
      <c r="Q3782">
        <v>0.14364939999999901</v>
      </c>
      <c r="R3782">
        <v>3.4755809999999998E-2</v>
      </c>
      <c r="S3782">
        <v>-3.059723</v>
      </c>
      <c r="T3782">
        <v>-0.176140299999999</v>
      </c>
      <c r="U3782">
        <v>-2.159119E-2</v>
      </c>
      <c r="V3782">
        <v>2.4706869999999999E-2</v>
      </c>
      <c r="W3782">
        <v>0.15706120000000001</v>
      </c>
      <c r="X3782">
        <v>0.98727980000000004</v>
      </c>
      <c r="Y3782">
        <v>-1.717519E-2</v>
      </c>
      <c r="Z3782">
        <v>-1.07861E-3</v>
      </c>
      <c r="AA3782">
        <v>0.99985190000000002</v>
      </c>
      <c r="AB3782">
        <v>30</v>
      </c>
      <c r="AC3782">
        <v>-18.967699999999901</v>
      </c>
      <c r="AD3782">
        <v>-1.109037068533</v>
      </c>
      <c r="AE3782">
        <v>-0.13900000000001</v>
      </c>
      <c r="AF3782">
        <v>-0.330662576764301</v>
      </c>
      <c r="AG3782">
        <v>-1.109037068533</v>
      </c>
      <c r="AH3782">
        <v>18.900694613199502</v>
      </c>
      <c r="AI3782">
        <v>93.357584472598802</v>
      </c>
      <c r="AJ3782">
        <v>91.002272031343693</v>
      </c>
      <c r="AK3782">
        <v>18.936091408220499</v>
      </c>
      <c r="AL3782">
        <v>80.963641532345804</v>
      </c>
      <c r="AM3782">
        <v>88.566461123090505</v>
      </c>
      <c r="AN3782">
        <v>1.0000000267293301</v>
      </c>
    </row>
    <row r="3783" spans="1:40" x14ac:dyDescent="0.25">
      <c r="A3783" t="str">
        <f>"20190312164547020"</f>
        <v>20190312164547020</v>
      </c>
      <c r="B3783" t="str">
        <f>"1552380347015908"</f>
        <v>1552380347015908</v>
      </c>
      <c r="C3783" t="s">
        <v>40</v>
      </c>
      <c r="D3783">
        <v>4.6757589999999896</v>
      </c>
      <c r="E3783">
        <v>0.48834870000000002</v>
      </c>
      <c r="F3783" t="s">
        <v>42</v>
      </c>
      <c r="G3783">
        <v>-328.14100000000002</v>
      </c>
      <c r="H3783" s="1">
        <v>-1.189001E-6</v>
      </c>
      <c r="I3783">
        <v>141.1542</v>
      </c>
      <c r="J3783">
        <v>-307.40190000000001</v>
      </c>
      <c r="K3783">
        <v>1.1090340000000001</v>
      </c>
      <c r="L3783">
        <v>141.28149999999999</v>
      </c>
      <c r="M3783">
        <v>-0.99985639999999998</v>
      </c>
      <c r="N3783">
        <v>0</v>
      </c>
      <c r="O3783">
        <v>1.0159349999999999E-2</v>
      </c>
      <c r="P3783">
        <v>-0.98907520000000004</v>
      </c>
      <c r="Q3783">
        <v>0.1432184</v>
      </c>
      <c r="R3783">
        <v>3.4913800000000002E-2</v>
      </c>
      <c r="S3783">
        <v>-3.0573730000000001</v>
      </c>
      <c r="T3783">
        <v>-0.16125699999999901</v>
      </c>
      <c r="U3783">
        <v>-1.8066410000000001E-2</v>
      </c>
      <c r="V3783">
        <v>2.4868000000000001E-2</v>
      </c>
      <c r="W3783">
        <v>0.15662980000000001</v>
      </c>
      <c r="X3783">
        <v>0.98734429999999995</v>
      </c>
      <c r="Y3783">
        <v>-1.6032419999999999E-2</v>
      </c>
      <c r="Z3783">
        <v>-9.5801800000000004E-4</v>
      </c>
      <c r="AA3783">
        <v>0.99987099999999995</v>
      </c>
      <c r="AB3783">
        <v>30</v>
      </c>
      <c r="AC3783">
        <v>-20.739099999999901</v>
      </c>
      <c r="AD3783">
        <v>-1.109035189001</v>
      </c>
      <c r="AE3783">
        <v>-0.127299999999991</v>
      </c>
      <c r="AF3783">
        <v>-0.33704479862925502</v>
      </c>
      <c r="AG3783">
        <v>-1.109035189001</v>
      </c>
      <c r="AH3783">
        <v>20.6776078893853</v>
      </c>
      <c r="AI3783">
        <v>93.069687494364004</v>
      </c>
      <c r="AJ3783">
        <v>90.933837926423905</v>
      </c>
      <c r="AK3783">
        <v>20.7100706486939</v>
      </c>
      <c r="AL3783">
        <v>80.988668801863994</v>
      </c>
      <c r="AM3783">
        <v>88.557210217167693</v>
      </c>
      <c r="AN3783">
        <v>1.0000000392072601</v>
      </c>
    </row>
    <row r="3784" spans="1:40" x14ac:dyDescent="0.25">
      <c r="A3784" t="str">
        <f>"20190312164547034"</f>
        <v>20190312164547034</v>
      </c>
      <c r="B3784" t="str">
        <f>"1552380347025667"</f>
        <v>1552380347025667</v>
      </c>
      <c r="C3784" t="s">
        <v>40</v>
      </c>
      <c r="D3784">
        <v>4.527965</v>
      </c>
      <c r="E3784">
        <v>0.4882977</v>
      </c>
      <c r="F3784" t="s">
        <v>42</v>
      </c>
      <c r="G3784">
        <v>-328.53190000000001</v>
      </c>
      <c r="H3784" s="1">
        <v>-1.021764E-6</v>
      </c>
      <c r="I3784">
        <v>141.1559</v>
      </c>
      <c r="J3784">
        <v>-307.58449999999999</v>
      </c>
      <c r="K3784">
        <v>1.109038</v>
      </c>
      <c r="L3784">
        <v>141.2833</v>
      </c>
      <c r="M3784">
        <v>-0.99985650000000004</v>
      </c>
      <c r="N3784">
        <v>0</v>
      </c>
      <c r="O3784">
        <v>1.015156E-2</v>
      </c>
      <c r="P3784">
        <v>-0.98908739999999995</v>
      </c>
      <c r="Q3784">
        <v>0.14313499999999901</v>
      </c>
      <c r="R3784">
        <v>3.4910900000000002E-2</v>
      </c>
      <c r="S3784">
        <v>-3.0569760000000001</v>
      </c>
      <c r="T3784">
        <v>-0.16045019999999999</v>
      </c>
      <c r="U3784">
        <v>-1.8157960000000001E-2</v>
      </c>
      <c r="V3784">
        <v>2.487147E-2</v>
      </c>
      <c r="W3784">
        <v>0.15654599999999999</v>
      </c>
      <c r="X3784">
        <v>0.98735740000000005</v>
      </c>
      <c r="Y3784">
        <v>-1.6055679999999999E-2</v>
      </c>
      <c r="Z3784">
        <v>-9.5355579999999998E-4</v>
      </c>
      <c r="AA3784">
        <v>0.9998707</v>
      </c>
      <c r="AB3784">
        <v>30</v>
      </c>
      <c r="AC3784">
        <v>-20.947399999999998</v>
      </c>
      <c r="AD3784">
        <v>-1.109039021764</v>
      </c>
      <c r="AE3784">
        <v>-0.12739999999999399</v>
      </c>
      <c r="AF3784">
        <v>-0.339111264185261</v>
      </c>
      <c r="AG3784">
        <v>-1.109039021764</v>
      </c>
      <c r="AH3784">
        <v>20.8864829521013</v>
      </c>
      <c r="AI3784">
        <v>93.039060594332895</v>
      </c>
      <c r="AJ3784">
        <v>90.930167960140395</v>
      </c>
      <c r="AK3784">
        <v>20.918655169721401</v>
      </c>
      <c r="AL3784">
        <v>80.993529236043599</v>
      </c>
      <c r="AM3784">
        <v>88.557028117211203</v>
      </c>
      <c r="AN3784">
        <v>0.999999937735358</v>
      </c>
    </row>
    <row r="3785" spans="1:40" x14ac:dyDescent="0.25">
      <c r="A3785" t="str">
        <f>"20190312164547047"</f>
        <v>20190312164547047</v>
      </c>
      <c r="B3785" t="str">
        <f>"1552380347035428"</f>
        <v>1552380347035428</v>
      </c>
      <c r="C3785" t="s">
        <v>40</v>
      </c>
      <c r="D3785">
        <v>4.5438710000000002</v>
      </c>
      <c r="E3785">
        <v>0.48832300000000001</v>
      </c>
      <c r="F3785" t="s">
        <v>42</v>
      </c>
      <c r="G3785">
        <v>-328.63470000000001</v>
      </c>
      <c r="H3785" s="1">
        <v>-9.7736929999999997E-7</v>
      </c>
      <c r="I3785">
        <v>141.15479999999999</v>
      </c>
      <c r="J3785">
        <v>-307.7561</v>
      </c>
      <c r="K3785">
        <v>1.1090420000000001</v>
      </c>
      <c r="L3785">
        <v>141.285</v>
      </c>
      <c r="M3785">
        <v>-0.99985659999999998</v>
      </c>
      <c r="N3785">
        <v>0</v>
      </c>
      <c r="O3785">
        <v>1.013908E-2</v>
      </c>
      <c r="P3785">
        <v>-0.98909100000000005</v>
      </c>
      <c r="Q3785">
        <v>0.14300209999999999</v>
      </c>
      <c r="R3785">
        <v>3.5348379999999999E-2</v>
      </c>
      <c r="S3785">
        <v>-3.0570369999999998</v>
      </c>
      <c r="T3785">
        <v>-0.1610618</v>
      </c>
      <c r="U3785">
        <v>-1.8661500000000001E-2</v>
      </c>
      <c r="V3785">
        <v>2.5319319999999999E-2</v>
      </c>
      <c r="W3785">
        <v>0.1564122</v>
      </c>
      <c r="X3785">
        <v>0.98736729999999995</v>
      </c>
      <c r="Y3785">
        <v>-1.62072999999999E-2</v>
      </c>
      <c r="Z3785">
        <v>-9.6050050000000004E-4</v>
      </c>
      <c r="AA3785">
        <v>0.99986819999999998</v>
      </c>
      <c r="AB3785">
        <v>30</v>
      </c>
      <c r="AC3785">
        <v>-20.878599999999999</v>
      </c>
      <c r="AD3785">
        <v>-1.1090429773693</v>
      </c>
      <c r="AE3785">
        <v>-0.13020000000000201</v>
      </c>
      <c r="AF3785">
        <v>-0.34094062036466</v>
      </c>
      <c r="AG3785">
        <v>-1.1090429773693</v>
      </c>
      <c r="AH3785">
        <v>20.817470280457801</v>
      </c>
      <c r="AI3785">
        <v>93.049120327448605</v>
      </c>
      <c r="AJ3785">
        <v>90.938284627122101</v>
      </c>
      <c r="AK3785">
        <v>20.849779032642299</v>
      </c>
      <c r="AL3785">
        <v>81.001291725506107</v>
      </c>
      <c r="AM3785">
        <v>88.531071141013499</v>
      </c>
      <c r="AN3785">
        <v>1.0000000146916901</v>
      </c>
    </row>
    <row r="3786" spans="1:40" x14ac:dyDescent="0.25">
      <c r="A3786" t="str">
        <f>"20190312164547064"</f>
        <v>20190312164547064</v>
      </c>
      <c r="B3786" t="str">
        <f>"1552380347055924"</f>
        <v>1552380347055924</v>
      </c>
      <c r="C3786" t="s">
        <v>40</v>
      </c>
      <c r="D3786">
        <v>4.7196579999999999</v>
      </c>
      <c r="E3786">
        <v>0.48850329999999897</v>
      </c>
      <c r="F3786" t="s">
        <v>42</v>
      </c>
      <c r="G3786">
        <v>-328.58870000000002</v>
      </c>
      <c r="H3786" s="1">
        <v>-9.9958940000000001E-7</v>
      </c>
      <c r="I3786">
        <v>141.16419999999999</v>
      </c>
      <c r="J3786">
        <v>-307.99099999999999</v>
      </c>
      <c r="K3786">
        <v>1.109054</v>
      </c>
      <c r="L3786">
        <v>141.28739999999999</v>
      </c>
      <c r="M3786">
        <v>-0.999857</v>
      </c>
      <c r="N3786">
        <v>0</v>
      </c>
      <c r="O3786">
        <v>1.010551E-2</v>
      </c>
      <c r="P3786">
        <v>-0.98906769999999999</v>
      </c>
      <c r="Q3786">
        <v>0.14304559999999999</v>
      </c>
      <c r="R3786">
        <v>3.58237E-2</v>
      </c>
      <c r="S3786">
        <v>-3.0572509999999999</v>
      </c>
      <c r="T3786">
        <v>-0.16275609999999999</v>
      </c>
      <c r="U3786">
        <v>-1.773071E-2</v>
      </c>
      <c r="V3786">
        <v>2.5823369999999998E-2</v>
      </c>
      <c r="W3786">
        <v>0.1564556</v>
      </c>
      <c r="X3786">
        <v>0.98734739999999999</v>
      </c>
      <c r="Y3786">
        <v>-1.5868650000000002E-2</v>
      </c>
      <c r="Z3786">
        <v>-9.5972929999999998E-4</v>
      </c>
      <c r="AA3786">
        <v>0.99987360000000003</v>
      </c>
      <c r="AB3786">
        <v>30</v>
      </c>
      <c r="AC3786">
        <v>-20.5977</v>
      </c>
      <c r="AD3786">
        <v>-1.1090549995893999</v>
      </c>
      <c r="AE3786">
        <v>-0.12319999999999701</v>
      </c>
      <c r="AF3786">
        <v>-0.33040525327662501</v>
      </c>
      <c r="AG3786">
        <v>-1.1090549995893999</v>
      </c>
      <c r="AH3786">
        <v>20.535868770815501</v>
      </c>
      <c r="AI3786">
        <v>93.090899253468194</v>
      </c>
      <c r="AJ3786">
        <v>90.921762479018597</v>
      </c>
      <c r="AK3786">
        <v>20.568448575321899</v>
      </c>
      <c r="AL3786">
        <v>80.998774365492906</v>
      </c>
      <c r="AM3786">
        <v>88.5018111283851</v>
      </c>
      <c r="AN3786">
        <v>1.0000000447481301</v>
      </c>
    </row>
    <row r="3787" spans="1:40" x14ac:dyDescent="0.25">
      <c r="A3787" t="str">
        <f>"20190312164547087"</f>
        <v>20190312164547087</v>
      </c>
      <c r="B3787" t="str">
        <f>"1552380347075443"</f>
        <v>1552380347075443</v>
      </c>
      <c r="C3787" t="s">
        <v>40</v>
      </c>
      <c r="D3787">
        <v>4.729908</v>
      </c>
      <c r="E3787">
        <v>0.48899290000000001</v>
      </c>
      <c r="F3787" t="s">
        <v>42</v>
      </c>
      <c r="G3787">
        <v>-328.64330000000001</v>
      </c>
      <c r="H3787" s="1">
        <v>-9.810934E-7</v>
      </c>
      <c r="I3787">
        <v>141.18260000000001</v>
      </c>
      <c r="J3787">
        <v>-308.27670000000001</v>
      </c>
      <c r="K3787">
        <v>1.109065</v>
      </c>
      <c r="L3787">
        <v>141.2903</v>
      </c>
      <c r="M3787">
        <v>-0.99985769999999996</v>
      </c>
      <c r="N3787">
        <v>0</v>
      </c>
      <c r="O3787">
        <v>1.003654E-2</v>
      </c>
      <c r="P3787">
        <v>-0.98911800000000005</v>
      </c>
      <c r="Q3787">
        <v>0.14263290000000001</v>
      </c>
      <c r="R3787">
        <v>3.6075540000000003E-2</v>
      </c>
      <c r="S3787">
        <v>-3.0574650000000001</v>
      </c>
      <c r="T3787">
        <v>-0.16419039999999999</v>
      </c>
      <c r="U3787">
        <v>-1.550293E-2</v>
      </c>
      <c r="V3787">
        <v>2.613414E-2</v>
      </c>
      <c r="W3787">
        <v>0.1560434</v>
      </c>
      <c r="X3787">
        <v>0.98740439999999996</v>
      </c>
      <c r="Y3787">
        <v>-1.5071350000000001E-2</v>
      </c>
      <c r="Z3787">
        <v>-9.4301469999999996E-4</v>
      </c>
      <c r="AA3787">
        <v>0.99988600000000005</v>
      </c>
      <c r="AB3787">
        <v>30</v>
      </c>
      <c r="AC3787">
        <v>-20.366599999999998</v>
      </c>
      <c r="AD3787">
        <v>-1.1090659810934</v>
      </c>
      <c r="AE3787">
        <v>-0.10769999999999399</v>
      </c>
      <c r="AF3787">
        <v>-0.31120076567620297</v>
      </c>
      <c r="AG3787">
        <v>-1.1090659810934</v>
      </c>
      <c r="AH3787">
        <v>20.3042850958395</v>
      </c>
      <c r="AI3787">
        <v>93.1261516989927</v>
      </c>
      <c r="AJ3787">
        <v>90.878095159031403</v>
      </c>
      <c r="AK3787">
        <v>20.336933557449299</v>
      </c>
      <c r="AL3787">
        <v>81.022684896489906</v>
      </c>
      <c r="AM3787">
        <v>88.483877104266099</v>
      </c>
      <c r="AN3787">
        <v>0.99999999254822902</v>
      </c>
    </row>
    <row r="3788" spans="1:40" x14ac:dyDescent="0.25">
      <c r="A3788" t="str">
        <f>"20190312164547101"</f>
        <v>20190312164547101</v>
      </c>
      <c r="B3788" t="str">
        <f>"1552380347095508"</f>
        <v>1552380347095508</v>
      </c>
      <c r="C3788" t="s">
        <v>40</v>
      </c>
      <c r="D3788">
        <v>4.7909709999999999</v>
      </c>
      <c r="E3788">
        <v>0.48909560000000002</v>
      </c>
      <c r="F3788" t="s">
        <v>42</v>
      </c>
      <c r="G3788">
        <v>-329.06270000000001</v>
      </c>
      <c r="H3788" s="1">
        <v>-8.0969369999999997E-7</v>
      </c>
      <c r="I3788">
        <v>141.2148</v>
      </c>
      <c r="J3788">
        <v>-308.46249999999998</v>
      </c>
      <c r="K3788">
        <v>1.1090799999999901</v>
      </c>
      <c r="L3788">
        <v>141.2921</v>
      </c>
      <c r="M3788">
        <v>-0.99985840000000004</v>
      </c>
      <c r="N3788">
        <v>0</v>
      </c>
      <c r="O3788">
        <v>9.9684609999999996E-3</v>
      </c>
      <c r="P3788">
        <v>-0.98916360000000003</v>
      </c>
      <c r="Q3788">
        <v>0.14230409999999999</v>
      </c>
      <c r="R3788">
        <v>3.6127739999999998E-2</v>
      </c>
      <c r="S3788">
        <v>-3.056915</v>
      </c>
      <c r="T3788">
        <v>-0.16310620000000001</v>
      </c>
      <c r="U3788">
        <v>-1.109314E-2</v>
      </c>
      <c r="V3788">
        <v>2.6246189999999999E-2</v>
      </c>
      <c r="W3788">
        <v>0.15571559999999901</v>
      </c>
      <c r="X3788">
        <v>0.98745320000000003</v>
      </c>
      <c r="Y3788">
        <v>-1.35645E-2</v>
      </c>
      <c r="Z3788">
        <v>-8.9316530000000001E-4</v>
      </c>
      <c r="AA3788">
        <v>0.99990760000000001</v>
      </c>
      <c r="AB3788">
        <v>30</v>
      </c>
      <c r="AC3788">
        <v>-20.600200000000001</v>
      </c>
      <c r="AD3788">
        <v>-1.1090808096936999</v>
      </c>
      <c r="AE3788">
        <v>-7.7300000000008098E-2</v>
      </c>
      <c r="AF3788">
        <v>-0.281850373311548</v>
      </c>
      <c r="AG3788">
        <v>-1.1090808096936999</v>
      </c>
      <c r="AH3788">
        <v>20.538873146153101</v>
      </c>
      <c r="AI3788">
        <v>93.090628562661394</v>
      </c>
      <c r="AJ3788">
        <v>90.786207848759403</v>
      </c>
      <c r="AK3788">
        <v>20.570727016543099</v>
      </c>
      <c r="AL3788">
        <v>81.041699093936998</v>
      </c>
      <c r="AM3788">
        <v>88.477455000671299</v>
      </c>
      <c r="AN3788">
        <v>1.0000000163815499</v>
      </c>
    </row>
    <row r="3789" spans="1:40" x14ac:dyDescent="0.25">
      <c r="A3789" t="str">
        <f>"20190312164547115"</f>
        <v>20190312164547115</v>
      </c>
      <c r="B3789" t="str">
        <f>"1552380347105257"</f>
        <v>1552380347105257</v>
      </c>
      <c r="C3789" t="s">
        <v>40</v>
      </c>
      <c r="D3789">
        <v>4.8516560000000002</v>
      </c>
      <c r="E3789">
        <v>0.48913770000000001</v>
      </c>
      <c r="F3789" t="s">
        <v>42</v>
      </c>
      <c r="G3789">
        <v>-330.20569999999998</v>
      </c>
      <c r="H3789" s="1">
        <v>-4.9170989999999997E-6</v>
      </c>
      <c r="I3789">
        <v>141.22200000000001</v>
      </c>
      <c r="J3789">
        <v>-308.64269999999999</v>
      </c>
      <c r="K3789">
        <v>1.1091040000000001</v>
      </c>
      <c r="L3789">
        <v>141.2938</v>
      </c>
      <c r="M3789">
        <v>-0.99985930000000001</v>
      </c>
      <c r="N3789">
        <v>0</v>
      </c>
      <c r="O3789">
        <v>9.8889900000000003E-3</v>
      </c>
      <c r="P3789">
        <v>-0.98923510000000003</v>
      </c>
      <c r="Q3789">
        <v>0.14178089999999999</v>
      </c>
      <c r="R3789">
        <v>3.6228379999999998E-2</v>
      </c>
      <c r="S3789">
        <v>-3.055634</v>
      </c>
      <c r="T3789">
        <v>-0.15586249999999999</v>
      </c>
      <c r="U3789">
        <v>-9.8419189999999993E-3</v>
      </c>
      <c r="V3789">
        <v>2.6417489999999998E-2</v>
      </c>
      <c r="W3789">
        <v>0.15519369999999999</v>
      </c>
      <c r="X3789">
        <v>0.98753080000000004</v>
      </c>
      <c r="Y3789">
        <v>-1.3080720000000001E-2</v>
      </c>
      <c r="Z3789">
        <v>-8.3752759999999903E-4</v>
      </c>
      <c r="AA3789">
        <v>0.99991410000000003</v>
      </c>
      <c r="AB3789">
        <v>29</v>
      </c>
      <c r="AC3789">
        <v>-21.562999999999899</v>
      </c>
      <c r="AD3789">
        <v>-1.1091089170990001</v>
      </c>
      <c r="AE3789">
        <v>-7.1799999999996006E-2</v>
      </c>
      <c r="AF3789">
        <v>-0.284300209997221</v>
      </c>
      <c r="AG3789">
        <v>-1.1091089170990001</v>
      </c>
      <c r="AH3789">
        <v>21.504343314424698</v>
      </c>
      <c r="AI3789">
        <v>92.952215914366505</v>
      </c>
      <c r="AJ3789">
        <v>90.757440158834399</v>
      </c>
      <c r="AK3789">
        <v>21.534802775601101</v>
      </c>
      <c r="AL3789">
        <v>81.0719698349087</v>
      </c>
      <c r="AM3789">
        <v>88.467642952363406</v>
      </c>
      <c r="AN3789">
        <v>1.00000002462311</v>
      </c>
    </row>
    <row r="3790" spans="1:40" x14ac:dyDescent="0.25">
      <c r="A3790" t="str">
        <f>"20190312164547132"</f>
        <v>20190312164547132</v>
      </c>
      <c r="B3790" t="str">
        <f>"1552380347125755"</f>
        <v>1552380347125755</v>
      </c>
      <c r="C3790" t="s">
        <v>40</v>
      </c>
      <c r="D3790">
        <v>4.8147070000000003</v>
      </c>
      <c r="E3790">
        <v>0.48937209999999998</v>
      </c>
      <c r="F3790" t="s">
        <v>42</v>
      </c>
      <c r="G3790">
        <v>-330.70010000000002</v>
      </c>
      <c r="H3790" s="1">
        <v>-4.728328E-6</v>
      </c>
      <c r="I3790">
        <v>141.22799999999901</v>
      </c>
      <c r="J3790">
        <v>-308.88400000000001</v>
      </c>
      <c r="K3790">
        <v>1.109127</v>
      </c>
      <c r="L3790">
        <v>141.2961</v>
      </c>
      <c r="M3790">
        <v>-0.99986039999999998</v>
      </c>
      <c r="N3790">
        <v>0</v>
      </c>
      <c r="O3790">
        <v>9.7578390000000008E-3</v>
      </c>
      <c r="P3790">
        <v>-0.98940139999999999</v>
      </c>
      <c r="Q3790">
        <v>0.1405177</v>
      </c>
      <c r="R3790">
        <v>3.6600050000000002E-2</v>
      </c>
      <c r="S3790">
        <v>-3.0549930000000001</v>
      </c>
      <c r="T3790">
        <v>-0.15361340000000001</v>
      </c>
      <c r="U3790">
        <v>-9.1094969999999994E-3</v>
      </c>
      <c r="V3790">
        <v>2.6907219999999999E-2</v>
      </c>
      <c r="W3790">
        <v>0.1539335</v>
      </c>
      <c r="X3790">
        <v>0.9877148</v>
      </c>
      <c r="Y3790">
        <v>-1.2711989999999999E-2</v>
      </c>
      <c r="Z3790">
        <v>-8.0977570000000001E-4</v>
      </c>
      <c r="AA3790">
        <v>0.99991890000000005</v>
      </c>
      <c r="AB3790">
        <v>29</v>
      </c>
      <c r="AC3790">
        <v>-21.816099999999999</v>
      </c>
      <c r="AD3790">
        <v>-1.109131728328</v>
      </c>
      <c r="AE3790">
        <v>-6.8100000000015301E-2</v>
      </c>
      <c r="AF3790">
        <v>-0.28026992265745498</v>
      </c>
      <c r="AG3790">
        <v>-1.109131728328</v>
      </c>
      <c r="AH3790">
        <v>21.7581585911113</v>
      </c>
      <c r="AI3790">
        <v>92.917910125571794</v>
      </c>
      <c r="AJ3790">
        <v>90.737994236201601</v>
      </c>
      <c r="AK3790">
        <v>21.788212173014099</v>
      </c>
      <c r="AL3790">
        <v>81.145052212570107</v>
      </c>
      <c r="AM3790">
        <v>88.439540497197697</v>
      </c>
      <c r="AN3790">
        <v>1.0000000235247</v>
      </c>
    </row>
    <row r="3791" spans="1:40" x14ac:dyDescent="0.25">
      <c r="A3791" t="str">
        <f>"20190312164547145"</f>
        <v>20190312164547145</v>
      </c>
      <c r="B3791" t="str">
        <f>"1552380347135512"</f>
        <v>1552380347135512</v>
      </c>
      <c r="C3791" t="s">
        <v>40</v>
      </c>
      <c r="D3791">
        <v>4.6910660000000002</v>
      </c>
      <c r="E3791">
        <v>0.48937209999999998</v>
      </c>
      <c r="F3791" t="s">
        <v>42</v>
      </c>
      <c r="G3791">
        <v>-330.82139999999998</v>
      </c>
      <c r="H3791" s="1">
        <v>-4.6861230000000003E-6</v>
      </c>
      <c r="I3791">
        <v>141.25280000000001</v>
      </c>
      <c r="J3791">
        <v>-309.05529999999999</v>
      </c>
      <c r="K3791">
        <v>1.10914</v>
      </c>
      <c r="L3791">
        <v>141.29759999999999</v>
      </c>
      <c r="M3791">
        <v>-0.99986149999999996</v>
      </c>
      <c r="N3791">
        <v>0</v>
      </c>
      <c r="O3791">
        <v>9.6485259999999993E-3</v>
      </c>
      <c r="P3791">
        <v>-0.98949379999999998</v>
      </c>
      <c r="Q3791">
        <v>0.13978450000000001</v>
      </c>
      <c r="R3791">
        <v>3.6913090000000003E-2</v>
      </c>
      <c r="S3791">
        <v>-3.0542910000000001</v>
      </c>
      <c r="T3791">
        <v>-0.1544217</v>
      </c>
      <c r="U3791">
        <v>-6.0272219999999996E-3</v>
      </c>
      <c r="V3791">
        <v>2.7321020000000001E-2</v>
      </c>
      <c r="W3791">
        <v>0.1532027</v>
      </c>
      <c r="X3791">
        <v>0.98781699999999995</v>
      </c>
      <c r="Y3791">
        <v>-1.159552E-2</v>
      </c>
      <c r="Z3791">
        <v>-7.8048889999999995E-4</v>
      </c>
      <c r="AA3791">
        <v>0.9999325</v>
      </c>
      <c r="AB3791">
        <v>29</v>
      </c>
      <c r="AC3791">
        <v>-21.766099999999899</v>
      </c>
      <c r="AD3791">
        <v>-1.1091446861229901</v>
      </c>
      <c r="AE3791">
        <v>-4.47999999999808E-2</v>
      </c>
      <c r="AF3791">
        <v>-0.25416802253536303</v>
      </c>
      <c r="AG3791">
        <v>-1.1091446861229901</v>
      </c>
      <c r="AH3791">
        <v>21.708285541119199</v>
      </c>
      <c r="AI3791">
        <v>92.924678366056696</v>
      </c>
      <c r="AJ3791">
        <v>90.670807906927607</v>
      </c>
      <c r="AK3791">
        <v>21.738087874815498</v>
      </c>
      <c r="AL3791">
        <v>81.187426094722497</v>
      </c>
      <c r="AM3791">
        <v>88.415718530500897</v>
      </c>
      <c r="AN3791">
        <v>0.99999996545506398</v>
      </c>
    </row>
    <row r="3792" spans="1:40" x14ac:dyDescent="0.25">
      <c r="A3792" t="str">
        <f>"20190312164547277"</f>
        <v>20190312164547277</v>
      </c>
      <c r="B3792" t="str">
        <f>"1552380347275648"</f>
        <v>1552380347275648</v>
      </c>
      <c r="C3792" t="s">
        <v>40</v>
      </c>
      <c r="D3792">
        <v>4.7467569999999997</v>
      </c>
      <c r="E3792">
        <v>0.48962719999999998</v>
      </c>
      <c r="F3792" t="s">
        <v>42</v>
      </c>
      <c r="G3792">
        <v>-330.6764</v>
      </c>
      <c r="H3792" s="1">
        <v>-4.7433820000000001E-6</v>
      </c>
      <c r="I3792">
        <v>141.26169999999999</v>
      </c>
      <c r="J3792">
        <v>-310.77870000000001</v>
      </c>
      <c r="K3792">
        <v>1.1091839999999999</v>
      </c>
      <c r="L3792">
        <v>141.3116</v>
      </c>
      <c r="M3792">
        <v>-0.99987490000000001</v>
      </c>
      <c r="N3792">
        <v>0</v>
      </c>
      <c r="O3792">
        <v>8.1611389999999995E-3</v>
      </c>
      <c r="P3792">
        <v>-0.99102619999999997</v>
      </c>
      <c r="Q3792">
        <v>0.12889049999999999</v>
      </c>
      <c r="R3792">
        <v>3.54188E-2</v>
      </c>
      <c r="S3792">
        <v>-3.0541689999999999</v>
      </c>
      <c r="T3792">
        <v>-0.15667590000000001</v>
      </c>
      <c r="U3792">
        <v>-5.0811770000000001E-3</v>
      </c>
      <c r="V3792">
        <v>2.726228E-2</v>
      </c>
      <c r="W3792">
        <v>0.142324799999999</v>
      </c>
      <c r="X3792">
        <v>0.98944449999999995</v>
      </c>
      <c r="Y3792">
        <v>-9.8018830000000008E-3</v>
      </c>
      <c r="Z3792">
        <v>-6.6966710000000002E-4</v>
      </c>
      <c r="AA3792">
        <v>0.9999517</v>
      </c>
      <c r="AB3792">
        <v>29</v>
      </c>
      <c r="AC3792">
        <v>-19.897699999999901</v>
      </c>
      <c r="AD3792">
        <v>-1.109188743382</v>
      </c>
      <c r="AE3792">
        <v>-4.9900000000008E-2</v>
      </c>
      <c r="AF3792">
        <v>-0.21164347213753601</v>
      </c>
      <c r="AG3792">
        <v>-1.109188743382</v>
      </c>
      <c r="AH3792">
        <v>19.8349939477222</v>
      </c>
      <c r="AI3792">
        <v>93.200510500876803</v>
      </c>
      <c r="AJ3792">
        <v>90.611334572261697</v>
      </c>
      <c r="AK3792">
        <v>19.867110447519</v>
      </c>
      <c r="AL3792">
        <v>81.817605180209696</v>
      </c>
      <c r="AM3792">
        <v>88.421722002908297</v>
      </c>
      <c r="AN3792">
        <v>0.99999999959304398</v>
      </c>
    </row>
    <row r="3793" spans="1:40" x14ac:dyDescent="0.25">
      <c r="A3793" t="str">
        <f>"20190312164547301"</f>
        <v>20190312164547301</v>
      </c>
      <c r="B3793" t="str">
        <f>"1552380347295168"</f>
        <v>1552380347295168</v>
      </c>
      <c r="C3793" t="s">
        <v>40</v>
      </c>
      <c r="D3793">
        <v>4.7475399999999999</v>
      </c>
      <c r="E3793">
        <v>0.48997020000000002</v>
      </c>
      <c r="F3793" t="s">
        <v>42</v>
      </c>
      <c r="G3793">
        <v>-329.1431</v>
      </c>
      <c r="H3793" s="1">
        <v>-7.8795619999999995E-7</v>
      </c>
      <c r="I3793">
        <v>141.26259999999999</v>
      </c>
      <c r="J3793">
        <v>-311.07889999999998</v>
      </c>
      <c r="K3793">
        <v>1.109183</v>
      </c>
      <c r="L3793">
        <v>141.31379999999999</v>
      </c>
      <c r="M3793">
        <v>-0.99987709999999996</v>
      </c>
      <c r="N3793">
        <v>0</v>
      </c>
      <c r="O3793">
        <v>7.8896550000000006E-3</v>
      </c>
      <c r="P3793">
        <v>-0.99101459999999997</v>
      </c>
      <c r="Q3793">
        <v>0.12895290000000001</v>
      </c>
      <c r="R3793">
        <v>3.5518550000000003E-2</v>
      </c>
      <c r="S3793">
        <v>-3.0513919999999999</v>
      </c>
      <c r="T3793">
        <v>-0.18429989999999999</v>
      </c>
      <c r="U3793">
        <v>-8.1329350000000009E-3</v>
      </c>
      <c r="V3793">
        <v>2.763119E-2</v>
      </c>
      <c r="W3793">
        <v>0.14238609999999999</v>
      </c>
      <c r="X3793">
        <v>0.98942540000000001</v>
      </c>
      <c r="Y3793">
        <v>-1.052203E-2</v>
      </c>
      <c r="Z3793">
        <v>-7.9359949999999895E-4</v>
      </c>
      <c r="AA3793">
        <v>0.99994430000000001</v>
      </c>
      <c r="AB3793">
        <v>29</v>
      </c>
      <c r="AC3793">
        <v>-18.0642</v>
      </c>
      <c r="AD3793">
        <v>-1.1091837879561901</v>
      </c>
      <c r="AE3793">
        <v>-5.1199999999994299E-2</v>
      </c>
      <c r="AF3793">
        <v>-0.19300412580863199</v>
      </c>
      <c r="AG3793">
        <v>-1.1091837879561901</v>
      </c>
      <c r="AH3793">
        <v>17.995387210889199</v>
      </c>
      <c r="AI3793">
        <v>93.526882231608994</v>
      </c>
      <c r="AJ3793">
        <v>90.614485130245697</v>
      </c>
      <c r="AK3793">
        <v>18.030571264878901</v>
      </c>
      <c r="AL3793">
        <v>81.814056428126605</v>
      </c>
      <c r="AM3793">
        <v>88.400345087593706</v>
      </c>
      <c r="AN3793">
        <v>0.999999953149592</v>
      </c>
    </row>
    <row r="3794" spans="1:40" x14ac:dyDescent="0.25">
      <c r="A3794" t="str">
        <f>"20190312164547322"</f>
        <v>20190312164547322</v>
      </c>
      <c r="B3794" t="str">
        <f>"1552380347315711"</f>
        <v>1552380347315711</v>
      </c>
      <c r="C3794" t="s">
        <v>40</v>
      </c>
      <c r="D3794">
        <v>4.8612279999999997</v>
      </c>
      <c r="E3794">
        <v>0.49019509999999999</v>
      </c>
      <c r="F3794" t="s">
        <v>42</v>
      </c>
      <c r="G3794">
        <v>-330.35449999999997</v>
      </c>
      <c r="H3794" s="1">
        <v>-4.8717670000000002E-6</v>
      </c>
      <c r="I3794">
        <v>141.2884</v>
      </c>
      <c r="J3794">
        <v>-311.36270000000002</v>
      </c>
      <c r="K3794">
        <v>1.1091869999999999</v>
      </c>
      <c r="L3794">
        <v>141.3158</v>
      </c>
      <c r="M3794">
        <v>-0.99987919999999997</v>
      </c>
      <c r="N3794">
        <v>0</v>
      </c>
      <c r="O3794">
        <v>7.6357739999999997E-3</v>
      </c>
      <c r="P3794">
        <v>-0.99094009999999999</v>
      </c>
      <c r="Q3794">
        <v>0.12931019999999999</v>
      </c>
      <c r="R3794">
        <v>3.6293279999999997E-2</v>
      </c>
      <c r="S3794">
        <v>-3.0501710000000002</v>
      </c>
      <c r="T3794">
        <v>-0.17551849999999999</v>
      </c>
      <c r="U3794">
        <v>-4.0130620000000004E-3</v>
      </c>
      <c r="V3794">
        <v>2.865825E-2</v>
      </c>
      <c r="W3794">
        <v>0.14274100000000001</v>
      </c>
      <c r="X3794">
        <v>0.98934509999999998</v>
      </c>
      <c r="Y3794">
        <v>-8.9247149999999997E-3</v>
      </c>
      <c r="Z3794">
        <v>-6.9563489999999997E-4</v>
      </c>
      <c r="AA3794">
        <v>0.99995990000000001</v>
      </c>
      <c r="AB3794">
        <v>29</v>
      </c>
      <c r="AC3794">
        <v>-18.991799999999898</v>
      </c>
      <c r="AD3794">
        <v>-1.109191871767</v>
      </c>
      <c r="AE3794">
        <v>-2.7400000000000001E-2</v>
      </c>
      <c r="AF3794">
        <v>-0.171843429054645</v>
      </c>
      <c r="AG3794">
        <v>-1.109191871767</v>
      </c>
      <c r="AH3794">
        <v>18.926478998692101</v>
      </c>
      <c r="AI3794">
        <v>93.353861746396106</v>
      </c>
      <c r="AJ3794">
        <v>90.520204137170197</v>
      </c>
      <c r="AK3794">
        <v>18.959732172697901</v>
      </c>
      <c r="AL3794">
        <v>81.793512760299194</v>
      </c>
      <c r="AM3794">
        <v>88.340783465361994</v>
      </c>
      <c r="AN3794">
        <v>1.0000000076340301</v>
      </c>
    </row>
    <row r="3795" spans="1:40" x14ac:dyDescent="0.25">
      <c r="A3795" t="str">
        <f>"20190312164547335"</f>
        <v>20190312164547335</v>
      </c>
      <c r="B3795" t="str">
        <f>"1552380347325468"</f>
        <v>1552380347325468</v>
      </c>
      <c r="C3795" t="s">
        <v>40</v>
      </c>
      <c r="D3795">
        <v>4.9022319999999997</v>
      </c>
      <c r="E3795">
        <v>0.4902318</v>
      </c>
      <c r="F3795" t="s">
        <v>42</v>
      </c>
      <c r="G3795">
        <v>-331.60829999999999</v>
      </c>
      <c r="H3795" s="1">
        <v>-4.3961969999999996E-6</v>
      </c>
      <c r="I3795">
        <v>141.3218</v>
      </c>
      <c r="J3795">
        <v>-311.53660000000002</v>
      </c>
      <c r="K3795">
        <v>1.1091850000000001</v>
      </c>
      <c r="L3795">
        <v>141.3169</v>
      </c>
      <c r="M3795">
        <v>-0.99988030000000006</v>
      </c>
      <c r="N3795">
        <v>0</v>
      </c>
      <c r="O3795">
        <v>7.4823219999999996E-3</v>
      </c>
      <c r="P3795">
        <v>-0.99088929999999997</v>
      </c>
      <c r="Q3795">
        <v>0.12954869999999999</v>
      </c>
      <c r="R3795">
        <v>3.6822130000000002E-2</v>
      </c>
      <c r="S3795">
        <v>-3.049194</v>
      </c>
      <c r="T3795">
        <v>-0.16705539999999999</v>
      </c>
      <c r="U3795">
        <v>9.1552729999999996E-4</v>
      </c>
      <c r="V3795">
        <v>2.9339819999999999E-2</v>
      </c>
      <c r="W3795">
        <v>0.14297799999999999</v>
      </c>
      <c r="X3795">
        <v>0.98929089999999997</v>
      </c>
      <c r="Y3795">
        <v>-7.1608050000000001E-3</v>
      </c>
      <c r="Z3795">
        <v>-6.0567100000000001E-4</v>
      </c>
      <c r="AA3795">
        <v>0.99997420000000004</v>
      </c>
      <c r="AB3795">
        <v>29</v>
      </c>
      <c r="AC3795">
        <v>-20.0716999999999</v>
      </c>
      <c r="AD3795">
        <v>-1.1091893961970001</v>
      </c>
      <c r="AE3795">
        <v>4.8999999999921303E-3</v>
      </c>
      <c r="AF3795">
        <v>-0.144854474259653</v>
      </c>
      <c r="AG3795">
        <v>-1.1091893961970001</v>
      </c>
      <c r="AH3795">
        <v>20.010067602924</v>
      </c>
      <c r="AI3795">
        <v>93.172664929731894</v>
      </c>
      <c r="AJ3795">
        <v>90.414761469606901</v>
      </c>
      <c r="AK3795">
        <v>20.041309573202401</v>
      </c>
      <c r="AL3795">
        <v>81.779792948824095</v>
      </c>
      <c r="AM3795">
        <v>88.301252689966404</v>
      </c>
      <c r="AN3795">
        <v>1.0000000091722201</v>
      </c>
    </row>
    <row r="3796" spans="1:40" x14ac:dyDescent="0.25">
      <c r="A3796" t="str">
        <f>"20190312164547347"</f>
        <v>20190312164547347</v>
      </c>
      <c r="B3796" t="str">
        <f>"1552380347345965"</f>
        <v>1552380347345965</v>
      </c>
      <c r="C3796" t="s">
        <v>40</v>
      </c>
      <c r="D3796">
        <v>4.9219799999999996</v>
      </c>
      <c r="E3796">
        <v>0.49016480000000001</v>
      </c>
      <c r="F3796" t="s">
        <v>42</v>
      </c>
      <c r="G3796">
        <v>-331.98200000000003</v>
      </c>
      <c r="H3796" s="1">
        <v>-4.2284519999999998E-6</v>
      </c>
      <c r="I3796">
        <v>141.33699999999999</v>
      </c>
      <c r="J3796">
        <v>-311.70319999999998</v>
      </c>
      <c r="K3796">
        <v>1.109183</v>
      </c>
      <c r="L3796">
        <v>141.31799999999899</v>
      </c>
      <c r="M3796">
        <v>-0.99988140000000003</v>
      </c>
      <c r="N3796">
        <v>0</v>
      </c>
      <c r="O3796">
        <v>7.3360889999999996E-3</v>
      </c>
      <c r="P3796">
        <v>-0.99090370000000005</v>
      </c>
      <c r="Q3796">
        <v>0.12939890000000001</v>
      </c>
      <c r="R3796">
        <v>3.6958650000000003E-2</v>
      </c>
      <c r="S3796">
        <v>-3.0491030000000001</v>
      </c>
      <c r="T3796">
        <v>-0.1654176</v>
      </c>
      <c r="U3796">
        <v>2.9907229999999998E-3</v>
      </c>
      <c r="V3796">
        <v>2.962149E-2</v>
      </c>
      <c r="W3796">
        <v>0.14282739999999999</v>
      </c>
      <c r="X3796">
        <v>0.98930419999999997</v>
      </c>
      <c r="Y3796">
        <v>-6.3358269999999996E-3</v>
      </c>
      <c r="Z3796">
        <v>-5.6946949999999905E-4</v>
      </c>
      <c r="AA3796">
        <v>0.99997979999999997</v>
      </c>
      <c r="AB3796">
        <v>29</v>
      </c>
      <c r="AC3796">
        <v>-20.278799999999901</v>
      </c>
      <c r="AD3796">
        <v>-1.1091872284519999</v>
      </c>
      <c r="AE3796">
        <v>1.9000000000033799E-2</v>
      </c>
      <c r="AF3796">
        <v>-0.129394119959477</v>
      </c>
      <c r="AG3796">
        <v>-1.1091872284519999</v>
      </c>
      <c r="AH3796">
        <v>20.217906748923099</v>
      </c>
      <c r="AI3796">
        <v>93.140127495520503</v>
      </c>
      <c r="AJ3796">
        <v>90.366686613039306</v>
      </c>
      <c r="AK3796">
        <v>20.248723230223501</v>
      </c>
      <c r="AL3796">
        <v>81.788510677117998</v>
      </c>
      <c r="AM3796">
        <v>88.284977004815204</v>
      </c>
      <c r="AN3796">
        <v>0.99999994949910798</v>
      </c>
    </row>
    <row r="3797" spans="1:40" x14ac:dyDescent="0.25">
      <c r="A3797" t="str">
        <f>"20190312164547361"</f>
        <v>20190312164547361</v>
      </c>
      <c r="B3797" t="str">
        <f>"1552380347355725"</f>
        <v>1552380347355725</v>
      </c>
      <c r="C3797" t="s">
        <v>40</v>
      </c>
      <c r="D3797">
        <v>4.8763059999999996</v>
      </c>
      <c r="E3797">
        <v>0.49021290000000001</v>
      </c>
      <c r="F3797" t="s">
        <v>42</v>
      </c>
      <c r="G3797">
        <v>-332.32679999999999</v>
      </c>
      <c r="H3797" s="1">
        <v>-4.0661589999999996E-6</v>
      </c>
      <c r="I3797">
        <v>141.33949999999999</v>
      </c>
      <c r="J3797">
        <v>-311.87909999999999</v>
      </c>
      <c r="K3797">
        <v>1.1091789999999999</v>
      </c>
      <c r="L3797">
        <v>141.31909999999999</v>
      </c>
      <c r="M3797">
        <v>-0.99988259999999995</v>
      </c>
      <c r="N3797">
        <v>0</v>
      </c>
      <c r="O3797">
        <v>7.1854700000000002E-3</v>
      </c>
      <c r="P3797">
        <v>-0.99088900000000002</v>
      </c>
      <c r="Q3797">
        <v>0.129464</v>
      </c>
      <c r="R3797">
        <v>3.7129420000000003E-2</v>
      </c>
      <c r="S3797">
        <v>-3.0488279999999999</v>
      </c>
      <c r="T3797">
        <v>-0.16397390000000001</v>
      </c>
      <c r="U3797">
        <v>3.1738280000000001E-3</v>
      </c>
      <c r="V3797">
        <v>2.9942819999999998E-2</v>
      </c>
      <c r="W3797">
        <v>0.1428912</v>
      </c>
      <c r="X3797">
        <v>0.98928530000000003</v>
      </c>
      <c r="Y3797">
        <v>-6.1259130000000002E-3</v>
      </c>
      <c r="Z3797">
        <v>-5.5082150000000001E-4</v>
      </c>
      <c r="AA3797">
        <v>0.99998109999999996</v>
      </c>
      <c r="AB3797">
        <v>29</v>
      </c>
      <c r="AC3797">
        <v>-20.447700000000001</v>
      </c>
      <c r="AD3797">
        <v>-1.1091830661589901</v>
      </c>
      <c r="AE3797">
        <v>2.0399999999994999E-2</v>
      </c>
      <c r="AF3797">
        <v>-0.12616906565827299</v>
      </c>
      <c r="AG3797">
        <v>-1.1091830661589901</v>
      </c>
      <c r="AH3797">
        <v>20.387328824307801</v>
      </c>
      <c r="AI3797">
        <v>93.114076562992494</v>
      </c>
      <c r="AJ3797">
        <v>90.354576253955997</v>
      </c>
      <c r="AK3797">
        <v>20.4178691909277</v>
      </c>
      <c r="AL3797">
        <v>81.784817213084196</v>
      </c>
      <c r="AM3797">
        <v>88.266350854494107</v>
      </c>
      <c r="AN3797">
        <v>0.99999993615153904</v>
      </c>
    </row>
    <row r="3798" spans="1:40" x14ac:dyDescent="0.25">
      <c r="A3798" t="str">
        <f>"20190312164547377"</f>
        <v>20190312164547377</v>
      </c>
      <c r="B3798" t="str">
        <f>"1552380347365484"</f>
        <v>1552380347365484</v>
      </c>
      <c r="C3798" t="s">
        <v>40</v>
      </c>
      <c r="D3798">
        <v>4.7010050000000003</v>
      </c>
      <c r="E3798">
        <v>0.49025770000000002</v>
      </c>
      <c r="F3798" t="s">
        <v>42</v>
      </c>
      <c r="G3798">
        <v>-332.69880000000001</v>
      </c>
      <c r="H3798" s="1">
        <v>-3.8927309999999998E-6</v>
      </c>
      <c r="I3798">
        <v>141.34870000000001</v>
      </c>
      <c r="J3798">
        <v>-312.0813</v>
      </c>
      <c r="K3798">
        <v>1.1091799999999901</v>
      </c>
      <c r="L3798">
        <v>141.32040000000001</v>
      </c>
      <c r="M3798">
        <v>-0.99988379999999999</v>
      </c>
      <c r="N3798">
        <v>0</v>
      </c>
      <c r="O3798">
        <v>7.016403E-3</v>
      </c>
      <c r="P3798">
        <v>-0.99084300000000003</v>
      </c>
      <c r="Q3798">
        <v>0.12988459999999999</v>
      </c>
      <c r="R3798">
        <v>3.6880059999999999E-2</v>
      </c>
      <c r="S3798">
        <v>-3.048645</v>
      </c>
      <c r="T3798">
        <v>-0.16241810000000001</v>
      </c>
      <c r="U3798">
        <v>4.333496E-3</v>
      </c>
      <c r="V3798">
        <v>2.9862400000000001E-2</v>
      </c>
      <c r="W3798">
        <v>0.14330970000000001</v>
      </c>
      <c r="X3798">
        <v>0.98922719999999997</v>
      </c>
      <c r="Y3798">
        <v>-5.5777639999999998E-3</v>
      </c>
      <c r="Z3798">
        <v>-5.220426E-4</v>
      </c>
      <c r="AA3798">
        <v>0.99998430000000005</v>
      </c>
      <c r="AB3798">
        <v>29</v>
      </c>
      <c r="AC3798">
        <v>-20.6175</v>
      </c>
      <c r="AD3798">
        <v>-1.1091838927309901</v>
      </c>
      <c r="AE3798">
        <v>2.8300000000001501E-2</v>
      </c>
      <c r="AF3798">
        <v>-0.116038791278974</v>
      </c>
      <c r="AG3798">
        <v>-1.1091838927309901</v>
      </c>
      <c r="AH3798">
        <v>20.5576921247714</v>
      </c>
      <c r="AI3798">
        <v>93.088332334679606</v>
      </c>
      <c r="AJ3798">
        <v>90.323405095850603</v>
      </c>
      <c r="AK3798">
        <v>20.587920230219101</v>
      </c>
      <c r="AL3798">
        <v>81.760589638856899</v>
      </c>
      <c r="AM3798">
        <v>88.270902747718694</v>
      </c>
      <c r="AN3798">
        <v>0.99999994313384299</v>
      </c>
    </row>
    <row r="3799" spans="1:40" x14ac:dyDescent="0.25">
      <c r="A3799" t="str">
        <f>"20190312164547400"</f>
        <v>20190312164547400</v>
      </c>
      <c r="B3799" t="str">
        <f>"1552380347395740"</f>
        <v>1552380347395740</v>
      </c>
      <c r="C3799" t="s">
        <v>40</v>
      </c>
      <c r="D3799">
        <v>4.8540340000000004</v>
      </c>
      <c r="E3799">
        <v>0.4902936</v>
      </c>
      <c r="F3799" t="s">
        <v>42</v>
      </c>
      <c r="G3799">
        <v>-333.47340000000003</v>
      </c>
      <c r="H3799" s="1">
        <v>-3.527873E-6</v>
      </c>
      <c r="I3799">
        <v>141.3535</v>
      </c>
      <c r="J3799">
        <v>-312.38240000000002</v>
      </c>
      <c r="K3799">
        <v>1.109175</v>
      </c>
      <c r="L3799">
        <v>141.32220000000001</v>
      </c>
      <c r="M3799">
        <v>-0.99988540000000004</v>
      </c>
      <c r="N3799">
        <v>0</v>
      </c>
      <c r="O3799">
        <v>6.7754779999999997E-3</v>
      </c>
      <c r="P3799">
        <v>-0.99079530000000005</v>
      </c>
      <c r="Q3799">
        <v>0.13044890000000001</v>
      </c>
      <c r="R3799">
        <v>3.6163849999999997E-2</v>
      </c>
      <c r="S3799">
        <v>-3.0482480000000001</v>
      </c>
      <c r="T3799">
        <v>-0.15805269999999999</v>
      </c>
      <c r="U3799">
        <v>4.7149660000000001E-3</v>
      </c>
      <c r="V3799">
        <v>2.938841E-2</v>
      </c>
      <c r="W3799">
        <v>0.14387079999999999</v>
      </c>
      <c r="X3799">
        <v>0.98916000000000004</v>
      </c>
      <c r="Y3799">
        <v>-5.2132439999999997E-3</v>
      </c>
      <c r="Z3799">
        <v>-4.861679E-4</v>
      </c>
      <c r="AA3799">
        <v>0.99998629999999999</v>
      </c>
      <c r="AB3799">
        <v>29</v>
      </c>
      <c r="AC3799">
        <v>-21.091000000000001</v>
      </c>
      <c r="AD3799">
        <v>-1.109178527873</v>
      </c>
      <c r="AE3799">
        <v>3.12999999999874E-2</v>
      </c>
      <c r="AF3799">
        <v>-0.111307577205755</v>
      </c>
      <c r="AG3799">
        <v>-1.109178527873</v>
      </c>
      <c r="AH3799">
        <v>21.032557799233601</v>
      </c>
      <c r="AI3799">
        <v>93.018726739266498</v>
      </c>
      <c r="AJ3799">
        <v>90.303215373326594</v>
      </c>
      <c r="AK3799">
        <v>21.0620785764734</v>
      </c>
      <c r="AL3799">
        <v>81.728104774418398</v>
      </c>
      <c r="AM3799">
        <v>88.298215985710499</v>
      </c>
      <c r="AN3799">
        <v>0.99999999566748399</v>
      </c>
    </row>
    <row r="3800" spans="1:40" x14ac:dyDescent="0.25">
      <c r="A3800" t="str">
        <f>"20190312164547424"</f>
        <v>20190312164547424</v>
      </c>
      <c r="B3800" t="str">
        <f>"1552380347415260"</f>
        <v>1552380347415260</v>
      </c>
      <c r="C3800" t="s">
        <v>40</v>
      </c>
      <c r="D3800">
        <v>4.8947329999999996</v>
      </c>
      <c r="E3800">
        <v>0.49027700000000002</v>
      </c>
      <c r="F3800" t="s">
        <v>42</v>
      </c>
      <c r="G3800">
        <v>-335.4572</v>
      </c>
      <c r="H3800" s="1">
        <v>-2.5889939999999999E-6</v>
      </c>
      <c r="I3800">
        <v>141.3494</v>
      </c>
      <c r="J3800">
        <v>-312.68459999999999</v>
      </c>
      <c r="K3800">
        <v>1.1091690000000001</v>
      </c>
      <c r="L3800">
        <v>141.32399999999899</v>
      </c>
      <c r="M3800">
        <v>-0.99988690000000002</v>
      </c>
      <c r="N3800">
        <v>0</v>
      </c>
      <c r="O3800">
        <v>6.5477010000000004E-3</v>
      </c>
      <c r="P3800">
        <v>-0.99079969999999995</v>
      </c>
      <c r="Q3800">
        <v>0.13070480000000001</v>
      </c>
      <c r="R3800">
        <v>3.5102340000000003E-2</v>
      </c>
      <c r="S3800">
        <v>-3.0470579999999998</v>
      </c>
      <c r="T3800">
        <v>-0.1464684</v>
      </c>
      <c r="U3800">
        <v>3.585815E-3</v>
      </c>
      <c r="V3800">
        <v>2.855647E-2</v>
      </c>
      <c r="W3800">
        <v>0.14412369999999999</v>
      </c>
      <c r="X3800">
        <v>0.98914749999999996</v>
      </c>
      <c r="Y3800">
        <v>-5.3577640000000001E-3</v>
      </c>
      <c r="Z3800">
        <v>-4.4328150000000002E-4</v>
      </c>
      <c r="AA3800">
        <v>0.99998560000000003</v>
      </c>
      <c r="AB3800">
        <v>29</v>
      </c>
      <c r="AC3800">
        <v>-22.772600000000001</v>
      </c>
      <c r="AD3800">
        <v>-1.1091715889939999</v>
      </c>
      <c r="AE3800">
        <v>2.5400000000018901E-2</v>
      </c>
      <c r="AF3800">
        <v>-0.123429575735306</v>
      </c>
      <c r="AG3800">
        <v>-1.1091715889939999</v>
      </c>
      <c r="AH3800">
        <v>22.7183829950568</v>
      </c>
      <c r="AI3800">
        <v>92.795070973037696</v>
      </c>
      <c r="AJ3800">
        <v>90.311286422819705</v>
      </c>
      <c r="AK3800">
        <v>22.7457781221941</v>
      </c>
      <c r="AL3800">
        <v>81.713461642334295</v>
      </c>
      <c r="AM3800">
        <v>88.346342811068595</v>
      </c>
      <c r="AN3800">
        <v>0.99999994481839805</v>
      </c>
    </row>
    <row r="3801" spans="1:40" x14ac:dyDescent="0.25">
      <c r="A3801" t="str">
        <f>"20190312164547444"</f>
        <v>20190312164547444</v>
      </c>
      <c r="B3801" t="str">
        <f>"1552380347435759"</f>
        <v>1552380347435759</v>
      </c>
      <c r="C3801" t="s">
        <v>40</v>
      </c>
      <c r="D3801">
        <v>4.8741390000000004</v>
      </c>
      <c r="E3801">
        <v>0.48999740000000003</v>
      </c>
      <c r="F3801" t="s">
        <v>42</v>
      </c>
      <c r="G3801">
        <v>-336.90809999999999</v>
      </c>
      <c r="H3801" s="1">
        <v>-1.8965059999999999E-6</v>
      </c>
      <c r="I3801">
        <v>141.3245</v>
      </c>
      <c r="J3801">
        <v>-312.9545</v>
      </c>
      <c r="K3801">
        <v>1.1091599999999999</v>
      </c>
      <c r="L3801">
        <v>141.32550000000001</v>
      </c>
      <c r="M3801">
        <v>-0.99988829999999995</v>
      </c>
      <c r="N3801">
        <v>0</v>
      </c>
      <c r="O3801">
        <v>6.3568670000000004E-3</v>
      </c>
      <c r="P3801">
        <v>-0.99083480000000002</v>
      </c>
      <c r="Q3801">
        <v>0.13070989999999999</v>
      </c>
      <c r="R3801">
        <v>3.4083790000000003E-2</v>
      </c>
      <c r="S3801">
        <v>-3.0462340000000001</v>
      </c>
      <c r="T3801">
        <v>-0.139484</v>
      </c>
      <c r="U3801" s="1">
        <v>6.1035159999999999E-5</v>
      </c>
      <c r="V3801">
        <v>2.7730669999999999E-2</v>
      </c>
      <c r="W3801">
        <v>0.14412659999999999</v>
      </c>
      <c r="X3801">
        <v>0.98917060000000001</v>
      </c>
      <c r="Y3801">
        <v>-6.3241249999999999E-3</v>
      </c>
      <c r="Z3801">
        <v>-4.3565930000000002E-4</v>
      </c>
      <c r="AA3801">
        <v>0.99997990000000003</v>
      </c>
      <c r="AB3801">
        <v>29</v>
      </c>
      <c r="AC3801">
        <v>-23.953599999999899</v>
      </c>
      <c r="AD3801">
        <v>-1.1091618965059999</v>
      </c>
      <c r="AE3801">
        <v>-1.0000000000047701E-3</v>
      </c>
      <c r="AF3801">
        <v>-0.15295580706539599</v>
      </c>
      <c r="AG3801">
        <v>-1.1091618965059999</v>
      </c>
      <c r="AH3801">
        <v>23.901861204230599</v>
      </c>
      <c r="AI3801">
        <v>92.656840770168998</v>
      </c>
      <c r="AJ3801">
        <v>90.366649379146395</v>
      </c>
      <c r="AK3801">
        <v>23.928071477197602</v>
      </c>
      <c r="AL3801">
        <v>81.713293953269201</v>
      </c>
      <c r="AM3801">
        <v>88.394175571101599</v>
      </c>
      <c r="AN3801">
        <v>0.99999997139528396</v>
      </c>
    </row>
    <row r="3802" spans="1:40" x14ac:dyDescent="0.25">
      <c r="A3802" t="str">
        <f>"20190312164547458"</f>
        <v>20190312164547458</v>
      </c>
      <c r="B3802" t="str">
        <f>"1552380347455277"</f>
        <v>1552380347455277</v>
      </c>
      <c r="C3802" t="s">
        <v>40</v>
      </c>
      <c r="D3802">
        <v>4.9299879999999998</v>
      </c>
      <c r="E3802">
        <v>0.49012109999999898</v>
      </c>
      <c r="F3802" t="s">
        <v>42</v>
      </c>
      <c r="G3802">
        <v>-336.84070000000003</v>
      </c>
      <c r="H3802" s="1">
        <v>-1.9171370000000002E-6</v>
      </c>
      <c r="I3802">
        <v>141.28210000000001</v>
      </c>
      <c r="J3802">
        <v>-313.13029999999998</v>
      </c>
      <c r="K3802">
        <v>1.109156</v>
      </c>
      <c r="L3802">
        <v>141.32650000000001</v>
      </c>
      <c r="M3802">
        <v>-0.99988900000000003</v>
      </c>
      <c r="N3802">
        <v>0</v>
      </c>
      <c r="O3802">
        <v>6.2389660000000003E-3</v>
      </c>
      <c r="P3802">
        <v>-0.9908901</v>
      </c>
      <c r="Q3802">
        <v>0.130470899999999</v>
      </c>
      <c r="R3802">
        <v>3.338269E-2</v>
      </c>
      <c r="S3802">
        <v>-3.0466000000000002</v>
      </c>
      <c r="T3802">
        <v>-0.14147000000000001</v>
      </c>
      <c r="U3802">
        <v>-5.53894E-3</v>
      </c>
      <c r="V3802">
        <v>2.714832E-2</v>
      </c>
      <c r="W3802">
        <v>0.14388689999999901</v>
      </c>
      <c r="X3802">
        <v>0.98922169999999998</v>
      </c>
      <c r="Y3802">
        <v>-8.0421729999999997E-3</v>
      </c>
      <c r="Z3802">
        <v>-4.761977E-4</v>
      </c>
      <c r="AA3802">
        <v>0.99996759999999996</v>
      </c>
      <c r="AB3802">
        <v>29</v>
      </c>
      <c r="AC3802">
        <v>-23.7104</v>
      </c>
      <c r="AD3802">
        <v>-1.1091579171370001</v>
      </c>
      <c r="AE3802">
        <v>-4.4399999999995998E-2</v>
      </c>
      <c r="AF3802">
        <v>-0.19192107562424501</v>
      </c>
      <c r="AG3802">
        <v>-1.1091579171370001</v>
      </c>
      <c r="AH3802">
        <v>23.657890778913</v>
      </c>
      <c r="AI3802">
        <v>92.684156468827794</v>
      </c>
      <c r="AJ3802">
        <v>90.464793185619399</v>
      </c>
      <c r="AK3802">
        <v>23.684654548702898</v>
      </c>
      <c r="AL3802">
        <v>81.727172828812797</v>
      </c>
      <c r="AM3802">
        <v>88.427962292458304</v>
      </c>
      <c r="AN3802">
        <v>1.0000000215106599</v>
      </c>
    </row>
    <row r="3803" spans="1:40" x14ac:dyDescent="0.25">
      <c r="A3803" t="str">
        <f>"20190312164547478"</f>
        <v>20190312164547478</v>
      </c>
      <c r="B3803" t="str">
        <f>"1552380347465037"</f>
        <v>1552380347465037</v>
      </c>
      <c r="C3803" t="s">
        <v>40</v>
      </c>
      <c r="D3803">
        <v>4.9170489999999996</v>
      </c>
      <c r="E3803">
        <v>0.49007400000000001</v>
      </c>
      <c r="F3803" t="s">
        <v>42</v>
      </c>
      <c r="G3803">
        <v>-337.18119999999999</v>
      </c>
      <c r="H3803" s="1">
        <v>-1.7540770000000001E-6</v>
      </c>
      <c r="I3803">
        <v>141.27420000000001</v>
      </c>
      <c r="J3803">
        <v>-313.38959999999997</v>
      </c>
      <c r="K3803">
        <v>1.1091500000000001</v>
      </c>
      <c r="L3803">
        <v>141.3279</v>
      </c>
      <c r="M3803">
        <v>-0.9998901</v>
      </c>
      <c r="N3803">
        <v>0</v>
      </c>
      <c r="O3803">
        <v>6.0710879999999997E-3</v>
      </c>
      <c r="P3803">
        <v>-0.99093059999999999</v>
      </c>
      <c r="Q3803">
        <v>0.13044420000000001</v>
      </c>
      <c r="R3803">
        <v>3.2270430000000003E-2</v>
      </c>
      <c r="S3803">
        <v>-3.0463260000000001</v>
      </c>
      <c r="T3803">
        <v>-0.14048769999999999</v>
      </c>
      <c r="U3803">
        <v>-6.6223139999999998E-3</v>
      </c>
      <c r="V3803">
        <v>2.6204990000000001E-2</v>
      </c>
      <c r="W3803">
        <v>0.14385800000000001</v>
      </c>
      <c r="X3803">
        <v>0.98925129999999994</v>
      </c>
      <c r="Y3803">
        <v>-8.2302529999999999E-3</v>
      </c>
      <c r="Z3803">
        <v>-4.695333E-4</v>
      </c>
      <c r="AA3803">
        <v>0.99996600000000002</v>
      </c>
      <c r="AB3803">
        <v>29</v>
      </c>
      <c r="AC3803">
        <v>-23.791599999999999</v>
      </c>
      <c r="AD3803">
        <v>-1.109151754077</v>
      </c>
      <c r="AE3803">
        <v>-5.3699999999991997E-2</v>
      </c>
      <c r="AF3803">
        <v>-0.197723395645867</v>
      </c>
      <c r="AG3803">
        <v>-1.109151754077</v>
      </c>
      <c r="AH3803">
        <v>23.7392414038897</v>
      </c>
      <c r="AI3803">
        <v>92.674952074236998</v>
      </c>
      <c r="AJ3803">
        <v>90.477203712431404</v>
      </c>
      <c r="AK3803">
        <v>23.765960838706</v>
      </c>
      <c r="AL3803">
        <v>81.728845740115702</v>
      </c>
      <c r="AM3803">
        <v>88.482605695229694</v>
      </c>
      <c r="AN3803">
        <v>0.99999998010829405</v>
      </c>
    </row>
    <row r="3804" spans="1:40" x14ac:dyDescent="0.25">
      <c r="A3804" t="str">
        <f>"20190312164547501"</f>
        <v>20190312164547501</v>
      </c>
      <c r="B3804" t="str">
        <f>"1552380347495293"</f>
        <v>1552380347495293</v>
      </c>
      <c r="C3804" t="s">
        <v>40</v>
      </c>
      <c r="D3804">
        <v>4.937608</v>
      </c>
      <c r="E3804">
        <v>0.49005120000000002</v>
      </c>
      <c r="F3804" t="s">
        <v>42</v>
      </c>
      <c r="G3804">
        <v>-337.8673</v>
      </c>
      <c r="H3804" s="1">
        <v>-1.42208E-6</v>
      </c>
      <c r="I3804">
        <v>141.24539999999999</v>
      </c>
      <c r="J3804">
        <v>-313.68540000000002</v>
      </c>
      <c r="K3804">
        <v>1.10914</v>
      </c>
      <c r="L3804">
        <v>141.3295</v>
      </c>
      <c r="M3804">
        <v>-0.99989099999999997</v>
      </c>
      <c r="N3804">
        <v>0</v>
      </c>
      <c r="O3804">
        <v>5.8863209999999999E-3</v>
      </c>
      <c r="P3804">
        <v>-0.99098070000000005</v>
      </c>
      <c r="Q3804">
        <v>0.1303223</v>
      </c>
      <c r="R3804">
        <v>3.120266E-2</v>
      </c>
      <c r="S3804">
        <v>-3.0459589999999999</v>
      </c>
      <c r="T3804">
        <v>-0.13802059999999999</v>
      </c>
      <c r="U3804">
        <v>-1.0269169999999999E-2</v>
      </c>
      <c r="V3804">
        <v>2.5322290000000001E-2</v>
      </c>
      <c r="W3804">
        <v>0.14373449999999999</v>
      </c>
      <c r="X3804">
        <v>0.98929230000000001</v>
      </c>
      <c r="Y3804">
        <v>-9.2426320000000006E-3</v>
      </c>
      <c r="Z3804">
        <v>-4.759079E-4</v>
      </c>
      <c r="AA3804">
        <v>0.99995710000000004</v>
      </c>
      <c r="AB3804">
        <v>29</v>
      </c>
      <c r="AC3804">
        <v>-24.181899999999899</v>
      </c>
      <c r="AD3804">
        <v>-1.10914142208</v>
      </c>
      <c r="AE3804">
        <v>-8.4100000000006503E-2</v>
      </c>
      <c r="AF3804">
        <v>-0.22597862325572099</v>
      </c>
      <c r="AG3804">
        <v>-1.10914142208</v>
      </c>
      <c r="AH3804">
        <v>24.1302226870237</v>
      </c>
      <c r="AI3804">
        <v>92.631622774576499</v>
      </c>
      <c r="AJ3804">
        <v>90.536557123719106</v>
      </c>
      <c r="AK3804">
        <v>24.156756983454802</v>
      </c>
      <c r="AL3804">
        <v>81.735996577424501</v>
      </c>
      <c r="AM3804">
        <v>88.533756288462001</v>
      </c>
      <c r="AN3804">
        <v>1.00000003985019</v>
      </c>
    </row>
    <row r="3805" spans="1:40" x14ac:dyDescent="0.25">
      <c r="A3805" t="str">
        <f>"20190312164547523"</f>
        <v>20190312164547523</v>
      </c>
      <c r="B3805" t="str">
        <f>"1552380347515789"</f>
        <v>1552380347515789</v>
      </c>
      <c r="C3805" t="s">
        <v>40</v>
      </c>
      <c r="D3805">
        <v>5.0428119999999996</v>
      </c>
      <c r="E3805">
        <v>0.49004310000000001</v>
      </c>
      <c r="F3805" t="s">
        <v>42</v>
      </c>
      <c r="G3805">
        <v>-338.96069999999997</v>
      </c>
      <c r="H3805" s="1">
        <v>-8.9899219999999997E-7</v>
      </c>
      <c r="I3805">
        <v>141.22200000000001</v>
      </c>
      <c r="J3805">
        <v>-313.97789999999998</v>
      </c>
      <c r="K3805">
        <v>1.1091390000000001</v>
      </c>
      <c r="L3805">
        <v>141.33099999999999</v>
      </c>
      <c r="M3805">
        <v>-0.99989209999999995</v>
      </c>
      <c r="N3805">
        <v>0</v>
      </c>
      <c r="O3805">
        <v>5.7077119999999898E-3</v>
      </c>
      <c r="P3805">
        <v>-0.99101309999999998</v>
      </c>
      <c r="Q3805">
        <v>0.13027079999999999</v>
      </c>
      <c r="R3805">
        <v>3.0375369999999999E-2</v>
      </c>
      <c r="S3805">
        <v>-3.0453190000000001</v>
      </c>
      <c r="T3805">
        <v>-0.13363620000000001</v>
      </c>
      <c r="U3805">
        <v>-1.2954709999999999E-2</v>
      </c>
      <c r="V3805">
        <v>2.4673230000000001E-2</v>
      </c>
      <c r="W3805">
        <v>0.14368159999999999</v>
      </c>
      <c r="X3805">
        <v>0.98931630000000004</v>
      </c>
      <c r="Y3805">
        <v>-9.9469850000000002E-3</v>
      </c>
      <c r="Z3805">
        <v>-4.6851329999999999E-4</v>
      </c>
      <c r="AA3805">
        <v>0.99995040000000002</v>
      </c>
      <c r="AB3805">
        <v>29</v>
      </c>
      <c r="AC3805">
        <v>-24.982800000000001</v>
      </c>
      <c r="AD3805">
        <v>-1.1091398989921999</v>
      </c>
      <c r="AE3805">
        <v>-0.10900000000000799</v>
      </c>
      <c r="AF3805">
        <v>-0.25111098105294499</v>
      </c>
      <c r="AG3805">
        <v>-1.1091398989921999</v>
      </c>
      <c r="AH3805">
        <v>24.932629072396399</v>
      </c>
      <c r="AI3805">
        <v>92.547021729864298</v>
      </c>
      <c r="AJ3805">
        <v>90.577039545830502</v>
      </c>
      <c r="AK3805">
        <v>24.958550448734901</v>
      </c>
      <c r="AL3805">
        <v>81.739058616937001</v>
      </c>
      <c r="AM3805">
        <v>88.571357856084603</v>
      </c>
      <c r="AN3805">
        <v>0.99999995595143998</v>
      </c>
    </row>
    <row r="3806" spans="1:40" x14ac:dyDescent="0.25">
      <c r="A3806" t="str">
        <f>"20190312164547537"</f>
        <v>20190312164547537</v>
      </c>
      <c r="B3806" t="str">
        <f>"1552380347525548"</f>
        <v>1552380347525548</v>
      </c>
      <c r="C3806" t="s">
        <v>40</v>
      </c>
      <c r="D3806">
        <v>5.1404719999999999</v>
      </c>
      <c r="E3806">
        <v>0.49006499999999997</v>
      </c>
      <c r="F3806" t="s">
        <v>42</v>
      </c>
      <c r="G3806">
        <v>-340.05020000000002</v>
      </c>
      <c r="H3806" s="1">
        <v>-4.540341E-6</v>
      </c>
      <c r="I3806">
        <v>141.20269999999999</v>
      </c>
      <c r="J3806">
        <v>-314.15179999999998</v>
      </c>
      <c r="K3806">
        <v>1.10914</v>
      </c>
      <c r="L3806">
        <v>141.33189999999999</v>
      </c>
      <c r="M3806">
        <v>-0.99989280000000003</v>
      </c>
      <c r="N3806">
        <v>0</v>
      </c>
      <c r="O3806">
        <v>5.6020089999999998E-3</v>
      </c>
      <c r="P3806">
        <v>-0.99103750000000002</v>
      </c>
      <c r="Q3806">
        <v>0.13013250000000001</v>
      </c>
      <c r="R3806">
        <v>3.0172170000000002E-2</v>
      </c>
      <c r="S3806">
        <v>-3.0446780000000002</v>
      </c>
      <c r="T3806">
        <v>-0.12952420000000001</v>
      </c>
      <c r="U3806">
        <v>-1.496887E-2</v>
      </c>
      <c r="V3806">
        <v>2.457517E-2</v>
      </c>
      <c r="W3806">
        <v>0.14354239999999999</v>
      </c>
      <c r="X3806">
        <v>0.98933899999999997</v>
      </c>
      <c r="Y3806">
        <v>-1.050416E-2</v>
      </c>
      <c r="Z3806">
        <v>-4.6155600000000001E-4</v>
      </c>
      <c r="AA3806">
        <v>0.99994470000000002</v>
      </c>
      <c r="AB3806">
        <v>29</v>
      </c>
      <c r="AC3806">
        <v>-25.898399999999999</v>
      </c>
      <c r="AD3806">
        <v>-1.1091445403409901</v>
      </c>
      <c r="AE3806">
        <v>-0.12919999999999701</v>
      </c>
      <c r="AF3806">
        <v>-0.27379216127144002</v>
      </c>
      <c r="AG3806">
        <v>-1.1091445403409901</v>
      </c>
      <c r="AH3806">
        <v>25.849858842941401</v>
      </c>
      <c r="AI3806">
        <v>92.456755686145002</v>
      </c>
      <c r="AJ3806">
        <v>90.606833052021898</v>
      </c>
      <c r="AK3806">
        <v>25.875091612570898</v>
      </c>
      <c r="AL3806">
        <v>81.747118164629896</v>
      </c>
      <c r="AM3806">
        <v>88.577066073865495</v>
      </c>
      <c r="AN3806">
        <v>1.0000000082496401</v>
      </c>
    </row>
    <row r="3807" spans="1:40" x14ac:dyDescent="0.25">
      <c r="A3807" t="str">
        <f>"20190312164547550"</f>
        <v>20190312164547550</v>
      </c>
      <c r="B3807" t="str">
        <f>"1552380347545069"</f>
        <v>1552380347545069</v>
      </c>
      <c r="C3807" t="s">
        <v>40</v>
      </c>
      <c r="D3807">
        <v>5.2223930000000003</v>
      </c>
      <c r="E3807">
        <v>0.49010930000000003</v>
      </c>
      <c r="F3807" t="s">
        <v>42</v>
      </c>
      <c r="G3807">
        <v>-340.58100000000002</v>
      </c>
      <c r="H3807" s="1">
        <v>-4.3587299999999999E-6</v>
      </c>
      <c r="I3807">
        <v>141.19720000000001</v>
      </c>
      <c r="J3807">
        <v>-314.32729999999998</v>
      </c>
      <c r="K3807">
        <v>1.1091390000000001</v>
      </c>
      <c r="L3807">
        <v>141.33269999999999</v>
      </c>
      <c r="M3807">
        <v>-0.99989320000000004</v>
      </c>
      <c r="N3807">
        <v>0</v>
      </c>
      <c r="O3807">
        <v>5.4959409999999998E-3</v>
      </c>
      <c r="P3807">
        <v>-0.99105299999999996</v>
      </c>
      <c r="Q3807">
        <v>0.1301166</v>
      </c>
      <c r="R3807">
        <v>2.9724489999999999E-2</v>
      </c>
      <c r="S3807">
        <v>-3.0443730000000002</v>
      </c>
      <c r="T3807">
        <v>-0.1277626</v>
      </c>
      <c r="U3807">
        <v>-1.550293E-2</v>
      </c>
      <c r="V3807">
        <v>2.423289E-2</v>
      </c>
      <c r="W3807">
        <v>0.1435254</v>
      </c>
      <c r="X3807">
        <v>0.9893499</v>
      </c>
      <c r="Y3807">
        <v>-1.0574409999999999E-2</v>
      </c>
      <c r="Z3807">
        <v>-4.5235300000000001E-4</v>
      </c>
      <c r="AA3807">
        <v>0.99994400000000006</v>
      </c>
      <c r="AB3807">
        <v>29</v>
      </c>
      <c r="AC3807">
        <v>-26.253699999999899</v>
      </c>
      <c r="AD3807">
        <v>-1.1091433587299999</v>
      </c>
      <c r="AE3807">
        <v>-0.135499999999979</v>
      </c>
      <c r="AF3807">
        <v>-0.279301481834627</v>
      </c>
      <c r="AG3807">
        <v>-1.1091433587299999</v>
      </c>
      <c r="AH3807">
        <v>26.205787297395698</v>
      </c>
      <c r="AI3807">
        <v>92.423423664990693</v>
      </c>
      <c r="AJ3807">
        <v>90.610635736476098</v>
      </c>
      <c r="AK3807">
        <v>26.230735715650699</v>
      </c>
      <c r="AL3807">
        <v>81.748102307348603</v>
      </c>
      <c r="AM3807">
        <v>88.596891999643901</v>
      </c>
      <c r="AN3807">
        <v>0.99999999901646097</v>
      </c>
    </row>
    <row r="3808" spans="1:40" x14ac:dyDescent="0.25">
      <c r="A3808" t="str">
        <f>"20190312164547567"</f>
        <v>20190312164547567</v>
      </c>
      <c r="B3808" t="str">
        <f>"1552380347555805"</f>
        <v>1552380347555805</v>
      </c>
      <c r="C3808" t="s">
        <v>40</v>
      </c>
      <c r="D3808">
        <v>5.2217479999999998</v>
      </c>
      <c r="E3808">
        <v>0.49016359999999998</v>
      </c>
      <c r="F3808" t="s">
        <v>42</v>
      </c>
      <c r="G3808">
        <v>-341.57659999999998</v>
      </c>
      <c r="H3808" s="1">
        <v>-4.0135599999999997E-6</v>
      </c>
      <c r="I3808">
        <v>141.1859</v>
      </c>
      <c r="J3808">
        <v>-314.54739999999998</v>
      </c>
      <c r="K3808">
        <v>1.109132</v>
      </c>
      <c r="L3808">
        <v>141.3338</v>
      </c>
      <c r="M3808">
        <v>-0.99989410000000001</v>
      </c>
      <c r="N3808">
        <v>0</v>
      </c>
      <c r="O3808">
        <v>5.3616769999999996E-3</v>
      </c>
      <c r="P3808">
        <v>-0.99126060000000005</v>
      </c>
      <c r="Q3808">
        <v>0.1287259</v>
      </c>
      <c r="R3808">
        <v>2.884538E-2</v>
      </c>
      <c r="S3808">
        <v>-3.0438839999999998</v>
      </c>
      <c r="T3808">
        <v>-0.1238973</v>
      </c>
      <c r="U3808">
        <v>-1.638794E-2</v>
      </c>
      <c r="V3808">
        <v>2.3486509999999999E-2</v>
      </c>
      <c r="W3808">
        <v>0.1421365</v>
      </c>
      <c r="X3808">
        <v>0.98956840000000001</v>
      </c>
      <c r="Y3808">
        <v>-1.0732500000000001E-2</v>
      </c>
      <c r="Z3808">
        <v>-4.3650219999999998E-4</v>
      </c>
      <c r="AA3808">
        <v>0.99994229999999995</v>
      </c>
      <c r="AB3808">
        <v>29</v>
      </c>
      <c r="AC3808">
        <v>-27.029199999999999</v>
      </c>
      <c r="AD3808">
        <v>-1.1091360135599999</v>
      </c>
      <c r="AE3808">
        <v>-0.14789999999999201</v>
      </c>
      <c r="AF3808">
        <v>-0.29234073581950198</v>
      </c>
      <c r="AG3808">
        <v>-1.1091360135599999</v>
      </c>
      <c r="AH3808">
        <v>26.9825851016925</v>
      </c>
      <c r="AI3808">
        <v>92.353715667017994</v>
      </c>
      <c r="AJ3808">
        <v>90.620742413357306</v>
      </c>
      <c r="AK3808">
        <v>27.006953633693499</v>
      </c>
      <c r="AL3808">
        <v>81.828504867656093</v>
      </c>
      <c r="AM3808">
        <v>88.640391803987697</v>
      </c>
      <c r="AN3808">
        <v>1.0000000095313899</v>
      </c>
    </row>
    <row r="3809" spans="1:40" x14ac:dyDescent="0.25">
      <c r="A3809" t="str">
        <f>"20190312164547581"</f>
        <v>20190312164547581</v>
      </c>
      <c r="B3809" t="str">
        <f>"1552380347575324"</f>
        <v>1552380347575324</v>
      </c>
      <c r="C3809" t="s">
        <v>40</v>
      </c>
      <c r="D3809">
        <v>5.0825760000000004</v>
      </c>
      <c r="E3809">
        <v>0.4902011</v>
      </c>
      <c r="F3809" t="s">
        <v>42</v>
      </c>
      <c r="G3809">
        <v>-341.26749999999998</v>
      </c>
      <c r="H3809" s="1">
        <v>-4.1207939999999998E-6</v>
      </c>
      <c r="I3809">
        <v>141.1728</v>
      </c>
      <c r="J3809">
        <v>-314.72500000000002</v>
      </c>
      <c r="K3809">
        <v>1.1091279999999999</v>
      </c>
      <c r="L3809">
        <v>141.33459999999999</v>
      </c>
      <c r="M3809">
        <v>-0.99989470000000003</v>
      </c>
      <c r="N3809">
        <v>0</v>
      </c>
      <c r="O3809">
        <v>5.2528540000000004E-3</v>
      </c>
      <c r="P3809">
        <v>-0.99138959999999998</v>
      </c>
      <c r="Q3809">
        <v>0.12785659999999999</v>
      </c>
      <c r="R3809">
        <v>2.827058E-2</v>
      </c>
      <c r="S3809">
        <v>-3.0434269999999999</v>
      </c>
      <c r="T3809">
        <v>-0.12633139999999901</v>
      </c>
      <c r="U3809">
        <v>-1.8325810000000001E-2</v>
      </c>
      <c r="V3809">
        <v>2.301924E-2</v>
      </c>
      <c r="W3809">
        <v>0.14126739999999999</v>
      </c>
      <c r="X3809">
        <v>0.98970380000000002</v>
      </c>
      <c r="Y3809">
        <v>-1.1260269999999999E-2</v>
      </c>
      <c r="Z3809">
        <v>-4.5157010000000002E-4</v>
      </c>
      <c r="AA3809">
        <v>0.99993650000000001</v>
      </c>
      <c r="AB3809">
        <v>29</v>
      </c>
      <c r="AC3809">
        <v>-26.542499999999901</v>
      </c>
      <c r="AD3809">
        <v>-1.1091321207939999</v>
      </c>
      <c r="AE3809">
        <v>-0.161799999999999</v>
      </c>
      <c r="AF3809">
        <v>-0.30070933767806002</v>
      </c>
      <c r="AG3809">
        <v>-1.1091321207939999</v>
      </c>
      <c r="AH3809">
        <v>26.495021046941702</v>
      </c>
      <c r="AI3809">
        <v>92.396956832565706</v>
      </c>
      <c r="AJ3809">
        <v>90.650259387869298</v>
      </c>
      <c r="AK3809">
        <v>26.519931003775799</v>
      </c>
      <c r="AL3809">
        <v>81.878808045183007</v>
      </c>
      <c r="AM3809">
        <v>88.667613938340097</v>
      </c>
      <c r="AN3809">
        <v>0.99999998772368803</v>
      </c>
    </row>
    <row r="3810" spans="1:40" x14ac:dyDescent="0.25">
      <c r="A3810" t="str">
        <f>"20190312164547602"</f>
        <v>20190312164547602</v>
      </c>
      <c r="B3810" t="str">
        <f>"1552380347595821"</f>
        <v>1552380347595821</v>
      </c>
      <c r="C3810" t="s">
        <v>40</v>
      </c>
      <c r="D3810">
        <v>4.8357510000000001</v>
      </c>
      <c r="E3810">
        <v>0.4902762</v>
      </c>
      <c r="F3810" t="s">
        <v>42</v>
      </c>
      <c r="G3810">
        <v>-341.28559999999999</v>
      </c>
      <c r="H3810" s="1">
        <v>-4.1132330000000001E-6</v>
      </c>
      <c r="I3810">
        <v>141.16499999999999</v>
      </c>
      <c r="J3810">
        <v>-314.98970000000003</v>
      </c>
      <c r="K3810">
        <v>1.1091249999999999</v>
      </c>
      <c r="L3810">
        <v>141.33580000000001</v>
      </c>
      <c r="M3810">
        <v>-0.9998956</v>
      </c>
      <c r="N3810">
        <v>0</v>
      </c>
      <c r="O3810">
        <v>5.0897970000000001E-3</v>
      </c>
      <c r="P3810">
        <v>-0.99162720000000004</v>
      </c>
      <c r="Q3810">
        <v>0.12602639999999901</v>
      </c>
      <c r="R3810">
        <v>2.8162449999999999E-2</v>
      </c>
      <c r="S3810">
        <v>-3.042999</v>
      </c>
      <c r="T3810">
        <v>-0.1270714</v>
      </c>
      <c r="U3810">
        <v>-1.9424440000000001E-2</v>
      </c>
      <c r="V3810">
        <v>2.3072260000000001E-2</v>
      </c>
      <c r="W3810">
        <v>0.13943889999999901</v>
      </c>
      <c r="X3810">
        <v>0.98996189999999995</v>
      </c>
      <c r="Y3810">
        <v>-1.145884E-2</v>
      </c>
      <c r="Z3810">
        <v>-4.516136E-4</v>
      </c>
      <c r="AA3810">
        <v>0.99993430000000005</v>
      </c>
      <c r="AB3810">
        <v>29</v>
      </c>
      <c r="AC3810">
        <v>-26.2958999999999</v>
      </c>
      <c r="AD3810">
        <v>-1.1091291132329999</v>
      </c>
      <c r="AE3810">
        <v>-0.170800000000014</v>
      </c>
      <c r="AF3810">
        <v>-0.30410981670778198</v>
      </c>
      <c r="AG3810">
        <v>-1.1091291132329999</v>
      </c>
      <c r="AH3810">
        <v>26.247995383688799</v>
      </c>
      <c r="AI3810">
        <v>92.419475335346803</v>
      </c>
      <c r="AJ3810">
        <v>90.663800384091601</v>
      </c>
      <c r="AK3810">
        <v>26.2731785635577</v>
      </c>
      <c r="AL3810">
        <v>81.984621282097194</v>
      </c>
      <c r="AM3810">
        <v>88.664894225691796</v>
      </c>
      <c r="AN3810">
        <v>1.00000004973316</v>
      </c>
    </row>
    <row r="3811" spans="1:40" x14ac:dyDescent="0.25">
      <c r="A3811" t="str">
        <f>"20190312164547625"</f>
        <v>20190312164547625</v>
      </c>
      <c r="B3811" t="str">
        <f>"1552380347615341"</f>
        <v>1552380347615341</v>
      </c>
      <c r="C3811" t="s">
        <v>40</v>
      </c>
      <c r="D3811">
        <v>5.0396219999999996</v>
      </c>
      <c r="E3811">
        <v>0.4903286</v>
      </c>
      <c r="F3811" t="s">
        <v>42</v>
      </c>
      <c r="G3811">
        <v>-341.12</v>
      </c>
      <c r="H3811" s="1">
        <v>-4.170503E-6</v>
      </c>
      <c r="I3811">
        <v>141.17019999999999</v>
      </c>
      <c r="J3811">
        <v>-315.28590000000003</v>
      </c>
      <c r="K3811">
        <v>1.109121</v>
      </c>
      <c r="L3811">
        <v>141.33709999999999</v>
      </c>
      <c r="M3811">
        <v>-0.99989640000000002</v>
      </c>
      <c r="N3811">
        <v>0</v>
      </c>
      <c r="O3811">
        <v>4.906835E-3</v>
      </c>
      <c r="P3811">
        <v>-0.99171620000000005</v>
      </c>
      <c r="Q3811">
        <v>0.12524649999999901</v>
      </c>
      <c r="R3811">
        <v>2.849989E-2</v>
      </c>
      <c r="S3811">
        <v>-3.0423279999999999</v>
      </c>
      <c r="T3811">
        <v>-0.1291351</v>
      </c>
      <c r="U3811">
        <v>-1.927185E-2</v>
      </c>
      <c r="V3811">
        <v>2.3591029999999999E-2</v>
      </c>
      <c r="W3811">
        <v>0.1386588</v>
      </c>
      <c r="X3811">
        <v>0.99005920000000003</v>
      </c>
      <c r="Y3811">
        <v>-1.1227030000000001E-2</v>
      </c>
      <c r="Z3811">
        <v>-4.4636209999999999E-4</v>
      </c>
      <c r="AA3811">
        <v>0.99993690000000002</v>
      </c>
      <c r="AB3811">
        <v>29</v>
      </c>
      <c r="AC3811">
        <v>-25.8340999999999</v>
      </c>
      <c r="AD3811">
        <v>-1.1091251705030001</v>
      </c>
      <c r="AE3811">
        <v>-0.16689999999999799</v>
      </c>
      <c r="AF3811">
        <v>-0.29313298141389399</v>
      </c>
      <c r="AG3811">
        <v>-1.1091251705030001</v>
      </c>
      <c r="AH3811">
        <v>25.785443946970702</v>
      </c>
      <c r="AI3811">
        <v>92.462821457736993</v>
      </c>
      <c r="AJ3811">
        <v>90.651319374177007</v>
      </c>
      <c r="AK3811">
        <v>25.810951263582002</v>
      </c>
      <c r="AL3811">
        <v>82.029755857901904</v>
      </c>
      <c r="AM3811">
        <v>88.635020280447705</v>
      </c>
      <c r="AN3811">
        <v>1.00000000950927</v>
      </c>
    </row>
    <row r="3812" spans="1:40" x14ac:dyDescent="0.25">
      <c r="A3812" t="str">
        <f>"20190312164547645"</f>
        <v>20190312164547645</v>
      </c>
      <c r="B3812" t="str">
        <f>"1552380347635837"</f>
        <v>1552380347635837</v>
      </c>
      <c r="C3812" t="s">
        <v>40</v>
      </c>
      <c r="D3812">
        <v>5.0734130000000004</v>
      </c>
      <c r="E3812">
        <v>0.49050329999999898</v>
      </c>
      <c r="F3812" t="s">
        <v>42</v>
      </c>
      <c r="G3812">
        <v>-341.71460000000002</v>
      </c>
      <c r="H3812" s="1">
        <v>-3.9534670000000001E-6</v>
      </c>
      <c r="I3812">
        <v>141.18260000000001</v>
      </c>
      <c r="J3812">
        <v>-315.55149999999998</v>
      </c>
      <c r="K3812">
        <v>1.109118</v>
      </c>
      <c r="L3812">
        <v>141.3383</v>
      </c>
      <c r="M3812">
        <v>-0.99989740000000005</v>
      </c>
      <c r="N3812">
        <v>0</v>
      </c>
      <c r="O3812">
        <v>4.7434290000000004E-3</v>
      </c>
      <c r="P3812">
        <v>-0.99176850000000005</v>
      </c>
      <c r="Q3812">
        <v>0.12485789999999999</v>
      </c>
      <c r="R3812">
        <v>2.8394679999999999E-2</v>
      </c>
      <c r="S3812">
        <v>-3.041687</v>
      </c>
      <c r="T3812">
        <v>-0.12764980000000001</v>
      </c>
      <c r="U3812">
        <v>-1.7776489999999999E-2</v>
      </c>
      <c r="V3812">
        <v>2.364805E-2</v>
      </c>
      <c r="W3812">
        <v>0.1382697</v>
      </c>
      <c r="X3812">
        <v>0.9901122</v>
      </c>
      <c r="Y3812">
        <v>-1.0574419999999999E-2</v>
      </c>
      <c r="Z3812">
        <v>-4.2078310000000002E-4</v>
      </c>
      <c r="AA3812">
        <v>0.99994400000000006</v>
      </c>
      <c r="AB3812">
        <v>29</v>
      </c>
      <c r="AC3812">
        <v>-26.1631</v>
      </c>
      <c r="AD3812">
        <v>-1.109121953467</v>
      </c>
      <c r="AE3812">
        <v>-0.15569999999999501</v>
      </c>
      <c r="AF3812">
        <v>-0.27931045275585098</v>
      </c>
      <c r="AG3812">
        <v>-1.109121953467</v>
      </c>
      <c r="AH3812">
        <v>26.1151362796145</v>
      </c>
      <c r="AI3812">
        <v>92.431777942673904</v>
      </c>
      <c r="AJ3812">
        <v>90.612774897235695</v>
      </c>
      <c r="AK3812">
        <v>26.1401704037965</v>
      </c>
      <c r="AL3812">
        <v>82.052266039896793</v>
      </c>
      <c r="AM3812">
        <v>88.631795564444701</v>
      </c>
      <c r="AN3812">
        <v>0.99999995439786504</v>
      </c>
    </row>
    <row r="3813" spans="1:40" x14ac:dyDescent="0.25">
      <c r="A3813" t="str">
        <f>"20190312164547668"</f>
        <v>20190312164547668</v>
      </c>
      <c r="B3813" t="str">
        <f>"1552380347655356"</f>
        <v>1552380347655356</v>
      </c>
      <c r="C3813" t="s">
        <v>40</v>
      </c>
      <c r="D3813">
        <v>5.0431889999999999</v>
      </c>
      <c r="E3813">
        <v>0.49056959999999999</v>
      </c>
      <c r="F3813" t="s">
        <v>42</v>
      </c>
      <c r="G3813">
        <v>-341.55340000000001</v>
      </c>
      <c r="H3813" s="1">
        <v>-4.0269740000000003E-6</v>
      </c>
      <c r="I3813">
        <v>141.19899999999899</v>
      </c>
      <c r="J3813">
        <v>-315.84089999999998</v>
      </c>
      <c r="K3813">
        <v>1.1091169999999999</v>
      </c>
      <c r="L3813">
        <v>141.33940000000001</v>
      </c>
      <c r="M3813">
        <v>-0.99989799999999995</v>
      </c>
      <c r="N3813">
        <v>0</v>
      </c>
      <c r="O3813">
        <v>4.569381E-3</v>
      </c>
      <c r="P3813">
        <v>-0.99179139999999999</v>
      </c>
      <c r="Q3813">
        <v>0.12457169999999999</v>
      </c>
      <c r="R3813">
        <v>2.8836500000000001E-2</v>
      </c>
      <c r="S3813">
        <v>-3.041687</v>
      </c>
      <c r="T3813">
        <v>-0.12974459999999999</v>
      </c>
      <c r="U3813">
        <v>-1.6281130000000001E-2</v>
      </c>
      <c r="V3813">
        <v>2.4263130000000001E-2</v>
      </c>
      <c r="W3813">
        <v>0.1379821</v>
      </c>
      <c r="X3813">
        <v>0.9901375</v>
      </c>
      <c r="Y3813">
        <v>-9.9091000000000005E-3</v>
      </c>
      <c r="Z3813">
        <v>-4.0607840000000001E-4</v>
      </c>
      <c r="AA3813">
        <v>0.99995080000000003</v>
      </c>
      <c r="AB3813">
        <v>29</v>
      </c>
      <c r="AC3813">
        <v>-25.712499999999999</v>
      </c>
      <c r="AD3813">
        <v>-1.1091210269739999</v>
      </c>
      <c r="AE3813">
        <v>-0.140400000000028</v>
      </c>
      <c r="AF3813">
        <v>-0.25742054097668399</v>
      </c>
      <c r="AG3813">
        <v>-1.1091210269739999</v>
      </c>
      <c r="AH3813">
        <v>25.6638394180519</v>
      </c>
      <c r="AI3813">
        <v>92.474502857592199</v>
      </c>
      <c r="AJ3813">
        <v>90.574684703612604</v>
      </c>
      <c r="AK3813">
        <v>25.689084617069302</v>
      </c>
      <c r="AL3813">
        <v>82.068904262011699</v>
      </c>
      <c r="AM3813">
        <v>88.596258815614704</v>
      </c>
      <c r="AN3813">
        <v>1.00000001415202</v>
      </c>
    </row>
    <row r="3814" spans="1:40" x14ac:dyDescent="0.25">
      <c r="A3814" t="str">
        <f>"20190312164547691"</f>
        <v>20190312164547691</v>
      </c>
      <c r="B3814" t="str">
        <f>"1552380347685612"</f>
        <v>1552380347685612</v>
      </c>
      <c r="C3814" t="s">
        <v>40</v>
      </c>
      <c r="D3814">
        <v>4.9877630000000002</v>
      </c>
      <c r="E3814">
        <v>0.49007699999999998</v>
      </c>
      <c r="F3814" t="s">
        <v>42</v>
      </c>
      <c r="G3814">
        <v>-342.33449999999999</v>
      </c>
      <c r="H3814" s="1">
        <v>-3.6967519999999999E-6</v>
      </c>
      <c r="I3814">
        <v>141.21729999999999</v>
      </c>
      <c r="J3814">
        <v>-316.13659999999999</v>
      </c>
      <c r="K3814">
        <v>1.1091120000000001</v>
      </c>
      <c r="L3814">
        <v>141.34059999999999</v>
      </c>
      <c r="M3814">
        <v>-0.99989899999999998</v>
      </c>
      <c r="N3814">
        <v>0</v>
      </c>
      <c r="O3814">
        <v>4.401645E-3</v>
      </c>
      <c r="P3814">
        <v>-0.99178670000000002</v>
      </c>
      <c r="Q3814">
        <v>0.1244874</v>
      </c>
      <c r="R3814">
        <v>2.9361390000000001E-2</v>
      </c>
      <c r="S3814">
        <v>-3.041229</v>
      </c>
      <c r="T3814">
        <v>-0.12731719999999999</v>
      </c>
      <c r="U3814">
        <v>-1.400757E-2</v>
      </c>
      <c r="V3814">
        <v>2.495634E-2</v>
      </c>
      <c r="W3814">
        <v>0.1378962</v>
      </c>
      <c r="X3814">
        <v>0.99013220000000002</v>
      </c>
      <c r="Y3814">
        <v>-8.9960630000000003E-3</v>
      </c>
      <c r="Z3814">
        <v>-3.7242539999999999E-4</v>
      </c>
      <c r="AA3814">
        <v>0.9999595</v>
      </c>
      <c r="AB3814">
        <v>29</v>
      </c>
      <c r="AC3814">
        <v>-26.197900000000001</v>
      </c>
      <c r="AD3814">
        <v>-1.1091156967519999</v>
      </c>
      <c r="AE3814">
        <v>-0.12330000000000001</v>
      </c>
      <c r="AF3814">
        <v>-0.23819627177625399</v>
      </c>
      <c r="AG3814">
        <v>-1.1091156967519999</v>
      </c>
      <c r="AH3814">
        <v>26.150234284624801</v>
      </c>
      <c r="AI3814">
        <v>92.428542419241396</v>
      </c>
      <c r="AJ3814">
        <v>90.521879211197501</v>
      </c>
      <c r="AK3814">
        <v>26.174828141430702</v>
      </c>
      <c r="AL3814">
        <v>82.073873176601495</v>
      </c>
      <c r="AM3814">
        <v>88.556162229454202</v>
      </c>
      <c r="AN3814">
        <v>0.99999997717873701</v>
      </c>
    </row>
    <row r="3815" spans="1:40" x14ac:dyDescent="0.25">
      <c r="A3815" t="str">
        <f>"20190312164547712"</f>
        <v>20190312164547712</v>
      </c>
      <c r="B3815" t="str">
        <f>"1552380347705132"</f>
        <v>1552380347705132</v>
      </c>
      <c r="C3815" t="s">
        <v>40</v>
      </c>
      <c r="D3815">
        <v>4.8855089999999999</v>
      </c>
      <c r="E3815">
        <v>0.490344</v>
      </c>
      <c r="F3815" t="s">
        <v>42</v>
      </c>
      <c r="G3815">
        <v>-342.46170000000001</v>
      </c>
      <c r="H3815" s="1">
        <v>-3.6375689999999999E-6</v>
      </c>
      <c r="I3815">
        <v>141.19980000000001</v>
      </c>
      <c r="J3815">
        <v>-316.42079999999999</v>
      </c>
      <c r="K3815">
        <v>1.1091</v>
      </c>
      <c r="L3815">
        <v>141.3416</v>
      </c>
      <c r="M3815">
        <v>-0.9998996</v>
      </c>
      <c r="N3815">
        <v>0</v>
      </c>
      <c r="O3815">
        <v>4.254295E-3</v>
      </c>
      <c r="P3815">
        <v>-0.99180480000000004</v>
      </c>
      <c r="Q3815">
        <v>0.1242862</v>
      </c>
      <c r="R3815">
        <v>2.9601180000000001E-2</v>
      </c>
      <c r="S3815">
        <v>-3.0414119999999998</v>
      </c>
      <c r="T3815">
        <v>-0.1281399</v>
      </c>
      <c r="U3815">
        <v>-1.6250609999999999E-2</v>
      </c>
      <c r="V3815">
        <v>2.5345280000000001E-2</v>
      </c>
      <c r="W3815">
        <v>0.13769310000000001</v>
      </c>
      <c r="X3815">
        <v>0.99015059999999999</v>
      </c>
      <c r="Y3815">
        <v>-9.5853339999999992E-3</v>
      </c>
      <c r="Z3815">
        <v>-3.8100850000000002E-4</v>
      </c>
      <c r="AA3815">
        <v>0.99995400000000001</v>
      </c>
      <c r="AB3815">
        <v>29</v>
      </c>
      <c r="AC3815">
        <v>-26.040900000000001</v>
      </c>
      <c r="AD3815">
        <v>-1.109103637569</v>
      </c>
      <c r="AE3815">
        <v>-0.14179999999998899</v>
      </c>
      <c r="AF3815">
        <v>-0.25213715039690099</v>
      </c>
      <c r="AG3815">
        <v>-1.109103637569</v>
      </c>
      <c r="AH3815">
        <v>25.992911783488701</v>
      </c>
      <c r="AI3815">
        <v>92.443183346423098</v>
      </c>
      <c r="AJ3815">
        <v>90.555764648985402</v>
      </c>
      <c r="AK3815">
        <v>26.017785205618502</v>
      </c>
      <c r="AL3815">
        <v>82.085622140896305</v>
      </c>
      <c r="AM3815">
        <v>88.533697267227197</v>
      </c>
      <c r="AN3815">
        <v>0.99999999184312405</v>
      </c>
    </row>
    <row r="3816" spans="1:40" x14ac:dyDescent="0.25">
      <c r="A3816" t="str">
        <f>"20190312164547735"</f>
        <v>20190312164547735</v>
      </c>
      <c r="B3816" t="str">
        <f>"1552380347725632"</f>
        <v>1552380347725632</v>
      </c>
      <c r="C3816" t="s">
        <v>40</v>
      </c>
      <c r="D3816">
        <v>4.8423360000000004</v>
      </c>
      <c r="E3816">
        <v>0.49108200000000002</v>
      </c>
      <c r="F3816" t="s">
        <v>42</v>
      </c>
      <c r="G3816">
        <v>-343.1703</v>
      </c>
      <c r="H3816" s="1">
        <v>-3.339955E-6</v>
      </c>
      <c r="I3816">
        <v>141.22380000000001</v>
      </c>
      <c r="J3816">
        <v>-316.70310000000001</v>
      </c>
      <c r="K3816">
        <v>1.109086</v>
      </c>
      <c r="L3816">
        <v>141.34270000000001</v>
      </c>
      <c r="M3816">
        <v>-0.99990020000000002</v>
      </c>
      <c r="N3816">
        <v>0</v>
      </c>
      <c r="O3816">
        <v>4.1215799999999997E-3</v>
      </c>
      <c r="P3816">
        <v>-0.99187990000000004</v>
      </c>
      <c r="Q3816">
        <v>0.12371450000000001</v>
      </c>
      <c r="R3816">
        <v>2.948688E-2</v>
      </c>
      <c r="S3816">
        <v>-3.0410159999999999</v>
      </c>
      <c r="T3816">
        <v>-0.1260887</v>
      </c>
      <c r="U3816">
        <v>-1.338196E-2</v>
      </c>
      <c r="V3816">
        <v>2.5366349999999999E-2</v>
      </c>
      <c r="W3816">
        <v>0.1371202</v>
      </c>
      <c r="X3816">
        <v>0.99022949999999998</v>
      </c>
      <c r="Y3816">
        <v>-8.5114719999999904E-3</v>
      </c>
      <c r="Z3816">
        <v>-3.4721090000000001E-4</v>
      </c>
      <c r="AA3816">
        <v>0.99996370000000001</v>
      </c>
      <c r="AB3816">
        <v>29</v>
      </c>
      <c r="AC3816">
        <v>-26.467199999999899</v>
      </c>
      <c r="AD3816">
        <v>-1.1090893399549999</v>
      </c>
      <c r="AE3816">
        <v>-0.118899999999996</v>
      </c>
      <c r="AF3816">
        <v>-0.22759598956744401</v>
      </c>
      <c r="AG3816">
        <v>-1.1090893399549999</v>
      </c>
      <c r="AH3816">
        <v>26.420093100991402</v>
      </c>
      <c r="AI3816">
        <v>92.403719626473404</v>
      </c>
      <c r="AJ3816">
        <v>90.493562495368707</v>
      </c>
      <c r="AK3816">
        <v>26.444341522592801</v>
      </c>
      <c r="AL3816">
        <v>82.118760751115303</v>
      </c>
      <c r="AM3816">
        <v>88.532595714230894</v>
      </c>
      <c r="AN3816">
        <v>0.999999931815303</v>
      </c>
    </row>
    <row r="3817" spans="1:40" x14ac:dyDescent="0.25">
      <c r="A3817" t="str">
        <f>"20190312164547756"</f>
        <v>20190312164547756</v>
      </c>
      <c r="B3817" t="str">
        <f>"1552380347745148"</f>
        <v>1552380347745148</v>
      </c>
      <c r="C3817" t="s">
        <v>40</v>
      </c>
      <c r="D3817">
        <v>4.9576129999999896</v>
      </c>
      <c r="E3817">
        <v>0.4921741</v>
      </c>
      <c r="F3817" t="s">
        <v>42</v>
      </c>
      <c r="G3817">
        <v>-342.7484</v>
      </c>
      <c r="H3817" s="1">
        <v>-3.5342009999999998E-6</v>
      </c>
      <c r="I3817">
        <v>141.27359999999999</v>
      </c>
      <c r="J3817">
        <v>-316.97649999999999</v>
      </c>
      <c r="K3817">
        <v>1.109075</v>
      </c>
      <c r="L3817">
        <v>141.34370000000001</v>
      </c>
      <c r="M3817">
        <v>-0.99990069999999998</v>
      </c>
      <c r="N3817">
        <v>0</v>
      </c>
      <c r="O3817">
        <v>4.011611E-3</v>
      </c>
      <c r="P3817">
        <v>-0.99191560000000001</v>
      </c>
      <c r="Q3817">
        <v>0.123487</v>
      </c>
      <c r="R3817">
        <v>2.92333E-2</v>
      </c>
      <c r="S3817">
        <v>-3.0409549999999999</v>
      </c>
      <c r="T3817">
        <v>-0.12949369999999999</v>
      </c>
      <c r="U3817">
        <v>-8.0566409999999998E-3</v>
      </c>
      <c r="V3817">
        <v>2.522611E-2</v>
      </c>
      <c r="W3817">
        <v>0.1368906</v>
      </c>
      <c r="X3817">
        <v>0.9902649</v>
      </c>
      <c r="Y3817">
        <v>-6.6516479999999996E-3</v>
      </c>
      <c r="Z3817">
        <v>-3.1232519999999998E-4</v>
      </c>
      <c r="AA3817">
        <v>0.99997780000000003</v>
      </c>
      <c r="AB3817">
        <v>29</v>
      </c>
      <c r="AC3817">
        <v>-25.771899999999999</v>
      </c>
      <c r="AD3817">
        <v>-1.1090785342010001</v>
      </c>
      <c r="AE3817">
        <v>-7.0100000000024906E-2</v>
      </c>
      <c r="AF3817">
        <v>-0.17317499767038499</v>
      </c>
      <c r="AG3817">
        <v>-1.1090785342010001</v>
      </c>
      <c r="AH3817">
        <v>25.7237722895498</v>
      </c>
      <c r="AI3817">
        <v>92.468718436352503</v>
      </c>
      <c r="AJ3817">
        <v>90.385715068572495</v>
      </c>
      <c r="AK3817">
        <v>25.748252476225499</v>
      </c>
      <c r="AL3817">
        <v>82.132041494634294</v>
      </c>
      <c r="AM3817">
        <v>88.5407570088922</v>
      </c>
      <c r="AN3817">
        <v>0.99999998258305001</v>
      </c>
    </row>
    <row r="3818" spans="1:40" x14ac:dyDescent="0.25">
      <c r="A3818" t="str">
        <f>"20190312164547780"</f>
        <v>20190312164547780</v>
      </c>
      <c r="B3818" t="str">
        <f>"1552380347775405"</f>
        <v>1552380347775405</v>
      </c>
      <c r="C3818" t="s">
        <v>40</v>
      </c>
      <c r="D3818">
        <v>4.8261349999999998</v>
      </c>
      <c r="E3818">
        <v>0.49389739999999999</v>
      </c>
      <c r="F3818" t="s">
        <v>42</v>
      </c>
      <c r="G3818">
        <v>-342.21039999999999</v>
      </c>
      <c r="H3818" s="1">
        <v>-3.782676E-6</v>
      </c>
      <c r="I3818">
        <v>141.34020000000001</v>
      </c>
      <c r="J3818">
        <v>-317.27420000000001</v>
      </c>
      <c r="K3818">
        <v>1.1090580000000001</v>
      </c>
      <c r="L3818">
        <v>141.34479999999999</v>
      </c>
      <c r="M3818">
        <v>-0.99990109999999999</v>
      </c>
      <c r="N3818">
        <v>0</v>
      </c>
      <c r="O3818">
        <v>3.919072E-3</v>
      </c>
      <c r="P3818">
        <v>-0.99192939999999996</v>
      </c>
      <c r="Q3818">
        <v>0.1234764</v>
      </c>
      <c r="R3818">
        <v>2.8809890000000001E-2</v>
      </c>
      <c r="S3818">
        <v>-3.041077</v>
      </c>
      <c r="T3818">
        <v>-0.133661</v>
      </c>
      <c r="U3818">
        <v>-4.1198729999999999E-4</v>
      </c>
      <c r="V3818">
        <v>2.4900780000000001E-2</v>
      </c>
      <c r="W3818">
        <v>0.13687739999999901</v>
      </c>
      <c r="X3818">
        <v>0.99027500000000002</v>
      </c>
      <c r="Y3818">
        <v>-4.0472119999999997E-3</v>
      </c>
      <c r="Z3818">
        <v>-2.6108119999999999E-4</v>
      </c>
      <c r="AA3818">
        <v>0.99999179999999999</v>
      </c>
      <c r="AB3818">
        <v>29</v>
      </c>
      <c r="AC3818">
        <v>-24.9361999999999</v>
      </c>
      <c r="AD3818">
        <v>-1.1090617826760001</v>
      </c>
      <c r="AE3818">
        <v>-4.5999999999821696E-3</v>
      </c>
      <c r="AF3818">
        <v>-0.10213361155124601</v>
      </c>
      <c r="AG3818">
        <v>-1.1090617826760001</v>
      </c>
      <c r="AH3818">
        <v>24.8867616291564</v>
      </c>
      <c r="AI3818">
        <v>92.551638106185493</v>
      </c>
      <c r="AJ3818">
        <v>90.235136741500398</v>
      </c>
      <c r="AK3818">
        <v>24.9116710338518</v>
      </c>
      <c r="AL3818">
        <v>82.132805309951294</v>
      </c>
      <c r="AM3818">
        <v>88.559582926005007</v>
      </c>
      <c r="AN3818">
        <v>1.00000002355018</v>
      </c>
    </row>
    <row r="3819" spans="1:40" x14ac:dyDescent="0.25">
      <c r="A3819" t="str">
        <f>"20190312164547803"</f>
        <v>20190312164547803</v>
      </c>
      <c r="B3819" t="str">
        <f>"1552380347795900"</f>
        <v>1552380347795900</v>
      </c>
      <c r="C3819" t="s">
        <v>40</v>
      </c>
      <c r="D3819">
        <v>5.0982669999999999</v>
      </c>
      <c r="E3819">
        <v>0.49507990000000002</v>
      </c>
      <c r="F3819" t="s">
        <v>42</v>
      </c>
      <c r="G3819">
        <v>-341.42180000000002</v>
      </c>
      <c r="H3819" s="1">
        <v>-4.1159779999999999E-6</v>
      </c>
      <c r="I3819">
        <v>141.4418</v>
      </c>
      <c r="J3819">
        <v>-317.57909999999998</v>
      </c>
      <c r="K3819">
        <v>1.10903</v>
      </c>
      <c r="L3819">
        <v>141.3459</v>
      </c>
      <c r="M3819">
        <v>-0.99990140000000005</v>
      </c>
      <c r="N3819">
        <v>0</v>
      </c>
      <c r="O3819">
        <v>3.8560389999999999E-3</v>
      </c>
      <c r="P3819">
        <v>-0.9919055</v>
      </c>
      <c r="Q3819">
        <v>0.1237936</v>
      </c>
      <c r="R3819">
        <v>2.827122E-2</v>
      </c>
      <c r="S3819">
        <v>-3.0414430000000001</v>
      </c>
      <c r="T3819">
        <v>-0.13968910000000001</v>
      </c>
      <c r="U3819">
        <v>1.223755E-2</v>
      </c>
      <c r="V3819">
        <v>2.4432229999999999E-2</v>
      </c>
      <c r="W3819">
        <v>0.13719049999999999</v>
      </c>
      <c r="X3819">
        <v>0.99024330000000005</v>
      </c>
      <c r="Y3819">
        <v>1.7106310000000001E-4</v>
      </c>
      <c r="Z3819">
        <v>-1.7309749999999999E-4</v>
      </c>
      <c r="AA3819">
        <v>1</v>
      </c>
      <c r="AB3819">
        <v>29</v>
      </c>
      <c r="AC3819">
        <v>-23.842700000000001</v>
      </c>
      <c r="AD3819">
        <v>-1.1090341159779999</v>
      </c>
      <c r="AE3819">
        <v>9.5900000000000304E-2</v>
      </c>
      <c r="AF3819">
        <v>3.9439904073046497E-3</v>
      </c>
      <c r="AG3819">
        <v>-1.1090341159779999</v>
      </c>
      <c r="AH3819">
        <v>23.791418023020402</v>
      </c>
      <c r="AI3819">
        <v>92.668903887441502</v>
      </c>
      <c r="AJ3819">
        <v>89.990501869098694</v>
      </c>
      <c r="AK3819">
        <v>23.817253069394098</v>
      </c>
      <c r="AL3819">
        <v>82.114694812707</v>
      </c>
      <c r="AM3819">
        <v>88.586630468595104</v>
      </c>
      <c r="AN3819">
        <v>0.99999998017395597</v>
      </c>
    </row>
    <row r="3820" spans="1:40" x14ac:dyDescent="0.25">
      <c r="A3820" t="str">
        <f>"20190312164547825"</f>
        <v>20190312164547825</v>
      </c>
      <c r="B3820" t="str">
        <f>"1552380347815421"</f>
        <v>1552380347815421</v>
      </c>
      <c r="C3820" t="s">
        <v>40</v>
      </c>
      <c r="D3820">
        <v>4.8596870000000001</v>
      </c>
      <c r="E3820">
        <v>0.49625720000000001</v>
      </c>
      <c r="F3820" t="s">
        <v>42</v>
      </c>
      <c r="G3820">
        <v>-341.12849999999997</v>
      </c>
      <c r="H3820" s="1">
        <v>-4.2253799999999997E-6</v>
      </c>
      <c r="I3820">
        <v>141.49590000000001</v>
      </c>
      <c r="J3820">
        <v>-317.85590000000002</v>
      </c>
      <c r="K3820">
        <v>1.1090120000000001</v>
      </c>
      <c r="L3820">
        <v>141.34690000000001</v>
      </c>
      <c r="M3820">
        <v>-0.9999015</v>
      </c>
      <c r="N3820">
        <v>0</v>
      </c>
      <c r="O3820">
        <v>3.8242630000000001E-3</v>
      </c>
      <c r="P3820">
        <v>-0.99197519999999995</v>
      </c>
      <c r="Q3820">
        <v>0.1232866</v>
      </c>
      <c r="R3820">
        <v>2.803284E-2</v>
      </c>
      <c r="S3820">
        <v>-3.041779</v>
      </c>
      <c r="T3820">
        <v>-0.14324919999999999</v>
      </c>
      <c r="U3820">
        <v>1.9393919999999999E-2</v>
      </c>
      <c r="V3820">
        <v>2.4231900000000001E-2</v>
      </c>
      <c r="W3820">
        <v>0.13668229999999901</v>
      </c>
      <c r="X3820">
        <v>0.99031849999999999</v>
      </c>
      <c r="Y3820">
        <v>2.5525489999999999E-3</v>
      </c>
      <c r="Z3820">
        <v>-1.199426E-4</v>
      </c>
      <c r="AA3820">
        <v>0.99999669999999896</v>
      </c>
      <c r="AB3820">
        <v>29</v>
      </c>
      <c r="AC3820">
        <v>-23.272599999999901</v>
      </c>
      <c r="AD3820">
        <v>-1.10901622537999</v>
      </c>
      <c r="AE3820">
        <v>0.14899999999999999</v>
      </c>
      <c r="AF3820">
        <v>5.9854336845578303E-2</v>
      </c>
      <c r="AG3820">
        <v>-1.10901622537999</v>
      </c>
      <c r="AH3820">
        <v>23.220272359014</v>
      </c>
      <c r="AI3820">
        <v>92.734399007655497</v>
      </c>
      <c r="AJ3820">
        <v>89.852310376107496</v>
      </c>
      <c r="AK3820">
        <v>23.246818017883299</v>
      </c>
      <c r="AL3820">
        <v>82.144089459223395</v>
      </c>
      <c r="AM3820">
        <v>88.5983210316151</v>
      </c>
      <c r="AN3820">
        <v>0.99999998377657395</v>
      </c>
    </row>
    <row r="3821" spans="1:40" x14ac:dyDescent="0.25">
      <c r="A3821" t="str">
        <f>"20190312164547845"</f>
        <v>20190312164547845</v>
      </c>
      <c r="B3821" t="str">
        <f>"1552380347835917"</f>
        <v>1552380347835917</v>
      </c>
      <c r="C3821" t="s">
        <v>40</v>
      </c>
      <c r="D3821">
        <v>5.0166069999999996</v>
      </c>
      <c r="E3821">
        <v>0.49739489999999997</v>
      </c>
      <c r="F3821" t="s">
        <v>42</v>
      </c>
      <c r="G3821">
        <v>-340.5077</v>
      </c>
      <c r="H3821" s="1">
        <v>-4.446367E-6</v>
      </c>
      <c r="I3821">
        <v>141.5506</v>
      </c>
      <c r="J3821">
        <v>-318.12099999999998</v>
      </c>
      <c r="K3821">
        <v>1.108997</v>
      </c>
      <c r="L3821">
        <v>141.34780000000001</v>
      </c>
      <c r="M3821">
        <v>-0.9999015</v>
      </c>
      <c r="N3821">
        <v>0</v>
      </c>
      <c r="O3821">
        <v>3.8110779999999999E-3</v>
      </c>
      <c r="P3821">
        <v>-0.99205359999999998</v>
      </c>
      <c r="Q3821">
        <v>0.1226913</v>
      </c>
      <c r="R3821">
        <v>2.7869020000000001E-2</v>
      </c>
      <c r="S3821">
        <v>-3.0420530000000001</v>
      </c>
      <c r="T3821">
        <v>-0.14893709999999999</v>
      </c>
      <c r="U3821">
        <v>2.7374269999999999E-2</v>
      </c>
      <c r="V3821">
        <v>2.4086349999999999E-2</v>
      </c>
      <c r="W3821">
        <v>0.1360857</v>
      </c>
      <c r="X3821">
        <v>0.99040419999999996</v>
      </c>
      <c r="Y3821">
        <v>5.1852690000000002E-3</v>
      </c>
      <c r="Z3821" s="1">
        <v>-5.9633199999999997E-5</v>
      </c>
      <c r="AA3821">
        <v>0.9999865</v>
      </c>
      <c r="AB3821">
        <v>29</v>
      </c>
      <c r="AC3821">
        <v>-22.386700000000001</v>
      </c>
      <c r="AD3821">
        <v>-1.1090014463669999</v>
      </c>
      <c r="AE3821">
        <v>0.20279999999999601</v>
      </c>
      <c r="AF3821">
        <v>0.117185725796481</v>
      </c>
      <c r="AG3821">
        <v>-1.1090014463669999</v>
      </c>
      <c r="AH3821">
        <v>22.332509669772602</v>
      </c>
      <c r="AI3821">
        <v>92.842854542825606</v>
      </c>
      <c r="AJ3821">
        <v>89.699353723180494</v>
      </c>
      <c r="AK3821">
        <v>22.360335526392699</v>
      </c>
      <c r="AL3821">
        <v>82.1785944646698</v>
      </c>
      <c r="AM3821">
        <v>88.606857462940795</v>
      </c>
      <c r="AN3821">
        <v>0.99999997468922497</v>
      </c>
    </row>
    <row r="3822" spans="1:40" x14ac:dyDescent="0.25">
      <c r="A3822" t="str">
        <f>"20190312164547869"</f>
        <v>20190312164547869</v>
      </c>
      <c r="B3822" t="str">
        <f>"1552380347865198"</f>
        <v>1552380347865198</v>
      </c>
      <c r="C3822" t="s">
        <v>40</v>
      </c>
      <c r="D3822">
        <v>5.1698909999999998</v>
      </c>
      <c r="E3822">
        <v>0.4989343</v>
      </c>
      <c r="F3822" t="s">
        <v>42</v>
      </c>
      <c r="G3822">
        <v>-339.9015</v>
      </c>
      <c r="H3822" s="1">
        <v>-5.5714360000000001E-7</v>
      </c>
      <c r="I3822">
        <v>141.6086</v>
      </c>
      <c r="J3822">
        <v>-318.41129999999998</v>
      </c>
      <c r="K3822">
        <v>1.1089789999999999</v>
      </c>
      <c r="L3822">
        <v>141.34889999999999</v>
      </c>
      <c r="M3822">
        <v>-0.99990159999999995</v>
      </c>
      <c r="N3822">
        <v>0</v>
      </c>
      <c r="O3822">
        <v>3.81029E-3</v>
      </c>
      <c r="P3822">
        <v>-0.99216870000000001</v>
      </c>
      <c r="Q3822">
        <v>0.1217476</v>
      </c>
      <c r="R3822">
        <v>2.791151E-2</v>
      </c>
      <c r="S3822">
        <v>-3.0421450000000001</v>
      </c>
      <c r="T3822">
        <v>-0.15489729999999999</v>
      </c>
      <c r="U3822">
        <v>3.642273E-2</v>
      </c>
      <c r="V3822">
        <v>2.4133539999999998E-2</v>
      </c>
      <c r="W3822">
        <v>0.13514129999999999</v>
      </c>
      <c r="X3822">
        <v>0.99053239999999998</v>
      </c>
      <c r="Y3822">
        <v>8.1557780000000007E-3</v>
      </c>
      <c r="Z3822" s="1">
        <v>1.3599839999999999E-5</v>
      </c>
      <c r="AA3822">
        <v>0.99996669999999999</v>
      </c>
      <c r="AB3822">
        <v>29</v>
      </c>
      <c r="AC3822">
        <v>-21.490200000000002</v>
      </c>
      <c r="AD3822">
        <v>-1.1089795571436001</v>
      </c>
      <c r="AE3822">
        <v>0.25970000000000898</v>
      </c>
      <c r="AF3822">
        <v>0.17733458907795099</v>
      </c>
      <c r="AG3822">
        <v>-1.1089795571436001</v>
      </c>
      <c r="AH3822">
        <v>21.433963938277198</v>
      </c>
      <c r="AI3822">
        <v>92.961704731124499</v>
      </c>
      <c r="AJ3822">
        <v>89.525972343667306</v>
      </c>
      <c r="AK3822">
        <v>21.4633663091793</v>
      </c>
      <c r="AL3822">
        <v>82.233209474079899</v>
      </c>
      <c r="AM3822">
        <v>88.604309685189307</v>
      </c>
      <c r="AN3822">
        <v>1.0000000170841901</v>
      </c>
    </row>
    <row r="3823" spans="1:40" x14ac:dyDescent="0.25">
      <c r="A3823" t="str">
        <f>"20190312164547892"</f>
        <v>20190312164547892</v>
      </c>
      <c r="B3823" t="str">
        <f>"1552380347885693"</f>
        <v>1552380347885693</v>
      </c>
      <c r="C3823" t="s">
        <v>40</v>
      </c>
      <c r="D3823">
        <v>4.9562790000000003</v>
      </c>
      <c r="E3823">
        <v>0.49996020000000002</v>
      </c>
      <c r="F3823" t="s">
        <v>42</v>
      </c>
      <c r="G3823">
        <v>-339.10410000000002</v>
      </c>
      <c r="H3823" s="1">
        <v>-9.5309169999999999E-7</v>
      </c>
      <c r="I3823">
        <v>141.68010000000001</v>
      </c>
      <c r="J3823">
        <v>-318.70679999999999</v>
      </c>
      <c r="K3823">
        <v>1.10897</v>
      </c>
      <c r="L3823">
        <v>141.3501</v>
      </c>
      <c r="M3823">
        <v>-0.99990159999999995</v>
      </c>
      <c r="N3823">
        <v>0</v>
      </c>
      <c r="O3823">
        <v>3.8193569999999998E-3</v>
      </c>
      <c r="P3823">
        <v>-0.99228139999999998</v>
      </c>
      <c r="Q3823">
        <v>0.1207698</v>
      </c>
      <c r="R3823">
        <v>2.814914E-2</v>
      </c>
      <c r="S3823">
        <v>-3.0423279999999999</v>
      </c>
      <c r="T3823">
        <v>-0.163046</v>
      </c>
      <c r="U3823">
        <v>4.8690799999999999E-2</v>
      </c>
      <c r="V3823">
        <v>2.4364050000000002E-2</v>
      </c>
      <c r="W3823">
        <v>0.1341628</v>
      </c>
      <c r="X3823">
        <v>0.99065979999999998</v>
      </c>
      <c r="Y3823">
        <v>1.2171090000000001E-2</v>
      </c>
      <c r="Z3823">
        <v>1.213392E-4</v>
      </c>
      <c r="AA3823">
        <v>0.99992590000000003</v>
      </c>
      <c r="AB3823">
        <v>29</v>
      </c>
      <c r="AC3823">
        <v>-20.397300000000001</v>
      </c>
      <c r="AD3823">
        <v>-1.1089709530917</v>
      </c>
      <c r="AE3823">
        <v>0.33000000000001201</v>
      </c>
      <c r="AF3823">
        <v>0.25134316409138702</v>
      </c>
      <c r="AG3823">
        <v>-1.1089709530917</v>
      </c>
      <c r="AH3823">
        <v>20.338308702413499</v>
      </c>
      <c r="AI3823">
        <v>93.120793445670699</v>
      </c>
      <c r="AJ3823">
        <v>89.291968192962301</v>
      </c>
      <c r="AK3823">
        <v>20.3700709580406</v>
      </c>
      <c r="AL3823">
        <v>82.289788933292698</v>
      </c>
      <c r="AM3823">
        <v>88.591165312983193</v>
      </c>
      <c r="AN3823">
        <v>1.00000005158614</v>
      </c>
    </row>
    <row r="3824" spans="1:40" x14ac:dyDescent="0.25">
      <c r="A3824" t="str">
        <f>"20190312164547913"</f>
        <v>20190312164547913</v>
      </c>
      <c r="B3824" t="str">
        <f>"1552380347905215"</f>
        <v>1552380347905215</v>
      </c>
      <c r="C3824" t="s">
        <v>40</v>
      </c>
      <c r="D3824">
        <v>5.2309089999999996</v>
      </c>
      <c r="E3824">
        <v>0.50090690000000004</v>
      </c>
      <c r="F3824" t="s">
        <v>42</v>
      </c>
      <c r="G3824">
        <v>-338.48570000000001</v>
      </c>
      <c r="H3824" s="1">
        <v>-1.256317E-6</v>
      </c>
      <c r="I3824">
        <v>141.72110000000001</v>
      </c>
      <c r="J3824">
        <v>-318.9871</v>
      </c>
      <c r="K3824">
        <v>1.108967</v>
      </c>
      <c r="L3824">
        <v>141.3511</v>
      </c>
      <c r="M3824">
        <v>-0.9999015</v>
      </c>
      <c r="N3824">
        <v>0</v>
      </c>
      <c r="O3824">
        <v>3.8303270000000001E-3</v>
      </c>
      <c r="P3824">
        <v>-0.99232319999999996</v>
      </c>
      <c r="Q3824">
        <v>0.12043669999999999</v>
      </c>
      <c r="R3824">
        <v>2.8107429999999999E-2</v>
      </c>
      <c r="S3824">
        <v>-3.0424799999999999</v>
      </c>
      <c r="T3824">
        <v>-0.17058719999999999</v>
      </c>
      <c r="U3824">
        <v>5.706787E-2</v>
      </c>
      <c r="V3824">
        <v>2.4312429999999999E-2</v>
      </c>
      <c r="W3824">
        <v>0.13382869999999999</v>
      </c>
      <c r="X3824">
        <v>0.99070619999999998</v>
      </c>
      <c r="Y3824">
        <v>1.490619E-2</v>
      </c>
      <c r="Z3824">
        <v>2.029287E-4</v>
      </c>
      <c r="AA3824">
        <v>0.99988889999999997</v>
      </c>
      <c r="AB3824">
        <v>29</v>
      </c>
      <c r="AC3824">
        <v>-19.4986</v>
      </c>
      <c r="AD3824">
        <v>-1.108968256317</v>
      </c>
      <c r="AE3824">
        <v>0.37000000000000399</v>
      </c>
      <c r="AF3824">
        <v>0.29435266790727299</v>
      </c>
      <c r="AG3824">
        <v>-1.108968256317</v>
      </c>
      <c r="AH3824">
        <v>19.437024357909699</v>
      </c>
      <c r="AI3824">
        <v>93.2650640527158</v>
      </c>
      <c r="AJ3824">
        <v>89.132383838657802</v>
      </c>
      <c r="AK3824">
        <v>19.470859507905601</v>
      </c>
      <c r="AL3824">
        <v>82.3091052141354</v>
      </c>
      <c r="AM3824">
        <v>88.594214822350494</v>
      </c>
      <c r="AN3824">
        <v>0.99999999495731695</v>
      </c>
    </row>
    <row r="3825" spans="1:40" x14ac:dyDescent="0.25">
      <c r="A3825" t="str">
        <f>"20190312164547935"</f>
        <v>20190312164547935</v>
      </c>
      <c r="B3825" t="str">
        <f>"1552380347925712"</f>
        <v>1552380347925712</v>
      </c>
      <c r="C3825" t="s">
        <v>40</v>
      </c>
      <c r="D3825">
        <v>4.8222060000000004</v>
      </c>
      <c r="E3825">
        <v>0.55595830000000002</v>
      </c>
      <c r="F3825" t="s">
        <v>42</v>
      </c>
      <c r="G3825">
        <v>-338.15379999999999</v>
      </c>
      <c r="H3825" s="1">
        <v>-1.4218169999999999E-6</v>
      </c>
      <c r="I3825">
        <v>141.7534</v>
      </c>
      <c r="J3825">
        <v>-319.25990000000002</v>
      </c>
      <c r="K3825">
        <v>1.108957</v>
      </c>
      <c r="L3825">
        <v>141.35220000000001</v>
      </c>
      <c r="M3825">
        <v>-0.9999015</v>
      </c>
      <c r="N3825">
        <v>0</v>
      </c>
      <c r="O3825">
        <v>3.839776E-3</v>
      </c>
      <c r="P3825">
        <v>-0.99240459999999997</v>
      </c>
      <c r="Q3825">
        <v>0.1197009</v>
      </c>
      <c r="R3825">
        <v>2.837332E-2</v>
      </c>
      <c r="S3825">
        <v>-3.0427249999999999</v>
      </c>
      <c r="T3825">
        <v>-0.17604979999999901</v>
      </c>
      <c r="U3825">
        <v>6.3858029999999996E-2</v>
      </c>
      <c r="V3825">
        <v>2.456883E-2</v>
      </c>
      <c r="W3825">
        <v>0.1330924</v>
      </c>
      <c r="X3825">
        <v>0.99079910000000004</v>
      </c>
      <c r="Y3825">
        <v>1.712087E-2</v>
      </c>
      <c r="Z3825">
        <v>2.7285800000000001E-4</v>
      </c>
      <c r="AA3825">
        <v>0.9998534</v>
      </c>
      <c r="AB3825">
        <v>28</v>
      </c>
      <c r="AC3825">
        <v>-18.893899999999899</v>
      </c>
      <c r="AD3825">
        <v>-1.1089584218170001</v>
      </c>
      <c r="AE3825">
        <v>0.40119999999998801</v>
      </c>
      <c r="AF3825">
        <v>0.32751431302142497</v>
      </c>
      <c r="AG3825">
        <v>-1.1089584218170001</v>
      </c>
      <c r="AH3825">
        <v>18.830459937747602</v>
      </c>
      <c r="AI3825">
        <v>93.369846467717196</v>
      </c>
      <c r="AJ3825">
        <v>89.003566771224897</v>
      </c>
      <c r="AK3825">
        <v>18.865928969273401</v>
      </c>
      <c r="AL3825">
        <v>82.351673214569104</v>
      </c>
      <c r="AM3825">
        <v>88.579528536232203</v>
      </c>
      <c r="AN3825">
        <v>1.00000003545306</v>
      </c>
    </row>
    <row r="3826" spans="1:40" x14ac:dyDescent="0.25">
      <c r="A3826" t="str">
        <f>"20190312164547957"</f>
        <v>20190312164547957</v>
      </c>
      <c r="B3826" t="str">
        <f>"1552380347945232"</f>
        <v>1552380347945232</v>
      </c>
      <c r="C3826" t="s">
        <v>40</v>
      </c>
      <c r="D3826">
        <v>4.8083549999999997</v>
      </c>
      <c r="E3826">
        <v>0.55463009999999902</v>
      </c>
      <c r="F3826" t="s">
        <v>41</v>
      </c>
      <c r="G3826">
        <v>-320.13819999999998</v>
      </c>
      <c r="H3826">
        <v>0.99855260000000001</v>
      </c>
      <c r="I3826">
        <v>141.49440000000001</v>
      </c>
      <c r="J3826">
        <v>-319.54610000000002</v>
      </c>
      <c r="K3826">
        <v>1.1089560000000001</v>
      </c>
      <c r="L3826">
        <v>141.35329999999999</v>
      </c>
      <c r="M3826">
        <v>-0.99990140000000005</v>
      </c>
      <c r="N3826">
        <v>0</v>
      </c>
      <c r="O3826">
        <v>3.8465259999999999E-3</v>
      </c>
      <c r="P3826">
        <v>-0.99248709999999996</v>
      </c>
      <c r="Q3826">
        <v>0.1190112</v>
      </c>
      <c r="R3826">
        <v>2.838711E-2</v>
      </c>
      <c r="S3826">
        <v>-3.0551759999999999</v>
      </c>
      <c r="T3826">
        <v>-0.38412580000000002</v>
      </c>
      <c r="U3826">
        <v>0.49359130000000001</v>
      </c>
      <c r="V3826">
        <v>2.4575739999999999E-2</v>
      </c>
      <c r="W3826">
        <v>0.132402399999999</v>
      </c>
      <c r="X3826">
        <v>0.99089130000000003</v>
      </c>
      <c r="Y3826">
        <v>0.15453610000000001</v>
      </c>
      <c r="Z3826">
        <v>9.1365030000000007E-3</v>
      </c>
      <c r="AA3826">
        <v>0.98794490000000001</v>
      </c>
      <c r="AB3826">
        <v>28</v>
      </c>
      <c r="AC3826">
        <v>-0.59209999999995899</v>
      </c>
      <c r="AD3826">
        <v>-0.1104034</v>
      </c>
      <c r="AE3826">
        <v>0.14110000000002201</v>
      </c>
      <c r="AF3826">
        <v>0.134399569947487</v>
      </c>
      <c r="AG3826">
        <v>-0.1104034</v>
      </c>
      <c r="AH3826">
        <v>0.57376204995039803</v>
      </c>
      <c r="AI3826">
        <v>100.611293693557</v>
      </c>
      <c r="AJ3826">
        <v>76.8165751877265</v>
      </c>
      <c r="AK3826">
        <v>0.59954569892286902</v>
      </c>
      <c r="AL3826">
        <v>82.391559770907605</v>
      </c>
      <c r="AM3826">
        <v>88.579261345773105</v>
      </c>
      <c r="AN3826">
        <v>0.99999996546899805</v>
      </c>
    </row>
    <row r="3827" spans="1:40" x14ac:dyDescent="0.25">
      <c r="A3827" t="str">
        <f>"20190312164547980"</f>
        <v>20190312164547980</v>
      </c>
      <c r="B3827" t="str">
        <f>"1552380347975485"</f>
        <v>1552380347975485</v>
      </c>
      <c r="C3827" t="s">
        <v>40</v>
      </c>
      <c r="D3827">
        <v>4.7339729999999998</v>
      </c>
      <c r="E3827">
        <v>0.55619039999999997</v>
      </c>
      <c r="F3827" t="s">
        <v>41</v>
      </c>
      <c r="G3827">
        <v>-320.39789999999999</v>
      </c>
      <c r="H3827">
        <v>1.0101610000000001</v>
      </c>
      <c r="I3827">
        <v>141.4889</v>
      </c>
      <c r="J3827">
        <v>-319.83120000000002</v>
      </c>
      <c r="K3827">
        <v>1.108957</v>
      </c>
      <c r="L3827">
        <v>141.3544</v>
      </c>
      <c r="M3827">
        <v>-0.9999015</v>
      </c>
      <c r="N3827">
        <v>0</v>
      </c>
      <c r="O3827">
        <v>3.8499279999999999E-3</v>
      </c>
      <c r="P3827">
        <v>-0.99250910000000003</v>
      </c>
      <c r="Q3827">
        <v>0.1187097</v>
      </c>
      <c r="R3827">
        <v>2.8874940000000002E-2</v>
      </c>
      <c r="S3827">
        <v>-3.0512999999999999</v>
      </c>
      <c r="T3827">
        <v>-0.35393229999999998</v>
      </c>
      <c r="U3827">
        <v>0.48536679999999999</v>
      </c>
      <c r="V3827">
        <v>2.505984E-2</v>
      </c>
      <c r="W3827">
        <v>0.13209989999999999</v>
      </c>
      <c r="X3827">
        <v>0.99091960000000001</v>
      </c>
      <c r="Y3827">
        <v>0.15231939999999999</v>
      </c>
      <c r="Z3827">
        <v>8.3077559999999995E-3</v>
      </c>
      <c r="AA3827">
        <v>0.98829639999999996</v>
      </c>
      <c r="AB3827">
        <v>28</v>
      </c>
      <c r="AC3827">
        <v>-0.56669999999996801</v>
      </c>
      <c r="AD3827">
        <v>-9.8795999999999801E-2</v>
      </c>
      <c r="AE3827">
        <v>0.13450000000000201</v>
      </c>
      <c r="AF3827">
        <v>0.12861647375069499</v>
      </c>
      <c r="AG3827">
        <v>-9.8795999999999801E-2</v>
      </c>
      <c r="AH3827">
        <v>0.55135011706936099</v>
      </c>
      <c r="AI3827">
        <v>99.898673630720097</v>
      </c>
      <c r="AJ3827">
        <v>76.869120295003995</v>
      </c>
      <c r="AK3827">
        <v>0.57470844654351605</v>
      </c>
      <c r="AL3827">
        <v>82.409045722877295</v>
      </c>
      <c r="AM3827">
        <v>88.551328394923303</v>
      </c>
      <c r="AN3827">
        <v>1.00000001641249</v>
      </c>
    </row>
    <row r="3828" spans="1:40" x14ac:dyDescent="0.25">
      <c r="A3828" t="str">
        <f>"20190312164548003"</f>
        <v>20190312164548003</v>
      </c>
      <c r="B3828" t="str">
        <f>"1552380347995004"</f>
        <v>1552380347995004</v>
      </c>
      <c r="C3828" t="s">
        <v>40</v>
      </c>
      <c r="D3828">
        <v>5.3584829999999997</v>
      </c>
      <c r="E3828">
        <v>0.55523339999999999</v>
      </c>
      <c r="F3828" t="s">
        <v>41</v>
      </c>
      <c r="G3828">
        <v>-320.65069999999997</v>
      </c>
      <c r="H3828">
        <v>1.0080020000000001</v>
      </c>
      <c r="I3828">
        <v>141.48859999999999</v>
      </c>
      <c r="J3828">
        <v>-320.13139999999999</v>
      </c>
      <c r="K3828">
        <v>1.108959</v>
      </c>
      <c r="L3828">
        <v>141.35550000000001</v>
      </c>
      <c r="M3828">
        <v>-0.99990159999999995</v>
      </c>
      <c r="N3828">
        <v>0</v>
      </c>
      <c r="O3828">
        <v>3.8510580000000001E-3</v>
      </c>
      <c r="P3828">
        <v>-0.99244200000000005</v>
      </c>
      <c r="Q3828">
        <v>0.1192426</v>
      </c>
      <c r="R3828">
        <v>2.8994300000000001E-2</v>
      </c>
      <c r="S3828">
        <v>-3.053131</v>
      </c>
      <c r="T3828">
        <v>-0.37620999999999999</v>
      </c>
      <c r="U3828">
        <v>0.49844359999999999</v>
      </c>
      <c r="V3828">
        <v>2.517819E-2</v>
      </c>
      <c r="W3828">
        <v>0.13262969999999999</v>
      </c>
      <c r="X3828">
        <v>0.9908458</v>
      </c>
      <c r="Y3828">
        <v>0.1561989</v>
      </c>
      <c r="Z3828">
        <v>9.0552210000000005E-3</v>
      </c>
      <c r="AA3828">
        <v>0.98768409999999995</v>
      </c>
      <c r="AB3828">
        <v>28</v>
      </c>
      <c r="AC3828">
        <v>-0.51929999999998699</v>
      </c>
      <c r="AD3828">
        <v>-0.10095699999999901</v>
      </c>
      <c r="AE3828">
        <v>0.13309999999998401</v>
      </c>
      <c r="AF3828">
        <v>0.12660875429384399</v>
      </c>
      <c r="AG3828">
        <v>-0.10095699999999901</v>
      </c>
      <c r="AH3828">
        <v>0.50200499460108805</v>
      </c>
      <c r="AI3828">
        <v>101.03428335438601</v>
      </c>
      <c r="AJ3828">
        <v>75.844850031673403</v>
      </c>
      <c r="AK3828">
        <v>0.52747616734529101</v>
      </c>
      <c r="AL3828">
        <v>82.378420743442007</v>
      </c>
      <c r="AM3828">
        <v>88.544381333403294</v>
      </c>
      <c r="AN3828">
        <v>0.99999998897570297</v>
      </c>
    </row>
    <row r="3829" spans="1:40" x14ac:dyDescent="0.25">
      <c r="A3829" t="str">
        <f>"20190312164548026"</f>
        <v>20190312164548026</v>
      </c>
      <c r="B3829" t="str">
        <f>"1552380348015501"</f>
        <v>1552380348015501</v>
      </c>
      <c r="C3829" t="s">
        <v>40</v>
      </c>
      <c r="D3829">
        <v>4.5680579999999997</v>
      </c>
      <c r="E3829">
        <v>0.55471879999999996</v>
      </c>
      <c r="F3829" t="s">
        <v>41</v>
      </c>
      <c r="G3829">
        <v>-320.90769999999998</v>
      </c>
      <c r="H3829">
        <v>1.014929</v>
      </c>
      <c r="I3829">
        <v>141.48070000000001</v>
      </c>
      <c r="J3829">
        <v>-320.40769999999998</v>
      </c>
      <c r="K3829">
        <v>1.108962</v>
      </c>
      <c r="L3829">
        <v>141.35659999999999</v>
      </c>
      <c r="M3829">
        <v>-0.9999017</v>
      </c>
      <c r="N3829">
        <v>0</v>
      </c>
      <c r="O3829">
        <v>3.8509320000000001E-3</v>
      </c>
      <c r="P3829">
        <v>-0.99241159999999995</v>
      </c>
      <c r="Q3829">
        <v>0.11940389999999999</v>
      </c>
      <c r="R3829">
        <v>2.936428E-2</v>
      </c>
      <c r="S3829">
        <v>-3.0529480000000002</v>
      </c>
      <c r="T3829">
        <v>-0.36982680000000001</v>
      </c>
      <c r="U3829">
        <v>0.4910736</v>
      </c>
      <c r="V3829">
        <v>2.5548029999999999E-2</v>
      </c>
      <c r="W3829">
        <v>0.1327895</v>
      </c>
      <c r="X3829">
        <v>0.99081490000000005</v>
      </c>
      <c r="Y3829">
        <v>0.15393789999999999</v>
      </c>
      <c r="Z3829">
        <v>8.7693219999999995E-3</v>
      </c>
      <c r="AA3829">
        <v>0.98804159999999996</v>
      </c>
      <c r="AB3829">
        <v>28</v>
      </c>
      <c r="AC3829">
        <v>-0.5</v>
      </c>
      <c r="AD3829">
        <v>-9.4032999999999797E-2</v>
      </c>
      <c r="AE3829">
        <v>0.124100000000026</v>
      </c>
      <c r="AF3829">
        <v>0.11823429509854801</v>
      </c>
      <c r="AG3829">
        <v>-9.4032999999999797E-2</v>
      </c>
      <c r="AH3829">
        <v>0.48433783290071802</v>
      </c>
      <c r="AI3829">
        <v>100.68102807346099</v>
      </c>
      <c r="AJ3829">
        <v>76.281526108954793</v>
      </c>
      <c r="AK3829">
        <v>0.50735065783481004</v>
      </c>
      <c r="AL3829">
        <v>82.369182945639594</v>
      </c>
      <c r="AM3829">
        <v>88.522963252317695</v>
      </c>
      <c r="AN3829">
        <v>0.999999959604569</v>
      </c>
    </row>
    <row r="3830" spans="1:40" x14ac:dyDescent="0.25">
      <c r="A3830" t="str">
        <f>"20190312164548048"</f>
        <v>20190312164548048</v>
      </c>
      <c r="B3830" t="str">
        <f>"1552380348035020"</f>
        <v>1552380348035020</v>
      </c>
      <c r="C3830" t="s">
        <v>40</v>
      </c>
      <c r="D3830">
        <v>5.2165280000000003</v>
      </c>
      <c r="E3830">
        <v>0.55442279999999999</v>
      </c>
      <c r="F3830" t="s">
        <v>41</v>
      </c>
      <c r="G3830">
        <v>-321.16309999999999</v>
      </c>
      <c r="H3830">
        <v>1.0189349999999999</v>
      </c>
      <c r="I3830">
        <v>141.4778</v>
      </c>
      <c r="J3830">
        <v>-320.68900000000002</v>
      </c>
      <c r="K3830">
        <v>1.108973</v>
      </c>
      <c r="L3830">
        <v>141.35769999999999</v>
      </c>
      <c r="M3830">
        <v>-0.99990159999999995</v>
      </c>
      <c r="N3830">
        <v>0</v>
      </c>
      <c r="O3830">
        <v>3.8503890000000001E-3</v>
      </c>
      <c r="P3830">
        <v>-0.99232699999999996</v>
      </c>
      <c r="Q3830">
        <v>0.1200026</v>
      </c>
      <c r="R3830">
        <v>2.9778599999999999E-2</v>
      </c>
      <c r="S3830">
        <v>-3.0522770000000001</v>
      </c>
      <c r="T3830">
        <v>-0.3638673</v>
      </c>
      <c r="U3830">
        <v>0.48815920000000002</v>
      </c>
      <c r="V3830">
        <v>2.5963E-2</v>
      </c>
      <c r="W3830">
        <v>0.13338539999999999</v>
      </c>
      <c r="X3830">
        <v>0.9907241</v>
      </c>
      <c r="Y3830">
        <v>0.153091899999999</v>
      </c>
      <c r="Z3830">
        <v>8.5816280000000009E-3</v>
      </c>
      <c r="AA3830">
        <v>0.98817469999999996</v>
      </c>
      <c r="AB3830">
        <v>28</v>
      </c>
      <c r="AC3830">
        <v>-0.47409999999996399</v>
      </c>
      <c r="AD3830">
        <v>-9.0037999999999799E-2</v>
      </c>
      <c r="AE3830">
        <v>0.12010000000000701</v>
      </c>
      <c r="AF3830">
        <v>0.114396329431477</v>
      </c>
      <c r="AG3830">
        <v>-9.0037999999999799E-2</v>
      </c>
      <c r="AH3830">
        <v>0.45900235387633798</v>
      </c>
      <c r="AI3830">
        <v>100.776650279546</v>
      </c>
      <c r="AJ3830">
        <v>76.005383858470694</v>
      </c>
      <c r="AK3830">
        <v>0.48153558798432999</v>
      </c>
      <c r="AL3830">
        <v>82.334734192832201</v>
      </c>
      <c r="AM3830">
        <v>88.498845511379898</v>
      </c>
      <c r="AN3830">
        <v>0.99999999231148495</v>
      </c>
    </row>
    <row r="3831" spans="1:40" x14ac:dyDescent="0.25">
      <c r="A3831" t="str">
        <f>"20190312164548070"</f>
        <v>20190312164548070</v>
      </c>
      <c r="B3831" t="str">
        <f>"1552380348065277"</f>
        <v>1552380348065277</v>
      </c>
      <c r="C3831" t="s">
        <v>40</v>
      </c>
      <c r="D3831">
        <v>4.5208940000000002</v>
      </c>
      <c r="E3831">
        <v>0.55406369999999905</v>
      </c>
      <c r="F3831" t="s">
        <v>41</v>
      </c>
      <c r="G3831">
        <v>-321.41809999999998</v>
      </c>
      <c r="H3831">
        <v>1.0224679999999999</v>
      </c>
      <c r="I3831">
        <v>141.4743</v>
      </c>
      <c r="J3831">
        <v>-320.96449999999999</v>
      </c>
      <c r="K3831">
        <v>1.1089789999999999</v>
      </c>
      <c r="L3831">
        <v>141.3587</v>
      </c>
      <c r="M3831">
        <v>-0.9999017</v>
      </c>
      <c r="N3831">
        <v>0</v>
      </c>
      <c r="O3831">
        <v>3.8495500000000002E-3</v>
      </c>
      <c r="P3831">
        <v>-0.99229809999999996</v>
      </c>
      <c r="Q3831">
        <v>0.120266899999999</v>
      </c>
      <c r="R3831">
        <v>2.9673939999999999E-2</v>
      </c>
      <c r="S3831">
        <v>-3.0523380000000002</v>
      </c>
      <c r="T3831">
        <v>-0.36211989999999999</v>
      </c>
      <c r="U3831">
        <v>0.48747249999999998</v>
      </c>
      <c r="V3831">
        <v>2.5858800000000001E-2</v>
      </c>
      <c r="W3831">
        <v>0.13364770000000001</v>
      </c>
      <c r="X3831">
        <v>0.99069149999999995</v>
      </c>
      <c r="Y3831">
        <v>0.1528842</v>
      </c>
      <c r="Z3831">
        <v>8.5285759999999995E-3</v>
      </c>
      <c r="AA3831">
        <v>0.98820730000000001</v>
      </c>
      <c r="AB3831">
        <v>28</v>
      </c>
      <c r="AC3831">
        <v>-0.45359999999999401</v>
      </c>
      <c r="AD3831">
        <v>-8.6511000000000199E-2</v>
      </c>
      <c r="AE3831">
        <v>0.11559999999999999</v>
      </c>
      <c r="AF3831">
        <v>0.110092501142889</v>
      </c>
      <c r="AG3831">
        <v>-8.6511000000000199E-2</v>
      </c>
      <c r="AH3831">
        <v>0.43904561265398501</v>
      </c>
      <c r="AI3831">
        <v>100.820228357559</v>
      </c>
      <c r="AJ3831">
        <v>75.923096899103101</v>
      </c>
      <c r="AK3831">
        <v>0.46083138122268802</v>
      </c>
      <c r="AL3831">
        <v>82.319569924546499</v>
      </c>
      <c r="AM3831">
        <v>88.504818333228897</v>
      </c>
      <c r="AN3831">
        <v>1.0000000167124801</v>
      </c>
    </row>
    <row r="3832" spans="1:40" x14ac:dyDescent="0.25">
      <c r="A3832" t="str">
        <f>"20190312164548092"</f>
        <v>20190312164548092</v>
      </c>
      <c r="B3832" t="str">
        <f>"1552380348085777"</f>
        <v>1552380348085777</v>
      </c>
      <c r="C3832" t="s">
        <v>40</v>
      </c>
      <c r="D3832">
        <v>4.6940770000000001</v>
      </c>
      <c r="E3832">
        <v>0.55393899999999996</v>
      </c>
      <c r="F3832" t="s">
        <v>41</v>
      </c>
      <c r="G3832">
        <v>-321.91160000000002</v>
      </c>
      <c r="H3832">
        <v>0.99579830000000003</v>
      </c>
      <c r="I3832">
        <v>141.50890000000001</v>
      </c>
      <c r="J3832">
        <v>-321.25760000000002</v>
      </c>
      <c r="K3832">
        <v>1.108981</v>
      </c>
      <c r="L3832">
        <v>141.35990000000001</v>
      </c>
      <c r="M3832">
        <v>-0.9999017</v>
      </c>
      <c r="N3832">
        <v>0</v>
      </c>
      <c r="O3832">
        <v>3.8487159999999999E-3</v>
      </c>
      <c r="P3832">
        <v>-0.99219740000000001</v>
      </c>
      <c r="Q3832">
        <v>0.12101000000000001</v>
      </c>
      <c r="R3832">
        <v>3.0023290000000001E-2</v>
      </c>
      <c r="S3832">
        <v>-3.0530400000000002</v>
      </c>
      <c r="T3832">
        <v>-0.3648363</v>
      </c>
      <c r="U3832">
        <v>0.48408509999999999</v>
      </c>
      <c r="V3832">
        <v>2.6209320000000001E-2</v>
      </c>
      <c r="W3832">
        <v>0.1343877</v>
      </c>
      <c r="X3832">
        <v>0.99058219999999997</v>
      </c>
      <c r="Y3832">
        <v>0.15177280000000001</v>
      </c>
      <c r="Z3832">
        <v>8.5252450000000007E-3</v>
      </c>
      <c r="AA3832">
        <v>0.9883786</v>
      </c>
      <c r="AB3832">
        <v>28</v>
      </c>
      <c r="AC3832">
        <v>-0.65399999999999603</v>
      </c>
      <c r="AD3832">
        <v>-0.113182699999999</v>
      </c>
      <c r="AE3832">
        <v>0.14899999999999999</v>
      </c>
      <c r="AF3832">
        <v>0.142426353281257</v>
      </c>
      <c r="AG3832">
        <v>-0.113182699999999</v>
      </c>
      <c r="AH3832">
        <v>0.63644733210800597</v>
      </c>
      <c r="AI3832">
        <v>99.845214820435999</v>
      </c>
      <c r="AJ3832">
        <v>77.385980525572094</v>
      </c>
      <c r="AK3832">
        <v>0.66193715429464095</v>
      </c>
      <c r="AL3832">
        <v>82.276785253240703</v>
      </c>
      <c r="AM3832">
        <v>88.484393169935998</v>
      </c>
      <c r="AN3832">
        <v>1.00000003866149</v>
      </c>
    </row>
    <row r="3833" spans="1:40" x14ac:dyDescent="0.25">
      <c r="A3833" t="str">
        <f>"20190312164548106"</f>
        <v>20190312164548106</v>
      </c>
      <c r="B3833" t="str">
        <f>"1552380348095533"</f>
        <v>1552380348095533</v>
      </c>
      <c r="C3833" t="s">
        <v>40</v>
      </c>
      <c r="D3833">
        <v>4.5099479999999996</v>
      </c>
      <c r="E3833">
        <v>0.5539212</v>
      </c>
      <c r="F3833" t="s">
        <v>41</v>
      </c>
      <c r="G3833">
        <v>-322.16629999999998</v>
      </c>
      <c r="H3833">
        <v>1.0003200000000001</v>
      </c>
      <c r="I3833">
        <v>141.50409999999999</v>
      </c>
      <c r="J3833">
        <v>-321.42360000000002</v>
      </c>
      <c r="K3833">
        <v>1.108984</v>
      </c>
      <c r="L3833">
        <v>141.3605</v>
      </c>
      <c r="M3833">
        <v>-0.9999017</v>
      </c>
      <c r="N3833">
        <v>0</v>
      </c>
      <c r="O3833">
        <v>3.8483599999999999E-3</v>
      </c>
      <c r="P3833">
        <v>-0.99212690000000003</v>
      </c>
      <c r="Q3833">
        <v>0.1215918</v>
      </c>
      <c r="R3833">
        <v>2.9996330000000002E-2</v>
      </c>
      <c r="S3833">
        <v>-3.053528</v>
      </c>
      <c r="T3833">
        <v>-0.36515360000000002</v>
      </c>
      <c r="U3833">
        <v>0.4835663</v>
      </c>
      <c r="V3833">
        <v>2.6182750000000001E-2</v>
      </c>
      <c r="W3833">
        <v>0.13496739999999999</v>
      </c>
      <c r="X3833">
        <v>0.99050400000000005</v>
      </c>
      <c r="Y3833">
        <v>0.15158469999999999</v>
      </c>
      <c r="Z3833">
        <v>8.5202850000000007E-3</v>
      </c>
      <c r="AA3833">
        <v>0.98840760000000005</v>
      </c>
      <c r="AB3833">
        <v>28</v>
      </c>
      <c r="AC3833">
        <v>-0.74269999999995595</v>
      </c>
      <c r="AD3833">
        <v>-0.108663999999999</v>
      </c>
      <c r="AE3833">
        <v>0.14359999999999201</v>
      </c>
      <c r="AF3833">
        <v>0.137895031474945</v>
      </c>
      <c r="AG3833">
        <v>-0.108663999999999</v>
      </c>
      <c r="AH3833">
        <v>0.72822032538222603</v>
      </c>
      <c r="AI3833">
        <v>98.340891819727005</v>
      </c>
      <c r="AJ3833">
        <v>79.277487156905295</v>
      </c>
      <c r="AK3833">
        <v>0.74908460597002802</v>
      </c>
      <c r="AL3833">
        <v>82.243264853312198</v>
      </c>
      <c r="AM3833">
        <v>88.485809438448399</v>
      </c>
      <c r="AN3833">
        <v>0.99999995473815995</v>
      </c>
    </row>
    <row r="3834" spans="1:40" x14ac:dyDescent="0.25">
      <c r="A3834" t="str">
        <f>"20190312164548118"</f>
        <v>20190312164548118</v>
      </c>
      <c r="B3834" t="str">
        <f>"1552380348115067"</f>
        <v>1552380348115067</v>
      </c>
      <c r="C3834" t="s">
        <v>40</v>
      </c>
      <c r="D3834">
        <v>4.3800410000000003</v>
      </c>
      <c r="E3834">
        <v>0.55332060000000005</v>
      </c>
      <c r="F3834" t="s">
        <v>41</v>
      </c>
      <c r="G3834">
        <v>-322.17509999999999</v>
      </c>
      <c r="H3834">
        <v>1.019164</v>
      </c>
      <c r="I3834">
        <v>141.47980000000001</v>
      </c>
      <c r="J3834">
        <v>-321.57990000000001</v>
      </c>
      <c r="K3834">
        <v>1.108986</v>
      </c>
      <c r="L3834">
        <v>141.36109999999999</v>
      </c>
      <c r="M3834">
        <v>-0.99990159999999995</v>
      </c>
      <c r="N3834">
        <v>0</v>
      </c>
      <c r="O3834">
        <v>3.8480659999999998E-3</v>
      </c>
      <c r="P3834">
        <v>-0.99209639999999999</v>
      </c>
      <c r="Q3834">
        <v>0.1218461</v>
      </c>
      <c r="R3834">
        <v>2.9969880000000001E-2</v>
      </c>
      <c r="S3834">
        <v>-3.0539550000000002</v>
      </c>
      <c r="T3834">
        <v>-0.3650757</v>
      </c>
      <c r="U3834">
        <v>0.48320010000000002</v>
      </c>
      <c r="V3834">
        <v>2.6156700000000001E-2</v>
      </c>
      <c r="W3834">
        <v>0.13522110000000001</v>
      </c>
      <c r="X3834">
        <v>0.99047010000000002</v>
      </c>
      <c r="Y3834">
        <v>0.15144959999999999</v>
      </c>
      <c r="Z3834">
        <v>8.5094279999999994E-3</v>
      </c>
      <c r="AA3834">
        <v>0.98842839999999998</v>
      </c>
      <c r="AB3834">
        <v>28</v>
      </c>
      <c r="AC3834">
        <v>-0.59519999999997697</v>
      </c>
      <c r="AD3834">
        <v>-8.9821999999999999E-2</v>
      </c>
      <c r="AE3834">
        <v>0.118700000000018</v>
      </c>
      <c r="AF3834">
        <v>0.11391350792689101</v>
      </c>
      <c r="AG3834">
        <v>-8.9821999999999999E-2</v>
      </c>
      <c r="AH3834">
        <v>0.582885518316828</v>
      </c>
      <c r="AI3834">
        <v>98.600114137744796</v>
      </c>
      <c r="AJ3834">
        <v>78.942040149204601</v>
      </c>
      <c r="AK3834">
        <v>0.60066613558256099</v>
      </c>
      <c r="AL3834">
        <v>82.2285945367707</v>
      </c>
      <c r="AM3834">
        <v>88.4872635022042</v>
      </c>
      <c r="AN3834">
        <v>0.99999996891705401</v>
      </c>
    </row>
    <row r="3835" spans="1:40" x14ac:dyDescent="0.25">
      <c r="A3835" t="str">
        <f>"20190312164548132"</f>
        <v>20190312164548132</v>
      </c>
      <c r="B3835" t="str">
        <f>"1552380348125790"</f>
        <v>1552380348125790</v>
      </c>
      <c r="C3835" t="s">
        <v>40</v>
      </c>
      <c r="D3835">
        <v>4.6517589999999904</v>
      </c>
      <c r="E3835">
        <v>0.55268930000000005</v>
      </c>
      <c r="F3835" t="s">
        <v>41</v>
      </c>
      <c r="G3835">
        <v>-322.42180000000002</v>
      </c>
      <c r="H3835">
        <v>1.007117</v>
      </c>
      <c r="I3835">
        <v>141.49299999999999</v>
      </c>
      <c r="J3835">
        <v>-321.75920000000002</v>
      </c>
      <c r="K3835">
        <v>1.108986</v>
      </c>
      <c r="L3835">
        <v>141.36179999999999</v>
      </c>
      <c r="M3835">
        <v>-0.9999017</v>
      </c>
      <c r="N3835">
        <v>0</v>
      </c>
      <c r="O3835">
        <v>3.847722E-3</v>
      </c>
      <c r="P3835">
        <v>-0.99204139999999996</v>
      </c>
      <c r="Q3835">
        <v>0.12231450000000001</v>
      </c>
      <c r="R3835">
        <v>2.9886179999999998E-2</v>
      </c>
      <c r="S3835">
        <v>-3.0548709999999999</v>
      </c>
      <c r="T3835">
        <v>-0.36967290000000003</v>
      </c>
      <c r="U3835">
        <v>0.47773739999999998</v>
      </c>
      <c r="V3835">
        <v>2.6073679999999998E-2</v>
      </c>
      <c r="W3835">
        <v>0.135686</v>
      </c>
      <c r="X3835">
        <v>0.99040870000000003</v>
      </c>
      <c r="Y3835">
        <v>0.1496662</v>
      </c>
      <c r="Z3835">
        <v>8.5076409999999998E-3</v>
      </c>
      <c r="AA3835">
        <v>0.98870000000000002</v>
      </c>
      <c r="AB3835">
        <v>28</v>
      </c>
      <c r="AC3835">
        <v>-0.66259999999999697</v>
      </c>
      <c r="AD3835">
        <v>-0.101869</v>
      </c>
      <c r="AE3835">
        <v>0.13120000000000601</v>
      </c>
      <c r="AF3835">
        <v>0.12578828664879699</v>
      </c>
      <c r="AG3835">
        <v>-0.101869</v>
      </c>
      <c r="AH3835">
        <v>0.64835339506344503</v>
      </c>
      <c r="AI3835">
        <v>98.768398793547604</v>
      </c>
      <c r="AJ3835">
        <v>79.020340106209304</v>
      </c>
      <c r="AK3835">
        <v>0.66825302925563701</v>
      </c>
      <c r="AL3835">
        <v>82.201709882988098</v>
      </c>
      <c r="AM3835">
        <v>88.491969187678393</v>
      </c>
      <c r="AN3835">
        <v>0.99999996021021498</v>
      </c>
    </row>
    <row r="3836" spans="1:40" x14ac:dyDescent="0.25">
      <c r="A3836" t="str">
        <f>"20190312164548147"</f>
        <v>20190312164548147</v>
      </c>
      <c r="B3836" t="str">
        <f>"1552380348135549"</f>
        <v>1552380348135549</v>
      </c>
      <c r="C3836" t="s">
        <v>40</v>
      </c>
      <c r="D3836">
        <v>4.5013100000000001</v>
      </c>
      <c r="E3836">
        <v>0.55280019999999996</v>
      </c>
      <c r="F3836" t="s">
        <v>41</v>
      </c>
      <c r="G3836">
        <v>-322.67</v>
      </c>
      <c r="H3836">
        <v>0.99833819999999995</v>
      </c>
      <c r="I3836">
        <v>141.50280000000001</v>
      </c>
      <c r="J3836">
        <v>-321.95139999999998</v>
      </c>
      <c r="K3836">
        <v>1.108981</v>
      </c>
      <c r="L3836">
        <v>141.36259999999999</v>
      </c>
      <c r="M3836">
        <v>-0.99990179999999995</v>
      </c>
      <c r="N3836">
        <v>0</v>
      </c>
      <c r="O3836">
        <v>3.8474120000000001E-3</v>
      </c>
      <c r="P3836">
        <v>-0.99198109999999995</v>
      </c>
      <c r="Q3836">
        <v>0.12278890000000001</v>
      </c>
      <c r="R3836">
        <v>2.9947419999999999E-2</v>
      </c>
      <c r="S3836">
        <v>-3.055634</v>
      </c>
      <c r="T3836">
        <v>-0.37131229999999998</v>
      </c>
      <c r="U3836">
        <v>0.47213749999999999</v>
      </c>
      <c r="V3836">
        <v>2.6135510000000001E-2</v>
      </c>
      <c r="W3836">
        <v>0.1361523</v>
      </c>
      <c r="X3836">
        <v>0.99034310000000003</v>
      </c>
      <c r="Y3836">
        <v>0.147863299999999</v>
      </c>
      <c r="Z3836">
        <v>8.4357189999999995E-3</v>
      </c>
      <c r="AA3836">
        <v>0.98897179999999996</v>
      </c>
      <c r="AB3836">
        <v>28</v>
      </c>
      <c r="AC3836">
        <v>-0.71860000000003699</v>
      </c>
      <c r="AD3836">
        <v>-0.1106428</v>
      </c>
      <c r="AE3836">
        <v>0.140200000000021</v>
      </c>
      <c r="AF3836">
        <v>0.134365398553284</v>
      </c>
      <c r="AG3836">
        <v>-0.1106428</v>
      </c>
      <c r="AH3836">
        <v>0.703077640307333</v>
      </c>
      <c r="AI3836">
        <v>98.786775020919606</v>
      </c>
      <c r="AJ3836">
        <v>79.180644877733499</v>
      </c>
      <c r="AK3836">
        <v>0.724302462939587</v>
      </c>
      <c r="AL3836">
        <v>82.174742794287994</v>
      </c>
      <c r="AM3836">
        <v>88.488294683884703</v>
      </c>
      <c r="AN3836">
        <v>0.99999998469792895</v>
      </c>
    </row>
    <row r="3837" spans="1:40" x14ac:dyDescent="0.25">
      <c r="A3837" t="str">
        <f>"20190312164548161"</f>
        <v>20190312164548161</v>
      </c>
      <c r="B3837" t="str">
        <f>"1552380348156045"</f>
        <v>1552380348156045</v>
      </c>
      <c r="C3837" t="s">
        <v>40</v>
      </c>
      <c r="D3837">
        <v>4.4498939999999996</v>
      </c>
      <c r="E3837">
        <v>0.55293149999999902</v>
      </c>
      <c r="F3837" t="s">
        <v>41</v>
      </c>
      <c r="G3837">
        <v>-322.68029999999999</v>
      </c>
      <c r="H3837">
        <v>1.020322</v>
      </c>
      <c r="I3837">
        <v>141.47579999999999</v>
      </c>
      <c r="J3837">
        <v>-322.12670000000003</v>
      </c>
      <c r="K3837">
        <v>1.1089789999999999</v>
      </c>
      <c r="L3837">
        <v>141.36330000000001</v>
      </c>
      <c r="M3837">
        <v>-0.99990190000000001</v>
      </c>
      <c r="N3837">
        <v>0</v>
      </c>
      <c r="O3837">
        <v>3.8471680000000002E-3</v>
      </c>
      <c r="P3837">
        <v>-0.99195650000000002</v>
      </c>
      <c r="Q3837">
        <v>0.1229794</v>
      </c>
      <c r="R3837">
        <v>2.9977070000000001E-2</v>
      </c>
      <c r="S3837">
        <v>-3.0559690000000002</v>
      </c>
      <c r="T3837">
        <v>-0.3718109</v>
      </c>
      <c r="U3837">
        <v>0.47370909999999999</v>
      </c>
      <c r="V3837">
        <v>2.6165399999999998E-2</v>
      </c>
      <c r="W3837">
        <v>0.13633419999999999</v>
      </c>
      <c r="X3837">
        <v>0.99031729999999996</v>
      </c>
      <c r="Y3837">
        <v>0.148338</v>
      </c>
      <c r="Z3837">
        <v>8.4743600000000002E-3</v>
      </c>
      <c r="AA3837">
        <v>0.98890040000000001</v>
      </c>
      <c r="AB3837">
        <v>28</v>
      </c>
      <c r="AC3837">
        <v>-0.55359999999996001</v>
      </c>
      <c r="AD3837">
        <v>-8.8657000000000194E-2</v>
      </c>
      <c r="AE3837">
        <v>0.112499999999982</v>
      </c>
      <c r="AF3837">
        <v>0.107716162795047</v>
      </c>
      <c r="AG3837">
        <v>-8.8657000000000194E-2</v>
      </c>
      <c r="AH3837">
        <v>0.54071118209636704</v>
      </c>
      <c r="AI3837">
        <v>99.135184231797794</v>
      </c>
      <c r="AJ3837">
        <v>78.733485976988206</v>
      </c>
      <c r="AK3837">
        <v>0.55841867610274198</v>
      </c>
      <c r="AL3837">
        <v>82.164222703859394</v>
      </c>
      <c r="AM3837">
        <v>88.486527208519107</v>
      </c>
      <c r="AN3837">
        <v>0.99999999846304399</v>
      </c>
    </row>
    <row r="3838" spans="1:40" x14ac:dyDescent="0.25">
      <c r="A3838" t="str">
        <f>"20190312164548174"</f>
        <v>20190312164548174</v>
      </c>
      <c r="B3838" t="str">
        <f>"1552380348165805"</f>
        <v>1552380348165805</v>
      </c>
      <c r="C3838" t="s">
        <v>40</v>
      </c>
      <c r="D3838">
        <v>4.467206</v>
      </c>
      <c r="E3838">
        <v>0.55246980000000001</v>
      </c>
      <c r="F3838" t="s">
        <v>41</v>
      </c>
      <c r="G3838">
        <v>-322.928</v>
      </c>
      <c r="H3838">
        <v>1.0112159999999999</v>
      </c>
      <c r="I3838">
        <v>141.4879</v>
      </c>
      <c r="J3838">
        <v>-322.28519999999997</v>
      </c>
      <c r="K3838">
        <v>1.1089789999999999</v>
      </c>
      <c r="L3838">
        <v>141.3638</v>
      </c>
      <c r="M3838">
        <v>-0.99990219999999996</v>
      </c>
      <c r="N3838">
        <v>0</v>
      </c>
      <c r="O3838">
        <v>3.8468899999999999E-3</v>
      </c>
      <c r="P3838">
        <v>-0.99198540000000002</v>
      </c>
      <c r="Q3838">
        <v>0.12282899999999999</v>
      </c>
      <c r="R3838">
        <v>2.9637730000000001E-2</v>
      </c>
      <c r="S3838">
        <v>-3.0561829999999999</v>
      </c>
      <c r="T3838">
        <v>-0.37288070000000001</v>
      </c>
      <c r="U3838">
        <v>0.4751282</v>
      </c>
      <c r="V3838">
        <v>2.5826229999999999E-2</v>
      </c>
      <c r="W3838">
        <v>0.13617309999999999</v>
      </c>
      <c r="X3838">
        <v>0.99034840000000002</v>
      </c>
      <c r="Y3838">
        <v>0.14876729999999999</v>
      </c>
      <c r="Z3838">
        <v>8.5236610000000001E-3</v>
      </c>
      <c r="AA3838">
        <v>0.98883549999999998</v>
      </c>
      <c r="AB3838">
        <v>28</v>
      </c>
      <c r="AC3838">
        <v>-0.64280000000002202</v>
      </c>
      <c r="AD3838">
        <v>-9.7763000000000197E-2</v>
      </c>
      <c r="AE3838">
        <v>0.124099999999998</v>
      </c>
      <c r="AF3838">
        <v>0.11897298291951799</v>
      </c>
      <c r="AG3838">
        <v>-9.7763000000000197E-2</v>
      </c>
      <c r="AH3838">
        <v>0.62924063639179995</v>
      </c>
      <c r="AI3838">
        <v>98.679863570470403</v>
      </c>
      <c r="AJ3838">
        <v>79.293254280193693</v>
      </c>
      <c r="AK3838">
        <v>0.64780857768365896</v>
      </c>
      <c r="AL3838">
        <v>82.1735401978532</v>
      </c>
      <c r="AM3838">
        <v>88.506183600126207</v>
      </c>
      <c r="AN3838">
        <v>1.0000000303510901</v>
      </c>
    </row>
    <row r="3839" spans="1:40" x14ac:dyDescent="0.25">
      <c r="A3839" t="str">
        <f>"20190312164548194"</f>
        <v>20190312164548194</v>
      </c>
      <c r="B3839" t="str">
        <f>"1552380348185328"</f>
        <v>1552380348185328</v>
      </c>
      <c r="C3839" t="s">
        <v>40</v>
      </c>
      <c r="D3839">
        <v>4.4924140000000001</v>
      </c>
      <c r="E3839">
        <v>0.55279449999999997</v>
      </c>
      <c r="F3839" t="s">
        <v>41</v>
      </c>
      <c r="G3839">
        <v>-323.17399999999998</v>
      </c>
      <c r="H3839">
        <v>0.99871279999999996</v>
      </c>
      <c r="I3839">
        <v>141.5009</v>
      </c>
      <c r="J3839">
        <v>-322.5301</v>
      </c>
      <c r="K3839">
        <v>1.108975</v>
      </c>
      <c r="L3839">
        <v>141.3648</v>
      </c>
      <c r="M3839">
        <v>-0.99990239999999997</v>
      </c>
      <c r="N3839">
        <v>0</v>
      </c>
      <c r="O3839">
        <v>3.8467409999999999E-3</v>
      </c>
      <c r="P3839">
        <v>-0.99198090000000005</v>
      </c>
      <c r="Q3839">
        <v>0.12294430000000001</v>
      </c>
      <c r="R3839">
        <v>2.930814E-2</v>
      </c>
      <c r="S3839">
        <v>-3.0571899999999999</v>
      </c>
      <c r="T3839">
        <v>-0.37934319999999999</v>
      </c>
      <c r="U3839">
        <v>0.47056579999999898</v>
      </c>
      <c r="V3839">
        <v>2.5496919999999999E-2</v>
      </c>
      <c r="W3839">
        <v>0.13625719999999999</v>
      </c>
      <c r="X3839">
        <v>0.99034540000000004</v>
      </c>
      <c r="Y3839">
        <v>0.14725179999999999</v>
      </c>
      <c r="Z3839">
        <v>8.5753579999999999E-3</v>
      </c>
      <c r="AA3839">
        <v>0.98906179999999999</v>
      </c>
      <c r="AB3839">
        <v>28</v>
      </c>
      <c r="AC3839">
        <v>-0.64390000000003</v>
      </c>
      <c r="AD3839">
        <v>-0.11026219999999901</v>
      </c>
      <c r="AE3839">
        <v>0.136099999999999</v>
      </c>
      <c r="AF3839">
        <v>0.12997356049735501</v>
      </c>
      <c r="AG3839">
        <v>-0.11026219999999901</v>
      </c>
      <c r="AH3839">
        <v>0.62682418460290301</v>
      </c>
      <c r="AI3839">
        <v>99.772863866443004</v>
      </c>
      <c r="AJ3839">
        <v>78.2855816502572</v>
      </c>
      <c r="AK3839">
        <v>0.64958404966585603</v>
      </c>
      <c r="AL3839">
        <v>82.168676556044701</v>
      </c>
      <c r="AM3839">
        <v>88.525218306288593</v>
      </c>
      <c r="AN3839">
        <v>1.0000000643912399</v>
      </c>
    </row>
    <row r="3840" spans="1:40" x14ac:dyDescent="0.25">
      <c r="A3840" t="str">
        <f>"20190312164548206"</f>
        <v>20190312164548206</v>
      </c>
      <c r="B3840" t="str">
        <f>"1552380348195085"</f>
        <v>1552380348195085</v>
      </c>
      <c r="C3840" t="s">
        <v>40</v>
      </c>
      <c r="D3840">
        <v>4.9862489999999999</v>
      </c>
      <c r="E3840">
        <v>0.55320530000000001</v>
      </c>
      <c r="F3840" t="s">
        <v>41</v>
      </c>
      <c r="G3840">
        <v>-323.42189999999999</v>
      </c>
      <c r="H3840">
        <v>0.99043619999999999</v>
      </c>
      <c r="I3840">
        <v>141.50229999999999</v>
      </c>
      <c r="J3840">
        <v>-322.69400000000002</v>
      </c>
      <c r="K3840">
        <v>1.1089690000000001</v>
      </c>
      <c r="L3840">
        <v>141.36539999999999</v>
      </c>
      <c r="M3840">
        <v>-0.99990279999999998</v>
      </c>
      <c r="N3840">
        <v>0</v>
      </c>
      <c r="O3840">
        <v>3.846815E-3</v>
      </c>
      <c r="P3840">
        <v>-0.99198589999999998</v>
      </c>
      <c r="Q3840">
        <v>0.1229147</v>
      </c>
      <c r="R3840">
        <v>2.926076E-2</v>
      </c>
      <c r="S3840">
        <v>-3.0607600000000001</v>
      </c>
      <c r="T3840">
        <v>-0.40685949999999999</v>
      </c>
      <c r="U3840">
        <v>0.47142030000000001</v>
      </c>
      <c r="V3840">
        <v>2.5449349999999999E-2</v>
      </c>
      <c r="W3840">
        <v>0.1361995</v>
      </c>
      <c r="X3840">
        <v>0.99035450000000003</v>
      </c>
      <c r="Y3840">
        <v>0.1471906</v>
      </c>
      <c r="Z3840">
        <v>9.1774830000000002E-3</v>
      </c>
      <c r="AA3840">
        <v>0.98906559999999999</v>
      </c>
      <c r="AB3840">
        <v>28</v>
      </c>
      <c r="AC3840">
        <v>-0.72789999999997601</v>
      </c>
      <c r="AD3840">
        <v>-0.11853279999999999</v>
      </c>
      <c r="AE3840">
        <v>0.136899999999997</v>
      </c>
      <c r="AF3840">
        <v>0.13074992109092701</v>
      </c>
      <c r="AG3840">
        <v>-0.11853279999999999</v>
      </c>
      <c r="AH3840">
        <v>0.71023111789686</v>
      </c>
      <c r="AI3840">
        <v>99.321137096250197</v>
      </c>
      <c r="AJ3840">
        <v>79.568932684586699</v>
      </c>
      <c r="AK3840">
        <v>0.73182908344103603</v>
      </c>
      <c r="AL3840">
        <v>82.172013160105493</v>
      </c>
      <c r="AM3840">
        <v>88.527982137653098</v>
      </c>
      <c r="AN3840">
        <v>1.00000000444296</v>
      </c>
    </row>
    <row r="3841" spans="1:40" x14ac:dyDescent="0.25">
      <c r="A3841" t="str">
        <f>"20190312164548222"</f>
        <v>20190312164548222</v>
      </c>
      <c r="B3841" t="str">
        <f>"1552380348215581"</f>
        <v>1552380348215581</v>
      </c>
      <c r="C3841" t="s">
        <v>40</v>
      </c>
      <c r="D3841">
        <v>4.4838909999999998</v>
      </c>
      <c r="E3841">
        <v>0.55325579999999996</v>
      </c>
      <c r="F3841" t="s">
        <v>41</v>
      </c>
      <c r="G3841">
        <v>-323.43079999999998</v>
      </c>
      <c r="H3841">
        <v>1.0095289999999999</v>
      </c>
      <c r="I3841">
        <v>141.47980000000001</v>
      </c>
      <c r="J3841">
        <v>-322.89260000000002</v>
      </c>
      <c r="K3841">
        <v>1.108962</v>
      </c>
      <c r="L3841">
        <v>141.36619999999999</v>
      </c>
      <c r="M3841">
        <v>-0.9999034</v>
      </c>
      <c r="N3841">
        <v>0</v>
      </c>
      <c r="O3841">
        <v>3.8467190000000002E-3</v>
      </c>
      <c r="P3841">
        <v>-0.99198980000000003</v>
      </c>
      <c r="Q3841">
        <v>0.12296889999999901</v>
      </c>
      <c r="R3841">
        <v>2.8900439999999999E-2</v>
      </c>
      <c r="S3841">
        <v>-3.0614319999999999</v>
      </c>
      <c r="T3841">
        <v>-0.41316799999999998</v>
      </c>
      <c r="U3841">
        <v>0.47428890000000001</v>
      </c>
      <c r="V3841">
        <v>2.5089130000000001E-2</v>
      </c>
      <c r="W3841">
        <v>0.13621510000000001</v>
      </c>
      <c r="X3841">
        <v>0.99036150000000001</v>
      </c>
      <c r="Y3841">
        <v>0.14801829999999999</v>
      </c>
      <c r="Z3841">
        <v>9.3711690000000004E-3</v>
      </c>
      <c r="AA3841">
        <v>0.98894020000000005</v>
      </c>
      <c r="AB3841">
        <v>28</v>
      </c>
      <c r="AC3841">
        <v>-0.53819999999996004</v>
      </c>
      <c r="AD3841">
        <v>-9.9432999999999799E-2</v>
      </c>
      <c r="AE3841">
        <v>0.11360000000001901</v>
      </c>
      <c r="AF3841">
        <v>0.107999557846521</v>
      </c>
      <c r="AG3841">
        <v>-9.9432999999999799E-2</v>
      </c>
      <c r="AH3841">
        <v>0.52158902535809804</v>
      </c>
      <c r="AI3841">
        <v>100.57398862235399</v>
      </c>
      <c r="AJ3841">
        <v>78.301720763908705</v>
      </c>
      <c r="AK3841">
        <v>0.541854166135183</v>
      </c>
      <c r="AL3841">
        <v>82.171110581900606</v>
      </c>
      <c r="AM3841">
        <v>88.5488189303464</v>
      </c>
      <c r="AN3841">
        <v>0.99999995929720698</v>
      </c>
    </row>
    <row r="3842" spans="1:40" x14ac:dyDescent="0.25">
      <c r="A3842" t="str">
        <f>"20190312164548238"</f>
        <v>20190312164548238</v>
      </c>
      <c r="B3842" t="str">
        <f>"1552380348225343"</f>
        <v>1552380348225343</v>
      </c>
      <c r="C3842" t="s">
        <v>40</v>
      </c>
      <c r="D3842">
        <v>4.4913480000000003</v>
      </c>
      <c r="E3842">
        <v>0.55321569999999998</v>
      </c>
      <c r="F3842" t="s">
        <v>41</v>
      </c>
      <c r="G3842">
        <v>-323.67919999999998</v>
      </c>
      <c r="H3842">
        <v>1.0025999999999999</v>
      </c>
      <c r="I3842">
        <v>141.48820000000001</v>
      </c>
      <c r="J3842">
        <v>-323.07769999999999</v>
      </c>
      <c r="K3842">
        <v>1.1089580000000001</v>
      </c>
      <c r="L3842">
        <v>141.36689999999999</v>
      </c>
      <c r="M3842">
        <v>-0.99990380000000001</v>
      </c>
      <c r="N3842">
        <v>0</v>
      </c>
      <c r="O3842">
        <v>3.8467969999999999E-3</v>
      </c>
      <c r="P3842">
        <v>-0.9920139</v>
      </c>
      <c r="Q3842">
        <v>0.12284299999999999</v>
      </c>
      <c r="R3842">
        <v>2.8603130000000001E-2</v>
      </c>
      <c r="S3842">
        <v>-3.0617679999999998</v>
      </c>
      <c r="T3842">
        <v>-0.41414519999999999</v>
      </c>
      <c r="U3842">
        <v>0.47331240000000002</v>
      </c>
      <c r="V3842">
        <v>2.4791609999999999E-2</v>
      </c>
      <c r="W3842">
        <v>0.13605159999999999</v>
      </c>
      <c r="X3842">
        <v>0.99039149999999998</v>
      </c>
      <c r="Y3842">
        <v>0.14769090000000001</v>
      </c>
      <c r="Z3842">
        <v>9.3704280000000001E-3</v>
      </c>
      <c r="AA3842">
        <v>0.98898920000000001</v>
      </c>
      <c r="AB3842">
        <v>28</v>
      </c>
      <c r="AC3842">
        <v>-0.60149999999998705</v>
      </c>
      <c r="AD3842">
        <v>-0.106357999999999</v>
      </c>
      <c r="AE3842">
        <v>0.121300000000019</v>
      </c>
      <c r="AF3842">
        <v>0.11551453610297301</v>
      </c>
      <c r="AG3842">
        <v>-0.106357999999999</v>
      </c>
      <c r="AH3842">
        <v>0.58440439325233395</v>
      </c>
      <c r="AI3842">
        <v>100.12289692994599</v>
      </c>
      <c r="AJ3842">
        <v>78.818931046268304</v>
      </c>
      <c r="AK3842">
        <v>0.60513149568313995</v>
      </c>
      <c r="AL3842">
        <v>82.180566733136999</v>
      </c>
      <c r="AM3842">
        <v>88.566063983170594</v>
      </c>
      <c r="AN3842">
        <v>0.99999999253060101</v>
      </c>
    </row>
    <row r="3843" spans="1:40" x14ac:dyDescent="0.25">
      <c r="A3843" t="str">
        <f>"20190312164548260"</f>
        <v>20190312164548260</v>
      </c>
      <c r="B3843" t="str">
        <f>"1552380348255597"</f>
        <v>1552380348255597</v>
      </c>
      <c r="C3843" t="s">
        <v>40</v>
      </c>
      <c r="D3843">
        <v>5.2629809999999999</v>
      </c>
      <c r="E3843">
        <v>0.55332490000000001</v>
      </c>
      <c r="F3843" t="s">
        <v>41</v>
      </c>
      <c r="G3843">
        <v>-323.92680000000001</v>
      </c>
      <c r="H3843">
        <v>0.99398089999999995</v>
      </c>
      <c r="I3843">
        <v>141.49780000000001</v>
      </c>
      <c r="J3843">
        <v>-323.36489999999998</v>
      </c>
      <c r="K3843">
        <v>1.108948</v>
      </c>
      <c r="L3843">
        <v>141.36799999999999</v>
      </c>
      <c r="M3843">
        <v>-0.99990480000000004</v>
      </c>
      <c r="N3843">
        <v>0</v>
      </c>
      <c r="O3843">
        <v>3.8467520000000002E-3</v>
      </c>
      <c r="P3843">
        <v>-0.99197080000000004</v>
      </c>
      <c r="Q3843">
        <v>0.12329710000000001</v>
      </c>
      <c r="R3843">
        <v>2.814471E-2</v>
      </c>
      <c r="S3843">
        <v>-3.0618590000000001</v>
      </c>
      <c r="T3843">
        <v>-0.41461300000000001</v>
      </c>
      <c r="U3843">
        <v>0.4721069</v>
      </c>
      <c r="V3843">
        <v>2.43336E-2</v>
      </c>
      <c r="W3843">
        <v>0.13644039999999999</v>
      </c>
      <c r="X3843">
        <v>0.99034940000000005</v>
      </c>
      <c r="Y3843">
        <v>0.14730670000000001</v>
      </c>
      <c r="Z3843">
        <v>9.3551810000000006E-3</v>
      </c>
      <c r="AA3843">
        <v>0.9890466</v>
      </c>
      <c r="AB3843">
        <v>28</v>
      </c>
      <c r="AC3843">
        <v>-0.56190000000003604</v>
      </c>
      <c r="AD3843">
        <v>-0.1149671</v>
      </c>
      <c r="AE3843">
        <v>0.12980000000001701</v>
      </c>
      <c r="AF3843">
        <v>0.122758665061421</v>
      </c>
      <c r="AG3843">
        <v>-0.1149671</v>
      </c>
      <c r="AH3843">
        <v>0.54089871037603898</v>
      </c>
      <c r="AI3843">
        <v>101.710278259174</v>
      </c>
      <c r="AJ3843">
        <v>77.213146341987397</v>
      </c>
      <c r="AK3843">
        <v>0.56644376491981496</v>
      </c>
      <c r="AL3843">
        <v>82.158080670370495</v>
      </c>
      <c r="AM3843">
        <v>88.592484520688501</v>
      </c>
      <c r="AN3843">
        <v>1.00000002046073</v>
      </c>
    </row>
    <row r="3844" spans="1:40" x14ac:dyDescent="0.25">
      <c r="A3844" t="str">
        <f>"20190312164548273"</f>
        <v>20190312164548273</v>
      </c>
      <c r="B3844" t="str">
        <f>"1552380348265357"</f>
        <v>1552380348265357</v>
      </c>
      <c r="C3844" t="s">
        <v>40</v>
      </c>
      <c r="D3844">
        <v>4.5084669999999996</v>
      </c>
      <c r="E3844">
        <v>0.55337239999999999</v>
      </c>
      <c r="F3844" t="s">
        <v>41</v>
      </c>
      <c r="G3844">
        <v>-324.18060000000003</v>
      </c>
      <c r="H3844">
        <v>0.99898149999999997</v>
      </c>
      <c r="I3844">
        <v>141.494</v>
      </c>
      <c r="J3844">
        <v>-323.53469999999999</v>
      </c>
      <c r="K3844">
        <v>1.108941</v>
      </c>
      <c r="L3844">
        <v>141.36859999999999</v>
      </c>
      <c r="M3844">
        <v>-0.9999053</v>
      </c>
      <c r="N3844">
        <v>0</v>
      </c>
      <c r="O3844">
        <v>3.8464910000000001E-3</v>
      </c>
      <c r="P3844">
        <v>-0.99193779999999998</v>
      </c>
      <c r="Q3844">
        <v>0.1235989</v>
      </c>
      <c r="R3844">
        <v>2.798583E-2</v>
      </c>
      <c r="S3844">
        <v>-3.0622560000000001</v>
      </c>
      <c r="T3844">
        <v>-0.4129466</v>
      </c>
      <c r="U3844">
        <v>0.47183229999999998</v>
      </c>
      <c r="V3844">
        <v>2.4175039999999998E-2</v>
      </c>
      <c r="W3844">
        <v>0.13670119999999999</v>
      </c>
      <c r="X3844">
        <v>0.99031729999999996</v>
      </c>
      <c r="Y3844">
        <v>0.14721239999999999</v>
      </c>
      <c r="Z3844">
        <v>9.310535E-3</v>
      </c>
      <c r="AA3844">
        <v>0.98906110000000003</v>
      </c>
      <c r="AB3844">
        <v>28</v>
      </c>
      <c r="AC3844">
        <v>-0.64590000000004</v>
      </c>
      <c r="AD3844">
        <v>-0.109959499999999</v>
      </c>
      <c r="AE3844">
        <v>0.125400000000013</v>
      </c>
      <c r="AF3844">
        <v>0.119574723265797</v>
      </c>
      <c r="AG3844">
        <v>-0.109959499999999</v>
      </c>
      <c r="AH3844">
        <v>0.62881501261731898</v>
      </c>
      <c r="AI3844">
        <v>99.747661108074595</v>
      </c>
      <c r="AJ3844">
        <v>79.233250288796398</v>
      </c>
      <c r="AK3844">
        <v>0.64945941072345803</v>
      </c>
      <c r="AL3844">
        <v>82.142996457557203</v>
      </c>
      <c r="AM3844">
        <v>88.601607061123701</v>
      </c>
      <c r="AN3844">
        <v>1.0000000026598601</v>
      </c>
    </row>
    <row r="3845" spans="1:40" x14ac:dyDescent="0.25">
      <c r="A3845" t="str">
        <f>"20190312164548285"</f>
        <v>20190312164548285</v>
      </c>
      <c r="B3845" t="str">
        <f>"1552380348275117"</f>
        <v>1552380348275117</v>
      </c>
      <c r="C3845" t="s">
        <v>40</v>
      </c>
      <c r="D3845">
        <v>4.4943119999999999</v>
      </c>
      <c r="E3845">
        <v>0.55335610000000002</v>
      </c>
      <c r="F3845" t="s">
        <v>41</v>
      </c>
      <c r="G3845">
        <v>-324.4273</v>
      </c>
      <c r="H3845">
        <v>0.98886949999999996</v>
      </c>
      <c r="I3845">
        <v>141.5061</v>
      </c>
      <c r="J3845">
        <v>-323.7011</v>
      </c>
      <c r="K3845">
        <v>1.1089359999999999</v>
      </c>
      <c r="L3845">
        <v>141.36920000000001</v>
      </c>
      <c r="M3845">
        <v>-0.99990590000000001</v>
      </c>
      <c r="N3845">
        <v>0</v>
      </c>
      <c r="O3845">
        <v>3.846295E-3</v>
      </c>
      <c r="P3845">
        <v>-0.99195599999999995</v>
      </c>
      <c r="Q3845">
        <v>0.12352059999999999</v>
      </c>
      <c r="R3845">
        <v>2.7678930000000001E-2</v>
      </c>
      <c r="S3845">
        <v>-3.062408</v>
      </c>
      <c r="T3845">
        <v>-0.41193439999999998</v>
      </c>
      <c r="U3845">
        <v>0.4717712</v>
      </c>
      <c r="V3845">
        <v>2.3868170000000001E-2</v>
      </c>
      <c r="W3845">
        <v>0.1365807</v>
      </c>
      <c r="X3845">
        <v>0.99034140000000004</v>
      </c>
      <c r="Y3845">
        <v>0.147192299999999</v>
      </c>
      <c r="Z3845">
        <v>9.2861690000000004E-3</v>
      </c>
      <c r="AA3845">
        <v>0.98906430000000001</v>
      </c>
      <c r="AB3845">
        <v>28</v>
      </c>
      <c r="AC3845">
        <v>-0.72620000000000495</v>
      </c>
      <c r="AD3845">
        <v>-0.12006650000000001</v>
      </c>
      <c r="AE3845">
        <v>0.136899999999997</v>
      </c>
      <c r="AF3845">
        <v>0.13065654104149199</v>
      </c>
      <c r="AG3845">
        <v>-0.12006650000000001</v>
      </c>
      <c r="AH3845">
        <v>0.70803088544302695</v>
      </c>
      <c r="AI3845">
        <v>99.467660500034299</v>
      </c>
      <c r="AJ3845">
        <v>79.544540048309003</v>
      </c>
      <c r="AK3845">
        <v>0.72992796280209304</v>
      </c>
      <c r="AL3845">
        <v>82.149966207042297</v>
      </c>
      <c r="AM3845">
        <v>88.619384471165006</v>
      </c>
      <c r="AN3845">
        <v>1.00000003285279</v>
      </c>
    </row>
    <row r="3846" spans="1:40" x14ac:dyDescent="0.25">
      <c r="A3846" t="str">
        <f>"20190312164548299"</f>
        <v>20190312164548299</v>
      </c>
      <c r="B3846" t="str">
        <f>"1552380348295613"</f>
        <v>1552380348295613</v>
      </c>
      <c r="C3846" t="s">
        <v>40</v>
      </c>
      <c r="D3846">
        <v>5.0125169999999999</v>
      </c>
      <c r="E3846">
        <v>0.55330590000000002</v>
      </c>
      <c r="F3846" t="s">
        <v>41</v>
      </c>
      <c r="G3846">
        <v>-324.43720000000002</v>
      </c>
      <c r="H3846">
        <v>1.009865</v>
      </c>
      <c r="I3846">
        <v>141.48249999999999</v>
      </c>
      <c r="J3846">
        <v>-323.85890000000001</v>
      </c>
      <c r="K3846">
        <v>1.10893</v>
      </c>
      <c r="L3846">
        <v>141.3698</v>
      </c>
      <c r="M3846">
        <v>-0.99990630000000003</v>
      </c>
      <c r="N3846">
        <v>0</v>
      </c>
      <c r="O3846">
        <v>3.8463740000000001E-3</v>
      </c>
      <c r="P3846">
        <v>-0.9919249</v>
      </c>
      <c r="Q3846">
        <v>0.1237727</v>
      </c>
      <c r="R3846">
        <v>2.7671890000000001E-2</v>
      </c>
      <c r="S3846">
        <v>-3.0625309999999999</v>
      </c>
      <c r="T3846">
        <v>-0.41218070000000001</v>
      </c>
      <c r="U3846">
        <v>0.47103879999999998</v>
      </c>
      <c r="V3846">
        <v>2.3861420000000001E-2</v>
      </c>
      <c r="W3846">
        <v>0.13679379999999999</v>
      </c>
      <c r="X3846">
        <v>0.99031210000000003</v>
      </c>
      <c r="Y3846">
        <v>0.1469559</v>
      </c>
      <c r="Z3846">
        <v>9.2757150000000003E-3</v>
      </c>
      <c r="AA3846">
        <v>0.98909959999999997</v>
      </c>
      <c r="AB3846">
        <v>28</v>
      </c>
      <c r="AC3846">
        <v>-0.57830000000001203</v>
      </c>
      <c r="AD3846">
        <v>-9.9064999999999903E-2</v>
      </c>
      <c r="AE3846">
        <v>0.112699999999989</v>
      </c>
      <c r="AF3846">
        <v>0.1074372271975</v>
      </c>
      <c r="AG3846">
        <v>-9.9064999999999903E-2</v>
      </c>
      <c r="AH3846">
        <v>0.562817664243077</v>
      </c>
      <c r="AI3846">
        <v>99.809137581858707</v>
      </c>
      <c r="AJ3846">
        <v>79.192729812989398</v>
      </c>
      <c r="AK3846">
        <v>0.58148117355329798</v>
      </c>
      <c r="AL3846">
        <v>82.137640401079594</v>
      </c>
      <c r="AM3846">
        <v>88.619733942478902</v>
      </c>
      <c r="AN3846">
        <v>0.99999998324463302</v>
      </c>
    </row>
    <row r="3847" spans="1:40" x14ac:dyDescent="0.25">
      <c r="A3847" t="str">
        <f>"20190312164548315"</f>
        <v>20190312164548315</v>
      </c>
      <c r="B3847" t="str">
        <f>"1552380348305373"</f>
        <v>1552380348305373</v>
      </c>
      <c r="C3847" t="s">
        <v>40</v>
      </c>
      <c r="D3847">
        <v>4.5555009999999996</v>
      </c>
      <c r="E3847">
        <v>0.55330590000000002</v>
      </c>
      <c r="F3847" t="s">
        <v>41</v>
      </c>
      <c r="G3847">
        <v>-324.6832</v>
      </c>
      <c r="H3847">
        <v>0.99846049999999997</v>
      </c>
      <c r="I3847">
        <v>141.49690000000001</v>
      </c>
      <c r="J3847">
        <v>-324.05869999999999</v>
      </c>
      <c r="K3847">
        <v>1.1089249999999999</v>
      </c>
      <c r="L3847">
        <v>141.3706</v>
      </c>
      <c r="M3847">
        <v>-0.99990699999999999</v>
      </c>
      <c r="N3847">
        <v>0</v>
      </c>
      <c r="O3847">
        <v>3.8463410000000001E-3</v>
      </c>
      <c r="P3847">
        <v>-0.9919192</v>
      </c>
      <c r="Q3847">
        <v>0.12389319999999999</v>
      </c>
      <c r="R3847">
        <v>2.733232E-2</v>
      </c>
      <c r="S3847">
        <v>-3.0625</v>
      </c>
      <c r="T3847">
        <v>-0.41061120000000001</v>
      </c>
      <c r="U3847">
        <v>0.47076420000000002</v>
      </c>
      <c r="V3847">
        <v>2.3521650000000002E-2</v>
      </c>
      <c r="W3847">
        <v>0.13686509999999999</v>
      </c>
      <c r="X3847">
        <v>0.99031040000000004</v>
      </c>
      <c r="Y3847">
        <v>0.14688090000000001</v>
      </c>
      <c r="Z3847">
        <v>9.2358809999999996E-3</v>
      </c>
      <c r="AA3847">
        <v>0.98911110000000002</v>
      </c>
      <c r="AB3847">
        <v>28</v>
      </c>
      <c r="AC3847">
        <v>-0.62450000000001105</v>
      </c>
      <c r="AD3847">
        <v>-0.11046449999999899</v>
      </c>
      <c r="AE3847">
        <v>0.12630000000001401</v>
      </c>
      <c r="AF3847">
        <v>0.12028131464265</v>
      </c>
      <c r="AG3847">
        <v>-0.11046449999999899</v>
      </c>
      <c r="AH3847">
        <v>0.60674327292427499</v>
      </c>
      <c r="AI3847">
        <v>100.125480826494</v>
      </c>
      <c r="AJ3847">
        <v>78.787014356401798</v>
      </c>
      <c r="AK3847">
        <v>0.62833701120598895</v>
      </c>
      <c r="AL3847">
        <v>82.133516604361503</v>
      </c>
      <c r="AM3847">
        <v>88.639378193357501</v>
      </c>
      <c r="AN3847">
        <v>1.0000000059824401</v>
      </c>
    </row>
    <row r="3848" spans="1:40" x14ac:dyDescent="0.25">
      <c r="A3848" t="str">
        <f>"20190312164548328"</f>
        <v>20190312164548328</v>
      </c>
      <c r="B3848" t="str">
        <f>"1552380348325869"</f>
        <v>1552380348325869</v>
      </c>
      <c r="C3848" t="s">
        <v>40</v>
      </c>
      <c r="D3848">
        <v>4.8529519999999904</v>
      </c>
      <c r="E3848">
        <v>0.54877189999999998</v>
      </c>
      <c r="F3848" t="s">
        <v>41</v>
      </c>
      <c r="G3848">
        <v>-324.93150000000003</v>
      </c>
      <c r="H3848">
        <v>0.99217739999999999</v>
      </c>
      <c r="I3848">
        <v>141.5051</v>
      </c>
      <c r="J3848">
        <v>-324.22969999999998</v>
      </c>
      <c r="K3848">
        <v>1.1089199999999999</v>
      </c>
      <c r="L3848">
        <v>141.37129999999999</v>
      </c>
      <c r="M3848">
        <v>-0.99990760000000001</v>
      </c>
      <c r="N3848">
        <v>0</v>
      </c>
      <c r="O3848">
        <v>3.8463239999999999E-3</v>
      </c>
      <c r="P3848">
        <v>-0.99188869999999896</v>
      </c>
      <c r="Q3848">
        <v>0.1242043</v>
      </c>
      <c r="R3848">
        <v>2.7029729999999998E-2</v>
      </c>
      <c r="S3848">
        <v>-3.0626530000000001</v>
      </c>
      <c r="T3848">
        <v>-0.40977380000000002</v>
      </c>
      <c r="U3848">
        <v>0.47051999999999999</v>
      </c>
      <c r="V3848">
        <v>2.3219500000000001E-2</v>
      </c>
      <c r="W3848">
        <v>0.13713339999999999</v>
      </c>
      <c r="X3848">
        <v>0.99028039999999995</v>
      </c>
      <c r="Y3848">
        <v>0.1468023</v>
      </c>
      <c r="Z3848">
        <v>9.2116160000000006E-3</v>
      </c>
      <c r="AA3848">
        <v>0.98912299999999997</v>
      </c>
      <c r="AB3848">
        <v>28</v>
      </c>
      <c r="AC3848">
        <v>-0.70180000000004805</v>
      </c>
      <c r="AD3848">
        <v>-0.1167426</v>
      </c>
      <c r="AE3848">
        <v>0.133800000000007</v>
      </c>
      <c r="AF3848">
        <v>0.12768999037258699</v>
      </c>
      <c r="AG3848">
        <v>-0.1167426</v>
      </c>
      <c r="AH3848">
        <v>0.68404486333306502</v>
      </c>
      <c r="AI3848">
        <v>99.523662889621505</v>
      </c>
      <c r="AJ3848">
        <v>79.426345791932306</v>
      </c>
      <c r="AK3848">
        <v>0.70558553226980503</v>
      </c>
      <c r="AL3848">
        <v>82.117997716362794</v>
      </c>
      <c r="AM3848">
        <v>88.6568090944359</v>
      </c>
      <c r="AN3848">
        <v>0.99999999259998495</v>
      </c>
    </row>
    <row r="3849" spans="1:40" x14ac:dyDescent="0.25">
      <c r="A3849" t="str">
        <f>"20190312164548349"</f>
        <v>20190312164548349</v>
      </c>
      <c r="B3849" t="str">
        <f>"1552380348345389"</f>
        <v>1552380348345389</v>
      </c>
      <c r="C3849" t="s">
        <v>40</v>
      </c>
      <c r="D3849">
        <v>4.5792320000000002</v>
      </c>
      <c r="E3849">
        <v>0.55281499999999995</v>
      </c>
      <c r="F3849" t="s">
        <v>41</v>
      </c>
      <c r="G3849">
        <v>-325.14370000000002</v>
      </c>
      <c r="H3849">
        <v>0.90979480000000001</v>
      </c>
      <c r="I3849">
        <v>141.4958</v>
      </c>
      <c r="J3849">
        <v>-324.48129999999998</v>
      </c>
      <c r="K3849">
        <v>1.1089169999999999</v>
      </c>
      <c r="L3849">
        <v>141.37219999999999</v>
      </c>
      <c r="M3849">
        <v>-0.99990829999999997</v>
      </c>
      <c r="N3849">
        <v>0</v>
      </c>
      <c r="O3849">
        <v>3.846187E-3</v>
      </c>
      <c r="P3849">
        <v>-0.99183339999999998</v>
      </c>
      <c r="Q3849">
        <v>0.1247106</v>
      </c>
      <c r="R3849">
        <v>2.6718849999999999E-2</v>
      </c>
      <c r="S3849">
        <v>-3.0975649999999999</v>
      </c>
      <c r="T3849">
        <v>-0.67489299999999997</v>
      </c>
      <c r="U3849">
        <v>0.42100520000000002</v>
      </c>
      <c r="V3849">
        <v>2.290878E-2</v>
      </c>
      <c r="W3849">
        <v>0.137577799999999</v>
      </c>
      <c r="X3849">
        <v>0.99022600000000005</v>
      </c>
      <c r="Y3849">
        <v>0.12800410000000001</v>
      </c>
      <c r="Z3849">
        <v>1.289742E-2</v>
      </c>
      <c r="AA3849">
        <v>0.99168979999999995</v>
      </c>
      <c r="AB3849">
        <v>28</v>
      </c>
      <c r="AC3849">
        <v>-0.66240000000004695</v>
      </c>
      <c r="AD3849">
        <v>-0.199122199999999</v>
      </c>
      <c r="AE3849">
        <v>0.12360000000000999</v>
      </c>
      <c r="AF3849">
        <v>0.111329397491104</v>
      </c>
      <c r="AG3849">
        <v>-0.199122199999999</v>
      </c>
      <c r="AH3849">
        <v>0.60963462593204298</v>
      </c>
      <c r="AI3849">
        <v>107.812821134827</v>
      </c>
      <c r="AJ3849">
        <v>79.650878108794402</v>
      </c>
      <c r="AK3849">
        <v>0.65092108770101698</v>
      </c>
      <c r="AL3849">
        <v>82.092291862325993</v>
      </c>
      <c r="AM3849">
        <v>88.674704250342899</v>
      </c>
      <c r="AN3849">
        <v>0.99999999716496402</v>
      </c>
    </row>
    <row r="3850" spans="1:40" x14ac:dyDescent="0.25">
      <c r="A3850" t="str">
        <f>"20190312164548362"</f>
        <v>20190312164548362</v>
      </c>
      <c r="B3850" t="str">
        <f>"1552380348355149"</f>
        <v>1552380348355149</v>
      </c>
      <c r="C3850" t="s">
        <v>40</v>
      </c>
      <c r="D3850">
        <v>5.1332129999999996</v>
      </c>
      <c r="E3850">
        <v>0.55419770000000002</v>
      </c>
      <c r="F3850" t="s">
        <v>41</v>
      </c>
      <c r="G3850">
        <v>-325.39789999999999</v>
      </c>
      <c r="H3850">
        <v>0.91559199999999996</v>
      </c>
      <c r="I3850">
        <v>141.50659999999999</v>
      </c>
      <c r="J3850">
        <v>-324.66640000000001</v>
      </c>
      <c r="K3850">
        <v>1.108916</v>
      </c>
      <c r="L3850">
        <v>141.37289999999999</v>
      </c>
      <c r="M3850">
        <v>-0.99990889999999999</v>
      </c>
      <c r="N3850">
        <v>0</v>
      </c>
      <c r="O3850">
        <v>3.846099E-3</v>
      </c>
      <c r="P3850">
        <v>-0.99179050000000002</v>
      </c>
      <c r="Q3850">
        <v>0.12507789999999999</v>
      </c>
      <c r="R3850">
        <v>2.6596160000000001E-2</v>
      </c>
      <c r="S3850">
        <v>-3.0945130000000001</v>
      </c>
      <c r="T3850">
        <v>-0.65269759999999999</v>
      </c>
      <c r="U3850">
        <v>0.45333859999999898</v>
      </c>
      <c r="V3850">
        <v>2.2786359999999999E-2</v>
      </c>
      <c r="W3850">
        <v>0.1379032</v>
      </c>
      <c r="X3850">
        <v>0.99018349999999999</v>
      </c>
      <c r="Y3850">
        <v>0.13824839999999999</v>
      </c>
      <c r="Z3850">
        <v>1.354869E-2</v>
      </c>
      <c r="AA3850">
        <v>0.99030490000000004</v>
      </c>
      <c r="AB3850">
        <v>28</v>
      </c>
      <c r="AC3850">
        <v>-0.73149999999998205</v>
      </c>
      <c r="AD3850">
        <v>-0.193324</v>
      </c>
      <c r="AE3850">
        <v>0.13370000000000401</v>
      </c>
      <c r="AF3850">
        <v>0.12259908871481601</v>
      </c>
      <c r="AG3850">
        <v>-0.193324</v>
      </c>
      <c r="AH3850">
        <v>0.68566585810380398</v>
      </c>
      <c r="AI3850">
        <v>105.511939179302</v>
      </c>
      <c r="AJ3850">
        <v>79.862472728965898</v>
      </c>
      <c r="AK3850">
        <v>0.72287092519960205</v>
      </c>
      <c r="AL3850">
        <v>82.073467918674893</v>
      </c>
      <c r="AM3850">
        <v>88.681727304051805</v>
      </c>
      <c r="AN3850">
        <v>0.99999993722226699</v>
      </c>
    </row>
    <row r="3851" spans="1:40" x14ac:dyDescent="0.25">
      <c r="A3851" t="str">
        <f>"20190312164548383"</f>
        <v>20190312164548383</v>
      </c>
      <c r="B3851" t="str">
        <f>"1552380348375648"</f>
        <v>1552380348375648</v>
      </c>
      <c r="C3851" t="s">
        <v>40</v>
      </c>
      <c r="D3851">
        <v>4.8613629999999999</v>
      </c>
      <c r="E3851">
        <v>0.55516140000000003</v>
      </c>
      <c r="F3851" t="s">
        <v>41</v>
      </c>
      <c r="G3851">
        <v>-325.4151</v>
      </c>
      <c r="H3851">
        <v>0.95409699999999997</v>
      </c>
      <c r="I3851">
        <v>141.4853</v>
      </c>
      <c r="J3851">
        <v>-324.9117</v>
      </c>
      <c r="K3851">
        <v>1.1089119999999999</v>
      </c>
      <c r="L3851">
        <v>141.37389999999999</v>
      </c>
      <c r="M3851">
        <v>-0.99990950000000001</v>
      </c>
      <c r="N3851">
        <v>0</v>
      </c>
      <c r="O3851">
        <v>3.8461350000000001E-3</v>
      </c>
      <c r="P3851">
        <v>-0.99172950000000004</v>
      </c>
      <c r="Q3851">
        <v>0.1255288</v>
      </c>
      <c r="R3851">
        <v>2.674557E-2</v>
      </c>
      <c r="S3851">
        <v>-3.093048</v>
      </c>
      <c r="T3851">
        <v>-0.63967099999999999</v>
      </c>
      <c r="U3851">
        <v>0.46405030000000003</v>
      </c>
      <c r="V3851">
        <v>2.2936100000000001E-2</v>
      </c>
      <c r="W3851">
        <v>0.138302799999999</v>
      </c>
      <c r="X3851">
        <v>0.99012440000000002</v>
      </c>
      <c r="Y3851">
        <v>0.14171120000000001</v>
      </c>
      <c r="Z3851">
        <v>1.3639099999999999E-2</v>
      </c>
      <c r="AA3851">
        <v>0.98981410000000003</v>
      </c>
      <c r="AB3851">
        <v>28</v>
      </c>
      <c r="AC3851">
        <v>-0.50339999999999896</v>
      </c>
      <c r="AD3851">
        <v>-0.15481500000000001</v>
      </c>
      <c r="AE3851">
        <v>0.111400000000003</v>
      </c>
      <c r="AF3851">
        <v>0.100409491556918</v>
      </c>
      <c r="AG3851">
        <v>-0.15481500000000001</v>
      </c>
      <c r="AH3851">
        <v>0.46215478185290898</v>
      </c>
      <c r="AI3851">
        <v>108.125769066806</v>
      </c>
      <c r="AJ3851">
        <v>77.742203733064599</v>
      </c>
      <c r="AK3851">
        <v>0.49763118130723</v>
      </c>
      <c r="AL3851">
        <v>82.050351743322594</v>
      </c>
      <c r="AM3851">
        <v>88.672988219311605</v>
      </c>
      <c r="AN3851">
        <v>1.0000000283232</v>
      </c>
    </row>
    <row r="3852" spans="1:40" x14ac:dyDescent="0.25">
      <c r="A3852" t="str">
        <f>"20190312164548397"</f>
        <v>20190312164548397</v>
      </c>
      <c r="B3852" t="str">
        <f>"1552380348385405"</f>
        <v>1552380348385405</v>
      </c>
      <c r="C3852" t="s">
        <v>40</v>
      </c>
      <c r="D3852">
        <v>5.3432370000000002</v>
      </c>
      <c r="E3852">
        <v>0.55491969999999902</v>
      </c>
      <c r="F3852" t="s">
        <v>41</v>
      </c>
      <c r="G3852">
        <v>-325.66989999999998</v>
      </c>
      <c r="H3852">
        <v>0.96155489999999999</v>
      </c>
      <c r="I3852">
        <v>141.49039999999999</v>
      </c>
      <c r="J3852">
        <v>-325.08510000000001</v>
      </c>
      <c r="K3852">
        <v>1.1089100000000001</v>
      </c>
      <c r="L3852">
        <v>141.37450000000001</v>
      </c>
      <c r="M3852">
        <v>-0.99991010000000002</v>
      </c>
      <c r="N3852">
        <v>0</v>
      </c>
      <c r="O3852">
        <v>3.8460109999999999E-3</v>
      </c>
      <c r="P3852">
        <v>-0.99171010000000004</v>
      </c>
      <c r="Q3852">
        <v>0.12567600000000001</v>
      </c>
      <c r="R3852">
        <v>2.677742E-2</v>
      </c>
      <c r="S3852">
        <v>-3.0882260000000001</v>
      </c>
      <c r="T3852">
        <v>-0.60022500000000001</v>
      </c>
      <c r="U3852">
        <v>0.47328189999999998</v>
      </c>
      <c r="V3852">
        <v>2.296811E-2</v>
      </c>
      <c r="W3852">
        <v>0.1384138</v>
      </c>
      <c r="X3852">
        <v>0.99010810000000005</v>
      </c>
      <c r="Y3852">
        <v>0.14509920000000001</v>
      </c>
      <c r="Z3852">
        <v>1.315469E-2</v>
      </c>
      <c r="AA3852">
        <v>0.98932960000000003</v>
      </c>
      <c r="AB3852">
        <v>28</v>
      </c>
      <c r="AC3852">
        <v>-0.58479999999997201</v>
      </c>
      <c r="AD3852">
        <v>-0.14735509999999899</v>
      </c>
      <c r="AE3852">
        <v>0.115899999999982</v>
      </c>
      <c r="AF3852">
        <v>0.107106469941012</v>
      </c>
      <c r="AG3852">
        <v>-0.14735509999999899</v>
      </c>
      <c r="AH3852">
        <v>0.55154643291295902</v>
      </c>
      <c r="AI3852">
        <v>104.695854235089</v>
      </c>
      <c r="AJ3852">
        <v>79.010340302612406</v>
      </c>
      <c r="AK3852">
        <v>0.58085177890598205</v>
      </c>
      <c r="AL3852">
        <v>82.043929778871401</v>
      </c>
      <c r="AM3852">
        <v>88.671115014338099</v>
      </c>
      <c r="AN3852">
        <v>0.99999998189651096</v>
      </c>
    </row>
    <row r="3853" spans="1:40" x14ac:dyDescent="0.25">
      <c r="A3853" t="str">
        <f>"20190312164548409"</f>
        <v>20190312164548409</v>
      </c>
      <c r="B3853" t="str">
        <f>"1552380348405901"</f>
        <v>1552380348405901</v>
      </c>
      <c r="C3853" t="s">
        <v>40</v>
      </c>
      <c r="D3853">
        <v>4.9751539999999999</v>
      </c>
      <c r="E3853">
        <v>0.55462180000000005</v>
      </c>
      <c r="F3853" t="s">
        <v>41</v>
      </c>
      <c r="G3853">
        <v>-325.91750000000002</v>
      </c>
      <c r="H3853">
        <v>0.95367170000000001</v>
      </c>
      <c r="I3853">
        <v>141.50239999999999</v>
      </c>
      <c r="J3853">
        <v>-325.24610000000001</v>
      </c>
      <c r="K3853">
        <v>1.10891299999999</v>
      </c>
      <c r="L3853">
        <v>141.37520000000001</v>
      </c>
      <c r="M3853">
        <v>-0.99991039999999998</v>
      </c>
      <c r="N3853">
        <v>0</v>
      </c>
      <c r="O3853">
        <v>3.84623E-3</v>
      </c>
      <c r="P3853">
        <v>-0.99167640000000001</v>
      </c>
      <c r="Q3853">
        <v>0.12591469999999999</v>
      </c>
      <c r="R3853">
        <v>2.689764E-2</v>
      </c>
      <c r="S3853">
        <v>-3.0852050000000002</v>
      </c>
      <c r="T3853">
        <v>-0.57544919999999899</v>
      </c>
      <c r="U3853">
        <v>0.47296139999999998</v>
      </c>
      <c r="V3853">
        <v>2.3088129999999998E-2</v>
      </c>
      <c r="W3853">
        <v>0.1386182</v>
      </c>
      <c r="X3853">
        <v>0.99007670000000003</v>
      </c>
      <c r="Y3853">
        <v>0.1453421</v>
      </c>
      <c r="Z3853">
        <v>1.2655319999999999E-2</v>
      </c>
      <c r="AA3853">
        <v>0.98930050000000003</v>
      </c>
      <c r="AB3853">
        <v>28</v>
      </c>
      <c r="AC3853">
        <v>-0.67140000000000499</v>
      </c>
      <c r="AD3853">
        <v>-0.155241299999999</v>
      </c>
      <c r="AE3853">
        <v>0.12719999999998699</v>
      </c>
      <c r="AF3853">
        <v>0.118500627542599</v>
      </c>
      <c r="AG3853">
        <v>-0.155241299999999</v>
      </c>
      <c r="AH3853">
        <v>0.63890994019301806</v>
      </c>
      <c r="AI3853">
        <v>103.43633912286801</v>
      </c>
      <c r="AJ3853">
        <v>79.492572705008001</v>
      </c>
      <c r="AK3853">
        <v>0.66809293637272205</v>
      </c>
      <c r="AL3853">
        <v>82.032104428789793</v>
      </c>
      <c r="AM3853">
        <v>88.664131077257807</v>
      </c>
      <c r="AN3853">
        <v>0.99999996950051295</v>
      </c>
    </row>
    <row r="3854" spans="1:40" x14ac:dyDescent="0.25">
      <c r="A3854" t="str">
        <f>"20190312164548428"</f>
        <v>20190312164548428</v>
      </c>
      <c r="B3854" t="str">
        <f>"1552380348415661"</f>
        <v>1552380348415661</v>
      </c>
      <c r="C3854" t="s">
        <v>40</v>
      </c>
      <c r="D3854">
        <v>5.0518780000000003</v>
      </c>
      <c r="E3854">
        <v>0.51976140000000004</v>
      </c>
      <c r="F3854" t="s">
        <v>41</v>
      </c>
      <c r="G3854">
        <v>-326.16399999999999</v>
      </c>
      <c r="H3854">
        <v>0.94322059999999996</v>
      </c>
      <c r="I3854">
        <v>141.5162</v>
      </c>
      <c r="J3854">
        <v>-325.47399999999999</v>
      </c>
      <c r="K3854">
        <v>1.1089070000000001</v>
      </c>
      <c r="L3854">
        <v>141.376</v>
      </c>
      <c r="M3854">
        <v>-0.9999112</v>
      </c>
      <c r="N3854">
        <v>0</v>
      </c>
      <c r="O3854">
        <v>3.84608E-3</v>
      </c>
      <c r="P3854">
        <v>-0.99160550000000003</v>
      </c>
      <c r="Q3854">
        <v>0.1265146</v>
      </c>
      <c r="R3854">
        <v>2.6697780000000001E-2</v>
      </c>
      <c r="S3854">
        <v>-3.0830690000000001</v>
      </c>
      <c r="T3854">
        <v>-0.55655339999999998</v>
      </c>
      <c r="U3854">
        <v>0.4721069</v>
      </c>
      <c r="V3854">
        <v>2.2888929999999998E-2</v>
      </c>
      <c r="W3854">
        <v>0.13916700000000001</v>
      </c>
      <c r="X3854">
        <v>0.99000440000000001</v>
      </c>
      <c r="Y3854">
        <v>0.14532690000000001</v>
      </c>
      <c r="Z3854">
        <v>1.225354E-2</v>
      </c>
      <c r="AA3854">
        <v>0.98930779999999996</v>
      </c>
      <c r="AB3854">
        <v>28</v>
      </c>
      <c r="AC3854">
        <v>-0.68999999999999695</v>
      </c>
      <c r="AD3854">
        <v>-0.16568639999999901</v>
      </c>
      <c r="AE3854">
        <v>0.140199999999993</v>
      </c>
      <c r="AF3854">
        <v>0.13032816304515801</v>
      </c>
      <c r="AG3854">
        <v>-0.16568639999999901</v>
      </c>
      <c r="AH3854">
        <v>0.65430281180121197</v>
      </c>
      <c r="AI3854">
        <v>103.94707990532</v>
      </c>
      <c r="AJ3854">
        <v>78.734902391256597</v>
      </c>
      <c r="AK3854">
        <v>0.68742241944721105</v>
      </c>
      <c r="AL3854">
        <v>82.000353272324404</v>
      </c>
      <c r="AM3854">
        <v>88.675555895368504</v>
      </c>
      <c r="AN3854">
        <v>1.00000003451245</v>
      </c>
    </row>
    <row r="3855" spans="1:40" x14ac:dyDescent="0.25">
      <c r="A3855" t="str">
        <f>"20190312164548450"</f>
        <v>20190312164548450</v>
      </c>
      <c r="B3855" t="str">
        <f>"1552380348445917"</f>
        <v>1552380348445917</v>
      </c>
      <c r="C3855" t="s">
        <v>40</v>
      </c>
      <c r="D3855">
        <v>4.9999690000000001</v>
      </c>
      <c r="E3855">
        <v>0.49961739999999999</v>
      </c>
      <c r="F3855" t="s">
        <v>41</v>
      </c>
      <c r="G3855">
        <v>-326.20400000000001</v>
      </c>
      <c r="H3855">
        <v>1.02695</v>
      </c>
      <c r="I3855">
        <v>141.42490000000001</v>
      </c>
      <c r="J3855">
        <v>-325.74939999999998</v>
      </c>
      <c r="K3855">
        <v>1.1088960000000001</v>
      </c>
      <c r="L3855">
        <v>141.37710000000001</v>
      </c>
      <c r="M3855">
        <v>-0.99991200000000002</v>
      </c>
      <c r="N3855">
        <v>0</v>
      </c>
      <c r="O3855">
        <v>3.8460899999999999E-3</v>
      </c>
      <c r="P3855">
        <v>-0.99146380000000001</v>
      </c>
      <c r="Q3855">
        <v>0.1275365</v>
      </c>
      <c r="R3855">
        <v>2.7104759999999999E-2</v>
      </c>
      <c r="S3855">
        <v>-3.063812</v>
      </c>
      <c r="T3855">
        <v>-0.34404859999999998</v>
      </c>
      <c r="U3855">
        <v>0.2033539</v>
      </c>
      <c r="V3855">
        <v>2.3296480000000001E-2</v>
      </c>
      <c r="W3855">
        <v>0.1401297</v>
      </c>
      <c r="X3855">
        <v>0.98985900000000004</v>
      </c>
      <c r="Y3855">
        <v>6.2024629999999997E-2</v>
      </c>
      <c r="Z3855">
        <v>3.0377239999999999E-3</v>
      </c>
      <c r="AA3855">
        <v>0.99807000000000001</v>
      </c>
      <c r="AB3855">
        <v>28</v>
      </c>
      <c r="AC3855">
        <v>-0.45460000000002698</v>
      </c>
      <c r="AD3855">
        <v>-8.1945999999999797E-2</v>
      </c>
      <c r="AE3855">
        <v>4.7799999999995103E-2</v>
      </c>
      <c r="AF3855">
        <v>4.4617158101538497E-2</v>
      </c>
      <c r="AG3855">
        <v>-8.1945999999999797E-2</v>
      </c>
      <c r="AH3855">
        <v>0.44061977170268002</v>
      </c>
      <c r="AI3855">
        <v>100.483031862972</v>
      </c>
      <c r="AJ3855">
        <v>84.217937909909395</v>
      </c>
      <c r="AK3855">
        <v>0.45039052046904798</v>
      </c>
      <c r="AL3855">
        <v>81.9446480950688</v>
      </c>
      <c r="AM3855">
        <v>88.651784127639203</v>
      </c>
      <c r="AN3855">
        <v>0.99999994934173897</v>
      </c>
    </row>
    <row r="3856" spans="1:40" x14ac:dyDescent="0.25">
      <c r="A3856" t="str">
        <f>"20190312164548473"</f>
        <v>20190312164548473</v>
      </c>
      <c r="B3856" t="str">
        <f>"1552380348465437"</f>
        <v>1552380348465437</v>
      </c>
      <c r="C3856" t="s">
        <v>40</v>
      </c>
      <c r="D3856">
        <v>4.9902470000000001</v>
      </c>
      <c r="E3856">
        <v>0.49551790000000001</v>
      </c>
      <c r="F3856" t="s">
        <v>41</v>
      </c>
      <c r="G3856">
        <v>-326.72359999999998</v>
      </c>
      <c r="H3856">
        <v>1.045668</v>
      </c>
      <c r="I3856">
        <v>141.39349999999999</v>
      </c>
      <c r="J3856">
        <v>-326.03469999999999</v>
      </c>
      <c r="K3856">
        <v>1.1088910000000001</v>
      </c>
      <c r="L3856">
        <v>141.37819999999999</v>
      </c>
      <c r="M3856">
        <v>-0.99991260000000004</v>
      </c>
      <c r="N3856">
        <v>0</v>
      </c>
      <c r="O3856">
        <v>3.8462460000000002E-3</v>
      </c>
      <c r="P3856">
        <v>-0.99141469999999998</v>
      </c>
      <c r="Q3856">
        <v>0.1278656</v>
      </c>
      <c r="R3856">
        <v>2.734812E-2</v>
      </c>
      <c r="S3856">
        <v>-3.049957</v>
      </c>
      <c r="T3856">
        <v>-0.19806679999999999</v>
      </c>
      <c r="U3856">
        <v>5.0430299999999997E-2</v>
      </c>
      <c r="V3856">
        <v>2.3539839999999999E-2</v>
      </c>
      <c r="W3856">
        <v>0.14040639999999999</v>
      </c>
      <c r="X3856">
        <v>0.98981410000000003</v>
      </c>
      <c r="Y3856">
        <v>1.266777E-2</v>
      </c>
      <c r="Z3856">
        <v>1.613509E-4</v>
      </c>
      <c r="AA3856">
        <v>0.99991980000000003</v>
      </c>
      <c r="AB3856">
        <v>28</v>
      </c>
      <c r="AC3856">
        <v>-0.68889999999998897</v>
      </c>
      <c r="AD3856">
        <v>-6.3223000000000001E-2</v>
      </c>
      <c r="AE3856">
        <v>1.5299999999996299E-2</v>
      </c>
      <c r="AF3856">
        <v>1.2544393652052999E-2</v>
      </c>
      <c r="AG3856">
        <v>-6.3223000000000001E-2</v>
      </c>
      <c r="AH3856">
        <v>0.68320236303565496</v>
      </c>
      <c r="AI3856">
        <v>95.286162070730896</v>
      </c>
      <c r="AJ3856">
        <v>88.948100741839696</v>
      </c>
      <c r="AK3856">
        <v>0.68623609523151696</v>
      </c>
      <c r="AL3856">
        <v>81.928636598851696</v>
      </c>
      <c r="AM3856">
        <v>88.6376438837313</v>
      </c>
      <c r="AN3856">
        <v>1.0000000168934899</v>
      </c>
    </row>
    <row r="3857" spans="1:40" x14ac:dyDescent="0.25">
      <c r="A3857" t="str">
        <f>"20190312164548495"</f>
        <v>20190312164548495</v>
      </c>
      <c r="B3857" t="str">
        <f>"1552380348485933"</f>
        <v>1552380348485933</v>
      </c>
      <c r="C3857" t="s">
        <v>40</v>
      </c>
      <c r="D3857">
        <v>4.7343929999999999</v>
      </c>
      <c r="E3857">
        <v>0.49426690000000001</v>
      </c>
      <c r="F3857" t="s">
        <v>42</v>
      </c>
      <c r="G3857">
        <v>-349.07319999999999</v>
      </c>
      <c r="H3857" s="1">
        <v>-8.9034839999999999E-7</v>
      </c>
      <c r="I3857">
        <v>141.53469999999999</v>
      </c>
      <c r="J3857">
        <v>-326.32209999999998</v>
      </c>
      <c r="K3857">
        <v>1.1088910000000001</v>
      </c>
      <c r="L3857">
        <v>141.3793</v>
      </c>
      <c r="M3857">
        <v>-0.9999131</v>
      </c>
      <c r="N3857">
        <v>0</v>
      </c>
      <c r="O3857">
        <v>3.8462520000000001E-3</v>
      </c>
      <c r="P3857">
        <v>-0.99134</v>
      </c>
      <c r="Q3857">
        <v>0.1283907</v>
      </c>
      <c r="R3857">
        <v>2.7586320000000001E-2</v>
      </c>
      <c r="S3857">
        <v>-3.0443419999999999</v>
      </c>
      <c r="T3857">
        <v>-0.1465311</v>
      </c>
      <c r="U3857">
        <v>2.0690920000000002E-2</v>
      </c>
      <c r="V3857">
        <v>2.3778359999999998E-2</v>
      </c>
      <c r="W3857">
        <v>0.1408827</v>
      </c>
      <c r="X3857">
        <v>0.98974070000000003</v>
      </c>
      <c r="Y3857">
        <v>2.9508770000000002E-3</v>
      </c>
      <c r="Z3857">
        <v>-1.1405909999999999E-4</v>
      </c>
      <c r="AA3857">
        <v>0.99999559999999998</v>
      </c>
      <c r="AB3857">
        <v>28</v>
      </c>
      <c r="AC3857">
        <v>-22.751100000000001</v>
      </c>
      <c r="AD3857">
        <v>-1.1088918903484</v>
      </c>
      <c r="AE3857">
        <v>0.15539999999998599</v>
      </c>
      <c r="AF3857">
        <v>6.7724549882154497E-2</v>
      </c>
      <c r="AG3857">
        <v>-1.1088918903484</v>
      </c>
      <c r="AH3857">
        <v>22.6976114742851</v>
      </c>
      <c r="AI3857">
        <v>92.796949225115895</v>
      </c>
      <c r="AJ3857">
        <v>89.829042832691101</v>
      </c>
      <c r="AK3857">
        <v>22.724783705829498</v>
      </c>
      <c r="AL3857">
        <v>81.901072495131004</v>
      </c>
      <c r="AM3857">
        <v>88.623742925761903</v>
      </c>
      <c r="AN3857">
        <v>0.99999999940003403</v>
      </c>
    </row>
    <row r="3858" spans="1:40" x14ac:dyDescent="0.25">
      <c r="A3858" t="str">
        <f>"20190312164548518"</f>
        <v>20190312164548518</v>
      </c>
      <c r="B3858" t="str">
        <f>"1552380348505453"</f>
        <v>1552380348505453</v>
      </c>
      <c r="C3858" t="s">
        <v>40</v>
      </c>
      <c r="D3858">
        <v>5.0924420000000001</v>
      </c>
      <c r="E3858">
        <v>0.4937416</v>
      </c>
      <c r="F3858" t="s">
        <v>42</v>
      </c>
      <c r="G3858">
        <v>-357.69</v>
      </c>
      <c r="H3858" s="1">
        <v>-1.4776789999999999E-6</v>
      </c>
      <c r="I3858">
        <v>141.5119</v>
      </c>
      <c r="J3858">
        <v>-326.60090000000002</v>
      </c>
      <c r="K3858">
        <v>1.108895</v>
      </c>
      <c r="L3858">
        <v>141.38040000000001</v>
      </c>
      <c r="M3858">
        <v>-0.99991370000000002</v>
      </c>
      <c r="N3858">
        <v>0</v>
      </c>
      <c r="O3858">
        <v>3.8402190000000002E-3</v>
      </c>
      <c r="P3858">
        <v>-0.9913071</v>
      </c>
      <c r="Q3858">
        <v>0.12863160000000001</v>
      </c>
      <c r="R3858">
        <v>2.764575E-2</v>
      </c>
      <c r="S3858">
        <v>-3.0397639999999999</v>
      </c>
      <c r="T3858">
        <v>-0.10745929999999999</v>
      </c>
      <c r="U3858">
        <v>1.286316E-2</v>
      </c>
      <c r="V3858">
        <v>2.3843010000000001E-2</v>
      </c>
      <c r="W3858">
        <v>0.14108189999999901</v>
      </c>
      <c r="X3858">
        <v>0.98971070000000005</v>
      </c>
      <c r="Y3858">
        <v>3.9322629999999999E-4</v>
      </c>
      <c r="Z3858">
        <v>-1.2877529999999999E-4</v>
      </c>
      <c r="AA3858">
        <v>0.99999990000000005</v>
      </c>
      <c r="AB3858">
        <v>28</v>
      </c>
      <c r="AC3858">
        <v>-31.089099999999899</v>
      </c>
      <c r="AD3858">
        <v>-1.108896477679</v>
      </c>
      <c r="AE3858">
        <v>0.13149999999998799</v>
      </c>
      <c r="AF3858">
        <v>1.20852791080288E-2</v>
      </c>
      <c r="AG3858">
        <v>-1.108896477679</v>
      </c>
      <c r="AH3858">
        <v>31.049873870540601</v>
      </c>
      <c r="AI3858">
        <v>92.045357489218105</v>
      </c>
      <c r="AJ3858">
        <v>89.977699250726403</v>
      </c>
      <c r="AK3858">
        <v>31.069671141301999</v>
      </c>
      <c r="AL3858">
        <v>81.889543469633693</v>
      </c>
      <c r="AM3858">
        <v>88.619960708142202</v>
      </c>
      <c r="AN3858">
        <v>0.99999993066397697</v>
      </c>
    </row>
    <row r="3859" spans="1:40" x14ac:dyDescent="0.25">
      <c r="A3859" t="str">
        <f>"20190312164548531"</f>
        <v>20190312164548531</v>
      </c>
      <c r="B3859" t="str">
        <f>"1552380348525949"</f>
        <v>1552380348525949</v>
      </c>
      <c r="C3859" t="s">
        <v>40</v>
      </c>
      <c r="D3859">
        <v>5.0666089999999997</v>
      </c>
      <c r="E3859">
        <v>0.49351089999999997</v>
      </c>
      <c r="F3859" t="s">
        <v>42</v>
      </c>
      <c r="G3859">
        <v>-365.69240000000002</v>
      </c>
      <c r="H3859" s="1">
        <v>-2.332673E-6</v>
      </c>
      <c r="I3859">
        <v>141.5044</v>
      </c>
      <c r="J3859">
        <v>-326.78140000000002</v>
      </c>
      <c r="K3859">
        <v>1.1089</v>
      </c>
      <c r="L3859">
        <v>141.381</v>
      </c>
      <c r="M3859">
        <v>-0.99991399999999997</v>
      </c>
      <c r="N3859">
        <v>0</v>
      </c>
      <c r="O3859">
        <v>3.828859E-3</v>
      </c>
      <c r="P3859">
        <v>-0.99129069999999997</v>
      </c>
      <c r="Q3859">
        <v>0.1287498</v>
      </c>
      <c r="R3859">
        <v>2.7684179999999999E-2</v>
      </c>
      <c r="S3859">
        <v>-3.0372309999999998</v>
      </c>
      <c r="T3859">
        <v>-8.6156490000000002E-2</v>
      </c>
      <c r="U3859">
        <v>9.6435549999999998E-3</v>
      </c>
      <c r="V3859">
        <v>2.3891119999999998E-2</v>
      </c>
      <c r="W3859">
        <v>0.14117489999999999</v>
      </c>
      <c r="X3859">
        <v>0.98969629999999997</v>
      </c>
      <c r="Y3859">
        <v>-6.5226450000000001E-4</v>
      </c>
      <c r="Z3859">
        <v>-1.1784789999999999E-4</v>
      </c>
      <c r="AA3859">
        <v>0.99999979999999999</v>
      </c>
      <c r="AB3859">
        <v>28</v>
      </c>
      <c r="AC3859">
        <v>-38.911000000000001</v>
      </c>
      <c r="AD3859">
        <v>-1.1089023326729901</v>
      </c>
      <c r="AE3859">
        <v>0.12340000000000299</v>
      </c>
      <c r="AF3859">
        <v>-2.55765865938146E-2</v>
      </c>
      <c r="AG3859">
        <v>-1.1089023326729901</v>
      </c>
      <c r="AH3859">
        <v>38.8796110887751</v>
      </c>
      <c r="AI3859">
        <v>91.633714647360094</v>
      </c>
      <c r="AJ3859">
        <v>90.037691484398806</v>
      </c>
      <c r="AK3859">
        <v>38.895430026670198</v>
      </c>
      <c r="AL3859">
        <v>81.884161266451898</v>
      </c>
      <c r="AM3859">
        <v>88.617157057471303</v>
      </c>
      <c r="AN3859">
        <v>0.99999995211927595</v>
      </c>
    </row>
    <row r="3860" spans="1:40" x14ac:dyDescent="0.25">
      <c r="A3860" t="str">
        <f>"20190312164548550"</f>
        <v>20190312164548550</v>
      </c>
      <c r="B3860" t="str">
        <f>"1552380348545469"</f>
        <v>1552380348545469</v>
      </c>
      <c r="C3860" t="s">
        <v>40</v>
      </c>
      <c r="D3860">
        <v>5.0614970000000001</v>
      </c>
      <c r="E3860">
        <v>0.49323260000000002</v>
      </c>
      <c r="F3860" t="s">
        <v>42</v>
      </c>
      <c r="G3860">
        <v>-373.11959999999999</v>
      </c>
      <c r="H3860" s="1">
        <v>-3.4382500000000001E-6</v>
      </c>
      <c r="I3860">
        <v>141.51140000000001</v>
      </c>
      <c r="J3860">
        <v>-327.0093</v>
      </c>
      <c r="K3860">
        <v>1.108916</v>
      </c>
      <c r="L3860">
        <v>141.3819</v>
      </c>
      <c r="M3860">
        <v>-0.99991459999999999</v>
      </c>
      <c r="N3860">
        <v>0</v>
      </c>
      <c r="O3860">
        <v>3.804525E-3</v>
      </c>
      <c r="P3860">
        <v>-0.99124489999999998</v>
      </c>
      <c r="Q3860">
        <v>0.12905249999999999</v>
      </c>
      <c r="R3860">
        <v>2.7918100000000001E-2</v>
      </c>
      <c r="S3860">
        <v>-3.0355829999999999</v>
      </c>
      <c r="T3860">
        <v>-7.2643520000000003E-2</v>
      </c>
      <c r="U3860">
        <v>8.5449219999999999E-3</v>
      </c>
      <c r="V3860">
        <v>2.4146020000000001E-2</v>
      </c>
      <c r="W3860">
        <v>0.14144870000000001</v>
      </c>
      <c r="X3860">
        <v>0.98965110000000001</v>
      </c>
      <c r="Y3860">
        <v>-9.8854720000000006E-4</v>
      </c>
      <c r="Z3860">
        <v>-1.02865E-4</v>
      </c>
      <c r="AA3860">
        <v>0.99999950000000004</v>
      </c>
      <c r="AB3860">
        <v>28</v>
      </c>
      <c r="AC3860">
        <v>-46.110300000000002</v>
      </c>
      <c r="AD3860">
        <v>-1.1089194382500001</v>
      </c>
      <c r="AE3860">
        <v>0.129500000000007</v>
      </c>
      <c r="AF3860">
        <v>-4.5915883311363002E-2</v>
      </c>
      <c r="AG3860">
        <v>-1.1089194382500001</v>
      </c>
      <c r="AH3860">
        <v>46.083805782836897</v>
      </c>
      <c r="AI3860">
        <v>91.378447636163799</v>
      </c>
      <c r="AJ3860">
        <v>90.057086983401504</v>
      </c>
      <c r="AK3860">
        <v>46.097168741898898</v>
      </c>
      <c r="AL3860">
        <v>81.868315319736098</v>
      </c>
      <c r="AM3860">
        <v>88.602345194024494</v>
      </c>
      <c r="AN3860">
        <v>1.0000000323723599</v>
      </c>
    </row>
    <row r="3861" spans="1:40" x14ac:dyDescent="0.25">
      <c r="A3861" t="str">
        <f>"20190312164548564"</f>
        <v>20190312164548564</v>
      </c>
      <c r="B3861" t="str">
        <f>"1552380348555229"</f>
        <v>1552380348555229</v>
      </c>
      <c r="C3861" t="s">
        <v>40</v>
      </c>
      <c r="D3861">
        <v>4.9894109999999996</v>
      </c>
      <c r="E3861">
        <v>0.49311850000000002</v>
      </c>
      <c r="F3861" t="s">
        <v>42</v>
      </c>
      <c r="G3861">
        <v>-380.90359999999998</v>
      </c>
      <c r="H3861" s="1">
        <v>-4.3042689999999998E-6</v>
      </c>
      <c r="I3861">
        <v>141.50890000000001</v>
      </c>
      <c r="J3861">
        <v>-327.18700000000001</v>
      </c>
      <c r="K3861">
        <v>1.108924</v>
      </c>
      <c r="L3861">
        <v>141.3826</v>
      </c>
      <c r="M3861">
        <v>-0.99991490000000005</v>
      </c>
      <c r="N3861">
        <v>0</v>
      </c>
      <c r="O3861">
        <v>3.7779580000000001E-3</v>
      </c>
      <c r="P3861">
        <v>-0.99120889999999995</v>
      </c>
      <c r="Q3861">
        <v>0.1292912</v>
      </c>
      <c r="R3861">
        <v>2.809E-2</v>
      </c>
      <c r="S3861">
        <v>-3.034424</v>
      </c>
      <c r="T3861">
        <v>-6.2435869999999997E-2</v>
      </c>
      <c r="U3861">
        <v>7.1563719999999898E-3</v>
      </c>
      <c r="V3861">
        <v>2.4341419999999999E-2</v>
      </c>
      <c r="W3861">
        <v>0.14166400000000001</v>
      </c>
      <c r="X3861">
        <v>0.98961549999999998</v>
      </c>
      <c r="Y3861">
        <v>-1.41877E-3</v>
      </c>
      <c r="Z3861" s="1">
        <v>-9.2326870000000003E-5</v>
      </c>
      <c r="AA3861">
        <v>0.99999899999999997</v>
      </c>
      <c r="AB3861">
        <v>28</v>
      </c>
      <c r="AC3861">
        <v>-53.7165999999999</v>
      </c>
      <c r="AD3861">
        <v>-1.1089283042689999</v>
      </c>
      <c r="AE3861">
        <v>0.12630000000001401</v>
      </c>
      <c r="AF3861">
        <v>-7.6623128315928296E-2</v>
      </c>
      <c r="AG3861">
        <v>-1.1089283042689999</v>
      </c>
      <c r="AH3861">
        <v>53.693810849239199</v>
      </c>
      <c r="AI3861">
        <v>91.183149689050794</v>
      </c>
      <c r="AJ3861">
        <v>90.081763220305007</v>
      </c>
      <c r="AK3861">
        <v>53.705315533955101</v>
      </c>
      <c r="AL3861">
        <v>81.855853919909407</v>
      </c>
      <c r="AM3861">
        <v>88.590988644981493</v>
      </c>
      <c r="AN3861">
        <v>1.00000001573193</v>
      </c>
    </row>
    <row r="3862" spans="1:40" x14ac:dyDescent="0.25">
      <c r="A3862" t="str">
        <f>"20190312164548576"</f>
        <v>20190312164548576</v>
      </c>
      <c r="B3862" t="str">
        <f>"1552380348564989"</f>
        <v>1552380348564989</v>
      </c>
      <c r="C3862" t="s">
        <v>40</v>
      </c>
      <c r="D3862">
        <v>4.917681</v>
      </c>
      <c r="E3862">
        <v>0.49296329999999999</v>
      </c>
      <c r="F3862" t="s">
        <v>42</v>
      </c>
      <c r="G3862">
        <v>-385.41050000000001</v>
      </c>
      <c r="H3862" s="1">
        <v>-2.4558490000000001E-6</v>
      </c>
      <c r="I3862">
        <v>141.5128</v>
      </c>
      <c r="J3862">
        <v>-327.33699999999999</v>
      </c>
      <c r="K3862">
        <v>1.10893</v>
      </c>
      <c r="L3862">
        <v>141.38310000000001</v>
      </c>
      <c r="M3862">
        <v>-0.99991540000000001</v>
      </c>
      <c r="N3862">
        <v>0</v>
      </c>
      <c r="O3862">
        <v>3.748515E-3</v>
      </c>
      <c r="P3862">
        <v>-0.99121000000000004</v>
      </c>
      <c r="Q3862">
        <v>0.12926569999999901</v>
      </c>
      <c r="R3862">
        <v>2.8172019999999999E-2</v>
      </c>
      <c r="S3862">
        <v>-3.0339969999999998</v>
      </c>
      <c r="T3862">
        <v>-5.7785629999999998E-2</v>
      </c>
      <c r="U3862">
        <v>6.7901609999999899E-3</v>
      </c>
      <c r="V3862">
        <v>2.4449800000000001E-2</v>
      </c>
      <c r="W3862">
        <v>0.1416191</v>
      </c>
      <c r="X3862">
        <v>0.98961929999999998</v>
      </c>
      <c r="Y3862">
        <v>-1.509839E-3</v>
      </c>
      <c r="Z3862" s="1">
        <v>-8.5770079999999898E-5</v>
      </c>
      <c r="AA3862">
        <v>0.99999890000000002</v>
      </c>
      <c r="AB3862">
        <v>28</v>
      </c>
      <c r="AC3862">
        <v>-58.073500000000003</v>
      </c>
      <c r="AD3862">
        <v>-1.1089324558489999</v>
      </c>
      <c r="AE3862">
        <v>0.12969999999998499</v>
      </c>
      <c r="AF3862">
        <v>-8.7975107184249696E-2</v>
      </c>
      <c r="AG3862">
        <v>-1.1089324558489999</v>
      </c>
      <c r="AH3862">
        <v>58.052410517333698</v>
      </c>
      <c r="AI3862">
        <v>91.094344739830504</v>
      </c>
      <c r="AJ3862">
        <v>90.086828409712197</v>
      </c>
      <c r="AK3862">
        <v>58.0630677598433</v>
      </c>
      <c r="AL3862">
        <v>81.858453068767005</v>
      </c>
      <c r="AM3862">
        <v>88.584723010147201</v>
      </c>
      <c r="AN3862">
        <v>1.0000000605686601</v>
      </c>
    </row>
    <row r="3863" spans="1:40" x14ac:dyDescent="0.25">
      <c r="A3863" t="str">
        <f>"20190312164548589"</f>
        <v>20190312164548589</v>
      </c>
      <c r="B3863" t="str">
        <f>"1552380348585485"</f>
        <v>1552380348585485</v>
      </c>
      <c r="C3863" t="s">
        <v>40</v>
      </c>
      <c r="D3863">
        <v>5.0909329999999997</v>
      </c>
      <c r="E3863">
        <v>0.49292589999999997</v>
      </c>
      <c r="F3863" t="s">
        <v>42</v>
      </c>
      <c r="G3863">
        <v>-388.7679</v>
      </c>
      <c r="H3863" s="1">
        <v>-1.013205E-6</v>
      </c>
      <c r="I3863">
        <v>141.5042</v>
      </c>
      <c r="J3863">
        <v>-327.4975</v>
      </c>
      <c r="K3863">
        <v>1.1089359999999999</v>
      </c>
      <c r="L3863">
        <v>141.3837</v>
      </c>
      <c r="M3863">
        <v>-0.99991569999999996</v>
      </c>
      <c r="N3863">
        <v>0</v>
      </c>
      <c r="O3863">
        <v>3.7123270000000001E-3</v>
      </c>
      <c r="P3863">
        <v>-0.99118519999999999</v>
      </c>
      <c r="Q3863">
        <v>0.12948779999999999</v>
      </c>
      <c r="R3863">
        <v>2.8019929999999998E-2</v>
      </c>
      <c r="S3863">
        <v>-3.033569</v>
      </c>
      <c r="T3863">
        <v>-5.4761049999999999E-2</v>
      </c>
      <c r="U3863">
        <v>5.9814450000000002E-3</v>
      </c>
      <c r="V3863">
        <v>2.4330439999999998E-2</v>
      </c>
      <c r="W3863">
        <v>0.14182069999999999</v>
      </c>
      <c r="X3863">
        <v>0.98959330000000001</v>
      </c>
      <c r="Y3863">
        <v>-1.739984E-3</v>
      </c>
      <c r="Z3863" s="1">
        <v>-8.2716800000000001E-5</v>
      </c>
      <c r="AA3863">
        <v>0.99999850000000001</v>
      </c>
      <c r="AB3863">
        <v>28</v>
      </c>
      <c r="AC3863">
        <v>-61.270400000000002</v>
      </c>
      <c r="AD3863">
        <v>-1.108937013205</v>
      </c>
      <c r="AE3863">
        <v>0.120499999999992</v>
      </c>
      <c r="AF3863">
        <v>-0.1069391685207</v>
      </c>
      <c r="AG3863">
        <v>-1.108937013205</v>
      </c>
      <c r="AH3863">
        <v>61.250361025836703</v>
      </c>
      <c r="AI3863">
        <v>91.037224463234907</v>
      </c>
      <c r="AJ3863">
        <v>90.100034623347099</v>
      </c>
      <c r="AK3863">
        <v>61.260492187708998</v>
      </c>
      <c r="AL3863">
        <v>81.8467838902083</v>
      </c>
      <c r="AM3863">
        <v>88.591592387941901</v>
      </c>
      <c r="AN3863">
        <v>0.99999999033198606</v>
      </c>
    </row>
    <row r="3864" spans="1:40" x14ac:dyDescent="0.25">
      <c r="A3864" t="str">
        <f>"20190312164548605"</f>
        <v>20190312164548605</v>
      </c>
      <c r="B3864" t="str">
        <f>"1552380348595245"</f>
        <v>1552380348595245</v>
      </c>
      <c r="C3864" t="s">
        <v>40</v>
      </c>
      <c r="D3864">
        <v>4.8245979999999999</v>
      </c>
      <c r="E3864">
        <v>0.4928631</v>
      </c>
      <c r="F3864" t="s">
        <v>42</v>
      </c>
      <c r="G3864">
        <v>-395.22149999999999</v>
      </c>
      <c r="H3864" s="1">
        <v>-2.535013E-6</v>
      </c>
      <c r="I3864">
        <v>141.50559999999999</v>
      </c>
      <c r="J3864">
        <v>-327.70060000000001</v>
      </c>
      <c r="K3864">
        <v>1.1089469999999999</v>
      </c>
      <c r="L3864">
        <v>141.3844</v>
      </c>
      <c r="M3864">
        <v>-0.99991609999999997</v>
      </c>
      <c r="N3864">
        <v>0</v>
      </c>
      <c r="O3864">
        <v>3.647656E-3</v>
      </c>
      <c r="P3864">
        <v>-0.99115209999999998</v>
      </c>
      <c r="Q3864">
        <v>0.1297335</v>
      </c>
      <c r="R3864">
        <v>2.8052049999999999E-2</v>
      </c>
      <c r="S3864">
        <v>-3.0330509999999999</v>
      </c>
      <c r="T3864">
        <v>-4.9664380000000001E-2</v>
      </c>
      <c r="U3864">
        <v>5.4626459999999998E-3</v>
      </c>
      <c r="V3864">
        <v>2.4422010000000001E-2</v>
      </c>
      <c r="W3864">
        <v>0.14204349999999999</v>
      </c>
      <c r="X3864">
        <v>0.98955910000000002</v>
      </c>
      <c r="Y3864">
        <v>-1.8461700000000001E-3</v>
      </c>
      <c r="Z3864" s="1">
        <v>-7.4842529999999996E-5</v>
      </c>
      <c r="AA3864">
        <v>0.99999830000000001</v>
      </c>
      <c r="AB3864">
        <v>28</v>
      </c>
      <c r="AC3864">
        <v>-67.520899999999898</v>
      </c>
      <c r="AD3864">
        <v>-1.1089495350130001</v>
      </c>
      <c r="AE3864">
        <v>0.121199999999987</v>
      </c>
      <c r="AF3864">
        <v>-0.12507911038560399</v>
      </c>
      <c r="AG3864">
        <v>-1.1089495350130001</v>
      </c>
      <c r="AH3864">
        <v>67.502684673429897</v>
      </c>
      <c r="AI3864">
        <v>90.941181883406102</v>
      </c>
      <c r="AJ3864">
        <v>90.106166102328302</v>
      </c>
      <c r="AK3864">
        <v>67.511908964089898</v>
      </c>
      <c r="AL3864">
        <v>81.833887927064197</v>
      </c>
      <c r="AM3864">
        <v>88.586245015616498</v>
      </c>
      <c r="AN3864">
        <v>1.00000000142875</v>
      </c>
    </row>
    <row r="3865" spans="1:40" x14ac:dyDescent="0.25">
      <c r="A3865" t="str">
        <f>"20190312164548619"</f>
        <v>20190312164548619</v>
      </c>
      <c r="B3865" t="str">
        <f>"1552380348615295"</f>
        <v>1552380348615295</v>
      </c>
      <c r="C3865" t="s">
        <v>40</v>
      </c>
      <c r="D3865">
        <v>5.2605879999999896</v>
      </c>
      <c r="E3865">
        <v>0.4927744</v>
      </c>
      <c r="F3865" t="s">
        <v>42</v>
      </c>
      <c r="G3865">
        <v>-398.6404</v>
      </c>
      <c r="H3865" s="1">
        <v>-1.0704979999999999E-6</v>
      </c>
      <c r="I3865">
        <v>141.5138</v>
      </c>
      <c r="J3865">
        <v>-327.86709999999999</v>
      </c>
      <c r="K3865">
        <v>1.1089560000000001</v>
      </c>
      <c r="L3865">
        <v>141.38489999999999</v>
      </c>
      <c r="M3865">
        <v>-0.99991669999999999</v>
      </c>
      <c r="N3865">
        <v>0</v>
      </c>
      <c r="O3865">
        <v>3.5848569999999999E-3</v>
      </c>
      <c r="P3865">
        <v>-0.99112929999999999</v>
      </c>
      <c r="Q3865">
        <v>0.1298733</v>
      </c>
      <c r="R3865">
        <v>2.8213530000000001E-2</v>
      </c>
      <c r="S3865">
        <v>-3.0328369999999998</v>
      </c>
      <c r="T3865">
        <v>-4.7410010000000002E-2</v>
      </c>
      <c r="U3865">
        <v>5.53894E-3</v>
      </c>
      <c r="V3865">
        <v>2.464206E-2</v>
      </c>
      <c r="W3865">
        <v>0.1421634</v>
      </c>
      <c r="X3865">
        <v>0.98953639999999998</v>
      </c>
      <c r="Y3865">
        <v>-1.7581649999999999E-3</v>
      </c>
      <c r="Z3865" s="1">
        <v>-6.9781180000000001E-5</v>
      </c>
      <c r="AA3865">
        <v>0.99999850000000001</v>
      </c>
      <c r="AB3865">
        <v>28</v>
      </c>
      <c r="AC3865">
        <v>-70.773300000000006</v>
      </c>
      <c r="AD3865">
        <v>-1.1089570704979901</v>
      </c>
      <c r="AE3865">
        <v>0.128900000000015</v>
      </c>
      <c r="AF3865">
        <v>-0.124801852136722</v>
      </c>
      <c r="AG3865">
        <v>-1.1089570704979901</v>
      </c>
      <c r="AH3865">
        <v>70.755935203688594</v>
      </c>
      <c r="AI3865">
        <v>90.897921269478203</v>
      </c>
      <c r="AJ3865">
        <v>90.101060242745802</v>
      </c>
      <c r="AK3865">
        <v>70.764735058043399</v>
      </c>
      <c r="AL3865">
        <v>81.826947516649398</v>
      </c>
      <c r="AM3865">
        <v>88.573479167722098</v>
      </c>
      <c r="AN3865">
        <v>0.99999997517278105</v>
      </c>
    </row>
    <row r="3866" spans="1:40" x14ac:dyDescent="0.25">
      <c r="A3866" t="str">
        <f>"20190312164548633"</f>
        <v>20190312164548633</v>
      </c>
      <c r="B3866" t="str">
        <f>"1552380348625055"</f>
        <v>1552380348625055</v>
      </c>
      <c r="C3866" t="s">
        <v>40</v>
      </c>
      <c r="D3866">
        <v>5.1852669999999996</v>
      </c>
      <c r="E3866">
        <v>0.49271019999999999</v>
      </c>
      <c r="F3866" t="s">
        <v>71</v>
      </c>
      <c r="G3866">
        <v>-403.77870000000001</v>
      </c>
      <c r="H3866" s="1">
        <v>-7.8258929999999999E-6</v>
      </c>
      <c r="I3866">
        <v>141.52430000000001</v>
      </c>
      <c r="J3866">
        <v>-328.04750000000001</v>
      </c>
      <c r="K3866">
        <v>1.1089639999999901</v>
      </c>
      <c r="L3866">
        <v>141.38550000000001</v>
      </c>
      <c r="M3866">
        <v>-0.99991730000000001</v>
      </c>
      <c r="N3866">
        <v>0</v>
      </c>
      <c r="O3866">
        <v>3.5099129999999999E-3</v>
      </c>
      <c r="P3866">
        <v>-0.99108949999999996</v>
      </c>
      <c r="Q3866">
        <v>0.13018879999999999</v>
      </c>
      <c r="R3866">
        <v>2.8152989999999999E-2</v>
      </c>
      <c r="S3866">
        <v>-3.0325319999999998</v>
      </c>
      <c r="T3866">
        <v>-4.4301149999999997E-2</v>
      </c>
      <c r="U3866">
        <v>5.5694580000000002E-3</v>
      </c>
      <c r="V3866">
        <v>2.4651860000000001E-2</v>
      </c>
      <c r="W3866">
        <v>0.14245459999999999</v>
      </c>
      <c r="X3866">
        <v>0.98949430000000005</v>
      </c>
      <c r="Y3866">
        <v>-1.6730670000000001E-3</v>
      </c>
      <c r="Z3866" s="1">
        <v>-6.3496020000000005E-5</v>
      </c>
      <c r="AA3866">
        <v>0.99999859999999896</v>
      </c>
      <c r="AB3866">
        <v>28</v>
      </c>
      <c r="AC3866">
        <v>-75.731200000000001</v>
      </c>
      <c r="AD3866">
        <v>-1.1089718258929999</v>
      </c>
      <c r="AE3866">
        <v>0.138800000000003</v>
      </c>
      <c r="AF3866">
        <v>-0.12700389136120999</v>
      </c>
      <c r="AG3866">
        <v>-1.1089718258929999</v>
      </c>
      <c r="AH3866">
        <v>75.714984928890104</v>
      </c>
      <c r="AI3866">
        <v>90.839130759999705</v>
      </c>
      <c r="AJ3866">
        <v>90.096107529292894</v>
      </c>
      <c r="AK3866">
        <v>75.723212367682194</v>
      </c>
      <c r="AL3866">
        <v>81.810091620985602</v>
      </c>
      <c r="AM3866">
        <v>88.5728513902922</v>
      </c>
      <c r="AN3866">
        <v>0.99999999849755405</v>
      </c>
    </row>
    <row r="3867" spans="1:40" x14ac:dyDescent="0.25">
      <c r="A3867" t="str">
        <f>"20190312164548651"</f>
        <v>20190312164548651</v>
      </c>
      <c r="B3867" t="str">
        <f>"1552380348645550"</f>
        <v>1552380348645550</v>
      </c>
      <c r="C3867" t="s">
        <v>40</v>
      </c>
      <c r="D3867">
        <v>4.8254809999999999</v>
      </c>
      <c r="E3867">
        <v>0.49265429999999999</v>
      </c>
      <c r="F3867" t="s">
        <v>71</v>
      </c>
      <c r="G3867">
        <v>-407.71030000000002</v>
      </c>
      <c r="H3867" s="1">
        <v>-1.0058509999999999E-5</v>
      </c>
      <c r="I3867">
        <v>141.51499999999999</v>
      </c>
      <c r="J3867">
        <v>-328.27519999999998</v>
      </c>
      <c r="K3867">
        <v>1.1089709999999999</v>
      </c>
      <c r="L3867">
        <v>141.3862</v>
      </c>
      <c r="M3867">
        <v>-0.99991810000000003</v>
      </c>
      <c r="N3867">
        <v>0</v>
      </c>
      <c r="O3867">
        <v>3.4037759999999999E-3</v>
      </c>
      <c r="P3867">
        <v>-0.99111939999999998</v>
      </c>
      <c r="Q3867">
        <v>0.12992139999999999</v>
      </c>
      <c r="R3867">
        <v>2.8339010000000001E-2</v>
      </c>
      <c r="S3867">
        <v>-3.032349</v>
      </c>
      <c r="T3867">
        <v>-4.2212840000000001E-2</v>
      </c>
      <c r="U3867">
        <v>4.9285889999999997E-3</v>
      </c>
      <c r="V3867">
        <v>2.4938729999999999E-2</v>
      </c>
      <c r="W3867">
        <v>0.14215529999999901</v>
      </c>
      <c r="X3867">
        <v>0.98953009999999997</v>
      </c>
      <c r="Y3867">
        <v>-1.7782029999999999E-3</v>
      </c>
      <c r="Z3867" s="1">
        <v>-5.9761050000000003E-5</v>
      </c>
      <c r="AA3867">
        <v>0.99999839999999995</v>
      </c>
      <c r="AB3867">
        <v>28</v>
      </c>
      <c r="AC3867">
        <v>-79.435100000000006</v>
      </c>
      <c r="AD3867">
        <v>-1.10898105851</v>
      </c>
      <c r="AE3867">
        <v>0.12879999999998401</v>
      </c>
      <c r="AF3867">
        <v>-0.14157301917138601</v>
      </c>
      <c r="AG3867">
        <v>-1.10898105851</v>
      </c>
      <c r="AH3867">
        <v>79.419598963172803</v>
      </c>
      <c r="AI3867">
        <v>90.800000313429294</v>
      </c>
      <c r="AJ3867">
        <v>90.102135090147598</v>
      </c>
      <c r="AK3867">
        <v>79.427467423927595</v>
      </c>
      <c r="AL3867">
        <v>81.8274161193456</v>
      </c>
      <c r="AM3867">
        <v>88.556303075456597</v>
      </c>
      <c r="AN3867">
        <v>0.99999994418905402</v>
      </c>
    </row>
    <row r="3868" spans="1:40" x14ac:dyDescent="0.25">
      <c r="A3868" t="str">
        <f>"20190312164548674"</f>
        <v>20190312164548674</v>
      </c>
      <c r="B3868" t="str">
        <f>"1552380348665072"</f>
        <v>1552380348665072</v>
      </c>
      <c r="C3868" t="s">
        <v>40</v>
      </c>
      <c r="D3868">
        <v>5.0323929999999999</v>
      </c>
      <c r="E3868">
        <v>0.49252750000000001</v>
      </c>
      <c r="F3868" t="s">
        <v>71</v>
      </c>
      <c r="G3868">
        <v>-410.24979999999999</v>
      </c>
      <c r="H3868" s="1">
        <v>-1.133743E-5</v>
      </c>
      <c r="I3868">
        <v>141.5231</v>
      </c>
      <c r="J3868">
        <v>-328.5686</v>
      </c>
      <c r="K3868">
        <v>1.108973</v>
      </c>
      <c r="L3868">
        <v>141.387</v>
      </c>
      <c r="M3868">
        <v>-0.999919</v>
      </c>
      <c r="N3868">
        <v>0</v>
      </c>
      <c r="O3868">
        <v>3.251313E-3</v>
      </c>
      <c r="P3868">
        <v>-0.99111729999999998</v>
      </c>
      <c r="Q3868">
        <v>0.1299863</v>
      </c>
      <c r="R3868">
        <v>2.8112459999999999E-2</v>
      </c>
      <c r="S3868">
        <v>-3.0321039999999999</v>
      </c>
      <c r="T3868">
        <v>-4.1019439999999997E-2</v>
      </c>
      <c r="U3868">
        <v>5.065918E-3</v>
      </c>
      <c r="V3868">
        <v>2.485882E-2</v>
      </c>
      <c r="W3868">
        <v>0.14218129999999901</v>
      </c>
      <c r="X3868">
        <v>0.98952839999999997</v>
      </c>
      <c r="Y3868">
        <v>-1.5803639999999999E-3</v>
      </c>
      <c r="Z3868" s="1">
        <v>-5.4675559999999898E-5</v>
      </c>
      <c r="AA3868">
        <v>0.99999870000000002</v>
      </c>
      <c r="AB3868">
        <v>28</v>
      </c>
      <c r="AC3868">
        <v>-81.681199999999905</v>
      </c>
      <c r="AD3868">
        <v>-1.1089843374299999</v>
      </c>
      <c r="AE3868">
        <v>0.136099999999999</v>
      </c>
      <c r="AF3868">
        <v>-0.129468110507725</v>
      </c>
      <c r="AG3868">
        <v>-1.1089843374299999</v>
      </c>
      <c r="AH3868">
        <v>81.666156895480697</v>
      </c>
      <c r="AI3868">
        <v>90.777998370995405</v>
      </c>
      <c r="AJ3868">
        <v>90.0908328539157</v>
      </c>
      <c r="AK3868">
        <v>81.673788881926995</v>
      </c>
      <c r="AL3868">
        <v>81.825911343945805</v>
      </c>
      <c r="AM3868">
        <v>88.560924625978501</v>
      </c>
      <c r="AN3868">
        <v>0.99999996870401997</v>
      </c>
    </row>
    <row r="3869" spans="1:40" x14ac:dyDescent="0.25">
      <c r="A3869" t="str">
        <f>"20190312164548695"</f>
        <v>20190312164548695</v>
      </c>
      <c r="B3869" t="str">
        <f>"1552380348685566"</f>
        <v>1552380348685566</v>
      </c>
      <c r="C3869" t="s">
        <v>40</v>
      </c>
      <c r="D3869">
        <v>5.0789749999999998</v>
      </c>
      <c r="E3869">
        <v>0.49266179999999898</v>
      </c>
      <c r="F3869" t="s">
        <v>71</v>
      </c>
      <c r="G3869">
        <v>-413.75850000000003</v>
      </c>
      <c r="H3869" s="1">
        <v>-1.099903E-5</v>
      </c>
      <c r="I3869">
        <v>141.48349999999999</v>
      </c>
      <c r="J3869">
        <v>-328.8236</v>
      </c>
      <c r="K3869">
        <v>1.1089770000000001</v>
      </c>
      <c r="L3869">
        <v>141.3877</v>
      </c>
      <c r="M3869">
        <v>-0.99991989999999997</v>
      </c>
      <c r="N3869">
        <v>0</v>
      </c>
      <c r="O3869">
        <v>3.1101950000000001E-3</v>
      </c>
      <c r="P3869">
        <v>-0.9911008</v>
      </c>
      <c r="Q3869">
        <v>0.13005</v>
      </c>
      <c r="R3869">
        <v>2.8393700000000001E-2</v>
      </c>
      <c r="S3869">
        <v>-3.0319820000000002</v>
      </c>
      <c r="T3869">
        <v>-3.946972E-2</v>
      </c>
      <c r="U3869">
        <v>3.433228E-3</v>
      </c>
      <c r="V3869">
        <v>2.5277230000000001E-2</v>
      </c>
      <c r="W3869">
        <v>0.1422138</v>
      </c>
      <c r="X3869">
        <v>0.98951319999999998</v>
      </c>
      <c r="Y3869">
        <v>-1.977665E-3</v>
      </c>
      <c r="Z3869" s="1">
        <v>-5.3361E-5</v>
      </c>
      <c r="AA3869">
        <v>0.99999800000000005</v>
      </c>
      <c r="AB3869">
        <v>28</v>
      </c>
      <c r="AC3869">
        <v>-84.934899999999999</v>
      </c>
      <c r="AD3869">
        <v>-1.10898799903</v>
      </c>
      <c r="AE3869">
        <v>9.5799999999996999E-2</v>
      </c>
      <c r="AF3869">
        <v>-0.168355746225819</v>
      </c>
      <c r="AG3869">
        <v>-1.10898799903</v>
      </c>
      <c r="AH3869">
        <v>84.920309656130797</v>
      </c>
      <c r="AI3869">
        <v>90.748190810460699</v>
      </c>
      <c r="AJ3869">
        <v>90.113589565524194</v>
      </c>
      <c r="AK3869">
        <v>84.927717443320105</v>
      </c>
      <c r="AL3869">
        <v>81.824030685991701</v>
      </c>
      <c r="AM3869">
        <v>88.536690875982103</v>
      </c>
      <c r="AN3869">
        <v>1.00000003812057</v>
      </c>
    </row>
    <row r="3870" spans="1:40" x14ac:dyDescent="0.25">
      <c r="A3870" t="str">
        <f>"20190312164548707"</f>
        <v>20190312164548707</v>
      </c>
      <c r="B3870" t="str">
        <f>"1552380348695328"</f>
        <v>1552380348695328</v>
      </c>
      <c r="C3870" t="s">
        <v>40</v>
      </c>
      <c r="D3870">
        <v>5.1274579999999998</v>
      </c>
      <c r="E3870">
        <v>0.49273650000000002</v>
      </c>
      <c r="F3870" t="s">
        <v>71</v>
      </c>
      <c r="G3870">
        <v>-407.19170000000003</v>
      </c>
      <c r="H3870" s="1">
        <v>-9.7366680000000003E-6</v>
      </c>
      <c r="I3870">
        <v>141.51750000000001</v>
      </c>
      <c r="J3870">
        <v>-328.98360000000002</v>
      </c>
      <c r="K3870">
        <v>1.108976</v>
      </c>
      <c r="L3870">
        <v>141.38810000000001</v>
      </c>
      <c r="M3870">
        <v>-0.99992040000000004</v>
      </c>
      <c r="N3870">
        <v>0</v>
      </c>
      <c r="O3870">
        <v>3.0195450000000002E-3</v>
      </c>
      <c r="P3870">
        <v>-0.9911103</v>
      </c>
      <c r="Q3870">
        <v>0.12999240000000001</v>
      </c>
      <c r="R3870">
        <v>2.8331789999999999E-2</v>
      </c>
      <c r="S3870">
        <v>-3.0324710000000001</v>
      </c>
      <c r="T3870">
        <v>-4.2912480000000003E-2</v>
      </c>
      <c r="U3870">
        <v>5.020142E-3</v>
      </c>
      <c r="V3870">
        <v>2.5304009999999998E-2</v>
      </c>
      <c r="W3870">
        <v>0.14213789999999901</v>
      </c>
      <c r="X3870">
        <v>0.98952340000000005</v>
      </c>
      <c r="Y3870">
        <v>-1.363876E-3</v>
      </c>
      <c r="Z3870" s="1">
        <v>-5.238015E-5</v>
      </c>
      <c r="AA3870">
        <v>0.99999899999999997</v>
      </c>
      <c r="AB3870">
        <v>28</v>
      </c>
      <c r="AC3870">
        <v>-78.208100000000002</v>
      </c>
      <c r="AD3870">
        <v>-1.108985736668</v>
      </c>
      <c r="AE3870">
        <v>0.12940000000000301</v>
      </c>
      <c r="AF3870">
        <v>-0.10674972558576699</v>
      </c>
      <c r="AG3870">
        <v>-1.108985736668</v>
      </c>
      <c r="AH3870">
        <v>78.192412019302594</v>
      </c>
      <c r="AI3870">
        <v>90.812558169342793</v>
      </c>
      <c r="AJ3870">
        <v>90.078221208201498</v>
      </c>
      <c r="AK3870">
        <v>78.200348734928497</v>
      </c>
      <c r="AL3870">
        <v>81.828423895065299</v>
      </c>
      <c r="AM3870">
        <v>88.535156339193307</v>
      </c>
      <c r="AN3870">
        <v>1.0000000173430199</v>
      </c>
    </row>
    <row r="3871" spans="1:40" x14ac:dyDescent="0.25">
      <c r="A3871" t="str">
        <f>"20190312164548728"</f>
        <v>20190312164548728</v>
      </c>
      <c r="B3871" t="str">
        <f>"1552380348725159"</f>
        <v>1552380348725159</v>
      </c>
      <c r="C3871" t="s">
        <v>40</v>
      </c>
      <c r="D3871">
        <v>4.841189</v>
      </c>
      <c r="E3871">
        <v>0.4925699</v>
      </c>
      <c r="F3871" t="s">
        <v>71</v>
      </c>
      <c r="G3871">
        <v>-403.27929999999998</v>
      </c>
      <c r="H3871" s="1">
        <v>-7.6011659999999997E-6</v>
      </c>
      <c r="I3871">
        <v>141.5164</v>
      </c>
      <c r="J3871">
        <v>-329.24029999999999</v>
      </c>
      <c r="K3871">
        <v>1.1089739999999999</v>
      </c>
      <c r="L3871">
        <v>141.3888</v>
      </c>
      <c r="M3871">
        <v>-0.99992110000000001</v>
      </c>
      <c r="N3871">
        <v>0</v>
      </c>
      <c r="O3871">
        <v>2.8732290000000001E-3</v>
      </c>
      <c r="P3871">
        <v>-0.99110279999999995</v>
      </c>
      <c r="Q3871">
        <v>0.1300106</v>
      </c>
      <c r="R3871">
        <v>2.8507129999999999E-2</v>
      </c>
      <c r="S3871">
        <v>-3.0326840000000002</v>
      </c>
      <c r="T3871">
        <v>-4.5267700000000001E-2</v>
      </c>
      <c r="U3871">
        <v>5.2337649999999996E-3</v>
      </c>
      <c r="V3871">
        <v>2.5623320000000002E-2</v>
      </c>
      <c r="W3871">
        <v>0.1421289</v>
      </c>
      <c r="X3871">
        <v>0.98951639999999996</v>
      </c>
      <c r="Y3871">
        <v>-1.147215E-3</v>
      </c>
      <c r="Z3871" s="1">
        <v>-5.1449829999999999E-5</v>
      </c>
      <c r="AA3871">
        <v>0.99999930000000004</v>
      </c>
      <c r="AB3871">
        <v>28</v>
      </c>
      <c r="AC3871">
        <v>-74.038999999999902</v>
      </c>
      <c r="AD3871">
        <v>-1.1089816011660001</v>
      </c>
      <c r="AE3871">
        <v>0.12760000000000099</v>
      </c>
      <c r="AF3871">
        <v>-8.5128337659085604E-2</v>
      </c>
      <c r="AG3871">
        <v>-1.1089816011660001</v>
      </c>
      <c r="AH3871">
        <v>74.022454046319694</v>
      </c>
      <c r="AI3871">
        <v>90.858322935692698</v>
      </c>
      <c r="AJ3871">
        <v>90.0658920644739</v>
      </c>
      <c r="AK3871">
        <v>74.030809735306207</v>
      </c>
      <c r="AL3871">
        <v>81.828944228697694</v>
      </c>
      <c r="AM3871">
        <v>88.516669270719603</v>
      </c>
      <c r="AN3871">
        <v>0.99999994230599398</v>
      </c>
    </row>
    <row r="3872" spans="1:40" x14ac:dyDescent="0.25">
      <c r="A3872" t="str">
        <f>"20190312164548741"</f>
        <v>20190312164548741</v>
      </c>
      <c r="B3872" t="str">
        <f>"1552380348734919"</f>
        <v>1552380348734919</v>
      </c>
      <c r="C3872" t="s">
        <v>40</v>
      </c>
      <c r="D3872">
        <v>5.075291</v>
      </c>
      <c r="E3872">
        <v>0.4926604</v>
      </c>
      <c r="F3872" t="s">
        <v>42</v>
      </c>
      <c r="G3872">
        <v>-397.32600000000002</v>
      </c>
      <c r="H3872" s="1">
        <v>-1.6257730000000001E-6</v>
      </c>
      <c r="I3872">
        <v>141.48150000000001</v>
      </c>
      <c r="J3872">
        <v>-329.41340000000002</v>
      </c>
      <c r="K3872">
        <v>1.1089770000000001</v>
      </c>
      <c r="L3872">
        <v>141.38910000000001</v>
      </c>
      <c r="M3872">
        <v>-0.99992170000000002</v>
      </c>
      <c r="N3872">
        <v>0</v>
      </c>
      <c r="O3872">
        <v>2.7753370000000001E-3</v>
      </c>
      <c r="P3872">
        <v>-0.99111780000000005</v>
      </c>
      <c r="Q3872">
        <v>0.1299168</v>
      </c>
      <c r="R3872">
        <v>2.841254E-2</v>
      </c>
      <c r="S3872">
        <v>-3.033325</v>
      </c>
      <c r="T3872">
        <v>-4.9406650000000003E-2</v>
      </c>
      <c r="U3872">
        <v>4.1351319999999997E-3</v>
      </c>
      <c r="V3872">
        <v>2.5625510000000001E-2</v>
      </c>
      <c r="W3872">
        <v>0.14201800000000001</v>
      </c>
      <c r="X3872">
        <v>0.98953239999999998</v>
      </c>
      <c r="Y3872">
        <v>-1.4117579999999999E-3</v>
      </c>
      <c r="Z3872" s="1">
        <v>-5.6701389999999998E-5</v>
      </c>
      <c r="AA3872">
        <v>0.99999899999999997</v>
      </c>
      <c r="AB3872">
        <v>28</v>
      </c>
      <c r="AC3872">
        <v>-67.912599999999898</v>
      </c>
      <c r="AD3872">
        <v>-1.1089786257729899</v>
      </c>
      <c r="AE3872">
        <v>9.2399999999997803E-2</v>
      </c>
      <c r="AF3872">
        <v>-9.6069123548303006E-2</v>
      </c>
      <c r="AG3872">
        <v>-1.1089786257729899</v>
      </c>
      <c r="AH3872">
        <v>67.894490671347597</v>
      </c>
      <c r="AI3872">
        <v>90.935776685519301</v>
      </c>
      <c r="AJ3872">
        <v>90.081072139917097</v>
      </c>
      <c r="AK3872">
        <v>67.903614972920494</v>
      </c>
      <c r="AL3872">
        <v>81.835364536521496</v>
      </c>
      <c r="AM3872">
        <v>88.516566524227898</v>
      </c>
      <c r="AN3872">
        <v>1.00000007486825</v>
      </c>
    </row>
    <row r="3873" spans="1:40" x14ac:dyDescent="0.25">
      <c r="A3873" t="str">
        <f>"20190312164548754"</f>
        <v>20190312164548754</v>
      </c>
      <c r="B3873" t="str">
        <f>"1552380348745654"</f>
        <v>1552380348745654</v>
      </c>
      <c r="C3873" t="s">
        <v>40</v>
      </c>
      <c r="D3873">
        <v>4.6546409999999998</v>
      </c>
      <c r="E3873">
        <v>0.49259170000000002</v>
      </c>
      <c r="F3873" t="s">
        <v>42</v>
      </c>
      <c r="G3873">
        <v>-395.59300000000002</v>
      </c>
      <c r="H3873" s="1">
        <v>-2.3705769999999998E-6</v>
      </c>
      <c r="I3873">
        <v>141.48660000000001</v>
      </c>
      <c r="J3873">
        <v>-329.56979999999999</v>
      </c>
      <c r="K3873">
        <v>1.108976</v>
      </c>
      <c r="L3873">
        <v>141.3895</v>
      </c>
      <c r="M3873">
        <v>-0.99992199999999998</v>
      </c>
      <c r="N3873">
        <v>0</v>
      </c>
      <c r="O3873">
        <v>2.6873890000000001E-3</v>
      </c>
      <c r="P3873">
        <v>-0.99110209999999999</v>
      </c>
      <c r="Q3873">
        <v>0.1300036</v>
      </c>
      <c r="R3873">
        <v>2.8567240000000001E-2</v>
      </c>
      <c r="S3873">
        <v>-3.033417</v>
      </c>
      <c r="T3873">
        <v>-5.0831319999999999E-2</v>
      </c>
      <c r="U3873">
        <v>4.4708250000000003E-3</v>
      </c>
      <c r="V3873">
        <v>2.5867270000000001E-2</v>
      </c>
      <c r="W3873">
        <v>0.14208970000000001</v>
      </c>
      <c r="X3873">
        <v>0.9895157</v>
      </c>
      <c r="Y3873">
        <v>-1.2131869999999999E-3</v>
      </c>
      <c r="Z3873" s="1">
        <v>-5.5197030000000002E-5</v>
      </c>
      <c r="AA3873">
        <v>0.99999930000000004</v>
      </c>
      <c r="AB3873">
        <v>28</v>
      </c>
      <c r="AC3873">
        <v>-66.023200000000003</v>
      </c>
      <c r="AD3873">
        <v>-1.108978370577</v>
      </c>
      <c r="AE3873">
        <v>9.7100000000011705E-2</v>
      </c>
      <c r="AF3873">
        <v>-8.0320910793395206E-2</v>
      </c>
      <c r="AG3873">
        <v>-1.108978370577</v>
      </c>
      <c r="AH3873">
        <v>66.004600519070905</v>
      </c>
      <c r="AI3873">
        <v>90.962565560171697</v>
      </c>
      <c r="AJ3873">
        <v>90.069723123650206</v>
      </c>
      <c r="AK3873">
        <v>66.013964993456199</v>
      </c>
      <c r="AL3873">
        <v>81.831213393384104</v>
      </c>
      <c r="AM3873">
        <v>88.502552377163695</v>
      </c>
      <c r="AN3873">
        <v>0.99999995952491505</v>
      </c>
    </row>
    <row r="3874" spans="1:40" x14ac:dyDescent="0.25">
      <c r="A3874" t="str">
        <f>"20190312164548766"</f>
        <v>20190312164548766</v>
      </c>
      <c r="B3874" t="str">
        <f>"1552380348755415"</f>
        <v>1552380348755415</v>
      </c>
      <c r="C3874" t="s">
        <v>40</v>
      </c>
      <c r="D3874">
        <v>4.8353039999999998</v>
      </c>
      <c r="E3874">
        <v>0.49255670000000001</v>
      </c>
      <c r="F3874" t="s">
        <v>42</v>
      </c>
      <c r="G3874">
        <v>-396.6318</v>
      </c>
      <c r="H3874" s="1">
        <v>-1.9242160000000002E-6</v>
      </c>
      <c r="I3874">
        <v>141.4838</v>
      </c>
      <c r="J3874">
        <v>-329.72239999999999</v>
      </c>
      <c r="K3874">
        <v>1.1089739999999999</v>
      </c>
      <c r="L3874">
        <v>141.38980000000001</v>
      </c>
      <c r="M3874">
        <v>-0.99992250000000005</v>
      </c>
      <c r="N3874">
        <v>0</v>
      </c>
      <c r="O3874">
        <v>2.6021210000000002E-3</v>
      </c>
      <c r="P3874">
        <v>-0.99106939999999999</v>
      </c>
      <c r="Q3874">
        <v>0.13022600000000001</v>
      </c>
      <c r="R3874">
        <v>2.868594E-2</v>
      </c>
      <c r="S3874">
        <v>-3.0333860000000001</v>
      </c>
      <c r="T3874">
        <v>-5.0161959999999998E-2</v>
      </c>
      <c r="U3874">
        <v>4.272461E-3</v>
      </c>
      <c r="V3874">
        <v>2.607042E-2</v>
      </c>
      <c r="W3874">
        <v>0.142298799999999</v>
      </c>
      <c r="X3874">
        <v>0.98948040000000004</v>
      </c>
      <c r="Y3874">
        <v>-1.193319E-3</v>
      </c>
      <c r="Z3874" s="1">
        <v>-5.2896519999999897E-5</v>
      </c>
      <c r="AA3874">
        <v>0.99999930000000004</v>
      </c>
      <c r="AB3874">
        <v>28</v>
      </c>
      <c r="AC3874">
        <v>-66.909400000000005</v>
      </c>
      <c r="AD3874">
        <v>-1.108975924216</v>
      </c>
      <c r="AE3874">
        <v>9.3999999999994005E-2</v>
      </c>
      <c r="AF3874">
        <v>-8.0097574504887206E-2</v>
      </c>
      <c r="AG3874">
        <v>-1.108975924216</v>
      </c>
      <c r="AH3874">
        <v>66.891042649160298</v>
      </c>
      <c r="AI3874">
        <v>90.949809892086193</v>
      </c>
      <c r="AJ3874">
        <v>90.068607852309995</v>
      </c>
      <c r="AK3874">
        <v>66.900282734183605</v>
      </c>
      <c r="AL3874">
        <v>81.819110510200005</v>
      </c>
      <c r="AM3874">
        <v>88.490743692951895</v>
      </c>
      <c r="AN3874">
        <v>1.00000003863228</v>
      </c>
    </row>
    <row r="3875" spans="1:40" x14ac:dyDescent="0.25">
      <c r="A3875" t="str">
        <f>"20190312164548779"</f>
        <v>20190312164548779</v>
      </c>
      <c r="B3875" t="str">
        <f>"1552380348775911"</f>
        <v>1552380348775911</v>
      </c>
      <c r="C3875" t="s">
        <v>40</v>
      </c>
      <c r="D3875">
        <v>4.7739859999999998</v>
      </c>
      <c r="E3875">
        <v>0.49250699999999997</v>
      </c>
      <c r="F3875" t="s">
        <v>42</v>
      </c>
      <c r="G3875">
        <v>-394.45350000000002</v>
      </c>
      <c r="H3875" s="1">
        <v>-2.8569530000000001E-6</v>
      </c>
      <c r="I3875">
        <v>141.47730000000001</v>
      </c>
      <c r="J3875">
        <v>-329.87619999999998</v>
      </c>
      <c r="K3875">
        <v>1.108973</v>
      </c>
      <c r="L3875">
        <v>141.39009999999999</v>
      </c>
      <c r="M3875">
        <v>-0.99992270000000005</v>
      </c>
      <c r="N3875">
        <v>0</v>
      </c>
      <c r="O3875">
        <v>2.517329E-3</v>
      </c>
      <c r="P3875">
        <v>-0.99105670000000001</v>
      </c>
      <c r="Q3875">
        <v>0.1303096</v>
      </c>
      <c r="R3875">
        <v>2.874028E-2</v>
      </c>
      <c r="S3875">
        <v>-3.0337519999999998</v>
      </c>
      <c r="T3875">
        <v>-5.197442E-2</v>
      </c>
      <c r="U3875">
        <v>4.1046140000000004E-3</v>
      </c>
      <c r="V3875">
        <v>2.620896E-2</v>
      </c>
      <c r="W3875">
        <v>0.14236960000000001</v>
      </c>
      <c r="X3875">
        <v>0.98946650000000003</v>
      </c>
      <c r="Y3875">
        <v>-1.1639969999999999E-3</v>
      </c>
      <c r="Z3875" s="1">
        <v>-5.3097080000000002E-5</v>
      </c>
      <c r="AA3875">
        <v>0.99999930000000004</v>
      </c>
      <c r="AB3875">
        <v>28</v>
      </c>
      <c r="AC3875">
        <v>-64.577299999999994</v>
      </c>
      <c r="AD3875">
        <v>-1.1089758569529999</v>
      </c>
      <c r="AE3875">
        <v>8.7200000000024105E-2</v>
      </c>
      <c r="AF3875">
        <v>-7.5352416330123295E-2</v>
      </c>
      <c r="AG3875">
        <v>-1.1089758569529999</v>
      </c>
      <c r="AH3875">
        <v>64.558276261557594</v>
      </c>
      <c r="AI3875">
        <v>90.984123925468197</v>
      </c>
      <c r="AJ3875">
        <v>90.066875600174598</v>
      </c>
      <c r="AK3875">
        <v>64.567844468446907</v>
      </c>
      <c r="AL3875">
        <v>81.815011789828404</v>
      </c>
      <c r="AM3875">
        <v>88.482705835911503</v>
      </c>
      <c r="AN3875">
        <v>0.99999998360534503</v>
      </c>
    </row>
    <row r="3876" spans="1:40" x14ac:dyDescent="0.25">
      <c r="A3876" t="str">
        <f>"20190312164548795"</f>
        <v>20190312164548795</v>
      </c>
      <c r="B3876" t="str">
        <f>"1552380348785670"</f>
        <v>1552380348785670</v>
      </c>
      <c r="C3876" t="s">
        <v>40</v>
      </c>
      <c r="D3876">
        <v>4.868824</v>
      </c>
      <c r="E3876">
        <v>0.49253920000000001</v>
      </c>
      <c r="F3876" t="s">
        <v>42</v>
      </c>
      <c r="G3876">
        <v>-390.16680000000002</v>
      </c>
      <c r="H3876" s="1">
        <v>-4.5469870000000001E-6</v>
      </c>
      <c r="I3876">
        <v>141.46369999999999</v>
      </c>
      <c r="J3876">
        <v>-330.07830000000001</v>
      </c>
      <c r="K3876">
        <v>1.10897</v>
      </c>
      <c r="L3876">
        <v>141.3905</v>
      </c>
      <c r="M3876">
        <v>-0.99992329999999996</v>
      </c>
      <c r="N3876">
        <v>0</v>
      </c>
      <c r="O3876">
        <v>2.4068230000000002E-3</v>
      </c>
      <c r="P3876">
        <v>-0.99105109999999996</v>
      </c>
      <c r="Q3876">
        <v>0.13030919999999999</v>
      </c>
      <c r="R3876">
        <v>2.893917E-2</v>
      </c>
      <c r="S3876">
        <v>-3.0342709999999999</v>
      </c>
      <c r="T3876">
        <v>-5.5812E-2</v>
      </c>
      <c r="U3876">
        <v>3.7078860000000001E-3</v>
      </c>
      <c r="V3876">
        <v>2.6517539999999999E-2</v>
      </c>
      <c r="W3876">
        <v>0.1423526</v>
      </c>
      <c r="X3876">
        <v>0.98946080000000003</v>
      </c>
      <c r="Y3876">
        <v>-1.1843940000000001E-3</v>
      </c>
      <c r="Z3876" s="1">
        <v>-5.516213E-5</v>
      </c>
      <c r="AA3876">
        <v>0.99999930000000004</v>
      </c>
      <c r="AB3876">
        <v>28</v>
      </c>
      <c r="AC3876">
        <v>-60.088500000000003</v>
      </c>
      <c r="AD3876">
        <v>-1.108974546987</v>
      </c>
      <c r="AE3876">
        <v>7.3199999999985693E-2</v>
      </c>
      <c r="AF3876">
        <v>-7.1408947556943395E-2</v>
      </c>
      <c r="AG3876">
        <v>-1.108974546987</v>
      </c>
      <c r="AH3876">
        <v>60.068042237686903</v>
      </c>
      <c r="AI3876">
        <v>91.057672205063199</v>
      </c>
      <c r="AJ3876">
        <v>90.068113246822506</v>
      </c>
      <c r="AK3876">
        <v>60.078320732625301</v>
      </c>
      <c r="AL3876">
        <v>81.815996459615604</v>
      </c>
      <c r="AM3876">
        <v>88.464841122556805</v>
      </c>
      <c r="AN3876">
        <v>1.00000005869552</v>
      </c>
    </row>
    <row r="3877" spans="1:40" x14ac:dyDescent="0.25">
      <c r="A3877" t="str">
        <f>"20190312164548809"</f>
        <v>20190312164548809</v>
      </c>
      <c r="B3877" t="str">
        <f>"1552380348805795"</f>
        <v>1552380348805795</v>
      </c>
      <c r="C3877" t="s">
        <v>40</v>
      </c>
      <c r="D3877">
        <v>4.9447190000000001</v>
      </c>
      <c r="E3877">
        <v>0.49242010000000003</v>
      </c>
      <c r="F3877" t="s">
        <v>42</v>
      </c>
      <c r="G3877">
        <v>-388.42840000000001</v>
      </c>
      <c r="H3877" s="1">
        <v>-1.150996E-6</v>
      </c>
      <c r="I3877">
        <v>141.47460000000001</v>
      </c>
      <c r="J3877">
        <v>-330.25979999999998</v>
      </c>
      <c r="K3877">
        <v>1.108965</v>
      </c>
      <c r="L3877">
        <v>141.39089999999999</v>
      </c>
      <c r="M3877">
        <v>-0.99992380000000003</v>
      </c>
      <c r="N3877">
        <v>0</v>
      </c>
      <c r="O3877">
        <v>2.3091320000000002E-3</v>
      </c>
      <c r="P3877">
        <v>-0.99108680000000005</v>
      </c>
      <c r="Q3877">
        <v>0.1300173</v>
      </c>
      <c r="R3877">
        <v>2.9033440000000001E-2</v>
      </c>
      <c r="S3877">
        <v>-3.0345460000000002</v>
      </c>
      <c r="T3877">
        <v>-5.7672979999999999E-2</v>
      </c>
      <c r="U3877">
        <v>4.379272E-3</v>
      </c>
      <c r="V3877">
        <v>2.670896E-2</v>
      </c>
      <c r="W3877">
        <v>0.142043899999999</v>
      </c>
      <c r="X3877">
        <v>0.98949989999999999</v>
      </c>
      <c r="Y3877">
        <v>-8.6559250000000005E-4</v>
      </c>
      <c r="Z3877" s="1">
        <v>-5.2110100000000001E-5</v>
      </c>
      <c r="AA3877">
        <v>0.99999959999999999</v>
      </c>
      <c r="AB3877">
        <v>28</v>
      </c>
      <c r="AC3877">
        <v>-58.168599999999998</v>
      </c>
      <c r="AD3877">
        <v>-1.108966150996</v>
      </c>
      <c r="AE3877">
        <v>8.3700000000021604E-2</v>
      </c>
      <c r="AF3877">
        <v>-5.0610681505201899E-2</v>
      </c>
      <c r="AG3877">
        <v>-1.108966150996</v>
      </c>
      <c r="AH3877">
        <v>58.147503804313899</v>
      </c>
      <c r="AI3877">
        <v>91.092589534093094</v>
      </c>
      <c r="AJ3877">
        <v>90.049869341356896</v>
      </c>
      <c r="AK3877">
        <v>58.158099745760602</v>
      </c>
      <c r="AL3877">
        <v>81.833864310743607</v>
      </c>
      <c r="AM3877">
        <v>88.453825826696203</v>
      </c>
      <c r="AN3877">
        <v>0.99999994508574896</v>
      </c>
    </row>
    <row r="3878" spans="1:40" x14ac:dyDescent="0.25">
      <c r="A3878" t="str">
        <f>"20190312164548822"</f>
        <v>20190312164548822</v>
      </c>
      <c r="B3878" t="str">
        <f>"1552380348815538"</f>
        <v>1552380348815538</v>
      </c>
      <c r="C3878" t="s">
        <v>40</v>
      </c>
      <c r="D3878">
        <v>4.8376359999999998</v>
      </c>
      <c r="E3878">
        <v>0.49218709999999999</v>
      </c>
      <c r="F3878" t="s">
        <v>42</v>
      </c>
      <c r="G3878">
        <v>-384.37200000000001</v>
      </c>
      <c r="H3878" s="1">
        <v>-2.885439E-6</v>
      </c>
      <c r="I3878">
        <v>141.45310000000001</v>
      </c>
      <c r="J3878">
        <v>-330.42</v>
      </c>
      <c r="K3878">
        <v>1.1089599999999999</v>
      </c>
      <c r="L3878">
        <v>141.39109999999999</v>
      </c>
      <c r="M3878">
        <v>-0.99992420000000004</v>
      </c>
      <c r="N3878">
        <v>0</v>
      </c>
      <c r="O3878">
        <v>2.2233510000000001E-3</v>
      </c>
      <c r="P3878">
        <v>-0.99109599999999998</v>
      </c>
      <c r="Q3878">
        <v>0.1299121</v>
      </c>
      <c r="R3878">
        <v>2.9182989999999999E-2</v>
      </c>
      <c r="S3878">
        <v>-3.035034</v>
      </c>
      <c r="T3878">
        <v>-6.2199589999999999E-2</v>
      </c>
      <c r="U3878">
        <v>3.4942630000000001E-3</v>
      </c>
      <c r="V3878">
        <v>2.6943740000000001E-2</v>
      </c>
      <c r="W3878">
        <v>0.14192449999999901</v>
      </c>
      <c r="X3878">
        <v>0.98951069999999997</v>
      </c>
      <c r="Y3878">
        <v>-1.0715150000000001E-3</v>
      </c>
      <c r="Z3878" s="1">
        <v>-5.6542159999999898E-5</v>
      </c>
      <c r="AA3878">
        <v>0.99999939999999998</v>
      </c>
      <c r="AB3878">
        <v>28</v>
      </c>
      <c r="AC3878">
        <v>-53.951999999999899</v>
      </c>
      <c r="AD3878">
        <v>-1.1089628854389999</v>
      </c>
      <c r="AE3878">
        <v>6.2000000000011803E-2</v>
      </c>
      <c r="AF3878">
        <v>-5.7938704454814402E-2</v>
      </c>
      <c r="AG3878">
        <v>-1.1089628854389999</v>
      </c>
      <c r="AH3878">
        <v>53.9292198312396</v>
      </c>
      <c r="AI3878">
        <v>91.178023768826606</v>
      </c>
      <c r="AJ3878">
        <v>90.061555534622997</v>
      </c>
      <c r="AK3878">
        <v>53.9406517126083</v>
      </c>
      <c r="AL3878">
        <v>81.840775707580605</v>
      </c>
      <c r="AM3878">
        <v>88.440258178861697</v>
      </c>
      <c r="AN3878">
        <v>0.99999997711996302</v>
      </c>
    </row>
    <row r="3879" spans="1:40" x14ac:dyDescent="0.25">
      <c r="A3879" t="str">
        <f>"20190312164548837"</f>
        <v>20190312164548837</v>
      </c>
      <c r="B3879" t="str">
        <f>"1552380348825298"</f>
        <v>1552380348825298</v>
      </c>
      <c r="C3879" t="s">
        <v>40</v>
      </c>
      <c r="D3879">
        <v>4.8723039999999997</v>
      </c>
      <c r="E3879">
        <v>0.49226880000000001</v>
      </c>
      <c r="F3879" t="s">
        <v>42</v>
      </c>
      <c r="G3879">
        <v>-383.06240000000003</v>
      </c>
      <c r="H3879" s="1">
        <v>-3.439566E-6</v>
      </c>
      <c r="I3879">
        <v>141.42410000000001</v>
      </c>
      <c r="J3879">
        <v>-330.5926</v>
      </c>
      <c r="K3879">
        <v>1.1089549999999999</v>
      </c>
      <c r="L3879">
        <v>141.3914</v>
      </c>
      <c r="M3879">
        <v>-0.99992449999999999</v>
      </c>
      <c r="N3879">
        <v>0</v>
      </c>
      <c r="O3879">
        <v>2.131193E-3</v>
      </c>
      <c r="P3879">
        <v>-0.99109639999999999</v>
      </c>
      <c r="Q3879">
        <v>0.1299014</v>
      </c>
      <c r="R3879">
        <v>2.9217679999999999E-2</v>
      </c>
      <c r="S3879">
        <v>-3.0352779999999999</v>
      </c>
      <c r="T3879">
        <v>-6.3941120000000004E-2</v>
      </c>
      <c r="U3879">
        <v>1.907349E-3</v>
      </c>
      <c r="V3879">
        <v>2.7070230000000001E-2</v>
      </c>
      <c r="W3879">
        <v>0.14189860000000001</v>
      </c>
      <c r="X3879">
        <v>0.98951100000000003</v>
      </c>
      <c r="Y3879">
        <v>-1.502151E-3</v>
      </c>
      <c r="Z3879" s="1">
        <v>-6.0714349999999999E-5</v>
      </c>
      <c r="AA3879">
        <v>0.99999890000000002</v>
      </c>
      <c r="AB3879">
        <v>28</v>
      </c>
      <c r="AC3879">
        <v>-52.469799999999999</v>
      </c>
      <c r="AD3879">
        <v>-1.1089584395659999</v>
      </c>
      <c r="AE3879">
        <v>3.2700000000005502E-2</v>
      </c>
      <c r="AF3879">
        <v>-7.9096202116093695E-2</v>
      </c>
      <c r="AG3879">
        <v>-1.1089584395659999</v>
      </c>
      <c r="AH3879">
        <v>52.446322983806397</v>
      </c>
      <c r="AI3879">
        <v>91.211316554878294</v>
      </c>
      <c r="AJ3879">
        <v>90.086409777903498</v>
      </c>
      <c r="AK3879">
        <v>52.458105565790497</v>
      </c>
      <c r="AL3879">
        <v>81.842275148167104</v>
      </c>
      <c r="AM3879">
        <v>88.432939937062699</v>
      </c>
      <c r="AN3879">
        <v>1.0000000145776</v>
      </c>
    </row>
    <row r="3880" spans="1:40" x14ac:dyDescent="0.25">
      <c r="A3880" t="str">
        <f>"20190312164548853"</f>
        <v>20190312164548853</v>
      </c>
      <c r="B3880" t="str">
        <f>"1552380348845794"</f>
        <v>1552380348845794</v>
      </c>
      <c r="C3880" t="s">
        <v>40</v>
      </c>
      <c r="D3880">
        <v>4.6851269999999996</v>
      </c>
      <c r="E3880">
        <v>0.49234050000000001</v>
      </c>
      <c r="F3880" t="s">
        <v>42</v>
      </c>
      <c r="G3880">
        <v>-381.73930000000001</v>
      </c>
      <c r="H3880" s="1">
        <v>-4.0065910000000003E-6</v>
      </c>
      <c r="I3880">
        <v>141.434</v>
      </c>
      <c r="J3880">
        <v>-330.80380000000002</v>
      </c>
      <c r="K3880">
        <v>1.108957</v>
      </c>
      <c r="L3880">
        <v>141.39169999999999</v>
      </c>
      <c r="M3880">
        <v>-0.99992479999999995</v>
      </c>
      <c r="N3880">
        <v>0</v>
      </c>
      <c r="O3880">
        <v>2.018962E-3</v>
      </c>
      <c r="P3880">
        <v>-0.99110909999999997</v>
      </c>
      <c r="Q3880">
        <v>0.12971359999999901</v>
      </c>
      <c r="R3880">
        <v>2.961679E-2</v>
      </c>
      <c r="S3880">
        <v>-3.0354610000000002</v>
      </c>
      <c r="T3880">
        <v>-6.5814730000000002E-2</v>
      </c>
      <c r="U3880">
        <v>2.532959E-3</v>
      </c>
      <c r="V3880">
        <v>2.758093E-2</v>
      </c>
      <c r="W3880">
        <v>0.14169370000000001</v>
      </c>
      <c r="X3880">
        <v>0.98952629999999997</v>
      </c>
      <c r="Y3880">
        <v>-1.1839019999999999E-3</v>
      </c>
      <c r="Z3880" s="1">
        <v>-5.6606220000000002E-5</v>
      </c>
      <c r="AA3880">
        <v>0.99999930000000004</v>
      </c>
      <c r="AB3880">
        <v>28</v>
      </c>
      <c r="AC3880">
        <v>-50.935499999999898</v>
      </c>
      <c r="AD3880">
        <v>-1.1089610065910001</v>
      </c>
      <c r="AE3880">
        <v>4.2300000000011502E-2</v>
      </c>
      <c r="AF3880">
        <v>-6.0515764133384803E-2</v>
      </c>
      <c r="AG3880">
        <v>-1.1089610065910001</v>
      </c>
      <c r="AH3880">
        <v>50.911348892644398</v>
      </c>
      <c r="AI3880">
        <v>91.247829722474407</v>
      </c>
      <c r="AJ3880">
        <v>90.0681045841703</v>
      </c>
      <c r="AK3880">
        <v>50.923461221134701</v>
      </c>
      <c r="AL3880">
        <v>81.854135219881599</v>
      </c>
      <c r="AM3880">
        <v>88.403416019266601</v>
      </c>
      <c r="AN3880">
        <v>1.0000000553555199</v>
      </c>
    </row>
    <row r="3881" spans="1:40" x14ac:dyDescent="0.25">
      <c r="A3881" t="str">
        <f>"20190312164548876"</f>
        <v>20190312164548876</v>
      </c>
      <c r="B3881" t="str">
        <f>"1552380348865314"</f>
        <v>1552380348865314</v>
      </c>
      <c r="C3881" t="s">
        <v>40</v>
      </c>
      <c r="D3881">
        <v>4.802778</v>
      </c>
      <c r="E3881">
        <v>0.5114514</v>
      </c>
      <c r="F3881" t="s">
        <v>42</v>
      </c>
      <c r="G3881">
        <v>-379.11799999999999</v>
      </c>
      <c r="H3881" s="1">
        <v>-8.5129359999999902E-7</v>
      </c>
      <c r="I3881">
        <v>141.46010000000001</v>
      </c>
      <c r="J3881">
        <v>-331.08440000000002</v>
      </c>
      <c r="K3881">
        <v>1.1089560000000001</v>
      </c>
      <c r="L3881">
        <v>141.3921</v>
      </c>
      <c r="M3881">
        <v>-0.99992539999999996</v>
      </c>
      <c r="N3881">
        <v>0</v>
      </c>
      <c r="O3881">
        <v>1.869381E-3</v>
      </c>
      <c r="P3881">
        <v>-0.99111499999999997</v>
      </c>
      <c r="Q3881">
        <v>0.12967329999999999</v>
      </c>
      <c r="R3881">
        <v>2.9597390000000001E-2</v>
      </c>
      <c r="S3881">
        <v>-3.0358890000000001</v>
      </c>
      <c r="T3881">
        <v>-6.9682839999999996E-2</v>
      </c>
      <c r="U3881">
        <v>4.3029790000000002E-3</v>
      </c>
      <c r="V3881">
        <v>2.771001E-2</v>
      </c>
      <c r="W3881">
        <v>0.1416338</v>
      </c>
      <c r="X3881">
        <v>0.98953120000000006</v>
      </c>
      <c r="Y3881">
        <v>-4.5153739999999998E-4</v>
      </c>
      <c r="Z3881" s="1">
        <v>-4.8086759999999897E-5</v>
      </c>
      <c r="AA3881">
        <v>0.99999990000000005</v>
      </c>
      <c r="AB3881">
        <v>28</v>
      </c>
      <c r="AC3881">
        <v>-48.0336</v>
      </c>
      <c r="AD3881">
        <v>-1.1089568512936001</v>
      </c>
      <c r="AE3881">
        <v>6.8000000000011995E-2</v>
      </c>
      <c r="AF3881">
        <v>-2.1788146795462999E-2</v>
      </c>
      <c r="AG3881">
        <v>-1.1089568512936001</v>
      </c>
      <c r="AH3881">
        <v>48.008054248430298</v>
      </c>
      <c r="AI3881">
        <v>91.323262196438094</v>
      </c>
      <c r="AJ3881">
        <v>90.026003319414301</v>
      </c>
      <c r="AK3881">
        <v>48.0208655975878</v>
      </c>
      <c r="AL3881">
        <v>81.857601640503503</v>
      </c>
      <c r="AM3881">
        <v>88.395955767471605</v>
      </c>
      <c r="AN3881">
        <v>0.99999998686503999</v>
      </c>
    </row>
    <row r="3882" spans="1:40" x14ac:dyDescent="0.25">
      <c r="A3882" t="str">
        <f>"20190312164548895"</f>
        <v>20190312164548895</v>
      </c>
      <c r="B3882" t="str">
        <f>"1552380348885811"</f>
        <v>1552380348885811</v>
      </c>
      <c r="C3882" t="s">
        <v>40</v>
      </c>
      <c r="D3882">
        <v>4.791188</v>
      </c>
      <c r="E3882">
        <v>0.51298710000000003</v>
      </c>
      <c r="F3882" t="s">
        <v>42</v>
      </c>
      <c r="G3882">
        <v>-356.77</v>
      </c>
      <c r="H3882" s="1">
        <v>-2.1861740000000001E-6</v>
      </c>
      <c r="I3882">
        <v>142.69130000000001</v>
      </c>
      <c r="J3882">
        <v>-331.33929999999998</v>
      </c>
      <c r="K3882">
        <v>1.1089530000000001</v>
      </c>
      <c r="L3882">
        <v>141.39250000000001</v>
      </c>
      <c r="M3882">
        <v>-0.99992590000000003</v>
      </c>
      <c r="N3882">
        <v>0</v>
      </c>
      <c r="O3882">
        <v>1.7342659999999999E-3</v>
      </c>
      <c r="P3882">
        <v>-0.99114009999999997</v>
      </c>
      <c r="Q3882">
        <v>0.12945119999999999</v>
      </c>
      <c r="R3882">
        <v>2.9729120000000001E-2</v>
      </c>
      <c r="S3882">
        <v>-3.0394589999999999</v>
      </c>
      <c r="T3882">
        <v>-0.13122700000000001</v>
      </c>
      <c r="U3882">
        <v>0.15374760000000001</v>
      </c>
      <c r="V3882">
        <v>2.7975960000000001E-2</v>
      </c>
      <c r="W3882">
        <v>0.14139350000000001</v>
      </c>
      <c r="X3882">
        <v>0.9895581</v>
      </c>
      <c r="Y3882">
        <v>4.874332E-2</v>
      </c>
      <c r="Z3882">
        <v>9.7627460000000005E-4</v>
      </c>
      <c r="AA3882">
        <v>0.99881089999999995</v>
      </c>
      <c r="AB3882">
        <v>28</v>
      </c>
      <c r="AC3882">
        <v>-25.430700000000002</v>
      </c>
      <c r="AD3882">
        <v>-1.1089551861739999</v>
      </c>
      <c r="AE3882">
        <v>1.2988</v>
      </c>
      <c r="AF3882">
        <v>1.25231608001878</v>
      </c>
      <c r="AG3882">
        <v>-1.1089551861739999</v>
      </c>
      <c r="AH3882">
        <v>25.384769149696101</v>
      </c>
      <c r="AI3882">
        <v>92.498389722272194</v>
      </c>
      <c r="AJ3882">
        <v>87.175696161004097</v>
      </c>
      <c r="AK3882">
        <v>25.439822757884599</v>
      </c>
      <c r="AL3882">
        <v>81.871509930041398</v>
      </c>
      <c r="AM3882">
        <v>88.380612926751098</v>
      </c>
      <c r="AN3882">
        <v>1.0000000047278901</v>
      </c>
    </row>
    <row r="3883" spans="1:40" x14ac:dyDescent="0.25">
      <c r="A3883" t="str">
        <f>"20190312164548910"</f>
        <v>20190312164548910</v>
      </c>
      <c r="B3883" t="str">
        <f>"1552380348905331"</f>
        <v>1552380348905331</v>
      </c>
      <c r="C3883" t="s">
        <v>40</v>
      </c>
      <c r="D3883">
        <v>4.6896709999999997</v>
      </c>
      <c r="E3883">
        <v>0.51512429999999998</v>
      </c>
      <c r="F3883" t="s">
        <v>42</v>
      </c>
      <c r="G3883">
        <v>-353.1859</v>
      </c>
      <c r="H3883" s="1">
        <v>-3.6935190000000002E-6</v>
      </c>
      <c r="I3883">
        <v>142.5779</v>
      </c>
      <c r="J3883">
        <v>-331.51670000000001</v>
      </c>
      <c r="K3883">
        <v>1.108949</v>
      </c>
      <c r="L3883">
        <v>141.39269999999999</v>
      </c>
      <c r="M3883">
        <v>-0.99992619999999999</v>
      </c>
      <c r="N3883">
        <v>0</v>
      </c>
      <c r="O3883">
        <v>1.64055E-3</v>
      </c>
      <c r="P3883">
        <v>-0.99115540000000002</v>
      </c>
      <c r="Q3883">
        <v>0.12932199999999999</v>
      </c>
      <c r="R3883">
        <v>2.9780419999999998E-2</v>
      </c>
      <c r="S3883">
        <v>-3.041992</v>
      </c>
      <c r="T3883">
        <v>-0.15441429999999901</v>
      </c>
      <c r="U3883">
        <v>0.16506960000000001</v>
      </c>
      <c r="V3883">
        <v>2.8120269999999999E-2</v>
      </c>
      <c r="W3883">
        <v>0.1412495</v>
      </c>
      <c r="X3883">
        <v>0.98957459999999997</v>
      </c>
      <c r="Y3883">
        <v>5.248034E-2</v>
      </c>
      <c r="Z3883">
        <v>1.246975E-3</v>
      </c>
      <c r="AA3883">
        <v>0.99862119999999999</v>
      </c>
      <c r="AB3883">
        <v>28</v>
      </c>
      <c r="AC3883">
        <v>-21.669199999999901</v>
      </c>
      <c r="AD3883">
        <v>-1.1089526935189999</v>
      </c>
      <c r="AE3883">
        <v>1.1852</v>
      </c>
      <c r="AF3883">
        <v>1.1466522647166999</v>
      </c>
      <c r="AG3883">
        <v>-1.1089526935189999</v>
      </c>
      <c r="AH3883">
        <v>21.614674744646301</v>
      </c>
      <c r="AI3883">
        <v>92.932899200230594</v>
      </c>
      <c r="AJ3883">
        <v>86.963321957025499</v>
      </c>
      <c r="AK3883">
        <v>21.673457310948201</v>
      </c>
      <c r="AL3883">
        <v>81.879844372493395</v>
      </c>
      <c r="AM3883">
        <v>88.372291157848096</v>
      </c>
      <c r="AN3883">
        <v>1.0000000299001399</v>
      </c>
    </row>
    <row r="3884" spans="1:40" x14ac:dyDescent="0.25">
      <c r="A3884" t="str">
        <f>"20190312164548922"</f>
        <v>20190312164548922</v>
      </c>
      <c r="B3884" t="str">
        <f>"1552380348916067"</f>
        <v>1552380348916067</v>
      </c>
      <c r="C3884" t="s">
        <v>40</v>
      </c>
      <c r="D3884">
        <v>4.9074530000000003</v>
      </c>
      <c r="E3884">
        <v>0.51554270000000002</v>
      </c>
      <c r="F3884" t="s">
        <v>42</v>
      </c>
      <c r="G3884">
        <v>-358.91969999999998</v>
      </c>
      <c r="H3884" s="1">
        <v>-1.3598910000000001E-6</v>
      </c>
      <c r="I3884">
        <v>143.05189999999999</v>
      </c>
      <c r="J3884">
        <v>-331.68369999999999</v>
      </c>
      <c r="K3884">
        <v>1.1089469999999999</v>
      </c>
      <c r="L3884">
        <v>141.3929</v>
      </c>
      <c r="M3884">
        <v>-0.99992669999999995</v>
      </c>
      <c r="N3884">
        <v>0</v>
      </c>
      <c r="O3884">
        <v>1.5520740000000001E-3</v>
      </c>
      <c r="P3884">
        <v>-0.99119279999999998</v>
      </c>
      <c r="Q3884">
        <v>0.12902719999999901</v>
      </c>
      <c r="R3884">
        <v>2.9819689999999999E-2</v>
      </c>
      <c r="S3884">
        <v>-3.0373230000000002</v>
      </c>
      <c r="T3884">
        <v>-0.122915</v>
      </c>
      <c r="U3884">
        <v>0.1839142</v>
      </c>
      <c r="V3884">
        <v>2.8247419999999999E-2</v>
      </c>
      <c r="W3884">
        <v>0.14094029999999999</v>
      </c>
      <c r="X3884">
        <v>0.98961500000000002</v>
      </c>
      <c r="Y3884">
        <v>5.8844569999999999E-2</v>
      </c>
      <c r="Z3884">
        <v>1.1263619999999999E-3</v>
      </c>
      <c r="AA3884">
        <v>0.99826649999999995</v>
      </c>
      <c r="AB3884">
        <v>28</v>
      </c>
      <c r="AC3884">
        <v>-27.235999999999901</v>
      </c>
      <c r="AD3884">
        <v>-1.1089483598909999</v>
      </c>
      <c r="AE3884">
        <v>1.65899999999999</v>
      </c>
      <c r="AF3884">
        <v>1.61405675039755</v>
      </c>
      <c r="AG3884">
        <v>-1.1089483598909999</v>
      </c>
      <c r="AH3884">
        <v>27.1936269197558</v>
      </c>
      <c r="AI3884">
        <v>92.331113646940196</v>
      </c>
      <c r="AJ3884">
        <v>86.603238305846205</v>
      </c>
      <c r="AK3884">
        <v>27.2640475848557</v>
      </c>
      <c r="AL3884">
        <v>81.897738729397901</v>
      </c>
      <c r="AM3884">
        <v>88.365001929030797</v>
      </c>
      <c r="AN3884">
        <v>0.99999996656287204</v>
      </c>
    </row>
    <row r="3885" spans="1:40" x14ac:dyDescent="0.25">
      <c r="A3885" t="str">
        <f>"20190312164548935"</f>
        <v>20190312164548935</v>
      </c>
      <c r="B3885" t="str">
        <f>"1552380348925826"</f>
        <v>1552380348925826</v>
      </c>
      <c r="C3885" t="s">
        <v>40</v>
      </c>
      <c r="D3885">
        <v>4.7817590000000001</v>
      </c>
      <c r="E3885">
        <v>0.51594819999999997</v>
      </c>
      <c r="F3885" t="s">
        <v>42</v>
      </c>
      <c r="G3885">
        <v>-362.54790000000003</v>
      </c>
      <c r="H3885" s="1">
        <v>-4.0630809999999998E-6</v>
      </c>
      <c r="I3885">
        <v>143.3038</v>
      </c>
      <c r="J3885">
        <v>-331.83620000000002</v>
      </c>
      <c r="K3885">
        <v>1.1089439999999999</v>
      </c>
      <c r="L3885">
        <v>141.393</v>
      </c>
      <c r="M3885">
        <v>-0.99992689999999995</v>
      </c>
      <c r="N3885">
        <v>0</v>
      </c>
      <c r="O3885">
        <v>1.471272E-3</v>
      </c>
      <c r="P3885">
        <v>-0.99119469999999998</v>
      </c>
      <c r="Q3885">
        <v>0.12900599999999901</v>
      </c>
      <c r="R3885">
        <v>2.9843419999999999E-2</v>
      </c>
      <c r="S3885">
        <v>-3.0351870000000001</v>
      </c>
      <c r="T3885">
        <v>-0.10905479999999999</v>
      </c>
      <c r="U3885">
        <v>0.18792719999999999</v>
      </c>
      <c r="V3885">
        <v>2.8351189999999998E-2</v>
      </c>
      <c r="W3885">
        <v>0.14090730000000001</v>
      </c>
      <c r="X3885">
        <v>0.98961679999999996</v>
      </c>
      <c r="Y3885">
        <v>6.0291419999999998E-2</v>
      </c>
      <c r="Z3885">
        <v>1.028958E-3</v>
      </c>
      <c r="AA3885">
        <v>0.99818030000000002</v>
      </c>
      <c r="AB3885">
        <v>28</v>
      </c>
      <c r="AC3885">
        <v>-30.7117</v>
      </c>
      <c r="AD3885">
        <v>-1.108948063081</v>
      </c>
      <c r="AE3885">
        <v>1.9107999999999901</v>
      </c>
      <c r="AF3885">
        <v>1.86318953295992</v>
      </c>
      <c r="AG3885">
        <v>-1.108948063081</v>
      </c>
      <c r="AH3885">
        <v>30.674638547108898</v>
      </c>
      <c r="AI3885">
        <v>92.066647070829703</v>
      </c>
      <c r="AJ3885">
        <v>86.5241024169394</v>
      </c>
      <c r="AK3885">
        <v>30.751173815614202</v>
      </c>
      <c r="AL3885">
        <v>81.899649099312398</v>
      </c>
      <c r="AM3885">
        <v>88.3590018453189</v>
      </c>
      <c r="AN3885">
        <v>1.00000003400497</v>
      </c>
    </row>
    <row r="3886" spans="1:40" x14ac:dyDescent="0.25">
      <c r="A3886" t="str">
        <f>"20190312164548953"</f>
        <v>20190312164548953</v>
      </c>
      <c r="B3886" t="str">
        <f>"1552380348945349"</f>
        <v>1552380348945349</v>
      </c>
      <c r="C3886" t="s">
        <v>40</v>
      </c>
      <c r="D3886">
        <v>4.6890109999999998</v>
      </c>
      <c r="E3886">
        <v>0.51689979999999902</v>
      </c>
      <c r="F3886" t="s">
        <v>42</v>
      </c>
      <c r="G3886">
        <v>-366.12110000000001</v>
      </c>
      <c r="H3886" s="1">
        <v>-2.6953849999999999E-6</v>
      </c>
      <c r="I3886">
        <v>143.55879999999999</v>
      </c>
      <c r="J3886">
        <v>-332.06020000000001</v>
      </c>
      <c r="K3886">
        <v>1.1089279999999999</v>
      </c>
      <c r="L3886">
        <v>141.39320000000001</v>
      </c>
      <c r="M3886">
        <v>-0.99992720000000002</v>
      </c>
      <c r="N3886">
        <v>0</v>
      </c>
      <c r="O3886">
        <v>1.3522899999999999E-3</v>
      </c>
      <c r="P3886">
        <v>-0.99118329999999999</v>
      </c>
      <c r="Q3886">
        <v>0.12904099999999999</v>
      </c>
      <c r="R3886">
        <v>3.0071870000000001E-2</v>
      </c>
      <c r="S3886">
        <v>-3.0336609999999999</v>
      </c>
      <c r="T3886">
        <v>-9.8124149999999993E-2</v>
      </c>
      <c r="U3886">
        <v>0.1916504</v>
      </c>
      <c r="V3886">
        <v>2.8697670000000002E-2</v>
      </c>
      <c r="W3886">
        <v>0.14092569999999999</v>
      </c>
      <c r="X3886">
        <v>0.98960420000000004</v>
      </c>
      <c r="Y3886">
        <v>6.1667760000000002E-2</v>
      </c>
      <c r="Z3886">
        <v>9.5238539999999996E-4</v>
      </c>
      <c r="AA3886">
        <v>0.99809630000000005</v>
      </c>
      <c r="AB3886">
        <v>28</v>
      </c>
      <c r="AC3886">
        <v>-34.060899999999997</v>
      </c>
      <c r="AD3886">
        <v>-1.108930695385</v>
      </c>
      <c r="AE3886">
        <v>2.16559999999998</v>
      </c>
      <c r="AF3886">
        <v>2.1172992405698898</v>
      </c>
      <c r="AG3886">
        <v>-1.108930695385</v>
      </c>
      <c r="AH3886">
        <v>34.027874026325698</v>
      </c>
      <c r="AI3886">
        <v>91.862945055552501</v>
      </c>
      <c r="AJ3886">
        <v>86.439503864297194</v>
      </c>
      <c r="AK3886">
        <v>34.111711978626502</v>
      </c>
      <c r="AL3886">
        <v>81.898584287607306</v>
      </c>
      <c r="AM3886">
        <v>88.338937230607499</v>
      </c>
      <c r="AN3886">
        <v>1.0000000409207701</v>
      </c>
    </row>
    <row r="3887" spans="1:40" x14ac:dyDescent="0.25">
      <c r="A3887" t="str">
        <f>"20190312164548965"</f>
        <v>20190312164548965</v>
      </c>
      <c r="B3887" t="str">
        <f>"1552380348956083"</f>
        <v>1552380348956083</v>
      </c>
      <c r="C3887" t="s">
        <v>40</v>
      </c>
      <c r="D3887">
        <v>4.689603</v>
      </c>
      <c r="E3887">
        <v>0.51715649999999902</v>
      </c>
      <c r="F3887" t="s">
        <v>42</v>
      </c>
      <c r="G3887">
        <v>-373.14319999999998</v>
      </c>
      <c r="H3887" s="1">
        <v>-4.0041140000000003E-6</v>
      </c>
      <c r="I3887">
        <v>144.11340000000001</v>
      </c>
      <c r="J3887">
        <v>-332.23099999999999</v>
      </c>
      <c r="K3887">
        <v>1.1089260000000001</v>
      </c>
      <c r="L3887">
        <v>141.39330000000001</v>
      </c>
      <c r="M3887">
        <v>-0.99992749999999997</v>
      </c>
      <c r="N3887">
        <v>0</v>
      </c>
      <c r="O3887">
        <v>1.2613500000000001E-3</v>
      </c>
      <c r="P3887">
        <v>-0.99120030000000003</v>
      </c>
      <c r="Q3887">
        <v>0.12887960000000001</v>
      </c>
      <c r="R3887">
        <v>3.0202819999999998E-2</v>
      </c>
      <c r="S3887">
        <v>-3.03125</v>
      </c>
      <c r="T3887">
        <v>-8.1821080000000004E-2</v>
      </c>
      <c r="U3887">
        <v>0.20071410000000001</v>
      </c>
      <c r="V3887">
        <v>2.8918900000000001E-2</v>
      </c>
      <c r="W3887">
        <v>0.1407534</v>
      </c>
      <c r="X3887">
        <v>0.98962220000000001</v>
      </c>
      <c r="Y3887">
        <v>6.4788520000000002E-2</v>
      </c>
      <c r="Z3887">
        <v>8.3928249999999996E-4</v>
      </c>
      <c r="AA3887">
        <v>0.99789859999999997</v>
      </c>
      <c r="AB3887">
        <v>28</v>
      </c>
      <c r="AC3887">
        <v>-40.912199999999899</v>
      </c>
      <c r="AD3887">
        <v>-1.108930004114</v>
      </c>
      <c r="AE3887">
        <v>2.7201</v>
      </c>
      <c r="AF3887">
        <v>2.6665390809457401</v>
      </c>
      <c r="AG3887">
        <v>-1.108930004114</v>
      </c>
      <c r="AH3887">
        <v>40.8856926871266</v>
      </c>
      <c r="AI3887">
        <v>91.550342687806904</v>
      </c>
      <c r="AJ3887">
        <v>86.268490163300299</v>
      </c>
      <c r="AK3887">
        <v>40.987559367817802</v>
      </c>
      <c r="AL3887">
        <v>81.908555086549995</v>
      </c>
      <c r="AM3887">
        <v>88.326169802268197</v>
      </c>
      <c r="AN3887">
        <v>0.99999996056080398</v>
      </c>
    </row>
    <row r="3888" spans="1:40" x14ac:dyDescent="0.25">
      <c r="A3888" t="str">
        <f>"20190312164548979"</f>
        <v>20190312164548979</v>
      </c>
      <c r="B3888" t="str">
        <f>"1552380348965843"</f>
        <v>1552380348965843</v>
      </c>
      <c r="C3888" t="s">
        <v>40</v>
      </c>
      <c r="D3888">
        <v>4.6710379999999896</v>
      </c>
      <c r="E3888">
        <v>0.51697959999999998</v>
      </c>
      <c r="F3888" t="s">
        <v>42</v>
      </c>
      <c r="G3888">
        <v>-376.23509999999999</v>
      </c>
      <c r="H3888" s="1">
        <v>-2.8569199999999998E-6</v>
      </c>
      <c r="I3888">
        <v>144.34970000000001</v>
      </c>
      <c r="J3888">
        <v>-332.39280000000002</v>
      </c>
      <c r="K3888">
        <v>1.1089310000000001</v>
      </c>
      <c r="L3888">
        <v>141.39340000000001</v>
      </c>
      <c r="M3888">
        <v>-0.99992769999999997</v>
      </c>
      <c r="N3888">
        <v>0</v>
      </c>
      <c r="O3888">
        <v>1.1751680000000001E-3</v>
      </c>
      <c r="P3888">
        <v>-0.99123740000000005</v>
      </c>
      <c r="Q3888">
        <v>0.1285866</v>
      </c>
      <c r="R3888">
        <v>3.0231040000000001E-2</v>
      </c>
      <c r="S3888">
        <v>-3.0303650000000002</v>
      </c>
      <c r="T3888">
        <v>-7.636714E-2</v>
      </c>
      <c r="U3888">
        <v>0.203598</v>
      </c>
      <c r="V3888">
        <v>2.9032349999999998E-2</v>
      </c>
      <c r="W3888">
        <v>0.14044980000000001</v>
      </c>
      <c r="X3888">
        <v>0.98966209999999999</v>
      </c>
      <c r="Y3888">
        <v>6.5841759999999999E-2</v>
      </c>
      <c r="Z3888">
        <v>7.9898320000000003E-4</v>
      </c>
      <c r="AA3888">
        <v>0.99782969999999904</v>
      </c>
      <c r="AB3888">
        <v>28</v>
      </c>
      <c r="AC3888">
        <v>-43.842299999999902</v>
      </c>
      <c r="AD3888">
        <v>-1.10893385691999</v>
      </c>
      <c r="AE3888">
        <v>2.9562999999999899</v>
      </c>
      <c r="AF3888">
        <v>2.9029234002911402</v>
      </c>
      <c r="AG3888">
        <v>-1.10893385691999</v>
      </c>
      <c r="AH3888">
        <v>43.817837619886603</v>
      </c>
      <c r="AI3888">
        <v>91.446552042682498</v>
      </c>
      <c r="AJ3888">
        <v>86.209704289592807</v>
      </c>
      <c r="AK3888">
        <v>43.927890824050799</v>
      </c>
      <c r="AL3888">
        <v>81.926125327258006</v>
      </c>
      <c r="AM3888">
        <v>88.319674766218398</v>
      </c>
      <c r="AN3888">
        <v>1.0000000479214799</v>
      </c>
    </row>
    <row r="3889" spans="1:40" x14ac:dyDescent="0.25">
      <c r="A3889" t="str">
        <f>"20190312164548997"</f>
        <v>20190312164548997</v>
      </c>
      <c r="B3889" t="str">
        <f>"1552380348985362"</f>
        <v>1552380348985362</v>
      </c>
      <c r="C3889" t="s">
        <v>40</v>
      </c>
      <c r="D3889">
        <v>4.8566019999999996</v>
      </c>
      <c r="E3889">
        <v>0.51742330000000003</v>
      </c>
      <c r="F3889" t="s">
        <v>42</v>
      </c>
      <c r="G3889">
        <v>-370.91860000000003</v>
      </c>
      <c r="H3889" s="1">
        <v>-4.7331989999999996E-6</v>
      </c>
      <c r="I3889">
        <v>143.95580000000001</v>
      </c>
      <c r="J3889">
        <v>-332.60809999999998</v>
      </c>
      <c r="K3889">
        <v>1.1089290000000001</v>
      </c>
      <c r="L3889">
        <v>141.39359999999999</v>
      </c>
      <c r="M3889">
        <v>-0.99992809999999999</v>
      </c>
      <c r="N3889">
        <v>0</v>
      </c>
      <c r="O3889">
        <v>1.0606910000000001E-3</v>
      </c>
      <c r="P3889">
        <v>-0.99127299999999996</v>
      </c>
      <c r="Q3889">
        <v>0.1282605</v>
      </c>
      <c r="R3889">
        <v>3.0453399999999999E-2</v>
      </c>
      <c r="S3889">
        <v>-3.0316770000000002</v>
      </c>
      <c r="T3889">
        <v>-8.7264659999999994E-2</v>
      </c>
      <c r="U3889">
        <v>0.20164489999999999</v>
      </c>
      <c r="V3889">
        <v>2.9368450000000001E-2</v>
      </c>
      <c r="W3889">
        <v>0.14011129999999999</v>
      </c>
      <c r="X3889">
        <v>0.98970009999999997</v>
      </c>
      <c r="Y3889">
        <v>6.5281069999999997E-2</v>
      </c>
      <c r="Z3889">
        <v>9.0781059999999998E-4</v>
      </c>
      <c r="AA3889">
        <v>0.99786649999999999</v>
      </c>
      <c r="AB3889">
        <v>28</v>
      </c>
      <c r="AC3889">
        <v>-38.310499999999998</v>
      </c>
      <c r="AD3889">
        <v>-1.1089337331989999</v>
      </c>
      <c r="AE3889">
        <v>2.56220000000001</v>
      </c>
      <c r="AF3889">
        <v>2.5194584836505398</v>
      </c>
      <c r="AG3889">
        <v>-1.1089337331989999</v>
      </c>
      <c r="AH3889">
        <v>38.281264528100898</v>
      </c>
      <c r="AI3889">
        <v>91.655703209810795</v>
      </c>
      <c r="AJ3889">
        <v>86.234543078608098</v>
      </c>
      <c r="AK3889">
        <v>38.380107073142703</v>
      </c>
      <c r="AL3889">
        <v>81.945713131620394</v>
      </c>
      <c r="AM3889">
        <v>88.300298647374007</v>
      </c>
      <c r="AN3889">
        <v>0.99999998509155097</v>
      </c>
    </row>
    <row r="3890" spans="1:40" x14ac:dyDescent="0.25">
      <c r="A3890" t="str">
        <f>"20190312164549018"</f>
        <v>20190312164549018</v>
      </c>
      <c r="B3890" t="str">
        <f>"1552380349015619"</f>
        <v>1552380349015619</v>
      </c>
      <c r="C3890" t="s">
        <v>40</v>
      </c>
      <c r="D3890">
        <v>4.8111600000000001</v>
      </c>
      <c r="E3890">
        <v>0.51783509999999999</v>
      </c>
      <c r="F3890" t="s">
        <v>42</v>
      </c>
      <c r="G3890">
        <v>-375.3888</v>
      </c>
      <c r="H3890" s="1">
        <v>-3.2084929999999999E-6</v>
      </c>
      <c r="I3890">
        <v>144.3066</v>
      </c>
      <c r="J3890">
        <v>-332.88260000000002</v>
      </c>
      <c r="K3890">
        <v>1.1089310000000001</v>
      </c>
      <c r="L3890">
        <v>141.3937</v>
      </c>
      <c r="M3890">
        <v>-0.99992840000000005</v>
      </c>
      <c r="N3890">
        <v>0</v>
      </c>
      <c r="O3890">
        <v>9.1469619999999996E-4</v>
      </c>
      <c r="P3890">
        <v>-0.99128970000000005</v>
      </c>
      <c r="Q3890">
        <v>0.12806669999999901</v>
      </c>
      <c r="R3890">
        <v>3.0722559999999999E-2</v>
      </c>
      <c r="S3890">
        <v>-3.030243</v>
      </c>
      <c r="T3890">
        <v>-7.8547839999999994E-2</v>
      </c>
      <c r="U3890">
        <v>0.20634459999999999</v>
      </c>
      <c r="V3890">
        <v>2.9782340000000001E-2</v>
      </c>
      <c r="W3890">
        <v>0.13990259999999999</v>
      </c>
      <c r="X3890">
        <v>0.98971719999999996</v>
      </c>
      <c r="Y3890">
        <v>6.7002969999999995E-2</v>
      </c>
      <c r="Z3890">
        <v>8.4357240000000003E-4</v>
      </c>
      <c r="AA3890">
        <v>0.99775239999999998</v>
      </c>
      <c r="AB3890">
        <v>28</v>
      </c>
      <c r="AC3890">
        <v>-42.5061999999999</v>
      </c>
      <c r="AD3890">
        <v>-1.1089342084929901</v>
      </c>
      <c r="AE3890">
        <v>2.9129</v>
      </c>
      <c r="AF3890">
        <v>2.8720700924366902</v>
      </c>
      <c r="AG3890">
        <v>-1.1089342084929901</v>
      </c>
      <c r="AH3890">
        <v>42.480069032951597</v>
      </c>
      <c r="AI3890">
        <v>91.491951440145996</v>
      </c>
      <c r="AJ3890">
        <v>86.132128588406601</v>
      </c>
      <c r="AK3890">
        <v>42.591487256715602</v>
      </c>
      <c r="AL3890">
        <v>81.957789268029501</v>
      </c>
      <c r="AM3890">
        <v>88.276388842871398</v>
      </c>
      <c r="AN3890">
        <v>0.99999993061923498</v>
      </c>
    </row>
    <row r="3891" spans="1:40" x14ac:dyDescent="0.25">
      <c r="A3891" t="str">
        <f>"20190312164549042"</f>
        <v>20190312164549042</v>
      </c>
      <c r="B3891" t="str">
        <f>"1552380349035138"</f>
        <v>1552380349035138</v>
      </c>
      <c r="C3891" t="s">
        <v>40</v>
      </c>
      <c r="D3891">
        <v>4.6963419999999996</v>
      </c>
      <c r="E3891">
        <v>0.51788900000000004</v>
      </c>
      <c r="F3891" t="s">
        <v>42</v>
      </c>
      <c r="G3891">
        <v>-380.99419999999998</v>
      </c>
      <c r="H3891" s="1">
        <v>-4.8466700000000001E-6</v>
      </c>
      <c r="I3891">
        <v>144.7406</v>
      </c>
      <c r="J3891">
        <v>-333.1823</v>
      </c>
      <c r="K3891">
        <v>1.10893</v>
      </c>
      <c r="L3891">
        <v>141.3938</v>
      </c>
      <c r="M3891">
        <v>-0.9999287</v>
      </c>
      <c r="N3891">
        <v>0</v>
      </c>
      <c r="O3891">
        <v>7.5534429999999904E-4</v>
      </c>
      <c r="P3891">
        <v>-0.99121340000000002</v>
      </c>
      <c r="Q3891">
        <v>0.12860650000000001</v>
      </c>
      <c r="R3891">
        <v>3.0926519999999999E-2</v>
      </c>
      <c r="S3891">
        <v>-3.0288390000000001</v>
      </c>
      <c r="T3891">
        <v>-6.9812540000000006E-2</v>
      </c>
      <c r="U3891">
        <v>0.2107086</v>
      </c>
      <c r="V3891">
        <v>3.014406E-2</v>
      </c>
      <c r="W3891">
        <v>0.14042669999999999</v>
      </c>
      <c r="X3891">
        <v>0.98963210000000001</v>
      </c>
      <c r="Y3891">
        <v>6.8628190000000006E-2</v>
      </c>
      <c r="Z3891">
        <v>7.7246789999999997E-4</v>
      </c>
      <c r="AA3891">
        <v>0.99764200000000003</v>
      </c>
      <c r="AB3891">
        <v>28</v>
      </c>
      <c r="AC3891">
        <v>-47.811899999999902</v>
      </c>
      <c r="AD3891">
        <v>-1.10893484667</v>
      </c>
      <c r="AE3891">
        <v>3.3468</v>
      </c>
      <c r="AF3891">
        <v>3.3089106926374598</v>
      </c>
      <c r="AG3891">
        <v>-1.10893484667</v>
      </c>
      <c r="AH3891">
        <v>47.7888319841148</v>
      </c>
      <c r="AI3891">
        <v>91.326130072518893</v>
      </c>
      <c r="AJ3891">
        <v>86.0391475304625</v>
      </c>
      <c r="AK3891">
        <v>47.9160838223656</v>
      </c>
      <c r="AL3891">
        <v>81.927461782621194</v>
      </c>
      <c r="AM3891">
        <v>88.2553177411436</v>
      </c>
      <c r="AN3891">
        <v>1.00000000788829</v>
      </c>
    </row>
    <row r="3892" spans="1:40" x14ac:dyDescent="0.25">
      <c r="A3892" t="str">
        <f>"20190312164549065"</f>
        <v>20190312164549065</v>
      </c>
      <c r="B3892" t="str">
        <f>"1552380349055634"</f>
        <v>1552380349055634</v>
      </c>
      <c r="C3892" t="s">
        <v>40</v>
      </c>
      <c r="D3892">
        <v>4.9295280000000004</v>
      </c>
      <c r="E3892">
        <v>0.51797539999999997</v>
      </c>
      <c r="F3892" t="s">
        <v>42</v>
      </c>
      <c r="G3892">
        <v>-386.96730000000002</v>
      </c>
      <c r="H3892" s="1">
        <v>-2.7582569999999998E-6</v>
      </c>
      <c r="I3892">
        <v>145.1593</v>
      </c>
      <c r="J3892">
        <v>-333.46210000000002</v>
      </c>
      <c r="K3892">
        <v>1.10893</v>
      </c>
      <c r="L3892">
        <v>141.3938</v>
      </c>
      <c r="M3892">
        <v>-0.99992899999999996</v>
      </c>
      <c r="N3892">
        <v>0</v>
      </c>
      <c r="O3892">
        <v>6.0667869999999995E-4</v>
      </c>
      <c r="P3892">
        <v>-0.99120070000000005</v>
      </c>
      <c r="Q3892">
        <v>0.12868260000000001</v>
      </c>
      <c r="R3892">
        <v>3.101976E-2</v>
      </c>
      <c r="S3892">
        <v>-3.028076</v>
      </c>
      <c r="T3892">
        <v>-6.2432649999999999E-2</v>
      </c>
      <c r="U3892">
        <v>0.21200559999999999</v>
      </c>
      <c r="V3892">
        <v>3.0384609999999999E-2</v>
      </c>
      <c r="W3892">
        <v>0.14048620000000001</v>
      </c>
      <c r="X3892">
        <v>0.9896163</v>
      </c>
      <c r="Y3892">
        <v>6.9222580000000006E-2</v>
      </c>
      <c r="Z3892">
        <v>7.0017259999999998E-4</v>
      </c>
      <c r="AA3892">
        <v>0.99760099999999996</v>
      </c>
      <c r="AB3892">
        <v>28</v>
      </c>
      <c r="AC3892">
        <v>-53.505200000000002</v>
      </c>
      <c r="AD3892">
        <v>-1.1089327582570001</v>
      </c>
      <c r="AE3892">
        <v>3.7654999999999998</v>
      </c>
      <c r="AF3892">
        <v>3.7314415842862498</v>
      </c>
      <c r="AG3892">
        <v>-1.1089327582570001</v>
      </c>
      <c r="AH3892">
        <v>53.484613425463102</v>
      </c>
      <c r="AI3892">
        <v>91.184902701875401</v>
      </c>
      <c r="AJ3892">
        <v>86.009132820650905</v>
      </c>
      <c r="AK3892">
        <v>53.626087508138198</v>
      </c>
      <c r="AL3892">
        <v>81.924018560128104</v>
      </c>
      <c r="AM3892">
        <v>88.2413758016543</v>
      </c>
      <c r="AN3892">
        <v>1.0000000090704899</v>
      </c>
    </row>
    <row r="3893" spans="1:40" x14ac:dyDescent="0.25">
      <c r="A3893" t="str">
        <f>"20190312164549085"</f>
        <v>20190312164549085</v>
      </c>
      <c r="B3893" t="str">
        <f>"1552380349075154"</f>
        <v>1552380349075154</v>
      </c>
      <c r="C3893" t="s">
        <v>40</v>
      </c>
      <c r="D3893">
        <v>4.7497109999999996</v>
      </c>
      <c r="E3893">
        <v>0.51814340000000003</v>
      </c>
      <c r="F3893" t="s">
        <v>42</v>
      </c>
      <c r="G3893">
        <v>-391.76510000000002</v>
      </c>
      <c r="H3893" s="1">
        <v>-4.7186900000000004E-6</v>
      </c>
      <c r="I3893">
        <v>145.49799999999999</v>
      </c>
      <c r="J3893">
        <v>-333.72390000000001</v>
      </c>
      <c r="K3893">
        <v>1.108919</v>
      </c>
      <c r="L3893">
        <v>141.3938</v>
      </c>
      <c r="M3893">
        <v>-0.99992919999999996</v>
      </c>
      <c r="N3893">
        <v>0</v>
      </c>
      <c r="O3893">
        <v>4.6755800000000003E-4</v>
      </c>
      <c r="P3893">
        <v>-0.99120490000000006</v>
      </c>
      <c r="Q3893">
        <v>0.1287113</v>
      </c>
      <c r="R3893">
        <v>3.0763780000000001E-2</v>
      </c>
      <c r="S3893">
        <v>-3.027466</v>
      </c>
      <c r="T3893">
        <v>-5.7582969999999997E-2</v>
      </c>
      <c r="U3893">
        <v>0.21311949999999999</v>
      </c>
      <c r="V3893">
        <v>3.0266589999999999E-2</v>
      </c>
      <c r="W3893">
        <v>0.14049800000000001</v>
      </c>
      <c r="X3893">
        <v>0.9896182</v>
      </c>
      <c r="Y3893">
        <v>6.9742670000000007E-2</v>
      </c>
      <c r="Z3893">
        <v>6.5349829999999996E-4</v>
      </c>
      <c r="AA3893">
        <v>0.99756480000000003</v>
      </c>
      <c r="AB3893">
        <v>28</v>
      </c>
      <c r="AC3893">
        <v>-58.041200000000003</v>
      </c>
      <c r="AD3893">
        <v>-1.1089237186900001</v>
      </c>
      <c r="AE3893">
        <v>4.1041999999999899</v>
      </c>
      <c r="AF3893">
        <v>4.07557969145775</v>
      </c>
      <c r="AG3893">
        <v>-1.1089237186900001</v>
      </c>
      <c r="AH3893">
        <v>58.022038234912102</v>
      </c>
      <c r="AI3893">
        <v>91.092219582958293</v>
      </c>
      <c r="AJ3893">
        <v>85.982033566807004</v>
      </c>
      <c r="AK3893">
        <v>58.175570324397299</v>
      </c>
      <c r="AL3893">
        <v>81.923335364235001</v>
      </c>
      <c r="AM3893">
        <v>88.248205752145196</v>
      </c>
      <c r="AN3893">
        <v>0.99999996812273295</v>
      </c>
    </row>
    <row r="3894" spans="1:40" x14ac:dyDescent="0.25">
      <c r="A3894" t="str">
        <f>"20190312164549100"</f>
        <v>20190312164549100</v>
      </c>
      <c r="B3894" t="str">
        <f>"1552380349095651"</f>
        <v>1552380349095651</v>
      </c>
      <c r="C3894" t="s">
        <v>40</v>
      </c>
      <c r="D3894">
        <v>4.8065989999999896</v>
      </c>
      <c r="E3894">
        <v>0.51827860000000003</v>
      </c>
      <c r="F3894" t="s">
        <v>42</v>
      </c>
      <c r="G3894">
        <v>-395.23439999999999</v>
      </c>
      <c r="H3894" s="1">
        <v>-3.5805299999999998E-6</v>
      </c>
      <c r="I3894">
        <v>145.73740000000001</v>
      </c>
      <c r="J3894">
        <v>-333.90309999999999</v>
      </c>
      <c r="K3894">
        <v>1.1089169999999999</v>
      </c>
      <c r="L3894">
        <v>141.3938</v>
      </c>
      <c r="M3894">
        <v>-0.99992930000000002</v>
      </c>
      <c r="N3894">
        <v>0</v>
      </c>
      <c r="O3894">
        <v>3.7208519999999999E-4</v>
      </c>
      <c r="P3894">
        <v>-0.9912012</v>
      </c>
      <c r="Q3894">
        <v>0.12879740000000001</v>
      </c>
      <c r="R3894">
        <v>3.052069E-2</v>
      </c>
      <c r="S3894">
        <v>-3.027069</v>
      </c>
      <c r="T3894">
        <v>-5.4572580000000002E-2</v>
      </c>
      <c r="U3894">
        <v>0.21376039999999999</v>
      </c>
      <c r="V3894">
        <v>3.0118200000000001E-2</v>
      </c>
      <c r="W3894">
        <v>0.140573</v>
      </c>
      <c r="X3894">
        <v>0.98961209999999999</v>
      </c>
      <c r="Y3894">
        <v>7.0058410000000002E-2</v>
      </c>
      <c r="Z3894">
        <v>6.2397720000000002E-4</v>
      </c>
      <c r="AA3894">
        <v>0.9975427</v>
      </c>
      <c r="AB3894">
        <v>28</v>
      </c>
      <c r="AC3894">
        <v>-61.331299999999999</v>
      </c>
      <c r="AD3894">
        <v>-1.10892058053</v>
      </c>
      <c r="AE3894">
        <v>4.3436000000000003</v>
      </c>
      <c r="AF3894">
        <v>4.3193725923445898</v>
      </c>
      <c r="AG3894">
        <v>-1.10892058053</v>
      </c>
      <c r="AH3894">
        <v>61.312967884804401</v>
      </c>
      <c r="AI3894">
        <v>91.033590730837204</v>
      </c>
      <c r="AJ3894">
        <v>85.970287644176295</v>
      </c>
      <c r="AK3894">
        <v>61.474927533820399</v>
      </c>
      <c r="AL3894">
        <v>81.918995295574902</v>
      </c>
      <c r="AM3894">
        <v>88.256778338156906</v>
      </c>
      <c r="AN3894">
        <v>0.99999999138332496</v>
      </c>
    </row>
    <row r="3895" spans="1:40" x14ac:dyDescent="0.25">
      <c r="A3895" t="str">
        <f>"20190312164549113"</f>
        <v>20190312164549113</v>
      </c>
      <c r="B3895" t="str">
        <f>"1552380349105411"</f>
        <v>1552380349105411</v>
      </c>
      <c r="C3895" t="s">
        <v>40</v>
      </c>
      <c r="D3895">
        <v>5.0469460000000002</v>
      </c>
      <c r="E3895">
        <v>0.51831320000000003</v>
      </c>
      <c r="F3895" t="s">
        <v>42</v>
      </c>
      <c r="G3895">
        <v>-398.10140000000001</v>
      </c>
      <c r="H3895" s="1">
        <v>-2.4780849999999998E-6</v>
      </c>
      <c r="I3895">
        <v>145.9349</v>
      </c>
      <c r="J3895">
        <v>-334.06939999999997</v>
      </c>
      <c r="K3895">
        <v>1.108914</v>
      </c>
      <c r="L3895">
        <v>141.3938</v>
      </c>
      <c r="M3895">
        <v>-0.99992950000000003</v>
      </c>
      <c r="N3895">
        <v>0</v>
      </c>
      <c r="O3895">
        <v>2.8345840000000002E-4</v>
      </c>
      <c r="P3895">
        <v>-0.99121170000000003</v>
      </c>
      <c r="Q3895">
        <v>0.1287276</v>
      </c>
      <c r="R3895">
        <v>3.047445E-2</v>
      </c>
      <c r="S3895">
        <v>-3.0268250000000001</v>
      </c>
      <c r="T3895">
        <v>-5.2283410000000002E-2</v>
      </c>
      <c r="U3895">
        <v>0.2141113</v>
      </c>
      <c r="V3895">
        <v>3.0159890000000002E-2</v>
      </c>
      <c r="W3895">
        <v>0.1404937</v>
      </c>
      <c r="X3895">
        <v>0.98962209999999995</v>
      </c>
      <c r="Y3895">
        <v>7.026847E-2</v>
      </c>
      <c r="Z3895">
        <v>6.0119350000000004E-4</v>
      </c>
      <c r="AA3895">
        <v>0.99752799999999997</v>
      </c>
      <c r="AB3895">
        <v>28</v>
      </c>
      <c r="AC3895">
        <v>-64.031999999999996</v>
      </c>
      <c r="AD3895">
        <v>-1.108916478085</v>
      </c>
      <c r="AE3895">
        <v>4.5411000000000001</v>
      </c>
      <c r="AF3895">
        <v>4.5215988047676401</v>
      </c>
      <c r="AG3895">
        <v>-1.108916478085</v>
      </c>
      <c r="AH3895">
        <v>64.014181759977205</v>
      </c>
      <c r="AI3895">
        <v>90.989968443140995</v>
      </c>
      <c r="AJ3895">
        <v>85.959661480240499</v>
      </c>
      <c r="AK3895">
        <v>64.183253406991099</v>
      </c>
      <c r="AL3895">
        <v>81.923584461465495</v>
      </c>
      <c r="AM3895">
        <v>88.254384468694695</v>
      </c>
      <c r="AN3895">
        <v>0.99999999975645604</v>
      </c>
    </row>
    <row r="3896" spans="1:40" x14ac:dyDescent="0.25">
      <c r="A3896" t="str">
        <f>"20190312164549125"</f>
        <v>20190312164549125</v>
      </c>
      <c r="B3896" t="str">
        <f>"1552380349115171"</f>
        <v>1552380349115171</v>
      </c>
      <c r="C3896" t="s">
        <v>40</v>
      </c>
      <c r="D3896">
        <v>4.7478129999999998</v>
      </c>
      <c r="E3896">
        <v>0.51837920000000004</v>
      </c>
      <c r="F3896" t="s">
        <v>42</v>
      </c>
      <c r="G3896">
        <v>-399.23230000000001</v>
      </c>
      <c r="H3896" s="1">
        <v>-2.0127100000000001E-6</v>
      </c>
      <c r="I3896">
        <v>146.00919999999999</v>
      </c>
      <c r="J3896">
        <v>-334.23500000000001</v>
      </c>
      <c r="K3896">
        <v>1.1089119999999999</v>
      </c>
      <c r="L3896">
        <v>141.3937</v>
      </c>
      <c r="M3896">
        <v>-0.99992970000000003</v>
      </c>
      <c r="N3896">
        <v>0</v>
      </c>
      <c r="O3896">
        <v>1.953643E-4</v>
      </c>
      <c r="P3896">
        <v>-0.99122880000000002</v>
      </c>
      <c r="Q3896">
        <v>0.1286754</v>
      </c>
      <c r="R3896">
        <v>3.0139740000000002E-2</v>
      </c>
      <c r="S3896">
        <v>-3.0267029999999999</v>
      </c>
      <c r="T3896">
        <v>-5.1507230000000001E-2</v>
      </c>
      <c r="U3896">
        <v>0.21438599999999999</v>
      </c>
      <c r="V3896">
        <v>2.9912629999999999E-2</v>
      </c>
      <c r="W3896">
        <v>0.14043329999999901</v>
      </c>
      <c r="X3896">
        <v>0.98963809999999997</v>
      </c>
      <c r="Y3896">
        <v>7.0449499999999998E-2</v>
      </c>
      <c r="Z3896">
        <v>5.9532729999999998E-4</v>
      </c>
      <c r="AA3896">
        <v>0.99751509999999999</v>
      </c>
      <c r="AB3896">
        <v>28</v>
      </c>
      <c r="AC3896">
        <v>-64.997299999999996</v>
      </c>
      <c r="AD3896">
        <v>-1.1089140127099999</v>
      </c>
      <c r="AE3896">
        <v>4.6154999999999902</v>
      </c>
      <c r="AF3896">
        <v>4.60146821431871</v>
      </c>
      <c r="AG3896">
        <v>-1.1089140127099999</v>
      </c>
      <c r="AH3896">
        <v>64.979381539334099</v>
      </c>
      <c r="AI3896">
        <v>90.975251857973703</v>
      </c>
      <c r="AJ3896">
        <v>85.949402305209404</v>
      </c>
      <c r="AK3896">
        <v>65.151540467201002</v>
      </c>
      <c r="AL3896">
        <v>81.9270791564756</v>
      </c>
      <c r="AM3896">
        <v>88.268714786819501</v>
      </c>
      <c r="AN3896">
        <v>0.99999992307700503</v>
      </c>
    </row>
    <row r="3897" spans="1:40" x14ac:dyDescent="0.25">
      <c r="A3897" t="str">
        <f>"20190312164549142"</f>
        <v>20190312164549142</v>
      </c>
      <c r="B3897" t="str">
        <f>"1552380349135670"</f>
        <v>1552380349135670</v>
      </c>
      <c r="C3897" t="s">
        <v>40</v>
      </c>
      <c r="D3897">
        <v>4.797174</v>
      </c>
      <c r="E3897">
        <v>0.5182949</v>
      </c>
      <c r="F3897" t="s">
        <v>71</v>
      </c>
      <c r="G3897">
        <v>-401.15350000000001</v>
      </c>
      <c r="H3897" s="1">
        <v>-8.5525600000000007E-6</v>
      </c>
      <c r="I3897">
        <v>146.12479999999999</v>
      </c>
      <c r="J3897">
        <v>-334.44049999999999</v>
      </c>
      <c r="K3897">
        <v>1.108903</v>
      </c>
      <c r="L3897">
        <v>141.39359999999999</v>
      </c>
      <c r="M3897">
        <v>-0.99992979999999998</v>
      </c>
      <c r="N3897">
        <v>0</v>
      </c>
      <c r="O3897" s="1">
        <v>8.892858E-5</v>
      </c>
      <c r="P3897">
        <v>-0.99121000000000004</v>
      </c>
      <c r="Q3897">
        <v>0.12884200000000001</v>
      </c>
      <c r="R3897">
        <v>3.0046489999999999E-2</v>
      </c>
      <c r="S3897">
        <v>-3.0265499999999999</v>
      </c>
      <c r="T3897">
        <v>-5.0153610000000001E-2</v>
      </c>
      <c r="U3897">
        <v>0.213974</v>
      </c>
      <c r="V3897">
        <v>2.9925279999999999E-2</v>
      </c>
      <c r="W3897">
        <v>0.14058860000000001</v>
      </c>
      <c r="X3897">
        <v>0.98961569999999999</v>
      </c>
      <c r="Y3897">
        <v>7.0424630000000002E-2</v>
      </c>
      <c r="Z3897">
        <v>5.8127190000000005E-4</v>
      </c>
      <c r="AA3897">
        <v>0.99751690000000004</v>
      </c>
      <c r="AB3897">
        <v>28</v>
      </c>
      <c r="AC3897">
        <v>-66.712999999999994</v>
      </c>
      <c r="AD3897">
        <v>-1.10891155256</v>
      </c>
      <c r="AE3897">
        <v>4.7312000000000003</v>
      </c>
      <c r="AF3897">
        <v>4.7239681957607003</v>
      </c>
      <c r="AG3897">
        <v>-1.10891155256</v>
      </c>
      <c r="AH3897">
        <v>66.695085209161206</v>
      </c>
      <c r="AI3897">
        <v>90.950165449706304</v>
      </c>
      <c r="AJ3897">
        <v>85.948544394563797</v>
      </c>
      <c r="AK3897">
        <v>66.871368696948494</v>
      </c>
      <c r="AL3897">
        <v>81.918092222193195</v>
      </c>
      <c r="AM3897">
        <v>88.267943894722407</v>
      </c>
      <c r="AN3897">
        <v>0.99999995525976304</v>
      </c>
    </row>
    <row r="3898" spans="1:40" x14ac:dyDescent="0.25">
      <c r="A3898" t="str">
        <f>"20190312164549156"</f>
        <v>20190312164549156</v>
      </c>
      <c r="B3898" t="str">
        <f>"1552380349145426"</f>
        <v>1552380349145426</v>
      </c>
      <c r="C3898" t="s">
        <v>40</v>
      </c>
      <c r="D3898">
        <v>4.957319</v>
      </c>
      <c r="E3898">
        <v>0.51825710000000003</v>
      </c>
      <c r="F3898" t="s">
        <v>71</v>
      </c>
      <c r="G3898">
        <v>-404.2681</v>
      </c>
      <c r="H3898" s="1">
        <v>-1.0015089999999999E-5</v>
      </c>
      <c r="I3898">
        <v>146.32259999999999</v>
      </c>
      <c r="J3898">
        <v>-334.6157</v>
      </c>
      <c r="K3898">
        <v>1.1089</v>
      </c>
      <c r="L3898">
        <v>141.39349999999999</v>
      </c>
      <c r="M3898">
        <v>-0.99992999999999999</v>
      </c>
      <c r="N3898">
        <v>0</v>
      </c>
      <c r="O3898" s="1">
        <v>3.1068700000000001E-7</v>
      </c>
      <c r="P3898">
        <v>-0.99124590000000001</v>
      </c>
      <c r="Q3898">
        <v>0.1286851</v>
      </c>
      <c r="R3898">
        <v>2.9533360000000002E-2</v>
      </c>
      <c r="S3898">
        <v>-3.0263369999999998</v>
      </c>
      <c r="T3898">
        <v>-4.806042E-2</v>
      </c>
      <c r="U3898">
        <v>0.21362300000000001</v>
      </c>
      <c r="V3898">
        <v>2.9500499999999999E-2</v>
      </c>
      <c r="W3898">
        <v>0.14042379999999999</v>
      </c>
      <c r="X3898">
        <v>0.98965190000000003</v>
      </c>
      <c r="Y3898">
        <v>7.0403640000000003E-2</v>
      </c>
      <c r="Z3898">
        <v>5.5829580000000005E-4</v>
      </c>
      <c r="AA3898">
        <v>0.99751840000000003</v>
      </c>
      <c r="AB3898">
        <v>28</v>
      </c>
      <c r="AC3898">
        <v>-69.6524</v>
      </c>
      <c r="AD3898">
        <v>-1.10891001509</v>
      </c>
      <c r="AE3898">
        <v>4.9291</v>
      </c>
      <c r="AF3898">
        <v>4.92783554153712</v>
      </c>
      <c r="AG3898">
        <v>-1.10891001509</v>
      </c>
      <c r="AH3898">
        <v>69.634839388621799</v>
      </c>
      <c r="AI3898">
        <v>90.910062226274704</v>
      </c>
      <c r="AJ3898">
        <v>85.952108581699093</v>
      </c>
      <c r="AK3898">
        <v>69.817792153756599</v>
      </c>
      <c r="AL3898">
        <v>81.927629564683301</v>
      </c>
      <c r="AM3898">
        <v>88.292577651414902</v>
      </c>
      <c r="AN3898">
        <v>1.0000000031401499</v>
      </c>
    </row>
    <row r="3899" spans="1:40" x14ac:dyDescent="0.25">
      <c r="A3899" t="str">
        <f>"20190312164549169"</f>
        <v>20190312164549169</v>
      </c>
      <c r="B3899" t="str">
        <f>"1552380349165923"</f>
        <v>1552380349165923</v>
      </c>
      <c r="C3899" t="s">
        <v>40</v>
      </c>
      <c r="D3899">
        <v>4.74756</v>
      </c>
      <c r="E3899">
        <v>0.51824590000000004</v>
      </c>
      <c r="F3899" t="s">
        <v>71</v>
      </c>
      <c r="G3899">
        <v>-403.78629999999998</v>
      </c>
      <c r="H3899" s="1">
        <v>-9.7658739999999997E-6</v>
      </c>
      <c r="I3899">
        <v>146.23609999999999</v>
      </c>
      <c r="J3899">
        <v>-334.78179999999998</v>
      </c>
      <c r="K3899">
        <v>1.108897</v>
      </c>
      <c r="L3899">
        <v>141.39340000000001</v>
      </c>
      <c r="M3899">
        <v>-0.99992990000000004</v>
      </c>
      <c r="N3899">
        <v>0</v>
      </c>
      <c r="O3899" s="1">
        <v>-8.1688379999999994E-5</v>
      </c>
      <c r="P3899">
        <v>-0.99125640000000004</v>
      </c>
      <c r="Q3899">
        <v>0.1286747</v>
      </c>
      <c r="R3899">
        <v>2.921354E-2</v>
      </c>
      <c r="S3899">
        <v>-3.0264890000000002</v>
      </c>
      <c r="T3899">
        <v>-4.851925E-2</v>
      </c>
      <c r="U3899">
        <v>0.2118835</v>
      </c>
      <c r="V3899">
        <v>2.92626E-2</v>
      </c>
      <c r="W3899">
        <v>0.1404059</v>
      </c>
      <c r="X3899">
        <v>0.98966149999999997</v>
      </c>
      <c r="Y3899">
        <v>6.9911290000000001E-2</v>
      </c>
      <c r="Z3899">
        <v>5.6097949999999895E-4</v>
      </c>
      <c r="AA3899">
        <v>0.99755309999999997</v>
      </c>
      <c r="AB3899">
        <v>28</v>
      </c>
      <c r="AC3899">
        <v>-69.004499999999993</v>
      </c>
      <c r="AD3899">
        <v>-1.1089067658739999</v>
      </c>
      <c r="AE3899">
        <v>4.8426999999999696</v>
      </c>
      <c r="AF3899">
        <v>4.8470916329059301</v>
      </c>
      <c r="AG3899">
        <v>-1.1089067658739999</v>
      </c>
      <c r="AH3899">
        <v>68.986375941170493</v>
      </c>
      <c r="AI3899">
        <v>90.918645108688693</v>
      </c>
      <c r="AJ3899">
        <v>85.9809130967285</v>
      </c>
      <c r="AK3899">
        <v>69.165338407396703</v>
      </c>
      <c r="AL3899">
        <v>81.928665400556099</v>
      </c>
      <c r="AM3899">
        <v>88.306355133777302</v>
      </c>
      <c r="AN3899">
        <v>1.0000000005479099</v>
      </c>
    </row>
    <row r="3900" spans="1:40" x14ac:dyDescent="0.25">
      <c r="A3900" t="str">
        <f>"20190312164549185"</f>
        <v>20190312164549185</v>
      </c>
      <c r="B3900" t="str">
        <f>"1552380349175683"</f>
        <v>1552380349175683</v>
      </c>
      <c r="C3900" t="s">
        <v>40</v>
      </c>
      <c r="D3900">
        <v>4.7781390000000004</v>
      </c>
      <c r="E3900">
        <v>0.51811390000000002</v>
      </c>
      <c r="F3900" t="s">
        <v>71</v>
      </c>
      <c r="G3900">
        <v>-403.85669999999999</v>
      </c>
      <c r="H3900" s="1">
        <v>-9.7859799999999994E-6</v>
      </c>
      <c r="I3900">
        <v>146.20910000000001</v>
      </c>
      <c r="J3900">
        <v>-334.98579999999998</v>
      </c>
      <c r="K3900">
        <v>1.1089020000000001</v>
      </c>
      <c r="L3900">
        <v>141.39330000000001</v>
      </c>
      <c r="M3900">
        <v>-0.99993010000000004</v>
      </c>
      <c r="N3900">
        <v>0</v>
      </c>
      <c r="O3900">
        <v>-1.7766200000000001E-4</v>
      </c>
      <c r="P3900">
        <v>-0.99120839999999999</v>
      </c>
      <c r="Q3900">
        <v>0.12914489999999901</v>
      </c>
      <c r="R3900">
        <v>2.8767029999999999E-2</v>
      </c>
      <c r="S3900">
        <v>-3.0265200000000001</v>
      </c>
      <c r="T3900">
        <v>-4.8586850000000001E-2</v>
      </c>
      <c r="U3900">
        <v>0.21099850000000001</v>
      </c>
      <c r="V3900">
        <v>2.8912190000000001E-2</v>
      </c>
      <c r="W3900">
        <v>0.14086670000000001</v>
      </c>
      <c r="X3900">
        <v>0.98960630000000005</v>
      </c>
      <c r="Y3900">
        <v>6.9716029999999998E-2</v>
      </c>
      <c r="Z3900">
        <v>5.6173460000000003E-4</v>
      </c>
      <c r="AA3900">
        <v>0.99756670000000003</v>
      </c>
      <c r="AB3900">
        <v>28</v>
      </c>
      <c r="AC3900">
        <v>-68.870900000000006</v>
      </c>
      <c r="AD3900">
        <v>-1.10891178598</v>
      </c>
      <c r="AE3900">
        <v>4.8157999999999896</v>
      </c>
      <c r="AF3900">
        <v>4.8267912533742097</v>
      </c>
      <c r="AG3900">
        <v>-1.10891178598</v>
      </c>
      <c r="AH3900">
        <v>68.852280015721405</v>
      </c>
      <c r="AI3900">
        <v>90.920448265028</v>
      </c>
      <c r="AJ3900">
        <v>85.989921398688907</v>
      </c>
      <c r="AK3900">
        <v>69.030167771171193</v>
      </c>
      <c r="AL3900">
        <v>81.901998348139699</v>
      </c>
      <c r="AM3900">
        <v>88.326531085302605</v>
      </c>
      <c r="AN3900">
        <v>0.99999998544958701</v>
      </c>
    </row>
    <row r="3901" spans="1:40" x14ac:dyDescent="0.25">
      <c r="A3901" t="str">
        <f>"20190312164549200"</f>
        <v>20190312164549200</v>
      </c>
      <c r="B3901" t="str">
        <f>"1552380349195203"</f>
        <v>1552380349195203</v>
      </c>
      <c r="C3901" t="s">
        <v>40</v>
      </c>
      <c r="D3901">
        <v>4.8015829999999999</v>
      </c>
      <c r="E3901">
        <v>0.51808359999999998</v>
      </c>
      <c r="F3901" t="s">
        <v>71</v>
      </c>
      <c r="G3901">
        <v>-404.82139999999998</v>
      </c>
      <c r="H3901" s="1">
        <v>-1.0213080000000001E-5</v>
      </c>
      <c r="I3901">
        <v>146.2073</v>
      </c>
      <c r="J3901">
        <v>-335.15859999999998</v>
      </c>
      <c r="K3901">
        <v>1.1088990000000001</v>
      </c>
      <c r="L3901">
        <v>141.39320000000001</v>
      </c>
      <c r="M3901">
        <v>-0.99993010000000004</v>
      </c>
      <c r="N3901">
        <v>0</v>
      </c>
      <c r="O3901">
        <v>-2.5492899999999998E-4</v>
      </c>
      <c r="P3901">
        <v>-0.99120810000000004</v>
      </c>
      <c r="Q3901">
        <v>0.12924430000000001</v>
      </c>
      <c r="R3901">
        <v>2.8331100000000001E-2</v>
      </c>
      <c r="S3901">
        <v>-3.0268250000000001</v>
      </c>
      <c r="T3901">
        <v>-4.8062559999999997E-2</v>
      </c>
      <c r="U3901">
        <v>0.20864869999999999</v>
      </c>
      <c r="V3901">
        <v>2.8554360000000001E-2</v>
      </c>
      <c r="W3901">
        <v>0.14095869999999999</v>
      </c>
      <c r="X3901">
        <v>0.98960360000000003</v>
      </c>
      <c r="Y3901">
        <v>6.9015640000000003E-2</v>
      </c>
      <c r="Z3901">
        <v>5.5130459999999995E-4</v>
      </c>
      <c r="AA3901">
        <v>0.99761540000000004</v>
      </c>
      <c r="AB3901">
        <v>28</v>
      </c>
      <c r="AC3901">
        <v>-69.662800000000004</v>
      </c>
      <c r="AD3901">
        <v>-1.10890921308</v>
      </c>
      <c r="AE3901">
        <v>4.8140999999999901</v>
      </c>
      <c r="AF3901">
        <v>4.8306419318786897</v>
      </c>
      <c r="AG3901">
        <v>-1.10890921308</v>
      </c>
      <c r="AH3901">
        <v>69.644007149945594</v>
      </c>
      <c r="AI3901">
        <v>90.910030910161396</v>
      </c>
      <c r="AJ3901">
        <v>86.032209794192298</v>
      </c>
      <c r="AK3901">
        <v>69.820144034644798</v>
      </c>
      <c r="AL3901">
        <v>81.896674095136504</v>
      </c>
      <c r="AM3901">
        <v>88.3472266074386</v>
      </c>
      <c r="AN3901">
        <v>0.99999999585682897</v>
      </c>
    </row>
    <row r="3902" spans="1:40" x14ac:dyDescent="0.25">
      <c r="A3902" t="str">
        <f>"20190312164549212"</f>
        <v>20190312164549212</v>
      </c>
      <c r="B3902" t="str">
        <f>"1552380349205939"</f>
        <v>1552380349205939</v>
      </c>
      <c r="C3902" t="s">
        <v>40</v>
      </c>
      <c r="D3902">
        <v>4.9664729999999997</v>
      </c>
      <c r="E3902">
        <v>0.51823750000000002</v>
      </c>
      <c r="F3902" t="s">
        <v>71</v>
      </c>
      <c r="G3902">
        <v>-405.51819999999998</v>
      </c>
      <c r="H3902" s="1">
        <v>-1.0619919999999999E-5</v>
      </c>
      <c r="I3902">
        <v>146.2012</v>
      </c>
      <c r="J3902">
        <v>-335.32380000000001</v>
      </c>
      <c r="K3902">
        <v>1.108894</v>
      </c>
      <c r="L3902">
        <v>141.3931</v>
      </c>
      <c r="M3902">
        <v>-0.99993030000000005</v>
      </c>
      <c r="N3902">
        <v>0</v>
      </c>
      <c r="O3902">
        <v>-3.2683549999999999E-4</v>
      </c>
      <c r="P3902">
        <v>-0.99122639999999995</v>
      </c>
      <c r="Q3902">
        <v>0.12916939999999999</v>
      </c>
      <c r="R3902">
        <v>2.8029539999999999E-2</v>
      </c>
      <c r="S3902">
        <v>-3.0269469999999998</v>
      </c>
      <c r="T3902">
        <v>-4.7706480000000002E-2</v>
      </c>
      <c r="U3902">
        <v>0.20684810000000001</v>
      </c>
      <c r="V3902">
        <v>2.8325220000000002E-2</v>
      </c>
      <c r="W3902">
        <v>0.14087749999999999</v>
      </c>
      <c r="X3902">
        <v>0.9896218</v>
      </c>
      <c r="Y3902">
        <v>6.8494159999999998E-2</v>
      </c>
      <c r="Z3902">
        <v>5.4423739999999996E-4</v>
      </c>
      <c r="AA3902">
        <v>0.99765139999999997</v>
      </c>
      <c r="AB3902">
        <v>28</v>
      </c>
      <c r="AC3902">
        <v>-70.194399999999902</v>
      </c>
      <c r="AD3902">
        <v>-1.1089046199199999</v>
      </c>
      <c r="AE3902">
        <v>4.8080999999999898</v>
      </c>
      <c r="AF3902">
        <v>4.8298436325518699</v>
      </c>
      <c r="AG3902">
        <v>-1.1089046199199999</v>
      </c>
      <c r="AH3902">
        <v>70.175393155913795</v>
      </c>
      <c r="AI3902">
        <v>90.903170649623902</v>
      </c>
      <c r="AJ3902">
        <v>86.0628087426836</v>
      </c>
      <c r="AK3902">
        <v>70.350144730185605</v>
      </c>
      <c r="AL3902">
        <v>81.901373827241201</v>
      </c>
      <c r="AM3902">
        <v>88.360512475726495</v>
      </c>
      <c r="AN3902">
        <v>1.0000000475647599</v>
      </c>
    </row>
    <row r="3903" spans="1:40" x14ac:dyDescent="0.25">
      <c r="A3903" t="str">
        <f>"20190312164549232"</f>
        <v>20190312164549232</v>
      </c>
      <c r="B3903" t="str">
        <f>"1552380349225462"</f>
        <v>1552380349225462</v>
      </c>
      <c r="C3903" t="s">
        <v>40</v>
      </c>
      <c r="D3903">
        <v>4.6280720000000004</v>
      </c>
      <c r="E3903">
        <v>0.51830419999999999</v>
      </c>
      <c r="F3903" t="s">
        <v>71</v>
      </c>
      <c r="G3903">
        <v>-406.41890000000001</v>
      </c>
      <c r="H3903" s="1">
        <v>-1.1203169999999999E-5</v>
      </c>
      <c r="I3903">
        <v>146.256</v>
      </c>
      <c r="J3903">
        <v>-335.56229999999999</v>
      </c>
      <c r="K3903">
        <v>1.108886</v>
      </c>
      <c r="L3903">
        <v>141.3929</v>
      </c>
      <c r="M3903">
        <v>-0.99993030000000005</v>
      </c>
      <c r="N3903">
        <v>0</v>
      </c>
      <c r="O3903">
        <v>-4.2517150000000002E-4</v>
      </c>
      <c r="P3903">
        <v>-0.99126899999999996</v>
      </c>
      <c r="Q3903">
        <v>0.12891269999999999</v>
      </c>
      <c r="R3903">
        <v>2.7705750000000001E-2</v>
      </c>
      <c r="S3903">
        <v>-3.0267940000000002</v>
      </c>
      <c r="T3903">
        <v>-4.7210340000000003E-2</v>
      </c>
      <c r="U3903">
        <v>0.2070313</v>
      </c>
      <c r="V3903">
        <v>2.8101049999999999E-2</v>
      </c>
      <c r="W3903">
        <v>0.14061360000000001</v>
      </c>
      <c r="X3903">
        <v>0.98966569999999998</v>
      </c>
      <c r="Y3903">
        <v>6.8655910000000001E-2</v>
      </c>
      <c r="Z3903">
        <v>5.4139610000000001E-4</v>
      </c>
      <c r="AA3903">
        <v>0.99764030000000004</v>
      </c>
      <c r="AB3903">
        <v>28</v>
      </c>
      <c r="AC3903">
        <v>-70.8566</v>
      </c>
      <c r="AD3903">
        <v>-1.10889720317</v>
      </c>
      <c r="AE3903">
        <v>4.8631000000000002</v>
      </c>
      <c r="AF3903">
        <v>4.8920353309579898</v>
      </c>
      <c r="AG3903">
        <v>-1.10889720317</v>
      </c>
      <c r="AH3903">
        <v>70.8372577704924</v>
      </c>
      <c r="AI3903">
        <v>90.894712893858895</v>
      </c>
      <c r="AJ3903">
        <v>86.049414449502194</v>
      </c>
      <c r="AK3903">
        <v>71.014637583597704</v>
      </c>
      <c r="AL3903">
        <v>81.916646028619098</v>
      </c>
      <c r="AM3903">
        <v>88.373552737033904</v>
      </c>
      <c r="AN3903">
        <v>1.00000002563627</v>
      </c>
    </row>
    <row r="3904" spans="1:40" x14ac:dyDescent="0.25">
      <c r="A3904" t="str">
        <f>"20190312164549245"</f>
        <v>20190312164549245</v>
      </c>
      <c r="B3904" t="str">
        <f>"1552380349235219"</f>
        <v>1552380349235219</v>
      </c>
      <c r="C3904" t="s">
        <v>40</v>
      </c>
      <c r="D3904">
        <v>4.6740440000000003</v>
      </c>
      <c r="E3904">
        <v>0.52830429999999995</v>
      </c>
      <c r="F3904" t="s">
        <v>71</v>
      </c>
      <c r="G3904">
        <v>-403.77420000000001</v>
      </c>
      <c r="H3904" s="1">
        <v>-9.6851490000000005E-6</v>
      </c>
      <c r="I3904">
        <v>146.05269999999999</v>
      </c>
      <c r="J3904">
        <v>-335.74009999999998</v>
      </c>
      <c r="K3904">
        <v>1.1088739999999999</v>
      </c>
      <c r="L3904">
        <v>141.39269999999999</v>
      </c>
      <c r="M3904">
        <v>-0.9999304</v>
      </c>
      <c r="N3904">
        <v>0</v>
      </c>
      <c r="O3904">
        <v>-4.9541949999999896E-4</v>
      </c>
      <c r="P3904">
        <v>-0.99129780000000001</v>
      </c>
      <c r="Q3904">
        <v>0.12869639999999999</v>
      </c>
      <c r="R3904">
        <v>2.7679499999999999E-2</v>
      </c>
      <c r="S3904">
        <v>-3.0270079999999999</v>
      </c>
      <c r="T3904">
        <v>-4.9208880000000003E-2</v>
      </c>
      <c r="U3904">
        <v>0.2067871</v>
      </c>
      <c r="V3904">
        <v>2.8145610000000001E-2</v>
      </c>
      <c r="W3904">
        <v>0.14039219999999999</v>
      </c>
      <c r="X3904">
        <v>0.98969580000000001</v>
      </c>
      <c r="Y3904">
        <v>6.8640380000000001E-2</v>
      </c>
      <c r="Z3904">
        <v>5.6528820000000001E-4</v>
      </c>
      <c r="AA3904">
        <v>0.99764129999999995</v>
      </c>
      <c r="AB3904">
        <v>28</v>
      </c>
      <c r="AC3904">
        <v>-68.034099999999995</v>
      </c>
      <c r="AD3904">
        <v>-1.1088836851489901</v>
      </c>
      <c r="AE3904">
        <v>4.6599999999999904</v>
      </c>
      <c r="AF3904">
        <v>4.6924664316863502</v>
      </c>
      <c r="AG3904">
        <v>-1.1088836851489901</v>
      </c>
      <c r="AH3904">
        <v>68.013798971909594</v>
      </c>
      <c r="AI3904">
        <v>90.931841669764594</v>
      </c>
      <c r="AJ3904">
        <v>86.053254631304895</v>
      </c>
      <c r="AK3904">
        <v>68.184497613687995</v>
      </c>
      <c r="AL3904">
        <v>81.929457883033294</v>
      </c>
      <c r="AM3904">
        <v>88.371024576097298</v>
      </c>
      <c r="AN3904">
        <v>0.99999996086037501</v>
      </c>
    </row>
    <row r="3905" spans="1:40" x14ac:dyDescent="0.25">
      <c r="A3905" t="str">
        <f>"20190312164549266"</f>
        <v>20190312164549266</v>
      </c>
      <c r="B3905" t="str">
        <f>"1552380349255714"</f>
        <v>1552380349255714</v>
      </c>
      <c r="C3905" t="s">
        <v>40</v>
      </c>
      <c r="D3905">
        <v>4.9152319999999996</v>
      </c>
      <c r="E3905">
        <v>0.53343249999999998</v>
      </c>
      <c r="F3905" t="s">
        <v>42</v>
      </c>
      <c r="G3905">
        <v>-354.9796</v>
      </c>
      <c r="H3905" s="1">
        <v>-3.0798799999999998E-6</v>
      </c>
      <c r="I3905">
        <v>143.1635</v>
      </c>
      <c r="J3905">
        <v>-335.98989999999998</v>
      </c>
      <c r="K3905">
        <v>1.108867</v>
      </c>
      <c r="L3905">
        <v>141.39250000000001</v>
      </c>
      <c r="M3905">
        <v>-0.9999304</v>
      </c>
      <c r="N3905">
        <v>0</v>
      </c>
      <c r="O3905">
        <v>-5.9044999999999996E-4</v>
      </c>
      <c r="P3905">
        <v>-0.99130469999999904</v>
      </c>
      <c r="Q3905">
        <v>0.12862760000000001</v>
      </c>
      <c r="R3905">
        <v>2.7755439999999999E-2</v>
      </c>
      <c r="S3905">
        <v>-3.04129</v>
      </c>
      <c r="T3905">
        <v>-0.17528669999999999</v>
      </c>
      <c r="U3905">
        <v>0.27993770000000001</v>
      </c>
      <c r="V3905">
        <v>2.8317129999999999E-2</v>
      </c>
      <c r="W3905">
        <v>0.1403162</v>
      </c>
      <c r="X3905">
        <v>0.98970170000000002</v>
      </c>
      <c r="Y3905">
        <v>9.2093729999999999E-2</v>
      </c>
      <c r="Z3905">
        <v>2.6800940000000001E-3</v>
      </c>
      <c r="AA3905">
        <v>0.99574669999999998</v>
      </c>
      <c r="AB3905">
        <v>28</v>
      </c>
      <c r="AC3905">
        <v>-18.989699999999999</v>
      </c>
      <c r="AD3905">
        <v>-1.10887007988</v>
      </c>
      <c r="AE3905">
        <v>1.7709999999999799</v>
      </c>
      <c r="AF3905">
        <v>1.77620869710856</v>
      </c>
      <c r="AG3905">
        <v>-1.10887007988</v>
      </c>
      <c r="AH3905">
        <v>18.924678531326901</v>
      </c>
      <c r="AI3905">
        <v>93.3387072955462</v>
      </c>
      <c r="AJ3905">
        <v>84.638112355306504</v>
      </c>
      <c r="AK3905">
        <v>19.040167218378201</v>
      </c>
      <c r="AL3905">
        <v>81.933856014944297</v>
      </c>
      <c r="AM3905">
        <v>88.361112724439494</v>
      </c>
      <c r="AN3905">
        <v>0.99999997540838304</v>
      </c>
    </row>
    <row r="3906" spans="1:40" x14ac:dyDescent="0.25">
      <c r="A3906" t="str">
        <f>"20190312164549287"</f>
        <v>20190312164549287</v>
      </c>
      <c r="B3906" t="str">
        <f>"1552380349275235"</f>
        <v>1552380349275235</v>
      </c>
      <c r="C3906" t="s">
        <v>40</v>
      </c>
      <c r="D3906">
        <v>4.6345609999999997</v>
      </c>
      <c r="E3906">
        <v>0.52845969999999998</v>
      </c>
      <c r="F3906" t="s">
        <v>71</v>
      </c>
      <c r="G3906">
        <v>-419.60419999999999</v>
      </c>
      <c r="H3906" s="1">
        <v>-1.3747659999999999E-5</v>
      </c>
      <c r="I3906">
        <v>150.46860000000001</v>
      </c>
      <c r="J3906">
        <v>-336.26029999999997</v>
      </c>
      <c r="K3906">
        <v>1.10887</v>
      </c>
      <c r="L3906">
        <v>141.3922</v>
      </c>
      <c r="M3906">
        <v>-0.99993030000000005</v>
      </c>
      <c r="N3906">
        <v>0</v>
      </c>
      <c r="O3906">
        <v>-6.8991189999999996E-4</v>
      </c>
      <c r="P3906">
        <v>-0.99129339999999999</v>
      </c>
      <c r="Q3906">
        <v>0.12871749999999901</v>
      </c>
      <c r="R3906">
        <v>2.7734539999999998E-2</v>
      </c>
      <c r="S3906">
        <v>-3.0223080000000002</v>
      </c>
      <c r="T3906">
        <v>-4.008138E-2</v>
      </c>
      <c r="U3906">
        <v>0.32806400000000002</v>
      </c>
      <c r="V3906">
        <v>2.8395440000000001E-2</v>
      </c>
      <c r="W3906">
        <v>0.1403993</v>
      </c>
      <c r="X3906">
        <v>0.98968769999999995</v>
      </c>
      <c r="Y3906">
        <v>0.10859000000000001</v>
      </c>
      <c r="Z3906">
        <v>7.2703489999999997E-4</v>
      </c>
      <c r="AA3906">
        <v>0.99408640000000004</v>
      </c>
      <c r="AB3906">
        <v>28</v>
      </c>
      <c r="AC3906">
        <v>-83.343900000000005</v>
      </c>
      <c r="AD3906">
        <v>-1.10888374766</v>
      </c>
      <c r="AE3906">
        <v>9.0763999999999996</v>
      </c>
      <c r="AF3906">
        <v>9.1323041222311598</v>
      </c>
      <c r="AG3906">
        <v>-1.10888374766</v>
      </c>
      <c r="AH3906">
        <v>83.3230407778059</v>
      </c>
      <c r="AI3906">
        <v>90.757923348074598</v>
      </c>
      <c r="AJ3906">
        <v>83.745279641430002</v>
      </c>
      <c r="AK3906">
        <v>83.829336906638204</v>
      </c>
      <c r="AL3906">
        <v>81.9290473639483</v>
      </c>
      <c r="AM3906">
        <v>88.356559688084801</v>
      </c>
      <c r="AN3906">
        <v>1.0000000039922801</v>
      </c>
    </row>
    <row r="3907" spans="1:40" x14ac:dyDescent="0.25">
      <c r="A3907" t="str">
        <f>"20190312164549302"</f>
        <v>20190312164549302</v>
      </c>
      <c r="B3907" t="str">
        <f>"1552380349295731"</f>
        <v>1552380349295731</v>
      </c>
      <c r="C3907" t="s">
        <v>40</v>
      </c>
      <c r="D3907">
        <v>4.8713110000000004</v>
      </c>
      <c r="E3907">
        <v>0.52813199999999905</v>
      </c>
      <c r="F3907" t="s">
        <v>42</v>
      </c>
      <c r="G3907">
        <v>-352.38979999999998</v>
      </c>
      <c r="H3907" s="1">
        <v>-4.040551E-6</v>
      </c>
      <c r="I3907">
        <v>142.87350000000001</v>
      </c>
      <c r="J3907">
        <v>-336.45330000000001</v>
      </c>
      <c r="K3907">
        <v>1.10887</v>
      </c>
      <c r="L3907">
        <v>141.392</v>
      </c>
      <c r="M3907">
        <v>-0.99993030000000005</v>
      </c>
      <c r="N3907">
        <v>0</v>
      </c>
      <c r="O3907">
        <v>-7.5864819999999996E-4</v>
      </c>
      <c r="P3907">
        <v>-0.99129100000000003</v>
      </c>
      <c r="Q3907">
        <v>0.12875899999999901</v>
      </c>
      <c r="R3907">
        <v>2.7627220000000001E-2</v>
      </c>
      <c r="S3907">
        <v>-3.0456850000000002</v>
      </c>
      <c r="T3907">
        <v>-0.20938560000000001</v>
      </c>
      <c r="U3907">
        <v>0.27972409999999998</v>
      </c>
      <c r="V3907">
        <v>2.835683E-2</v>
      </c>
      <c r="W3907">
        <v>0.14043659999999999</v>
      </c>
      <c r="X3907">
        <v>0.98968350000000005</v>
      </c>
      <c r="Y3907">
        <v>9.1996240000000007E-2</v>
      </c>
      <c r="Z3907">
        <v>3.2039439999999998E-3</v>
      </c>
      <c r="AA3907">
        <v>0.99575420000000003</v>
      </c>
      <c r="AB3907">
        <v>28</v>
      </c>
      <c r="AC3907">
        <v>-15.936499999999899</v>
      </c>
      <c r="AD3907">
        <v>-1.108874040551</v>
      </c>
      <c r="AE3907">
        <v>1.48150000000001</v>
      </c>
      <c r="AF3907">
        <v>1.4864556192218601</v>
      </c>
      <c r="AG3907">
        <v>-1.108874040551</v>
      </c>
      <c r="AH3907">
        <v>15.859246972826</v>
      </c>
      <c r="AI3907">
        <v>93.982198479861495</v>
      </c>
      <c r="AJ3907">
        <v>84.645424058688704</v>
      </c>
      <c r="AK3907">
        <v>15.967306175144699</v>
      </c>
      <c r="AL3907">
        <v>81.926888726061705</v>
      </c>
      <c r="AM3907">
        <v>88.358786131468406</v>
      </c>
      <c r="AN3907">
        <v>0.999999989299729</v>
      </c>
    </row>
    <row r="3908" spans="1:40" x14ac:dyDescent="0.25">
      <c r="A3908" t="str">
        <f>"20190312164549316"</f>
        <v>20190312164549316</v>
      </c>
      <c r="B3908" t="str">
        <f>"1552380349305491"</f>
        <v>1552380349305491</v>
      </c>
      <c r="C3908" t="s">
        <v>40</v>
      </c>
      <c r="D3908">
        <v>4.7047290000000004</v>
      </c>
      <c r="E3908">
        <v>0.52776119999999904</v>
      </c>
      <c r="F3908" t="s">
        <v>42</v>
      </c>
      <c r="G3908">
        <v>-356.40159999999997</v>
      </c>
      <c r="H3908" s="1">
        <v>-2.4855199999999999E-6</v>
      </c>
      <c r="I3908">
        <v>143.22229999999999</v>
      </c>
      <c r="J3908">
        <v>-336.61770000000001</v>
      </c>
      <c r="K3908">
        <v>1.108868</v>
      </c>
      <c r="L3908">
        <v>141.39179999999999</v>
      </c>
      <c r="M3908">
        <v>-0.9999304</v>
      </c>
      <c r="N3908">
        <v>0</v>
      </c>
      <c r="O3908">
        <v>-8.1666509999999998E-4</v>
      </c>
      <c r="P3908">
        <v>-0.99127410000000005</v>
      </c>
      <c r="Q3908">
        <v>0.12885160000000001</v>
      </c>
      <c r="R3908">
        <v>2.780885E-2</v>
      </c>
      <c r="S3908">
        <v>-3.0404969999999998</v>
      </c>
      <c r="T3908">
        <v>-0.16901350000000001</v>
      </c>
      <c r="U3908">
        <v>0.27899170000000001</v>
      </c>
      <c r="V3908">
        <v>2.8596429999999999E-2</v>
      </c>
      <c r="W3908">
        <v>0.14052579999999901</v>
      </c>
      <c r="X3908">
        <v>0.98966399999999999</v>
      </c>
      <c r="Y3908">
        <v>9.2045840000000004E-2</v>
      </c>
      <c r="Z3908">
        <v>2.5962479999999998E-3</v>
      </c>
      <c r="AA3908">
        <v>0.99575139999999995</v>
      </c>
      <c r="AB3908">
        <v>28</v>
      </c>
      <c r="AC3908">
        <v>-19.7838999999999</v>
      </c>
      <c r="AD3908">
        <v>-1.10887048552</v>
      </c>
      <c r="AE3908">
        <v>1.8305</v>
      </c>
      <c r="AF3908">
        <v>1.84092314839969</v>
      </c>
      <c r="AG3908">
        <v>-1.10887048552</v>
      </c>
      <c r="AH3908">
        <v>19.720970725183101</v>
      </c>
      <c r="AI3908">
        <v>93.204335921789195</v>
      </c>
      <c r="AJ3908">
        <v>84.666979313535506</v>
      </c>
      <c r="AK3908">
        <v>19.837723612740898</v>
      </c>
      <c r="AL3908">
        <v>81.921727202565606</v>
      </c>
      <c r="AM3908">
        <v>88.344893842586501</v>
      </c>
      <c r="AN3908">
        <v>1.00000004458519</v>
      </c>
    </row>
    <row r="3909" spans="1:40" x14ac:dyDescent="0.25">
      <c r="A3909" t="str">
        <f>"20190312164549332"</f>
        <v>20190312164549332</v>
      </c>
      <c r="B3909" t="str">
        <f>"1552380349325987"</f>
        <v>1552380349325987</v>
      </c>
      <c r="C3909" t="s">
        <v>40</v>
      </c>
      <c r="D3909">
        <v>4.6833929999999997</v>
      </c>
      <c r="E3909">
        <v>0.52804859999999998</v>
      </c>
      <c r="F3909" t="s">
        <v>42</v>
      </c>
      <c r="G3909">
        <v>-355.64870000000002</v>
      </c>
      <c r="H3909" s="1">
        <v>-2.7810990000000001E-6</v>
      </c>
      <c r="I3909">
        <v>143.11930000000001</v>
      </c>
      <c r="J3909">
        <v>-336.82830000000001</v>
      </c>
      <c r="K3909">
        <v>1.1088639999999901</v>
      </c>
      <c r="L3909">
        <v>141.39160000000001</v>
      </c>
      <c r="M3909">
        <v>-0.99993030000000005</v>
      </c>
      <c r="N3909">
        <v>0</v>
      </c>
      <c r="O3909">
        <v>-8.8945460000000001E-4</v>
      </c>
      <c r="P3909">
        <v>-0.99121599999999999</v>
      </c>
      <c r="Q3909">
        <v>0.12925699999999901</v>
      </c>
      <c r="R3909">
        <v>2.7993230000000001E-2</v>
      </c>
      <c r="S3909">
        <v>-3.041687</v>
      </c>
      <c r="T3909">
        <v>-0.17722929999999901</v>
      </c>
      <c r="U3909">
        <v>0.27612300000000001</v>
      </c>
      <c r="V3909">
        <v>2.885325E-2</v>
      </c>
      <c r="W3909">
        <v>0.14092660000000001</v>
      </c>
      <c r="X3909">
        <v>0.98959949999999997</v>
      </c>
      <c r="Y3909">
        <v>9.1138830000000004E-2</v>
      </c>
      <c r="Z3909">
        <v>2.699183E-3</v>
      </c>
      <c r="AA3909">
        <v>0.99583449999999996</v>
      </c>
      <c r="AB3909">
        <v>28</v>
      </c>
      <c r="AC3909">
        <v>-18.820399999999999</v>
      </c>
      <c r="AD3909">
        <v>-1.1088667810989901</v>
      </c>
      <c r="AE3909">
        <v>1.72769999999999</v>
      </c>
      <c r="AF3909">
        <v>1.7384559733770899</v>
      </c>
      <c r="AG3909">
        <v>-1.1088667810989901</v>
      </c>
      <c r="AH3909">
        <v>18.754296659850901</v>
      </c>
      <c r="AI3909">
        <v>93.369320408343398</v>
      </c>
      <c r="AJ3909">
        <v>84.704021112324796</v>
      </c>
      <c r="AK3909">
        <v>18.86731188896</v>
      </c>
      <c r="AL3909">
        <v>81.898531814931701</v>
      </c>
      <c r="AM3909">
        <v>88.329929193228395</v>
      </c>
      <c r="AN3909">
        <v>0.999999993511686</v>
      </c>
    </row>
    <row r="3910" spans="1:40" x14ac:dyDescent="0.25">
      <c r="A3910" t="str">
        <f>"20190312164549345"</f>
        <v>20190312164549345</v>
      </c>
      <c r="B3910" t="str">
        <f>"1552380349335747"</f>
        <v>1552380349335747</v>
      </c>
      <c r="C3910" t="s">
        <v>40</v>
      </c>
      <c r="D3910">
        <v>4.7130650000000003</v>
      </c>
      <c r="E3910">
        <v>0.52749840000000003</v>
      </c>
      <c r="F3910" t="s">
        <v>42</v>
      </c>
      <c r="G3910">
        <v>-357.79919999999998</v>
      </c>
      <c r="H3910" s="1">
        <v>-1.9125669999999998E-6</v>
      </c>
      <c r="I3910">
        <v>143.32239999999999</v>
      </c>
      <c r="J3910">
        <v>-336.99709999999999</v>
      </c>
      <c r="K3910">
        <v>1.108867</v>
      </c>
      <c r="L3910">
        <v>141.3913</v>
      </c>
      <c r="M3910">
        <v>-0.99993030000000005</v>
      </c>
      <c r="N3910">
        <v>0</v>
      </c>
      <c r="O3910">
        <v>-9.4651369999999998E-4</v>
      </c>
      <c r="P3910">
        <v>-0.99122319999999997</v>
      </c>
      <c r="Q3910">
        <v>0.12923680000000001</v>
      </c>
      <c r="R3910">
        <v>2.7829280000000001E-2</v>
      </c>
      <c r="S3910">
        <v>-3.0395810000000001</v>
      </c>
      <c r="T3910">
        <v>-0.16072239999999999</v>
      </c>
      <c r="U3910">
        <v>0.27987669999999998</v>
      </c>
      <c r="V3910">
        <v>2.8746540000000001E-2</v>
      </c>
      <c r="W3910">
        <v>0.14090349999999999</v>
      </c>
      <c r="X3910">
        <v>0.98960590000000004</v>
      </c>
      <c r="Y3910">
        <v>9.2502619999999994E-2</v>
      </c>
      <c r="Z3910">
        <v>2.4886639999999998E-3</v>
      </c>
      <c r="AA3910">
        <v>0.99570939999999997</v>
      </c>
      <c r="AB3910">
        <v>28</v>
      </c>
      <c r="AC3910">
        <v>-20.802099999999999</v>
      </c>
      <c r="AD3910">
        <v>-1.1088689125669999</v>
      </c>
      <c r="AE3910">
        <v>1.9310999999999801</v>
      </c>
      <c r="AF3910">
        <v>1.9453096226558999</v>
      </c>
      <c r="AG3910">
        <v>-1.1088689125669999</v>
      </c>
      <c r="AH3910">
        <v>20.741828625032301</v>
      </c>
      <c r="AI3910">
        <v>93.046803876077206</v>
      </c>
      <c r="AJ3910">
        <v>84.642085151603396</v>
      </c>
      <c r="AK3910">
        <v>20.8623410599929</v>
      </c>
      <c r="AL3910">
        <v>81.899868728619595</v>
      </c>
      <c r="AM3910">
        <v>88.336113009568095</v>
      </c>
      <c r="AN3910">
        <v>0.99999999859451505</v>
      </c>
    </row>
    <row r="3911" spans="1:40" x14ac:dyDescent="0.25">
      <c r="A3911" t="str">
        <f>"20190312164549357"</f>
        <v>20190312164549357</v>
      </c>
      <c r="B3911" t="str">
        <f>"1552380349345507"</f>
        <v>1552380349345507</v>
      </c>
      <c r="C3911" t="s">
        <v>40</v>
      </c>
      <c r="D3911">
        <v>4.7118500000000001</v>
      </c>
      <c r="E3911">
        <v>0.52709139999999999</v>
      </c>
      <c r="F3911" t="s">
        <v>42</v>
      </c>
      <c r="G3911">
        <v>-356.28120000000001</v>
      </c>
      <c r="H3911" s="1">
        <v>-2.5125500000000002E-6</v>
      </c>
      <c r="I3911">
        <v>143.12989999999999</v>
      </c>
      <c r="J3911">
        <v>-337.14339999999999</v>
      </c>
      <c r="K3911">
        <v>1.108867</v>
      </c>
      <c r="L3911">
        <v>141.3912</v>
      </c>
      <c r="M3911">
        <v>-0.99993019999999999</v>
      </c>
      <c r="N3911">
        <v>0</v>
      </c>
      <c r="O3911">
        <v>-9.9475569999999997E-4</v>
      </c>
      <c r="P3911">
        <v>-0.99119179999999996</v>
      </c>
      <c r="Q3911">
        <v>0.12946359999999901</v>
      </c>
      <c r="R3911">
        <v>2.7890749999999999E-2</v>
      </c>
      <c r="S3911">
        <v>-3.0416560000000001</v>
      </c>
      <c r="T3911">
        <v>-0.174900799999999</v>
      </c>
      <c r="U3911">
        <v>0.274231</v>
      </c>
      <c r="V3911">
        <v>2.8856280000000002E-2</v>
      </c>
      <c r="W3911">
        <v>0.14112769999999999</v>
      </c>
      <c r="X3911">
        <v>0.98957070000000003</v>
      </c>
      <c r="Y3911">
        <v>9.063483E-2</v>
      </c>
      <c r="Z3911">
        <v>2.6554690000000001E-3</v>
      </c>
      <c r="AA3911">
        <v>0.99588069999999895</v>
      </c>
      <c r="AB3911">
        <v>28</v>
      </c>
      <c r="AC3911">
        <v>-19.137799999999999</v>
      </c>
      <c r="AD3911">
        <v>-1.1088695125499901</v>
      </c>
      <c r="AE3911">
        <v>1.7386999999999899</v>
      </c>
      <c r="AF3911">
        <v>1.7519045540235001</v>
      </c>
      <c r="AG3911">
        <v>-1.1088695125499901</v>
      </c>
      <c r="AH3911">
        <v>19.0725546802792</v>
      </c>
      <c r="AI3911">
        <v>93.313486613248003</v>
      </c>
      <c r="AJ3911">
        <v>84.751838091845002</v>
      </c>
      <c r="AK3911">
        <v>19.1849186392466</v>
      </c>
      <c r="AL3911">
        <v>81.886892890028705</v>
      </c>
      <c r="AM3911">
        <v>88.329705328950993</v>
      </c>
      <c r="AN3911">
        <v>0.999999941450607</v>
      </c>
    </row>
    <row r="3912" spans="1:40" x14ac:dyDescent="0.25">
      <c r="A3912" t="str">
        <f>"20190312164549375"</f>
        <v>20190312164549375</v>
      </c>
      <c r="B3912" t="str">
        <f>"1552380349366003"</f>
        <v>1552380349366003</v>
      </c>
      <c r="C3912" t="s">
        <v>40</v>
      </c>
      <c r="D3912">
        <v>4.8925299999999998</v>
      </c>
      <c r="E3912">
        <v>0.52688100000000004</v>
      </c>
      <c r="F3912" t="s">
        <v>42</v>
      </c>
      <c r="G3912">
        <v>-355.82619999999997</v>
      </c>
      <c r="H3912" s="1">
        <v>-2.6876400000000002E-6</v>
      </c>
      <c r="I3912">
        <v>143.05439999999999</v>
      </c>
      <c r="J3912">
        <v>-337.37529999999998</v>
      </c>
      <c r="K3912">
        <v>1.108868</v>
      </c>
      <c r="L3912">
        <v>141.39080000000001</v>
      </c>
      <c r="M3912">
        <v>-0.99993030000000005</v>
      </c>
      <c r="N3912">
        <v>0</v>
      </c>
      <c r="O3912">
        <v>-1.0678770000000001E-3</v>
      </c>
      <c r="P3912">
        <v>-0.99112480000000003</v>
      </c>
      <c r="Q3912">
        <v>0.13005</v>
      </c>
      <c r="R3912">
        <v>2.754728E-2</v>
      </c>
      <c r="S3912">
        <v>-3.0426329999999999</v>
      </c>
      <c r="T3912">
        <v>-0.18058750000000001</v>
      </c>
      <c r="U3912">
        <v>0.270874</v>
      </c>
      <c r="V3912">
        <v>2.8586339999999998E-2</v>
      </c>
      <c r="W3912">
        <v>0.1417098</v>
      </c>
      <c r="X3912">
        <v>0.98949540000000002</v>
      </c>
      <c r="Y3912">
        <v>8.9580889999999996E-2</v>
      </c>
      <c r="Z3912">
        <v>2.7140599999999999E-3</v>
      </c>
      <c r="AA3912">
        <v>0.99597590000000003</v>
      </c>
      <c r="AB3912">
        <v>28</v>
      </c>
      <c r="AC3912">
        <v>-18.450899999999901</v>
      </c>
      <c r="AD3912">
        <v>-1.1088706876400001</v>
      </c>
      <c r="AE3912">
        <v>1.66359999999997</v>
      </c>
      <c r="AF3912">
        <v>1.67729446321167</v>
      </c>
      <c r="AG3912">
        <v>-1.1088706876400001</v>
      </c>
      <c r="AH3912">
        <v>18.383251170561799</v>
      </c>
      <c r="AI3912">
        <v>93.437632389781299</v>
      </c>
      <c r="AJ3912">
        <v>84.7867468847151</v>
      </c>
      <c r="AK3912">
        <v>18.492886051619699</v>
      </c>
      <c r="AL3912">
        <v>81.853202871535501</v>
      </c>
      <c r="AM3912">
        <v>88.345195750503194</v>
      </c>
      <c r="AN3912">
        <v>0.99999999643589699</v>
      </c>
    </row>
    <row r="3913" spans="1:40" x14ac:dyDescent="0.25">
      <c r="A3913" t="str">
        <f>"20190312164549390"</f>
        <v>20190312164549390</v>
      </c>
      <c r="B3913" t="str">
        <f>"1552380349385523"</f>
        <v>1552380349385523</v>
      </c>
      <c r="C3913" t="s">
        <v>40</v>
      </c>
      <c r="D3913">
        <v>5.0210369999999998</v>
      </c>
      <c r="E3913">
        <v>0.52581020000000001</v>
      </c>
      <c r="F3913" t="s">
        <v>42</v>
      </c>
      <c r="G3913">
        <v>-358.08330000000001</v>
      </c>
      <c r="H3913" s="1">
        <v>-1.763733E-6</v>
      </c>
      <c r="I3913">
        <v>143.22120000000001</v>
      </c>
      <c r="J3913">
        <v>-337.55720000000002</v>
      </c>
      <c r="K3913">
        <v>1.1088639999999901</v>
      </c>
      <c r="L3913">
        <v>141.39060000000001</v>
      </c>
      <c r="M3913">
        <v>-0.99993010000000004</v>
      </c>
      <c r="N3913">
        <v>0</v>
      </c>
      <c r="O3913">
        <v>-1.120731E-3</v>
      </c>
      <c r="P3913">
        <v>-0.9910989</v>
      </c>
      <c r="Q3913">
        <v>0.13029569999999999</v>
      </c>
      <c r="R3913">
        <v>2.731869E-2</v>
      </c>
      <c r="S3913">
        <v>-3.0408019999999998</v>
      </c>
      <c r="T3913">
        <v>-0.162828799999999</v>
      </c>
      <c r="U3913">
        <v>0.26878360000000001</v>
      </c>
      <c r="V3913">
        <v>2.8411700000000002E-2</v>
      </c>
      <c r="W3913">
        <v>0.14195279999999999</v>
      </c>
      <c r="X3913">
        <v>0.98946559999999995</v>
      </c>
      <c r="Y3913">
        <v>8.9037249999999998E-2</v>
      </c>
      <c r="Z3913">
        <v>2.4374090000000002E-3</v>
      </c>
      <c r="AA3913">
        <v>0.9960253</v>
      </c>
      <c r="AB3913">
        <v>28</v>
      </c>
      <c r="AC3913">
        <v>-20.5260999999999</v>
      </c>
      <c r="AD3913">
        <v>-1.1088657637329999</v>
      </c>
      <c r="AE3913">
        <v>1.8306</v>
      </c>
      <c r="AF3913">
        <v>1.8482532986257201</v>
      </c>
      <c r="AG3913">
        <v>-1.1088657637329999</v>
      </c>
      <c r="AH3913">
        <v>20.464782187272402</v>
      </c>
      <c r="AI3913">
        <v>93.088939738206406</v>
      </c>
      <c r="AJ3913">
        <v>84.839398065234406</v>
      </c>
      <c r="AK3913">
        <v>20.577972045620999</v>
      </c>
      <c r="AL3913">
        <v>81.839137822783599</v>
      </c>
      <c r="AM3913">
        <v>88.355250223492803</v>
      </c>
      <c r="AN3913">
        <v>0.99999999785404403</v>
      </c>
    </row>
    <row r="3914" spans="1:40" x14ac:dyDescent="0.25">
      <c r="A3914" t="str">
        <f>"20190312164549403"</f>
        <v>20190312164549403</v>
      </c>
      <c r="B3914" t="str">
        <f>"1552380349395284"</f>
        <v>1552380349395284</v>
      </c>
      <c r="C3914" t="s">
        <v>40</v>
      </c>
      <c r="D3914">
        <v>4.920337</v>
      </c>
      <c r="E3914">
        <v>0.52602850000000001</v>
      </c>
      <c r="F3914" t="s">
        <v>42</v>
      </c>
      <c r="G3914">
        <v>-357.44670000000002</v>
      </c>
      <c r="H3914" s="1">
        <v>-2.000411E-6</v>
      </c>
      <c r="I3914">
        <v>143.08420000000001</v>
      </c>
      <c r="J3914">
        <v>-337.72320000000002</v>
      </c>
      <c r="K3914">
        <v>1.108854</v>
      </c>
      <c r="L3914">
        <v>141.3903</v>
      </c>
      <c r="M3914">
        <v>-0.99993010000000004</v>
      </c>
      <c r="N3914">
        <v>0</v>
      </c>
      <c r="O3914">
        <v>-1.1635560000000001E-3</v>
      </c>
      <c r="P3914">
        <v>-0.9910892</v>
      </c>
      <c r="Q3914">
        <v>0.13043339999999901</v>
      </c>
      <c r="R3914">
        <v>2.7011050000000002E-2</v>
      </c>
      <c r="S3914">
        <v>-3.0421140000000002</v>
      </c>
      <c r="T3914">
        <v>-0.16960220000000001</v>
      </c>
      <c r="U3914">
        <v>0.25904850000000001</v>
      </c>
      <c r="V3914">
        <v>2.8148320000000001E-2</v>
      </c>
      <c r="W3914">
        <v>0.142088299999999</v>
      </c>
      <c r="X3914">
        <v>0.98945369999999999</v>
      </c>
      <c r="Y3914">
        <v>8.5872219999999999E-2</v>
      </c>
      <c r="Z3914">
        <v>2.4522889999999999E-3</v>
      </c>
      <c r="AA3914">
        <v>0.9963031</v>
      </c>
      <c r="AB3914">
        <v>28</v>
      </c>
      <c r="AC3914">
        <v>-19.723500000000001</v>
      </c>
      <c r="AD3914">
        <v>-1.108856000411</v>
      </c>
      <c r="AE3914">
        <v>1.69390000000001</v>
      </c>
      <c r="AF3914">
        <v>1.7114799825023701</v>
      </c>
      <c r="AG3914">
        <v>-1.108856000411</v>
      </c>
      <c r="AH3914">
        <v>19.659831832469401</v>
      </c>
      <c r="AI3914">
        <v>93.216044861518398</v>
      </c>
      <c r="AJ3914">
        <v>85.024678589911105</v>
      </c>
      <c r="AK3914">
        <v>19.765315910481402</v>
      </c>
      <c r="AL3914">
        <v>81.831294916201202</v>
      </c>
      <c r="AM3914">
        <v>88.370469412779201</v>
      </c>
      <c r="AN3914">
        <v>1.0000000186797</v>
      </c>
    </row>
    <row r="3915" spans="1:40" x14ac:dyDescent="0.25">
      <c r="A3915" t="str">
        <f>"20190312164549414"</f>
        <v>20190312164549414</v>
      </c>
      <c r="B3915" t="str">
        <f>"1552380349406019"</f>
        <v>1552380349406019</v>
      </c>
      <c r="C3915" t="s">
        <v>40</v>
      </c>
      <c r="D3915">
        <v>4.9791840000000001</v>
      </c>
      <c r="E3915">
        <v>0.52669589999999999</v>
      </c>
      <c r="F3915" t="s">
        <v>42</v>
      </c>
      <c r="G3915">
        <v>-357.76069999999999</v>
      </c>
      <c r="H3915" s="1">
        <v>-1.870458E-6</v>
      </c>
      <c r="I3915">
        <v>143.10210000000001</v>
      </c>
      <c r="J3915">
        <v>-337.8698</v>
      </c>
      <c r="K3915">
        <v>1.1088480000000001</v>
      </c>
      <c r="L3915">
        <v>141.39009999999999</v>
      </c>
      <c r="M3915">
        <v>-0.99993010000000004</v>
      </c>
      <c r="N3915">
        <v>0</v>
      </c>
      <c r="O3915">
        <v>-1.197563E-3</v>
      </c>
      <c r="P3915">
        <v>-0.99109590000000003</v>
      </c>
      <c r="Q3915">
        <v>0.13042309999999999</v>
      </c>
      <c r="R3915">
        <v>2.6809909999999999E-2</v>
      </c>
      <c r="S3915">
        <v>-3.042084</v>
      </c>
      <c r="T3915">
        <v>-0.168346</v>
      </c>
      <c r="U3915">
        <v>0.2598877</v>
      </c>
      <c r="V3915">
        <v>2.7982670000000001E-2</v>
      </c>
      <c r="W3915">
        <v>0.14207600000000001</v>
      </c>
      <c r="X3915">
        <v>0.98946020000000001</v>
      </c>
      <c r="Y3915">
        <v>8.6181270000000004E-2</v>
      </c>
      <c r="Z3915">
        <v>2.444557E-3</v>
      </c>
      <c r="AA3915">
        <v>0.99627650000000001</v>
      </c>
      <c r="AB3915">
        <v>28</v>
      </c>
      <c r="AC3915">
        <v>-19.890899999999899</v>
      </c>
      <c r="AD3915">
        <v>-1.1088498704580001</v>
      </c>
      <c r="AE3915">
        <v>1.71200000000001</v>
      </c>
      <c r="AF3915">
        <v>1.73048278074097</v>
      </c>
      <c r="AG3915">
        <v>-1.1088498704580001</v>
      </c>
      <c r="AH3915">
        <v>19.8276703700414</v>
      </c>
      <c r="AI3915">
        <v>93.188799334466196</v>
      </c>
      <c r="AJ3915">
        <v>85.012083723672504</v>
      </c>
      <c r="AK3915">
        <v>19.9339065662673</v>
      </c>
      <c r="AL3915">
        <v>81.832007163486793</v>
      </c>
      <c r="AM3915">
        <v>88.3800645458481</v>
      </c>
      <c r="AN3915">
        <v>1.0000000534901801</v>
      </c>
    </row>
    <row r="3916" spans="1:40" x14ac:dyDescent="0.25">
      <c r="A3916" t="str">
        <f>"20190312164549426"</f>
        <v>20190312164549426</v>
      </c>
      <c r="B3916" t="str">
        <f>"1552380349415779"</f>
        <v>1552380349415779</v>
      </c>
      <c r="C3916" t="s">
        <v>40</v>
      </c>
      <c r="D3916">
        <v>4.7259640000000003</v>
      </c>
      <c r="E3916">
        <v>0.5269838</v>
      </c>
      <c r="F3916" t="s">
        <v>42</v>
      </c>
      <c r="G3916">
        <v>-359.12689999999998</v>
      </c>
      <c r="H3916" s="1">
        <v>-1.3220490000000001E-6</v>
      </c>
      <c r="I3916">
        <v>143.24369999999999</v>
      </c>
      <c r="J3916">
        <v>-338.0247</v>
      </c>
      <c r="K3916">
        <v>1.108841</v>
      </c>
      <c r="L3916">
        <v>141.38990000000001</v>
      </c>
      <c r="M3916">
        <v>-0.99993010000000004</v>
      </c>
      <c r="N3916">
        <v>0</v>
      </c>
      <c r="O3916">
        <v>-1.2301300000000001E-3</v>
      </c>
      <c r="P3916">
        <v>-0.99111590000000005</v>
      </c>
      <c r="Q3916">
        <v>0.1303018</v>
      </c>
      <c r="R3916">
        <v>2.6659829999999999E-2</v>
      </c>
      <c r="S3916">
        <v>-3.0406490000000002</v>
      </c>
      <c r="T3916">
        <v>-0.15861210000000001</v>
      </c>
      <c r="U3916">
        <v>0.265152</v>
      </c>
      <c r="V3916">
        <v>2.78669E-2</v>
      </c>
      <c r="W3916">
        <v>0.14195329999999901</v>
      </c>
      <c r="X3916">
        <v>0.98948100000000005</v>
      </c>
      <c r="Y3916">
        <v>8.7977860000000005E-2</v>
      </c>
      <c r="Z3916">
        <v>2.3527510000000001E-3</v>
      </c>
      <c r="AA3916">
        <v>0.99611970000000005</v>
      </c>
      <c r="AB3916">
        <v>28</v>
      </c>
      <c r="AC3916">
        <v>-21.1021999999999</v>
      </c>
      <c r="AD3916">
        <v>-1.108842322049</v>
      </c>
      <c r="AE3916">
        <v>1.8537999999999699</v>
      </c>
      <c r="AF3916">
        <v>1.8746224374540801</v>
      </c>
      <c r="AG3916">
        <v>-1.108842322049</v>
      </c>
      <c r="AH3916">
        <v>21.042248388339299</v>
      </c>
      <c r="AI3916">
        <v>93.004590491430207</v>
      </c>
      <c r="AJ3916">
        <v>84.909044874412899</v>
      </c>
      <c r="AK3916">
        <v>21.154667518416399</v>
      </c>
      <c r="AL3916">
        <v>81.839108705778301</v>
      </c>
      <c r="AM3916">
        <v>88.386796893676205</v>
      </c>
      <c r="AN3916">
        <v>0.99999997642874905</v>
      </c>
    </row>
    <row r="3917" spans="1:40" x14ac:dyDescent="0.25">
      <c r="A3917" t="str">
        <f>"20190312164549444"</f>
        <v>20190312164549444</v>
      </c>
      <c r="B3917" t="str">
        <f>"1552380349435302"</f>
        <v>1552380349435302</v>
      </c>
      <c r="C3917" t="s">
        <v>40</v>
      </c>
      <c r="D3917">
        <v>4.8147320000000002</v>
      </c>
      <c r="E3917">
        <v>0.52588800000000002</v>
      </c>
      <c r="F3917" t="s">
        <v>42</v>
      </c>
      <c r="G3917">
        <v>-361.00779999999997</v>
      </c>
      <c r="H3917" s="1">
        <v>-4.6071850000000003E-6</v>
      </c>
      <c r="I3917">
        <v>143.41659999999999</v>
      </c>
      <c r="J3917">
        <v>-338.23149999999998</v>
      </c>
      <c r="K3917">
        <v>1.10883</v>
      </c>
      <c r="L3917">
        <v>141.3896</v>
      </c>
      <c r="M3917">
        <v>-0.99993010000000004</v>
      </c>
      <c r="N3917">
        <v>0</v>
      </c>
      <c r="O3917">
        <v>-1.261924E-3</v>
      </c>
      <c r="P3917">
        <v>-0.99114080000000004</v>
      </c>
      <c r="Q3917">
        <v>0.1302188</v>
      </c>
      <c r="R3917">
        <v>2.613511E-2</v>
      </c>
      <c r="S3917">
        <v>-3.0389710000000001</v>
      </c>
      <c r="T3917">
        <v>-0.146619</v>
      </c>
      <c r="U3917">
        <v>0.26799010000000001</v>
      </c>
      <c r="V3917">
        <v>2.7377169999999999E-2</v>
      </c>
      <c r="W3917">
        <v>0.1418683</v>
      </c>
      <c r="X3917">
        <v>0.98950689999999997</v>
      </c>
      <c r="Y3917">
        <v>8.8996480000000003E-2</v>
      </c>
      <c r="Z3917">
        <v>2.2022130000000002E-3</v>
      </c>
      <c r="AA3917">
        <v>0.99602950000000001</v>
      </c>
      <c r="AB3917">
        <v>28</v>
      </c>
      <c r="AC3917">
        <v>-22.7762999999999</v>
      </c>
      <c r="AD3917">
        <v>-1.1088346071849999</v>
      </c>
      <c r="AE3917">
        <v>2.0269999999999802</v>
      </c>
      <c r="AF3917">
        <v>2.0509196383694599</v>
      </c>
      <c r="AG3917">
        <v>-1.1088346071849999</v>
      </c>
      <c r="AH3917">
        <v>22.720297475357299</v>
      </c>
      <c r="AI3917">
        <v>92.782732795831905</v>
      </c>
      <c r="AJ3917">
        <v>84.8419943462725</v>
      </c>
      <c r="AK3917">
        <v>22.8396082041236</v>
      </c>
      <c r="AL3917">
        <v>81.844028952748602</v>
      </c>
      <c r="AM3917">
        <v>88.4151740310771</v>
      </c>
      <c r="AN3917">
        <v>1.00000001456485</v>
      </c>
    </row>
    <row r="3918" spans="1:40" x14ac:dyDescent="0.25">
      <c r="A3918" t="str">
        <f>"20190312164549460"</f>
        <v>20190312164549460</v>
      </c>
      <c r="B3918" t="str">
        <f>"1552380349455795"</f>
        <v>1552380349455795</v>
      </c>
      <c r="C3918" t="s">
        <v>40</v>
      </c>
      <c r="D3918">
        <v>4.8812689999999996</v>
      </c>
      <c r="E3918">
        <v>0.48030450000000002</v>
      </c>
      <c r="F3918" t="s">
        <v>42</v>
      </c>
      <c r="G3918">
        <v>-362.82990000000001</v>
      </c>
      <c r="H3918" s="1">
        <v>-3.9984100000000004E-6</v>
      </c>
      <c r="I3918">
        <v>143.4802</v>
      </c>
      <c r="J3918">
        <v>-338.43630000000002</v>
      </c>
      <c r="K3918">
        <v>1.108819</v>
      </c>
      <c r="L3918">
        <v>141.38929999999999</v>
      </c>
      <c r="M3918">
        <v>-0.99993010000000004</v>
      </c>
      <c r="N3918">
        <v>0</v>
      </c>
      <c r="O3918">
        <v>-1.2838189999999901E-3</v>
      </c>
      <c r="P3918">
        <v>-0.99114259999999998</v>
      </c>
      <c r="Q3918">
        <v>0.13021569999999999</v>
      </c>
      <c r="R3918">
        <v>2.608545E-2</v>
      </c>
      <c r="S3918">
        <v>-3.0379939999999999</v>
      </c>
      <c r="T3918">
        <v>-0.13694600000000001</v>
      </c>
      <c r="U3918">
        <v>0.25820920000000003</v>
      </c>
      <c r="V3918">
        <v>2.7352789999999998E-2</v>
      </c>
      <c r="W3918">
        <v>0.14186319999999999</v>
      </c>
      <c r="X3918">
        <v>0.98950830000000001</v>
      </c>
      <c r="Y3918">
        <v>8.5879330000000004E-2</v>
      </c>
      <c r="Z3918">
        <v>1.9889090000000001E-3</v>
      </c>
      <c r="AA3918">
        <v>0.99630359999999996</v>
      </c>
      <c r="AB3918">
        <v>28</v>
      </c>
      <c r="AC3918">
        <v>-24.3935999999999</v>
      </c>
      <c r="AD3918">
        <v>-1.10882299841</v>
      </c>
      <c r="AE3918">
        <v>2.0909</v>
      </c>
      <c r="AF3918">
        <v>2.1178733702477701</v>
      </c>
      <c r="AG3918">
        <v>-1.10882299841</v>
      </c>
      <c r="AH3918">
        <v>24.340968841936299</v>
      </c>
      <c r="AI3918">
        <v>92.598432210839505</v>
      </c>
      <c r="AJ3918">
        <v>85.027298400792901</v>
      </c>
      <c r="AK3918">
        <v>24.458079242212001</v>
      </c>
      <c r="AL3918">
        <v>81.844324102804407</v>
      </c>
      <c r="AM3918">
        <v>88.416586875426304</v>
      </c>
      <c r="AN3918">
        <v>1.0000000092019501</v>
      </c>
    </row>
    <row r="3919" spans="1:40" x14ac:dyDescent="0.25">
      <c r="A3919" t="str">
        <f>"20190312164549478"</f>
        <v>20190312164549478</v>
      </c>
      <c r="B3919" t="str">
        <f>"1552380349465555"</f>
        <v>1552380349465555</v>
      </c>
      <c r="C3919" t="s">
        <v>40</v>
      </c>
      <c r="D3919">
        <v>4.9410059999999998</v>
      </c>
      <c r="E3919">
        <v>0.48190349999999998</v>
      </c>
      <c r="F3919" t="s">
        <v>42</v>
      </c>
      <c r="G3919">
        <v>-367.63350000000003</v>
      </c>
      <c r="H3919" s="1">
        <v>-1.2013879999999999E-6</v>
      </c>
      <c r="I3919">
        <v>140.38239999999999</v>
      </c>
      <c r="J3919">
        <v>-338.65940000000001</v>
      </c>
      <c r="K3919">
        <v>1.108806</v>
      </c>
      <c r="L3919">
        <v>141.38900000000001</v>
      </c>
      <c r="M3919">
        <v>-0.99993010000000004</v>
      </c>
      <c r="N3919">
        <v>0</v>
      </c>
      <c r="O3919">
        <v>-1.297961E-3</v>
      </c>
      <c r="P3919">
        <v>-0.99117960000000005</v>
      </c>
      <c r="Q3919">
        <v>0.13003990000000001</v>
      </c>
      <c r="R3919">
        <v>2.5549840000000001E-2</v>
      </c>
      <c r="S3919">
        <v>-3.0447690000000001</v>
      </c>
      <c r="T3919">
        <v>-0.1156312</v>
      </c>
      <c r="U3919">
        <v>-0.104995699999999</v>
      </c>
      <c r="V3919">
        <v>2.6835060000000001E-2</v>
      </c>
      <c r="W3919">
        <v>0.1416857</v>
      </c>
      <c r="X3919">
        <v>0.98954790000000004</v>
      </c>
      <c r="Y3919">
        <v>-3.3143249999999999E-2</v>
      </c>
      <c r="Z3919">
        <v>-5.7966379999999996E-4</v>
      </c>
      <c r="AA3919">
        <v>0.99945039999999996</v>
      </c>
      <c r="AB3919">
        <v>28</v>
      </c>
      <c r="AC3919">
        <v>-28.9741</v>
      </c>
      <c r="AD3919">
        <v>-1.1088072013879999</v>
      </c>
      <c r="AE3919">
        <v>-1.0066000000000199</v>
      </c>
      <c r="AF3919">
        <v>-0.96757398993360499</v>
      </c>
      <c r="AG3919">
        <v>-1.1088072013879999</v>
      </c>
      <c r="AH3919">
        <v>28.9330605492713</v>
      </c>
      <c r="AI3919">
        <v>92.193458103511603</v>
      </c>
      <c r="AJ3919">
        <v>91.915360918528805</v>
      </c>
      <c r="AK3919">
        <v>28.9704616046008</v>
      </c>
      <c r="AL3919">
        <v>81.854597821808397</v>
      </c>
      <c r="AM3919">
        <v>88.446604819105801</v>
      </c>
      <c r="AN3919">
        <v>1.0000000022120501</v>
      </c>
    </row>
    <row r="3920" spans="1:40" x14ac:dyDescent="0.25">
      <c r="A3920" t="str">
        <f>"20190312164549500"</f>
        <v>20190312164549500</v>
      </c>
      <c r="B3920" t="str">
        <f>"1552380349495810"</f>
        <v>1552380349495810</v>
      </c>
      <c r="C3920" t="s">
        <v>40</v>
      </c>
      <c r="D3920">
        <v>4.8474779999999997</v>
      </c>
      <c r="E3920">
        <v>0.47884080000000001</v>
      </c>
      <c r="F3920" t="s">
        <v>42</v>
      </c>
      <c r="G3920">
        <v>-370.74669999999998</v>
      </c>
      <c r="H3920" s="1">
        <v>-4.1611270000000004E-6</v>
      </c>
      <c r="I3920">
        <v>140.4024</v>
      </c>
      <c r="J3920">
        <v>-338.9409</v>
      </c>
      <c r="K3920">
        <v>1.1088039999999999</v>
      </c>
      <c r="L3920">
        <v>141.3886</v>
      </c>
      <c r="M3920">
        <v>-0.99993010000000004</v>
      </c>
      <c r="N3920">
        <v>0</v>
      </c>
      <c r="O3920">
        <v>-1.304709E-3</v>
      </c>
      <c r="P3920">
        <v>-0.99120209999999997</v>
      </c>
      <c r="Q3920">
        <v>0.1298772</v>
      </c>
      <c r="R3920">
        <v>2.5513589999999999E-2</v>
      </c>
      <c r="S3920">
        <v>-3.0428769999999998</v>
      </c>
      <c r="T3920">
        <v>-0.10514999999999999</v>
      </c>
      <c r="U3920">
        <v>-9.3551640000000005E-2</v>
      </c>
      <c r="V3920">
        <v>2.6809389999999999E-2</v>
      </c>
      <c r="W3920">
        <v>0.14152049999999999</v>
      </c>
      <c r="X3920">
        <v>0.98957220000000001</v>
      </c>
      <c r="Y3920">
        <v>-2.9408989999999999E-2</v>
      </c>
      <c r="Z3920">
        <v>-4.627942E-4</v>
      </c>
      <c r="AA3920">
        <v>0.99956730000000005</v>
      </c>
      <c r="AB3920">
        <v>28</v>
      </c>
      <c r="AC3920">
        <v>-31.805799999999898</v>
      </c>
      <c r="AD3920">
        <v>-1.108808161127</v>
      </c>
      <c r="AE3920">
        <v>-0.98619999999999597</v>
      </c>
      <c r="AF3920">
        <v>-0.94355333848054102</v>
      </c>
      <c r="AG3920">
        <v>-1.108808161127</v>
      </c>
      <c r="AH3920">
        <v>31.7684870776148</v>
      </c>
      <c r="AI3920">
        <v>91.998089501495997</v>
      </c>
      <c r="AJ3920">
        <v>91.701237317073307</v>
      </c>
      <c r="AK3920">
        <v>31.801832017060299</v>
      </c>
      <c r="AL3920">
        <v>81.864159144924201</v>
      </c>
      <c r="AM3920">
        <v>88.448128135864593</v>
      </c>
      <c r="AN3920">
        <v>0.99999996716262995</v>
      </c>
    </row>
    <row r="3921" spans="1:40" x14ac:dyDescent="0.25">
      <c r="A3921" t="str">
        <f>"20190312164549522"</f>
        <v>20190312164549522</v>
      </c>
      <c r="B3921" t="str">
        <f>"1552380349515331"</f>
        <v>1552380349515331</v>
      </c>
      <c r="C3921" t="s">
        <v>40</v>
      </c>
      <c r="D3921">
        <v>5.0258370000000001</v>
      </c>
      <c r="E3921">
        <v>0.47902410000000001</v>
      </c>
      <c r="F3921" t="s">
        <v>42</v>
      </c>
      <c r="G3921">
        <v>-378.1902</v>
      </c>
      <c r="H3921" s="1">
        <v>-8.2769989999999999E-7</v>
      </c>
      <c r="I3921">
        <v>139.87559999999999</v>
      </c>
      <c r="J3921">
        <v>-339.21949999999998</v>
      </c>
      <c r="K3921">
        <v>1.108797</v>
      </c>
      <c r="L3921">
        <v>141.38820000000001</v>
      </c>
      <c r="M3921">
        <v>-0.99993010000000004</v>
      </c>
      <c r="N3921">
        <v>0</v>
      </c>
      <c r="O3921">
        <v>-1.3028110000000001E-3</v>
      </c>
      <c r="P3921">
        <v>-0.99123779999999995</v>
      </c>
      <c r="Q3921">
        <v>0.1295915</v>
      </c>
      <c r="R3921">
        <v>2.557429E-2</v>
      </c>
      <c r="S3921">
        <v>-3.0408940000000002</v>
      </c>
      <c r="T3921">
        <v>-8.5906029999999994E-2</v>
      </c>
      <c r="U3921">
        <v>-0.117218</v>
      </c>
      <c r="V3921">
        <v>2.6870599999999901E-2</v>
      </c>
      <c r="W3921">
        <v>0.14123339999999901</v>
      </c>
      <c r="X3921">
        <v>0.98961160000000004</v>
      </c>
      <c r="Y3921">
        <v>-3.7202350000000002E-2</v>
      </c>
      <c r="Z3921">
        <v>-4.8840229999999997E-4</v>
      </c>
      <c r="AA3921">
        <v>0.99930759999999996</v>
      </c>
      <c r="AB3921">
        <v>28</v>
      </c>
      <c r="AC3921">
        <v>-38.970700000000001</v>
      </c>
      <c r="AD3921">
        <v>-1.1087978276999</v>
      </c>
      <c r="AE3921">
        <v>-1.5126000000000199</v>
      </c>
      <c r="AF3921">
        <v>-1.4606431102617901</v>
      </c>
      <c r="AG3921">
        <v>-1.1087978276999</v>
      </c>
      <c r="AH3921">
        <v>38.941161407486199</v>
      </c>
      <c r="AI3921">
        <v>91.629835007578805</v>
      </c>
      <c r="AJ3921">
        <v>92.148099024602601</v>
      </c>
      <c r="AK3921">
        <v>38.984316881050503</v>
      </c>
      <c r="AL3921">
        <v>81.880776018221397</v>
      </c>
      <c r="AM3921">
        <v>88.444648606179101</v>
      </c>
      <c r="AN3921">
        <v>1.00000001063724</v>
      </c>
    </row>
    <row r="3922" spans="1:40" x14ac:dyDescent="0.25">
      <c r="A3922" t="str">
        <f>"20190312164549537"</f>
        <v>20190312164549537</v>
      </c>
      <c r="B3922" t="str">
        <f>"1552380349526067"</f>
        <v>1552380349526067</v>
      </c>
      <c r="C3922" t="s">
        <v>40</v>
      </c>
      <c r="D3922">
        <v>4.6860189999999999</v>
      </c>
      <c r="E3922">
        <v>0.47963739999999999</v>
      </c>
      <c r="F3922" t="s">
        <v>42</v>
      </c>
      <c r="G3922">
        <v>-383.46300000000002</v>
      </c>
      <c r="H3922" s="1">
        <v>-2.8126669999999999E-6</v>
      </c>
      <c r="I3922">
        <v>139.7139</v>
      </c>
      <c r="J3922">
        <v>-339.42</v>
      </c>
      <c r="K3922">
        <v>1.1087959999999999</v>
      </c>
      <c r="L3922">
        <v>141.38800000000001</v>
      </c>
      <c r="M3922">
        <v>-0.99993010000000004</v>
      </c>
      <c r="N3922">
        <v>0</v>
      </c>
      <c r="O3922">
        <v>-1.297997E-3</v>
      </c>
      <c r="P3922">
        <v>-0.99126919999999996</v>
      </c>
      <c r="Q3922">
        <v>0.12935070000000001</v>
      </c>
      <c r="R3922">
        <v>2.5570119999999998E-2</v>
      </c>
      <c r="S3922">
        <v>-3.0394589999999999</v>
      </c>
      <c r="T3922">
        <v>-7.6172950000000003E-2</v>
      </c>
      <c r="U3922">
        <v>-0.11502080000000001</v>
      </c>
      <c r="V3922">
        <v>2.68626E-2</v>
      </c>
      <c r="W3922">
        <v>0.14099220000000001</v>
      </c>
      <c r="X3922">
        <v>0.98964620000000003</v>
      </c>
      <c r="Y3922">
        <v>-3.650722E-2</v>
      </c>
      <c r="Z3922">
        <v>-4.247098E-4</v>
      </c>
      <c r="AA3922">
        <v>0.99933329999999998</v>
      </c>
      <c r="AB3922">
        <v>28</v>
      </c>
      <c r="AC3922">
        <v>-44.042999999999999</v>
      </c>
      <c r="AD3922">
        <v>-1.1087988126670001</v>
      </c>
      <c r="AE3922">
        <v>-1.6741000000000099</v>
      </c>
      <c r="AF3922">
        <v>-1.6159042782050901</v>
      </c>
      <c r="AG3922">
        <v>-1.1087988126670001</v>
      </c>
      <c r="AH3922">
        <v>44.017278151465902</v>
      </c>
      <c r="AI3922">
        <v>91.442009241140198</v>
      </c>
      <c r="AJ3922">
        <v>92.102422991153006</v>
      </c>
      <c r="AK3922">
        <v>44.060882393647198</v>
      </c>
      <c r="AL3922">
        <v>81.894735361724102</v>
      </c>
      <c r="AM3922">
        <v>88.445165778271701</v>
      </c>
      <c r="AN3922">
        <v>1.00000000045702</v>
      </c>
    </row>
    <row r="3923" spans="1:40" x14ac:dyDescent="0.25">
      <c r="A3923" t="str">
        <f>"20190312164549554"</f>
        <v>20190312164549554</v>
      </c>
      <c r="B3923" t="str">
        <f>"1552380349545590"</f>
        <v>1552380349545590</v>
      </c>
      <c r="C3923" t="s">
        <v>40</v>
      </c>
      <c r="D3923">
        <v>4.9153539999999998</v>
      </c>
      <c r="E3923">
        <v>0.48061789999999999</v>
      </c>
      <c r="F3923" t="s">
        <v>42</v>
      </c>
      <c r="G3923">
        <v>-389.73180000000002</v>
      </c>
      <c r="H3923" s="1">
        <v>-1.055434E-7</v>
      </c>
      <c r="I3923">
        <v>139.5703</v>
      </c>
      <c r="J3923">
        <v>-339.62970000000001</v>
      </c>
      <c r="K3923">
        <v>1.1087940000000001</v>
      </c>
      <c r="L3923">
        <v>141.3877</v>
      </c>
      <c r="M3923">
        <v>-0.99993019999999999</v>
      </c>
      <c r="N3923">
        <v>0</v>
      </c>
      <c r="O3923">
        <v>-1.292128E-3</v>
      </c>
      <c r="P3923">
        <v>-0.99133000000000004</v>
      </c>
      <c r="Q3923">
        <v>0.1287721</v>
      </c>
      <c r="R3923">
        <v>2.6134910000000001E-2</v>
      </c>
      <c r="S3923">
        <v>-3.0380250000000002</v>
      </c>
      <c r="T3923">
        <v>-6.6953659999999998E-2</v>
      </c>
      <c r="U3923">
        <v>-0.10975650000000001</v>
      </c>
      <c r="V3923">
        <v>2.7422309999999998E-2</v>
      </c>
      <c r="W3923">
        <v>0.14041339999999999</v>
      </c>
      <c r="X3923">
        <v>0.98971310000000001</v>
      </c>
      <c r="Y3923">
        <v>-3.480449E-2</v>
      </c>
      <c r="Z3923">
        <v>-3.5488289999999998E-4</v>
      </c>
      <c r="AA3923">
        <v>0.99939409999999895</v>
      </c>
      <c r="AB3923">
        <v>28</v>
      </c>
      <c r="AC3923">
        <v>-50.1021</v>
      </c>
      <c r="AD3923">
        <v>-1.1087941055433901</v>
      </c>
      <c r="AE3923">
        <v>-1.8173999999999899</v>
      </c>
      <c r="AF3923">
        <v>-1.75179884467019</v>
      </c>
      <c r="AG3923">
        <v>-1.1087941055433901</v>
      </c>
      <c r="AH3923">
        <v>50.079911362616997</v>
      </c>
      <c r="AI3923">
        <v>91.267574772225302</v>
      </c>
      <c r="AJ3923">
        <v>92.003393568812001</v>
      </c>
      <c r="AK3923">
        <v>50.122806641769898</v>
      </c>
      <c r="AL3923">
        <v>81.928231078716394</v>
      </c>
      <c r="AM3923">
        <v>88.412892838428803</v>
      </c>
      <c r="AN3923">
        <v>0.99999996314845196</v>
      </c>
    </row>
    <row r="3924" spans="1:40" x14ac:dyDescent="0.25">
      <c r="A3924" t="str">
        <f>"20190312164549569"</f>
        <v>20190312164549569</v>
      </c>
      <c r="B3924" t="str">
        <f>"1552380349566083"</f>
        <v>1552380349566083</v>
      </c>
      <c r="C3924" t="s">
        <v>40</v>
      </c>
      <c r="D3924">
        <v>4.7537669999999999</v>
      </c>
      <c r="E3924">
        <v>0.48147010000000001</v>
      </c>
      <c r="F3924" t="s">
        <v>71</v>
      </c>
      <c r="G3924">
        <v>-404.57130000000001</v>
      </c>
      <c r="H3924" s="1">
        <v>-7.2254520000000001E-6</v>
      </c>
      <c r="I3924">
        <v>139.25710000000001</v>
      </c>
      <c r="J3924">
        <v>-339.80939999999998</v>
      </c>
      <c r="K3924">
        <v>1.108789</v>
      </c>
      <c r="L3924">
        <v>141.38749999999999</v>
      </c>
      <c r="M3924">
        <v>-0.99993019999999999</v>
      </c>
      <c r="N3924">
        <v>0</v>
      </c>
      <c r="O3924">
        <v>-1.286871E-3</v>
      </c>
      <c r="P3924">
        <v>-0.9913537</v>
      </c>
      <c r="Q3924">
        <v>0.1285819</v>
      </c>
      <c r="R3924">
        <v>2.6168790000000001E-2</v>
      </c>
      <c r="S3924">
        <v>-3.0355829999999999</v>
      </c>
      <c r="T3924">
        <v>-5.1828979999999997E-2</v>
      </c>
      <c r="U3924">
        <v>-9.9594119999999994E-2</v>
      </c>
      <c r="V3924">
        <v>2.745121E-2</v>
      </c>
      <c r="W3924">
        <v>0.14022319999999999</v>
      </c>
      <c r="X3924">
        <v>0.98973929999999999</v>
      </c>
      <c r="Y3924">
        <v>-3.1500559999999997E-2</v>
      </c>
      <c r="Z3924">
        <v>-2.4685970000000001E-4</v>
      </c>
      <c r="AA3924">
        <v>0.99950369999999999</v>
      </c>
      <c r="AB3924">
        <v>28</v>
      </c>
      <c r="AC3924">
        <v>-64.761899999999997</v>
      </c>
      <c r="AD3924">
        <v>-1.1087962254520001</v>
      </c>
      <c r="AE3924">
        <v>-2.1303999999999799</v>
      </c>
      <c r="AF3924">
        <v>-2.04645304228442</v>
      </c>
      <c r="AG3924">
        <v>-1.1087962254520001</v>
      </c>
      <c r="AH3924">
        <v>64.745629560180205</v>
      </c>
      <c r="AI3924">
        <v>90.980628867790202</v>
      </c>
      <c r="AJ3924">
        <v>91.810378548280994</v>
      </c>
      <c r="AK3924">
        <v>64.787452074209</v>
      </c>
      <c r="AL3924">
        <v>81.9392379160102</v>
      </c>
      <c r="AM3924">
        <v>88.411263100574701</v>
      </c>
      <c r="AN3924">
        <v>0.99999999835659703</v>
      </c>
    </row>
    <row r="3925" spans="1:40" x14ac:dyDescent="0.25">
      <c r="A3925" t="str">
        <f>"20190312164549581"</f>
        <v>20190312164549581</v>
      </c>
      <c r="B3925" t="str">
        <f>"1552380349575843"</f>
        <v>1552380349575843</v>
      </c>
      <c r="C3925" t="s">
        <v>40</v>
      </c>
      <c r="D3925">
        <v>4.713749</v>
      </c>
      <c r="E3925">
        <v>0.48160989999999998</v>
      </c>
      <c r="F3925" t="s">
        <v>71</v>
      </c>
      <c r="G3925">
        <v>-423.1771</v>
      </c>
      <c r="H3925" s="1">
        <v>-9.9503330000000005E-6</v>
      </c>
      <c r="I3925">
        <v>138.85319999999999</v>
      </c>
      <c r="J3925">
        <v>-339.96910000000003</v>
      </c>
      <c r="K3925">
        <v>1.108789</v>
      </c>
      <c r="L3925">
        <v>141.38730000000001</v>
      </c>
      <c r="M3925">
        <v>-0.99993019999999999</v>
      </c>
      <c r="N3925">
        <v>0</v>
      </c>
      <c r="O3925">
        <v>-1.2831710000000001E-3</v>
      </c>
      <c r="P3925">
        <v>-0.99138999999999999</v>
      </c>
      <c r="Q3925">
        <v>0.1282778</v>
      </c>
      <c r="R3925">
        <v>2.628641E-2</v>
      </c>
      <c r="S3925">
        <v>-3.0337830000000001</v>
      </c>
      <c r="T3925">
        <v>-4.0349599999999999E-2</v>
      </c>
      <c r="U3925">
        <v>-9.2224120000000007E-2</v>
      </c>
      <c r="V3925">
        <v>2.756519E-2</v>
      </c>
      <c r="W3925">
        <v>0.13991909999999999</v>
      </c>
      <c r="X3925">
        <v>0.98977919999999997</v>
      </c>
      <c r="Y3925">
        <v>-2.9099860000000002E-2</v>
      </c>
      <c r="Z3925">
        <v>-1.763996E-4</v>
      </c>
      <c r="AA3925">
        <v>0.99957649999999998</v>
      </c>
      <c r="AB3925">
        <v>28</v>
      </c>
      <c r="AC3925">
        <v>-83.207999999999899</v>
      </c>
      <c r="AD3925">
        <v>-1.108798950333</v>
      </c>
      <c r="AE3925">
        <v>-2.53410000000002</v>
      </c>
      <c r="AF3925">
        <v>-2.4268899064470402</v>
      </c>
      <c r="AG3925">
        <v>-1.108798950333</v>
      </c>
      <c r="AH3925">
        <v>83.196423698059405</v>
      </c>
      <c r="AI3925">
        <v>90.763238718605393</v>
      </c>
      <c r="AJ3925">
        <v>91.670878656062996</v>
      </c>
      <c r="AK3925">
        <v>83.239198373586504</v>
      </c>
      <c r="AL3925">
        <v>81.956835297137104</v>
      </c>
      <c r="AM3925">
        <v>88.404734195500495</v>
      </c>
      <c r="AN3925">
        <v>1.00000002949859</v>
      </c>
    </row>
    <row r="3926" spans="1:40" x14ac:dyDescent="0.25">
      <c r="A3926" t="str">
        <f>"20190312164549594"</f>
        <v>20190312164549594</v>
      </c>
      <c r="B3926" t="str">
        <f>"1552380349585603"</f>
        <v>1552380349585603</v>
      </c>
      <c r="C3926" t="s">
        <v>40</v>
      </c>
      <c r="D3926">
        <v>4.860493</v>
      </c>
      <c r="E3926">
        <v>0.48152230000000001</v>
      </c>
      <c r="F3926" t="s">
        <v>71</v>
      </c>
      <c r="G3926">
        <v>-402.0283</v>
      </c>
      <c r="H3926" s="1">
        <v>-6.2190059999999998E-6</v>
      </c>
      <c r="I3926">
        <v>139.51679999999999</v>
      </c>
      <c r="J3926">
        <v>-340.13159999999999</v>
      </c>
      <c r="K3926">
        <v>1.108786</v>
      </c>
      <c r="L3926">
        <v>141.3871</v>
      </c>
      <c r="M3926">
        <v>-0.99993019999999999</v>
      </c>
      <c r="N3926">
        <v>0</v>
      </c>
      <c r="O3926">
        <v>-1.2799489999999901E-3</v>
      </c>
      <c r="P3926">
        <v>-0.9913959</v>
      </c>
      <c r="Q3926">
        <v>0.1281658</v>
      </c>
      <c r="R3926">
        <v>2.6611139999999998E-2</v>
      </c>
      <c r="S3926">
        <v>-3.0354920000000001</v>
      </c>
      <c r="T3926">
        <v>-5.4234270000000001E-2</v>
      </c>
      <c r="U3926">
        <v>-9.1491699999999995E-2</v>
      </c>
      <c r="V3926">
        <v>2.78868E-2</v>
      </c>
      <c r="W3926">
        <v>0.13980680000000001</v>
      </c>
      <c r="X3926">
        <v>0.98978600000000005</v>
      </c>
      <c r="Y3926">
        <v>-2.8843089999999998E-2</v>
      </c>
      <c r="Z3926">
        <v>-2.3472360000000001E-4</v>
      </c>
      <c r="AA3926">
        <v>0.99958389999999997</v>
      </c>
      <c r="AB3926">
        <v>28</v>
      </c>
      <c r="AC3926">
        <v>-61.896700000000003</v>
      </c>
      <c r="AD3926">
        <v>-1.108792219006</v>
      </c>
      <c r="AE3926">
        <v>-1.8703000000000101</v>
      </c>
      <c r="AF3926">
        <v>-1.7904943434001701</v>
      </c>
      <c r="AG3926">
        <v>-1.108792219006</v>
      </c>
      <c r="AH3926">
        <v>61.879204621442803</v>
      </c>
      <c r="AI3926">
        <v>91.026124159027106</v>
      </c>
      <c r="AJ3926">
        <v>91.657409035842505</v>
      </c>
      <c r="AK3926">
        <v>61.915032542679498</v>
      </c>
      <c r="AL3926">
        <v>81.963333006151402</v>
      </c>
      <c r="AM3926">
        <v>88.386142696493096</v>
      </c>
      <c r="AN3926">
        <v>0.99999997036823896</v>
      </c>
    </row>
    <row r="3927" spans="1:40" x14ac:dyDescent="0.25">
      <c r="A3927" t="str">
        <f>"20190312164549606"</f>
        <v>20190312164549606</v>
      </c>
      <c r="B3927" t="str">
        <f>"1552380349595364"</f>
        <v>1552380349595364</v>
      </c>
      <c r="C3927" t="s">
        <v>40</v>
      </c>
      <c r="D3927">
        <v>5.1324019999999999</v>
      </c>
      <c r="E3927">
        <v>0.4818791</v>
      </c>
      <c r="F3927" t="s">
        <v>42</v>
      </c>
      <c r="G3927">
        <v>-392.48379999999997</v>
      </c>
      <c r="H3927" s="1">
        <v>-3.2569699999999999E-6</v>
      </c>
      <c r="I3927">
        <v>139.80500000000001</v>
      </c>
      <c r="J3927">
        <v>-340.27910000000003</v>
      </c>
      <c r="K3927">
        <v>1.1087849999999999</v>
      </c>
      <c r="L3927">
        <v>141.3869</v>
      </c>
      <c r="M3927">
        <v>-0.99993030000000005</v>
      </c>
      <c r="N3927">
        <v>0</v>
      </c>
      <c r="O3927">
        <v>-1.2776829999999999E-3</v>
      </c>
      <c r="P3927">
        <v>-0.9914269</v>
      </c>
      <c r="Q3927">
        <v>0.12788749999999999</v>
      </c>
      <c r="R3927">
        <v>2.678579E-2</v>
      </c>
      <c r="S3927">
        <v>-3.0367739999999999</v>
      </c>
      <c r="T3927">
        <v>-6.4317109999999997E-2</v>
      </c>
      <c r="U3927">
        <v>-9.1766360000000005E-2</v>
      </c>
      <c r="V3927">
        <v>2.8059069999999998E-2</v>
      </c>
      <c r="W3927">
        <v>0.13952870000000001</v>
      </c>
      <c r="X3927">
        <v>0.98982040000000004</v>
      </c>
      <c r="Y3927">
        <v>-2.8921180000000001E-2</v>
      </c>
      <c r="Z3927">
        <v>-2.7910959999999997E-4</v>
      </c>
      <c r="AA3927">
        <v>0.99958159999999896</v>
      </c>
      <c r="AB3927">
        <v>28</v>
      </c>
      <c r="AC3927">
        <v>-52.204699999999903</v>
      </c>
      <c r="AD3927">
        <v>-1.1087882569700001</v>
      </c>
      <c r="AE3927">
        <v>-1.5818999999999901</v>
      </c>
      <c r="AF3927">
        <v>-1.51451047886157</v>
      </c>
      <c r="AG3927">
        <v>-1.1087882569700001</v>
      </c>
      <c r="AH3927">
        <v>52.183160178064803</v>
      </c>
      <c r="AI3927">
        <v>91.216725893088295</v>
      </c>
      <c r="AJ3927">
        <v>91.662427227082304</v>
      </c>
      <c r="AK3927">
        <v>52.216906836377703</v>
      </c>
      <c r="AL3927">
        <v>81.979424900953106</v>
      </c>
      <c r="AM3927">
        <v>88.376234858872905</v>
      </c>
      <c r="AN3927">
        <v>0.99999999689455699</v>
      </c>
    </row>
    <row r="3928" spans="1:40" x14ac:dyDescent="0.25">
      <c r="A3928" t="str">
        <f>"20190312164549622"</f>
        <v>20190312164549622</v>
      </c>
      <c r="B3928" t="str">
        <f>"1552380349615866"</f>
        <v>1552380349615866</v>
      </c>
      <c r="C3928" t="s">
        <v>40</v>
      </c>
      <c r="D3928">
        <v>4.9037449999999998</v>
      </c>
      <c r="E3928">
        <v>0.48237089999999999</v>
      </c>
      <c r="F3928" t="s">
        <v>42</v>
      </c>
      <c r="G3928">
        <v>-395.411</v>
      </c>
      <c r="H3928" s="1">
        <v>-1.9959140000000002E-6</v>
      </c>
      <c r="I3928">
        <v>139.7851</v>
      </c>
      <c r="J3928">
        <v>-340.48719999999997</v>
      </c>
      <c r="K3928">
        <v>1.1087819999999999</v>
      </c>
      <c r="L3928">
        <v>141.38669999999999</v>
      </c>
      <c r="M3928">
        <v>-0.99993030000000005</v>
      </c>
      <c r="N3928">
        <v>0</v>
      </c>
      <c r="O3928">
        <v>-1.2763710000000001E-3</v>
      </c>
      <c r="P3928">
        <v>-0.99146509999999999</v>
      </c>
      <c r="Q3928">
        <v>0.12753030000000001</v>
      </c>
      <c r="R3928">
        <v>2.70812E-2</v>
      </c>
      <c r="S3928">
        <v>-3.0361940000000001</v>
      </c>
      <c r="T3928">
        <v>-6.1062459999999999E-2</v>
      </c>
      <c r="U3928">
        <v>-8.8211059999999994E-2</v>
      </c>
      <c r="V3928">
        <v>2.8353389999999999E-2</v>
      </c>
      <c r="W3928">
        <v>0.13917170000000001</v>
      </c>
      <c r="X3928">
        <v>0.98986229999999997</v>
      </c>
      <c r="Y3928">
        <v>-2.7759619999999999E-2</v>
      </c>
      <c r="Z3928">
        <v>-2.5339349999999999E-4</v>
      </c>
      <c r="AA3928">
        <v>0.99961460000000002</v>
      </c>
      <c r="AB3928">
        <v>28</v>
      </c>
      <c r="AC3928">
        <v>-54.9238</v>
      </c>
      <c r="AD3928">
        <v>-1.108783995914</v>
      </c>
      <c r="AE3928">
        <v>-1.6015999999999899</v>
      </c>
      <c r="AF3928">
        <v>-1.53086735705998</v>
      </c>
      <c r="AG3928">
        <v>-1.108783995914</v>
      </c>
      <c r="AH3928">
        <v>54.903443163830403</v>
      </c>
      <c r="AI3928">
        <v>91.156491001001996</v>
      </c>
      <c r="AJ3928">
        <v>91.5971588171642</v>
      </c>
      <c r="AK3928">
        <v>54.935972077123203</v>
      </c>
      <c r="AL3928">
        <v>82.000081258309706</v>
      </c>
      <c r="AM3928">
        <v>88.3592813765881</v>
      </c>
      <c r="AN3928">
        <v>1.0000000248833301</v>
      </c>
    </row>
    <row r="3929" spans="1:40" x14ac:dyDescent="0.25">
      <c r="A3929" t="str">
        <f>"20190312164549637"</f>
        <v>20190312164549637</v>
      </c>
      <c r="B3929" t="str">
        <f>"1552380349625619"</f>
        <v>1552380349625619</v>
      </c>
      <c r="C3929" t="s">
        <v>40</v>
      </c>
      <c r="D3929">
        <v>4.8031870000000003</v>
      </c>
      <c r="E3929">
        <v>0.48256270000000001</v>
      </c>
      <c r="F3929" t="s">
        <v>71</v>
      </c>
      <c r="G3929">
        <v>-405.72820000000002</v>
      </c>
      <c r="H3929" s="1">
        <v>-8.0394150000000007E-6</v>
      </c>
      <c r="I3929">
        <v>139.6054</v>
      </c>
      <c r="J3929">
        <v>-340.6687</v>
      </c>
      <c r="K3929">
        <v>1.108778</v>
      </c>
      <c r="L3929">
        <v>141.38640000000001</v>
      </c>
      <c r="M3929">
        <v>-0.99993030000000005</v>
      </c>
      <c r="N3929">
        <v>0</v>
      </c>
      <c r="O3929">
        <v>-1.2758960000000001E-3</v>
      </c>
      <c r="P3929">
        <v>-0.99147209999999997</v>
      </c>
      <c r="Q3929">
        <v>0.127406399999999</v>
      </c>
      <c r="R3929">
        <v>2.7396279999999999E-2</v>
      </c>
      <c r="S3929">
        <v>-3.034729</v>
      </c>
      <c r="T3929">
        <v>-5.1576139999999999E-2</v>
      </c>
      <c r="U3929">
        <v>-8.2855219999999993E-2</v>
      </c>
      <c r="V3929">
        <v>2.8667600000000001E-2</v>
      </c>
      <c r="W3929">
        <v>0.13904749999999999</v>
      </c>
      <c r="X3929">
        <v>0.98987069999999999</v>
      </c>
      <c r="Y3929">
        <v>-2.6013080000000001E-2</v>
      </c>
      <c r="Z3929">
        <v>-1.993129E-4</v>
      </c>
      <c r="AA3929">
        <v>0.99966160000000004</v>
      </c>
      <c r="AB3929">
        <v>28</v>
      </c>
      <c r="AC3929">
        <v>-65.0595</v>
      </c>
      <c r="AD3929">
        <v>-1.108786039415</v>
      </c>
      <c r="AE3929">
        <v>-1.7809999999999999</v>
      </c>
      <c r="AF3929">
        <v>-1.6974910056730499</v>
      </c>
      <c r="AG3929">
        <v>-1.108786039415</v>
      </c>
      <c r="AH3929">
        <v>65.042841901372299</v>
      </c>
      <c r="AI3929">
        <v>90.976294826303899</v>
      </c>
      <c r="AJ3929">
        <v>91.494968473930697</v>
      </c>
      <c r="AK3929">
        <v>65.074435570371705</v>
      </c>
      <c r="AL3929">
        <v>82.007267229342204</v>
      </c>
      <c r="AM3929">
        <v>88.341123237398307</v>
      </c>
      <c r="AN3929">
        <v>1.0000000206322499</v>
      </c>
    </row>
    <row r="3930" spans="1:40" x14ac:dyDescent="0.25">
      <c r="A3930" t="str">
        <f>"20190312164549650"</f>
        <v>20190312164549650</v>
      </c>
      <c r="B3930" t="str">
        <f>"1552380349646116"</f>
        <v>1552380349646116</v>
      </c>
      <c r="C3930" t="s">
        <v>40</v>
      </c>
      <c r="D3930">
        <v>5.0877919999999897</v>
      </c>
      <c r="E3930">
        <v>0.482798</v>
      </c>
      <c r="F3930" t="s">
        <v>71</v>
      </c>
      <c r="G3930">
        <v>-411.54430000000002</v>
      </c>
      <c r="H3930" s="1">
        <v>-1.0492560000000001E-5</v>
      </c>
      <c r="I3930">
        <v>139.51259999999999</v>
      </c>
      <c r="J3930">
        <v>-340.82389999999998</v>
      </c>
      <c r="K3930">
        <v>1.1087769999999999</v>
      </c>
      <c r="L3930">
        <v>141.3862</v>
      </c>
      <c r="M3930">
        <v>-0.99993030000000005</v>
      </c>
      <c r="N3930">
        <v>0</v>
      </c>
      <c r="O3930">
        <v>-1.2758979999999999E-3</v>
      </c>
      <c r="P3930">
        <v>-0.99149849999999995</v>
      </c>
      <c r="Q3930">
        <v>0.1272036</v>
      </c>
      <c r="R3930">
        <v>2.7393069999999999E-2</v>
      </c>
      <c r="S3930">
        <v>-3.034119</v>
      </c>
      <c r="T3930">
        <v>-4.746616E-2</v>
      </c>
      <c r="U3930">
        <v>-8.0215449999999994E-2</v>
      </c>
      <c r="V3930">
        <v>2.866467E-2</v>
      </c>
      <c r="W3930">
        <v>0.13884440000000001</v>
      </c>
      <c r="X3930">
        <v>0.98989930000000004</v>
      </c>
      <c r="Y3930">
        <v>-2.5150100000000002E-2</v>
      </c>
      <c r="Z3930">
        <v>-1.7672249999999999E-4</v>
      </c>
      <c r="AA3930">
        <v>0.99968369999999995</v>
      </c>
      <c r="AB3930">
        <v>28</v>
      </c>
      <c r="AC3930">
        <v>-70.720399999999998</v>
      </c>
      <c r="AD3930">
        <v>-1.1087874925599901</v>
      </c>
      <c r="AE3930">
        <v>-1.8736000000000099</v>
      </c>
      <c r="AF3930">
        <v>-1.7829222812166201</v>
      </c>
      <c r="AG3930">
        <v>-1.1087874925599901</v>
      </c>
      <c r="AH3930">
        <v>70.705364913413106</v>
      </c>
      <c r="AI3930">
        <v>90.898141941963999</v>
      </c>
      <c r="AJ3930">
        <v>91.444477070470199</v>
      </c>
      <c r="AK3930">
        <v>70.736531220462197</v>
      </c>
      <c r="AL3930">
        <v>82.019018039260899</v>
      </c>
      <c r="AM3930">
        <v>88.341340586109794</v>
      </c>
      <c r="AN3930">
        <v>1.0000000274290199</v>
      </c>
    </row>
    <row r="3931" spans="1:40" x14ac:dyDescent="0.25">
      <c r="A3931" t="str">
        <f>"20190312164549662"</f>
        <v>20190312164549662</v>
      </c>
      <c r="B3931" t="str">
        <f>"1552380349655875"</f>
        <v>1552380349655875</v>
      </c>
      <c r="C3931" t="s">
        <v>40</v>
      </c>
      <c r="D3931">
        <v>4.8053589999999904</v>
      </c>
      <c r="E3931">
        <v>0.482039</v>
      </c>
      <c r="F3931" t="s">
        <v>71</v>
      </c>
      <c r="G3931">
        <v>-422.32060000000001</v>
      </c>
      <c r="H3931" s="1">
        <v>-1.000573E-5</v>
      </c>
      <c r="I3931">
        <v>139.2912</v>
      </c>
      <c r="J3931">
        <v>-341.00400000000002</v>
      </c>
      <c r="K3931">
        <v>1.108778</v>
      </c>
      <c r="L3931">
        <v>141.386</v>
      </c>
      <c r="M3931">
        <v>-0.99993030000000005</v>
      </c>
      <c r="N3931">
        <v>0</v>
      </c>
      <c r="O3931">
        <v>-1.27626E-3</v>
      </c>
      <c r="P3931">
        <v>-0.99154010000000004</v>
      </c>
      <c r="Q3931">
        <v>0.126849499999999</v>
      </c>
      <c r="R3931">
        <v>2.752922E-2</v>
      </c>
      <c r="S3931">
        <v>-3.0331419999999998</v>
      </c>
      <c r="T3931">
        <v>-4.1266799999999999E-2</v>
      </c>
      <c r="U3931">
        <v>-7.7972410000000006E-2</v>
      </c>
      <c r="V3931">
        <v>2.880102E-2</v>
      </c>
      <c r="W3931">
        <v>0.13849120000000001</v>
      </c>
      <c r="X3931">
        <v>0.98994479999999996</v>
      </c>
      <c r="Y3931">
        <v>-2.4420239999999999E-2</v>
      </c>
      <c r="Z3931">
        <v>-1.487258E-4</v>
      </c>
      <c r="AA3931">
        <v>0.99970179999999997</v>
      </c>
      <c r="AB3931">
        <v>28</v>
      </c>
      <c r="AC3931">
        <v>-81.316599999999994</v>
      </c>
      <c r="AD3931">
        <v>-1.1087880057299999</v>
      </c>
      <c r="AE3931">
        <v>-2.09479999999999</v>
      </c>
      <c r="AF3931">
        <v>-1.99064015527191</v>
      </c>
      <c r="AG3931">
        <v>-1.1087880057299999</v>
      </c>
      <c r="AH3931">
        <v>81.3041009900505</v>
      </c>
      <c r="AI3931">
        <v>90.781091050966893</v>
      </c>
      <c r="AJ3931">
        <v>91.4025429921019</v>
      </c>
      <c r="AK3931">
        <v>81.336024594700802</v>
      </c>
      <c r="AL3931">
        <v>82.039452178186195</v>
      </c>
      <c r="AM3931">
        <v>88.333531790211197</v>
      </c>
      <c r="AN3931">
        <v>1.00000000913876</v>
      </c>
    </row>
    <row r="3932" spans="1:40" x14ac:dyDescent="0.25">
      <c r="A3932" t="str">
        <f>"20190312164549678"</f>
        <v>20190312164549678</v>
      </c>
      <c r="B3932" t="str">
        <f>"1552380349665635"</f>
        <v>1552380349665635</v>
      </c>
      <c r="C3932" t="s">
        <v>40</v>
      </c>
      <c r="D3932">
        <v>4.8786230000000002</v>
      </c>
      <c r="E3932">
        <v>0.48129260000000001</v>
      </c>
      <c r="F3932" t="s">
        <v>71</v>
      </c>
      <c r="G3932">
        <v>-411.84969999999998</v>
      </c>
      <c r="H3932" s="1">
        <v>-1.0427080000000001E-5</v>
      </c>
      <c r="I3932">
        <v>139.42420000000001</v>
      </c>
      <c r="J3932">
        <v>-341.18790000000001</v>
      </c>
      <c r="K3932">
        <v>1.1087800000000001</v>
      </c>
      <c r="L3932">
        <v>141.38579999999999</v>
      </c>
      <c r="M3932">
        <v>-0.99993010000000004</v>
      </c>
      <c r="N3932">
        <v>0</v>
      </c>
      <c r="O3932">
        <v>-1.2765039999999999E-3</v>
      </c>
      <c r="P3932">
        <v>-0.9915562</v>
      </c>
      <c r="Q3932">
        <v>0.12667239999999999</v>
      </c>
      <c r="R3932">
        <v>2.776062E-2</v>
      </c>
      <c r="S3932">
        <v>-3.0339969999999998</v>
      </c>
      <c r="T3932">
        <v>-4.7484279999999997E-2</v>
      </c>
      <c r="U3932">
        <v>-8.4014889999999995E-2</v>
      </c>
      <c r="V3932">
        <v>2.9032570000000001E-2</v>
      </c>
      <c r="W3932">
        <v>0.1383141</v>
      </c>
      <c r="X3932">
        <v>0.98996280000000003</v>
      </c>
      <c r="Y3932">
        <v>-2.6401350000000001E-2</v>
      </c>
      <c r="Z3932">
        <v>-1.8657360000000001E-4</v>
      </c>
      <c r="AA3932">
        <v>0.99965139999999997</v>
      </c>
      <c r="AB3932">
        <v>28</v>
      </c>
      <c r="AC3932">
        <v>-70.6617999999999</v>
      </c>
      <c r="AD3932">
        <v>-1.10879042708</v>
      </c>
      <c r="AE3932">
        <v>-1.96159999999997</v>
      </c>
      <c r="AF3932">
        <v>-1.8709317866503099</v>
      </c>
      <c r="AG3932">
        <v>-1.10879042708</v>
      </c>
      <c r="AH3932">
        <v>70.646865059703899</v>
      </c>
      <c r="AI3932">
        <v>90.898858507495206</v>
      </c>
      <c r="AJ3932">
        <v>91.517002135876695</v>
      </c>
      <c r="AK3932">
        <v>70.6803320926373</v>
      </c>
      <c r="AL3932">
        <v>82.049697894654798</v>
      </c>
      <c r="AM3932">
        <v>88.320172148565405</v>
      </c>
      <c r="AN3932">
        <v>1.0000000128817199</v>
      </c>
    </row>
    <row r="3933" spans="1:40" x14ac:dyDescent="0.25">
      <c r="A3933" t="str">
        <f>"20190312164549701"</f>
        <v>20190312164549701</v>
      </c>
      <c r="B3933" t="str">
        <f>"1552380349695891"</f>
        <v>1552380349695891</v>
      </c>
      <c r="C3933" t="s">
        <v>40</v>
      </c>
      <c r="D3933">
        <v>4.8012199999999998</v>
      </c>
      <c r="E3933">
        <v>0.4785857</v>
      </c>
      <c r="F3933" t="s">
        <v>71</v>
      </c>
      <c r="G3933">
        <v>-414.69929999999999</v>
      </c>
      <c r="H3933" s="1">
        <v>-1.009071E-5</v>
      </c>
      <c r="I3933">
        <v>139.22730000000001</v>
      </c>
      <c r="J3933">
        <v>-341.4812</v>
      </c>
      <c r="K3933">
        <v>1.108779</v>
      </c>
      <c r="L3933">
        <v>141.3854</v>
      </c>
      <c r="M3933">
        <v>-0.99993010000000004</v>
      </c>
      <c r="N3933">
        <v>0</v>
      </c>
      <c r="O3933">
        <v>-1.277228E-3</v>
      </c>
      <c r="P3933">
        <v>-0.99156149999999998</v>
      </c>
      <c r="Q3933">
        <v>0.12664890000000001</v>
      </c>
      <c r="R3933">
        <v>2.7677319999999998E-2</v>
      </c>
      <c r="S3933">
        <v>-3.0338750000000001</v>
      </c>
      <c r="T3933">
        <v>-4.5760629999999997E-2</v>
      </c>
      <c r="U3933">
        <v>-8.9080809999999996E-2</v>
      </c>
      <c r="V3933">
        <v>2.8949760000000001E-2</v>
      </c>
      <c r="W3933">
        <v>0.13829</v>
      </c>
      <c r="X3933">
        <v>0.98996859999999998</v>
      </c>
      <c r="Y3933">
        <v>-2.806958E-2</v>
      </c>
      <c r="Z3933">
        <v>-1.9237160000000001E-4</v>
      </c>
      <c r="AA3933">
        <v>0.99960599999999999</v>
      </c>
      <c r="AB3933">
        <v>28</v>
      </c>
      <c r="AC3933">
        <v>-73.218099999999893</v>
      </c>
      <c r="AD3933">
        <v>-1.10878909071</v>
      </c>
      <c r="AE3933">
        <v>-2.1580999999999899</v>
      </c>
      <c r="AF3933">
        <v>-2.0641026212300102</v>
      </c>
      <c r="AG3933">
        <v>-1.10878909071</v>
      </c>
      <c r="AH3933">
        <v>73.204023536453207</v>
      </c>
      <c r="AI3933">
        <v>90.867422871516098</v>
      </c>
      <c r="AJ3933">
        <v>91.615116710918301</v>
      </c>
      <c r="AK3933">
        <v>73.241511418076598</v>
      </c>
      <c r="AL3933">
        <v>82.051092185015406</v>
      </c>
      <c r="AM3933">
        <v>88.324970619290994</v>
      </c>
      <c r="AN3933">
        <v>1.0000000208449999</v>
      </c>
    </row>
    <row r="3934" spans="1:40" x14ac:dyDescent="0.25">
      <c r="A3934" t="str">
        <f>"20190312164549715"</f>
        <v>20190312164549715</v>
      </c>
      <c r="B3934" t="str">
        <f>"1552380349705651"</f>
        <v>1552380349705651</v>
      </c>
      <c r="C3934" t="s">
        <v>40</v>
      </c>
      <c r="D3934">
        <v>4.7276819999999997</v>
      </c>
      <c r="E3934">
        <v>0.4776087</v>
      </c>
      <c r="F3934" t="s">
        <v>71</v>
      </c>
      <c r="G3934">
        <v>-438.95460000000003</v>
      </c>
      <c r="H3934" s="1">
        <v>-6.855766E-6</v>
      </c>
      <c r="I3934">
        <v>137.83750000000001</v>
      </c>
      <c r="J3934">
        <v>-341.66289999999998</v>
      </c>
      <c r="K3934">
        <v>1.108779</v>
      </c>
      <c r="L3934">
        <v>141.3852</v>
      </c>
      <c r="M3934">
        <v>-0.99993030000000005</v>
      </c>
      <c r="N3934">
        <v>0</v>
      </c>
      <c r="O3934">
        <v>-1.2775900000000001E-3</v>
      </c>
      <c r="P3934">
        <v>-0.99154969999999998</v>
      </c>
      <c r="Q3934">
        <v>0.1267751</v>
      </c>
      <c r="R3934">
        <v>2.7523760000000001E-2</v>
      </c>
      <c r="S3934">
        <v>-3.0329899999999999</v>
      </c>
      <c r="T3934">
        <v>-3.4501080000000003E-2</v>
      </c>
      <c r="U3934">
        <v>-0.1103973</v>
      </c>
      <c r="V3934">
        <v>2.8796349999999998E-2</v>
      </c>
      <c r="W3934">
        <v>0.13841609999999999</v>
      </c>
      <c r="X3934">
        <v>0.98995540000000004</v>
      </c>
      <c r="Y3934">
        <v>-3.5095719999999997E-2</v>
      </c>
      <c r="Z3934">
        <v>-1.8501060000000001E-4</v>
      </c>
      <c r="AA3934">
        <v>0.99938389999999999</v>
      </c>
      <c r="AB3934">
        <v>28</v>
      </c>
      <c r="AC3934">
        <v>-97.291700000000006</v>
      </c>
      <c r="AD3934">
        <v>-1.108785855766</v>
      </c>
      <c r="AE3934">
        <v>-3.5476999999999901</v>
      </c>
      <c r="AF3934">
        <v>-3.4229456551225099</v>
      </c>
      <c r="AG3934">
        <v>-1.108785855766</v>
      </c>
      <c r="AH3934">
        <v>97.283534955216297</v>
      </c>
      <c r="AI3934">
        <v>90.652594671211702</v>
      </c>
      <c r="AJ3934">
        <v>92.015135112452398</v>
      </c>
      <c r="AK3934">
        <v>97.350049493642601</v>
      </c>
      <c r="AL3934">
        <v>82.043796624517597</v>
      </c>
      <c r="AM3934">
        <v>88.333819681609299</v>
      </c>
      <c r="AN3934">
        <v>0.99999997025084497</v>
      </c>
    </row>
    <row r="3935" spans="1:40" x14ac:dyDescent="0.25">
      <c r="A3935" t="str">
        <f>"20190312164549728"</f>
        <v>20190312164549728</v>
      </c>
      <c r="B3935" t="str">
        <f>"1552380349725171"</f>
        <v>1552380349725171</v>
      </c>
      <c r="C3935" t="s">
        <v>40</v>
      </c>
      <c r="D3935">
        <v>4.8772149999999996</v>
      </c>
      <c r="E3935">
        <v>0.47616799999999998</v>
      </c>
      <c r="F3935" t="s">
        <v>42</v>
      </c>
      <c r="G3935">
        <v>-452.47190000000001</v>
      </c>
      <c r="H3935" s="1">
        <v>-2.6521310000000002E-6</v>
      </c>
      <c r="I3935">
        <v>137.0592</v>
      </c>
      <c r="J3935">
        <v>-341.82350000000002</v>
      </c>
      <c r="K3935">
        <v>1.108781</v>
      </c>
      <c r="L3935">
        <v>141.38489999999999</v>
      </c>
      <c r="M3935">
        <v>-0.99993030000000005</v>
      </c>
      <c r="N3935">
        <v>0</v>
      </c>
      <c r="O3935">
        <v>-1.277952E-3</v>
      </c>
      <c r="P3935">
        <v>-0.99157360000000005</v>
      </c>
      <c r="Q3935">
        <v>0.12662419999999999</v>
      </c>
      <c r="R3935">
        <v>2.7357929999999999E-2</v>
      </c>
      <c r="S3935">
        <v>-3.0327449999999998</v>
      </c>
      <c r="T3935">
        <v>-3.0346390000000001E-2</v>
      </c>
      <c r="U3935">
        <v>-0.118392899999999</v>
      </c>
      <c r="V3935">
        <v>2.863079E-2</v>
      </c>
      <c r="W3935">
        <v>0.1382659</v>
      </c>
      <c r="X3935">
        <v>0.98998120000000001</v>
      </c>
      <c r="Y3935">
        <v>-3.7729569999999997E-2</v>
      </c>
      <c r="Z3935">
        <v>-1.75905999999999E-4</v>
      </c>
      <c r="AA3935">
        <v>0.99928799999999995</v>
      </c>
      <c r="AB3935">
        <v>28</v>
      </c>
      <c r="AC3935">
        <v>-110.648399999999</v>
      </c>
      <c r="AD3935">
        <v>-1.1087836521309999</v>
      </c>
      <c r="AE3935">
        <v>-4.3256999999999799</v>
      </c>
      <c r="AF3935">
        <v>-4.1838638959677104</v>
      </c>
      <c r="AG3935">
        <v>-1.1087836521309999</v>
      </c>
      <c r="AH3935">
        <v>110.642744693522</v>
      </c>
      <c r="AI3935">
        <v>90.573748693227699</v>
      </c>
      <c r="AJ3935">
        <v>92.165560728692498</v>
      </c>
      <c r="AK3935">
        <v>110.727372729615</v>
      </c>
      <c r="AL3935">
        <v>82.052486070574901</v>
      </c>
      <c r="AM3935">
        <v>88.343436913980398</v>
      </c>
      <c r="AN3935">
        <v>0.999999978796136</v>
      </c>
    </row>
    <row r="3936" spans="1:40" x14ac:dyDescent="0.25">
      <c r="A3936" t="str">
        <f>"20190312164549745"</f>
        <v>20190312164549745</v>
      </c>
      <c r="B3936" t="str">
        <f>"1552380349735907"</f>
        <v>1552380349735907</v>
      </c>
      <c r="C3936" t="s">
        <v>40</v>
      </c>
      <c r="D3936">
        <v>4.7373399999999997</v>
      </c>
      <c r="E3936">
        <v>0.47544619999999999</v>
      </c>
      <c r="F3936" t="s">
        <v>42</v>
      </c>
      <c r="G3936">
        <v>-443.77300000000002</v>
      </c>
      <c r="H3936" s="1">
        <v>-2.1051209999999999E-6</v>
      </c>
      <c r="I3936">
        <v>136.99639999999999</v>
      </c>
      <c r="J3936">
        <v>-342.03910000000002</v>
      </c>
      <c r="K3936">
        <v>1.108779</v>
      </c>
      <c r="L3936">
        <v>141.38470000000001</v>
      </c>
      <c r="M3936">
        <v>-0.99993010000000004</v>
      </c>
      <c r="N3936">
        <v>0</v>
      </c>
      <c r="O3936">
        <v>-1.2783130000000001E-3</v>
      </c>
      <c r="P3936">
        <v>-0.99157989999999996</v>
      </c>
      <c r="Q3936">
        <v>0.12666169999999999</v>
      </c>
      <c r="R3936">
        <v>2.6945029999999998E-2</v>
      </c>
      <c r="S3936">
        <v>-3.033325</v>
      </c>
      <c r="T3936">
        <v>-3.2989860000000003E-2</v>
      </c>
      <c r="U3936">
        <v>-0.13056950000000001</v>
      </c>
      <c r="V3936">
        <v>2.8218070000000001E-2</v>
      </c>
      <c r="W3936">
        <v>0.13830329999999999</v>
      </c>
      <c r="X3936">
        <v>0.98998790000000003</v>
      </c>
      <c r="Y3936">
        <v>-4.1725529999999997E-2</v>
      </c>
      <c r="Z3936">
        <v>-2.1289099999999999E-4</v>
      </c>
      <c r="AA3936">
        <v>0.99912909999999999</v>
      </c>
      <c r="AB3936">
        <v>28</v>
      </c>
      <c r="AC3936">
        <v>-101.73390000000001</v>
      </c>
      <c r="AD3936">
        <v>-1.1087811051209999</v>
      </c>
      <c r="AE3936">
        <v>-4.3883000000000099</v>
      </c>
      <c r="AF3936">
        <v>-4.2577348482896102</v>
      </c>
      <c r="AG3936">
        <v>-1.1087811051209999</v>
      </c>
      <c r="AH3936">
        <v>101.72736567021001</v>
      </c>
      <c r="AI3936">
        <v>90.623926483661705</v>
      </c>
      <c r="AJ3936">
        <v>92.3966799424974</v>
      </c>
      <c r="AK3936">
        <v>101.822466223216</v>
      </c>
      <c r="AL3936">
        <v>82.050323008542406</v>
      </c>
      <c r="AM3936">
        <v>88.367314709439498</v>
      </c>
      <c r="AN3936">
        <v>1.00000005220591</v>
      </c>
    </row>
    <row r="3937" spans="1:40" x14ac:dyDescent="0.25">
      <c r="A3937" t="str">
        <f>"20190312164549761"</f>
        <v>20190312164549761</v>
      </c>
      <c r="B3937" t="str">
        <f>"1552380349755427"</f>
        <v>1552380349755427</v>
      </c>
      <c r="C3937" t="s">
        <v>40</v>
      </c>
      <c r="D3937">
        <v>4.7354399999999996</v>
      </c>
      <c r="E3937">
        <v>0.4740683</v>
      </c>
      <c r="F3937" t="s">
        <v>42</v>
      </c>
      <c r="G3937">
        <v>-454.21480000000003</v>
      </c>
      <c r="H3937" s="1">
        <v>-2.0390330000000002E-6</v>
      </c>
      <c r="I3937">
        <v>136.3004</v>
      </c>
      <c r="J3937">
        <v>-342.23110000000003</v>
      </c>
      <c r="K3937">
        <v>1.108781</v>
      </c>
      <c r="L3937">
        <v>141.3844</v>
      </c>
      <c r="M3937">
        <v>-0.99993019999999999</v>
      </c>
      <c r="N3937">
        <v>0</v>
      </c>
      <c r="O3937">
        <v>-1.2787919999999999E-3</v>
      </c>
      <c r="P3937">
        <v>-0.9915988</v>
      </c>
      <c r="Q3937">
        <v>0.1265512</v>
      </c>
      <c r="R3937">
        <v>2.6767200000000001E-2</v>
      </c>
      <c r="S3937">
        <v>-3.03302</v>
      </c>
      <c r="T3937">
        <v>-2.9979349999999998E-2</v>
      </c>
      <c r="U3937">
        <v>-0.13746639999999999</v>
      </c>
      <c r="V3937">
        <v>2.804065E-2</v>
      </c>
      <c r="W3937">
        <v>0.13819319999999999</v>
      </c>
      <c r="X3937">
        <v>0.9900082</v>
      </c>
      <c r="Y3937">
        <v>-4.3997130000000002E-2</v>
      </c>
      <c r="Z3937">
        <v>-2.046901E-4</v>
      </c>
      <c r="AA3937">
        <v>0.99903169999999997</v>
      </c>
      <c r="AB3937">
        <v>28</v>
      </c>
      <c r="AC3937">
        <v>-111.9837</v>
      </c>
      <c r="AD3937">
        <v>-1.108783039033</v>
      </c>
      <c r="AE3937">
        <v>-5.0839999999999996</v>
      </c>
      <c r="AF3937">
        <v>-4.9402987749289196</v>
      </c>
      <c r="AG3937">
        <v>-1.108783039033</v>
      </c>
      <c r="AH3937">
        <v>111.979154894261</v>
      </c>
      <c r="AI3937">
        <v>90.566755327479598</v>
      </c>
      <c r="AJ3937">
        <v>92.526138329843604</v>
      </c>
      <c r="AK3937">
        <v>112.093563966207</v>
      </c>
      <c r="AL3937">
        <v>82.056691516826007</v>
      </c>
      <c r="AM3937">
        <v>88.377607899627705</v>
      </c>
      <c r="AN3937">
        <v>0.99999993732294901</v>
      </c>
    </row>
    <row r="3938" spans="1:40" x14ac:dyDescent="0.25">
      <c r="A3938" t="str">
        <f>"20190312164549773"</f>
        <v>20190312164549773</v>
      </c>
      <c r="B3938" t="str">
        <f>"1552380349765188"</f>
        <v>1552380349765188</v>
      </c>
      <c r="C3938" t="s">
        <v>40</v>
      </c>
      <c r="D3938">
        <v>4.7995010000000002</v>
      </c>
      <c r="E3938">
        <v>0.47345930000000003</v>
      </c>
      <c r="F3938" t="s">
        <v>52</v>
      </c>
      <c r="G3938">
        <v>-478.54169999999999</v>
      </c>
      <c r="H3938" s="1">
        <v>-3.2783180000000001E-6</v>
      </c>
      <c r="I3938">
        <v>134.69730000000001</v>
      </c>
      <c r="J3938">
        <v>-342.40260000000001</v>
      </c>
      <c r="K3938">
        <v>1.108778</v>
      </c>
      <c r="L3938">
        <v>141.38419999999999</v>
      </c>
      <c r="M3938">
        <v>-0.99993019999999999</v>
      </c>
      <c r="N3938">
        <v>0</v>
      </c>
      <c r="O3938">
        <v>-1.2791510000000001E-3</v>
      </c>
      <c r="P3938">
        <v>-0.99159589999999997</v>
      </c>
      <c r="Q3938">
        <v>0.12658659999999999</v>
      </c>
      <c r="R3938">
        <v>2.6714000000000002E-2</v>
      </c>
      <c r="S3938">
        <v>-3.0325929999999999</v>
      </c>
      <c r="T3938">
        <v>-2.466786E-2</v>
      </c>
      <c r="U3938">
        <v>-0.14877319999999999</v>
      </c>
      <c r="V3938">
        <v>2.798786E-2</v>
      </c>
      <c r="W3938">
        <v>0.13822860000000001</v>
      </c>
      <c r="X3938">
        <v>0.99000480000000002</v>
      </c>
      <c r="Y3938">
        <v>-4.7719879999999999E-2</v>
      </c>
      <c r="Z3938">
        <v>-1.835637E-4</v>
      </c>
      <c r="AA3938">
        <v>0.99886070000000005</v>
      </c>
      <c r="AB3938">
        <v>28</v>
      </c>
      <c r="AC3938">
        <v>-136.13909999999899</v>
      </c>
      <c r="AD3938">
        <v>-1.108781278318</v>
      </c>
      <c r="AE3938">
        <v>-6.6868999999999801</v>
      </c>
      <c r="AF3938">
        <v>-6.5123091114785598</v>
      </c>
      <c r="AG3938">
        <v>-1.108781278318</v>
      </c>
      <c r="AH3938">
        <v>136.13853408438899</v>
      </c>
      <c r="AI3938">
        <v>90.466102617456102</v>
      </c>
      <c r="AJ3938">
        <v>92.738707401702598</v>
      </c>
      <c r="AK3938">
        <v>136.29871616612101</v>
      </c>
      <c r="AL3938">
        <v>82.054643973809107</v>
      </c>
      <c r="AM3938">
        <v>88.380655067725598</v>
      </c>
      <c r="AN3938">
        <v>0.99999998509418897</v>
      </c>
    </row>
    <row r="3939" spans="1:40" x14ac:dyDescent="0.25">
      <c r="A3939" t="str">
        <f>"20190312164549789"</f>
        <v>20190312164549789</v>
      </c>
      <c r="B3939" t="str">
        <f>"1552380349785683"</f>
        <v>1552380349785683</v>
      </c>
      <c r="C3939" t="s">
        <v>40</v>
      </c>
      <c r="D3939">
        <v>4.7907849999999996</v>
      </c>
      <c r="E3939">
        <v>0.4721477</v>
      </c>
      <c r="F3939" t="s">
        <v>52</v>
      </c>
      <c r="G3939">
        <v>-496.45260000000002</v>
      </c>
      <c r="H3939" s="1">
        <v>-8.2759040000000008E-6</v>
      </c>
      <c r="I3939">
        <v>133.58439999999999</v>
      </c>
      <c r="J3939">
        <v>-342.59739999999999</v>
      </c>
      <c r="K3939">
        <v>1.108778</v>
      </c>
      <c r="L3939">
        <v>141.38399999999999</v>
      </c>
      <c r="M3939">
        <v>-0.99993010000000004</v>
      </c>
      <c r="N3939">
        <v>0</v>
      </c>
      <c r="O3939">
        <v>-1.279271E-3</v>
      </c>
      <c r="P3939">
        <v>-0.99160060000000005</v>
      </c>
      <c r="Q3939">
        <v>0.12658929999999999</v>
      </c>
      <c r="R3939">
        <v>2.6519939999999999E-2</v>
      </c>
      <c r="S3939">
        <v>-3.032349</v>
      </c>
      <c r="T3939">
        <v>-2.1825549999999999E-2</v>
      </c>
      <c r="U3939">
        <v>-0.1535339</v>
      </c>
      <c r="V3939">
        <v>2.779394E-2</v>
      </c>
      <c r="W3939">
        <v>0.13823099999999999</v>
      </c>
      <c r="X3939">
        <v>0.99000999999999995</v>
      </c>
      <c r="Y3939">
        <v>-4.9288239999999997E-2</v>
      </c>
      <c r="Z3939">
        <v>-1.6805990000000001E-4</v>
      </c>
      <c r="AA3939">
        <v>0.99878460000000002</v>
      </c>
      <c r="AB3939">
        <v>28</v>
      </c>
      <c r="AC3939">
        <v>-153.8552</v>
      </c>
      <c r="AD3939">
        <v>-1.1087862759039999</v>
      </c>
      <c r="AE3939">
        <v>-7.7995999999999901</v>
      </c>
      <c r="AF3939">
        <v>-7.6023636968064396</v>
      </c>
      <c r="AG3939">
        <v>-1.1087862759039999</v>
      </c>
      <c r="AH3939">
        <v>153.85708228891701</v>
      </c>
      <c r="AI3939">
        <v>90.412397435885794</v>
      </c>
      <c r="AJ3939">
        <v>92.828789999653296</v>
      </c>
      <c r="AK3939">
        <v>154.04878159609899</v>
      </c>
      <c r="AL3939">
        <v>82.054505700338396</v>
      </c>
      <c r="AM3939">
        <v>88.391877582856097</v>
      </c>
      <c r="AN3939">
        <v>1.00000005628086</v>
      </c>
    </row>
    <row r="3940" spans="1:40" x14ac:dyDescent="0.25">
      <c r="A3940" t="str">
        <f>"20190312164549803"</f>
        <v>20190312164549803</v>
      </c>
      <c r="B3940" t="str">
        <f>"1552380349795444"</f>
        <v>1552380349795444</v>
      </c>
      <c r="C3940" t="s">
        <v>40</v>
      </c>
      <c r="D3940">
        <v>4.6511250000000004</v>
      </c>
      <c r="E3940">
        <v>0.47161530000000002</v>
      </c>
      <c r="F3940" t="s">
        <v>43</v>
      </c>
      <c r="G3940">
        <v>-533.52499999999998</v>
      </c>
      <c r="H3940">
        <v>-0.05</v>
      </c>
      <c r="I3940">
        <v>131.03319999999999</v>
      </c>
      <c r="J3940">
        <v>-342.7799</v>
      </c>
      <c r="K3940">
        <v>1.108776</v>
      </c>
      <c r="L3940">
        <v>141.3837</v>
      </c>
      <c r="M3940">
        <v>-0.99993019999999999</v>
      </c>
      <c r="N3940">
        <v>0</v>
      </c>
      <c r="O3940">
        <v>-1.2796280000000001E-3</v>
      </c>
      <c r="P3940">
        <v>-0.99159540000000002</v>
      </c>
      <c r="Q3940">
        <v>0.1266495</v>
      </c>
      <c r="R3940">
        <v>2.643264E-2</v>
      </c>
      <c r="S3940">
        <v>-3.0321660000000001</v>
      </c>
      <c r="T3940">
        <v>-1.8402809999999999E-2</v>
      </c>
      <c r="U3940">
        <v>-0.1643829</v>
      </c>
      <c r="V3940">
        <v>2.7706950000000001E-2</v>
      </c>
      <c r="W3940">
        <v>0.138291</v>
      </c>
      <c r="X3940">
        <v>0.990004</v>
      </c>
      <c r="Y3940">
        <v>-5.2854730000000003E-2</v>
      </c>
      <c r="Z3940">
        <v>-1.5251279999999999E-4</v>
      </c>
      <c r="AA3940">
        <v>0.9986022</v>
      </c>
      <c r="AB3940">
        <v>28</v>
      </c>
      <c r="AC3940">
        <v>-190.74510000000001</v>
      </c>
      <c r="AD3940">
        <v>-1.158776</v>
      </c>
      <c r="AE3940">
        <v>-10.3505</v>
      </c>
      <c r="AF3940">
        <v>-10.1060200418316</v>
      </c>
      <c r="AG3940">
        <v>-1.158776</v>
      </c>
      <c r="AH3940">
        <v>190.751170396829</v>
      </c>
      <c r="AI3940">
        <v>90.347568916659398</v>
      </c>
      <c r="AJ3940">
        <v>93.032701947974402</v>
      </c>
      <c r="AK3940">
        <v>191.02220659039699</v>
      </c>
      <c r="AL3940">
        <v>82.051034149714596</v>
      </c>
      <c r="AM3940">
        <v>88.396898373807801</v>
      </c>
      <c r="AN3940">
        <v>0.99999999788765104</v>
      </c>
    </row>
    <row r="3941" spans="1:40" x14ac:dyDescent="0.25">
      <c r="A3941" t="str">
        <f>"20190312164549816"</f>
        <v>20190312164549816</v>
      </c>
      <c r="B3941" t="str">
        <f>"1552380349805203"</f>
        <v>1552380349805203</v>
      </c>
      <c r="C3941" t="s">
        <v>40</v>
      </c>
      <c r="D3941">
        <v>4.7884650000000004</v>
      </c>
      <c r="E3941">
        <v>0.47113640000000001</v>
      </c>
      <c r="F3941" t="s">
        <v>43</v>
      </c>
      <c r="G3941">
        <v>-557.75400000000002</v>
      </c>
      <c r="H3941">
        <v>-0.05</v>
      </c>
      <c r="I3941">
        <v>129.41390000000001</v>
      </c>
      <c r="J3941">
        <v>-342.93790000000001</v>
      </c>
      <c r="K3941">
        <v>1.1087769999999999</v>
      </c>
      <c r="L3941">
        <v>141.3835</v>
      </c>
      <c r="M3941">
        <v>-0.99993010000000004</v>
      </c>
      <c r="N3941">
        <v>0</v>
      </c>
      <c r="O3941">
        <v>-1.279748E-3</v>
      </c>
      <c r="P3941">
        <v>-0.99163129999999999</v>
      </c>
      <c r="Q3941">
        <v>0.12636539999999999</v>
      </c>
      <c r="R3941">
        <v>2.644647E-2</v>
      </c>
      <c r="S3941">
        <v>-3.0320130000000001</v>
      </c>
      <c r="T3941">
        <v>-1.6343469999999999E-2</v>
      </c>
      <c r="U3941">
        <v>-0.16882320000000001</v>
      </c>
      <c r="V3941">
        <v>2.7721139999999998E-2</v>
      </c>
      <c r="W3941">
        <v>0.13800760000000001</v>
      </c>
      <c r="X3941">
        <v>0.99004320000000001</v>
      </c>
      <c r="Y3941">
        <v>-5.4315469999999998E-2</v>
      </c>
      <c r="Z3941">
        <v>-1.3938089999999999E-4</v>
      </c>
      <c r="AA3941">
        <v>0.99852379999999996</v>
      </c>
      <c r="AB3941">
        <v>28</v>
      </c>
      <c r="AC3941">
        <v>-214.81610000000001</v>
      </c>
      <c r="AD3941">
        <v>-1.1587769999999999</v>
      </c>
      <c r="AE3941">
        <v>-11.9695999999999</v>
      </c>
      <c r="AF3941">
        <v>-11.694321499796599</v>
      </c>
      <c r="AG3941">
        <v>-1.1587769999999999</v>
      </c>
      <c r="AH3941">
        <v>214.82501152474401</v>
      </c>
      <c r="AI3941">
        <v>90.308596451376303</v>
      </c>
      <c r="AJ3941">
        <v>93.115906243842602</v>
      </c>
      <c r="AK3941">
        <v>215.146195634696</v>
      </c>
      <c r="AL3941">
        <v>82.067429381494506</v>
      </c>
      <c r="AM3941">
        <v>88.396141253580794</v>
      </c>
      <c r="AN3941">
        <v>1.0000000485634399</v>
      </c>
    </row>
    <row r="3942" spans="1:40" x14ac:dyDescent="0.25">
      <c r="A3942" t="str">
        <f>"20190312164549829"</f>
        <v>20190312164549829</v>
      </c>
      <c r="B3942" t="str">
        <f>"1552380349825699"</f>
        <v>1552380349825699</v>
      </c>
      <c r="C3942" t="s">
        <v>40</v>
      </c>
      <c r="D3942">
        <v>4.727678</v>
      </c>
      <c r="E3942">
        <v>0.47019929999999899</v>
      </c>
      <c r="F3942" t="s">
        <v>76</v>
      </c>
      <c r="G3942">
        <v>-577.197</v>
      </c>
      <c r="H3942">
        <v>-0.1</v>
      </c>
      <c r="I3942">
        <v>128.0565</v>
      </c>
      <c r="J3942">
        <v>-343.09879999999998</v>
      </c>
      <c r="K3942">
        <v>1.108773</v>
      </c>
      <c r="L3942">
        <v>141.38329999999999</v>
      </c>
      <c r="M3942">
        <v>-0.99993019999999999</v>
      </c>
      <c r="N3942">
        <v>0</v>
      </c>
      <c r="O3942">
        <v>-1.2799860000000001E-3</v>
      </c>
      <c r="P3942">
        <v>-0.99162019999999995</v>
      </c>
      <c r="Q3942">
        <v>0.1264586</v>
      </c>
      <c r="R3942">
        <v>2.6414719999999999E-2</v>
      </c>
      <c r="S3942">
        <v>-3.0318909999999999</v>
      </c>
      <c r="T3942">
        <v>-1.564455E-2</v>
      </c>
      <c r="U3942">
        <v>-0.17248540000000001</v>
      </c>
      <c r="V3942">
        <v>2.7689399999999999E-2</v>
      </c>
      <c r="W3942">
        <v>0.13810020000000001</v>
      </c>
      <c r="X3942">
        <v>0.99003110000000005</v>
      </c>
      <c r="Y3942">
        <v>-5.5519739999999998E-2</v>
      </c>
      <c r="Z3942">
        <v>-1.3652449999999999E-4</v>
      </c>
      <c r="AA3942">
        <v>0.99845759999999995</v>
      </c>
      <c r="AB3942">
        <v>28</v>
      </c>
      <c r="AC3942">
        <v>-234.09819999999999</v>
      </c>
      <c r="AD3942">
        <v>-1.2087729999999901</v>
      </c>
      <c r="AE3942">
        <v>-13.326799999999899</v>
      </c>
      <c r="AF3942">
        <v>-13.0267797932636</v>
      </c>
      <c r="AG3942">
        <v>-1.2087729999999901</v>
      </c>
      <c r="AH3942">
        <v>234.10884584281601</v>
      </c>
      <c r="AI3942">
        <v>90.295375455648596</v>
      </c>
      <c r="AJ3942">
        <v>93.184888626529002</v>
      </c>
      <c r="AK3942">
        <v>234.47411333834501</v>
      </c>
      <c r="AL3942">
        <v>82.062071899535198</v>
      </c>
      <c r="AM3942">
        <v>88.397957104061305</v>
      </c>
      <c r="AN3942">
        <v>0.99999997353980397</v>
      </c>
    </row>
    <row r="3943" spans="1:40" x14ac:dyDescent="0.25">
      <c r="A3943" t="str">
        <f>"20190312164549844"</f>
        <v>20190312164549844</v>
      </c>
      <c r="B3943" t="str">
        <f>"1552380349835460"</f>
        <v>1552380349835460</v>
      </c>
      <c r="C3943" t="s">
        <v>40</v>
      </c>
      <c r="D3943">
        <v>4.7260540000000004</v>
      </c>
      <c r="E3943">
        <v>0.46978490000000001</v>
      </c>
      <c r="F3943" t="s">
        <v>76</v>
      </c>
      <c r="G3943">
        <v>-601.33000000000004</v>
      </c>
      <c r="H3943">
        <v>-0.1</v>
      </c>
      <c r="I3943">
        <v>126.0545</v>
      </c>
      <c r="J3943">
        <v>-343.29820000000001</v>
      </c>
      <c r="K3943">
        <v>1.108776</v>
      </c>
      <c r="L3943">
        <v>141.38310000000001</v>
      </c>
      <c r="M3943">
        <v>-0.99993019999999999</v>
      </c>
      <c r="N3943">
        <v>0</v>
      </c>
      <c r="O3943">
        <v>-1.2801049999999999E-3</v>
      </c>
      <c r="P3943">
        <v>-0.99162899999999998</v>
      </c>
      <c r="Q3943">
        <v>0.1263978</v>
      </c>
      <c r="R3943">
        <v>2.6374539999999998E-2</v>
      </c>
      <c r="S3943">
        <v>-3.0319210000000001</v>
      </c>
      <c r="T3943">
        <v>-1.4192339999999999E-2</v>
      </c>
      <c r="U3943">
        <v>-0.17997739999999901</v>
      </c>
      <c r="V3943">
        <v>2.764931E-2</v>
      </c>
      <c r="W3943">
        <v>0.13803979999999999</v>
      </c>
      <c r="X3943">
        <v>0.9900407</v>
      </c>
      <c r="Y3943">
        <v>-5.7977939999999999E-2</v>
      </c>
      <c r="Z3943">
        <v>-1.2958929999999999E-4</v>
      </c>
      <c r="AA3943">
        <v>0.99831780000000003</v>
      </c>
      <c r="AB3943">
        <v>28</v>
      </c>
      <c r="AC3943">
        <v>-258.03179999999998</v>
      </c>
      <c r="AD3943">
        <v>-1.2087760000000001</v>
      </c>
      <c r="AE3943">
        <v>-15.3286</v>
      </c>
      <c r="AF3943">
        <v>-14.9979288758956</v>
      </c>
      <c r="AG3943">
        <v>-1.2087760000000001</v>
      </c>
      <c r="AH3943">
        <v>258.04556910679997</v>
      </c>
      <c r="AI3943">
        <v>90.2679394025416</v>
      </c>
      <c r="AJ3943">
        <v>93.326359645840796</v>
      </c>
      <c r="AK3943">
        <v>258.48387714833802</v>
      </c>
      <c r="AL3943">
        <v>82.065566474252094</v>
      </c>
      <c r="AM3943">
        <v>88.400290913854306</v>
      </c>
      <c r="AN3943">
        <v>1.0000000291919999</v>
      </c>
    </row>
    <row r="3944" spans="1:40" x14ac:dyDescent="0.25">
      <c r="A3944" t="str">
        <f>"20190312164549859"</f>
        <v>20190312164549859</v>
      </c>
      <c r="B3944" t="str">
        <f>"1552380349855955"</f>
        <v>1552380349855955</v>
      </c>
      <c r="C3944" t="s">
        <v>40</v>
      </c>
      <c r="D3944">
        <v>4.6567319999999999</v>
      </c>
      <c r="E3944">
        <v>0.46889180000000003</v>
      </c>
      <c r="F3944" t="s">
        <v>76</v>
      </c>
      <c r="G3944">
        <v>-623.04369999999994</v>
      </c>
      <c r="H3944">
        <v>-0.1</v>
      </c>
      <c r="I3944">
        <v>124.4671</v>
      </c>
      <c r="J3944">
        <v>-343.47840000000002</v>
      </c>
      <c r="K3944">
        <v>1.1087769999999999</v>
      </c>
      <c r="L3944">
        <v>141.38290000000001</v>
      </c>
      <c r="M3944">
        <v>-0.99993010000000004</v>
      </c>
      <c r="N3944">
        <v>0</v>
      </c>
      <c r="O3944">
        <v>-1.280343E-3</v>
      </c>
      <c r="P3944">
        <v>-0.99166659999999995</v>
      </c>
      <c r="Q3944">
        <v>0.1261205</v>
      </c>
      <c r="R3944">
        <v>2.628991E-2</v>
      </c>
      <c r="S3944">
        <v>-3.03186</v>
      </c>
      <c r="T3944">
        <v>-1.310062E-2</v>
      </c>
      <c r="U3944">
        <v>-0.18333440000000001</v>
      </c>
      <c r="V3944">
        <v>2.756492E-2</v>
      </c>
      <c r="W3944">
        <v>0.137763</v>
      </c>
      <c r="X3944">
        <v>0.99008160000000001</v>
      </c>
      <c r="Y3944">
        <v>-5.908033E-2</v>
      </c>
      <c r="Z3944">
        <v>-1.219979E-4</v>
      </c>
      <c r="AA3944">
        <v>0.99825319999999995</v>
      </c>
      <c r="AB3944">
        <v>28</v>
      </c>
      <c r="AC3944">
        <v>-279.56529999999901</v>
      </c>
      <c r="AD3944">
        <v>-1.208777</v>
      </c>
      <c r="AE3944">
        <v>-16.915800000000001</v>
      </c>
      <c r="AF3944">
        <v>-16.5575135162225</v>
      </c>
      <c r="AG3944">
        <v>-1.208777</v>
      </c>
      <c r="AH3944">
        <v>279.58152263314099</v>
      </c>
      <c r="AI3944">
        <v>90.247284781233304</v>
      </c>
      <c r="AJ3944">
        <v>93.3892399799158</v>
      </c>
      <c r="AK3944">
        <v>280.07399056953</v>
      </c>
      <c r="AL3944">
        <v>82.081578870464696</v>
      </c>
      <c r="AM3944">
        <v>88.405236797607202</v>
      </c>
      <c r="AN3944">
        <v>1.0000000218210801</v>
      </c>
    </row>
    <row r="3945" spans="1:40" x14ac:dyDescent="0.25">
      <c r="A3945" t="str">
        <f>"20190312164549873"</f>
        <v>20190312164549873</v>
      </c>
      <c r="B3945" t="str">
        <f>"1552380349865715"</f>
        <v>1552380349865715</v>
      </c>
      <c r="C3945" t="s">
        <v>40</v>
      </c>
      <c r="D3945">
        <v>4.7838279999999997</v>
      </c>
      <c r="E3945">
        <v>0.46855219999999997</v>
      </c>
      <c r="F3945" t="s">
        <v>76</v>
      </c>
      <c r="G3945">
        <v>-626.09429999999998</v>
      </c>
      <c r="H3945">
        <v>-0.1</v>
      </c>
      <c r="I3945">
        <v>123.61499999999999</v>
      </c>
      <c r="J3945">
        <v>-343.66050000000001</v>
      </c>
      <c r="K3945">
        <v>1.1087769999999999</v>
      </c>
      <c r="L3945">
        <v>141.3826</v>
      </c>
      <c r="M3945">
        <v>-0.99993010000000004</v>
      </c>
      <c r="N3945">
        <v>0</v>
      </c>
      <c r="O3945">
        <v>-1.280343E-3</v>
      </c>
      <c r="P3945">
        <v>-0.99166310000000002</v>
      </c>
      <c r="Q3945">
        <v>0.12611240000000001</v>
      </c>
      <c r="R3945">
        <v>2.6459010000000002E-2</v>
      </c>
      <c r="S3945">
        <v>-3.0318909999999999</v>
      </c>
      <c r="T3945">
        <v>-1.296771E-2</v>
      </c>
      <c r="U3945">
        <v>-0.1906128</v>
      </c>
      <c r="V3945">
        <v>2.7734160000000001E-2</v>
      </c>
      <c r="W3945">
        <v>0.1377545</v>
      </c>
      <c r="X3945">
        <v>0.99007800000000001</v>
      </c>
      <c r="Y3945">
        <v>-6.1466890000000003E-2</v>
      </c>
      <c r="Z3945">
        <v>-1.2584879999999999E-4</v>
      </c>
      <c r="AA3945">
        <v>0.99810909999999997</v>
      </c>
      <c r="AB3945">
        <v>28</v>
      </c>
      <c r="AC3945">
        <v>-282.43380000000002</v>
      </c>
      <c r="AD3945">
        <v>-1.208777</v>
      </c>
      <c r="AE3945">
        <v>-17.767600000000002</v>
      </c>
      <c r="AF3945">
        <v>-17.405630748559101</v>
      </c>
      <c r="AG3945">
        <v>-1.208777</v>
      </c>
      <c r="AH3945">
        <v>282.45116534853702</v>
      </c>
      <c r="AI3945">
        <v>90.244737073554205</v>
      </c>
      <c r="AJ3945">
        <v>93.526307589652802</v>
      </c>
      <c r="AK3945">
        <v>282.98953678597002</v>
      </c>
      <c r="AL3945">
        <v>82.082070127677596</v>
      </c>
      <c r="AM3945">
        <v>88.395444721301004</v>
      </c>
      <c r="AN3945">
        <v>0.99999996599257701</v>
      </c>
    </row>
    <row r="3946" spans="1:40" x14ac:dyDescent="0.25">
      <c r="A3946" t="str">
        <f>"20190312164549891"</f>
        <v>20190312164549891</v>
      </c>
      <c r="B3946" t="str">
        <f>"1552380349885235"</f>
        <v>1552380349885235</v>
      </c>
      <c r="C3946" t="s">
        <v>40</v>
      </c>
      <c r="D3946">
        <v>4.8818859999999997</v>
      </c>
      <c r="E3946">
        <v>0.46790419999999999</v>
      </c>
      <c r="F3946" t="s">
        <v>76</v>
      </c>
      <c r="G3946">
        <v>-651.20370000000003</v>
      </c>
      <c r="H3946">
        <v>-0.1</v>
      </c>
      <c r="I3946">
        <v>121.8309</v>
      </c>
      <c r="J3946">
        <v>-343.87299999999999</v>
      </c>
      <c r="K3946">
        <v>1.1087769999999999</v>
      </c>
      <c r="L3946">
        <v>141.38239999999999</v>
      </c>
      <c r="M3946">
        <v>-0.99993030000000005</v>
      </c>
      <c r="N3946">
        <v>0</v>
      </c>
      <c r="O3946">
        <v>-1.280581E-3</v>
      </c>
      <c r="P3946">
        <v>-0.99164019999999997</v>
      </c>
      <c r="Q3946">
        <v>0.1262585</v>
      </c>
      <c r="R3946">
        <v>2.6629460000000001E-2</v>
      </c>
      <c r="S3946">
        <v>-3.0318909999999999</v>
      </c>
      <c r="T3946">
        <v>-1.1916639999999999E-2</v>
      </c>
      <c r="U3946">
        <v>-0.192749</v>
      </c>
      <c r="V3946">
        <v>2.7904869999999998E-2</v>
      </c>
      <c r="W3946">
        <v>0.13790039999999901</v>
      </c>
      <c r="X3946">
        <v>0.99005290000000001</v>
      </c>
      <c r="Y3946">
        <v>-6.2167170000000001E-2</v>
      </c>
      <c r="Z3946">
        <v>-1.170198E-4</v>
      </c>
      <c r="AA3946">
        <v>0.9980658</v>
      </c>
      <c r="AB3946">
        <v>28</v>
      </c>
      <c r="AC3946">
        <v>-307.33069999999998</v>
      </c>
      <c r="AD3946">
        <v>-1.208777</v>
      </c>
      <c r="AE3946">
        <v>-19.551499999999901</v>
      </c>
      <c r="AF3946">
        <v>-19.157599834327002</v>
      </c>
      <c r="AG3946">
        <v>-1.208777</v>
      </c>
      <c r="AH3946">
        <v>307.35075153184698</v>
      </c>
      <c r="AI3946">
        <v>90.224900429129605</v>
      </c>
      <c r="AJ3946">
        <v>93.566711273577198</v>
      </c>
      <c r="AK3946">
        <v>307.949605033745</v>
      </c>
      <c r="AL3946">
        <v>82.073630183352705</v>
      </c>
      <c r="AM3946">
        <v>88.385532625426606</v>
      </c>
      <c r="AN3946">
        <v>0.99999997344414304</v>
      </c>
    </row>
    <row r="3947" spans="1:40" x14ac:dyDescent="0.25">
      <c r="A3947" t="str">
        <f>"20190312164549913"</f>
        <v>20190312164549913</v>
      </c>
      <c r="B3947" t="str">
        <f>"1552380349905731"</f>
        <v>1552380349905731</v>
      </c>
      <c r="C3947" t="s">
        <v>40</v>
      </c>
      <c r="D3947">
        <v>4.7197300000000002</v>
      </c>
      <c r="E3947">
        <v>0.4671998</v>
      </c>
      <c r="F3947" t="s">
        <v>76</v>
      </c>
      <c r="G3947">
        <v>-721.01289999999995</v>
      </c>
      <c r="H3947">
        <v>-0.1</v>
      </c>
      <c r="I3947">
        <v>116.8497</v>
      </c>
      <c r="J3947">
        <v>-344.16250000000002</v>
      </c>
      <c r="K3947">
        <v>1.108776</v>
      </c>
      <c r="L3947">
        <v>141.38200000000001</v>
      </c>
      <c r="M3947">
        <v>-0.99993010000000004</v>
      </c>
      <c r="N3947">
        <v>0</v>
      </c>
      <c r="O3947">
        <v>-1.280581E-3</v>
      </c>
      <c r="P3947">
        <v>-0.99166350000000003</v>
      </c>
      <c r="Q3947">
        <v>0.12609400000000001</v>
      </c>
      <c r="R3947">
        <v>2.6529259999999999E-2</v>
      </c>
      <c r="S3947">
        <v>-3.03186</v>
      </c>
      <c r="T3947">
        <v>-9.7174640000000003E-3</v>
      </c>
      <c r="U3947">
        <v>-0.1972198</v>
      </c>
      <c r="V3947">
        <v>2.7804559999999999E-2</v>
      </c>
      <c r="W3947">
        <v>0.137737</v>
      </c>
      <c r="X3947">
        <v>0.99007849999999997</v>
      </c>
      <c r="Y3947">
        <v>-6.3633579999999995E-2</v>
      </c>
      <c r="Z3947" s="1">
        <v>-9.7768299999999997E-5</v>
      </c>
      <c r="AA3947">
        <v>0.99797329999999995</v>
      </c>
      <c r="AB3947">
        <v>28</v>
      </c>
      <c r="AC3947">
        <v>-376.85039999999901</v>
      </c>
      <c r="AD3947">
        <v>-1.2087760000000001</v>
      </c>
      <c r="AE3947">
        <v>-24.532299999999999</v>
      </c>
      <c r="AF3947">
        <v>-24.0494126914069</v>
      </c>
      <c r="AG3947">
        <v>-1.2087760000000001</v>
      </c>
      <c r="AH3947">
        <v>376.87764757109102</v>
      </c>
      <c r="AI3947">
        <v>90.183393596898696</v>
      </c>
      <c r="AJ3947">
        <v>93.651222353556705</v>
      </c>
      <c r="AK3947">
        <v>377.64612619347702</v>
      </c>
      <c r="AL3947">
        <v>82.083082768066305</v>
      </c>
      <c r="AM3947">
        <v>88.391374690103802</v>
      </c>
      <c r="AN3947">
        <v>1.0000000054440199</v>
      </c>
    </row>
    <row r="3948" spans="1:40" x14ac:dyDescent="0.25">
      <c r="A3948" t="str">
        <f>"20190312164549927"</f>
        <v>20190312164549927</v>
      </c>
      <c r="B3948" t="str">
        <f>"1552380349915491"</f>
        <v>1552380349915491</v>
      </c>
      <c r="C3948" t="s">
        <v>40</v>
      </c>
      <c r="D3948">
        <v>4.787884</v>
      </c>
      <c r="E3948">
        <v>0.46688879999999999</v>
      </c>
      <c r="F3948" t="s">
        <v>76</v>
      </c>
      <c r="G3948">
        <v>-714.66</v>
      </c>
      <c r="H3948">
        <v>-0.1</v>
      </c>
      <c r="I3948">
        <v>116.5641</v>
      </c>
      <c r="J3948">
        <v>-344.34059999999999</v>
      </c>
      <c r="K3948">
        <v>1.1087750000000001</v>
      </c>
      <c r="L3948">
        <v>141.3818</v>
      </c>
      <c r="M3948">
        <v>-0.99993010000000004</v>
      </c>
      <c r="N3948">
        <v>0</v>
      </c>
      <c r="O3948">
        <v>-1.28082E-3</v>
      </c>
      <c r="P3948">
        <v>-0.99169339999999995</v>
      </c>
      <c r="Q3948">
        <v>0.12584970000000001</v>
      </c>
      <c r="R3948">
        <v>2.656963E-2</v>
      </c>
      <c r="S3948">
        <v>-3.0319210000000001</v>
      </c>
      <c r="T3948">
        <v>-9.8918679999999998E-3</v>
      </c>
      <c r="U3948">
        <v>-0.20309450000000001</v>
      </c>
      <c r="V3948">
        <v>2.7845040000000001E-2</v>
      </c>
      <c r="W3948">
        <v>0.13749229999999901</v>
      </c>
      <c r="X3948">
        <v>0.99011139999999997</v>
      </c>
      <c r="Y3948">
        <v>-6.5557190000000001E-2</v>
      </c>
      <c r="Z3948">
        <v>-1.026483E-4</v>
      </c>
      <c r="AA3948">
        <v>0.99784879999999998</v>
      </c>
      <c r="AB3948">
        <v>28</v>
      </c>
      <c r="AC3948">
        <v>-370.31939999999997</v>
      </c>
      <c r="AD3948">
        <v>-1.2087749999999999</v>
      </c>
      <c r="AE3948">
        <v>-24.817699999999999</v>
      </c>
      <c r="AF3948">
        <v>-24.343076172353701</v>
      </c>
      <c r="AG3948">
        <v>-1.2087749999999999</v>
      </c>
      <c r="AH3948">
        <v>370.34695714236602</v>
      </c>
      <c r="AI3948">
        <v>90.186604289657097</v>
      </c>
      <c r="AJ3948">
        <v>93.760668237893299</v>
      </c>
      <c r="AK3948">
        <v>371.14810407591102</v>
      </c>
      <c r="AL3948">
        <v>82.097237925777193</v>
      </c>
      <c r="AM3948">
        <v>88.389087465744197</v>
      </c>
      <c r="AN3948">
        <v>1.0000000316109201</v>
      </c>
    </row>
    <row r="3949" spans="1:40" x14ac:dyDescent="0.25">
      <c r="A3949" t="str">
        <f>"20190312164549939"</f>
        <v>20190312164549939</v>
      </c>
      <c r="B3949" t="str">
        <f>"1552380349935987"</f>
        <v>1552380349935987</v>
      </c>
      <c r="C3949" t="s">
        <v>40</v>
      </c>
      <c r="D3949">
        <v>4.6161919999999999</v>
      </c>
      <c r="E3949">
        <v>0.46632669999999998</v>
      </c>
      <c r="F3949" t="s">
        <v>76</v>
      </c>
      <c r="G3949">
        <v>-659.90099999999995</v>
      </c>
      <c r="H3949">
        <v>-0.1</v>
      </c>
      <c r="I3949">
        <v>119.9974</v>
      </c>
      <c r="J3949">
        <v>-344.49560000000002</v>
      </c>
      <c r="K3949">
        <v>1.108768</v>
      </c>
      <c r="L3949">
        <v>141.38159999999999</v>
      </c>
      <c r="M3949">
        <v>-0.99993019999999999</v>
      </c>
      <c r="N3949">
        <v>0</v>
      </c>
      <c r="O3949">
        <v>-1.280939E-3</v>
      </c>
      <c r="P3949">
        <v>-0.99168469999999997</v>
      </c>
      <c r="Q3949">
        <v>0.12594520000000001</v>
      </c>
      <c r="R3949">
        <v>2.6450870000000001E-2</v>
      </c>
      <c r="S3949">
        <v>-3.0321039999999999</v>
      </c>
      <c r="T3949">
        <v>-1.161468E-2</v>
      </c>
      <c r="U3949">
        <v>-0.20547489999999999</v>
      </c>
      <c r="V3949">
        <v>2.772674E-2</v>
      </c>
      <c r="W3949">
        <v>0.13758819999999999</v>
      </c>
      <c r="X3949">
        <v>0.99010129999999996</v>
      </c>
      <c r="Y3949">
        <v>-6.6332710000000003E-2</v>
      </c>
      <c r="Z3949">
        <v>-1.2199859999999999E-4</v>
      </c>
      <c r="AA3949">
        <v>0.9977975</v>
      </c>
      <c r="AB3949">
        <v>28</v>
      </c>
      <c r="AC3949">
        <v>-315.40539999999999</v>
      </c>
      <c r="AD3949">
        <v>-1.2087680000000001</v>
      </c>
      <c r="AE3949">
        <v>-21.3842</v>
      </c>
      <c r="AF3949">
        <v>-20.979832774375101</v>
      </c>
      <c r="AG3949">
        <v>-1.2087680000000001</v>
      </c>
      <c r="AH3949">
        <v>315.42792330338801</v>
      </c>
      <c r="AI3949">
        <v>90.219081052060503</v>
      </c>
      <c r="AJ3949">
        <v>93.805268617598699</v>
      </c>
      <c r="AK3949">
        <v>316.12717267391997</v>
      </c>
      <c r="AL3949">
        <v>82.091689767033003</v>
      </c>
      <c r="AM3949">
        <v>88.395911509953095</v>
      </c>
      <c r="AN3949">
        <v>0.99999993457597602</v>
      </c>
    </row>
    <row r="3950" spans="1:40" x14ac:dyDescent="0.25">
      <c r="A3950" t="str">
        <f>"20190312164549952"</f>
        <v>20190312164549952</v>
      </c>
      <c r="B3950" t="str">
        <f>"1552380349945747"</f>
        <v>1552380349945747</v>
      </c>
      <c r="C3950" t="s">
        <v>40</v>
      </c>
      <c r="D3950">
        <v>4.6610230000000001</v>
      </c>
      <c r="E3950">
        <v>0.4660416</v>
      </c>
      <c r="F3950" t="s">
        <v>76</v>
      </c>
      <c r="G3950">
        <v>-696.85209999999995</v>
      </c>
      <c r="H3950">
        <v>-0.1</v>
      </c>
      <c r="I3950">
        <v>116.95189999999999</v>
      </c>
      <c r="J3950">
        <v>-344.65280000000001</v>
      </c>
      <c r="K3950">
        <v>1.108768</v>
      </c>
      <c r="L3950">
        <v>141.38140000000001</v>
      </c>
      <c r="M3950">
        <v>-0.99993010000000004</v>
      </c>
      <c r="N3950">
        <v>0</v>
      </c>
      <c r="O3950">
        <v>-1.2809399999999999E-3</v>
      </c>
      <c r="P3950">
        <v>-0.99170860000000005</v>
      </c>
      <c r="Q3950">
        <v>0.12578039999999999</v>
      </c>
      <c r="R3950">
        <v>2.6334610000000001E-2</v>
      </c>
      <c r="S3950">
        <v>-3.0320740000000002</v>
      </c>
      <c r="T3950">
        <v>-1.040161E-2</v>
      </c>
      <c r="U3950">
        <v>-0.2102203</v>
      </c>
      <c r="V3950">
        <v>2.7610510000000001E-2</v>
      </c>
      <c r="W3950">
        <v>0.1374234</v>
      </c>
      <c r="X3950">
        <v>0.99012750000000005</v>
      </c>
      <c r="Y3950">
        <v>-6.7887749999999997E-2</v>
      </c>
      <c r="Z3950">
        <v>-1.119161E-4</v>
      </c>
      <c r="AA3950">
        <v>0.99769289999999999</v>
      </c>
      <c r="AB3950">
        <v>28</v>
      </c>
      <c r="AC3950">
        <v>-352.19929999999903</v>
      </c>
      <c r="AD3950">
        <v>-1.2087680000000001</v>
      </c>
      <c r="AE3950">
        <v>-24.429500000000001</v>
      </c>
      <c r="AF3950">
        <v>-23.978021531612502</v>
      </c>
      <c r="AG3950">
        <v>-1.2087680000000001</v>
      </c>
      <c r="AH3950">
        <v>352.22617688836999</v>
      </c>
      <c r="AI3950">
        <v>90.196172560909801</v>
      </c>
      <c r="AJ3950">
        <v>93.894438143964607</v>
      </c>
      <c r="AK3950">
        <v>353.043462369785</v>
      </c>
      <c r="AL3950">
        <v>82.101223175186504</v>
      </c>
      <c r="AM3950">
        <v>88.402674575619301</v>
      </c>
      <c r="AN3950">
        <v>0.99999999869313505</v>
      </c>
    </row>
    <row r="3951" spans="1:40" x14ac:dyDescent="0.25">
      <c r="A3951" t="str">
        <f>"20190312164549967"</f>
        <v>20190312164549967</v>
      </c>
      <c r="B3951" t="str">
        <f>"1552380349955508"</f>
        <v>1552380349955508</v>
      </c>
      <c r="C3951" t="s">
        <v>40</v>
      </c>
      <c r="D3951">
        <v>4.8387419999999999</v>
      </c>
      <c r="E3951">
        <v>0.46576909999999999</v>
      </c>
      <c r="F3951" t="s">
        <v>76</v>
      </c>
      <c r="G3951">
        <v>-695.53340000000003</v>
      </c>
      <c r="H3951">
        <v>-0.1</v>
      </c>
      <c r="I3951">
        <v>116.7556</v>
      </c>
      <c r="J3951">
        <v>-344.85050000000001</v>
      </c>
      <c r="K3951">
        <v>1.1087689999999999</v>
      </c>
      <c r="L3951">
        <v>141.3811</v>
      </c>
      <c r="M3951">
        <v>-0.99993010000000004</v>
      </c>
      <c r="N3951">
        <v>0</v>
      </c>
      <c r="O3951">
        <v>-1.280942E-3</v>
      </c>
      <c r="P3951">
        <v>-0.99169339999999995</v>
      </c>
      <c r="Q3951">
        <v>0.1259604</v>
      </c>
      <c r="R3951">
        <v>2.6047520000000001E-2</v>
      </c>
      <c r="S3951">
        <v>-3.0320740000000002</v>
      </c>
      <c r="T3951">
        <v>-1.0445360000000001E-2</v>
      </c>
      <c r="U3951">
        <v>-0.21279909999999999</v>
      </c>
      <c r="V3951">
        <v>2.7323420000000001E-2</v>
      </c>
      <c r="W3951">
        <v>0.13760339999999999</v>
      </c>
      <c r="X3951">
        <v>0.9901105</v>
      </c>
      <c r="Y3951">
        <v>-6.8732130000000002E-2</v>
      </c>
      <c r="Z3951">
        <v>-1.1383610000000001E-4</v>
      </c>
      <c r="AA3951">
        <v>0.9976351</v>
      </c>
      <c r="AB3951">
        <v>28</v>
      </c>
      <c r="AC3951">
        <v>-350.68290000000002</v>
      </c>
      <c r="AD3951">
        <v>-1.208769</v>
      </c>
      <c r="AE3951">
        <v>-24.625499999999999</v>
      </c>
      <c r="AF3951">
        <v>-24.175958477945802</v>
      </c>
      <c r="AG3951">
        <v>-1.208769</v>
      </c>
      <c r="AH3951">
        <v>350.71001189182601</v>
      </c>
      <c r="AI3951">
        <v>90.197009261647196</v>
      </c>
      <c r="AJ3951">
        <v>93.943407588873697</v>
      </c>
      <c r="AK3951">
        <v>351.544379178486</v>
      </c>
      <c r="AL3951">
        <v>82.090811296164205</v>
      </c>
      <c r="AM3951">
        <v>88.419247731476901</v>
      </c>
      <c r="AN3951">
        <v>1.0000000335911501</v>
      </c>
    </row>
    <row r="3952" spans="1:40" x14ac:dyDescent="0.25">
      <c r="A3952" t="str">
        <f>"20190312164549983"</f>
        <v>20190312164549983</v>
      </c>
      <c r="B3952" t="str">
        <f>"1552380349976004"</f>
        <v>1552380349976004</v>
      </c>
      <c r="C3952" t="s">
        <v>40</v>
      </c>
      <c r="D3952">
        <v>4.7806709999999999</v>
      </c>
      <c r="E3952">
        <v>0.4651766</v>
      </c>
      <c r="F3952" t="s">
        <v>76</v>
      </c>
      <c r="G3952">
        <v>-741.15060000000005</v>
      </c>
      <c r="H3952">
        <v>-0.1</v>
      </c>
      <c r="I3952">
        <v>113.1785</v>
      </c>
      <c r="J3952">
        <v>-345.04910000000001</v>
      </c>
      <c r="K3952">
        <v>1.1087689999999999</v>
      </c>
      <c r="L3952">
        <v>141.38079999999999</v>
      </c>
      <c r="M3952">
        <v>-0.99993019999999999</v>
      </c>
      <c r="N3952">
        <v>0</v>
      </c>
      <c r="O3952">
        <v>-1.2812979999999999E-3</v>
      </c>
      <c r="P3952">
        <v>-0.99171699999999996</v>
      </c>
      <c r="Q3952">
        <v>0.1258126</v>
      </c>
      <c r="R3952">
        <v>2.5861100000000001E-2</v>
      </c>
      <c r="S3952">
        <v>-3.0320429999999998</v>
      </c>
      <c r="T3952">
        <v>-9.248137E-3</v>
      </c>
      <c r="U3952">
        <v>-0.21577450000000001</v>
      </c>
      <c r="V3952">
        <v>2.7137100000000001E-2</v>
      </c>
      <c r="W3952">
        <v>0.13745599999999999</v>
      </c>
      <c r="X3952">
        <v>0.99013609999999996</v>
      </c>
      <c r="Y3952">
        <v>-6.9706690000000002E-2</v>
      </c>
      <c r="Z3952">
        <v>-1.0226939999999999E-4</v>
      </c>
      <c r="AA3952">
        <v>0.99756750000000005</v>
      </c>
      <c r="AB3952">
        <v>28</v>
      </c>
      <c r="AC3952">
        <v>-396.10149999999999</v>
      </c>
      <c r="AD3952">
        <v>-1.208769</v>
      </c>
      <c r="AE3952">
        <v>-28.202299999999902</v>
      </c>
      <c r="AF3952">
        <v>-27.694461167690299</v>
      </c>
      <c r="AG3952">
        <v>-1.208769</v>
      </c>
      <c r="AH3952">
        <v>396.13364240341201</v>
      </c>
      <c r="AI3952">
        <v>90.174407082575399</v>
      </c>
      <c r="AJ3952">
        <v>93.999150567323696</v>
      </c>
      <c r="AK3952">
        <v>397.10238849150602</v>
      </c>
      <c r="AL3952">
        <v>82.099337728662604</v>
      </c>
      <c r="AM3952">
        <v>88.430062131945405</v>
      </c>
      <c r="AN3952">
        <v>1.0000000353278</v>
      </c>
    </row>
    <row r="3953" spans="1:40" x14ac:dyDescent="0.25">
      <c r="A3953" t="str">
        <f>"20190312164549998"</f>
        <v>20190312164549998</v>
      </c>
      <c r="B3953" t="str">
        <f>"1552380349985763"</f>
        <v>1552380349985763</v>
      </c>
      <c r="C3953" t="s">
        <v>40</v>
      </c>
      <c r="D3953">
        <v>4.609038</v>
      </c>
      <c r="E3953">
        <v>0.46492709999999998</v>
      </c>
      <c r="F3953" t="s">
        <v>76</v>
      </c>
      <c r="G3953">
        <v>-750.55240000000003</v>
      </c>
      <c r="H3953">
        <v>-0.1</v>
      </c>
      <c r="I3953">
        <v>111.8245</v>
      </c>
      <c r="J3953">
        <v>-345.23149999999998</v>
      </c>
      <c r="K3953">
        <v>1.10877</v>
      </c>
      <c r="L3953">
        <v>141.38059999999999</v>
      </c>
      <c r="M3953">
        <v>-0.99993010000000004</v>
      </c>
      <c r="N3953">
        <v>0</v>
      </c>
      <c r="O3953">
        <v>-1.2812989999999901E-3</v>
      </c>
      <c r="P3953">
        <v>-0.99172769999999999</v>
      </c>
      <c r="Q3953">
        <v>0.1257839</v>
      </c>
      <c r="R3953">
        <v>2.5587769999999999E-2</v>
      </c>
      <c r="S3953">
        <v>-3.031952</v>
      </c>
      <c r="T3953">
        <v>-9.0379710000000005E-3</v>
      </c>
      <c r="U3953">
        <v>-0.22099299999999999</v>
      </c>
      <c r="V3953">
        <v>2.68639E-2</v>
      </c>
      <c r="W3953">
        <v>0.13742760000000001</v>
      </c>
      <c r="X3953">
        <v>0.99014749999999996</v>
      </c>
      <c r="Y3953">
        <v>-7.1416830000000001E-2</v>
      </c>
      <c r="Z3953">
        <v>-1.024877E-4</v>
      </c>
      <c r="AA3953">
        <v>0.99744650000000001</v>
      </c>
      <c r="AB3953">
        <v>28</v>
      </c>
      <c r="AC3953">
        <v>-405.32089999999999</v>
      </c>
      <c r="AD3953">
        <v>-1.2087699999999999</v>
      </c>
      <c r="AE3953">
        <v>-29.556099999999901</v>
      </c>
      <c r="AF3953">
        <v>-29.036445713842198</v>
      </c>
      <c r="AG3953">
        <v>-1.2087699999999999</v>
      </c>
      <c r="AH3953">
        <v>405.35485396536097</v>
      </c>
      <c r="AI3953">
        <v>90.170419103673694</v>
      </c>
      <c r="AJ3953">
        <v>94.097222441116699</v>
      </c>
      <c r="AK3953">
        <v>406.39529271127799</v>
      </c>
      <c r="AL3953">
        <v>82.100980580550598</v>
      </c>
      <c r="AM3953">
        <v>88.445877416036396</v>
      </c>
      <c r="AN3953">
        <v>1.0000000430606</v>
      </c>
    </row>
    <row r="3954" spans="1:40" x14ac:dyDescent="0.25">
      <c r="A3954" t="str">
        <f>"20190312164550014"</f>
        <v>20190312164550014</v>
      </c>
      <c r="B3954" t="str">
        <f>"1552380350005283"</f>
        <v>1552380350005283</v>
      </c>
      <c r="C3954" t="s">
        <v>40</v>
      </c>
      <c r="D3954">
        <v>4.7546179999999998</v>
      </c>
      <c r="E3954">
        <v>0.46506910000000001</v>
      </c>
      <c r="F3954" t="s">
        <v>76</v>
      </c>
      <c r="G3954">
        <v>-772.45</v>
      </c>
      <c r="H3954">
        <v>-0.1</v>
      </c>
      <c r="I3954">
        <v>109.85599999999999</v>
      </c>
      <c r="J3954">
        <v>-345.43430000000001</v>
      </c>
      <c r="K3954">
        <v>1.108768</v>
      </c>
      <c r="L3954">
        <v>141.38040000000001</v>
      </c>
      <c r="M3954">
        <v>-0.99993030000000005</v>
      </c>
      <c r="N3954">
        <v>0</v>
      </c>
      <c r="O3954">
        <v>-1.2814199999999999E-3</v>
      </c>
      <c r="P3954">
        <v>-0.99177919999999997</v>
      </c>
      <c r="Q3954">
        <v>0.12544839999999999</v>
      </c>
      <c r="R3954">
        <v>2.5245360000000001E-2</v>
      </c>
      <c r="S3954">
        <v>-3.0318909999999999</v>
      </c>
      <c r="T3954">
        <v>-8.5784199999999998E-3</v>
      </c>
      <c r="U3954">
        <v>-0.22372439999999999</v>
      </c>
      <c r="V3954">
        <v>2.6521739999999999E-2</v>
      </c>
      <c r="W3954">
        <v>0.13709279999999999</v>
      </c>
      <c r="X3954">
        <v>0.9902031</v>
      </c>
      <c r="Y3954">
        <v>-7.2311929999999996E-2</v>
      </c>
      <c r="Z3954" s="1">
        <v>-9.8539549999999997E-5</v>
      </c>
      <c r="AA3954">
        <v>0.99738199999999999</v>
      </c>
      <c r="AB3954">
        <v>28</v>
      </c>
      <c r="AC3954">
        <v>-427.01569999999998</v>
      </c>
      <c r="AD3954">
        <v>-1.2087680000000001</v>
      </c>
      <c r="AE3954">
        <v>-31.5244</v>
      </c>
      <c r="AF3954">
        <v>-30.976903089608399</v>
      </c>
      <c r="AG3954">
        <v>-1.2087680000000001</v>
      </c>
      <c r="AH3954">
        <v>427.05234469746699</v>
      </c>
      <c r="AI3954">
        <v>90.1617498126448</v>
      </c>
      <c r="AJ3954">
        <v>94.148771942697095</v>
      </c>
      <c r="AK3954">
        <v>428.17605579563298</v>
      </c>
      <c r="AL3954">
        <v>82.120346233691905</v>
      </c>
      <c r="AM3954">
        <v>88.465748546448395</v>
      </c>
      <c r="AN3954">
        <v>1.00000000887703</v>
      </c>
    </row>
    <row r="3955" spans="1:40" x14ac:dyDescent="0.25">
      <c r="A3955" t="str">
        <f>"20190312164550026"</f>
        <v>20190312164550026</v>
      </c>
      <c r="B3955" t="str">
        <f>"1552380350016019"</f>
        <v>1552380350016019</v>
      </c>
      <c r="C3955" t="s">
        <v>40</v>
      </c>
      <c r="D3955">
        <v>4.6386379999999896</v>
      </c>
      <c r="E3955">
        <v>0.46536139999999998</v>
      </c>
      <c r="F3955" t="s">
        <v>76</v>
      </c>
      <c r="G3955">
        <v>-663.73080000000004</v>
      </c>
      <c r="H3955">
        <v>-0.1</v>
      </c>
      <c r="I3955">
        <v>117.9003</v>
      </c>
      <c r="J3955">
        <v>-345.6087</v>
      </c>
      <c r="K3955">
        <v>1.10877</v>
      </c>
      <c r="L3955">
        <v>141.3802</v>
      </c>
      <c r="M3955">
        <v>-0.99993010000000004</v>
      </c>
      <c r="N3955">
        <v>0</v>
      </c>
      <c r="O3955">
        <v>-1.2814199999999999E-3</v>
      </c>
      <c r="P3955">
        <v>-0.99178920000000004</v>
      </c>
      <c r="Q3955">
        <v>0.125418</v>
      </c>
      <c r="R3955">
        <v>2.4991090000000001E-2</v>
      </c>
      <c r="S3955">
        <v>-3.0319820000000002</v>
      </c>
      <c r="T3955">
        <v>-1.151431E-2</v>
      </c>
      <c r="U3955">
        <v>-0.22366330000000001</v>
      </c>
      <c r="V3955">
        <v>2.626736E-2</v>
      </c>
      <c r="W3955">
        <v>0.1370625</v>
      </c>
      <c r="X3955">
        <v>0.99021400000000004</v>
      </c>
      <c r="Y3955">
        <v>-7.2289530000000005E-2</v>
      </c>
      <c r="Z3955">
        <v>-1.322172E-4</v>
      </c>
      <c r="AA3955">
        <v>0.99738369999999998</v>
      </c>
      <c r="AB3955">
        <v>28</v>
      </c>
      <c r="AC3955">
        <v>-318.12209999999999</v>
      </c>
      <c r="AD3955">
        <v>-1.2087699999999999</v>
      </c>
      <c r="AE3955">
        <v>-23.479900000000001</v>
      </c>
      <c r="AF3955">
        <v>-23.071873235423901</v>
      </c>
      <c r="AG3955">
        <v>-1.2087699999999999</v>
      </c>
      <c r="AH3955">
        <v>318.14736002510602</v>
      </c>
      <c r="AI3955">
        <v>90.217118536149698</v>
      </c>
      <c r="AJ3955">
        <v>94.147797699093402</v>
      </c>
      <c r="AK3955">
        <v>318.98513311822097</v>
      </c>
      <c r="AL3955">
        <v>82.122098249825697</v>
      </c>
      <c r="AM3955">
        <v>88.480473916313599</v>
      </c>
      <c r="AN3955">
        <v>0.99999993445180702</v>
      </c>
    </row>
    <row r="3956" spans="1:40" x14ac:dyDescent="0.25">
      <c r="A3956" t="str">
        <f>"20190312164550046"</f>
        <v>20190312164550046</v>
      </c>
      <c r="B3956" t="str">
        <f>"1552380350035539"</f>
        <v>1552380350035539</v>
      </c>
      <c r="C3956" t="s">
        <v>40</v>
      </c>
      <c r="D3956">
        <v>4.8948049999999999</v>
      </c>
      <c r="E3956">
        <v>0.465951</v>
      </c>
      <c r="F3956" t="s">
        <v>76</v>
      </c>
      <c r="G3956">
        <v>-655.12530000000004</v>
      </c>
      <c r="H3956">
        <v>-0.1</v>
      </c>
      <c r="I3956">
        <v>118.6952</v>
      </c>
      <c r="J3956">
        <v>-345.84370000000001</v>
      </c>
      <c r="K3956">
        <v>1.1087670000000001</v>
      </c>
      <c r="L3956">
        <v>141.37989999999999</v>
      </c>
      <c r="M3956">
        <v>-0.99993010000000004</v>
      </c>
      <c r="N3956">
        <v>0</v>
      </c>
      <c r="O3956">
        <v>-1.2816590000000001E-3</v>
      </c>
      <c r="P3956">
        <v>-0.99176260000000005</v>
      </c>
      <c r="Q3956">
        <v>0.12556819999999999</v>
      </c>
      <c r="R3956">
        <v>2.529317E-2</v>
      </c>
      <c r="S3956">
        <v>-3.0319210000000001</v>
      </c>
      <c r="T3956">
        <v>-1.1840699999999999E-2</v>
      </c>
      <c r="U3956">
        <v>-0.22221369999999999</v>
      </c>
      <c r="V3956">
        <v>2.6569679999999998E-2</v>
      </c>
      <c r="W3956">
        <v>0.13721229999999901</v>
      </c>
      <c r="X3956">
        <v>0.99018530000000005</v>
      </c>
      <c r="Y3956">
        <v>-7.1816439999999995E-2</v>
      </c>
      <c r="Z3956">
        <v>-1.350468E-4</v>
      </c>
      <c r="AA3956">
        <v>0.99741789999999997</v>
      </c>
      <c r="AB3956">
        <v>28</v>
      </c>
      <c r="AC3956">
        <v>-309.28160000000003</v>
      </c>
      <c r="AD3956">
        <v>-1.2087669999999999</v>
      </c>
      <c r="AE3956">
        <v>-22.6846999999999</v>
      </c>
      <c r="AF3956">
        <v>-22.2879218124977</v>
      </c>
      <c r="AG3956">
        <v>-1.2087669999999999</v>
      </c>
      <c r="AH3956">
        <v>309.30572268421503</v>
      </c>
      <c r="AI3956">
        <v>90.223331759330705</v>
      </c>
      <c r="AJ3956">
        <v>94.121490187298093</v>
      </c>
      <c r="AK3956">
        <v>310.11004927539</v>
      </c>
      <c r="AL3956">
        <v>82.113434360357004</v>
      </c>
      <c r="AM3956">
        <v>88.462948986026007</v>
      </c>
      <c r="AN3956">
        <v>1.00000004575134</v>
      </c>
    </row>
    <row r="3957" spans="1:40" x14ac:dyDescent="0.25">
      <c r="A3957" t="str">
        <f>"20190312164550062"</f>
        <v>20190312164550062</v>
      </c>
      <c r="B3957" t="str">
        <f>"1552380350056035"</f>
        <v>1552380350056035</v>
      </c>
      <c r="C3957" t="s">
        <v>40</v>
      </c>
      <c r="D3957">
        <v>4.8573469999999999</v>
      </c>
      <c r="E3957">
        <v>0.46646910000000003</v>
      </c>
      <c r="F3957" t="s">
        <v>76</v>
      </c>
      <c r="G3957">
        <v>-657.95529999999997</v>
      </c>
      <c r="H3957">
        <v>-0.1</v>
      </c>
      <c r="I3957">
        <v>119.05159999999999</v>
      </c>
      <c r="J3957">
        <v>-346.05</v>
      </c>
      <c r="K3957">
        <v>1.1087670000000001</v>
      </c>
      <c r="L3957">
        <v>141.37960000000001</v>
      </c>
      <c r="M3957">
        <v>-0.99993019999999999</v>
      </c>
      <c r="N3957">
        <v>0</v>
      </c>
      <c r="O3957">
        <v>-1.281779E-3</v>
      </c>
      <c r="P3957">
        <v>-0.99178319999999998</v>
      </c>
      <c r="Q3957">
        <v>0.12539620000000001</v>
      </c>
      <c r="R3957">
        <v>2.533958E-2</v>
      </c>
      <c r="S3957">
        <v>-3.031952</v>
      </c>
      <c r="T3957">
        <v>-1.174235E-2</v>
      </c>
      <c r="U3957">
        <v>-0.2169037</v>
      </c>
      <c r="V3957">
        <v>2.6616219999999999E-2</v>
      </c>
      <c r="W3957">
        <v>0.13704079999999999</v>
      </c>
      <c r="X3957">
        <v>0.99020770000000002</v>
      </c>
      <c r="Y3957">
        <v>-7.0077749999999994E-2</v>
      </c>
      <c r="Z3957">
        <v>-1.3056919999999999E-4</v>
      </c>
      <c r="AA3957">
        <v>0.99754149999999997</v>
      </c>
      <c r="AB3957">
        <v>28</v>
      </c>
      <c r="AC3957">
        <v>-311.90529999999899</v>
      </c>
      <c r="AD3957">
        <v>-1.2087669999999999</v>
      </c>
      <c r="AE3957">
        <v>-22.327999999999999</v>
      </c>
      <c r="AF3957">
        <v>-21.927832758867702</v>
      </c>
      <c r="AG3957">
        <v>-1.2087669999999999</v>
      </c>
      <c r="AH3957">
        <v>311.92900431470702</v>
      </c>
      <c r="AI3957">
        <v>90.221481197416594</v>
      </c>
      <c r="AJ3957">
        <v>94.021135621444003</v>
      </c>
      <c r="AK3957">
        <v>312.70112679670001</v>
      </c>
      <c r="AL3957">
        <v>82.123353508337701</v>
      </c>
      <c r="AM3957">
        <v>88.460292765199796</v>
      </c>
      <c r="AN3957">
        <v>0.99999994658550695</v>
      </c>
    </row>
    <row r="3958" spans="1:40" x14ac:dyDescent="0.25">
      <c r="A3958" t="str">
        <f>"20190312164550081"</f>
        <v>20190312164550081</v>
      </c>
      <c r="B3958" t="str">
        <f>"1552380350075556"</f>
        <v>1552380350075556</v>
      </c>
      <c r="C3958" t="s">
        <v>40</v>
      </c>
      <c r="D3958">
        <v>4.5895219999999997</v>
      </c>
      <c r="E3958">
        <v>0.46691300000000002</v>
      </c>
      <c r="F3958" t="s">
        <v>76</v>
      </c>
      <c r="G3958">
        <v>-636.55539999999996</v>
      </c>
      <c r="H3958">
        <v>-0.1</v>
      </c>
      <c r="I3958">
        <v>120.9755</v>
      </c>
      <c r="J3958">
        <v>-346.29039999999998</v>
      </c>
      <c r="K3958">
        <v>1.1087670000000001</v>
      </c>
      <c r="L3958">
        <v>141.3793</v>
      </c>
      <c r="M3958">
        <v>-0.99993010000000004</v>
      </c>
      <c r="N3958">
        <v>0</v>
      </c>
      <c r="O3958">
        <v>-1.282018E-3</v>
      </c>
      <c r="P3958">
        <v>-0.99180259999999998</v>
      </c>
      <c r="Q3958">
        <v>0.12522829999999999</v>
      </c>
      <c r="R3958">
        <v>2.5399479999999999E-2</v>
      </c>
      <c r="S3958">
        <v>-3.0319210000000001</v>
      </c>
      <c r="T3958">
        <v>-1.261556E-2</v>
      </c>
      <c r="U3958">
        <v>-0.21295169999999999</v>
      </c>
      <c r="V3958">
        <v>2.6676310000000002E-2</v>
      </c>
      <c r="W3958">
        <v>0.13687360000000001</v>
      </c>
      <c r="X3958">
        <v>0.99022920000000003</v>
      </c>
      <c r="Y3958">
        <v>-6.8784330000000005E-2</v>
      </c>
      <c r="Z3958">
        <v>-1.3759810000000001E-4</v>
      </c>
      <c r="AA3958">
        <v>0.9976315</v>
      </c>
      <c r="AB3958">
        <v>28</v>
      </c>
      <c r="AC3958">
        <v>-290.26499999999999</v>
      </c>
      <c r="AD3958">
        <v>-1.2087669999999999</v>
      </c>
      <c r="AE3958">
        <v>-20.4038</v>
      </c>
      <c r="AF3958">
        <v>-20.031286896011899</v>
      </c>
      <c r="AG3958">
        <v>-1.2087669999999999</v>
      </c>
      <c r="AH3958">
        <v>290.28591193003001</v>
      </c>
      <c r="AI3958">
        <v>90.238015491764997</v>
      </c>
      <c r="AJ3958">
        <v>93.947458835730203</v>
      </c>
      <c r="AK3958">
        <v>290.97873502615198</v>
      </c>
      <c r="AL3958">
        <v>82.133024426938107</v>
      </c>
      <c r="AM3958">
        <v>88.456851820011494</v>
      </c>
      <c r="AN3958">
        <v>0.99999993821240596</v>
      </c>
    </row>
    <row r="3959" spans="1:40" x14ac:dyDescent="0.25">
      <c r="A3959" t="str">
        <f>"20190312164550103"</f>
        <v>20190312164550103</v>
      </c>
      <c r="B3959" t="str">
        <f>"1552380350096051"</f>
        <v>1552380350096051</v>
      </c>
      <c r="C3959" t="s">
        <v>40</v>
      </c>
      <c r="D3959">
        <v>4.7596540000000003</v>
      </c>
      <c r="E3959">
        <v>0.46736240000000001</v>
      </c>
      <c r="F3959" t="s">
        <v>76</v>
      </c>
      <c r="G3959">
        <v>-612.26530000000002</v>
      </c>
      <c r="H3959">
        <v>-0.1</v>
      </c>
      <c r="I3959">
        <v>123.0299</v>
      </c>
      <c r="J3959">
        <v>-346.5779</v>
      </c>
      <c r="K3959">
        <v>1.1087590000000001</v>
      </c>
      <c r="L3959">
        <v>141.37889999999999</v>
      </c>
      <c r="M3959">
        <v>-0.99993010000000004</v>
      </c>
      <c r="N3959">
        <v>0</v>
      </c>
      <c r="O3959">
        <v>-1.2821379999999999E-3</v>
      </c>
      <c r="P3959">
        <v>-0.99182499999999996</v>
      </c>
      <c r="Q3959">
        <v>0.1250645</v>
      </c>
      <c r="R3959">
        <v>2.533987E-2</v>
      </c>
      <c r="S3959">
        <v>-3.0318909999999999</v>
      </c>
      <c r="T3959">
        <v>-1.377892E-2</v>
      </c>
      <c r="U3959">
        <v>-0.20916750000000001</v>
      </c>
      <c r="V3959">
        <v>2.6616870000000001E-2</v>
      </c>
      <c r="W3959">
        <v>0.1367102</v>
      </c>
      <c r="X3959">
        <v>0.99025339999999995</v>
      </c>
      <c r="Y3959">
        <v>-6.7545599999999997E-2</v>
      </c>
      <c r="Z3959">
        <v>-1.474828E-4</v>
      </c>
      <c r="AA3959">
        <v>0.99771620000000005</v>
      </c>
      <c r="AB3959">
        <v>28</v>
      </c>
      <c r="AC3959">
        <v>-265.68740000000003</v>
      </c>
      <c r="AD3959">
        <v>-1.2087589999999999</v>
      </c>
      <c r="AE3959">
        <v>-18.348999999999901</v>
      </c>
      <c r="AF3959">
        <v>-18.007942504715999</v>
      </c>
      <c r="AG3959">
        <v>-1.2087589999999999</v>
      </c>
      <c r="AH3959">
        <v>265.70523559041999</v>
      </c>
      <c r="AI3959">
        <v>90.260054344106393</v>
      </c>
      <c r="AJ3959">
        <v>93.8772426598603</v>
      </c>
      <c r="AK3959">
        <v>266.317515968691</v>
      </c>
      <c r="AL3959">
        <v>82.142475621621003</v>
      </c>
      <c r="AM3959">
        <v>88.460326206520406</v>
      </c>
      <c r="AN3959">
        <v>0.99999996638209698</v>
      </c>
    </row>
    <row r="3960" spans="1:40" x14ac:dyDescent="0.25">
      <c r="A3960" t="str">
        <f>"20190312164550124"</f>
        <v>20190312164550124</v>
      </c>
      <c r="B3960" t="str">
        <f>"1552380350115571"</f>
        <v>1552380350115571</v>
      </c>
      <c r="C3960" t="s">
        <v>40</v>
      </c>
      <c r="D3960">
        <v>4.8657949999999897</v>
      </c>
      <c r="E3960">
        <v>0.46778029999999998</v>
      </c>
      <c r="F3960" t="s">
        <v>76</v>
      </c>
      <c r="G3960">
        <v>-593.71370000000002</v>
      </c>
      <c r="H3960">
        <v>-0.1</v>
      </c>
      <c r="I3960">
        <v>124.6164</v>
      </c>
      <c r="J3960">
        <v>-346.8408</v>
      </c>
      <c r="K3960">
        <v>1.1087560000000001</v>
      </c>
      <c r="L3960">
        <v>141.37860000000001</v>
      </c>
      <c r="M3960">
        <v>-0.99993010000000004</v>
      </c>
      <c r="N3960">
        <v>0</v>
      </c>
      <c r="O3960">
        <v>-1.2823769999999999E-3</v>
      </c>
      <c r="P3960">
        <v>-0.9918979</v>
      </c>
      <c r="Q3960">
        <v>0.1244263</v>
      </c>
      <c r="R3960">
        <v>2.5625769999999999E-2</v>
      </c>
      <c r="S3960">
        <v>-3.03186</v>
      </c>
      <c r="T3960">
        <v>-1.482904E-2</v>
      </c>
      <c r="U3960">
        <v>-0.20564270000000001</v>
      </c>
      <c r="V3960">
        <v>2.6903059999999999E-2</v>
      </c>
      <c r="W3960">
        <v>0.13607239999999901</v>
      </c>
      <c r="X3960">
        <v>0.99033360000000004</v>
      </c>
      <c r="Y3960">
        <v>-6.6391400000000003E-2</v>
      </c>
      <c r="Z3960">
        <v>-1.5590990000000001E-4</v>
      </c>
      <c r="AA3960">
        <v>0.99779370000000001</v>
      </c>
      <c r="AB3960">
        <v>28</v>
      </c>
      <c r="AC3960">
        <v>-246.87289999999999</v>
      </c>
      <c r="AD3960">
        <v>-1.2087559999999999</v>
      </c>
      <c r="AE3960">
        <v>-16.7622</v>
      </c>
      <c r="AF3960">
        <v>-16.445187777547101</v>
      </c>
      <c r="AG3960">
        <v>-1.2087559999999999</v>
      </c>
      <c r="AH3960">
        <v>246.888302324498</v>
      </c>
      <c r="AI3960">
        <v>90.279895543888799</v>
      </c>
      <c r="AJ3960">
        <v>93.810832714232802</v>
      </c>
      <c r="AK3960">
        <v>247.438354174891</v>
      </c>
      <c r="AL3960">
        <v>82.179364293320901</v>
      </c>
      <c r="AM3960">
        <v>88.443905383431598</v>
      </c>
      <c r="AN3960">
        <v>1.0000000559840401</v>
      </c>
    </row>
    <row r="3961" spans="1:40" x14ac:dyDescent="0.25">
      <c r="A3961" t="str">
        <f>"20190312164550139"</f>
        <v>20190312164550139</v>
      </c>
      <c r="B3961" t="str">
        <f>"1552380350136067"</f>
        <v>1552380350136067</v>
      </c>
      <c r="C3961" t="s">
        <v>40</v>
      </c>
      <c r="D3961">
        <v>4.741498</v>
      </c>
      <c r="E3961">
        <v>0.46818579999999999</v>
      </c>
      <c r="F3961" t="s">
        <v>43</v>
      </c>
      <c r="G3961">
        <v>-552.4597</v>
      </c>
      <c r="H3961">
        <v>-0.05</v>
      </c>
      <c r="I3961">
        <v>127.7073</v>
      </c>
      <c r="J3961">
        <v>-347.02499999999998</v>
      </c>
      <c r="K3961">
        <v>1.108757</v>
      </c>
      <c r="L3961">
        <v>141.3784</v>
      </c>
      <c r="M3961">
        <v>-0.99993019999999999</v>
      </c>
      <c r="N3961">
        <v>0</v>
      </c>
      <c r="O3961">
        <v>-1.2824970000000001E-3</v>
      </c>
      <c r="P3961">
        <v>-0.99190210000000001</v>
      </c>
      <c r="Q3961">
        <v>0.1244121</v>
      </c>
      <c r="R3961">
        <v>2.5540259999999999E-2</v>
      </c>
      <c r="S3961">
        <v>-3.03186</v>
      </c>
      <c r="T3961">
        <v>-1.7085909999999999E-2</v>
      </c>
      <c r="U3961">
        <v>-0.20158390000000001</v>
      </c>
      <c r="V3961">
        <v>2.6817730000000001E-2</v>
      </c>
      <c r="W3961">
        <v>0.13605880000000001</v>
      </c>
      <c r="X3961">
        <v>0.99033769999999999</v>
      </c>
      <c r="Y3961">
        <v>-6.5061220000000003E-2</v>
      </c>
      <c r="Z3961">
        <v>-1.759013E-4</v>
      </c>
      <c r="AA3961">
        <v>0.99788120000000002</v>
      </c>
      <c r="AB3961">
        <v>28</v>
      </c>
      <c r="AC3961">
        <v>-205.43469999999999</v>
      </c>
      <c r="AD3961">
        <v>-1.158757</v>
      </c>
      <c r="AE3961">
        <v>-13.6710999999999</v>
      </c>
      <c r="AF3961">
        <v>-13.407176520412399</v>
      </c>
      <c r="AG3961">
        <v>-1.158757</v>
      </c>
      <c r="AH3961">
        <v>205.445557871342</v>
      </c>
      <c r="AI3961">
        <v>90.322471139292404</v>
      </c>
      <c r="AJ3961">
        <v>93.733772247881504</v>
      </c>
      <c r="AK3961">
        <v>205.885823574868</v>
      </c>
      <c r="AL3961">
        <v>82.180150184678396</v>
      </c>
      <c r="AM3961">
        <v>88.448844942772993</v>
      </c>
      <c r="AN3961">
        <v>0.99999997387054096</v>
      </c>
    </row>
    <row r="3962" spans="1:40" x14ac:dyDescent="0.25">
      <c r="A3962" t="str">
        <f>"20190312164550152"</f>
        <v>20190312164550152</v>
      </c>
      <c r="B3962" t="str">
        <f>"1552380350145828"</f>
        <v>1552380350145828</v>
      </c>
      <c r="C3962" t="s">
        <v>40</v>
      </c>
      <c r="D3962">
        <v>4.7369570000000003</v>
      </c>
      <c r="E3962">
        <v>0.4682463</v>
      </c>
      <c r="F3962" t="s">
        <v>43</v>
      </c>
      <c r="G3962">
        <v>-548.13430000000005</v>
      </c>
      <c r="H3962">
        <v>-0.05</v>
      </c>
      <c r="I3962">
        <v>128.2081</v>
      </c>
      <c r="J3962">
        <v>-347.19819999999999</v>
      </c>
      <c r="K3962">
        <v>1.1087560000000001</v>
      </c>
      <c r="L3962">
        <v>141.37809999999999</v>
      </c>
      <c r="M3962">
        <v>-0.99993010000000004</v>
      </c>
      <c r="N3962">
        <v>0</v>
      </c>
      <c r="O3962">
        <v>-1.2824970000000001E-3</v>
      </c>
      <c r="P3962">
        <v>-0.99192970000000003</v>
      </c>
      <c r="Q3962">
        <v>0.1241881</v>
      </c>
      <c r="R3962">
        <v>2.5556599999999999E-2</v>
      </c>
      <c r="S3962">
        <v>-3.0317989999999999</v>
      </c>
      <c r="T3962">
        <v>-1.7468689999999999E-2</v>
      </c>
      <c r="U3962">
        <v>-0.19854740000000001</v>
      </c>
      <c r="V3962">
        <v>2.6834239999999999E-2</v>
      </c>
      <c r="W3962">
        <v>0.13583529999999999</v>
      </c>
      <c r="X3962">
        <v>0.99036789999999997</v>
      </c>
      <c r="Y3962">
        <v>-6.4067379999999993E-2</v>
      </c>
      <c r="Z3962">
        <v>-1.7699149999999999E-4</v>
      </c>
      <c r="AA3962">
        <v>0.99794550000000004</v>
      </c>
      <c r="AB3962">
        <v>28</v>
      </c>
      <c r="AC3962">
        <v>-200.93610000000001</v>
      </c>
      <c r="AD3962">
        <v>-1.1587559999999999</v>
      </c>
      <c r="AE3962">
        <v>-13.1699999999999</v>
      </c>
      <c r="AF3962">
        <v>-12.9118438619562</v>
      </c>
      <c r="AG3962">
        <v>-1.1587559999999999</v>
      </c>
      <c r="AH3962">
        <v>200.946172329158</v>
      </c>
      <c r="AI3962">
        <v>90.329712489519196</v>
      </c>
      <c r="AJ3962">
        <v>93.676499667036893</v>
      </c>
      <c r="AK3962">
        <v>201.363905904516</v>
      </c>
      <c r="AL3962">
        <v>82.193075535551898</v>
      </c>
      <c r="AM3962">
        <v>88.447937766979607</v>
      </c>
      <c r="AN3962">
        <v>0.99999994125643699</v>
      </c>
    </row>
    <row r="3963" spans="1:40" x14ac:dyDescent="0.25">
      <c r="A3963" t="str">
        <f>"20190312164550169"</f>
        <v>20190312164550169</v>
      </c>
      <c r="B3963" t="str">
        <f>"1552380350165348"</f>
        <v>1552380350165348</v>
      </c>
      <c r="C3963" t="s">
        <v>40</v>
      </c>
      <c r="D3963">
        <v>4.5262479999999998</v>
      </c>
      <c r="E3963">
        <v>0.4685898</v>
      </c>
      <c r="F3963" t="s">
        <v>52</v>
      </c>
      <c r="G3963">
        <v>-499.60770000000002</v>
      </c>
      <c r="H3963">
        <v>7.1495130000000004E-2</v>
      </c>
      <c r="I3963">
        <v>131.4228</v>
      </c>
      <c r="J3963">
        <v>-347.40469999999999</v>
      </c>
      <c r="K3963">
        <v>1.1087549999999999</v>
      </c>
      <c r="L3963">
        <v>141.37790000000001</v>
      </c>
      <c r="M3963">
        <v>-0.99993010000000004</v>
      </c>
      <c r="N3963">
        <v>0</v>
      </c>
      <c r="O3963">
        <v>-1.282617E-3</v>
      </c>
      <c r="P3963">
        <v>-0.99190999999999996</v>
      </c>
      <c r="Q3963">
        <v>0.1243394</v>
      </c>
      <c r="R3963">
        <v>2.558057E-2</v>
      </c>
      <c r="S3963">
        <v>-3.0321349999999998</v>
      </c>
      <c r="T3963">
        <v>-2.0635959999999998E-2</v>
      </c>
      <c r="U3963">
        <v>-0.19805909999999999</v>
      </c>
      <c r="V3963">
        <v>2.6858170000000001E-2</v>
      </c>
      <c r="W3963">
        <v>0.13598650000000001</v>
      </c>
      <c r="X3963">
        <v>0.99034659999999997</v>
      </c>
      <c r="Y3963">
        <v>-6.3899639999999994E-2</v>
      </c>
      <c r="Z3963">
        <v>-2.0848829999999999E-4</v>
      </c>
      <c r="AA3963">
        <v>0.99795630000000002</v>
      </c>
      <c r="AB3963">
        <v>28</v>
      </c>
      <c r="AC3963">
        <v>-152.203</v>
      </c>
      <c r="AD3963">
        <v>-1.03725987</v>
      </c>
      <c r="AE3963">
        <v>-9.9551000000000105</v>
      </c>
      <c r="AF3963">
        <v>-9.7594088346933408</v>
      </c>
      <c r="AG3963">
        <v>-1.03725987</v>
      </c>
      <c r="AH3963">
        <v>152.208605201518</v>
      </c>
      <c r="AI3963">
        <v>90.389648852212503</v>
      </c>
      <c r="AJ3963">
        <v>93.668705393623796</v>
      </c>
      <c r="AK3963">
        <v>152.52469133301801</v>
      </c>
      <c r="AL3963">
        <v>82.184332042907499</v>
      </c>
      <c r="AM3963">
        <v>88.446520966061996</v>
      </c>
      <c r="AN3963">
        <v>1.0000000388047701</v>
      </c>
    </row>
    <row r="3964" spans="1:40" x14ac:dyDescent="0.25">
      <c r="A3964" t="str">
        <f>"20190312164550183"</f>
        <v>20190312164550183</v>
      </c>
      <c r="B3964" t="str">
        <f>"1552380350176085"</f>
        <v>1552380350176085</v>
      </c>
      <c r="C3964" t="s">
        <v>40</v>
      </c>
      <c r="D3964">
        <v>4.7189100000000002</v>
      </c>
      <c r="E3964">
        <v>0.4686399</v>
      </c>
      <c r="F3964" t="s">
        <v>52</v>
      </c>
      <c r="G3964">
        <v>-485.37959999999998</v>
      </c>
      <c r="H3964" s="1">
        <v>-1.2985059999999999E-5</v>
      </c>
      <c r="I3964">
        <v>132.48679999999999</v>
      </c>
      <c r="J3964">
        <v>-347.60180000000003</v>
      </c>
      <c r="K3964">
        <v>1.108754</v>
      </c>
      <c r="L3964">
        <v>141.3776</v>
      </c>
      <c r="M3964">
        <v>-0.99993010000000004</v>
      </c>
      <c r="N3964">
        <v>0</v>
      </c>
      <c r="O3964">
        <v>-1.282856E-3</v>
      </c>
      <c r="P3964">
        <v>-0.99189450000000001</v>
      </c>
      <c r="Q3964">
        <v>0.12448819999999999</v>
      </c>
      <c r="R3964">
        <v>2.5456510000000002E-2</v>
      </c>
      <c r="S3964">
        <v>-3.0325929999999999</v>
      </c>
      <c r="T3964">
        <v>-2.436996E-2</v>
      </c>
      <c r="U3964">
        <v>-0.19541929999999999</v>
      </c>
      <c r="V3964">
        <v>2.673435E-2</v>
      </c>
      <c r="W3964">
        <v>0.13613529999999999</v>
      </c>
      <c r="X3964">
        <v>0.99032940000000003</v>
      </c>
      <c r="Y3964">
        <v>-6.3023990000000002E-2</v>
      </c>
      <c r="Z3964">
        <v>-2.426656E-4</v>
      </c>
      <c r="AA3964">
        <v>0.99801200000000001</v>
      </c>
      <c r="AB3964">
        <v>28</v>
      </c>
      <c r="AC3964">
        <v>-137.77779999999899</v>
      </c>
      <c r="AD3964">
        <v>-1.1087669850599999</v>
      </c>
      <c r="AE3964">
        <v>-8.8908000000000094</v>
      </c>
      <c r="AF3964">
        <v>-8.7134694315567494</v>
      </c>
      <c r="AG3964">
        <v>-1.1087669850599999</v>
      </c>
      <c r="AH3964">
        <v>137.78020705939301</v>
      </c>
      <c r="AI3964">
        <v>90.460150601218999</v>
      </c>
      <c r="AJ3964">
        <v>93.618669513139594</v>
      </c>
      <c r="AK3964">
        <v>138.05991225222101</v>
      </c>
      <c r="AL3964">
        <v>82.175725569380106</v>
      </c>
      <c r="AM3964">
        <v>88.453652397743198</v>
      </c>
      <c r="AN3964">
        <v>0.99999993294018397</v>
      </c>
    </row>
    <row r="3965" spans="1:40" x14ac:dyDescent="0.25">
      <c r="A3965" t="str">
        <f>"20190312164550196"</f>
        <v>20190312164550196</v>
      </c>
      <c r="B3965" t="str">
        <f>"1552380350185844"</f>
        <v>1552380350185844</v>
      </c>
      <c r="C3965" t="s">
        <v>40</v>
      </c>
      <c r="D3965">
        <v>4.943956</v>
      </c>
      <c r="E3965">
        <v>0.468773</v>
      </c>
      <c r="F3965" t="s">
        <v>52</v>
      </c>
      <c r="G3965">
        <v>-473.92759999999998</v>
      </c>
      <c r="H3965" s="1">
        <v>-5.3952560000000003E-6</v>
      </c>
      <c r="I3965">
        <v>133.2424</v>
      </c>
      <c r="J3965">
        <v>-347.75240000000002</v>
      </c>
      <c r="K3965">
        <v>1.1087530000000001</v>
      </c>
      <c r="L3965">
        <v>141.37739999999999</v>
      </c>
      <c r="M3965">
        <v>-0.99993010000000004</v>
      </c>
      <c r="N3965">
        <v>0</v>
      </c>
      <c r="O3965">
        <v>-1.2828570000000001E-3</v>
      </c>
      <c r="P3965">
        <v>-0.9918979</v>
      </c>
      <c r="Q3965">
        <v>0.12448770000000001</v>
      </c>
      <c r="R3965">
        <v>2.5332460000000001E-2</v>
      </c>
      <c r="S3965">
        <v>-3.032867</v>
      </c>
      <c r="T3965">
        <v>-2.6619429999999999E-2</v>
      </c>
      <c r="U3965">
        <v>-0.1953125</v>
      </c>
      <c r="V3965">
        <v>2.6610410000000001E-2</v>
      </c>
      <c r="W3965">
        <v>0.1361348</v>
      </c>
      <c r="X3965">
        <v>0.99033289999999996</v>
      </c>
      <c r="Y3965">
        <v>-6.298281E-2</v>
      </c>
      <c r="Z3965">
        <v>-2.6485989999999997E-4</v>
      </c>
      <c r="AA3965">
        <v>0.99801459999999997</v>
      </c>
      <c r="AB3965">
        <v>28</v>
      </c>
      <c r="AC3965">
        <v>-126.17519999999899</v>
      </c>
      <c r="AD3965">
        <v>-1.1087583952560001</v>
      </c>
      <c r="AE3965">
        <v>-8.1349999999999891</v>
      </c>
      <c r="AF3965">
        <v>-7.9725043019731103</v>
      </c>
      <c r="AG3965">
        <v>-1.1087583952560001</v>
      </c>
      <c r="AH3965">
        <v>126.175830048454</v>
      </c>
      <c r="AI3965">
        <v>90.502466405655994</v>
      </c>
      <c r="AJ3965">
        <v>93.615465805838795</v>
      </c>
      <c r="AK3965">
        <v>126.432314929532</v>
      </c>
      <c r="AL3965">
        <v>82.175755213314105</v>
      </c>
      <c r="AM3965">
        <v>88.460823219981194</v>
      </c>
      <c r="AN3965">
        <v>1.0000000252568999</v>
      </c>
    </row>
    <row r="3966" spans="1:40" x14ac:dyDescent="0.25">
      <c r="A3966" t="str">
        <f>"20190312164550210"</f>
        <v>20190312164550210</v>
      </c>
      <c r="B3966" t="str">
        <f>"1552380350205364"</f>
        <v>1552380350205364</v>
      </c>
      <c r="C3966" t="s">
        <v>40</v>
      </c>
      <c r="D3966">
        <v>4.7665810000000004</v>
      </c>
      <c r="E3966">
        <v>0.46883459999999899</v>
      </c>
      <c r="F3966" t="s">
        <v>42</v>
      </c>
      <c r="G3966">
        <v>-467.40159999999997</v>
      </c>
      <c r="H3966" s="1">
        <v>-1.696395E-6</v>
      </c>
      <c r="I3966">
        <v>133.6833</v>
      </c>
      <c r="J3966">
        <v>-347.92540000000002</v>
      </c>
      <c r="K3966">
        <v>1.108762</v>
      </c>
      <c r="L3966">
        <v>141.37719999999999</v>
      </c>
      <c r="M3966">
        <v>-0.99993010000000004</v>
      </c>
      <c r="N3966">
        <v>0</v>
      </c>
      <c r="O3966">
        <v>-1.282977E-3</v>
      </c>
      <c r="P3966">
        <v>-0.9919055</v>
      </c>
      <c r="Q3966">
        <v>0.12445630000000001</v>
      </c>
      <c r="R3966">
        <v>2.518283E-2</v>
      </c>
      <c r="S3966">
        <v>-3.0329899999999999</v>
      </c>
      <c r="T3966">
        <v>-2.8105850000000002E-2</v>
      </c>
      <c r="U3966">
        <v>-0.19503780000000001</v>
      </c>
      <c r="V3966">
        <v>2.6460790000000001E-2</v>
      </c>
      <c r="W3966">
        <v>0.13610359999999999</v>
      </c>
      <c r="X3966">
        <v>0.99034120000000003</v>
      </c>
      <c r="Y3966">
        <v>-6.2889829999999994E-2</v>
      </c>
      <c r="Z3966">
        <v>-2.7920720000000003E-4</v>
      </c>
      <c r="AA3966">
        <v>0.99802040000000003</v>
      </c>
      <c r="AB3966">
        <v>28</v>
      </c>
      <c r="AC3966">
        <v>-119.476199999999</v>
      </c>
      <c r="AD3966">
        <v>-1.1087636963950001</v>
      </c>
      <c r="AE3966">
        <v>-7.6938999999999798</v>
      </c>
      <c r="AF3966">
        <v>-7.5399511855171397</v>
      </c>
      <c r="AG3966">
        <v>-1.1087636963950001</v>
      </c>
      <c r="AH3966">
        <v>119.475726414104</v>
      </c>
      <c r="AI3966">
        <v>90.530647860769605</v>
      </c>
      <c r="AJ3966">
        <v>93.611070143443797</v>
      </c>
      <c r="AK3966">
        <v>119.718542519496</v>
      </c>
      <c r="AL3966">
        <v>82.177559656955196</v>
      </c>
      <c r="AM3966">
        <v>88.469486106412404</v>
      </c>
      <c r="AN3966">
        <v>1.0000000278789101</v>
      </c>
    </row>
    <row r="3967" spans="1:40" x14ac:dyDescent="0.25">
      <c r="A3967" t="str">
        <f>"20190312164550223"</f>
        <v>20190312164550223</v>
      </c>
      <c r="B3967" t="str">
        <f>"1552380350215124"</f>
        <v>1552380350215124</v>
      </c>
      <c r="C3967" t="s">
        <v>40</v>
      </c>
      <c r="D3967">
        <v>4.6858829999999996</v>
      </c>
      <c r="E3967">
        <v>0.46899999999999997</v>
      </c>
      <c r="F3967" t="s">
        <v>42</v>
      </c>
      <c r="G3967">
        <v>-458.43709999999999</v>
      </c>
      <c r="H3967" s="1">
        <v>-9.2681579999999999E-7</v>
      </c>
      <c r="I3967">
        <v>134.2713</v>
      </c>
      <c r="J3967">
        <v>-348.11</v>
      </c>
      <c r="K3967">
        <v>1.108762</v>
      </c>
      <c r="L3967">
        <v>141.37700000000001</v>
      </c>
      <c r="M3967">
        <v>-0.99993010000000004</v>
      </c>
      <c r="N3967">
        <v>0</v>
      </c>
      <c r="O3967">
        <v>-1.283216E-3</v>
      </c>
      <c r="P3967">
        <v>-0.99186430000000003</v>
      </c>
      <c r="Q3967">
        <v>0.1248037</v>
      </c>
      <c r="R3967">
        <v>2.5089319999999998E-2</v>
      </c>
      <c r="S3967">
        <v>-3.033264</v>
      </c>
      <c r="T3967">
        <v>-3.04327E-2</v>
      </c>
      <c r="U3967">
        <v>-0.19503780000000001</v>
      </c>
      <c r="V3967">
        <v>2.636751E-2</v>
      </c>
      <c r="W3967">
        <v>0.13645090000000001</v>
      </c>
      <c r="X3967">
        <v>0.99029590000000001</v>
      </c>
      <c r="Y3967">
        <v>-6.2883350000000005E-2</v>
      </c>
      <c r="Z3967">
        <v>-3.0225899999999998E-4</v>
      </c>
      <c r="AA3967">
        <v>0.99802080000000004</v>
      </c>
      <c r="AB3967">
        <v>28</v>
      </c>
      <c r="AC3967">
        <v>-110.32709999999901</v>
      </c>
      <c r="AD3967">
        <v>-1.1087629268157999</v>
      </c>
      <c r="AE3967">
        <v>-7.1057000000000103</v>
      </c>
      <c r="AF3967">
        <v>-6.9634104832574302</v>
      </c>
      <c r="AG3967">
        <v>-1.1087629268157999</v>
      </c>
      <c r="AH3967">
        <v>110.32503134730899</v>
      </c>
      <c r="AI3967">
        <v>90.574657867518695</v>
      </c>
      <c r="AJ3967">
        <v>93.611560139491203</v>
      </c>
      <c r="AK3967">
        <v>110.55012882204601</v>
      </c>
      <c r="AL3967">
        <v>82.157473473209805</v>
      </c>
      <c r="AM3967">
        <v>88.474809213719297</v>
      </c>
      <c r="AN3967">
        <v>1.0000000316255999</v>
      </c>
    </row>
    <row r="3968" spans="1:40" x14ac:dyDescent="0.25">
      <c r="A3968" t="str">
        <f>"20190312164550239"</f>
        <v>20190312164550239</v>
      </c>
      <c r="B3968" t="str">
        <f>"1552380350235619"</f>
        <v>1552380350235619</v>
      </c>
      <c r="C3968" t="s">
        <v>40</v>
      </c>
      <c r="D3968">
        <v>4.8835379999999997</v>
      </c>
      <c r="E3968">
        <v>0.46915499999999999</v>
      </c>
      <c r="F3968" t="s">
        <v>42</v>
      </c>
      <c r="G3968">
        <v>-463.23020000000002</v>
      </c>
      <c r="H3968" s="1">
        <v>-3.311302E-6</v>
      </c>
      <c r="I3968">
        <v>134.00710000000001</v>
      </c>
      <c r="J3968">
        <v>-348.28550000000001</v>
      </c>
      <c r="K3968">
        <v>1.1087640000000001</v>
      </c>
      <c r="L3968">
        <v>141.3768</v>
      </c>
      <c r="M3968">
        <v>-0.99993010000000004</v>
      </c>
      <c r="N3968">
        <v>0</v>
      </c>
      <c r="O3968">
        <v>-1.2832169999999999E-3</v>
      </c>
      <c r="P3968">
        <v>-0.99185619999999997</v>
      </c>
      <c r="Q3968">
        <v>0.1248494</v>
      </c>
      <c r="R3968">
        <v>2.5177789999999999E-2</v>
      </c>
      <c r="S3968">
        <v>-3.0332029999999999</v>
      </c>
      <c r="T3968">
        <v>-2.9213909999999999E-2</v>
      </c>
      <c r="U3968">
        <v>-0.1941833</v>
      </c>
      <c r="V3968">
        <v>2.645598E-2</v>
      </c>
      <c r="W3968">
        <v>0.13649620000000001</v>
      </c>
      <c r="X3968">
        <v>0.99028720000000003</v>
      </c>
      <c r="Y3968">
        <v>-6.2604880000000002E-2</v>
      </c>
      <c r="Z3968">
        <v>-2.8882320000000002E-4</v>
      </c>
      <c r="AA3968">
        <v>0.99803839999999999</v>
      </c>
      <c r="AB3968">
        <v>28</v>
      </c>
      <c r="AC3968">
        <v>-114.9447</v>
      </c>
      <c r="AD3968">
        <v>-1.10876731130199</v>
      </c>
      <c r="AE3968">
        <v>-7.3696999999999901</v>
      </c>
      <c r="AF3968">
        <v>-7.2215155586501796</v>
      </c>
      <c r="AG3968">
        <v>-1.10876731130199</v>
      </c>
      <c r="AH3968">
        <v>114.943411559925</v>
      </c>
      <c r="AI3968">
        <v>90.551582032733194</v>
      </c>
      <c r="AJ3968">
        <v>93.5949798521914</v>
      </c>
      <c r="AK3968">
        <v>115.175377199073</v>
      </c>
      <c r="AL3968">
        <v>82.154852697989696</v>
      </c>
      <c r="AM3968">
        <v>88.469680784958697</v>
      </c>
      <c r="AN3968">
        <v>0.99999993498801798</v>
      </c>
    </row>
    <row r="3969" spans="1:40" x14ac:dyDescent="0.25">
      <c r="A3969" t="str">
        <f>"20190312164550253"</f>
        <v>20190312164550253</v>
      </c>
      <c r="B3969" t="str">
        <f>"1552380350245380"</f>
        <v>1552380350245380</v>
      </c>
      <c r="C3969" t="s">
        <v>40</v>
      </c>
      <c r="D3969">
        <v>4.9149719999999997</v>
      </c>
      <c r="E3969">
        <v>0.46926079999999998</v>
      </c>
      <c r="F3969" t="s">
        <v>42</v>
      </c>
      <c r="G3969">
        <v>-453.86149999999998</v>
      </c>
      <c r="H3969" s="1">
        <v>-2.4813089999999999E-6</v>
      </c>
      <c r="I3969">
        <v>134.66159999999999</v>
      </c>
      <c r="J3969">
        <v>-348.46690000000001</v>
      </c>
      <c r="K3969">
        <v>1.108765</v>
      </c>
      <c r="L3969">
        <v>141.3766</v>
      </c>
      <c r="M3969">
        <v>-0.99993030000000005</v>
      </c>
      <c r="N3969">
        <v>0</v>
      </c>
      <c r="O3969">
        <v>-1.2834560000000001E-3</v>
      </c>
      <c r="P3969">
        <v>-0.99182599999999999</v>
      </c>
      <c r="Q3969">
        <v>0.12508820000000001</v>
      </c>
      <c r="R3969">
        <v>2.5188789999999999E-2</v>
      </c>
      <c r="S3969">
        <v>-3.0335390000000002</v>
      </c>
      <c r="T3969">
        <v>-3.1858440000000002E-2</v>
      </c>
      <c r="U3969">
        <v>-0.19294739999999999</v>
      </c>
      <c r="V3969">
        <v>2.6467170000000002E-2</v>
      </c>
      <c r="W3969">
        <v>0.13673469999999999</v>
      </c>
      <c r="X3969">
        <v>0.99025399999999997</v>
      </c>
      <c r="Y3969">
        <v>-6.2192099999999903E-2</v>
      </c>
      <c r="Z3969">
        <v>-3.1276859999999999E-4</v>
      </c>
      <c r="AA3969">
        <v>0.99806419999999996</v>
      </c>
      <c r="AB3969">
        <v>28</v>
      </c>
      <c r="AC3969">
        <v>-105.394599999999</v>
      </c>
      <c r="AD3969">
        <v>-1.108767481309</v>
      </c>
      <c r="AE3969">
        <v>-6.7149999999999999</v>
      </c>
      <c r="AF3969">
        <v>-6.5789906421504103</v>
      </c>
      <c r="AG3969">
        <v>-1.108767481309</v>
      </c>
      <c r="AH3969">
        <v>105.391515275663</v>
      </c>
      <c r="AI3969">
        <v>90.601584961321294</v>
      </c>
      <c r="AJ3969">
        <v>93.572013439899393</v>
      </c>
      <c r="AK3969">
        <v>105.60248091450001</v>
      </c>
      <c r="AL3969">
        <v>82.141058334772495</v>
      </c>
      <c r="AM3969">
        <v>88.468982514897803</v>
      </c>
      <c r="AN3969">
        <v>0.99999993689394695</v>
      </c>
    </row>
    <row r="3970" spans="1:40" x14ac:dyDescent="0.25">
      <c r="A3970" t="str">
        <f>"20190312164550270"</f>
        <v>20190312164550270</v>
      </c>
      <c r="B3970" t="str">
        <f>"1552380350265876"</f>
        <v>1552380350265876</v>
      </c>
      <c r="C3970" t="s">
        <v>40</v>
      </c>
      <c r="D3970">
        <v>4.8042879999999997</v>
      </c>
      <c r="E3970">
        <v>0.49813059999999998</v>
      </c>
      <c r="F3970" t="s">
        <v>42</v>
      </c>
      <c r="G3970">
        <v>-453.63479999999998</v>
      </c>
      <c r="H3970" s="1">
        <v>-2.568788E-6</v>
      </c>
      <c r="I3970">
        <v>134.7166</v>
      </c>
      <c r="J3970">
        <v>-348.68680000000001</v>
      </c>
      <c r="K3970">
        <v>1.108768</v>
      </c>
      <c r="L3970">
        <v>141.37629999999999</v>
      </c>
      <c r="M3970">
        <v>-0.99993010000000004</v>
      </c>
      <c r="N3970">
        <v>0</v>
      </c>
      <c r="O3970">
        <v>-1.283457E-3</v>
      </c>
      <c r="P3970">
        <v>-0.99180999999999997</v>
      </c>
      <c r="Q3970">
        <v>0.125147699999999</v>
      </c>
      <c r="R3970">
        <v>2.552074E-2</v>
      </c>
      <c r="S3970">
        <v>-3.0336609999999999</v>
      </c>
      <c r="T3970">
        <v>-3.1983379999999999E-2</v>
      </c>
      <c r="U3970">
        <v>-0.19210820000000001</v>
      </c>
      <c r="V3970">
        <v>2.6799300000000002E-2</v>
      </c>
      <c r="W3970">
        <v>0.13679469999999999</v>
      </c>
      <c r="X3970">
        <v>0.99023680000000003</v>
      </c>
      <c r="Y3970">
        <v>-6.1914549999999999E-2</v>
      </c>
      <c r="Z3970">
        <v>-3.1252359999999998E-4</v>
      </c>
      <c r="AA3970">
        <v>0.99808140000000001</v>
      </c>
      <c r="AB3970">
        <v>28</v>
      </c>
      <c r="AC3970">
        <v>-104.947999999999</v>
      </c>
      <c r="AD3970">
        <v>-1.1087705687880001</v>
      </c>
      <c r="AE3970">
        <v>-6.6596999999999804</v>
      </c>
      <c r="AF3970">
        <v>-6.5242636579565998</v>
      </c>
      <c r="AG3970">
        <v>-1.1087705687880001</v>
      </c>
      <c r="AH3970">
        <v>104.944794808566</v>
      </c>
      <c r="AI3970">
        <v>90.604156820057298</v>
      </c>
      <c r="AJ3970">
        <v>93.557416069675099</v>
      </c>
      <c r="AK3970">
        <v>105.15324695826</v>
      </c>
      <c r="AL3970">
        <v>82.137588131953905</v>
      </c>
      <c r="AM3970">
        <v>88.449752556748905</v>
      </c>
      <c r="AN3970">
        <v>0.99999995625140903</v>
      </c>
    </row>
    <row r="3971" spans="1:40" x14ac:dyDescent="0.25">
      <c r="A3971" t="str">
        <f>"20190312164550286"</f>
        <v>20190312164550286</v>
      </c>
      <c r="B3971" t="str">
        <f>"1552380350275636"</f>
        <v>1552380350275636</v>
      </c>
      <c r="C3971" t="s">
        <v>40</v>
      </c>
      <c r="D3971">
        <v>4.8623279999999998</v>
      </c>
      <c r="E3971">
        <v>0.50507990000000003</v>
      </c>
      <c r="F3971" t="s">
        <v>42</v>
      </c>
      <c r="G3971">
        <v>-374.2285</v>
      </c>
      <c r="H3971" s="1">
        <v>-3.0025960000000002E-6</v>
      </c>
      <c r="I3971">
        <v>141.66200000000001</v>
      </c>
      <c r="J3971">
        <v>-348.89409999999998</v>
      </c>
      <c r="K3971">
        <v>1.1087670000000001</v>
      </c>
      <c r="L3971">
        <v>141.376</v>
      </c>
      <c r="M3971">
        <v>-0.99993010000000004</v>
      </c>
      <c r="N3971">
        <v>0</v>
      </c>
      <c r="O3971">
        <v>-1.283696E-3</v>
      </c>
      <c r="P3971">
        <v>-0.99184320000000004</v>
      </c>
      <c r="Q3971">
        <v>0.1249214</v>
      </c>
      <c r="R3971">
        <v>2.5333479999999998E-2</v>
      </c>
      <c r="S3971">
        <v>-3.0405579999999999</v>
      </c>
      <c r="T3971">
        <v>-0.13199149999999901</v>
      </c>
      <c r="U3971">
        <v>3.4027099999999998E-2</v>
      </c>
      <c r="V3971">
        <v>2.6611989999999999E-2</v>
      </c>
      <c r="W3971">
        <v>0.13656849999999901</v>
      </c>
      <c r="X3971">
        <v>0.99027310000000002</v>
      </c>
      <c r="Y3971">
        <v>1.2461119999999999E-2</v>
      </c>
      <c r="Z3971">
        <v>3.2603640000000001E-4</v>
      </c>
      <c r="AA3971">
        <v>0.99992230000000004</v>
      </c>
      <c r="AB3971">
        <v>28</v>
      </c>
      <c r="AC3971">
        <v>-25.334399999999999</v>
      </c>
      <c r="AD3971">
        <v>-1.1087700025959999</v>
      </c>
      <c r="AE3971">
        <v>0.28600000000000098</v>
      </c>
      <c r="AF3971">
        <v>0.31791481934174298</v>
      </c>
      <c r="AG3971">
        <v>-1.1087700025959999</v>
      </c>
      <c r="AH3971">
        <v>25.285585875032801</v>
      </c>
      <c r="AI3971">
        <v>92.510606653825903</v>
      </c>
      <c r="AJ3971">
        <v>89.279660049851202</v>
      </c>
      <c r="AK3971">
        <v>25.311880487128398</v>
      </c>
      <c r="AL3971">
        <v>82.150671432723797</v>
      </c>
      <c r="AM3971">
        <v>88.460638967276196</v>
      </c>
      <c r="AN3971">
        <v>0.99999998289380998</v>
      </c>
    </row>
    <row r="3972" spans="1:40" x14ac:dyDescent="0.25">
      <c r="A3972" t="str">
        <f>"20190312164550304"</f>
        <v>20190312164550304</v>
      </c>
      <c r="B3972" t="str">
        <f>"1552380350295156"</f>
        <v>1552380350295156</v>
      </c>
      <c r="C3972" t="s">
        <v>40</v>
      </c>
      <c r="D3972">
        <v>4.9697509999999996</v>
      </c>
      <c r="E3972">
        <v>0.51225920000000003</v>
      </c>
      <c r="F3972" t="s">
        <v>42</v>
      </c>
      <c r="G3972">
        <v>-368.9862</v>
      </c>
      <c r="H3972" s="1">
        <v>-1.038291E-6</v>
      </c>
      <c r="I3972">
        <v>141.9504</v>
      </c>
      <c r="J3972">
        <v>-349.12139999999999</v>
      </c>
      <c r="K3972">
        <v>1.1087610000000001</v>
      </c>
      <c r="L3972">
        <v>141.37569999999999</v>
      </c>
      <c r="M3972">
        <v>-0.99993010000000004</v>
      </c>
      <c r="N3972">
        <v>0</v>
      </c>
      <c r="O3972">
        <v>-1.283817E-3</v>
      </c>
      <c r="P3972">
        <v>-0.99184039999999996</v>
      </c>
      <c r="Q3972">
        <v>0.1248896</v>
      </c>
      <c r="R3972">
        <v>2.5600649999999999E-2</v>
      </c>
      <c r="S3972">
        <v>-3.0435789999999998</v>
      </c>
      <c r="T3972">
        <v>-0.16795839999999901</v>
      </c>
      <c r="U3972">
        <v>8.702087E-2</v>
      </c>
      <c r="V3972">
        <v>2.6879429999999999E-2</v>
      </c>
      <c r="W3972">
        <v>0.13653680000000001</v>
      </c>
      <c r="X3972">
        <v>0.99027030000000005</v>
      </c>
      <c r="Y3972">
        <v>2.981603E-2</v>
      </c>
      <c r="Z3972">
        <v>8.9268210000000004E-4</v>
      </c>
      <c r="AA3972">
        <v>0.99955499999999997</v>
      </c>
      <c r="AB3972">
        <v>28</v>
      </c>
      <c r="AC3972">
        <v>-19.864799999999999</v>
      </c>
      <c r="AD3972">
        <v>-1.108762038291</v>
      </c>
      <c r="AE3972">
        <v>0.57470000000000698</v>
      </c>
      <c r="AF3972">
        <v>0.598341565230888</v>
      </c>
      <c r="AG3972">
        <v>-1.108762038291</v>
      </c>
      <c r="AH3972">
        <v>19.802405726373699</v>
      </c>
      <c r="AI3972">
        <v>93.203258978319795</v>
      </c>
      <c r="AJ3972">
        <v>88.269300231036198</v>
      </c>
      <c r="AK3972">
        <v>19.842445374453099</v>
      </c>
      <c r="AL3972">
        <v>82.152505289083194</v>
      </c>
      <c r="AM3972">
        <v>88.445172158027901</v>
      </c>
      <c r="AN3972">
        <v>1.0000000342867199</v>
      </c>
    </row>
    <row r="3973" spans="1:40" x14ac:dyDescent="0.25">
      <c r="A3973" t="str">
        <f>"20190312164550325"</f>
        <v>20190312164550325</v>
      </c>
      <c r="B3973" t="str">
        <f>"1552380350315651"</f>
        <v>1552380350315651</v>
      </c>
      <c r="C3973" t="s">
        <v>40</v>
      </c>
      <c r="D3973">
        <v>4.7424160000000004</v>
      </c>
      <c r="E3973">
        <v>0.51538009999999901</v>
      </c>
      <c r="F3973" t="s">
        <v>41</v>
      </c>
      <c r="G3973">
        <v>-349.904</v>
      </c>
      <c r="H3973">
        <v>1.0425610000000001</v>
      </c>
      <c r="I3973">
        <v>141.41200000000001</v>
      </c>
      <c r="J3973">
        <v>-349.38920000000002</v>
      </c>
      <c r="K3973">
        <v>1.1087610000000001</v>
      </c>
      <c r="L3973">
        <v>141.37540000000001</v>
      </c>
      <c r="M3973">
        <v>-0.99993019999999999</v>
      </c>
      <c r="N3973">
        <v>0</v>
      </c>
      <c r="O3973">
        <v>-1.2840569999999999E-3</v>
      </c>
      <c r="P3973">
        <v>-0.99182000000000003</v>
      </c>
      <c r="Q3973">
        <v>0.1250319</v>
      </c>
      <c r="R3973">
        <v>2.569515E-2</v>
      </c>
      <c r="S3973">
        <v>-3.0535890000000001</v>
      </c>
      <c r="T3973">
        <v>-0.25838430000000001</v>
      </c>
      <c r="U3973">
        <v>0.14056399999999999</v>
      </c>
      <c r="V3973">
        <v>2.6974000000000001E-2</v>
      </c>
      <c r="W3973">
        <v>0.13667950000000001</v>
      </c>
      <c r="X3973">
        <v>0.99024800000000002</v>
      </c>
      <c r="Y3973">
        <v>4.7093910000000003E-2</v>
      </c>
      <c r="Z3973">
        <v>2.0962730000000001E-3</v>
      </c>
      <c r="AA3973">
        <v>0.99888829999999995</v>
      </c>
      <c r="AB3973">
        <v>28</v>
      </c>
      <c r="AC3973">
        <v>-0.51479999999997905</v>
      </c>
      <c r="AD3973">
        <v>-6.6199999999999995E-2</v>
      </c>
      <c r="AE3973">
        <v>3.6599999999992798E-2</v>
      </c>
      <c r="AF3973">
        <v>3.6657909603849501E-2</v>
      </c>
      <c r="AG3973">
        <v>-6.6199999999999995E-2</v>
      </c>
      <c r="AH3973">
        <v>0.50642036183188699</v>
      </c>
      <c r="AI3973">
        <v>97.428338901234596</v>
      </c>
      <c r="AJ3973">
        <v>85.859790189972102</v>
      </c>
      <c r="AK3973">
        <v>0.51204279627240501</v>
      </c>
      <c r="AL3973">
        <v>82.144251471885198</v>
      </c>
      <c r="AM3973">
        <v>88.439669380884695</v>
      </c>
      <c r="AN3973">
        <v>0.99999999195012501</v>
      </c>
    </row>
    <row r="3974" spans="1:40" x14ac:dyDescent="0.25">
      <c r="A3974" t="str">
        <f>"20190312164550347"</f>
        <v>20190312164550347</v>
      </c>
      <c r="B3974" t="str">
        <f>"1552380350335172"</f>
        <v>1552380350335172</v>
      </c>
      <c r="C3974" t="s">
        <v>40</v>
      </c>
      <c r="D3974">
        <v>4.7168479999999997</v>
      </c>
      <c r="E3974">
        <v>0.52715230000000002</v>
      </c>
      <c r="F3974" t="s">
        <v>41</v>
      </c>
      <c r="G3974">
        <v>-350.15699999999998</v>
      </c>
      <c r="H3974">
        <v>1.040629</v>
      </c>
      <c r="I3974">
        <v>141.41679999999999</v>
      </c>
      <c r="J3974">
        <v>-349.66969999999998</v>
      </c>
      <c r="K3974">
        <v>1.1087590000000001</v>
      </c>
      <c r="L3974">
        <v>141.375</v>
      </c>
      <c r="M3974">
        <v>-0.99993010000000004</v>
      </c>
      <c r="N3974">
        <v>0</v>
      </c>
      <c r="O3974">
        <v>-1.2840600000000001E-3</v>
      </c>
      <c r="P3974">
        <v>-0.99179010000000001</v>
      </c>
      <c r="Q3974">
        <v>0.1252074</v>
      </c>
      <c r="R3974">
        <v>2.599487E-2</v>
      </c>
      <c r="S3974">
        <v>-3.0546259999999998</v>
      </c>
      <c r="T3974">
        <v>-0.27105879999999999</v>
      </c>
      <c r="U3974">
        <v>0.16464229999999899</v>
      </c>
      <c r="V3974">
        <v>2.7273809999999999E-2</v>
      </c>
      <c r="W3974">
        <v>0.1368547</v>
      </c>
      <c r="X3974">
        <v>0.99021559999999997</v>
      </c>
      <c r="Y3974">
        <v>5.4883380000000002E-2</v>
      </c>
      <c r="Z3974">
        <v>2.5422169999999998E-3</v>
      </c>
      <c r="AA3974">
        <v>0.99848959999999998</v>
      </c>
      <c r="AB3974">
        <v>28</v>
      </c>
      <c r="AC3974">
        <v>-0.48730000000000401</v>
      </c>
      <c r="AD3974">
        <v>-6.8129999999999996E-2</v>
      </c>
      <c r="AE3974">
        <v>4.1799999999994897E-2</v>
      </c>
      <c r="AF3974">
        <v>4.1618156042379298E-2</v>
      </c>
      <c r="AG3974">
        <v>-6.8129999999999996E-2</v>
      </c>
      <c r="AH3974">
        <v>0.477971179046289</v>
      </c>
      <c r="AI3974">
        <v>98.082118997476698</v>
      </c>
      <c r="AJ3974">
        <v>85.023662886501199</v>
      </c>
      <c r="AK3974">
        <v>0.48459283508040801</v>
      </c>
      <c r="AL3974">
        <v>82.134118109573805</v>
      </c>
      <c r="AM3974">
        <v>88.422283775089994</v>
      </c>
      <c r="AN3974">
        <v>1.0000000020536799</v>
      </c>
    </row>
    <row r="3975" spans="1:40" x14ac:dyDescent="0.25">
      <c r="A3975" t="str">
        <f>"20190312164550363"</f>
        <v>20190312164550363</v>
      </c>
      <c r="B3975" t="str">
        <f>"1552380350355668"</f>
        <v>1552380350355668</v>
      </c>
      <c r="C3975" t="s">
        <v>40</v>
      </c>
      <c r="D3975">
        <v>4.7432080000000001</v>
      </c>
      <c r="E3975">
        <v>0.52783749999999996</v>
      </c>
      <c r="F3975" t="s">
        <v>41</v>
      </c>
      <c r="G3975">
        <v>-350.36930000000001</v>
      </c>
      <c r="H3975">
        <v>0.95582699999999998</v>
      </c>
      <c r="I3975">
        <v>141.42859999999999</v>
      </c>
      <c r="J3975">
        <v>-349.87569999999999</v>
      </c>
      <c r="K3975">
        <v>1.108757</v>
      </c>
      <c r="L3975">
        <v>141.37479999999999</v>
      </c>
      <c r="M3975">
        <v>-0.99993019999999999</v>
      </c>
      <c r="N3975">
        <v>0</v>
      </c>
      <c r="O3975">
        <v>-1.28418E-3</v>
      </c>
      <c r="P3975">
        <v>-0.99180190000000001</v>
      </c>
      <c r="Q3975">
        <v>0.125141</v>
      </c>
      <c r="R3975">
        <v>2.586055E-2</v>
      </c>
      <c r="S3975">
        <v>-3.1043090000000002</v>
      </c>
      <c r="T3975">
        <v>-0.67862749999999905</v>
      </c>
      <c r="U3975">
        <v>0.2366791</v>
      </c>
      <c r="V3975">
        <v>2.7139460000000001E-2</v>
      </c>
      <c r="W3975">
        <v>0.13678860000000001</v>
      </c>
      <c r="X3975">
        <v>0.99022840000000001</v>
      </c>
      <c r="Y3975">
        <v>7.5498999999999997E-2</v>
      </c>
      <c r="Z3975">
        <v>8.4217240000000002E-3</v>
      </c>
      <c r="AA3975">
        <v>0.9971103</v>
      </c>
      <c r="AB3975">
        <v>28</v>
      </c>
      <c r="AC3975">
        <v>-0.49360000000001403</v>
      </c>
      <c r="AD3975">
        <v>-0.15292999999999901</v>
      </c>
      <c r="AE3975">
        <v>5.37999999999954E-2</v>
      </c>
      <c r="AF3975">
        <v>4.9717426132306897E-2</v>
      </c>
      <c r="AG3975">
        <v>-0.15292999999999901</v>
      </c>
      <c r="AH3975">
        <v>0.45076835194349202</v>
      </c>
      <c r="AI3975">
        <v>108.635147199302</v>
      </c>
      <c r="AJ3975">
        <v>83.706010559328504</v>
      </c>
      <c r="AK3975">
        <v>0.47859326622412202</v>
      </c>
      <c r="AL3975">
        <v>82.137941123069098</v>
      </c>
      <c r="AM3975">
        <v>88.430071944027702</v>
      </c>
      <c r="AN3975">
        <v>0.99999997777280503</v>
      </c>
    </row>
    <row r="3976" spans="1:40" x14ac:dyDescent="0.25">
      <c r="A3976" t="str">
        <f>"20190312164550377"</f>
        <v>20190312164550377</v>
      </c>
      <c r="B3976" t="str">
        <f>"1552380350365428"</f>
        <v>1552380350365428</v>
      </c>
      <c r="C3976" t="s">
        <v>40</v>
      </c>
      <c r="D3976">
        <v>4.9749650000000001</v>
      </c>
      <c r="E3976">
        <v>0.52758090000000002</v>
      </c>
      <c r="F3976" t="s">
        <v>41</v>
      </c>
      <c r="G3976">
        <v>-350.61630000000002</v>
      </c>
      <c r="H3976">
        <v>0.94154179999999998</v>
      </c>
      <c r="I3976">
        <v>141.4323</v>
      </c>
      <c r="J3976">
        <v>-350.03840000000002</v>
      </c>
      <c r="K3976">
        <v>1.108762</v>
      </c>
      <c r="L3976">
        <v>141.37459999999999</v>
      </c>
      <c r="M3976">
        <v>-0.99993010000000004</v>
      </c>
      <c r="N3976">
        <v>0</v>
      </c>
      <c r="O3976">
        <v>-1.284182E-3</v>
      </c>
      <c r="P3976">
        <v>-0.99181680000000005</v>
      </c>
      <c r="Q3976">
        <v>0.1249967</v>
      </c>
      <c r="R3976">
        <v>2.5990119999999999E-2</v>
      </c>
      <c r="S3976">
        <v>-3.106995</v>
      </c>
      <c r="T3976">
        <v>-0.70148500000000003</v>
      </c>
      <c r="U3976">
        <v>0.2409058</v>
      </c>
      <c r="V3976">
        <v>2.7269129999999999E-2</v>
      </c>
      <c r="W3976">
        <v>0.1366445</v>
      </c>
      <c r="X3976">
        <v>0.99024469999999998</v>
      </c>
      <c r="Y3976">
        <v>7.6635190000000006E-2</v>
      </c>
      <c r="Z3976">
        <v>8.8172800000000003E-3</v>
      </c>
      <c r="AA3976">
        <v>0.99702020000000002</v>
      </c>
      <c r="AB3976">
        <v>28</v>
      </c>
      <c r="AC3976">
        <v>-0.57789999999999897</v>
      </c>
      <c r="AD3976">
        <v>-0.16722020000000001</v>
      </c>
      <c r="AE3976">
        <v>5.7700000000011097E-2</v>
      </c>
      <c r="AF3976">
        <v>5.3968080068586499E-2</v>
      </c>
      <c r="AG3976">
        <v>-0.16722020000000001</v>
      </c>
      <c r="AH3976">
        <v>0.53358984816851296</v>
      </c>
      <c r="AI3976">
        <v>107.317291998112</v>
      </c>
      <c r="AJ3976">
        <v>84.224658371994906</v>
      </c>
      <c r="AK3976">
        <v>0.56177689078745996</v>
      </c>
      <c r="AL3976">
        <v>82.14627544887</v>
      </c>
      <c r="AM3976">
        <v>88.422600696114003</v>
      </c>
      <c r="AN3976">
        <v>0.99999994535464698</v>
      </c>
    </row>
    <row r="3977" spans="1:40" x14ac:dyDescent="0.25">
      <c r="A3977" t="str">
        <f>"20190312164550393"</f>
        <v>20190312164550393</v>
      </c>
      <c r="B3977" t="str">
        <f>"1552380350385923"</f>
        <v>1552380350385923</v>
      </c>
      <c r="C3977" t="s">
        <v>40</v>
      </c>
      <c r="D3977">
        <v>4.7890969999999999</v>
      </c>
      <c r="E3977">
        <v>0.52752919999999903</v>
      </c>
      <c r="F3977" t="s">
        <v>41</v>
      </c>
      <c r="G3977">
        <v>-350.86610000000002</v>
      </c>
      <c r="H3977">
        <v>0.93289849999999996</v>
      </c>
      <c r="I3977">
        <v>141.43950000000001</v>
      </c>
      <c r="J3977">
        <v>-350.24790000000002</v>
      </c>
      <c r="K3977">
        <v>1.108762</v>
      </c>
      <c r="L3977">
        <v>141.37430000000001</v>
      </c>
      <c r="M3977">
        <v>-0.99993010000000004</v>
      </c>
      <c r="N3977">
        <v>0</v>
      </c>
      <c r="O3977">
        <v>-1.2844219999999999E-3</v>
      </c>
      <c r="P3977">
        <v>-0.99187110000000001</v>
      </c>
      <c r="Q3977">
        <v>0.1245739</v>
      </c>
      <c r="R3977">
        <v>2.5948140000000001E-2</v>
      </c>
      <c r="S3977">
        <v>-3.1014710000000001</v>
      </c>
      <c r="T3977">
        <v>-0.65893610000000002</v>
      </c>
      <c r="U3977">
        <v>0.24192810000000001</v>
      </c>
      <c r="V3977">
        <v>2.7227330000000001E-2</v>
      </c>
      <c r="W3977">
        <v>0.13622310000000001</v>
      </c>
      <c r="X3977">
        <v>0.99030390000000001</v>
      </c>
      <c r="Y3977">
        <v>7.7304929999999994E-2</v>
      </c>
      <c r="Z3977">
        <v>8.3790229999999993E-3</v>
      </c>
      <c r="AA3977">
        <v>0.99697230000000003</v>
      </c>
      <c r="AB3977">
        <v>28</v>
      </c>
      <c r="AC3977">
        <v>-0.61820000000000097</v>
      </c>
      <c r="AD3977">
        <v>-0.17586349999999901</v>
      </c>
      <c r="AE3977">
        <v>6.5200000000004296E-2</v>
      </c>
      <c r="AF3977">
        <v>6.1103506676755202E-2</v>
      </c>
      <c r="AG3977">
        <v>-0.17586349999999901</v>
      </c>
      <c r="AH3977">
        <v>0.57230993189146195</v>
      </c>
      <c r="AI3977">
        <v>106.990564045951</v>
      </c>
      <c r="AJ3977">
        <v>83.905818370441494</v>
      </c>
      <c r="AK3977">
        <v>0.60183076300738902</v>
      </c>
      <c r="AL3977">
        <v>82.1706477304852</v>
      </c>
      <c r="AM3977">
        <v>88.425111528040901</v>
      </c>
      <c r="AN3977">
        <v>0.99999993741387205</v>
      </c>
    </row>
    <row r="3978" spans="1:40" x14ac:dyDescent="0.25">
      <c r="A3978" t="str">
        <f>"20190312164550407"</f>
        <v>20190312164550407</v>
      </c>
      <c r="B3978" t="str">
        <f>"1552380350395684"</f>
        <v>1552380350395684</v>
      </c>
      <c r="C3978" t="s">
        <v>40</v>
      </c>
      <c r="D3978">
        <v>4.7684860000000002</v>
      </c>
      <c r="E3978">
        <v>0.52766250000000003</v>
      </c>
      <c r="F3978" t="s">
        <v>41</v>
      </c>
      <c r="G3978">
        <v>-351.12490000000003</v>
      </c>
      <c r="H3978">
        <v>0.94226730000000003</v>
      </c>
      <c r="I3978">
        <v>141.44390000000001</v>
      </c>
      <c r="J3978">
        <v>-350.43329999999997</v>
      </c>
      <c r="K3978">
        <v>1.108765</v>
      </c>
      <c r="L3978">
        <v>141.3741</v>
      </c>
      <c r="M3978">
        <v>-0.99992999999999999</v>
      </c>
      <c r="N3978">
        <v>0</v>
      </c>
      <c r="O3978">
        <v>-1.284423E-3</v>
      </c>
      <c r="P3978">
        <v>-0.99189660000000002</v>
      </c>
      <c r="Q3978">
        <v>0.12436750000000001</v>
      </c>
      <c r="R3978">
        <v>2.596147E-2</v>
      </c>
      <c r="S3978">
        <v>-3.091888</v>
      </c>
      <c r="T3978">
        <v>-0.58701649999999905</v>
      </c>
      <c r="U3978">
        <v>0.24534610000000001</v>
      </c>
      <c r="V3978">
        <v>2.7240819999999999E-2</v>
      </c>
      <c r="W3978">
        <v>0.1360172</v>
      </c>
      <c r="X3978">
        <v>0.99033190000000004</v>
      </c>
      <c r="Y3978">
        <v>7.8958760000000003E-2</v>
      </c>
      <c r="Z3978">
        <v>7.6590759999999999E-3</v>
      </c>
      <c r="AA3978">
        <v>0.99684850000000003</v>
      </c>
      <c r="AB3978">
        <v>28</v>
      </c>
      <c r="AC3978">
        <v>-0.69160000000004995</v>
      </c>
      <c r="AD3978">
        <v>-0.166497699999999</v>
      </c>
      <c r="AE3978">
        <v>6.9800000000014906E-2</v>
      </c>
      <c r="AF3978">
        <v>6.6852786799270994E-2</v>
      </c>
      <c r="AG3978">
        <v>-0.166497699999999</v>
      </c>
      <c r="AH3978">
        <v>0.65398868248765096</v>
      </c>
      <c r="AI3978">
        <v>104.21234722549799</v>
      </c>
      <c r="AJ3978">
        <v>84.163318554015802</v>
      </c>
      <c r="AK3978">
        <v>0.67815335730943005</v>
      </c>
      <c r="AL3978">
        <v>82.182556312231199</v>
      </c>
      <c r="AM3978">
        <v>88.424376157082506</v>
      </c>
      <c r="AN3978">
        <v>1.0000000065638599</v>
      </c>
    </row>
    <row r="3979" spans="1:40" x14ac:dyDescent="0.25">
      <c r="A3979" t="str">
        <f>"20190312164550427"</f>
        <v>20190312164550427</v>
      </c>
      <c r="B3979" t="str">
        <f>"1552380350415204"</f>
        <v>1552380350415204</v>
      </c>
      <c r="C3979" t="s">
        <v>40</v>
      </c>
      <c r="D3979">
        <v>4.765676</v>
      </c>
      <c r="E3979">
        <v>0.52777859999999999</v>
      </c>
      <c r="F3979" t="s">
        <v>41</v>
      </c>
      <c r="G3979">
        <v>-351.1429</v>
      </c>
      <c r="H3979">
        <v>0.97886550000000006</v>
      </c>
      <c r="I3979">
        <v>141.43090000000001</v>
      </c>
      <c r="J3979">
        <v>-350.67020000000002</v>
      </c>
      <c r="K3979">
        <v>1.108765</v>
      </c>
      <c r="L3979">
        <v>141.37379999999999</v>
      </c>
      <c r="M3979">
        <v>-0.99993010000000004</v>
      </c>
      <c r="N3979">
        <v>0</v>
      </c>
      <c r="O3979">
        <v>-1.2846629999999999E-3</v>
      </c>
      <c r="P3979">
        <v>-0.99191689999999999</v>
      </c>
      <c r="Q3979">
        <v>0.1241675</v>
      </c>
      <c r="R3979">
        <v>2.6143889999999999E-2</v>
      </c>
      <c r="S3979">
        <v>-3.0888979999999999</v>
      </c>
      <c r="T3979">
        <v>-0.5654188</v>
      </c>
      <c r="U3979">
        <v>0.24723819999999999</v>
      </c>
      <c r="V3979">
        <v>2.742344E-2</v>
      </c>
      <c r="W3979">
        <v>0.13581779999999999</v>
      </c>
      <c r="X3979">
        <v>0.99035419999999996</v>
      </c>
      <c r="Y3979">
        <v>7.9728729999999998E-2</v>
      </c>
      <c r="Z3979">
        <v>7.4586019999999999E-3</v>
      </c>
      <c r="AA3979">
        <v>0.99678869999999997</v>
      </c>
      <c r="AB3979">
        <v>28</v>
      </c>
      <c r="AC3979">
        <v>-0.47269999999997397</v>
      </c>
      <c r="AD3979">
        <v>-0.129899499999999</v>
      </c>
      <c r="AE3979">
        <v>5.71000000000196E-2</v>
      </c>
      <c r="AF3979">
        <v>5.3709607513723299E-2</v>
      </c>
      <c r="AG3979">
        <v>-0.129899499999999</v>
      </c>
      <c r="AH3979">
        <v>0.43988525198726203</v>
      </c>
      <c r="AI3979">
        <v>106.337245448755</v>
      </c>
      <c r="AJ3979">
        <v>83.038692101006603</v>
      </c>
      <c r="AK3979">
        <v>0.46179826434865001</v>
      </c>
      <c r="AL3979">
        <v>82.194087900324106</v>
      </c>
      <c r="AM3979">
        <v>88.413854393268593</v>
      </c>
      <c r="AN3979">
        <v>0.99999998065795603</v>
      </c>
    </row>
    <row r="3980" spans="1:40" x14ac:dyDescent="0.25">
      <c r="A3980" t="str">
        <f>"20190312164550440"</f>
        <v>20190312164550440</v>
      </c>
      <c r="B3980" t="str">
        <f>"1552380350435881"</f>
        <v>1552380350435881</v>
      </c>
      <c r="C3980" t="s">
        <v>40</v>
      </c>
      <c r="D3980">
        <v>4.8097799999999999</v>
      </c>
      <c r="E3980">
        <v>0.52767810000000004</v>
      </c>
      <c r="F3980" t="s">
        <v>41</v>
      </c>
      <c r="G3980">
        <v>-351.39909999999998</v>
      </c>
      <c r="H3980">
        <v>0.98280190000000001</v>
      </c>
      <c r="I3980">
        <v>141.4333</v>
      </c>
      <c r="J3980">
        <v>-350.84390000000002</v>
      </c>
      <c r="K3980">
        <v>1.1087640000000001</v>
      </c>
      <c r="L3980">
        <v>141.37360000000001</v>
      </c>
      <c r="M3980">
        <v>-0.99993010000000004</v>
      </c>
      <c r="N3980">
        <v>0</v>
      </c>
      <c r="O3980">
        <v>-1.2846649999999999E-3</v>
      </c>
      <c r="P3980">
        <v>-0.99190149999999999</v>
      </c>
      <c r="Q3980">
        <v>0.1242708</v>
      </c>
      <c r="R3980">
        <v>2.6235089999999999E-2</v>
      </c>
      <c r="S3980">
        <v>-3.0845950000000002</v>
      </c>
      <c r="T3980">
        <v>-0.53303109999999998</v>
      </c>
      <c r="U3980">
        <v>0.2506256</v>
      </c>
      <c r="V3980">
        <v>2.7514710000000001E-2</v>
      </c>
      <c r="W3980">
        <v>0.13592129999999999</v>
      </c>
      <c r="X3980">
        <v>0.99033749999999998</v>
      </c>
      <c r="Y3980">
        <v>8.1051960000000006E-2</v>
      </c>
      <c r="Z3980">
        <v>7.1603869999999998E-3</v>
      </c>
      <c r="AA3980">
        <v>0.99668409999999996</v>
      </c>
      <c r="AB3980">
        <v>28</v>
      </c>
      <c r="AC3980">
        <v>-0.55519999999995595</v>
      </c>
      <c r="AD3980">
        <v>-0.12596209999999899</v>
      </c>
      <c r="AE3980">
        <v>5.9699999999992301E-2</v>
      </c>
      <c r="AF3980">
        <v>5.7487980924087002E-2</v>
      </c>
      <c r="AG3980">
        <v>-0.12596209999999899</v>
      </c>
      <c r="AH3980">
        <v>0.52824328205692594</v>
      </c>
      <c r="AI3980">
        <v>103.33608319247701</v>
      </c>
      <c r="AJ3980">
        <v>83.789023365515703</v>
      </c>
      <c r="AK3980">
        <v>0.54608816469999699</v>
      </c>
      <c r="AL3980">
        <v>82.188102523101193</v>
      </c>
      <c r="AM3980">
        <v>88.408551311461693</v>
      </c>
      <c r="AN3980">
        <v>1.00000001148316</v>
      </c>
    </row>
    <row r="3981" spans="1:40" x14ac:dyDescent="0.25">
      <c r="A3981" t="str">
        <f>"20190312164550453"</f>
        <v>20190312164550453</v>
      </c>
      <c r="B3981" t="str">
        <f>"1552380350445641"</f>
        <v>1552380350445641</v>
      </c>
      <c r="C3981" t="s">
        <v>40</v>
      </c>
      <c r="D3981">
        <v>4.809056</v>
      </c>
      <c r="E3981">
        <v>0.52773619999999899</v>
      </c>
      <c r="F3981" t="s">
        <v>41</v>
      </c>
      <c r="G3981">
        <v>-351.6497</v>
      </c>
      <c r="H3981">
        <v>0.97545490000000001</v>
      </c>
      <c r="I3981">
        <v>141.4393</v>
      </c>
      <c r="J3981">
        <v>-351.01139999999998</v>
      </c>
      <c r="K3981">
        <v>1.1087640000000001</v>
      </c>
      <c r="L3981">
        <v>141.3734</v>
      </c>
      <c r="M3981">
        <v>-0.99993010000000004</v>
      </c>
      <c r="N3981">
        <v>0</v>
      </c>
      <c r="O3981">
        <v>-1.2849039999999999E-3</v>
      </c>
      <c r="P3981">
        <v>-0.99191549999999995</v>
      </c>
      <c r="Q3981">
        <v>0.1241772</v>
      </c>
      <c r="R3981">
        <v>2.615164E-2</v>
      </c>
      <c r="S3981">
        <v>-3.0817260000000002</v>
      </c>
      <c r="T3981">
        <v>-0.50982609999999995</v>
      </c>
      <c r="U3981">
        <v>0.25119019999999997</v>
      </c>
      <c r="V3981">
        <v>2.7431520000000001E-2</v>
      </c>
      <c r="W3981">
        <v>0.1358277</v>
      </c>
      <c r="X3981">
        <v>0.99035260000000003</v>
      </c>
      <c r="Y3981">
        <v>8.1404260000000006E-2</v>
      </c>
      <c r="Z3981">
        <v>6.8880729999999998E-3</v>
      </c>
      <c r="AA3981">
        <v>0.99665740000000003</v>
      </c>
      <c r="AB3981">
        <v>28</v>
      </c>
      <c r="AC3981">
        <v>-0.63830000000001497</v>
      </c>
      <c r="AD3981">
        <v>-0.13330909999999899</v>
      </c>
      <c r="AE3981">
        <v>6.5899999999999098E-2</v>
      </c>
      <c r="AF3981">
        <v>6.3959756534884199E-2</v>
      </c>
      <c r="AG3981">
        <v>-0.13330909999999899</v>
      </c>
      <c r="AH3981">
        <v>0.61181005668552202</v>
      </c>
      <c r="AI3981">
        <v>102.227600794309</v>
      </c>
      <c r="AJ3981">
        <v>84.031871968914501</v>
      </c>
      <c r="AK3981">
        <v>0.62942331706122301</v>
      </c>
      <c r="AL3981">
        <v>82.193515222714694</v>
      </c>
      <c r="AM3981">
        <v>88.413384730617906</v>
      </c>
      <c r="AN3981">
        <v>0.99999996235177901</v>
      </c>
    </row>
    <row r="3982" spans="1:40" x14ac:dyDescent="0.25">
      <c r="A3982" t="str">
        <f>"20190312164550467"</f>
        <v>20190312164550467</v>
      </c>
      <c r="B3982" t="str">
        <f>"1552380350455401"</f>
        <v>1552380350455401</v>
      </c>
      <c r="C3982" t="s">
        <v>40</v>
      </c>
      <c r="D3982">
        <v>4.8233100000000002</v>
      </c>
      <c r="E3982">
        <v>0.52814729999999999</v>
      </c>
      <c r="F3982" t="s">
        <v>41</v>
      </c>
      <c r="G3982">
        <v>-351.89850000000001</v>
      </c>
      <c r="H3982">
        <v>0.96414010000000006</v>
      </c>
      <c r="I3982">
        <v>141.4462</v>
      </c>
      <c r="J3982">
        <v>-351.18740000000003</v>
      </c>
      <c r="K3982">
        <v>1.108762</v>
      </c>
      <c r="L3982">
        <v>141.37309999999999</v>
      </c>
      <c r="M3982">
        <v>-0.99993010000000004</v>
      </c>
      <c r="N3982">
        <v>0</v>
      </c>
      <c r="O3982">
        <v>-1.285025E-3</v>
      </c>
      <c r="P3982">
        <v>-0.99190769999999995</v>
      </c>
      <c r="Q3982">
        <v>0.12422900000000001</v>
      </c>
      <c r="R3982">
        <v>2.6199630000000002E-2</v>
      </c>
      <c r="S3982">
        <v>-3.0806879999999999</v>
      </c>
      <c r="T3982">
        <v>-0.50230319999999995</v>
      </c>
      <c r="U3982">
        <v>0.25186160000000002</v>
      </c>
      <c r="V3982">
        <v>2.7479529999999999E-2</v>
      </c>
      <c r="W3982">
        <v>0.13588020000000001</v>
      </c>
      <c r="X3982">
        <v>0.99034409999999895</v>
      </c>
      <c r="Y3982">
        <v>8.167555E-2</v>
      </c>
      <c r="Z3982">
        <v>6.8119060000000004E-3</v>
      </c>
      <c r="AA3982">
        <v>0.99663570000000001</v>
      </c>
      <c r="AB3982">
        <v>28</v>
      </c>
      <c r="AC3982">
        <v>-0.71109999999998696</v>
      </c>
      <c r="AD3982">
        <v>-0.1446219</v>
      </c>
      <c r="AE3982">
        <v>7.3100000000010795E-2</v>
      </c>
      <c r="AF3982">
        <v>7.1103519113011299E-2</v>
      </c>
      <c r="AG3982">
        <v>-0.1446219</v>
      </c>
      <c r="AH3982">
        <v>0.683048323404014</v>
      </c>
      <c r="AI3982">
        <v>101.892271234112</v>
      </c>
      <c r="AJ3982">
        <v>84.0570660008418</v>
      </c>
      <c r="AK3982">
        <v>0.70180212061157199</v>
      </c>
      <c r="AL3982">
        <v>82.190479300876504</v>
      </c>
      <c r="AM3982">
        <v>88.410595662499404</v>
      </c>
      <c r="AN3982">
        <v>0.999999994862935</v>
      </c>
    </row>
    <row r="3983" spans="1:40" x14ac:dyDescent="0.25">
      <c r="A3983" t="str">
        <f>"20190312164550483"</f>
        <v>20190312164550483</v>
      </c>
      <c r="B3983" t="str">
        <f>"1552380350475897"</f>
        <v>1552380350475897</v>
      </c>
      <c r="C3983" t="s">
        <v>40</v>
      </c>
      <c r="D3983">
        <v>4.8858249999999996</v>
      </c>
      <c r="E3983">
        <v>0.52891779999999999</v>
      </c>
      <c r="F3983" t="s">
        <v>41</v>
      </c>
      <c r="G3983">
        <v>-351.91230000000002</v>
      </c>
      <c r="H3983">
        <v>0.99219480000000004</v>
      </c>
      <c r="I3983">
        <v>141.43369999999999</v>
      </c>
      <c r="J3983">
        <v>-351.3931</v>
      </c>
      <c r="K3983">
        <v>1.1087499999999999</v>
      </c>
      <c r="L3983">
        <v>141.37289999999999</v>
      </c>
      <c r="M3983">
        <v>-0.99993010000000004</v>
      </c>
      <c r="N3983">
        <v>0</v>
      </c>
      <c r="O3983">
        <v>-1.2850260000000001E-3</v>
      </c>
      <c r="P3983">
        <v>-0.99189260000000001</v>
      </c>
      <c r="Q3983">
        <v>0.1242873</v>
      </c>
      <c r="R3983">
        <v>2.6493570000000001E-2</v>
      </c>
      <c r="S3983">
        <v>-3.0797729999999999</v>
      </c>
      <c r="T3983">
        <v>-0.49531779999999997</v>
      </c>
      <c r="U3983">
        <v>0.2557373</v>
      </c>
      <c r="V3983">
        <v>2.7773639999999999E-2</v>
      </c>
      <c r="W3983">
        <v>0.13593829999999901</v>
      </c>
      <c r="X3983">
        <v>0.99032799999999999</v>
      </c>
      <c r="Y3983">
        <v>8.2958299999999999E-2</v>
      </c>
      <c r="Z3983">
        <v>6.8223240000000003E-3</v>
      </c>
      <c r="AA3983">
        <v>0.99652960000000002</v>
      </c>
      <c r="AB3983">
        <v>28</v>
      </c>
      <c r="AC3983">
        <v>-0.51920000000001199</v>
      </c>
      <c r="AD3983">
        <v>-0.116555199999999</v>
      </c>
      <c r="AE3983">
        <v>6.0800000000000402E-2</v>
      </c>
      <c r="AF3983">
        <v>5.85561213945733E-2</v>
      </c>
      <c r="AG3983">
        <v>-0.116555199999999</v>
      </c>
      <c r="AH3983">
        <v>0.49453606231084901</v>
      </c>
      <c r="AI3983">
        <v>103.17300995557601</v>
      </c>
      <c r="AJ3983">
        <v>83.247266847594403</v>
      </c>
      <c r="AK3983">
        <v>0.51144877644367903</v>
      </c>
      <c r="AL3983">
        <v>82.187119845731701</v>
      </c>
      <c r="AM3983">
        <v>88.393567229227202</v>
      </c>
      <c r="AN3983">
        <v>1.0000000720348601</v>
      </c>
    </row>
    <row r="3984" spans="1:40" x14ac:dyDescent="0.25">
      <c r="A3984" t="str">
        <f>"20190312164550506"</f>
        <v>20190312164550506</v>
      </c>
      <c r="B3984" t="str">
        <f>"1552380350495416"</f>
        <v>1552380350495416</v>
      </c>
      <c r="C3984" t="s">
        <v>40</v>
      </c>
      <c r="D3984">
        <v>4.8039379999999996</v>
      </c>
      <c r="E3984">
        <v>0.54926350000000002</v>
      </c>
      <c r="F3984" t="s">
        <v>41</v>
      </c>
      <c r="G3984">
        <v>-352.16390000000001</v>
      </c>
      <c r="H3984">
        <v>0.98674010000000001</v>
      </c>
      <c r="I3984">
        <v>141.43879999999999</v>
      </c>
      <c r="J3984">
        <v>-351.67570000000001</v>
      </c>
      <c r="K3984">
        <v>1.1087560000000001</v>
      </c>
      <c r="L3984">
        <v>141.3725</v>
      </c>
      <c r="M3984">
        <v>-0.99993010000000004</v>
      </c>
      <c r="N3984">
        <v>0</v>
      </c>
      <c r="O3984">
        <v>-1.285385E-3</v>
      </c>
      <c r="P3984">
        <v>-0.99191439999999997</v>
      </c>
      <c r="Q3984">
        <v>0.1240631</v>
      </c>
      <c r="R3984">
        <v>2.6728789999999999E-2</v>
      </c>
      <c r="S3984">
        <v>-3.0784910000000001</v>
      </c>
      <c r="T3984">
        <v>-0.48733209999999999</v>
      </c>
      <c r="U3984">
        <v>0.26312259999999998</v>
      </c>
      <c r="V3984">
        <v>2.8009039999999999E-2</v>
      </c>
      <c r="W3984">
        <v>0.13571440000000001</v>
      </c>
      <c r="X3984">
        <v>0.99035200000000001</v>
      </c>
      <c r="Y3984">
        <v>8.5370210000000002E-2</v>
      </c>
      <c r="Z3984">
        <v>6.905217E-3</v>
      </c>
      <c r="AA3984">
        <v>0.99632540000000003</v>
      </c>
      <c r="AB3984">
        <v>28</v>
      </c>
      <c r="AC3984">
        <v>-0.48820000000000602</v>
      </c>
      <c r="AD3984">
        <v>-0.122015899999999</v>
      </c>
      <c r="AE3984">
        <v>6.6299999999983997E-2</v>
      </c>
      <c r="AF3984">
        <v>6.3059809495671096E-2</v>
      </c>
      <c r="AG3984">
        <v>-0.122015899999999</v>
      </c>
      <c r="AH3984">
        <v>0.45990650996761101</v>
      </c>
      <c r="AI3984">
        <v>104.726879618651</v>
      </c>
      <c r="AJ3984">
        <v>82.192607391003506</v>
      </c>
      <c r="AK3984">
        <v>0.47997751753288298</v>
      </c>
      <c r="AL3984">
        <v>82.200067758091294</v>
      </c>
      <c r="AM3984">
        <v>88.379998111307799</v>
      </c>
      <c r="AN3984">
        <v>0.99999999429653996</v>
      </c>
    </row>
    <row r="3985" spans="1:40" x14ac:dyDescent="0.25">
      <c r="A3985" t="str">
        <f>"20190312164550528"</f>
        <v>20190312164550528</v>
      </c>
      <c r="B3985" t="str">
        <f>"1552380350515913"</f>
        <v>1552380350515913</v>
      </c>
      <c r="C3985" t="s">
        <v>40</v>
      </c>
      <c r="D3985">
        <v>5.1123159999999999</v>
      </c>
      <c r="E3985">
        <v>0.549238</v>
      </c>
      <c r="F3985" t="s">
        <v>41</v>
      </c>
      <c r="G3985">
        <v>-352.43560000000002</v>
      </c>
      <c r="H3985">
        <v>1.021226</v>
      </c>
      <c r="I3985">
        <v>141.48070000000001</v>
      </c>
      <c r="J3985">
        <v>-351.95859999999999</v>
      </c>
      <c r="K3985">
        <v>1.108757</v>
      </c>
      <c r="L3985">
        <v>141.37219999999999</v>
      </c>
      <c r="M3985">
        <v>-0.99993010000000004</v>
      </c>
      <c r="N3985">
        <v>0</v>
      </c>
      <c r="O3985">
        <v>-1.2855060000000001E-3</v>
      </c>
      <c r="P3985">
        <v>-0.99193419999999999</v>
      </c>
      <c r="Q3985">
        <v>0.123886</v>
      </c>
      <c r="R3985">
        <v>2.6812849999999999E-2</v>
      </c>
      <c r="S3985">
        <v>-3.0567929999999999</v>
      </c>
      <c r="T3985">
        <v>-0.35216340000000002</v>
      </c>
      <c r="U3985">
        <v>0.4339905</v>
      </c>
      <c r="V3985">
        <v>2.8093389999999999E-2</v>
      </c>
      <c r="W3985">
        <v>0.13553770000000001</v>
      </c>
      <c r="X3985">
        <v>0.99037379999999997</v>
      </c>
      <c r="Y3985">
        <v>0.14091670000000001</v>
      </c>
      <c r="Z3985">
        <v>8.1974500000000002E-3</v>
      </c>
      <c r="AA3985">
        <v>0.98998750000000002</v>
      </c>
      <c r="AB3985">
        <v>28</v>
      </c>
      <c r="AC3985">
        <v>-0.47700000000003201</v>
      </c>
      <c r="AD3985">
        <v>-8.7530999999999998E-2</v>
      </c>
      <c r="AE3985">
        <v>0.10850000000002</v>
      </c>
      <c r="AF3985">
        <v>0.105728058033039</v>
      </c>
      <c r="AG3985">
        <v>-8.7530999999999998E-2</v>
      </c>
      <c r="AH3985">
        <v>0.46206620712673402</v>
      </c>
      <c r="AI3985">
        <v>100.462460486734</v>
      </c>
      <c r="AJ3985">
        <v>77.111691796385998</v>
      </c>
      <c r="AK3985">
        <v>0.482022072093098</v>
      </c>
      <c r="AL3985">
        <v>82.210286269833105</v>
      </c>
      <c r="AM3985">
        <v>88.375157789671107</v>
      </c>
      <c r="AN3985">
        <v>0.99999998520471101</v>
      </c>
    </row>
    <row r="3986" spans="1:40" x14ac:dyDescent="0.25">
      <c r="A3986" t="str">
        <f>"20190312164550549"</f>
        <v>20190312164550549</v>
      </c>
      <c r="B3986" t="str">
        <f>"1552380350545193"</f>
        <v>1552380350545193</v>
      </c>
      <c r="C3986" t="s">
        <v>40</v>
      </c>
      <c r="D3986">
        <v>4.814991</v>
      </c>
      <c r="E3986">
        <v>0.54982240000000004</v>
      </c>
      <c r="F3986" t="s">
        <v>41</v>
      </c>
      <c r="G3986">
        <v>-352.69119999999998</v>
      </c>
      <c r="H3986">
        <v>1.0237689999999999</v>
      </c>
      <c r="I3986">
        <v>141.47630000000001</v>
      </c>
      <c r="J3986">
        <v>-352.22370000000001</v>
      </c>
      <c r="K3986">
        <v>1.1087530000000001</v>
      </c>
      <c r="L3986">
        <v>141.37180000000001</v>
      </c>
      <c r="M3986">
        <v>-0.99993010000000004</v>
      </c>
      <c r="N3986">
        <v>0</v>
      </c>
      <c r="O3986">
        <v>-1.2857459999999999E-3</v>
      </c>
      <c r="P3986">
        <v>-0.99194150000000003</v>
      </c>
      <c r="Q3986">
        <v>0.1238961</v>
      </c>
      <c r="R3986">
        <v>2.6498830000000001E-2</v>
      </c>
      <c r="S3986">
        <v>-3.0569459999999999</v>
      </c>
      <c r="T3986">
        <v>-0.3546318</v>
      </c>
      <c r="U3986">
        <v>0.43424990000000002</v>
      </c>
      <c r="V3986">
        <v>2.7779499999999999E-2</v>
      </c>
      <c r="W3986">
        <v>0.1355481</v>
      </c>
      <c r="X3986">
        <v>0.99038119999999996</v>
      </c>
      <c r="Y3986">
        <v>0.1409792</v>
      </c>
      <c r="Z3986">
        <v>8.2576980000000008E-3</v>
      </c>
      <c r="AA3986">
        <v>0.98997809999999997</v>
      </c>
      <c r="AB3986">
        <v>28</v>
      </c>
      <c r="AC3986">
        <v>-0.46749999999997199</v>
      </c>
      <c r="AD3986">
        <v>-8.4983999999999907E-2</v>
      </c>
      <c r="AE3986">
        <v>0.10450000000000099</v>
      </c>
      <c r="AF3986">
        <v>0.10189414198942801</v>
      </c>
      <c r="AG3986">
        <v>-8.4983999999999907E-2</v>
      </c>
      <c r="AH3986">
        <v>0.45310474456035099</v>
      </c>
      <c r="AI3986">
        <v>100.369789871884</v>
      </c>
      <c r="AJ3986">
        <v>77.326167245454997</v>
      </c>
      <c r="AK3986">
        <v>0.472131979398623</v>
      </c>
      <c r="AL3986">
        <v>82.209684604117498</v>
      </c>
      <c r="AM3986">
        <v>88.393314728546699</v>
      </c>
      <c r="AN3986">
        <v>0.99999995467364799</v>
      </c>
    </row>
    <row r="3987" spans="1:40" x14ac:dyDescent="0.25">
      <c r="A3987" t="str">
        <f>"20190312164550572"</f>
        <v>20190312164550572</v>
      </c>
      <c r="B3987" t="str">
        <f>"1552380350565692"</f>
        <v>1552380350565692</v>
      </c>
      <c r="C3987" t="s">
        <v>40</v>
      </c>
      <c r="D3987">
        <v>4.5858109999999996</v>
      </c>
      <c r="E3987">
        <v>0.55003999999999997</v>
      </c>
      <c r="F3987" t="s">
        <v>41</v>
      </c>
      <c r="G3987">
        <v>-352.94619999999998</v>
      </c>
      <c r="H3987">
        <v>1.024804</v>
      </c>
      <c r="I3987">
        <v>141.47569999999999</v>
      </c>
      <c r="J3987">
        <v>-352.52100000000002</v>
      </c>
      <c r="K3987">
        <v>1.1087549999999999</v>
      </c>
      <c r="L3987">
        <v>141.3715</v>
      </c>
      <c r="M3987">
        <v>-0.99993010000000004</v>
      </c>
      <c r="N3987">
        <v>0</v>
      </c>
      <c r="O3987">
        <v>-1.285867E-3</v>
      </c>
      <c r="P3987">
        <v>-0.9919057</v>
      </c>
      <c r="Q3987">
        <v>0.1241945</v>
      </c>
      <c r="R3987">
        <v>2.6438050000000001E-2</v>
      </c>
      <c r="S3987">
        <v>-3.0570680000000001</v>
      </c>
      <c r="T3987">
        <v>-0.35524509999999998</v>
      </c>
      <c r="U3987">
        <v>0.437973</v>
      </c>
      <c r="V3987">
        <v>2.7718909999999999E-2</v>
      </c>
      <c r="W3987">
        <v>0.1358462</v>
      </c>
      <c r="X3987">
        <v>0.9903421</v>
      </c>
      <c r="Y3987">
        <v>0.14214470000000001</v>
      </c>
      <c r="Z3987">
        <v>8.3380290000000003E-3</v>
      </c>
      <c r="AA3987">
        <v>0.98981079999999999</v>
      </c>
      <c r="AB3987">
        <v>28</v>
      </c>
      <c r="AC3987">
        <v>-0.42520000000001701</v>
      </c>
      <c r="AD3987">
        <v>-8.3950999999999804E-2</v>
      </c>
      <c r="AE3987">
        <v>0.10419999999999099</v>
      </c>
      <c r="AF3987">
        <v>0.10103140767303501</v>
      </c>
      <c r="AG3987">
        <v>-8.3950999999999804E-2</v>
      </c>
      <c r="AH3987">
        <v>0.40998886104568599</v>
      </c>
      <c r="AI3987">
        <v>101.244715057104</v>
      </c>
      <c r="AJ3987">
        <v>76.156714384207902</v>
      </c>
      <c r="AK3987">
        <v>0.430518271295114</v>
      </c>
      <c r="AL3987">
        <v>82.192445641964298</v>
      </c>
      <c r="AM3987">
        <v>88.396753983934602</v>
      </c>
      <c r="AN3987">
        <v>1.0000000015292101</v>
      </c>
    </row>
    <row r="3988" spans="1:40" x14ac:dyDescent="0.25">
      <c r="A3988" t="str">
        <f>"20190312164550587"</f>
        <v>20190312164550587</v>
      </c>
      <c r="B3988" t="str">
        <f>"1552380350575449"</f>
        <v>1552380350575449</v>
      </c>
      <c r="C3988" t="s">
        <v>40</v>
      </c>
      <c r="D3988">
        <v>4.5720190000000001</v>
      </c>
      <c r="E3988">
        <v>0.54997369999999901</v>
      </c>
      <c r="F3988" t="s">
        <v>41</v>
      </c>
      <c r="G3988">
        <v>-353.44400000000002</v>
      </c>
      <c r="H3988">
        <v>1.000597</v>
      </c>
      <c r="I3988">
        <v>141.50450000000001</v>
      </c>
      <c r="J3988">
        <v>-352.7165</v>
      </c>
      <c r="K3988">
        <v>1.108754</v>
      </c>
      <c r="L3988">
        <v>141.37119999999999</v>
      </c>
      <c r="M3988">
        <v>-0.99993010000000004</v>
      </c>
      <c r="N3988">
        <v>0</v>
      </c>
      <c r="O3988">
        <v>-1.2861070000000001E-3</v>
      </c>
      <c r="P3988">
        <v>-0.99188810000000005</v>
      </c>
      <c r="Q3988">
        <v>0.12436270000000001</v>
      </c>
      <c r="R3988">
        <v>2.630832E-2</v>
      </c>
      <c r="S3988">
        <v>-3.0576780000000001</v>
      </c>
      <c r="T3988">
        <v>-0.35835329999999999</v>
      </c>
      <c r="U3988">
        <v>0.43937680000000001</v>
      </c>
      <c r="V3988">
        <v>2.7589209999999999E-2</v>
      </c>
      <c r="W3988">
        <v>0.13601479999999999</v>
      </c>
      <c r="X3988">
        <v>0.99032260000000005</v>
      </c>
      <c r="Y3988">
        <v>0.1425437</v>
      </c>
      <c r="Z3988">
        <v>8.4317799999999998E-3</v>
      </c>
      <c r="AA3988">
        <v>0.98975259999999998</v>
      </c>
      <c r="AB3988">
        <v>28</v>
      </c>
      <c r="AC3988">
        <v>-0.72750000000002002</v>
      </c>
      <c r="AD3988">
        <v>-0.108157</v>
      </c>
      <c r="AE3988">
        <v>0.13330000000001899</v>
      </c>
      <c r="AF3988">
        <v>0.13142511814647201</v>
      </c>
      <c r="AG3988">
        <v>-0.108157</v>
      </c>
      <c r="AH3988">
        <v>0.71209994610258298</v>
      </c>
      <c r="AI3988">
        <v>98.495015653157793</v>
      </c>
      <c r="AJ3988">
        <v>79.543163379205296</v>
      </c>
      <c r="AK3988">
        <v>0.73215902068342797</v>
      </c>
      <c r="AL3988">
        <v>82.182695227140897</v>
      </c>
      <c r="AM3988">
        <v>88.404220465543204</v>
      </c>
      <c r="AN3988">
        <v>1.00000002119911</v>
      </c>
    </row>
    <row r="3989" spans="1:40" x14ac:dyDescent="0.25">
      <c r="A3989" t="str">
        <f>"20190312164550605"</f>
        <v>20190312164550605</v>
      </c>
      <c r="B3989" t="str">
        <f>"1552380350595945"</f>
        <v>1552380350595945</v>
      </c>
      <c r="C3989" t="s">
        <v>40</v>
      </c>
      <c r="D3989">
        <v>4.7802600000000002</v>
      </c>
      <c r="E3989">
        <v>0.54996800000000001</v>
      </c>
      <c r="F3989" t="s">
        <v>41</v>
      </c>
      <c r="G3989">
        <v>-353.4538</v>
      </c>
      <c r="H3989">
        <v>1.0217670000000001</v>
      </c>
      <c r="I3989">
        <v>141.47730000000001</v>
      </c>
      <c r="J3989">
        <v>-352.94499999999999</v>
      </c>
      <c r="K3989">
        <v>1.108754</v>
      </c>
      <c r="L3989">
        <v>141.37090000000001</v>
      </c>
      <c r="M3989">
        <v>-0.99992999999999999</v>
      </c>
      <c r="N3989">
        <v>0</v>
      </c>
      <c r="O3989">
        <v>-1.286108E-3</v>
      </c>
      <c r="P3989">
        <v>-0.9918825</v>
      </c>
      <c r="Q3989">
        <v>0.1244252</v>
      </c>
      <c r="R3989">
        <v>2.6221660000000001E-2</v>
      </c>
      <c r="S3989">
        <v>-3.0581670000000001</v>
      </c>
      <c r="T3989">
        <v>-0.36093750000000002</v>
      </c>
      <c r="U3989">
        <v>0.43827820000000001</v>
      </c>
      <c r="V3989">
        <v>2.750271E-2</v>
      </c>
      <c r="W3989">
        <v>0.13607669999999999</v>
      </c>
      <c r="X3989">
        <v>0.99031650000000004</v>
      </c>
      <c r="Y3989">
        <v>0.14216189999999901</v>
      </c>
      <c r="Z3989">
        <v>8.4687169999999902E-3</v>
      </c>
      <c r="AA3989">
        <v>0.9898072</v>
      </c>
      <c r="AB3989">
        <v>28</v>
      </c>
      <c r="AC3989">
        <v>-0.50880000000000702</v>
      </c>
      <c r="AD3989">
        <v>-8.6986999999999898E-2</v>
      </c>
      <c r="AE3989">
        <v>0.106400000000007</v>
      </c>
      <c r="AF3989">
        <v>0.104138008830371</v>
      </c>
      <c r="AG3989">
        <v>-8.6986999999999898E-2</v>
      </c>
      <c r="AH3989">
        <v>0.49480599363132599</v>
      </c>
      <c r="AI3989">
        <v>99.761133220877596</v>
      </c>
      <c r="AJ3989">
        <v>78.114854025724497</v>
      </c>
      <c r="AK3989">
        <v>0.51307351752515695</v>
      </c>
      <c r="AL3989">
        <v>82.1791153153887</v>
      </c>
      <c r="AM3989">
        <v>88.409211318656006</v>
      </c>
      <c r="AN3989">
        <v>1.0000000187562399</v>
      </c>
    </row>
    <row r="3990" spans="1:40" x14ac:dyDescent="0.25">
      <c r="A3990" t="str">
        <f>"20190312164550619"</f>
        <v>20190312164550619</v>
      </c>
      <c r="B3990" t="str">
        <f>"1552380350615465"</f>
        <v>1552380350615465</v>
      </c>
      <c r="C3990" t="s">
        <v>40</v>
      </c>
      <c r="D3990">
        <v>5.0198429999999998</v>
      </c>
      <c r="E3990">
        <v>0.54974250000000002</v>
      </c>
      <c r="F3990" t="s">
        <v>41</v>
      </c>
      <c r="G3990">
        <v>-353.70650000000001</v>
      </c>
      <c r="H3990">
        <v>1.017935</v>
      </c>
      <c r="I3990">
        <v>141.47999999999999</v>
      </c>
      <c r="J3990">
        <v>-353.12639999999999</v>
      </c>
      <c r="K3990">
        <v>1.108754</v>
      </c>
      <c r="L3990">
        <v>141.3707</v>
      </c>
      <c r="M3990">
        <v>-0.99993010000000004</v>
      </c>
      <c r="N3990">
        <v>0</v>
      </c>
      <c r="O3990">
        <v>-1.286466E-3</v>
      </c>
      <c r="P3990">
        <v>-0.99189649999999996</v>
      </c>
      <c r="Q3990">
        <v>0.1243015</v>
      </c>
      <c r="R3990">
        <v>2.628138E-2</v>
      </c>
      <c r="S3990">
        <v>-3.0587770000000001</v>
      </c>
      <c r="T3990">
        <v>-0.36485200000000001</v>
      </c>
      <c r="U3990">
        <v>0.43769839999999999</v>
      </c>
      <c r="V3990">
        <v>2.756258E-2</v>
      </c>
      <c r="W3990">
        <v>0.135953399999999</v>
      </c>
      <c r="X3990">
        <v>0.99033179999999998</v>
      </c>
      <c r="Y3990">
        <v>0.14193140000000001</v>
      </c>
      <c r="Z3990">
        <v>8.5447760000000005E-3</v>
      </c>
      <c r="AA3990">
        <v>0.98983960000000004</v>
      </c>
      <c r="AB3990">
        <v>28</v>
      </c>
      <c r="AC3990">
        <v>-0.58010000000001505</v>
      </c>
      <c r="AD3990">
        <v>-9.08189999999999E-2</v>
      </c>
      <c r="AE3990">
        <v>0.10929999999999</v>
      </c>
      <c r="AF3990">
        <v>0.107501680370559</v>
      </c>
      <c r="AG3990">
        <v>-9.08189999999999E-2</v>
      </c>
      <c r="AH3990">
        <v>0.56654871830510201</v>
      </c>
      <c r="AI3990">
        <v>98.950114407099406</v>
      </c>
      <c r="AJ3990">
        <v>79.2559500672768</v>
      </c>
      <c r="AK3990">
        <v>0.58376549423261404</v>
      </c>
      <c r="AL3990">
        <v>82.186246386769199</v>
      </c>
      <c r="AM3990">
        <v>88.405774770965905</v>
      </c>
      <c r="AN3990">
        <v>1.00000004843952</v>
      </c>
    </row>
    <row r="3991" spans="1:40" x14ac:dyDescent="0.25">
      <c r="A3991" t="str">
        <f>"20190312164550633"</f>
        <v>20190312164550633</v>
      </c>
      <c r="B3991" t="str">
        <f>"1552380350625225"</f>
        <v>1552380350625225</v>
      </c>
      <c r="C3991" t="s">
        <v>40</v>
      </c>
      <c r="D3991">
        <v>4.7527269999999904</v>
      </c>
      <c r="E3991">
        <v>0.54961709999999997</v>
      </c>
      <c r="F3991" t="s">
        <v>41</v>
      </c>
      <c r="G3991">
        <v>-353.95670000000001</v>
      </c>
      <c r="H3991">
        <v>1.0084569999999999</v>
      </c>
      <c r="I3991">
        <v>141.48939999999999</v>
      </c>
      <c r="J3991">
        <v>-353.30180000000001</v>
      </c>
      <c r="K3991">
        <v>1.1087530000000001</v>
      </c>
      <c r="L3991">
        <v>141.37049999999999</v>
      </c>
      <c r="M3991">
        <v>-0.99993010000000004</v>
      </c>
      <c r="N3991">
        <v>0</v>
      </c>
      <c r="O3991">
        <v>-1.286468E-3</v>
      </c>
      <c r="P3991">
        <v>-0.99194230000000005</v>
      </c>
      <c r="Q3991">
        <v>0.1239649</v>
      </c>
      <c r="R3991">
        <v>2.6146909999999999E-2</v>
      </c>
      <c r="S3991">
        <v>-3.0592649999999999</v>
      </c>
      <c r="T3991">
        <v>-0.36960490000000001</v>
      </c>
      <c r="U3991">
        <v>0.4359131</v>
      </c>
      <c r="V3991">
        <v>2.7428279999999999E-2</v>
      </c>
      <c r="W3991">
        <v>0.13561799999999999</v>
      </c>
      <c r="X3991">
        <v>0.99038150000000003</v>
      </c>
      <c r="Y3991">
        <v>0.14132169999999999</v>
      </c>
      <c r="Z3991">
        <v>8.6177839999999999E-3</v>
      </c>
      <c r="AA3991">
        <v>0.98992619999999998</v>
      </c>
      <c r="AB3991">
        <v>28</v>
      </c>
      <c r="AC3991">
        <v>-0.65489999999999704</v>
      </c>
      <c r="AD3991">
        <v>-0.100296</v>
      </c>
      <c r="AE3991">
        <v>0.118899999999996</v>
      </c>
      <c r="AF3991">
        <v>0.117084005632154</v>
      </c>
      <c r="AG3991">
        <v>-0.100296</v>
      </c>
      <c r="AH3991">
        <v>0.64021013412885996</v>
      </c>
      <c r="AI3991">
        <v>98.760656518580205</v>
      </c>
      <c r="AJ3991">
        <v>79.636067876213801</v>
      </c>
      <c r="AK3991">
        <v>0.65851117517637003</v>
      </c>
      <c r="AL3991">
        <v>82.205642924446494</v>
      </c>
      <c r="AM3991">
        <v>88.413618303013294</v>
      </c>
      <c r="AN3991">
        <v>1.0000000340049999</v>
      </c>
    </row>
    <row r="3992" spans="1:40" x14ac:dyDescent="0.25">
      <c r="A3992" t="str">
        <f>"20190312164550649"</f>
        <v>20190312164550649</v>
      </c>
      <c r="B3992" t="str">
        <f>"1552380350645721"</f>
        <v>1552380350645721</v>
      </c>
      <c r="C3992" t="s">
        <v>40</v>
      </c>
      <c r="D3992">
        <v>4.4629589999999997</v>
      </c>
      <c r="E3992">
        <v>0.54964749999999996</v>
      </c>
      <c r="F3992" t="s">
        <v>41</v>
      </c>
      <c r="G3992">
        <v>-354.20670000000001</v>
      </c>
      <c r="H3992">
        <v>0.99844940000000004</v>
      </c>
      <c r="I3992">
        <v>141.4991</v>
      </c>
      <c r="J3992">
        <v>-353.5059</v>
      </c>
      <c r="K3992">
        <v>1.1087499999999999</v>
      </c>
      <c r="L3992">
        <v>141.37020000000001</v>
      </c>
      <c r="M3992">
        <v>-0.99993010000000004</v>
      </c>
      <c r="N3992">
        <v>0</v>
      </c>
      <c r="O3992">
        <v>-1.286588E-3</v>
      </c>
      <c r="P3992">
        <v>-0.99199250000000005</v>
      </c>
      <c r="Q3992">
        <v>0.12360690000000001</v>
      </c>
      <c r="R3992">
        <v>2.5932549999999999E-2</v>
      </c>
      <c r="S3992">
        <v>-3.0594790000000001</v>
      </c>
      <c r="T3992">
        <v>-0.37292989999999998</v>
      </c>
      <c r="U3992">
        <v>0.43452449999999998</v>
      </c>
      <c r="V3992">
        <v>2.721409E-2</v>
      </c>
      <c r="W3992">
        <v>0.135260299999999</v>
      </c>
      <c r="X3992">
        <v>0.99043630000000005</v>
      </c>
      <c r="Y3992">
        <v>0.14085699999999901</v>
      </c>
      <c r="Z3992">
        <v>8.6663590000000002E-3</v>
      </c>
      <c r="AA3992">
        <v>0.98999199999999998</v>
      </c>
      <c r="AB3992">
        <v>28</v>
      </c>
      <c r="AC3992">
        <v>-0.70080000000001497</v>
      </c>
      <c r="AD3992">
        <v>-0.110300599999999</v>
      </c>
      <c r="AE3992">
        <v>0.128899999999987</v>
      </c>
      <c r="AF3992">
        <v>0.126764110801764</v>
      </c>
      <c r="AG3992">
        <v>-0.110300599999999</v>
      </c>
      <c r="AH3992">
        <v>0.68423804927607701</v>
      </c>
      <c r="AI3992">
        <v>99.006732550659095</v>
      </c>
      <c r="AJ3992">
        <v>79.504202935745795</v>
      </c>
      <c r="AK3992">
        <v>0.70456871220971296</v>
      </c>
      <c r="AL3992">
        <v>82.226328036940799</v>
      </c>
      <c r="AM3992">
        <v>88.426087293766003</v>
      </c>
      <c r="AN3992">
        <v>1.0000000099041499</v>
      </c>
    </row>
    <row r="3993" spans="1:40" x14ac:dyDescent="0.25">
      <c r="A3993" t="str">
        <f>"20190312164550664"</f>
        <v>20190312164550664</v>
      </c>
      <c r="B3993" t="str">
        <f>"1552380350655481"</f>
        <v>1552380350655481</v>
      </c>
      <c r="C3993" t="s">
        <v>40</v>
      </c>
      <c r="D3993">
        <v>4.4188589999999897</v>
      </c>
      <c r="E3993">
        <v>0.54972710000000002</v>
      </c>
      <c r="F3993" t="s">
        <v>41</v>
      </c>
      <c r="G3993">
        <v>-354.45769999999999</v>
      </c>
      <c r="H3993">
        <v>0.99043440000000005</v>
      </c>
      <c r="I3993">
        <v>141.50550000000001</v>
      </c>
      <c r="J3993">
        <v>-353.69720000000001</v>
      </c>
      <c r="K3993">
        <v>1.108749</v>
      </c>
      <c r="L3993">
        <v>141.37</v>
      </c>
      <c r="M3993">
        <v>-0.99993010000000004</v>
      </c>
      <c r="N3993">
        <v>0</v>
      </c>
      <c r="O3993">
        <v>-1.2867079999999999E-3</v>
      </c>
      <c r="P3993">
        <v>-0.99201479999999997</v>
      </c>
      <c r="Q3993">
        <v>0.1233904</v>
      </c>
      <c r="R3993">
        <v>2.611169E-2</v>
      </c>
      <c r="S3993">
        <v>-3.0602719999999999</v>
      </c>
      <c r="T3993">
        <v>-0.38050030000000001</v>
      </c>
      <c r="U3993">
        <v>0.43380740000000001</v>
      </c>
      <c r="V3993">
        <v>2.7393549999999999E-2</v>
      </c>
      <c r="W3993">
        <v>0.1350449</v>
      </c>
      <c r="X3993">
        <v>0.99046080000000003</v>
      </c>
      <c r="Y3993">
        <v>0.1405545</v>
      </c>
      <c r="Z3993">
        <v>8.8202409999999995E-3</v>
      </c>
      <c r="AA3993">
        <v>0.99003359999999996</v>
      </c>
      <c r="AB3993">
        <v>28</v>
      </c>
      <c r="AC3993">
        <v>-0.76049999999997897</v>
      </c>
      <c r="AD3993">
        <v>-0.11831459999999901</v>
      </c>
      <c r="AE3993">
        <v>0.135500000000007</v>
      </c>
      <c r="AF3993">
        <v>0.133350260271585</v>
      </c>
      <c r="AG3993">
        <v>-0.11831459999999901</v>
      </c>
      <c r="AH3993">
        <v>0.74289752771725903</v>
      </c>
      <c r="AI3993">
        <v>98.908938533440093</v>
      </c>
      <c r="AJ3993">
        <v>79.823766013134602</v>
      </c>
      <c r="AK3993">
        <v>0.76398780957295098</v>
      </c>
      <c r="AL3993">
        <v>82.238784254401907</v>
      </c>
      <c r="AM3993">
        <v>88.415752759349203</v>
      </c>
      <c r="AN3993">
        <v>1.00000006396712</v>
      </c>
    </row>
    <row r="3994" spans="1:40" x14ac:dyDescent="0.25">
      <c r="A3994" t="str">
        <f>"20190312164550676"</f>
        <v>20190312164550676</v>
      </c>
      <c r="B3994" t="str">
        <f>"1552380350665241"</f>
        <v>1552380350665241</v>
      </c>
      <c r="C3994" t="s">
        <v>40</v>
      </c>
      <c r="D3994">
        <v>4.4720570000000004</v>
      </c>
      <c r="E3994">
        <v>0.54975450000000003</v>
      </c>
      <c r="F3994" t="s">
        <v>41</v>
      </c>
      <c r="G3994">
        <v>-354.46769999999998</v>
      </c>
      <c r="H3994">
        <v>1.0120480000000001</v>
      </c>
      <c r="I3994">
        <v>141.47980000000001</v>
      </c>
      <c r="J3994">
        <v>-353.85430000000002</v>
      </c>
      <c r="K3994">
        <v>1.108749</v>
      </c>
      <c r="L3994">
        <v>141.3698</v>
      </c>
      <c r="M3994">
        <v>-0.99993010000000004</v>
      </c>
      <c r="N3994">
        <v>0</v>
      </c>
      <c r="O3994">
        <v>-1.286709E-3</v>
      </c>
      <c r="P3994">
        <v>-0.99200909999999998</v>
      </c>
      <c r="Q3994">
        <v>0.12346699999999999</v>
      </c>
      <c r="R3994">
        <v>2.596118E-2</v>
      </c>
      <c r="S3994">
        <v>-3.060486</v>
      </c>
      <c r="T3994">
        <v>-0.3842257</v>
      </c>
      <c r="U3994">
        <v>0.43489070000000002</v>
      </c>
      <c r="V3994">
        <v>2.7242929999999999E-2</v>
      </c>
      <c r="W3994">
        <v>0.13512099999999999</v>
      </c>
      <c r="X3994">
        <v>0.99045450000000002</v>
      </c>
      <c r="Y3994">
        <v>0.140865299999999</v>
      </c>
      <c r="Z3994">
        <v>8.9244440000000001E-3</v>
      </c>
      <c r="AA3994">
        <v>0.9899886</v>
      </c>
      <c r="AB3994">
        <v>28</v>
      </c>
      <c r="AC3994">
        <v>-0.61339999999995598</v>
      </c>
      <c r="AD3994">
        <v>-9.6700999999999898E-2</v>
      </c>
      <c r="AE3994">
        <v>0.110000000000013</v>
      </c>
      <c r="AF3994">
        <v>0.108184323503384</v>
      </c>
      <c r="AG3994">
        <v>-9.6700999999999898E-2</v>
      </c>
      <c r="AH3994">
        <v>0.59883885281718996</v>
      </c>
      <c r="AI3994">
        <v>99.029290258255401</v>
      </c>
      <c r="AJ3994">
        <v>79.759578425773398</v>
      </c>
      <c r="AK3994">
        <v>0.61616791777590296</v>
      </c>
      <c r="AL3994">
        <v>82.234383127766804</v>
      </c>
      <c r="AM3994">
        <v>88.424449125016096</v>
      </c>
      <c r="AN3994">
        <v>0.99999998922311695</v>
      </c>
    </row>
    <row r="3995" spans="1:40" x14ac:dyDescent="0.25">
      <c r="A3995" t="str">
        <f>"20190312164550688"</f>
        <v>20190312164550688</v>
      </c>
      <c r="B3995" t="str">
        <f>"1552380350685737"</f>
        <v>1552380350685737</v>
      </c>
      <c r="C3995" t="s">
        <v>40</v>
      </c>
      <c r="D3995">
        <v>4.5579140000000002</v>
      </c>
      <c r="E3995">
        <v>0.55001949999999999</v>
      </c>
      <c r="F3995" t="s">
        <v>41</v>
      </c>
      <c r="G3995">
        <v>-354.7167</v>
      </c>
      <c r="H3995">
        <v>0.99976520000000002</v>
      </c>
      <c r="I3995">
        <v>141.4923</v>
      </c>
      <c r="J3995">
        <v>-354.00889999999998</v>
      </c>
      <c r="K3995">
        <v>1.1087499999999999</v>
      </c>
      <c r="L3995">
        <v>141.36959999999999</v>
      </c>
      <c r="M3995">
        <v>-0.99993010000000004</v>
      </c>
      <c r="N3995">
        <v>0</v>
      </c>
      <c r="O3995">
        <v>-1.286948E-3</v>
      </c>
      <c r="P3995">
        <v>-0.99201150000000005</v>
      </c>
      <c r="Q3995">
        <v>0.1234335</v>
      </c>
      <c r="R3995">
        <v>2.603254E-2</v>
      </c>
      <c r="S3995">
        <v>-3.0609130000000002</v>
      </c>
      <c r="T3995">
        <v>-0.38684669999999999</v>
      </c>
      <c r="U3995">
        <v>0.43449399999999999</v>
      </c>
      <c r="V3995">
        <v>2.7314359999999999E-2</v>
      </c>
      <c r="W3995">
        <v>0.1350874</v>
      </c>
      <c r="X3995">
        <v>0.99045709999999998</v>
      </c>
      <c r="Y3995">
        <v>0.1407071</v>
      </c>
      <c r="Z3995">
        <v>8.9738209999999999E-3</v>
      </c>
      <c r="AA3995">
        <v>0.99001059999999996</v>
      </c>
      <c r="AB3995">
        <v>28</v>
      </c>
      <c r="AC3995">
        <v>-0.70780000000001997</v>
      </c>
      <c r="AD3995">
        <v>-0.10898479999999899</v>
      </c>
      <c r="AE3995">
        <v>0.122700000000008</v>
      </c>
      <c r="AF3995">
        <v>0.120829706301644</v>
      </c>
      <c r="AG3995">
        <v>-0.10898479999999899</v>
      </c>
      <c r="AH3995">
        <v>0.69172006238075301</v>
      </c>
      <c r="AI3995">
        <v>98.822264430679596</v>
      </c>
      <c r="AJ3995">
        <v>80.091541613456599</v>
      </c>
      <c r="AK3995">
        <v>0.71060125897440896</v>
      </c>
      <c r="AL3995">
        <v>82.236325956699403</v>
      </c>
      <c r="AM3995">
        <v>88.420324321311497</v>
      </c>
      <c r="AN3995">
        <v>0.99999997342068903</v>
      </c>
    </row>
    <row r="3996" spans="1:40" x14ac:dyDescent="0.25">
      <c r="A3996" t="str">
        <f>"20190312164550706"</f>
        <v>20190312164550706</v>
      </c>
      <c r="B3996" t="str">
        <f>"1552380350695496"</f>
        <v>1552380350695496</v>
      </c>
      <c r="C3996" t="s">
        <v>40</v>
      </c>
      <c r="D3996">
        <v>4.4285050000000004</v>
      </c>
      <c r="E3996">
        <v>0.55013140000000005</v>
      </c>
      <c r="F3996" t="s">
        <v>41</v>
      </c>
      <c r="G3996">
        <v>-354.72460000000001</v>
      </c>
      <c r="H3996">
        <v>1.016859</v>
      </c>
      <c r="I3996">
        <v>141.4717</v>
      </c>
      <c r="J3996">
        <v>-354.2269</v>
      </c>
      <c r="K3996">
        <v>1.1087549999999999</v>
      </c>
      <c r="L3996">
        <v>141.36930000000001</v>
      </c>
      <c r="M3996">
        <v>-0.99993010000000004</v>
      </c>
      <c r="N3996">
        <v>0</v>
      </c>
      <c r="O3996">
        <v>-1.2870679999999999E-3</v>
      </c>
      <c r="P3996">
        <v>-0.99201150000000005</v>
      </c>
      <c r="Q3996">
        <v>0.1234365</v>
      </c>
      <c r="R3996">
        <v>2.6016319999999999E-2</v>
      </c>
      <c r="S3996">
        <v>-3.0616150000000002</v>
      </c>
      <c r="T3996">
        <v>-0.39315509999999998</v>
      </c>
      <c r="U3996">
        <v>0.4363861</v>
      </c>
      <c r="V3996">
        <v>2.7298380000000001E-2</v>
      </c>
      <c r="W3996">
        <v>0.13509070000000001</v>
      </c>
      <c r="X3996">
        <v>0.99045709999999998</v>
      </c>
      <c r="Y3996">
        <v>0.14123540000000001</v>
      </c>
      <c r="Z3996">
        <v>9.1501810000000003E-3</v>
      </c>
      <c r="AA3996">
        <v>0.98993370000000003</v>
      </c>
      <c r="AB3996">
        <v>28</v>
      </c>
      <c r="AC3996">
        <v>-0.49770000000000802</v>
      </c>
      <c r="AD3996">
        <v>-9.1895999999999894E-2</v>
      </c>
      <c r="AE3996">
        <v>0.102399999999988</v>
      </c>
      <c r="AF3996">
        <v>9.9777040430230404E-2</v>
      </c>
      <c r="AG3996">
        <v>-9.1895999999999894E-2</v>
      </c>
      <c r="AH3996">
        <v>0.48180884997962298</v>
      </c>
      <c r="AI3996">
        <v>100.579158256431</v>
      </c>
      <c r="AJ3996">
        <v>78.300088453457107</v>
      </c>
      <c r="AK3996">
        <v>0.50053980913779705</v>
      </c>
      <c r="AL3996">
        <v>82.236135205142403</v>
      </c>
      <c r="AM3996">
        <v>88.421248027315897</v>
      </c>
      <c r="AN3996">
        <v>0.99999998285876202</v>
      </c>
    </row>
    <row r="3997" spans="1:40" x14ac:dyDescent="0.25">
      <c r="A3997" t="str">
        <f>"20190312164550728"</f>
        <v>20190312164550728</v>
      </c>
      <c r="B3997" t="str">
        <f>"1552380350725753"</f>
        <v>1552380350725753</v>
      </c>
      <c r="C3997" t="s">
        <v>40</v>
      </c>
      <c r="D3997">
        <v>4.4150929999999997</v>
      </c>
      <c r="E3997">
        <v>0.55046660000000003</v>
      </c>
      <c r="F3997" t="s">
        <v>41</v>
      </c>
      <c r="G3997">
        <v>-354.97710000000001</v>
      </c>
      <c r="H3997">
        <v>1.0118279999999999</v>
      </c>
      <c r="I3997">
        <v>141.4768</v>
      </c>
      <c r="J3997">
        <v>-354.51060000000001</v>
      </c>
      <c r="K3997">
        <v>1.1087579999999999</v>
      </c>
      <c r="L3997">
        <v>141.3689</v>
      </c>
      <c r="M3997">
        <v>-0.99993010000000004</v>
      </c>
      <c r="N3997">
        <v>0</v>
      </c>
      <c r="O3997">
        <v>-1.287308E-3</v>
      </c>
      <c r="P3997">
        <v>-0.99200449999999996</v>
      </c>
      <c r="Q3997">
        <v>0.12349830000000001</v>
      </c>
      <c r="R3997">
        <v>2.5993559999999999E-2</v>
      </c>
      <c r="S3997">
        <v>-3.0619200000000002</v>
      </c>
      <c r="T3997">
        <v>-0.39573740000000002</v>
      </c>
      <c r="U3997">
        <v>0.43722529999999998</v>
      </c>
      <c r="V3997">
        <v>2.7275919999999999E-2</v>
      </c>
      <c r="W3997">
        <v>0.1351531</v>
      </c>
      <c r="X3997">
        <v>0.99044920000000003</v>
      </c>
      <c r="Y3997">
        <v>0.14147109999999999</v>
      </c>
      <c r="Z3997">
        <v>9.2238419999999995E-3</v>
      </c>
      <c r="AA3997">
        <v>0.98989939999999998</v>
      </c>
      <c r="AB3997">
        <v>28</v>
      </c>
      <c r="AC3997">
        <v>-0.46649999999999597</v>
      </c>
      <c r="AD3997">
        <v>-9.6929999999999697E-2</v>
      </c>
      <c r="AE3997">
        <v>0.1079</v>
      </c>
      <c r="AF3997">
        <v>0.104229100369142</v>
      </c>
      <c r="AG3997">
        <v>-9.6929999999999697E-2</v>
      </c>
      <c r="AH3997">
        <v>0.44800129908993302</v>
      </c>
      <c r="AI3997">
        <v>101.899991268888</v>
      </c>
      <c r="AJ3997">
        <v>76.902919973035594</v>
      </c>
      <c r="AK3997">
        <v>0.470068393162132</v>
      </c>
      <c r="AL3997">
        <v>82.232526810542495</v>
      </c>
      <c r="AM3997">
        <v>88.422533728155599</v>
      </c>
      <c r="AN3997">
        <v>0.99999997701604804</v>
      </c>
    </row>
    <row r="3998" spans="1:40" x14ac:dyDescent="0.25">
      <c r="A3998" t="str">
        <f>"20190312164550751"</f>
        <v>20190312164550751</v>
      </c>
      <c r="B3998" t="str">
        <f>"1552380350745273"</f>
        <v>1552380350745273</v>
      </c>
      <c r="C3998" t="s">
        <v>40</v>
      </c>
      <c r="D3998">
        <v>4.3690810000000004</v>
      </c>
      <c r="E3998">
        <v>0.55055299999999996</v>
      </c>
      <c r="F3998" t="s">
        <v>41</v>
      </c>
      <c r="G3998">
        <v>-355.23289999999997</v>
      </c>
      <c r="H3998">
        <v>1.013903</v>
      </c>
      <c r="I3998">
        <v>141.4727</v>
      </c>
      <c r="J3998">
        <v>-354.79149999999998</v>
      </c>
      <c r="K3998">
        <v>1.1087610000000001</v>
      </c>
      <c r="L3998">
        <v>141.36859999999999</v>
      </c>
      <c r="M3998">
        <v>-0.99993010000000004</v>
      </c>
      <c r="N3998">
        <v>0</v>
      </c>
      <c r="O3998">
        <v>-1.287545E-3</v>
      </c>
      <c r="P3998">
        <v>-0.99198969999999997</v>
      </c>
      <c r="Q3998">
        <v>0.1235801</v>
      </c>
      <c r="R3998">
        <v>2.6161529999999999E-2</v>
      </c>
      <c r="S3998">
        <v>-3.0627749999999998</v>
      </c>
      <c r="T3998">
        <v>-0.40232180000000001</v>
      </c>
      <c r="U3998">
        <v>0.4395905</v>
      </c>
      <c r="V3998">
        <v>2.7444050000000001E-2</v>
      </c>
      <c r="W3998">
        <v>0.13523479999999999</v>
      </c>
      <c r="X3998">
        <v>0.99043340000000002</v>
      </c>
      <c r="Y3998">
        <v>0.14213809999999999</v>
      </c>
      <c r="Z3998">
        <v>9.4163900000000002E-3</v>
      </c>
      <c r="AA3998">
        <v>0.98980210000000002</v>
      </c>
      <c r="AB3998">
        <v>28</v>
      </c>
      <c r="AC3998">
        <v>-0.44139999999998702</v>
      </c>
      <c r="AD3998">
        <v>-9.4858000000000095E-2</v>
      </c>
      <c r="AE3998">
        <v>0.104100000000016</v>
      </c>
      <c r="AF3998">
        <v>0.10028100851478799</v>
      </c>
      <c r="AG3998">
        <v>-9.4858000000000095E-2</v>
      </c>
      <c r="AH3998">
        <v>0.422769539205679</v>
      </c>
      <c r="AI3998">
        <v>102.31531270254</v>
      </c>
      <c r="AJ3998">
        <v>76.656044131902803</v>
      </c>
      <c r="AK3998">
        <v>0.44473408247280199</v>
      </c>
      <c r="AL3998">
        <v>82.227802342797702</v>
      </c>
      <c r="AM3998">
        <v>88.412789806634194</v>
      </c>
      <c r="AN3998">
        <v>0.9999999734235</v>
      </c>
    </row>
    <row r="3999" spans="1:40" x14ac:dyDescent="0.25">
      <c r="A3999" t="str">
        <f>"20190312164550764"</f>
        <v>20190312164550764</v>
      </c>
      <c r="B3999" t="str">
        <f>"1552380350756010"</f>
        <v>1552380350756010</v>
      </c>
      <c r="C3999" t="s">
        <v>40</v>
      </c>
      <c r="D3999">
        <v>4.3924979999999998</v>
      </c>
      <c r="E3999">
        <v>0.55207850000000003</v>
      </c>
      <c r="F3999" t="s">
        <v>41</v>
      </c>
      <c r="G3999">
        <v>-355.72919999999999</v>
      </c>
      <c r="H3999">
        <v>0.9849464</v>
      </c>
      <c r="I3999">
        <v>141.50360000000001</v>
      </c>
      <c r="J3999">
        <v>-354.98469999999998</v>
      </c>
      <c r="K3999">
        <v>1.10876</v>
      </c>
      <c r="L3999">
        <v>141.3683</v>
      </c>
      <c r="M3999">
        <v>-0.99993010000000004</v>
      </c>
      <c r="N3999">
        <v>0</v>
      </c>
      <c r="O3999">
        <v>-1.2877839999999999E-3</v>
      </c>
      <c r="P3999">
        <v>-0.99198160000000002</v>
      </c>
      <c r="Q3999">
        <v>0.1236433</v>
      </c>
      <c r="R3999">
        <v>2.6169749999999999E-2</v>
      </c>
      <c r="S3999">
        <v>-3.0629879999999998</v>
      </c>
      <c r="T3999">
        <v>-0.40448139999999999</v>
      </c>
      <c r="U3999">
        <v>0.4405365</v>
      </c>
      <c r="V3999">
        <v>2.745239E-2</v>
      </c>
      <c r="W3999">
        <v>0.1352981</v>
      </c>
      <c r="X3999">
        <v>0.99042459999999999</v>
      </c>
      <c r="Y3999">
        <v>0.14241300000000001</v>
      </c>
      <c r="Z3999">
        <v>9.4836729999999998E-3</v>
      </c>
      <c r="AA3999">
        <v>0.98976189999999997</v>
      </c>
      <c r="AB3999">
        <v>29</v>
      </c>
      <c r="AC3999">
        <v>-0.74450000000001604</v>
      </c>
      <c r="AD3999">
        <v>-0.123813599999999</v>
      </c>
      <c r="AE3999">
        <v>0.1353</v>
      </c>
      <c r="AF3999">
        <v>0.13270578793409399</v>
      </c>
      <c r="AG3999">
        <v>-0.123813599999999</v>
      </c>
      <c r="AH3999">
        <v>0.72491698971943697</v>
      </c>
      <c r="AI3999">
        <v>99.536915632961197</v>
      </c>
      <c r="AJ3999">
        <v>79.626104555493797</v>
      </c>
      <c r="AK3999">
        <v>0.74729196147159205</v>
      </c>
      <c r="AL3999">
        <v>82.224142468247194</v>
      </c>
      <c r="AM3999">
        <v>88.412293615020104</v>
      </c>
      <c r="AN3999">
        <v>1.0000000489327301</v>
      </c>
    </row>
    <row r="4000" spans="1:40" x14ac:dyDescent="0.25">
      <c r="A4000" t="str">
        <f>"20190312164550778"</f>
        <v>20190312164550778</v>
      </c>
      <c r="B4000" t="str">
        <f>"1552380350775529"</f>
        <v>1552380350775529</v>
      </c>
      <c r="C4000" t="s">
        <v>40</v>
      </c>
      <c r="D4000">
        <v>4.7842549999999999</v>
      </c>
      <c r="E4000">
        <v>0.55168589999999995</v>
      </c>
      <c r="F4000" t="s">
        <v>41</v>
      </c>
      <c r="G4000">
        <v>-355.70609999999999</v>
      </c>
      <c r="H4000">
        <v>0.93883939999999999</v>
      </c>
      <c r="I4000">
        <v>141.46969999999999</v>
      </c>
      <c r="J4000">
        <v>-355.14190000000002</v>
      </c>
      <c r="K4000">
        <v>1.108757</v>
      </c>
      <c r="L4000">
        <v>141.3681</v>
      </c>
      <c r="M4000">
        <v>-0.99993010000000004</v>
      </c>
      <c r="N4000">
        <v>0</v>
      </c>
      <c r="O4000">
        <v>-1.2877850000000001E-3</v>
      </c>
      <c r="P4000">
        <v>-0.99199119999999996</v>
      </c>
      <c r="Q4000">
        <v>0.12358719999999999</v>
      </c>
      <c r="R4000">
        <v>2.607348E-2</v>
      </c>
      <c r="S4000">
        <v>-3.1039119999999998</v>
      </c>
      <c r="T4000">
        <v>-0.73117410000000005</v>
      </c>
      <c r="U4000">
        <v>0.43533329999999998</v>
      </c>
      <c r="V4000">
        <v>2.7356189999999999E-2</v>
      </c>
      <c r="W4000">
        <v>0.1352419</v>
      </c>
      <c r="X4000">
        <v>0.99043490000000001</v>
      </c>
      <c r="Y4000">
        <v>0.13647000000000001</v>
      </c>
      <c r="Z4000">
        <v>1.6080500000000001E-2</v>
      </c>
      <c r="AA4000">
        <v>0.99051369999999905</v>
      </c>
      <c r="AB4000">
        <v>29</v>
      </c>
      <c r="AC4000">
        <v>-0.56419999999997095</v>
      </c>
      <c r="AD4000">
        <v>-0.1699176</v>
      </c>
      <c r="AE4000">
        <v>0.10159999999999</v>
      </c>
      <c r="AF4000">
        <v>9.4062934340331195E-2</v>
      </c>
      <c r="AG4000">
        <v>-0.1699176</v>
      </c>
      <c r="AH4000">
        <v>0.51851610139589299</v>
      </c>
      <c r="AI4000">
        <v>107.87125135123701</v>
      </c>
      <c r="AJ4000">
        <v>79.717908505042502</v>
      </c>
      <c r="AK4000">
        <v>0.553695560586564</v>
      </c>
      <c r="AL4000">
        <v>82.227392071718796</v>
      </c>
      <c r="AM4000">
        <v>88.417870945246605</v>
      </c>
      <c r="AN4000">
        <v>1.0000000118924599</v>
      </c>
    </row>
    <row r="4001" spans="1:40" x14ac:dyDescent="0.25">
      <c r="A4001" t="str">
        <f>"20190312164550795"</f>
        <v>20190312164550795</v>
      </c>
      <c r="B4001" t="str">
        <f>"1552380350785289"</f>
        <v>1552380350785289</v>
      </c>
      <c r="C4001" t="s">
        <v>40</v>
      </c>
      <c r="D4001">
        <v>4.8036120000000002</v>
      </c>
      <c r="E4001">
        <v>0.55938189999999999</v>
      </c>
      <c r="F4001" t="s">
        <v>41</v>
      </c>
      <c r="G4001">
        <v>-355.9513</v>
      </c>
      <c r="H4001">
        <v>0.91703820000000003</v>
      </c>
      <c r="I4001">
        <v>141.4812</v>
      </c>
      <c r="J4001">
        <v>-355.36020000000002</v>
      </c>
      <c r="K4001">
        <v>1.1087560000000001</v>
      </c>
      <c r="L4001">
        <v>141.36779999999999</v>
      </c>
      <c r="M4001">
        <v>-0.99993010000000004</v>
      </c>
      <c r="N4001">
        <v>0</v>
      </c>
      <c r="O4001">
        <v>-1.288144E-3</v>
      </c>
      <c r="P4001">
        <v>-0.99202349999999995</v>
      </c>
      <c r="Q4001">
        <v>0.123296699999999</v>
      </c>
      <c r="R4001">
        <v>2.6227259999999999E-2</v>
      </c>
      <c r="S4001">
        <v>-3.1045530000000001</v>
      </c>
      <c r="T4001">
        <v>-0.73531089999999999</v>
      </c>
      <c r="U4001">
        <v>0.4317627</v>
      </c>
      <c r="V4001">
        <v>2.751058E-2</v>
      </c>
      <c r="W4001">
        <v>0.13495179999999901</v>
      </c>
      <c r="X4001">
        <v>0.99047019999999997</v>
      </c>
      <c r="Y4001">
        <v>0.1353154</v>
      </c>
      <c r="Z4001">
        <v>1.6032919999999999E-2</v>
      </c>
      <c r="AA4001">
        <v>0.99067280000000002</v>
      </c>
      <c r="AB4001">
        <v>29</v>
      </c>
      <c r="AC4001">
        <v>-0.59109999999998297</v>
      </c>
      <c r="AD4001">
        <v>-0.19171779999999899</v>
      </c>
      <c r="AE4001">
        <v>0.11340000000001201</v>
      </c>
      <c r="AF4001">
        <v>0.103645263074719</v>
      </c>
      <c r="AG4001">
        <v>-0.19171779999999899</v>
      </c>
      <c r="AH4001">
        <v>0.53651701530950802</v>
      </c>
      <c r="AI4001">
        <v>109.333473001607</v>
      </c>
      <c r="AJ4001">
        <v>79.066190361888999</v>
      </c>
      <c r="AK4001">
        <v>0.57909287952045396</v>
      </c>
      <c r="AL4001">
        <v>82.244167419654204</v>
      </c>
      <c r="AM4001">
        <v>88.409003143115498</v>
      </c>
      <c r="AN4001">
        <v>1.0000000187116</v>
      </c>
    </row>
    <row r="4002" spans="1:40" x14ac:dyDescent="0.25">
      <c r="A4002" t="str">
        <f>"20190312164550810"</f>
        <v>20190312164550810</v>
      </c>
      <c r="B4002" t="str">
        <f>"1552380350805785"</f>
        <v>1552380350805785</v>
      </c>
      <c r="C4002" t="s">
        <v>40</v>
      </c>
      <c r="D4002">
        <v>4.3085599999999999</v>
      </c>
      <c r="E4002">
        <v>0.5593243</v>
      </c>
      <c r="F4002" t="s">
        <v>41</v>
      </c>
      <c r="G4002">
        <v>-356.21809999999999</v>
      </c>
      <c r="H4002">
        <v>0.94016149999999998</v>
      </c>
      <c r="I4002">
        <v>141.50729999999999</v>
      </c>
      <c r="J4002">
        <v>-355.55689999999998</v>
      </c>
      <c r="K4002">
        <v>1.1087560000000001</v>
      </c>
      <c r="L4002">
        <v>141.36760000000001</v>
      </c>
      <c r="M4002">
        <v>-0.99993010000000004</v>
      </c>
      <c r="N4002">
        <v>0</v>
      </c>
      <c r="O4002">
        <v>-1.2881450000000001E-3</v>
      </c>
      <c r="P4002">
        <v>-0.99202769999999996</v>
      </c>
      <c r="Q4002">
        <v>0.1232959</v>
      </c>
      <c r="R4002">
        <v>2.60681E-2</v>
      </c>
      <c r="S4002">
        <v>-3.0862120000000002</v>
      </c>
      <c r="T4002">
        <v>-0.606518</v>
      </c>
      <c r="U4002">
        <v>0.50112920000000005</v>
      </c>
      <c r="V4002">
        <v>2.7351360000000002E-2</v>
      </c>
      <c r="W4002">
        <v>0.1349513</v>
      </c>
      <c r="X4002">
        <v>0.99047459999999998</v>
      </c>
      <c r="Y4002">
        <v>0.15856889999999901</v>
      </c>
      <c r="Z4002">
        <v>1.558533E-2</v>
      </c>
      <c r="AA4002">
        <v>0.98722489999999996</v>
      </c>
      <c r="AB4002">
        <v>29</v>
      </c>
      <c r="AC4002">
        <v>-0.661200000000007</v>
      </c>
      <c r="AD4002">
        <v>-0.16859449999999901</v>
      </c>
      <c r="AE4002">
        <v>0.13969999999997601</v>
      </c>
      <c r="AF4002">
        <v>0.13231657014536799</v>
      </c>
      <c r="AG4002">
        <v>-0.16859449999999901</v>
      </c>
      <c r="AH4002">
        <v>0.62228954345419296</v>
      </c>
      <c r="AI4002">
        <v>104.842326807785</v>
      </c>
      <c r="AJ4002">
        <v>77.996049600509593</v>
      </c>
      <c r="AK4002">
        <v>0.65816111709650005</v>
      </c>
      <c r="AL4002">
        <v>82.244195731497896</v>
      </c>
      <c r="AM4002">
        <v>88.418213514669304</v>
      </c>
      <c r="AN4002">
        <v>0.99999994175534801</v>
      </c>
    </row>
    <row r="4003" spans="1:40" x14ac:dyDescent="0.25">
      <c r="A4003" t="str">
        <f>"20190312164550823"</f>
        <v>20190312164550823</v>
      </c>
      <c r="B4003" t="str">
        <f>"1552380350815546"</f>
        <v>1552380350815546</v>
      </c>
      <c r="C4003" t="s">
        <v>40</v>
      </c>
      <c r="D4003">
        <v>5.1373430000000004</v>
      </c>
      <c r="E4003">
        <v>0.55672569999999999</v>
      </c>
      <c r="F4003" t="s">
        <v>41</v>
      </c>
      <c r="G4003">
        <v>-356.4692</v>
      </c>
      <c r="H4003">
        <v>0.93051340000000005</v>
      </c>
      <c r="I4003">
        <v>141.51589999999999</v>
      </c>
      <c r="J4003">
        <v>-355.73480000000001</v>
      </c>
      <c r="K4003">
        <v>1.1087560000000001</v>
      </c>
      <c r="L4003">
        <v>141.3673</v>
      </c>
      <c r="M4003">
        <v>-0.99993010000000004</v>
      </c>
      <c r="N4003">
        <v>0</v>
      </c>
      <c r="O4003">
        <v>-1.288265E-3</v>
      </c>
      <c r="P4003">
        <v>-0.99204460000000005</v>
      </c>
      <c r="Q4003">
        <v>0.1231222</v>
      </c>
      <c r="R4003">
        <v>2.6241850000000001E-2</v>
      </c>
      <c r="S4003">
        <v>-3.0859070000000002</v>
      </c>
      <c r="T4003">
        <v>-0.60296910000000004</v>
      </c>
      <c r="U4003">
        <v>0.50001530000000005</v>
      </c>
      <c r="V4003">
        <v>2.752518E-2</v>
      </c>
      <c r="W4003">
        <v>0.13477800000000001</v>
      </c>
      <c r="X4003">
        <v>0.99049350000000003</v>
      </c>
      <c r="Y4003">
        <v>0.15827629999999901</v>
      </c>
      <c r="Z4003">
        <v>1.54696E-2</v>
      </c>
      <c r="AA4003">
        <v>0.98727370000000003</v>
      </c>
      <c r="AB4003">
        <v>29</v>
      </c>
      <c r="AC4003">
        <v>-0.73439999999999295</v>
      </c>
      <c r="AD4003">
        <v>-0.178242599999999</v>
      </c>
      <c r="AE4003">
        <v>0.14859999999998699</v>
      </c>
      <c r="AF4003">
        <v>0.141536645032866</v>
      </c>
      <c r="AG4003">
        <v>-0.178242599999999</v>
      </c>
      <c r="AH4003">
        <v>0.69488517429683805</v>
      </c>
      <c r="AI4003">
        <v>104.108790503641</v>
      </c>
      <c r="AJ4003">
        <v>78.487280236145693</v>
      </c>
      <c r="AK4003">
        <v>0.73121026510810605</v>
      </c>
      <c r="AL4003">
        <v>82.254217556550003</v>
      </c>
      <c r="AM4003">
        <v>88.408196654181594</v>
      </c>
      <c r="AN4003">
        <v>1.0000000591801299</v>
      </c>
    </row>
    <row r="4004" spans="1:40" x14ac:dyDescent="0.25">
      <c r="A4004" t="str">
        <f>"20190312164550839"</f>
        <v>20190312164550839</v>
      </c>
      <c r="B4004" t="str">
        <f>"1552380350836042"</f>
        <v>1552380350836042</v>
      </c>
      <c r="C4004" t="s">
        <v>40</v>
      </c>
      <c r="D4004">
        <v>4.3257409999999998</v>
      </c>
      <c r="E4004">
        <v>0.55508769999999996</v>
      </c>
      <c r="F4004" t="s">
        <v>41</v>
      </c>
      <c r="G4004">
        <v>-356.4873</v>
      </c>
      <c r="H4004">
        <v>0.97148239999999997</v>
      </c>
      <c r="I4004">
        <v>141.48560000000001</v>
      </c>
      <c r="J4004">
        <v>-355.9255</v>
      </c>
      <c r="K4004">
        <v>1.1087549999999999</v>
      </c>
      <c r="L4004">
        <v>141.36709999999999</v>
      </c>
      <c r="M4004">
        <v>-0.99992999999999999</v>
      </c>
      <c r="N4004">
        <v>0</v>
      </c>
      <c r="O4004">
        <v>-1.288265E-3</v>
      </c>
      <c r="P4004">
        <v>-0.99204650000000005</v>
      </c>
      <c r="Q4004">
        <v>0.12315710000000001</v>
      </c>
      <c r="R4004">
        <v>2.5997679999999999E-2</v>
      </c>
      <c r="S4004">
        <v>-3.0810550000000001</v>
      </c>
      <c r="T4004">
        <v>-0.56209359999999997</v>
      </c>
      <c r="U4004">
        <v>0.48233029999999999</v>
      </c>
      <c r="V4004">
        <v>2.72809E-2</v>
      </c>
      <c r="W4004">
        <v>0.13481290000000001</v>
      </c>
      <c r="X4004">
        <v>0.99049540000000003</v>
      </c>
      <c r="Y4004">
        <v>0.15344279999999999</v>
      </c>
      <c r="Z4004">
        <v>1.403188E-2</v>
      </c>
      <c r="AA4004">
        <v>0.98805790000000004</v>
      </c>
      <c r="AB4004">
        <v>29</v>
      </c>
      <c r="AC4004">
        <v>-0.56180000000000496</v>
      </c>
      <c r="AD4004">
        <v>-0.137272599999999</v>
      </c>
      <c r="AE4004">
        <v>0.118500000000011</v>
      </c>
      <c r="AF4004">
        <v>0.112777243663884</v>
      </c>
      <c r="AG4004">
        <v>-0.137272599999999</v>
      </c>
      <c r="AH4004">
        <v>0.53127847687632501</v>
      </c>
      <c r="AI4004">
        <v>104.184432881224</v>
      </c>
      <c r="AJ4004">
        <v>78.015424989822506</v>
      </c>
      <c r="AK4004">
        <v>0.560195763453466</v>
      </c>
      <c r="AL4004">
        <v>82.252198676541497</v>
      </c>
      <c r="AM4004">
        <v>88.422319416599095</v>
      </c>
      <c r="AN4004">
        <v>0.99999995146618803</v>
      </c>
    </row>
    <row r="4005" spans="1:40" x14ac:dyDescent="0.25">
      <c r="A4005" t="str">
        <f>"20190312164550853"</f>
        <v>20190312164550853</v>
      </c>
      <c r="B4005" t="str">
        <f>"1552380350845802"</f>
        <v>1552380350845802</v>
      </c>
      <c r="C4005" t="s">
        <v>40</v>
      </c>
      <c r="D4005">
        <v>4.453678</v>
      </c>
      <c r="E4005">
        <v>0.55445619999999995</v>
      </c>
      <c r="F4005" t="s">
        <v>41</v>
      </c>
      <c r="G4005">
        <v>-356.7407</v>
      </c>
      <c r="H4005">
        <v>0.96758599999999995</v>
      </c>
      <c r="I4005">
        <v>141.49170000000001</v>
      </c>
      <c r="J4005">
        <v>-356.11189999999999</v>
      </c>
      <c r="K4005">
        <v>1.1087549999999999</v>
      </c>
      <c r="L4005">
        <v>141.36680000000001</v>
      </c>
      <c r="M4005">
        <v>-0.99993010000000004</v>
      </c>
      <c r="N4005">
        <v>0</v>
      </c>
      <c r="O4005">
        <v>-1.2885049999999999E-3</v>
      </c>
      <c r="P4005">
        <v>-0.99203019999999997</v>
      </c>
      <c r="Q4005">
        <v>0.12333769999999999</v>
      </c>
      <c r="R4005">
        <v>2.5772119999999999E-2</v>
      </c>
      <c r="S4005">
        <v>-3.0778500000000002</v>
      </c>
      <c r="T4005">
        <v>-0.53296319999999997</v>
      </c>
      <c r="U4005">
        <v>0.46998600000000001</v>
      </c>
      <c r="V4005">
        <v>2.7055610000000001E-2</v>
      </c>
      <c r="W4005">
        <v>0.13499340000000001</v>
      </c>
      <c r="X4005">
        <v>0.99047700000000005</v>
      </c>
      <c r="Y4005">
        <v>0.1500225</v>
      </c>
      <c r="Z4005">
        <v>1.3040639999999999E-2</v>
      </c>
      <c r="AA4005">
        <v>0.98859660000000005</v>
      </c>
      <c r="AB4005">
        <v>29</v>
      </c>
      <c r="AC4005">
        <v>-0.62880000000001202</v>
      </c>
      <c r="AD4005">
        <v>-0.14116899999999899</v>
      </c>
      <c r="AE4005">
        <v>0.124899999999996</v>
      </c>
      <c r="AF4005">
        <v>0.11989644172644801</v>
      </c>
      <c r="AG4005">
        <v>-0.14116899999999899</v>
      </c>
      <c r="AH4005">
        <v>0.59956586372938003</v>
      </c>
      <c r="AI4005">
        <v>103.000694036499</v>
      </c>
      <c r="AJ4005">
        <v>78.691604891472494</v>
      </c>
      <c r="AK4005">
        <v>0.62752136875904097</v>
      </c>
      <c r="AL4005">
        <v>82.241761412118606</v>
      </c>
      <c r="AM4005">
        <v>88.435312597634606</v>
      </c>
      <c r="AN4005">
        <v>0.99999995580251499</v>
      </c>
    </row>
    <row r="4006" spans="1:40" x14ac:dyDescent="0.25">
      <c r="A4006" t="str">
        <f>"20190312164550874"</f>
        <v>20190312164550874</v>
      </c>
      <c r="B4006" t="str">
        <f>"1552380350865324"</f>
        <v>1552380350865324</v>
      </c>
      <c r="C4006" t="s">
        <v>40</v>
      </c>
      <c r="D4006">
        <v>4.7781520000000004</v>
      </c>
      <c r="E4006">
        <v>0.55361099999999996</v>
      </c>
      <c r="F4006" t="s">
        <v>41</v>
      </c>
      <c r="G4006">
        <v>-356.99209999999999</v>
      </c>
      <c r="H4006">
        <v>0.95919390000000004</v>
      </c>
      <c r="I4006">
        <v>141.50020000000001</v>
      </c>
      <c r="J4006">
        <v>-356.36309999999997</v>
      </c>
      <c r="K4006">
        <v>1.1087549999999999</v>
      </c>
      <c r="L4006">
        <v>141.3665</v>
      </c>
      <c r="M4006">
        <v>-0.99993010000000004</v>
      </c>
      <c r="N4006">
        <v>0</v>
      </c>
      <c r="O4006">
        <v>-1.2886250000000001E-3</v>
      </c>
      <c r="P4006">
        <v>-0.99203940000000002</v>
      </c>
      <c r="Q4006">
        <v>0.12330969999999999</v>
      </c>
      <c r="R4006">
        <v>2.5546340000000001E-2</v>
      </c>
      <c r="S4006">
        <v>-3.0770569999999999</v>
      </c>
      <c r="T4006">
        <v>-0.52282550000000005</v>
      </c>
      <c r="U4006">
        <v>0.46502690000000002</v>
      </c>
      <c r="V4006">
        <v>2.6829990000000001E-2</v>
      </c>
      <c r="W4006">
        <v>0.134966</v>
      </c>
      <c r="X4006">
        <v>0.99048689999999995</v>
      </c>
      <c r="Y4006">
        <v>0.14860370000000001</v>
      </c>
      <c r="Z4006">
        <v>1.268179E-2</v>
      </c>
      <c r="AA4006">
        <v>0.98881549999999996</v>
      </c>
      <c r="AB4006">
        <v>29</v>
      </c>
      <c r="AC4006">
        <v>-0.62900000000001899</v>
      </c>
      <c r="AD4006">
        <v>-0.149561099999999</v>
      </c>
      <c r="AE4006">
        <v>0.13370000000000401</v>
      </c>
      <c r="AF4006">
        <v>0.12760775318821499</v>
      </c>
      <c r="AG4006">
        <v>-0.149561099999999</v>
      </c>
      <c r="AH4006">
        <v>0.59655736217132904</v>
      </c>
      <c r="AI4006">
        <v>103.774997688843</v>
      </c>
      <c r="AJ4006">
        <v>77.925994536532002</v>
      </c>
      <c r="AK4006">
        <v>0.628118577712655</v>
      </c>
      <c r="AL4006">
        <v>82.243346038810003</v>
      </c>
      <c r="AM4006">
        <v>88.448369810631505</v>
      </c>
      <c r="AN4006">
        <v>0.99999998429550396</v>
      </c>
    </row>
    <row r="4007" spans="1:40" x14ac:dyDescent="0.25">
      <c r="A4007" t="str">
        <f>"20190312164550887"</f>
        <v>20190312164550887</v>
      </c>
      <c r="B4007" t="str">
        <f>"1552380350876058"</f>
        <v>1552380350876058</v>
      </c>
      <c r="C4007" t="s">
        <v>40</v>
      </c>
      <c r="D4007">
        <v>4.6071980000000003</v>
      </c>
      <c r="E4007">
        <v>0.55325309999999905</v>
      </c>
      <c r="F4007" t="s">
        <v>41</v>
      </c>
      <c r="G4007">
        <v>-357.2491</v>
      </c>
      <c r="H4007">
        <v>0.96288130000000005</v>
      </c>
      <c r="I4007">
        <v>141.499</v>
      </c>
      <c r="J4007">
        <v>-356.54820000000001</v>
      </c>
      <c r="K4007">
        <v>1.1087560000000001</v>
      </c>
      <c r="L4007">
        <v>141.3663</v>
      </c>
      <c r="M4007">
        <v>-0.99993010000000004</v>
      </c>
      <c r="N4007">
        <v>0</v>
      </c>
      <c r="O4007">
        <v>-1.288745E-3</v>
      </c>
      <c r="P4007">
        <v>-0.99202040000000002</v>
      </c>
      <c r="Q4007">
        <v>0.123469</v>
      </c>
      <c r="R4007">
        <v>2.5516500000000001E-2</v>
      </c>
      <c r="S4007">
        <v>-3.0751949999999999</v>
      </c>
      <c r="T4007">
        <v>-0.50637100000000002</v>
      </c>
      <c r="U4007">
        <v>0.45893859999999997</v>
      </c>
      <c r="V4007">
        <v>2.6800239999999999E-2</v>
      </c>
      <c r="W4007">
        <v>0.1351252</v>
      </c>
      <c r="X4007">
        <v>0.99046599999999996</v>
      </c>
      <c r="Y4007">
        <v>0.146926</v>
      </c>
      <c r="Z4007">
        <v>1.2160529999999999E-2</v>
      </c>
      <c r="AA4007">
        <v>0.98907270000000003</v>
      </c>
      <c r="AB4007">
        <v>29</v>
      </c>
      <c r="AC4007">
        <v>-0.70089999999998998</v>
      </c>
      <c r="AD4007">
        <v>-0.145874699999999</v>
      </c>
      <c r="AE4007">
        <v>0.13269999999999901</v>
      </c>
      <c r="AF4007">
        <v>0.128240594801205</v>
      </c>
      <c r="AG4007">
        <v>-0.145874699999999</v>
      </c>
      <c r="AH4007">
        <v>0.67260217502049502</v>
      </c>
      <c r="AI4007">
        <v>102.02668187924699</v>
      </c>
      <c r="AJ4007">
        <v>79.205353580317606</v>
      </c>
      <c r="AK4007">
        <v>0.70008482635846203</v>
      </c>
      <c r="AL4007">
        <v>82.234140223898706</v>
      </c>
      <c r="AM4007">
        <v>88.450056781988096</v>
      </c>
      <c r="AN4007">
        <v>0.99999998484754804</v>
      </c>
    </row>
    <row r="4008" spans="1:40" x14ac:dyDescent="0.25">
      <c r="A4008" t="str">
        <f>"20190312164550907"</f>
        <v>20190312164550907</v>
      </c>
      <c r="B4008" t="str">
        <f>"1552380350895577"</f>
        <v>1552380350895577</v>
      </c>
      <c r="C4008" t="s">
        <v>40</v>
      </c>
      <c r="D4008">
        <v>4.9354750000000003</v>
      </c>
      <c r="E4008">
        <v>0.55257849999999997</v>
      </c>
      <c r="F4008" t="s">
        <v>41</v>
      </c>
      <c r="G4008">
        <v>-357.26260000000002</v>
      </c>
      <c r="H4008">
        <v>0.99236849999999999</v>
      </c>
      <c r="I4008">
        <v>141.4725</v>
      </c>
      <c r="J4008">
        <v>-356.791</v>
      </c>
      <c r="K4008">
        <v>1.1087579999999999</v>
      </c>
      <c r="L4008">
        <v>141.36600000000001</v>
      </c>
      <c r="M4008">
        <v>-0.99993010000000004</v>
      </c>
      <c r="N4008">
        <v>0</v>
      </c>
      <c r="O4008">
        <v>-1.288984E-3</v>
      </c>
      <c r="P4008">
        <v>-0.99205710000000003</v>
      </c>
      <c r="Q4008">
        <v>0.1232181</v>
      </c>
      <c r="R4008">
        <v>2.5304420000000001E-2</v>
      </c>
      <c r="S4008">
        <v>-3.074738</v>
      </c>
      <c r="T4008">
        <v>-0.50098350000000003</v>
      </c>
      <c r="U4008">
        <v>0.4559937</v>
      </c>
      <c r="V4008">
        <v>2.6588500000000001E-2</v>
      </c>
      <c r="W4008">
        <v>0.1348753</v>
      </c>
      <c r="X4008">
        <v>0.99050579999999999</v>
      </c>
      <c r="Y4008">
        <v>0.14607210000000001</v>
      </c>
      <c r="Z4008">
        <v>1.196669E-2</v>
      </c>
      <c r="AA4008">
        <v>0.98920149999999996</v>
      </c>
      <c r="AB4008">
        <v>29</v>
      </c>
      <c r="AC4008">
        <v>-0.471600000000023</v>
      </c>
      <c r="AD4008">
        <v>-0.11638949999999899</v>
      </c>
      <c r="AE4008">
        <v>0.106499999999982</v>
      </c>
      <c r="AF4008">
        <v>0.10124061053639601</v>
      </c>
      <c r="AG4008">
        <v>-0.11638949999999899</v>
      </c>
      <c r="AH4008">
        <v>0.44563623022490101</v>
      </c>
      <c r="AI4008">
        <v>104.288674685549</v>
      </c>
      <c r="AJ4008">
        <v>77.200667162966695</v>
      </c>
      <c r="AK4008">
        <v>0.47158013806891103</v>
      </c>
      <c r="AL4008">
        <v>82.248590979198198</v>
      </c>
      <c r="AM4008">
        <v>88.462358235280405</v>
      </c>
      <c r="AN4008">
        <v>1.0000000173579899</v>
      </c>
    </row>
    <row r="4009" spans="1:40" x14ac:dyDescent="0.25">
      <c r="A4009" t="str">
        <f>"20190312164550929"</f>
        <v>20190312164550929</v>
      </c>
      <c r="B4009" t="str">
        <f>"1552380350925833"</f>
        <v>1552380350925833</v>
      </c>
      <c r="C4009" t="s">
        <v>40</v>
      </c>
      <c r="D4009">
        <v>4.4643030000000001</v>
      </c>
      <c r="E4009">
        <v>0.55161769999999999</v>
      </c>
      <c r="F4009" t="s">
        <v>41</v>
      </c>
      <c r="G4009">
        <v>-357.5179</v>
      </c>
      <c r="H4009">
        <v>0.99246820000000002</v>
      </c>
      <c r="I4009">
        <v>141.4726</v>
      </c>
      <c r="J4009">
        <v>-357.07429999999999</v>
      </c>
      <c r="K4009">
        <v>1.1087560000000001</v>
      </c>
      <c r="L4009">
        <v>141.3656</v>
      </c>
      <c r="M4009">
        <v>-0.99993010000000004</v>
      </c>
      <c r="N4009">
        <v>0</v>
      </c>
      <c r="O4009">
        <v>-1.289105E-3</v>
      </c>
      <c r="P4009">
        <v>-0.99209170000000002</v>
      </c>
      <c r="Q4009">
        <v>0.1229763</v>
      </c>
      <c r="R4009">
        <v>2.5126989999999998E-2</v>
      </c>
      <c r="S4009">
        <v>-3.073639</v>
      </c>
      <c r="T4009">
        <v>-0.49178620000000001</v>
      </c>
      <c r="U4009">
        <v>0.44958500000000001</v>
      </c>
      <c r="V4009">
        <v>2.641133E-2</v>
      </c>
      <c r="W4009">
        <v>0.1346338</v>
      </c>
      <c r="X4009">
        <v>0.99054339999999996</v>
      </c>
      <c r="Y4009">
        <v>0.14419460000000001</v>
      </c>
      <c r="Z4009">
        <v>1.160714E-2</v>
      </c>
      <c r="AA4009">
        <v>0.98948130000000001</v>
      </c>
      <c r="AB4009">
        <v>29</v>
      </c>
      <c r="AC4009">
        <v>-0.44360000000000299</v>
      </c>
      <c r="AD4009">
        <v>-0.116287799999999</v>
      </c>
      <c r="AE4009">
        <v>0.106999999999999</v>
      </c>
      <c r="AF4009">
        <v>0.10101189183395801</v>
      </c>
      <c r="AG4009">
        <v>-0.116287799999999</v>
      </c>
      <c r="AH4009">
        <v>0.41641866210962902</v>
      </c>
      <c r="AI4009">
        <v>105.183599708503</v>
      </c>
      <c r="AJ4009">
        <v>76.364959528412498</v>
      </c>
      <c r="AK4009">
        <v>0.44399409553944302</v>
      </c>
      <c r="AL4009">
        <v>82.262555320883806</v>
      </c>
      <c r="AM4009">
        <v>88.472657249620795</v>
      </c>
      <c r="AN4009">
        <v>1.0000000228691801</v>
      </c>
    </row>
    <row r="4010" spans="1:40" x14ac:dyDescent="0.25">
      <c r="A4010" t="str">
        <f>"20190312164550951"</f>
        <v>20190312164550951</v>
      </c>
      <c r="B4010" t="str">
        <f>"1552380350945356"</f>
        <v>1552380350945356</v>
      </c>
      <c r="C4010" t="s">
        <v>40</v>
      </c>
      <c r="D4010">
        <v>4.9832330000000002</v>
      </c>
      <c r="E4010">
        <v>0.55083079999999995</v>
      </c>
      <c r="F4010" t="s">
        <v>41</v>
      </c>
      <c r="G4010">
        <v>-358.01499999999999</v>
      </c>
      <c r="H4010">
        <v>0.96294080000000004</v>
      </c>
      <c r="I4010">
        <v>141.50139999999999</v>
      </c>
      <c r="J4010">
        <v>-357.35700000000003</v>
      </c>
      <c r="K4010">
        <v>1.108757</v>
      </c>
      <c r="L4010">
        <v>141.36519999999999</v>
      </c>
      <c r="M4010">
        <v>-0.99993010000000004</v>
      </c>
      <c r="N4010">
        <v>0</v>
      </c>
      <c r="O4010">
        <v>-1.2893449999999999E-3</v>
      </c>
      <c r="P4010">
        <v>-0.9921063</v>
      </c>
      <c r="Q4010">
        <v>0.1228511</v>
      </c>
      <c r="R4010">
        <v>2.5162380000000002E-2</v>
      </c>
      <c r="S4010">
        <v>-3.0717469999999998</v>
      </c>
      <c r="T4010">
        <v>-0.47617599999999999</v>
      </c>
      <c r="U4010">
        <v>0.4427643</v>
      </c>
      <c r="V4010">
        <v>2.6446870000000001E-2</v>
      </c>
      <c r="W4010">
        <v>0.13450960000000001</v>
      </c>
      <c r="X4010">
        <v>0.99055930000000003</v>
      </c>
      <c r="Y4010">
        <v>0.14226259999999999</v>
      </c>
      <c r="Z4010">
        <v>1.1103500000000001E-2</v>
      </c>
      <c r="AA4010">
        <v>0.9897667</v>
      </c>
      <c r="AB4010">
        <v>29</v>
      </c>
      <c r="AC4010">
        <v>-0.65800000000001502</v>
      </c>
      <c r="AD4010">
        <v>-0.14581619999999901</v>
      </c>
      <c r="AE4010">
        <v>0.13620000000000199</v>
      </c>
      <c r="AF4010">
        <v>0.13088480950317799</v>
      </c>
      <c r="AG4010">
        <v>-0.14581619999999901</v>
      </c>
      <c r="AH4010">
        <v>0.62823928020406905</v>
      </c>
      <c r="AI4010">
        <v>102.801618987593</v>
      </c>
      <c r="AJ4010">
        <v>78.231568933356399</v>
      </c>
      <c r="AK4010">
        <v>0.65808646144139005</v>
      </c>
      <c r="AL4010">
        <v>82.269736587623498</v>
      </c>
      <c r="AM4010">
        <v>88.4706275173249</v>
      </c>
      <c r="AN4010">
        <v>0.99999999812072304</v>
      </c>
    </row>
    <row r="4011" spans="1:40" x14ac:dyDescent="0.25">
      <c r="A4011" t="str">
        <f>"20190312164550966"</f>
        <v>20190312164550966</v>
      </c>
      <c r="B4011" t="str">
        <f>"1552380350956089"</f>
        <v>1552380350956089</v>
      </c>
      <c r="C4011" t="s">
        <v>40</v>
      </c>
      <c r="D4011">
        <v>4.5366369999999998</v>
      </c>
      <c r="E4011">
        <v>0.55021299999999995</v>
      </c>
      <c r="F4011" t="s">
        <v>41</v>
      </c>
      <c r="G4011">
        <v>-358.27350000000001</v>
      </c>
      <c r="H4011">
        <v>0.96999650000000004</v>
      </c>
      <c r="I4011">
        <v>141.49600000000001</v>
      </c>
      <c r="J4011">
        <v>-357.56189999999998</v>
      </c>
      <c r="K4011">
        <v>1.1087560000000001</v>
      </c>
      <c r="L4011">
        <v>141.36490000000001</v>
      </c>
      <c r="M4011">
        <v>-0.99993010000000004</v>
      </c>
      <c r="N4011">
        <v>0</v>
      </c>
      <c r="O4011">
        <v>-1.2894650000000001E-3</v>
      </c>
      <c r="P4011">
        <v>-0.99212370000000005</v>
      </c>
      <c r="Q4011">
        <v>0.12272180000000001</v>
      </c>
      <c r="R4011">
        <v>2.5104439999999999E-2</v>
      </c>
      <c r="S4011">
        <v>-3.0703130000000001</v>
      </c>
      <c r="T4011">
        <v>-0.46485520000000002</v>
      </c>
      <c r="U4011">
        <v>0.43763730000000001</v>
      </c>
      <c r="V4011">
        <v>2.6389050000000001E-2</v>
      </c>
      <c r="W4011">
        <v>0.1343801</v>
      </c>
      <c r="X4011">
        <v>0.99057839999999997</v>
      </c>
      <c r="Y4011">
        <v>0.14080129999999999</v>
      </c>
      <c r="Z4011">
        <v>1.073927E-2</v>
      </c>
      <c r="AA4011">
        <v>0.98997959999999996</v>
      </c>
      <c r="AB4011">
        <v>29</v>
      </c>
      <c r="AC4011">
        <v>-0.71160000000003198</v>
      </c>
      <c r="AD4011">
        <v>-0.13875949999999901</v>
      </c>
      <c r="AE4011">
        <v>0.13110000000000299</v>
      </c>
      <c r="AF4011">
        <v>0.12733475000792699</v>
      </c>
      <c r="AG4011">
        <v>-0.13875949999999901</v>
      </c>
      <c r="AH4011">
        <v>0.68619523650590097</v>
      </c>
      <c r="AI4011">
        <v>101.24499439520901</v>
      </c>
      <c r="AJ4011">
        <v>79.487409033741898</v>
      </c>
      <c r="AK4011">
        <v>0.71157026357431497</v>
      </c>
      <c r="AL4011">
        <v>82.277224230462394</v>
      </c>
      <c r="AM4011">
        <v>88.473998966304407</v>
      </c>
      <c r="AN4011">
        <v>0.99999997989123601</v>
      </c>
    </row>
    <row r="4012" spans="1:40" x14ac:dyDescent="0.25">
      <c r="A4012" t="str">
        <f>"20190312164550985"</f>
        <v>20190312164550985</v>
      </c>
      <c r="B4012" t="str">
        <f>"1552380350975609"</f>
        <v>1552380350975609</v>
      </c>
      <c r="C4012" t="s">
        <v>40</v>
      </c>
      <c r="D4012">
        <v>4.6454620000000002</v>
      </c>
      <c r="E4012">
        <v>0.55016640000000006</v>
      </c>
      <c r="F4012" t="s">
        <v>41</v>
      </c>
      <c r="G4012">
        <v>-358.28769999999997</v>
      </c>
      <c r="H4012">
        <v>1.0006790000000001</v>
      </c>
      <c r="I4012">
        <v>141.4675</v>
      </c>
      <c r="J4012">
        <v>-357.78840000000002</v>
      </c>
      <c r="K4012">
        <v>1.108741</v>
      </c>
      <c r="L4012">
        <v>141.3646</v>
      </c>
      <c r="M4012">
        <v>-0.99993010000000004</v>
      </c>
      <c r="N4012">
        <v>0</v>
      </c>
      <c r="O4012">
        <v>-1.289585E-3</v>
      </c>
      <c r="P4012">
        <v>-0.99211939999999998</v>
      </c>
      <c r="Q4012">
        <v>0.12275700000000001</v>
      </c>
      <c r="R4012">
        <v>2.5099639999999999E-2</v>
      </c>
      <c r="S4012">
        <v>-3.0694270000000001</v>
      </c>
      <c r="T4012">
        <v>-0.4570572</v>
      </c>
      <c r="U4012">
        <v>0.4327087</v>
      </c>
      <c r="V4012">
        <v>2.638447E-2</v>
      </c>
      <c r="W4012">
        <v>0.1344156</v>
      </c>
      <c r="X4012">
        <v>0.9905737</v>
      </c>
      <c r="Y4012">
        <v>0.13934969999999999</v>
      </c>
      <c r="Z4012">
        <v>1.045827E-2</v>
      </c>
      <c r="AA4012">
        <v>0.99018799999999996</v>
      </c>
      <c r="AB4012">
        <v>29</v>
      </c>
      <c r="AC4012">
        <v>-0.49929999999994801</v>
      </c>
      <c r="AD4012">
        <v>-0.10806199999999901</v>
      </c>
      <c r="AE4012">
        <v>0.102900000000005</v>
      </c>
      <c r="AF4012">
        <v>9.9091445993021901E-2</v>
      </c>
      <c r="AG4012">
        <v>-0.10806199999999901</v>
      </c>
      <c r="AH4012">
        <v>0.47770261864041402</v>
      </c>
      <c r="AI4012">
        <v>102.48918883729201</v>
      </c>
      <c r="AJ4012">
        <v>78.281141184544097</v>
      </c>
      <c r="AK4012">
        <v>0.49969621008058202</v>
      </c>
      <c r="AL4012">
        <v>82.275171565490893</v>
      </c>
      <c r="AM4012">
        <v>88.474256453239093</v>
      </c>
      <c r="AN4012">
        <v>0.99999997445611499</v>
      </c>
    </row>
    <row r="4013" spans="1:40" x14ac:dyDescent="0.25">
      <c r="A4013" t="str">
        <f>"20190312164551006"</f>
        <v>20190312164551006</v>
      </c>
      <c r="B4013" t="str">
        <f>"1552380350995129"</f>
        <v>1552380350995129</v>
      </c>
      <c r="C4013" t="s">
        <v>40</v>
      </c>
      <c r="D4013">
        <v>4.6561680000000001</v>
      </c>
      <c r="E4013">
        <v>0.54969579999999996</v>
      </c>
      <c r="F4013" t="s">
        <v>41</v>
      </c>
      <c r="G4013">
        <v>-358.54169999999999</v>
      </c>
      <c r="H4013">
        <v>0.99755510000000003</v>
      </c>
      <c r="I4013">
        <v>141.47110000000001</v>
      </c>
      <c r="J4013">
        <v>-358.06119999999999</v>
      </c>
      <c r="K4013">
        <v>1.108743</v>
      </c>
      <c r="L4013">
        <v>141.36429999999999</v>
      </c>
      <c r="M4013">
        <v>-0.99993010000000004</v>
      </c>
      <c r="N4013">
        <v>0</v>
      </c>
      <c r="O4013">
        <v>-1.2898250000000001E-3</v>
      </c>
      <c r="P4013">
        <v>-0.99213890000000005</v>
      </c>
      <c r="Q4013">
        <v>0.1226203</v>
      </c>
      <c r="R4013">
        <v>2.4998159999999998E-2</v>
      </c>
      <c r="S4013">
        <v>-3.0689700000000002</v>
      </c>
      <c r="T4013">
        <v>-0.453096</v>
      </c>
      <c r="U4013">
        <v>0.43235780000000001</v>
      </c>
      <c r="V4013">
        <v>2.628318E-2</v>
      </c>
      <c r="W4013">
        <v>0.1342795</v>
      </c>
      <c r="X4013">
        <v>0.99059489999999994</v>
      </c>
      <c r="Y4013">
        <v>0.13928570000000001</v>
      </c>
      <c r="Z4013">
        <v>1.0365549999999999E-2</v>
      </c>
      <c r="AA4013">
        <v>0.99019800000000002</v>
      </c>
      <c r="AB4013">
        <v>29</v>
      </c>
      <c r="AC4013">
        <v>-0.48050000000000598</v>
      </c>
      <c r="AD4013">
        <v>-0.11118790000000001</v>
      </c>
      <c r="AE4013">
        <v>0.106800000000021</v>
      </c>
      <c r="AF4013">
        <v>0.102204686587699</v>
      </c>
      <c r="AG4013">
        <v>-0.11118790000000001</v>
      </c>
      <c r="AH4013">
        <v>0.45704115955264202</v>
      </c>
      <c r="AI4013">
        <v>103.355547727809</v>
      </c>
      <c r="AJ4013">
        <v>77.394760537039801</v>
      </c>
      <c r="AK4013">
        <v>0.48134724325804901</v>
      </c>
      <c r="AL4013">
        <v>82.283041237429401</v>
      </c>
      <c r="AM4013">
        <v>88.480143543452101</v>
      </c>
      <c r="AN4013">
        <v>1.0000000227885799</v>
      </c>
    </row>
    <row r="4014" spans="1:40" x14ac:dyDescent="0.25">
      <c r="A4014" t="str">
        <f>"20190312164551030"</f>
        <v>20190312164551030</v>
      </c>
      <c r="B4014" t="str">
        <f>"1552380351025385"</f>
        <v>1552380351025385</v>
      </c>
      <c r="C4014" t="s">
        <v>40</v>
      </c>
      <c r="D4014">
        <v>4.8622360000000002</v>
      </c>
      <c r="E4014">
        <v>0.54755880000000001</v>
      </c>
      <c r="F4014" t="s">
        <v>41</v>
      </c>
      <c r="G4014">
        <v>-358.79750000000001</v>
      </c>
      <c r="H4014">
        <v>0.99861710000000004</v>
      </c>
      <c r="I4014">
        <v>141.46719999999999</v>
      </c>
      <c r="J4014">
        <v>-358.35410000000002</v>
      </c>
      <c r="K4014">
        <v>1.108741</v>
      </c>
      <c r="L4014">
        <v>141.3639</v>
      </c>
      <c r="M4014">
        <v>-0.99993010000000004</v>
      </c>
      <c r="N4014">
        <v>0</v>
      </c>
      <c r="O4014">
        <v>-1.2899459999999999E-3</v>
      </c>
      <c r="P4014">
        <v>-0.99214219999999997</v>
      </c>
      <c r="Q4014">
        <v>0.1226059</v>
      </c>
      <c r="R4014">
        <v>2.4941850000000002E-2</v>
      </c>
      <c r="S4014">
        <v>-3.069763</v>
      </c>
      <c r="T4014">
        <v>-0.45909889999999998</v>
      </c>
      <c r="U4014">
        <v>0.4280853</v>
      </c>
      <c r="V4014">
        <v>2.6227090000000002E-2</v>
      </c>
      <c r="W4014">
        <v>0.134265299999999</v>
      </c>
      <c r="X4014">
        <v>0.99059830000000004</v>
      </c>
      <c r="Y4014">
        <v>0.13787489999999999</v>
      </c>
      <c r="Z4014">
        <v>1.039533E-2</v>
      </c>
      <c r="AA4014">
        <v>0.99039509999999997</v>
      </c>
      <c r="AB4014">
        <v>29</v>
      </c>
      <c r="AC4014">
        <v>-0.44339999999999602</v>
      </c>
      <c r="AD4014">
        <v>-0.110123899999999</v>
      </c>
      <c r="AE4014">
        <v>0.10329999999999</v>
      </c>
      <c r="AF4014">
        <v>9.8130469757560804E-2</v>
      </c>
      <c r="AG4014">
        <v>-0.110123899999999</v>
      </c>
      <c r="AH4014">
        <v>0.41876513880358102</v>
      </c>
      <c r="AI4014">
        <v>104.361333401975</v>
      </c>
      <c r="AJ4014">
        <v>76.811673216605897</v>
      </c>
      <c r="AK4014">
        <v>0.44398322482187602</v>
      </c>
      <c r="AL4014">
        <v>82.283862184747704</v>
      </c>
      <c r="AM4014">
        <v>88.483390701633198</v>
      </c>
      <c r="AN4014">
        <v>1.00000001149842</v>
      </c>
    </row>
    <row r="4015" spans="1:40" x14ac:dyDescent="0.25">
      <c r="A4015" t="str">
        <f>"20190312164551042"</f>
        <v>20190312164551042</v>
      </c>
      <c r="B4015" t="str">
        <f>"1552380351035145"</f>
        <v>1552380351035145</v>
      </c>
      <c r="C4015" t="s">
        <v>40</v>
      </c>
      <c r="D4015">
        <v>4.8556819999999998</v>
      </c>
      <c r="E4015">
        <v>0.54766369999999998</v>
      </c>
      <c r="F4015" t="s">
        <v>41</v>
      </c>
      <c r="G4015">
        <v>-359.29199999999997</v>
      </c>
      <c r="H4015">
        <v>0.96330899999999997</v>
      </c>
      <c r="I4015">
        <v>141.48920000000001</v>
      </c>
      <c r="J4015">
        <v>-358.54090000000002</v>
      </c>
      <c r="K4015">
        <v>1.1087370000000001</v>
      </c>
      <c r="L4015">
        <v>141.36359999999999</v>
      </c>
      <c r="M4015">
        <v>-0.99993010000000004</v>
      </c>
      <c r="N4015">
        <v>0</v>
      </c>
      <c r="O4015">
        <v>-1.2901849999999999E-3</v>
      </c>
      <c r="P4015">
        <v>-0.99217239999999995</v>
      </c>
      <c r="Q4015">
        <v>0.12238499999999999</v>
      </c>
      <c r="R4015">
        <v>2.4818529999999998E-2</v>
      </c>
      <c r="S4015">
        <v>-3.0722960000000001</v>
      </c>
      <c r="T4015">
        <v>-0.4764119</v>
      </c>
      <c r="U4015">
        <v>0.4102478</v>
      </c>
      <c r="V4015">
        <v>2.61038E-2</v>
      </c>
      <c r="W4015">
        <v>0.1340451</v>
      </c>
      <c r="X4015">
        <v>0.99063129999999999</v>
      </c>
      <c r="Y4015">
        <v>0.1320692</v>
      </c>
      <c r="Z4015">
        <v>1.033281E-2</v>
      </c>
      <c r="AA4015">
        <v>0.99118660000000003</v>
      </c>
      <c r="AB4015">
        <v>29</v>
      </c>
      <c r="AC4015">
        <v>-0.75109999999995103</v>
      </c>
      <c r="AD4015">
        <v>-0.145428</v>
      </c>
      <c r="AE4015">
        <v>0.125600000000019</v>
      </c>
      <c r="AF4015">
        <v>0.122115594899028</v>
      </c>
      <c r="AG4015">
        <v>-0.145428</v>
      </c>
      <c r="AH4015">
        <v>0.72451502644806798</v>
      </c>
      <c r="AI4015">
        <v>101.19600217913199</v>
      </c>
      <c r="AJ4015">
        <v>80.432827960452798</v>
      </c>
      <c r="AK4015">
        <v>0.74898834787370905</v>
      </c>
      <c r="AL4015">
        <v>82.296593211026504</v>
      </c>
      <c r="AM4015">
        <v>88.490567031192896</v>
      </c>
      <c r="AN4015">
        <v>0.99999993487406702</v>
      </c>
    </row>
    <row r="4016" spans="1:40" x14ac:dyDescent="0.25">
      <c r="A4016" t="str">
        <f>"20190312164551055"</f>
        <v>20190312164551055</v>
      </c>
      <c r="B4016" t="str">
        <f>"1552380351045882"</f>
        <v>1552380351045882</v>
      </c>
      <c r="C4016" t="s">
        <v>40</v>
      </c>
      <c r="D4016">
        <v>4.9365209999999999</v>
      </c>
      <c r="E4016">
        <v>0.54771300000000001</v>
      </c>
      <c r="F4016" t="s">
        <v>41</v>
      </c>
      <c r="G4016">
        <v>-359.3048</v>
      </c>
      <c r="H4016">
        <v>0.99096079999999998</v>
      </c>
      <c r="I4016">
        <v>141.4659</v>
      </c>
      <c r="J4016">
        <v>-358.69069999999999</v>
      </c>
      <c r="K4016">
        <v>1.108738</v>
      </c>
      <c r="L4016">
        <v>141.36340000000001</v>
      </c>
      <c r="M4016">
        <v>-0.99993010000000004</v>
      </c>
      <c r="N4016">
        <v>0</v>
      </c>
      <c r="O4016">
        <v>-1.2901849999999999E-3</v>
      </c>
      <c r="P4016">
        <v>-0.99216040000000005</v>
      </c>
      <c r="Q4016">
        <v>0.1224568</v>
      </c>
      <c r="R4016">
        <v>2.4945760000000001E-2</v>
      </c>
      <c r="S4016">
        <v>-3.0718079999999999</v>
      </c>
      <c r="T4016">
        <v>-0.47367530000000002</v>
      </c>
      <c r="U4016">
        <v>0.4110413</v>
      </c>
      <c r="V4016">
        <v>2.6230969999999999E-2</v>
      </c>
      <c r="W4016">
        <v>0.13411689999999901</v>
      </c>
      <c r="X4016">
        <v>0.99061829999999995</v>
      </c>
      <c r="Y4016">
        <v>0.13235549999999999</v>
      </c>
      <c r="Z4016">
        <v>1.029742E-2</v>
      </c>
      <c r="AA4016">
        <v>0.99114880000000005</v>
      </c>
      <c r="AB4016">
        <v>29</v>
      </c>
      <c r="AC4016">
        <v>-0.61410000000000697</v>
      </c>
      <c r="AD4016">
        <v>-0.1177772</v>
      </c>
      <c r="AE4016">
        <v>0.102499999999992</v>
      </c>
      <c r="AF4016">
        <v>9.97235847901458E-2</v>
      </c>
      <c r="AG4016">
        <v>-0.1177772</v>
      </c>
      <c r="AH4016">
        <v>0.59275502897413401</v>
      </c>
      <c r="AI4016">
        <v>101.08613837390401</v>
      </c>
      <c r="AJ4016">
        <v>80.4501342337267</v>
      </c>
      <c r="AK4016">
        <v>0.612515131712976</v>
      </c>
      <c r="AL4016">
        <v>82.292442482888802</v>
      </c>
      <c r="AM4016">
        <v>88.483197050997305</v>
      </c>
      <c r="AN4016">
        <v>1.0000000114738199</v>
      </c>
    </row>
    <row r="4017" spans="1:40" x14ac:dyDescent="0.25">
      <c r="A4017" t="str">
        <f>"20190312164551068"</f>
        <v>20190312164551068</v>
      </c>
      <c r="B4017" t="str">
        <f>"1552380351065401"</f>
        <v>1552380351065401</v>
      </c>
      <c r="C4017" t="s">
        <v>40</v>
      </c>
      <c r="D4017">
        <v>4.4855510000000001</v>
      </c>
      <c r="E4017">
        <v>0.54771219999999998</v>
      </c>
      <c r="F4017" t="s">
        <v>41</v>
      </c>
      <c r="G4017">
        <v>-359.55349999999999</v>
      </c>
      <c r="H4017">
        <v>0.97639609999999999</v>
      </c>
      <c r="I4017">
        <v>141.4795</v>
      </c>
      <c r="J4017">
        <v>-358.85829999999999</v>
      </c>
      <c r="K4017">
        <v>1.108738</v>
      </c>
      <c r="L4017">
        <v>141.36320000000001</v>
      </c>
      <c r="M4017">
        <v>-0.99993010000000004</v>
      </c>
      <c r="N4017">
        <v>0</v>
      </c>
      <c r="O4017">
        <v>-1.2903050000000001E-3</v>
      </c>
      <c r="P4017">
        <v>-0.99214550000000001</v>
      </c>
      <c r="Q4017">
        <v>0.1226001</v>
      </c>
      <c r="R4017">
        <v>2.4835779999999998E-2</v>
      </c>
      <c r="S4017">
        <v>-3.071472</v>
      </c>
      <c r="T4017">
        <v>-0.47113820000000001</v>
      </c>
      <c r="U4017">
        <v>0.41201779999999999</v>
      </c>
      <c r="V4017">
        <v>2.6121430000000001E-2</v>
      </c>
      <c r="W4017">
        <v>0.13426009999999999</v>
      </c>
      <c r="X4017">
        <v>0.99060179999999998</v>
      </c>
      <c r="Y4017">
        <v>0.1326918</v>
      </c>
      <c r="Z4017">
        <v>1.026933E-2</v>
      </c>
      <c r="AA4017">
        <v>0.99110410000000004</v>
      </c>
      <c r="AB4017">
        <v>29</v>
      </c>
      <c r="AC4017">
        <v>-0.69519999999999904</v>
      </c>
      <c r="AD4017">
        <v>-0.13234190000000001</v>
      </c>
      <c r="AE4017">
        <v>0.116299999999995</v>
      </c>
      <c r="AF4017">
        <v>0.113206200956898</v>
      </c>
      <c r="AG4017">
        <v>-0.13234190000000001</v>
      </c>
      <c r="AH4017">
        <v>0.67138157259895404</v>
      </c>
      <c r="AI4017">
        <v>100.999702724285</v>
      </c>
      <c r="AJ4017">
        <v>80.428998675981404</v>
      </c>
      <c r="AK4017">
        <v>0.69360164248374501</v>
      </c>
      <c r="AL4017">
        <v>82.284162871141106</v>
      </c>
      <c r="AM4017">
        <v>88.489503101318903</v>
      </c>
      <c r="AN4017">
        <v>1.0000000148602399</v>
      </c>
    </row>
    <row r="4018" spans="1:40" x14ac:dyDescent="0.25">
      <c r="A4018" t="str">
        <f>"20190312164551084"</f>
        <v>20190312164551084</v>
      </c>
      <c r="B4018" t="str">
        <f>"1552380351075161"</f>
        <v>1552380351075161</v>
      </c>
      <c r="C4018" t="s">
        <v>40</v>
      </c>
      <c r="D4018">
        <v>4.9111359999999999</v>
      </c>
      <c r="E4018">
        <v>0.54777369999999903</v>
      </c>
      <c r="F4018" t="s">
        <v>41</v>
      </c>
      <c r="G4018">
        <v>-359.56540000000001</v>
      </c>
      <c r="H4018">
        <v>1.0015039999999999</v>
      </c>
      <c r="I4018">
        <v>141.45840000000001</v>
      </c>
      <c r="J4018">
        <v>-359.06009999999998</v>
      </c>
      <c r="K4018">
        <v>1.1087419999999999</v>
      </c>
      <c r="L4018">
        <v>141.363</v>
      </c>
      <c r="M4018">
        <v>-0.99993010000000004</v>
      </c>
      <c r="N4018">
        <v>0</v>
      </c>
      <c r="O4018">
        <v>-1.290425E-3</v>
      </c>
      <c r="P4018">
        <v>-0.99211039999999995</v>
      </c>
      <c r="Q4018">
        <v>0.12287670000000001</v>
      </c>
      <c r="R4018">
        <v>2.487321E-2</v>
      </c>
      <c r="S4018">
        <v>-3.0710139999999999</v>
      </c>
      <c r="T4018">
        <v>-0.46580460000000001</v>
      </c>
      <c r="U4018">
        <v>0.41201779999999999</v>
      </c>
      <c r="V4018">
        <v>2.6159000000000002E-2</v>
      </c>
      <c r="W4018">
        <v>0.1345365</v>
      </c>
      <c r="X4018">
        <v>0.99056330000000004</v>
      </c>
      <c r="Y4018">
        <v>0.1327448</v>
      </c>
      <c r="Z4018">
        <v>1.015986E-2</v>
      </c>
      <c r="AA4018">
        <v>0.99109820000000004</v>
      </c>
      <c r="AB4018">
        <v>29</v>
      </c>
      <c r="AC4018">
        <v>-0.50530000000003295</v>
      </c>
      <c r="AD4018">
        <v>-0.107237999999999</v>
      </c>
      <c r="AE4018">
        <v>9.54000000000121E-2</v>
      </c>
      <c r="AF4018">
        <v>9.2048827567978497E-2</v>
      </c>
      <c r="AG4018">
        <v>-0.107237999999999</v>
      </c>
      <c r="AH4018">
        <v>0.48412206766362897</v>
      </c>
      <c r="AI4018">
        <v>102.27682961562</v>
      </c>
      <c r="AJ4018">
        <v>79.234535888272006</v>
      </c>
      <c r="AK4018">
        <v>0.50432841651006199</v>
      </c>
      <c r="AL4018">
        <v>82.2681812640472</v>
      </c>
      <c r="AM4018">
        <v>88.487272823242407</v>
      </c>
      <c r="AN4018">
        <v>1.0000000072100601</v>
      </c>
    </row>
    <row r="4019" spans="1:40" x14ac:dyDescent="0.25">
      <c r="A4019" t="str">
        <f>"20190312164551100"</f>
        <v>20190312164551100</v>
      </c>
      <c r="B4019" t="str">
        <f>"1552380351095658"</f>
        <v>1552380351095658</v>
      </c>
      <c r="C4019" t="s">
        <v>40</v>
      </c>
      <c r="D4019">
        <v>5.0114919999999996</v>
      </c>
      <c r="E4019">
        <v>0.54774119999999904</v>
      </c>
      <c r="F4019" t="s">
        <v>41</v>
      </c>
      <c r="G4019">
        <v>-359.8177</v>
      </c>
      <c r="H4019">
        <v>0.9947047</v>
      </c>
      <c r="I4019">
        <v>141.4649</v>
      </c>
      <c r="J4019">
        <v>-359.2525</v>
      </c>
      <c r="K4019">
        <v>1.108744</v>
      </c>
      <c r="L4019">
        <v>141.36269999999999</v>
      </c>
      <c r="M4019">
        <v>-0.99993010000000004</v>
      </c>
      <c r="N4019">
        <v>0</v>
      </c>
      <c r="O4019">
        <v>-1.2906650000000001E-3</v>
      </c>
      <c r="P4019">
        <v>-0.99208399999999997</v>
      </c>
      <c r="Q4019">
        <v>0.1231455</v>
      </c>
      <c r="R4019">
        <v>2.4596159999999999E-2</v>
      </c>
      <c r="S4019">
        <v>-3.0707399999999998</v>
      </c>
      <c r="T4019">
        <v>-0.46215220000000001</v>
      </c>
      <c r="U4019">
        <v>0.41267399999999999</v>
      </c>
      <c r="V4019">
        <v>2.5882059999999998E-2</v>
      </c>
      <c r="W4019">
        <v>0.13480490000000001</v>
      </c>
      <c r="X4019">
        <v>0.99053409999999997</v>
      </c>
      <c r="Y4019">
        <v>0.132985299999999</v>
      </c>
      <c r="Z4019">
        <v>1.0099769999999999E-2</v>
      </c>
      <c r="AA4019">
        <v>0.99106660000000002</v>
      </c>
      <c r="AB4019">
        <v>29</v>
      </c>
      <c r="AC4019">
        <v>-0.56520000000000403</v>
      </c>
      <c r="AD4019">
        <v>-0.1140393</v>
      </c>
      <c r="AE4019">
        <v>0.10220000000001001</v>
      </c>
      <c r="AF4019">
        <v>9.9025715420908905E-2</v>
      </c>
      <c r="AG4019">
        <v>-0.1140393</v>
      </c>
      <c r="AH4019">
        <v>0.54363668737674398</v>
      </c>
      <c r="AI4019">
        <v>101.66072766289599</v>
      </c>
      <c r="AJ4019">
        <v>79.676517314582199</v>
      </c>
      <c r="AK4019">
        <v>0.56422681797400598</v>
      </c>
      <c r="AL4019">
        <v>82.252661820581295</v>
      </c>
      <c r="AM4019">
        <v>88.503236332050605</v>
      </c>
      <c r="AN4019">
        <v>1.0000000226783301</v>
      </c>
    </row>
    <row r="4020" spans="1:40" x14ac:dyDescent="0.25">
      <c r="A4020" t="str">
        <f>"20190312164551115"</f>
        <v>20190312164551115</v>
      </c>
      <c r="B4020" t="str">
        <f>"1552380351105418"</f>
        <v>1552380351105418</v>
      </c>
      <c r="C4020" t="s">
        <v>40</v>
      </c>
      <c r="D4020">
        <v>5.2528519999999999</v>
      </c>
      <c r="E4020">
        <v>0.54780830000000003</v>
      </c>
      <c r="F4020" t="s">
        <v>41</v>
      </c>
      <c r="G4020">
        <v>-360.06979999999999</v>
      </c>
      <c r="H4020">
        <v>0.98701989999999995</v>
      </c>
      <c r="I4020">
        <v>141.4726</v>
      </c>
      <c r="J4020">
        <v>-359.4486</v>
      </c>
      <c r="K4020">
        <v>1.108752</v>
      </c>
      <c r="L4020">
        <v>141.36240000000001</v>
      </c>
      <c r="M4020">
        <v>-0.99992999999999999</v>
      </c>
      <c r="N4020">
        <v>0</v>
      </c>
      <c r="O4020">
        <v>-1.2906669999999999E-3</v>
      </c>
      <c r="P4020">
        <v>-0.9920582</v>
      </c>
      <c r="Q4020">
        <v>0.1233437</v>
      </c>
      <c r="R4020">
        <v>2.463359E-2</v>
      </c>
      <c r="S4020">
        <v>-3.0704959999999999</v>
      </c>
      <c r="T4020">
        <v>-0.45736789999999999</v>
      </c>
      <c r="U4020">
        <v>0.41169739999999999</v>
      </c>
      <c r="V4020">
        <v>2.5919319999999999E-2</v>
      </c>
      <c r="W4020">
        <v>0.13500329999999999</v>
      </c>
      <c r="X4020">
        <v>0.99050609999999994</v>
      </c>
      <c r="Y4020">
        <v>0.13271910000000001</v>
      </c>
      <c r="Z4020">
        <v>9.9776970000000006E-3</v>
      </c>
      <c r="AA4020">
        <v>0.99110350000000003</v>
      </c>
      <c r="AB4020">
        <v>29</v>
      </c>
      <c r="AC4020">
        <v>-0.62119999999998698</v>
      </c>
      <c r="AD4020">
        <v>-0.121732099999999</v>
      </c>
      <c r="AE4020">
        <v>0.110199999999991</v>
      </c>
      <c r="AF4020">
        <v>0.107017487081168</v>
      </c>
      <c r="AG4020">
        <v>-0.121732099999999</v>
      </c>
      <c r="AH4020">
        <v>0.59876533167363999</v>
      </c>
      <c r="AI4020">
        <v>101.31729989105401</v>
      </c>
      <c r="AJ4020">
        <v>79.866509098870793</v>
      </c>
      <c r="AK4020">
        <v>0.62031553996802502</v>
      </c>
      <c r="AL4020">
        <v>82.2411894301069</v>
      </c>
      <c r="AM4020">
        <v>88.501040209962099</v>
      </c>
      <c r="AN4020">
        <v>1.0000000181486799</v>
      </c>
    </row>
    <row r="4021" spans="1:40" x14ac:dyDescent="0.25">
      <c r="A4021" t="str">
        <f>"20190312164551130"</f>
        <v>20190312164551130</v>
      </c>
      <c r="B4021" t="str">
        <f>"1552380351125914"</f>
        <v>1552380351125914</v>
      </c>
      <c r="C4021" t="s">
        <v>40</v>
      </c>
      <c r="D4021">
        <v>4.8675990000000002</v>
      </c>
      <c r="E4021">
        <v>0.54739359999999904</v>
      </c>
      <c r="F4021" t="s">
        <v>41</v>
      </c>
      <c r="G4021">
        <v>-360.322</v>
      </c>
      <c r="H4021">
        <v>0.97957609999999995</v>
      </c>
      <c r="I4021">
        <v>141.47989999999999</v>
      </c>
      <c r="J4021">
        <v>-359.64440000000002</v>
      </c>
      <c r="K4021">
        <v>1.108752</v>
      </c>
      <c r="L4021">
        <v>141.3622</v>
      </c>
      <c r="M4021">
        <v>-0.99993010000000004</v>
      </c>
      <c r="N4021">
        <v>0</v>
      </c>
      <c r="O4021">
        <v>-1.290788E-3</v>
      </c>
      <c r="P4021">
        <v>-0.99198929999999996</v>
      </c>
      <c r="Q4021">
        <v>0.123929399999999</v>
      </c>
      <c r="R4021">
        <v>2.4480539999999999E-2</v>
      </c>
      <c r="S4021">
        <v>-3.0702210000000001</v>
      </c>
      <c r="T4021">
        <v>-0.45410420000000001</v>
      </c>
      <c r="U4021">
        <v>0.4126282</v>
      </c>
      <c r="V4021">
        <v>2.576643E-2</v>
      </c>
      <c r="W4021">
        <v>0.13558819999999999</v>
      </c>
      <c r="X4021">
        <v>0.99043020000000004</v>
      </c>
      <c r="Y4021">
        <v>0.13304289999999999</v>
      </c>
      <c r="Z4021">
        <v>9.9316639999999998E-3</v>
      </c>
      <c r="AA4021">
        <v>0.99106050000000001</v>
      </c>
      <c r="AB4021">
        <v>29</v>
      </c>
      <c r="AC4021">
        <v>-0.67759999999992704</v>
      </c>
      <c r="AD4021">
        <v>-0.12917589999999901</v>
      </c>
      <c r="AE4021">
        <v>0.117699999999985</v>
      </c>
      <c r="AF4021">
        <v>0.11453404553230601</v>
      </c>
      <c r="AG4021">
        <v>-0.12917589999999901</v>
      </c>
      <c r="AH4021">
        <v>0.65436276002471905</v>
      </c>
      <c r="AI4021">
        <v>101.00390488959501</v>
      </c>
      <c r="AJ4021">
        <v>80.072007555022907</v>
      </c>
      <c r="AK4021">
        <v>0.67675333943319005</v>
      </c>
      <c r="AL4021">
        <v>82.207366185880304</v>
      </c>
      <c r="AM4021">
        <v>88.509763967235898</v>
      </c>
      <c r="AN4021">
        <v>1.00000002498311</v>
      </c>
    </row>
    <row r="4022" spans="1:40" x14ac:dyDescent="0.25">
      <c r="A4022" t="str">
        <f>"20190312164551154"</f>
        <v>20190312164551154</v>
      </c>
      <c r="B4022" t="str">
        <f>"1552380351145432"</f>
        <v>1552380351145432</v>
      </c>
      <c r="C4022" t="s">
        <v>40</v>
      </c>
      <c r="D4022">
        <v>6.1877849999999999</v>
      </c>
      <c r="E4022">
        <v>0.54736870000000004</v>
      </c>
      <c r="F4022" t="s">
        <v>41</v>
      </c>
      <c r="G4022">
        <v>-360.57279999999997</v>
      </c>
      <c r="H4022">
        <v>0.96897889999999998</v>
      </c>
      <c r="I4022">
        <v>141.48599999999999</v>
      </c>
      <c r="J4022">
        <v>-359.94330000000002</v>
      </c>
      <c r="K4022">
        <v>1.1087499999999999</v>
      </c>
      <c r="L4022">
        <v>141.36179999999999</v>
      </c>
      <c r="M4022">
        <v>-0.99993010000000004</v>
      </c>
      <c r="N4022">
        <v>0</v>
      </c>
      <c r="O4022">
        <v>-1.29079E-3</v>
      </c>
      <c r="P4022">
        <v>-0.9919635</v>
      </c>
      <c r="Q4022">
        <v>0.1242032</v>
      </c>
      <c r="R4022">
        <v>2.4128989999999999E-2</v>
      </c>
      <c r="S4022">
        <v>-3.07193</v>
      </c>
      <c r="T4022">
        <v>-0.46250459999999899</v>
      </c>
      <c r="U4022">
        <v>0.4086456</v>
      </c>
      <c r="V4022">
        <v>2.541475E-2</v>
      </c>
      <c r="W4022">
        <v>0.13586219999999999</v>
      </c>
      <c r="X4022">
        <v>0.99040170000000005</v>
      </c>
      <c r="Y4022">
        <v>0.13167089999999901</v>
      </c>
      <c r="Z4022">
        <v>1.000646E-2</v>
      </c>
      <c r="AA4022">
        <v>0.99124299999999999</v>
      </c>
      <c r="AB4022">
        <v>29</v>
      </c>
      <c r="AC4022">
        <v>-0.62949999999994999</v>
      </c>
      <c r="AD4022">
        <v>-0.13977109999999901</v>
      </c>
      <c r="AE4022">
        <v>0.124200000000001</v>
      </c>
      <c r="AF4022">
        <v>0.11934910289773799</v>
      </c>
      <c r="AG4022">
        <v>-0.13977109999999901</v>
      </c>
      <c r="AH4022">
        <v>0.60082839554056999</v>
      </c>
      <c r="AI4022">
        <v>102.85328091449399</v>
      </c>
      <c r="AJ4022">
        <v>78.764961839187094</v>
      </c>
      <c r="AK4022">
        <v>0.62831117262512604</v>
      </c>
      <c r="AL4022">
        <v>82.191520217685607</v>
      </c>
      <c r="AM4022">
        <v>88.530052586763006</v>
      </c>
      <c r="AN4022">
        <v>0.999999987134646</v>
      </c>
    </row>
    <row r="4023" spans="1:40" x14ac:dyDescent="0.25">
      <c r="A4023" t="str">
        <f>"20190312164551174"</f>
        <v>20190312164551174</v>
      </c>
      <c r="B4023" t="str">
        <f>"1552380351165932"</f>
        <v>1552380351165932</v>
      </c>
      <c r="C4023" t="s">
        <v>40</v>
      </c>
      <c r="D4023">
        <v>4.6968579999999998</v>
      </c>
      <c r="E4023">
        <v>0.54678760000000004</v>
      </c>
      <c r="F4023" t="s">
        <v>41</v>
      </c>
      <c r="G4023">
        <v>-360.83080000000001</v>
      </c>
      <c r="H4023">
        <v>0.97390719999999997</v>
      </c>
      <c r="I4023">
        <v>141.4795</v>
      </c>
      <c r="J4023">
        <v>-360.20909999999998</v>
      </c>
      <c r="K4023">
        <v>1.1087499999999999</v>
      </c>
      <c r="L4023">
        <v>141.36150000000001</v>
      </c>
      <c r="M4023">
        <v>-0.99993010000000004</v>
      </c>
      <c r="N4023">
        <v>0</v>
      </c>
      <c r="O4023">
        <v>-1.291031E-3</v>
      </c>
      <c r="P4023">
        <v>-0.99193960000000003</v>
      </c>
      <c r="Q4023">
        <v>0.1244359</v>
      </c>
      <c r="R4023">
        <v>2.391306E-2</v>
      </c>
      <c r="S4023">
        <v>-3.072845</v>
      </c>
      <c r="T4023">
        <v>-0.46687010000000001</v>
      </c>
      <c r="U4023">
        <v>0.40718080000000001</v>
      </c>
      <c r="V4023">
        <v>2.5198990000000001E-2</v>
      </c>
      <c r="W4023">
        <v>0.13609470000000001</v>
      </c>
      <c r="X4023">
        <v>0.99037529999999996</v>
      </c>
      <c r="Y4023">
        <v>0.13114709999999999</v>
      </c>
      <c r="Z4023">
        <v>1.005785E-2</v>
      </c>
      <c r="AA4023">
        <v>0.99131190000000002</v>
      </c>
      <c r="AB4023">
        <v>29</v>
      </c>
      <c r="AC4023">
        <v>-0.621700000000032</v>
      </c>
      <c r="AD4023">
        <v>-0.13484279999999901</v>
      </c>
      <c r="AE4023">
        <v>0.117999999999994</v>
      </c>
      <c r="AF4023">
        <v>0.11364242013501399</v>
      </c>
      <c r="AG4023">
        <v>-0.13484279999999901</v>
      </c>
      <c r="AH4023">
        <v>0.59455033269881197</v>
      </c>
      <c r="AI4023">
        <v>102.558447771494</v>
      </c>
      <c r="AJ4023">
        <v>79.178998253453202</v>
      </c>
      <c r="AK4023">
        <v>0.62015101263986505</v>
      </c>
      <c r="AL4023">
        <v>82.178074125140597</v>
      </c>
      <c r="AM4023">
        <v>88.542487550773998</v>
      </c>
      <c r="AN4023">
        <v>0.9999999956576</v>
      </c>
    </row>
    <row r="4024" spans="1:40" x14ac:dyDescent="0.25">
      <c r="A4024" t="str">
        <f>"20190312164551190"</f>
        <v>20190312164551190</v>
      </c>
      <c r="B4024" t="str">
        <f>"1552380351185450"</f>
        <v>1552380351185450</v>
      </c>
      <c r="C4024" t="s">
        <v>40</v>
      </c>
      <c r="D4024">
        <v>4.8322310000000002</v>
      </c>
      <c r="E4024">
        <v>0.54653640000000003</v>
      </c>
      <c r="F4024" t="s">
        <v>41</v>
      </c>
      <c r="G4024">
        <v>-361.08730000000003</v>
      </c>
      <c r="H4024">
        <v>0.97562959999999999</v>
      </c>
      <c r="I4024">
        <v>141.47649999999999</v>
      </c>
      <c r="J4024">
        <v>-360.39819999999997</v>
      </c>
      <c r="K4024">
        <v>1.1087530000000001</v>
      </c>
      <c r="L4024">
        <v>141.3612</v>
      </c>
      <c r="M4024">
        <v>-0.99993010000000004</v>
      </c>
      <c r="N4024">
        <v>0</v>
      </c>
      <c r="O4024">
        <v>-1.2911509999999999E-3</v>
      </c>
      <c r="P4024">
        <v>-0.99195290000000003</v>
      </c>
      <c r="Q4024">
        <v>0.12438970000000001</v>
      </c>
      <c r="R4024">
        <v>2.3596800000000001E-2</v>
      </c>
      <c r="S4024">
        <v>-3.0731510000000002</v>
      </c>
      <c r="T4024">
        <v>-0.46593279999999898</v>
      </c>
      <c r="U4024">
        <v>0.40167239999999999</v>
      </c>
      <c r="V4024">
        <v>2.4882950000000001E-2</v>
      </c>
      <c r="W4024">
        <v>0.13604929999999901</v>
      </c>
      <c r="X4024">
        <v>0.99038950000000003</v>
      </c>
      <c r="Y4024">
        <v>0.1294129</v>
      </c>
      <c r="Z4024">
        <v>9.9079019999999997E-3</v>
      </c>
      <c r="AA4024">
        <v>0.99154129999999996</v>
      </c>
      <c r="AB4024">
        <v>29</v>
      </c>
      <c r="AC4024">
        <v>-0.689100000000053</v>
      </c>
      <c r="AD4024">
        <v>-0.1331234</v>
      </c>
      <c r="AE4024">
        <v>0.11529999999998999</v>
      </c>
      <c r="AF4024">
        <v>0.112119331795708</v>
      </c>
      <c r="AG4024">
        <v>-0.1331234</v>
      </c>
      <c r="AH4024">
        <v>0.66481518134053696</v>
      </c>
      <c r="AI4024">
        <v>101.169540608444</v>
      </c>
      <c r="AJ4024">
        <v>80.427294635413503</v>
      </c>
      <c r="AK4024">
        <v>0.68722035005573601</v>
      </c>
      <c r="AL4024">
        <v>82.180699553059398</v>
      </c>
      <c r="AM4024">
        <v>88.560780229810803</v>
      </c>
      <c r="AN4024">
        <v>0.99999996747071995</v>
      </c>
    </row>
    <row r="4025" spans="1:40" x14ac:dyDescent="0.25">
      <c r="A4025" t="str">
        <f>"20190312164551203"</f>
        <v>20190312164551203</v>
      </c>
      <c r="B4025" t="str">
        <f>"1552380351195209"</f>
        <v>1552380351195209</v>
      </c>
      <c r="C4025" t="s">
        <v>40</v>
      </c>
      <c r="D4025">
        <v>4.8233610000000002</v>
      </c>
      <c r="E4025">
        <v>0.54654269999999905</v>
      </c>
      <c r="F4025" t="s">
        <v>41</v>
      </c>
      <c r="G4025">
        <v>-361.33760000000001</v>
      </c>
      <c r="H4025">
        <v>0.96350809999999998</v>
      </c>
      <c r="I4025">
        <v>141.48310000000001</v>
      </c>
      <c r="J4025">
        <v>-360.57749999999999</v>
      </c>
      <c r="K4025">
        <v>1.1087530000000001</v>
      </c>
      <c r="L4025">
        <v>141.36099999999999</v>
      </c>
      <c r="M4025">
        <v>-0.99993010000000004</v>
      </c>
      <c r="N4025">
        <v>0</v>
      </c>
      <c r="O4025">
        <v>-1.291391E-3</v>
      </c>
      <c r="P4025">
        <v>-0.99196390000000001</v>
      </c>
      <c r="Q4025">
        <v>0.12435309999999999</v>
      </c>
      <c r="R4025">
        <v>2.3327939999999998E-2</v>
      </c>
      <c r="S4025">
        <v>-3.0744929999999999</v>
      </c>
      <c r="T4025">
        <v>-0.47541060000000002</v>
      </c>
      <c r="U4025">
        <v>0.39839170000000002</v>
      </c>
      <c r="V4025">
        <v>2.4614299999999999E-2</v>
      </c>
      <c r="W4025">
        <v>0.13601289999999999</v>
      </c>
      <c r="X4025">
        <v>0.99040130000000004</v>
      </c>
      <c r="Y4025">
        <v>0.1282713</v>
      </c>
      <c r="Z4025">
        <v>1.001614E-2</v>
      </c>
      <c r="AA4025">
        <v>0.99168849999999997</v>
      </c>
      <c r="AB4025">
        <v>29</v>
      </c>
      <c r="AC4025">
        <v>-0.76010000000002198</v>
      </c>
      <c r="AD4025">
        <v>-0.14524490000000001</v>
      </c>
      <c r="AE4025">
        <v>0.122100000000017</v>
      </c>
      <c r="AF4025">
        <v>0.11885098462905801</v>
      </c>
      <c r="AG4025">
        <v>-0.14524490000000001</v>
      </c>
      <c r="AH4025">
        <v>0.73382090842091197</v>
      </c>
      <c r="AI4025">
        <v>101.05538109139999</v>
      </c>
      <c r="AJ4025">
        <v>80.8001573337487</v>
      </c>
      <c r="AK4025">
        <v>0.75743961023899398</v>
      </c>
      <c r="AL4025">
        <v>82.182805367390003</v>
      </c>
      <c r="AM4025">
        <v>88.576329362534807</v>
      </c>
      <c r="AN4025">
        <v>1.0000000538862901</v>
      </c>
    </row>
    <row r="4026" spans="1:40" x14ac:dyDescent="0.25">
      <c r="A4026" t="str">
        <f>"20190312164551218"</f>
        <v>20190312164551218</v>
      </c>
      <c r="B4026" t="str">
        <f>"1552380351215705"</f>
        <v>1552380351215705</v>
      </c>
      <c r="C4026" t="s">
        <v>40</v>
      </c>
      <c r="D4026">
        <v>4.976629</v>
      </c>
      <c r="E4026">
        <v>0.54617009999999999</v>
      </c>
      <c r="F4026" t="s">
        <v>41</v>
      </c>
      <c r="G4026">
        <v>-361.34890000000001</v>
      </c>
      <c r="H4026">
        <v>0.98795630000000001</v>
      </c>
      <c r="I4026">
        <v>141.46090000000001</v>
      </c>
      <c r="J4026">
        <v>-360.77179999999998</v>
      </c>
      <c r="K4026">
        <v>1.108754</v>
      </c>
      <c r="L4026">
        <v>141.36070000000001</v>
      </c>
      <c r="M4026">
        <v>-0.99992999999999999</v>
      </c>
      <c r="N4026">
        <v>0</v>
      </c>
      <c r="O4026">
        <v>-1.2913919999999999E-3</v>
      </c>
      <c r="P4026">
        <v>-0.99199029999999999</v>
      </c>
      <c r="Q4026">
        <v>0.1242077</v>
      </c>
      <c r="R4026">
        <v>2.2972759999999998E-2</v>
      </c>
      <c r="S4026">
        <v>-3.075348</v>
      </c>
      <c r="T4026">
        <v>-0.48164820000000003</v>
      </c>
      <c r="U4026">
        <v>0.39746090000000001</v>
      </c>
      <c r="V4026">
        <v>2.425913E-2</v>
      </c>
      <c r="W4026">
        <v>0.1358684</v>
      </c>
      <c r="X4026">
        <v>0.99042980000000003</v>
      </c>
      <c r="Y4026">
        <v>0.127906399999999</v>
      </c>
      <c r="Z4026">
        <v>1.011514E-2</v>
      </c>
      <c r="AA4026">
        <v>0.99173469999999997</v>
      </c>
      <c r="AB4026">
        <v>29</v>
      </c>
      <c r="AC4026">
        <v>-0.57710000000002903</v>
      </c>
      <c r="AD4026">
        <v>-0.12079769999999899</v>
      </c>
      <c r="AE4026">
        <v>0.1002</v>
      </c>
      <c r="AF4026">
        <v>9.6826980519070904E-2</v>
      </c>
      <c r="AG4026">
        <v>-0.12079769999999899</v>
      </c>
      <c r="AH4026">
        <v>0.55343153560617397</v>
      </c>
      <c r="AI4026">
        <v>102.13412695517</v>
      </c>
      <c r="AJ4026">
        <v>80.076118968004494</v>
      </c>
      <c r="AK4026">
        <v>0.57467731213711404</v>
      </c>
      <c r="AL4026">
        <v>82.191161431044193</v>
      </c>
      <c r="AM4026">
        <v>88.5969041870799</v>
      </c>
      <c r="AN4026">
        <v>0.99999995811747699</v>
      </c>
    </row>
    <row r="4027" spans="1:40" x14ac:dyDescent="0.25">
      <c r="A4027" t="str">
        <f>"20190312164551235"</f>
        <v>20190312164551235</v>
      </c>
      <c r="B4027" t="str">
        <f>"1552380351225466"</f>
        <v>1552380351225466</v>
      </c>
      <c r="C4027" t="s">
        <v>40</v>
      </c>
      <c r="D4027">
        <v>4.7186649999999997</v>
      </c>
      <c r="E4027">
        <v>0.54627049999999999</v>
      </c>
      <c r="F4027" t="s">
        <v>41</v>
      </c>
      <c r="G4027">
        <v>-361.59989999999999</v>
      </c>
      <c r="H4027">
        <v>0.97777700000000001</v>
      </c>
      <c r="I4027">
        <v>141.46690000000001</v>
      </c>
      <c r="J4027">
        <v>-360.9871</v>
      </c>
      <c r="K4027">
        <v>1.1087530000000001</v>
      </c>
      <c r="L4027">
        <v>141.3604</v>
      </c>
      <c r="M4027">
        <v>-0.99992999999999999</v>
      </c>
      <c r="N4027">
        <v>0</v>
      </c>
      <c r="O4027">
        <v>-1.291513E-3</v>
      </c>
      <c r="P4027">
        <v>-0.99199570000000004</v>
      </c>
      <c r="Q4027">
        <v>0.124226</v>
      </c>
      <c r="R4027">
        <v>2.2643859999999998E-2</v>
      </c>
      <c r="S4027">
        <v>-3.07605</v>
      </c>
      <c r="T4027">
        <v>-0.4866357</v>
      </c>
      <c r="U4027">
        <v>0.39335629999999999</v>
      </c>
      <c r="V4027">
        <v>2.393029E-2</v>
      </c>
      <c r="W4027">
        <v>0.1358868</v>
      </c>
      <c r="X4027">
        <v>0.99043530000000002</v>
      </c>
      <c r="Y4027">
        <v>0.1265606</v>
      </c>
      <c r="Z4027">
        <v>1.011183E-2</v>
      </c>
      <c r="AA4027">
        <v>0.99190739999999999</v>
      </c>
      <c r="AB4027">
        <v>29</v>
      </c>
      <c r="AC4027">
        <v>-0.61279999999999202</v>
      </c>
      <c r="AD4027">
        <v>-0.13097600000000001</v>
      </c>
      <c r="AE4027">
        <v>0.106500000000011</v>
      </c>
      <c r="AF4027">
        <v>0.10273581485946499</v>
      </c>
      <c r="AG4027">
        <v>-0.13097600000000001</v>
      </c>
      <c r="AH4027">
        <v>0.58664832374729903</v>
      </c>
      <c r="AI4027">
        <v>102.40276209303801</v>
      </c>
      <c r="AJ4027">
        <v>80.066897672468002</v>
      </c>
      <c r="AK4027">
        <v>0.60980785169293605</v>
      </c>
      <c r="AL4027">
        <v>82.190097510051103</v>
      </c>
      <c r="AM4027">
        <v>88.615923818038496</v>
      </c>
      <c r="AN4027">
        <v>0.99999998233990695</v>
      </c>
    </row>
    <row r="4028" spans="1:40" x14ac:dyDescent="0.25">
      <c r="A4028" t="str">
        <f>"20190312164551246"</f>
        <v>20190312164551246</v>
      </c>
      <c r="B4028" t="str">
        <f>"1552380351235226"</f>
        <v>1552380351235226</v>
      </c>
      <c r="C4028" t="s">
        <v>40</v>
      </c>
      <c r="D4028">
        <v>5.022583</v>
      </c>
      <c r="E4028">
        <v>0.54639459999999995</v>
      </c>
      <c r="F4028" t="s">
        <v>41</v>
      </c>
      <c r="G4028">
        <v>-361.85329999999999</v>
      </c>
      <c r="H4028">
        <v>0.97237560000000001</v>
      </c>
      <c r="I4028">
        <v>141.47149999999999</v>
      </c>
      <c r="J4028">
        <v>-361.1463</v>
      </c>
      <c r="K4028">
        <v>1.108754</v>
      </c>
      <c r="L4028">
        <v>141.36019999999999</v>
      </c>
      <c r="M4028">
        <v>-0.99992999999999999</v>
      </c>
      <c r="N4028">
        <v>0</v>
      </c>
      <c r="O4028">
        <v>-1.2916339999999901E-3</v>
      </c>
      <c r="P4028">
        <v>-0.99198759999999997</v>
      </c>
      <c r="Q4028">
        <v>0.1242818</v>
      </c>
      <c r="R4028">
        <v>2.2681980000000001E-2</v>
      </c>
      <c r="S4028">
        <v>-3.0758670000000001</v>
      </c>
      <c r="T4028">
        <v>-0.48424699999999998</v>
      </c>
      <c r="U4028">
        <v>0.39346310000000001</v>
      </c>
      <c r="V4028">
        <v>2.3968469999999999E-2</v>
      </c>
      <c r="W4028">
        <v>0.13594300000000001</v>
      </c>
      <c r="X4028">
        <v>0.99042669999999999</v>
      </c>
      <c r="Y4028">
        <v>0.12661639999999999</v>
      </c>
      <c r="Z4028">
        <v>1.006772E-2</v>
      </c>
      <c r="AA4028">
        <v>0.99190069999999997</v>
      </c>
      <c r="AB4028">
        <v>29</v>
      </c>
      <c r="AC4028">
        <v>-0.70699999999999297</v>
      </c>
      <c r="AD4028">
        <v>-0.13637840000000001</v>
      </c>
      <c r="AE4028">
        <v>0.111299999999999</v>
      </c>
      <c r="AF4028">
        <v>0.10828150611171999</v>
      </c>
      <c r="AG4028">
        <v>-0.13637840000000001</v>
      </c>
      <c r="AH4028">
        <v>0.68208930651389299</v>
      </c>
      <c r="AI4028">
        <v>101.170447072798</v>
      </c>
      <c r="AJ4028">
        <v>80.979582724924001</v>
      </c>
      <c r="AK4028">
        <v>0.70396716870390097</v>
      </c>
      <c r="AL4028">
        <v>82.186847603101995</v>
      </c>
      <c r="AM4028">
        <v>88.613704397923797</v>
      </c>
      <c r="AN4028">
        <v>1.0000000174380099</v>
      </c>
    </row>
    <row r="4029" spans="1:40" x14ac:dyDescent="0.25">
      <c r="A4029" t="str">
        <f>"20190312164551264"</f>
        <v>20190312164551264</v>
      </c>
      <c r="B4029" t="str">
        <f>"1552380351255725"</f>
        <v>1552380351255725</v>
      </c>
      <c r="C4029" t="s">
        <v>40</v>
      </c>
      <c r="D4029">
        <v>4.8993650000000004</v>
      </c>
      <c r="E4029">
        <v>0.54655559999999903</v>
      </c>
      <c r="F4029" t="s">
        <v>41</v>
      </c>
      <c r="G4029">
        <v>-361.86470000000003</v>
      </c>
      <c r="H4029">
        <v>0.99633360000000004</v>
      </c>
      <c r="I4029">
        <v>141.45269999999999</v>
      </c>
      <c r="J4029">
        <v>-361.35550000000001</v>
      </c>
      <c r="K4029">
        <v>1.108751</v>
      </c>
      <c r="L4029">
        <v>141.35990000000001</v>
      </c>
      <c r="M4029">
        <v>-0.99992999999999999</v>
      </c>
      <c r="N4029">
        <v>0</v>
      </c>
      <c r="O4029">
        <v>-1.291873E-3</v>
      </c>
      <c r="P4029">
        <v>-0.99201600000000001</v>
      </c>
      <c r="Q4029">
        <v>0.12413780000000001</v>
      </c>
      <c r="R4029">
        <v>2.2231939999999999E-2</v>
      </c>
      <c r="S4029">
        <v>-3.0754700000000001</v>
      </c>
      <c r="T4029">
        <v>-0.4812593</v>
      </c>
      <c r="U4029">
        <v>0.3946228</v>
      </c>
      <c r="V4029">
        <v>2.3518859999999999E-2</v>
      </c>
      <c r="W4029">
        <v>0.13579939999999999</v>
      </c>
      <c r="X4029">
        <v>0.99045720000000004</v>
      </c>
      <c r="Y4029">
        <v>0.12701460000000001</v>
      </c>
      <c r="Z4029">
        <v>1.003826E-2</v>
      </c>
      <c r="AA4029">
        <v>0.99185009999999996</v>
      </c>
      <c r="AB4029">
        <v>29</v>
      </c>
      <c r="AC4029">
        <v>-0.50920000000002097</v>
      </c>
      <c r="AD4029">
        <v>-0.1124174</v>
      </c>
      <c r="AE4029">
        <v>9.2799999999982605E-2</v>
      </c>
      <c r="AF4029">
        <v>8.9247646851598E-2</v>
      </c>
      <c r="AG4029">
        <v>-0.1124174</v>
      </c>
      <c r="AH4029">
        <v>0.48614635213817298</v>
      </c>
      <c r="AI4029">
        <v>102.813433757393</v>
      </c>
      <c r="AJ4029">
        <v>79.597366842535294</v>
      </c>
      <c r="AK4029">
        <v>0.50689356869915003</v>
      </c>
      <c r="AL4029">
        <v>82.195152463004206</v>
      </c>
      <c r="AM4029">
        <v>88.639741085710696</v>
      </c>
      <c r="AN4029">
        <v>1.0000000394239399</v>
      </c>
    </row>
    <row r="4030" spans="1:40" x14ac:dyDescent="0.25">
      <c r="A4030" t="str">
        <f>"20190312164551279"</f>
        <v>20190312164551279</v>
      </c>
      <c r="B4030" t="str">
        <f>"1552380351275241"</f>
        <v>1552380351275241</v>
      </c>
      <c r="C4030" t="s">
        <v>40</v>
      </c>
      <c r="D4030">
        <v>4.853637</v>
      </c>
      <c r="E4030">
        <v>0.54673400000000005</v>
      </c>
      <c r="F4030" t="s">
        <v>41</v>
      </c>
      <c r="G4030">
        <v>-362.11790000000002</v>
      </c>
      <c r="H4030">
        <v>0.99053869999999999</v>
      </c>
      <c r="I4030">
        <v>141.4581</v>
      </c>
      <c r="J4030">
        <v>-361.5446</v>
      </c>
      <c r="K4030">
        <v>1.108754</v>
      </c>
      <c r="L4030">
        <v>141.3597</v>
      </c>
      <c r="M4030">
        <v>-0.99992999999999999</v>
      </c>
      <c r="N4030">
        <v>0</v>
      </c>
      <c r="O4030">
        <v>-1.2918739999999999E-3</v>
      </c>
      <c r="P4030">
        <v>-0.99204979999999998</v>
      </c>
      <c r="Q4030">
        <v>0.1239343</v>
      </c>
      <c r="R4030">
        <v>2.1853339999999999E-2</v>
      </c>
      <c r="S4030">
        <v>-3.0749819999999999</v>
      </c>
      <c r="T4030">
        <v>-0.47684009999999999</v>
      </c>
      <c r="U4030">
        <v>0.39457700000000001</v>
      </c>
      <c r="V4030">
        <v>2.3140299999999999E-2</v>
      </c>
      <c r="W4030">
        <v>0.1355963</v>
      </c>
      <c r="X4030">
        <v>0.99049390000000004</v>
      </c>
      <c r="Y4030">
        <v>0.12704699999999999</v>
      </c>
      <c r="Z4030">
        <v>9.9512109999999997E-3</v>
      </c>
      <c r="AA4030">
        <v>0.99184680000000003</v>
      </c>
      <c r="AB4030">
        <v>29</v>
      </c>
      <c r="AC4030">
        <v>-0.57330000000001702</v>
      </c>
      <c r="AD4030">
        <v>-0.1182153</v>
      </c>
      <c r="AE4030">
        <v>9.8399999999998003E-2</v>
      </c>
      <c r="AF4030">
        <v>9.5208279856724295E-2</v>
      </c>
      <c r="AG4030">
        <v>-0.1182153</v>
      </c>
      <c r="AH4030">
        <v>0.55043803725985896</v>
      </c>
      <c r="AI4030">
        <v>101.94884167014899</v>
      </c>
      <c r="AJ4030">
        <v>80.186747330097106</v>
      </c>
      <c r="AK4030">
        <v>0.57098293019130797</v>
      </c>
      <c r="AL4030">
        <v>82.206897552466003</v>
      </c>
      <c r="AM4030">
        <v>88.661677380950294</v>
      </c>
      <c r="AN4030">
        <v>0.99999999799749495</v>
      </c>
    </row>
    <row r="4031" spans="1:40" x14ac:dyDescent="0.25">
      <c r="A4031" t="str">
        <f>"20190312164551292"</f>
        <v>20190312164551292</v>
      </c>
      <c r="B4031" t="str">
        <f>"1552380351285978"</f>
        <v>1552380351285978</v>
      </c>
      <c r="C4031" t="s">
        <v>40</v>
      </c>
      <c r="D4031">
        <v>4.9899719999999999</v>
      </c>
      <c r="E4031">
        <v>0.54687419999999998</v>
      </c>
      <c r="F4031" t="s">
        <v>41</v>
      </c>
      <c r="G4031">
        <v>-362.36970000000002</v>
      </c>
      <c r="H4031">
        <v>0.98158800000000002</v>
      </c>
      <c r="I4031">
        <v>141.4658</v>
      </c>
      <c r="J4031">
        <v>-361.72269999999997</v>
      </c>
      <c r="K4031">
        <v>1.108752</v>
      </c>
      <c r="L4031">
        <v>141.3595</v>
      </c>
      <c r="M4031">
        <v>-0.99992999999999999</v>
      </c>
      <c r="N4031">
        <v>0</v>
      </c>
      <c r="O4031">
        <v>-1.2919940000000001E-3</v>
      </c>
      <c r="P4031">
        <v>-0.9920639</v>
      </c>
      <c r="Q4031">
        <v>0.1238561</v>
      </c>
      <c r="R4031">
        <v>2.1656890000000002E-2</v>
      </c>
      <c r="S4031">
        <v>-3.0745239999999998</v>
      </c>
      <c r="T4031">
        <v>-0.47392990000000002</v>
      </c>
      <c r="U4031">
        <v>0.39506530000000001</v>
      </c>
      <c r="V4031">
        <v>2.2943930000000001E-2</v>
      </c>
      <c r="W4031">
        <v>0.13551879999999999</v>
      </c>
      <c r="X4031">
        <v>0.99050910000000003</v>
      </c>
      <c r="Y4031">
        <v>0.1272364</v>
      </c>
      <c r="Z4031">
        <v>9.9069980000000002E-3</v>
      </c>
      <c r="AA4031">
        <v>0.99182300000000001</v>
      </c>
      <c r="AB4031">
        <v>29</v>
      </c>
      <c r="AC4031">
        <v>-0.64700000000004798</v>
      </c>
      <c r="AD4031">
        <v>-0.127164</v>
      </c>
      <c r="AE4031">
        <v>0.106300000000004</v>
      </c>
      <c r="AF4031">
        <v>0.103252139818614</v>
      </c>
      <c r="AG4031">
        <v>-0.127164</v>
      </c>
      <c r="AH4031">
        <v>0.62341291672723997</v>
      </c>
      <c r="AI4031">
        <v>101.378171092952</v>
      </c>
      <c r="AJ4031">
        <v>80.595813494231294</v>
      </c>
      <c r="AK4031">
        <v>0.64457377546366801</v>
      </c>
      <c r="AL4031">
        <v>82.2113795416507</v>
      </c>
      <c r="AM4031">
        <v>88.673050746295303</v>
      </c>
      <c r="AN4031">
        <v>1.0000000231300401</v>
      </c>
    </row>
    <row r="4032" spans="1:40" x14ac:dyDescent="0.25">
      <c r="A4032" t="str">
        <f>"20190312164551307"</f>
        <v>20190312164551307</v>
      </c>
      <c r="B4032" t="str">
        <f>"1552380351295738"</f>
        <v>1552380351295738</v>
      </c>
      <c r="C4032" t="s">
        <v>40</v>
      </c>
      <c r="D4032">
        <v>4.721438</v>
      </c>
      <c r="E4032">
        <v>0.54695799999999895</v>
      </c>
      <c r="F4032" t="s">
        <v>41</v>
      </c>
      <c r="G4032">
        <v>-362.6207</v>
      </c>
      <c r="H4032">
        <v>0.9707344</v>
      </c>
      <c r="I4032">
        <v>141.47540000000001</v>
      </c>
      <c r="J4032">
        <v>-361.91669999999999</v>
      </c>
      <c r="K4032">
        <v>1.108752</v>
      </c>
      <c r="L4032">
        <v>141.35919999999999</v>
      </c>
      <c r="M4032">
        <v>-0.99992999999999999</v>
      </c>
      <c r="N4032">
        <v>0</v>
      </c>
      <c r="O4032">
        <v>-1.2922330000000001E-3</v>
      </c>
      <c r="P4032">
        <v>-0.99207690000000004</v>
      </c>
      <c r="Q4032">
        <v>0.1238052</v>
      </c>
      <c r="R4032">
        <v>2.1356710000000001E-2</v>
      </c>
      <c r="S4032">
        <v>-3.0743100000000001</v>
      </c>
      <c r="T4032">
        <v>-0.47251300000000002</v>
      </c>
      <c r="U4032">
        <v>0.39567570000000002</v>
      </c>
      <c r="V4032">
        <v>2.26441E-2</v>
      </c>
      <c r="W4032">
        <v>0.1354678</v>
      </c>
      <c r="X4032">
        <v>0.99052300000000004</v>
      </c>
      <c r="Y4032">
        <v>0.12744529999999901</v>
      </c>
      <c r="Z4032">
        <v>9.8942019999999995E-3</v>
      </c>
      <c r="AA4032">
        <v>0.99179629999999996</v>
      </c>
      <c r="AB4032">
        <v>29</v>
      </c>
      <c r="AC4032">
        <v>-0.70400000000000695</v>
      </c>
      <c r="AD4032">
        <v>-0.13801759999999899</v>
      </c>
      <c r="AE4032">
        <v>0.11620000000002</v>
      </c>
      <c r="AF4032">
        <v>0.112886024849636</v>
      </c>
      <c r="AG4032">
        <v>-0.13801759999999899</v>
      </c>
      <c r="AH4032">
        <v>0.67846424921294601</v>
      </c>
      <c r="AI4032">
        <v>101.346719488085</v>
      </c>
      <c r="AJ4032">
        <v>80.553401131889402</v>
      </c>
      <c r="AK4032">
        <v>0.70150256590849203</v>
      </c>
      <c r="AL4032">
        <v>82.214329009392401</v>
      </c>
      <c r="AM4032">
        <v>88.690403537702693</v>
      </c>
      <c r="AN4032">
        <v>1.0000000468153201</v>
      </c>
    </row>
    <row r="4033" spans="1:40" x14ac:dyDescent="0.25">
      <c r="A4033" t="str">
        <f>"20190312164551331"</f>
        <v>20190312164551331</v>
      </c>
      <c r="B4033" t="str">
        <f>"1552380351325993"</f>
        <v>1552380351325993</v>
      </c>
      <c r="C4033" t="s">
        <v>40</v>
      </c>
      <c r="D4033">
        <v>5.0807149999999996</v>
      </c>
      <c r="E4033">
        <v>0.54731390000000002</v>
      </c>
      <c r="F4033" t="s">
        <v>41</v>
      </c>
      <c r="G4033">
        <v>-362.63389999999998</v>
      </c>
      <c r="H4033">
        <v>0.9988165</v>
      </c>
      <c r="I4033">
        <v>141.45179999999999</v>
      </c>
      <c r="J4033">
        <v>-362.2158</v>
      </c>
      <c r="K4033">
        <v>1.108754</v>
      </c>
      <c r="L4033">
        <v>141.3588</v>
      </c>
      <c r="M4033">
        <v>-0.99992999999999999</v>
      </c>
      <c r="N4033">
        <v>0</v>
      </c>
      <c r="O4033">
        <v>-1.292355E-3</v>
      </c>
      <c r="P4033">
        <v>-0.99210069999999995</v>
      </c>
      <c r="Q4033">
        <v>0.1237405</v>
      </c>
      <c r="R4033">
        <v>2.0612249999999999E-2</v>
      </c>
      <c r="S4033">
        <v>-3.0742799999999999</v>
      </c>
      <c r="T4033">
        <v>-0.4712771</v>
      </c>
      <c r="U4033">
        <v>0.39550780000000002</v>
      </c>
      <c r="V4033">
        <v>2.1899749999999999E-2</v>
      </c>
      <c r="W4033">
        <v>0.135404</v>
      </c>
      <c r="X4033">
        <v>0.9905484</v>
      </c>
      <c r="Y4033">
        <v>0.1274016</v>
      </c>
      <c r="Z4033">
        <v>9.8654490000000001E-3</v>
      </c>
      <c r="AA4033">
        <v>0.99180219999999997</v>
      </c>
      <c r="AB4033">
        <v>29</v>
      </c>
      <c r="AC4033">
        <v>-0.41809999999998099</v>
      </c>
      <c r="AD4033">
        <v>-0.10993749999999899</v>
      </c>
      <c r="AE4033">
        <v>9.29999999999893E-2</v>
      </c>
      <c r="AF4033">
        <v>8.7758687630823604E-2</v>
      </c>
      <c r="AG4033">
        <v>-0.10993749999999899</v>
      </c>
      <c r="AH4033">
        <v>0.39214467892997901</v>
      </c>
      <c r="AI4033">
        <v>105.30069948227801</v>
      </c>
      <c r="AJ4033">
        <v>77.385533220529894</v>
      </c>
      <c r="AK4033">
        <v>0.41661167815368599</v>
      </c>
      <c r="AL4033">
        <v>82.218018009856493</v>
      </c>
      <c r="AM4033">
        <v>88.733470402267002</v>
      </c>
      <c r="AN4033">
        <v>0.99999998750431096</v>
      </c>
    </row>
    <row r="4034" spans="1:40" x14ac:dyDescent="0.25">
      <c r="A4034" t="str">
        <f>"20190312164551354"</f>
        <v>20190312164551354</v>
      </c>
      <c r="B4034" t="str">
        <f>"1552380351345513"</f>
        <v>1552380351345513</v>
      </c>
      <c r="C4034" t="s">
        <v>40</v>
      </c>
      <c r="D4034">
        <v>4.9112689999999999</v>
      </c>
      <c r="E4034">
        <v>0.54742080000000004</v>
      </c>
      <c r="F4034" t="s">
        <v>41</v>
      </c>
      <c r="G4034">
        <v>-363.13220000000001</v>
      </c>
      <c r="H4034">
        <v>0.9690571</v>
      </c>
      <c r="I4034">
        <v>141.47720000000001</v>
      </c>
      <c r="J4034">
        <v>-362.5061</v>
      </c>
      <c r="K4034">
        <v>1.1087530000000001</v>
      </c>
      <c r="L4034">
        <v>141.35839999999999</v>
      </c>
      <c r="M4034">
        <v>-0.99992999999999999</v>
      </c>
      <c r="N4034">
        <v>0</v>
      </c>
      <c r="O4034">
        <v>-1.292475E-3</v>
      </c>
      <c r="P4034">
        <v>-0.99210410000000004</v>
      </c>
      <c r="Q4034">
        <v>0.1237569</v>
      </c>
      <c r="R4034">
        <v>2.0339469999999998E-2</v>
      </c>
      <c r="S4034">
        <v>-3.0741269999999998</v>
      </c>
      <c r="T4034">
        <v>-0.46863539999999998</v>
      </c>
      <c r="U4034">
        <v>0.396347</v>
      </c>
      <c r="V4034">
        <v>2.1627090000000002E-2</v>
      </c>
      <c r="W4034">
        <v>0.1354205</v>
      </c>
      <c r="X4034">
        <v>0.99055210000000005</v>
      </c>
      <c r="Y4034">
        <v>0.12768740000000001</v>
      </c>
      <c r="Z4034">
        <v>9.8326769999999997E-3</v>
      </c>
      <c r="AA4034">
        <v>0.99176569999999997</v>
      </c>
      <c r="AB4034">
        <v>29</v>
      </c>
      <c r="AC4034">
        <v>-0.62610000000000798</v>
      </c>
      <c r="AD4034">
        <v>-0.13969590000000001</v>
      </c>
      <c r="AE4034">
        <v>0.118800000000021</v>
      </c>
      <c r="AF4034">
        <v>0.11412514309666601</v>
      </c>
      <c r="AG4034">
        <v>-0.13969590000000001</v>
      </c>
      <c r="AH4034">
        <v>0.59724655346382005</v>
      </c>
      <c r="AI4034">
        <v>102.93878443174501</v>
      </c>
      <c r="AJ4034">
        <v>79.182018528211003</v>
      </c>
      <c r="AK4034">
        <v>0.62389337100826503</v>
      </c>
      <c r="AL4034">
        <v>82.217063569406506</v>
      </c>
      <c r="AM4034">
        <v>88.749238794620197</v>
      </c>
      <c r="AN4034">
        <v>0.99999995282826304</v>
      </c>
    </row>
    <row r="4035" spans="1:40" x14ac:dyDescent="0.25">
      <c r="A4035" t="str">
        <f>"20190312164551374"</f>
        <v>20190312164551374</v>
      </c>
      <c r="B4035" t="str">
        <f>"1552380351366009"</f>
        <v>1552380351366009</v>
      </c>
      <c r="C4035" t="s">
        <v>40</v>
      </c>
      <c r="D4035">
        <v>5.344144</v>
      </c>
      <c r="E4035">
        <v>0.54751039999999995</v>
      </c>
      <c r="F4035" t="s">
        <v>41</v>
      </c>
      <c r="G4035">
        <v>-363.39100000000002</v>
      </c>
      <c r="H4035">
        <v>0.97449030000000003</v>
      </c>
      <c r="I4035">
        <v>141.4727</v>
      </c>
      <c r="J4035">
        <v>-362.77809999999999</v>
      </c>
      <c r="K4035">
        <v>1.108752</v>
      </c>
      <c r="L4035">
        <v>141.35810000000001</v>
      </c>
      <c r="M4035">
        <v>-0.99992999999999999</v>
      </c>
      <c r="N4035">
        <v>0</v>
      </c>
      <c r="O4035">
        <v>-1.2927150000000001E-3</v>
      </c>
      <c r="P4035">
        <v>-0.99214329999999995</v>
      </c>
      <c r="Q4035">
        <v>0.1235718</v>
      </c>
      <c r="R4035">
        <v>1.953891E-2</v>
      </c>
      <c r="S4035">
        <v>-3.0739139999999998</v>
      </c>
      <c r="T4035">
        <v>-0.4664471</v>
      </c>
      <c r="U4035">
        <v>0.39682010000000001</v>
      </c>
      <c r="V4035">
        <v>2.0826770000000001E-2</v>
      </c>
      <c r="W4035">
        <v>0.1352362</v>
      </c>
      <c r="X4035">
        <v>0.99059439999999999</v>
      </c>
      <c r="Y4035">
        <v>0.127858</v>
      </c>
      <c r="Z4035">
        <v>9.8007049999999998E-3</v>
      </c>
      <c r="AA4035">
        <v>0.99174399999999996</v>
      </c>
      <c r="AB4035">
        <v>29</v>
      </c>
      <c r="AC4035">
        <v>-0.61289999999996703</v>
      </c>
      <c r="AD4035">
        <v>-0.13426169999999901</v>
      </c>
      <c r="AE4035">
        <v>0.114599999999995</v>
      </c>
      <c r="AF4035">
        <v>0.110279051232036</v>
      </c>
      <c r="AG4035">
        <v>-0.13426169999999901</v>
      </c>
      <c r="AH4035">
        <v>0.58559935653319095</v>
      </c>
      <c r="AI4035">
        <v>102.697390896833</v>
      </c>
      <c r="AJ4035">
        <v>79.335060909120799</v>
      </c>
      <c r="AK4035">
        <v>0.61083081094490899</v>
      </c>
      <c r="AL4035">
        <v>82.227721004148407</v>
      </c>
      <c r="AM4035">
        <v>88.795561285607107</v>
      </c>
      <c r="AN4035">
        <v>0.99999992472521304</v>
      </c>
    </row>
    <row r="4036" spans="1:40" x14ac:dyDescent="0.25">
      <c r="A4036" t="str">
        <f>"20190312164551390"</f>
        <v>20190312164551390</v>
      </c>
      <c r="B4036" t="str">
        <f>"1552380351385529"</f>
        <v>1552380351385529</v>
      </c>
      <c r="C4036" t="s">
        <v>40</v>
      </c>
      <c r="D4036">
        <v>4.9856829999999999</v>
      </c>
      <c r="E4036">
        <v>0.54765339999999996</v>
      </c>
      <c r="F4036" t="s">
        <v>41</v>
      </c>
      <c r="G4036">
        <v>-363.64839999999998</v>
      </c>
      <c r="H4036">
        <v>0.97705469999999905</v>
      </c>
      <c r="I4036">
        <v>141.47030000000001</v>
      </c>
      <c r="J4036">
        <v>-362.96570000000003</v>
      </c>
      <c r="K4036">
        <v>1.1087530000000001</v>
      </c>
      <c r="L4036">
        <v>141.3578</v>
      </c>
      <c r="M4036">
        <v>-0.99992999999999999</v>
      </c>
      <c r="N4036">
        <v>0</v>
      </c>
      <c r="O4036">
        <v>-1.292835E-3</v>
      </c>
      <c r="P4036">
        <v>-0.99217840000000002</v>
      </c>
      <c r="Q4036">
        <v>0.12334389999999899</v>
      </c>
      <c r="R4036">
        <v>1.919479E-2</v>
      </c>
      <c r="S4036">
        <v>-3.0738829999999999</v>
      </c>
      <c r="T4036">
        <v>-0.46520699999999998</v>
      </c>
      <c r="U4036">
        <v>0.39537050000000001</v>
      </c>
      <c r="V4036">
        <v>2.048283E-2</v>
      </c>
      <c r="W4036">
        <v>0.13500899999999999</v>
      </c>
      <c r="X4036">
        <v>0.99063270000000003</v>
      </c>
      <c r="Y4036">
        <v>0.12741189999999999</v>
      </c>
      <c r="Z4036">
        <v>9.7419020000000002E-3</v>
      </c>
      <c r="AA4036">
        <v>0.99180199999999996</v>
      </c>
      <c r="AB4036">
        <v>29</v>
      </c>
      <c r="AC4036">
        <v>-0.68269999999995401</v>
      </c>
      <c r="AD4036">
        <v>-0.13169829999999999</v>
      </c>
      <c r="AE4036">
        <v>0.11250000000001099</v>
      </c>
      <c r="AF4036">
        <v>0.10941839063969901</v>
      </c>
      <c r="AG4036">
        <v>-0.13169829999999999</v>
      </c>
      <c r="AH4036">
        <v>0.65868984376260797</v>
      </c>
      <c r="AI4036">
        <v>101.157631929475</v>
      </c>
      <c r="AJ4036">
        <v>80.568423666326694</v>
      </c>
      <c r="AK4036">
        <v>0.68058000022707199</v>
      </c>
      <c r="AL4036">
        <v>82.240860163898702</v>
      </c>
      <c r="AM4036">
        <v>88.815491844611998</v>
      </c>
      <c r="AN4036">
        <v>1.0000000613575399</v>
      </c>
    </row>
    <row r="4037" spans="1:40" x14ac:dyDescent="0.25">
      <c r="A4037" t="str">
        <f>"20190312164551402"</f>
        <v>20190312164551402</v>
      </c>
      <c r="B4037" t="str">
        <f>"1552380351395290"</f>
        <v>1552380351395290</v>
      </c>
      <c r="C4037" t="s">
        <v>40</v>
      </c>
      <c r="D4037">
        <v>5.1313760000000004</v>
      </c>
      <c r="E4037">
        <v>0.54775569999999996</v>
      </c>
      <c r="F4037" t="s">
        <v>41</v>
      </c>
      <c r="G4037">
        <v>-363.90019999999998</v>
      </c>
      <c r="H4037">
        <v>0.9674625</v>
      </c>
      <c r="I4037">
        <v>141.47810000000001</v>
      </c>
      <c r="J4037">
        <v>-363.12670000000003</v>
      </c>
      <c r="K4037">
        <v>1.108752</v>
      </c>
      <c r="L4037">
        <v>141.35759999999999</v>
      </c>
      <c r="M4037">
        <v>-0.99992999999999999</v>
      </c>
      <c r="N4037">
        <v>0</v>
      </c>
      <c r="O4037">
        <v>-1.292835E-3</v>
      </c>
      <c r="P4037">
        <v>-0.99215969999999998</v>
      </c>
      <c r="Q4037">
        <v>0.1235378</v>
      </c>
      <c r="R4037">
        <v>1.8905760000000001E-2</v>
      </c>
      <c r="S4037">
        <v>-3.0737920000000001</v>
      </c>
      <c r="T4037">
        <v>-0.46469519999999997</v>
      </c>
      <c r="U4037">
        <v>0.39576719999999999</v>
      </c>
      <c r="V4037">
        <v>2.0193840000000001E-2</v>
      </c>
      <c r="W4037">
        <v>0.13520270000000001</v>
      </c>
      <c r="X4037">
        <v>0.9906121</v>
      </c>
      <c r="Y4037">
        <v>0.1275432</v>
      </c>
      <c r="Z4037">
        <v>9.7413399999999994E-3</v>
      </c>
      <c r="AA4037">
        <v>0.99178520000000003</v>
      </c>
      <c r="AB4037">
        <v>29</v>
      </c>
      <c r="AC4037">
        <v>-0.773499999999955</v>
      </c>
      <c r="AD4037">
        <v>-0.14128949999999901</v>
      </c>
      <c r="AE4037">
        <v>0.12050000000002099</v>
      </c>
      <c r="AF4037">
        <v>0.11766696907158899</v>
      </c>
      <c r="AG4037">
        <v>-0.14128949999999901</v>
      </c>
      <c r="AH4037">
        <v>0.74894658459315899</v>
      </c>
      <c r="AI4037">
        <v>100.55681574879701</v>
      </c>
      <c r="AJ4037">
        <v>81.071249269370298</v>
      </c>
      <c r="AK4037">
        <v>0.77118689368693405</v>
      </c>
      <c r="AL4037">
        <v>82.229658378660005</v>
      </c>
      <c r="AM4037">
        <v>88.832175001070794</v>
      </c>
      <c r="AN4037">
        <v>0.999999946963821</v>
      </c>
    </row>
    <row r="4038" spans="1:40" x14ac:dyDescent="0.25">
      <c r="A4038" t="str">
        <f>"20190312164551414"</f>
        <v>20190312164551414</v>
      </c>
      <c r="B4038" t="str">
        <f>"1552380351406025"</f>
        <v>1552380351406025</v>
      </c>
      <c r="C4038" t="s">
        <v>40</v>
      </c>
      <c r="D4038">
        <v>4.7200040000000003</v>
      </c>
      <c r="E4038">
        <v>0.54777600000000004</v>
      </c>
      <c r="F4038" t="s">
        <v>41</v>
      </c>
      <c r="G4038">
        <v>-363.911</v>
      </c>
      <c r="H4038">
        <v>0.99062110000000003</v>
      </c>
      <c r="I4038">
        <v>141.45859999999999</v>
      </c>
      <c r="J4038">
        <v>-363.28750000000002</v>
      </c>
      <c r="K4038">
        <v>1.1087549999999999</v>
      </c>
      <c r="L4038">
        <v>141.35740000000001</v>
      </c>
      <c r="M4038">
        <v>-0.99992999999999999</v>
      </c>
      <c r="N4038">
        <v>0</v>
      </c>
      <c r="O4038">
        <v>-1.293074E-3</v>
      </c>
      <c r="P4038">
        <v>-0.99217359999999999</v>
      </c>
      <c r="Q4038">
        <v>0.12349060000000001</v>
      </c>
      <c r="R4038">
        <v>1.8494409999999999E-2</v>
      </c>
      <c r="S4038">
        <v>-3.0738219999999998</v>
      </c>
      <c r="T4038">
        <v>-0.46299180000000001</v>
      </c>
      <c r="U4038">
        <v>0.3958893</v>
      </c>
      <c r="V4038">
        <v>1.978272E-2</v>
      </c>
      <c r="W4038">
        <v>0.1351559</v>
      </c>
      <c r="X4038">
        <v>0.99062680000000003</v>
      </c>
      <c r="Y4038">
        <v>0.12759089999999901</v>
      </c>
      <c r="Z4038">
        <v>9.7095029999999995E-3</v>
      </c>
      <c r="AA4038">
        <v>0.99177930000000003</v>
      </c>
      <c r="AB4038">
        <v>29</v>
      </c>
      <c r="AC4038">
        <v>-0.62349999999997796</v>
      </c>
      <c r="AD4038">
        <v>-0.1181339</v>
      </c>
      <c r="AE4038">
        <v>0.101199999999977</v>
      </c>
      <c r="AF4038">
        <v>9.8558904040646003E-2</v>
      </c>
      <c r="AG4038">
        <v>-0.1181339</v>
      </c>
      <c r="AH4038">
        <v>0.60230187368861698</v>
      </c>
      <c r="AI4038">
        <v>100.954867181192</v>
      </c>
      <c r="AJ4038">
        <v>80.706652894678101</v>
      </c>
      <c r="AK4038">
        <v>0.62164058984571002</v>
      </c>
      <c r="AL4038">
        <v>82.232364803566</v>
      </c>
      <c r="AM4038">
        <v>88.855960968337897</v>
      </c>
      <c r="AN4038">
        <v>0.99999996509682298</v>
      </c>
    </row>
    <row r="4039" spans="1:40" x14ac:dyDescent="0.25">
      <c r="A4039" t="str">
        <f>"20190312164551426"</f>
        <v>20190312164551426</v>
      </c>
      <c r="B4039" t="str">
        <f>"1552380351415786"</f>
        <v>1552380351415786</v>
      </c>
      <c r="C4039" t="s">
        <v>40</v>
      </c>
      <c r="D4039">
        <v>5.3922100000000004</v>
      </c>
      <c r="E4039">
        <v>0.54789659999999996</v>
      </c>
      <c r="F4039" t="s">
        <v>41</v>
      </c>
      <c r="G4039">
        <v>-364.16109999999998</v>
      </c>
      <c r="H4039">
        <v>0.97738000000000003</v>
      </c>
      <c r="I4039">
        <v>141.46979999999999</v>
      </c>
      <c r="J4039">
        <v>-363.44490000000002</v>
      </c>
      <c r="K4039">
        <v>1.1087560000000001</v>
      </c>
      <c r="L4039">
        <v>141.35720000000001</v>
      </c>
      <c r="M4039">
        <v>-0.99992999999999999</v>
      </c>
      <c r="N4039">
        <v>0</v>
      </c>
      <c r="O4039">
        <v>-1.2931939999999999E-3</v>
      </c>
      <c r="P4039">
        <v>-0.99216749999999998</v>
      </c>
      <c r="Q4039">
        <v>0.12356350000000001</v>
      </c>
      <c r="R4039">
        <v>1.8328750000000001E-2</v>
      </c>
      <c r="S4039">
        <v>-3.0738530000000002</v>
      </c>
      <c r="T4039">
        <v>-0.46230569999999999</v>
      </c>
      <c r="U4039">
        <v>0.39479059999999999</v>
      </c>
      <c r="V4039">
        <v>1.9617240000000001E-2</v>
      </c>
      <c r="W4039">
        <v>0.13522870000000001</v>
      </c>
      <c r="X4039">
        <v>0.99062019999999995</v>
      </c>
      <c r="Y4039">
        <v>0.127249</v>
      </c>
      <c r="Z4039">
        <v>9.6699490000000006E-3</v>
      </c>
      <c r="AA4039">
        <v>0.99182369999999997</v>
      </c>
      <c r="AB4039">
        <v>29</v>
      </c>
      <c r="AC4039">
        <v>-0.71619999999995798</v>
      </c>
      <c r="AD4039">
        <v>-0.13137599999999899</v>
      </c>
      <c r="AE4039">
        <v>0.112599999999986</v>
      </c>
      <c r="AF4039">
        <v>0.10991685133543599</v>
      </c>
      <c r="AG4039">
        <v>-0.13137599999999899</v>
      </c>
      <c r="AH4039">
        <v>0.693288487455617</v>
      </c>
      <c r="AI4039">
        <v>100.60079252963899</v>
      </c>
      <c r="AJ4039">
        <v>80.9910720616394</v>
      </c>
      <c r="AK4039">
        <v>0.71413604755816196</v>
      </c>
      <c r="AL4039">
        <v>82.228155365801499</v>
      </c>
      <c r="AM4039">
        <v>88.865520644992699</v>
      </c>
      <c r="AN4039">
        <v>1.00000000902847</v>
      </c>
    </row>
    <row r="4040" spans="1:40" x14ac:dyDescent="0.25">
      <c r="A4040" t="str">
        <f>"20190312164551443"</f>
        <v>20190312164551443</v>
      </c>
      <c r="B4040" t="str">
        <f>"1552380351435309"</f>
        <v>1552380351435309</v>
      </c>
      <c r="C4040" t="s">
        <v>40</v>
      </c>
      <c r="D4040">
        <v>4.5808019999999896</v>
      </c>
      <c r="E4040">
        <v>0.54815349999999996</v>
      </c>
      <c r="F4040" t="s">
        <v>41</v>
      </c>
      <c r="G4040">
        <v>-364.17160000000001</v>
      </c>
      <c r="H4040">
        <v>0.99967539999999999</v>
      </c>
      <c r="I4040">
        <v>141.45089999999999</v>
      </c>
      <c r="J4040">
        <v>-363.65190000000001</v>
      </c>
      <c r="K4040">
        <v>1.108749</v>
      </c>
      <c r="L4040">
        <v>141.3569</v>
      </c>
      <c r="M4040">
        <v>-0.99992999999999999</v>
      </c>
      <c r="N4040">
        <v>0</v>
      </c>
      <c r="O4040">
        <v>-1.293195E-3</v>
      </c>
      <c r="P4040">
        <v>-0.99219170000000001</v>
      </c>
      <c r="Q4040">
        <v>0.1234471</v>
      </c>
      <c r="R4040">
        <v>1.7791669999999999E-2</v>
      </c>
      <c r="S4040">
        <v>-3.0738219999999998</v>
      </c>
      <c r="T4040">
        <v>-0.46141339999999997</v>
      </c>
      <c r="U4040">
        <v>0.39530939999999998</v>
      </c>
      <c r="V4040">
        <v>1.908017E-2</v>
      </c>
      <c r="W4040">
        <v>0.13511289999999901</v>
      </c>
      <c r="X4040">
        <v>0.99064649999999999</v>
      </c>
      <c r="Y4040">
        <v>0.12741849999999999</v>
      </c>
      <c r="Z4040">
        <v>9.6640800000000002E-3</v>
      </c>
      <c r="AA4040">
        <v>0.99180199999999996</v>
      </c>
      <c r="AB4040">
        <v>29</v>
      </c>
      <c r="AC4040">
        <v>-0.51970000000000005</v>
      </c>
      <c r="AD4040">
        <v>-0.10907359999999899</v>
      </c>
      <c r="AE4040">
        <v>9.3999999999994005E-2</v>
      </c>
      <c r="AF4040">
        <v>9.0799152196773106E-2</v>
      </c>
      <c r="AG4040">
        <v>-0.10907359999999899</v>
      </c>
      <c r="AH4040">
        <v>0.498322851594867</v>
      </c>
      <c r="AI4040">
        <v>102.152278113956</v>
      </c>
      <c r="AJ4040">
        <v>79.673452219194701</v>
      </c>
      <c r="AK4040">
        <v>0.51813820615570505</v>
      </c>
      <c r="AL4040">
        <v>82.234851746055995</v>
      </c>
      <c r="AM4040">
        <v>88.896601296203102</v>
      </c>
      <c r="AN4040">
        <v>1.0000000182979401</v>
      </c>
    </row>
    <row r="4041" spans="1:40" x14ac:dyDescent="0.25">
      <c r="A4041" t="str">
        <f>"20190312164551459"</f>
        <v>20190312164551459</v>
      </c>
      <c r="B4041" t="str">
        <f>"1552380351455802"</f>
        <v>1552380351455802</v>
      </c>
      <c r="C4041" t="s">
        <v>40</v>
      </c>
      <c r="D4041">
        <v>5.1480300000000003</v>
      </c>
      <c r="E4041">
        <v>0.54846680000000003</v>
      </c>
      <c r="F4041" t="s">
        <v>41</v>
      </c>
      <c r="G4041">
        <v>-364.42469999999997</v>
      </c>
      <c r="H4041">
        <v>0.99291289999999999</v>
      </c>
      <c r="I4041">
        <v>141.4564</v>
      </c>
      <c r="J4041">
        <v>-363.85860000000002</v>
      </c>
      <c r="K4041">
        <v>1.1087469999999999</v>
      </c>
      <c r="L4041">
        <v>141.35659999999999</v>
      </c>
      <c r="M4041">
        <v>-0.99992999999999999</v>
      </c>
      <c r="N4041">
        <v>0</v>
      </c>
      <c r="O4041">
        <v>-1.293553E-3</v>
      </c>
      <c r="P4041">
        <v>-0.99221859999999995</v>
      </c>
      <c r="Q4041">
        <v>0.1232776</v>
      </c>
      <c r="R4041">
        <v>1.747348E-2</v>
      </c>
      <c r="S4041">
        <v>-3.0738219999999998</v>
      </c>
      <c r="T4041">
        <v>-0.46060869999999998</v>
      </c>
      <c r="U4041">
        <v>0.3955688</v>
      </c>
      <c r="V4041">
        <v>1.8762330000000001E-2</v>
      </c>
      <c r="W4041">
        <v>0.134943799999999</v>
      </c>
      <c r="X4041">
        <v>0.99067559999999999</v>
      </c>
      <c r="Y4041">
        <v>0.12750520000000001</v>
      </c>
      <c r="Z4041">
        <v>9.653844E-3</v>
      </c>
      <c r="AA4041">
        <v>0.99179099999999998</v>
      </c>
      <c r="AB4041">
        <v>29</v>
      </c>
      <c r="AC4041">
        <v>-0.56609999999994898</v>
      </c>
      <c r="AD4041">
        <v>-0.115834099999999</v>
      </c>
      <c r="AE4041">
        <v>9.9800000000016098E-2</v>
      </c>
      <c r="AF4041">
        <v>9.6609292947441402E-2</v>
      </c>
      <c r="AG4041">
        <v>-0.115834099999999</v>
      </c>
      <c r="AH4041">
        <v>0.54388520643075899</v>
      </c>
      <c r="AI4041">
        <v>101.84292437048499</v>
      </c>
      <c r="AJ4041">
        <v>79.927715689664495</v>
      </c>
      <c r="AK4041">
        <v>0.56441297998969198</v>
      </c>
      <c r="AL4041">
        <v>82.244629866008495</v>
      </c>
      <c r="AM4041">
        <v>88.915009290440196</v>
      </c>
      <c r="AN4041">
        <v>0.99999999931041395</v>
      </c>
    </row>
    <row r="4042" spans="1:40" x14ac:dyDescent="0.25">
      <c r="A4042" t="str">
        <f>"20190312164551476"</f>
        <v>20190312164551476</v>
      </c>
      <c r="B4042" t="str">
        <f>"1552380351465562"</f>
        <v>1552380351465562</v>
      </c>
      <c r="C4042" t="s">
        <v>40</v>
      </c>
      <c r="D4042">
        <v>5.20092</v>
      </c>
      <c r="E4042">
        <v>0.54879899999999904</v>
      </c>
      <c r="F4042" t="s">
        <v>41</v>
      </c>
      <c r="G4042">
        <v>-364.67750000000001</v>
      </c>
      <c r="H4042">
        <v>0.98529199999999995</v>
      </c>
      <c r="I4042">
        <v>141.46279999999999</v>
      </c>
      <c r="J4042">
        <v>-364.07089999999999</v>
      </c>
      <c r="K4042">
        <v>1.108751</v>
      </c>
      <c r="L4042">
        <v>141.35640000000001</v>
      </c>
      <c r="M4042">
        <v>-0.99992999999999999</v>
      </c>
      <c r="N4042">
        <v>0</v>
      </c>
      <c r="O4042">
        <v>-1.2935539999999999E-3</v>
      </c>
      <c r="P4042">
        <v>-0.99223090000000003</v>
      </c>
      <c r="Q4042">
        <v>0.12326670000000001</v>
      </c>
      <c r="R4042">
        <v>1.6832980000000001E-2</v>
      </c>
      <c r="S4042">
        <v>-3.0740660000000002</v>
      </c>
      <c r="T4042">
        <v>-0.46344689999999999</v>
      </c>
      <c r="U4042">
        <v>0.39723209999999998</v>
      </c>
      <c r="V4042">
        <v>1.8121829999999998E-2</v>
      </c>
      <c r="W4042">
        <v>0.13493339999999901</v>
      </c>
      <c r="X4042">
        <v>0.99068889999999998</v>
      </c>
      <c r="Y4042">
        <v>0.12800049999999999</v>
      </c>
      <c r="Z4042">
        <v>9.7485639999999995E-3</v>
      </c>
      <c r="AA4042">
        <v>0.9917262</v>
      </c>
      <c r="AB4042">
        <v>29</v>
      </c>
      <c r="AC4042">
        <v>-0.60660000000001402</v>
      </c>
      <c r="AD4042">
        <v>-0.123459</v>
      </c>
      <c r="AE4042">
        <v>0.106399999999979</v>
      </c>
      <c r="AF4042">
        <v>0.103043668718432</v>
      </c>
      <c r="AG4042">
        <v>-0.123459</v>
      </c>
      <c r="AH4042">
        <v>0.58303182891578698</v>
      </c>
      <c r="AI4042">
        <v>101.77863643530701</v>
      </c>
      <c r="AJ4042">
        <v>79.977182120198194</v>
      </c>
      <c r="AK4042">
        <v>0.604802642084872</v>
      </c>
      <c r="AL4042">
        <v>82.245230934598894</v>
      </c>
      <c r="AM4042">
        <v>88.952053876048595</v>
      </c>
      <c r="AN4042">
        <v>0.99999995987065804</v>
      </c>
    </row>
    <row r="4043" spans="1:40" x14ac:dyDescent="0.25">
      <c r="A4043" t="str">
        <f>"20190312164551498"</f>
        <v>20190312164551498</v>
      </c>
      <c r="B4043" t="str">
        <f>"1552380351495818"</f>
        <v>1552380351495818</v>
      </c>
      <c r="C4043" t="s">
        <v>40</v>
      </c>
      <c r="D4043">
        <v>4.4185910000000002</v>
      </c>
      <c r="E4043">
        <v>0.5492245</v>
      </c>
      <c r="F4043" t="s">
        <v>41</v>
      </c>
      <c r="G4043">
        <v>-364.9307</v>
      </c>
      <c r="H4043">
        <v>0.97840389999999999</v>
      </c>
      <c r="I4043">
        <v>141.46780000000001</v>
      </c>
      <c r="J4043">
        <v>-364.35309999999998</v>
      </c>
      <c r="K4043">
        <v>1.1087499999999999</v>
      </c>
      <c r="L4043">
        <v>141.35599999999999</v>
      </c>
      <c r="M4043">
        <v>-0.99992999999999999</v>
      </c>
      <c r="N4043">
        <v>0</v>
      </c>
      <c r="O4043">
        <v>-1.2936740000000001E-3</v>
      </c>
      <c r="P4043">
        <v>-0.99226309999999995</v>
      </c>
      <c r="Q4043">
        <v>0.12308620000000001</v>
      </c>
      <c r="R4043">
        <v>1.624778E-2</v>
      </c>
      <c r="S4043">
        <v>-3.074646</v>
      </c>
      <c r="T4043">
        <v>-0.46605809999999998</v>
      </c>
      <c r="U4043">
        <v>0.39825440000000001</v>
      </c>
      <c r="V4043">
        <v>1.7536840000000001E-2</v>
      </c>
      <c r="W4043">
        <v>0.13475290000000001</v>
      </c>
      <c r="X4043">
        <v>0.99072400000000005</v>
      </c>
      <c r="Y4043">
        <v>0.12828239999999999</v>
      </c>
      <c r="Z4043">
        <v>9.8220430000000008E-3</v>
      </c>
      <c r="AA4043">
        <v>0.99168900000000004</v>
      </c>
      <c r="AB4043">
        <v>29</v>
      </c>
      <c r="AC4043">
        <v>-0.57760000000001799</v>
      </c>
      <c r="AD4043">
        <v>-0.13034609999999899</v>
      </c>
      <c r="AE4043">
        <v>0.111800000000016</v>
      </c>
      <c r="AF4043">
        <v>0.107281058961469</v>
      </c>
      <c r="AG4043">
        <v>-0.13034609999999899</v>
      </c>
      <c r="AH4043">
        <v>0.55043554219298296</v>
      </c>
      <c r="AI4043">
        <v>103.085028563992</v>
      </c>
      <c r="AJ4043">
        <v>78.971193282444503</v>
      </c>
      <c r="AK4043">
        <v>0.575741797602352</v>
      </c>
      <c r="AL4043">
        <v>82.255668182792903</v>
      </c>
      <c r="AM4043">
        <v>88.985911317830897</v>
      </c>
      <c r="AN4043">
        <v>0.99999996449579698</v>
      </c>
    </row>
    <row r="4044" spans="1:40" x14ac:dyDescent="0.25">
      <c r="A4044" t="str">
        <f>"20190312164551521"</f>
        <v>20190312164551521</v>
      </c>
      <c r="B4044" t="str">
        <f>"1552380351516314"</f>
        <v>1552380351516314</v>
      </c>
      <c r="C4044" t="s">
        <v>40</v>
      </c>
      <c r="D4044">
        <v>4.8188579999999996</v>
      </c>
      <c r="E4044">
        <v>0.5496529</v>
      </c>
      <c r="F4044" t="s">
        <v>41</v>
      </c>
      <c r="G4044">
        <v>-365.18740000000003</v>
      </c>
      <c r="H4044">
        <v>0.97888569999999997</v>
      </c>
      <c r="I4044">
        <v>141.46459999999999</v>
      </c>
      <c r="J4044">
        <v>-364.64710000000002</v>
      </c>
      <c r="K4044">
        <v>1.108746</v>
      </c>
      <c r="L4044">
        <v>141.35560000000001</v>
      </c>
      <c r="M4044">
        <v>-0.99992979999999998</v>
      </c>
      <c r="N4044">
        <v>0</v>
      </c>
      <c r="O4044">
        <v>-1.2939130000000001E-3</v>
      </c>
      <c r="P4044">
        <v>-0.99227460000000001</v>
      </c>
      <c r="Q4044">
        <v>0.12308040000000001</v>
      </c>
      <c r="R4044">
        <v>1.557395E-2</v>
      </c>
      <c r="S4044">
        <v>-3.076263</v>
      </c>
      <c r="T4044">
        <v>-0.47886849999999997</v>
      </c>
      <c r="U4044">
        <v>0.39949040000000002</v>
      </c>
      <c r="V4044">
        <v>1.686327E-2</v>
      </c>
      <c r="W4044">
        <v>0.1347477</v>
      </c>
      <c r="X4044">
        <v>0.99073639999999996</v>
      </c>
      <c r="Y4044">
        <v>0.12852620000000001</v>
      </c>
      <c r="Z4044">
        <v>1.010225E-2</v>
      </c>
      <c r="AA4044">
        <v>0.99165460000000005</v>
      </c>
      <c r="AB4044">
        <v>29</v>
      </c>
      <c r="AC4044">
        <v>-0.540300000000002</v>
      </c>
      <c r="AD4044">
        <v>-0.12986030000000001</v>
      </c>
      <c r="AE4044">
        <v>0.10899999999998</v>
      </c>
      <c r="AF4044">
        <v>0.103930078689322</v>
      </c>
      <c r="AG4044">
        <v>-0.12986030000000001</v>
      </c>
      <c r="AH4044">
        <v>0.51175202734145497</v>
      </c>
      <c r="AI4044">
        <v>103.965029430177</v>
      </c>
      <c r="AJ4044">
        <v>78.520110948621806</v>
      </c>
      <c r="AK4044">
        <v>0.53810342524513599</v>
      </c>
      <c r="AL4044">
        <v>82.2559688547082</v>
      </c>
      <c r="AM4044">
        <v>89.024865837369305</v>
      </c>
      <c r="AN4044">
        <v>0.99999996340766995</v>
      </c>
    </row>
    <row r="4045" spans="1:40" x14ac:dyDescent="0.25">
      <c r="A4045" t="str">
        <f>"20190312164551545"</f>
        <v>20190312164551545</v>
      </c>
      <c r="B4045" t="str">
        <f>"1552380351535834"</f>
        <v>1552380351535834</v>
      </c>
      <c r="C4045" t="s">
        <v>40</v>
      </c>
      <c r="D4045">
        <v>4.8123769999999997</v>
      </c>
      <c r="E4045">
        <v>0.55003590000000002</v>
      </c>
      <c r="F4045" t="s">
        <v>41</v>
      </c>
      <c r="G4045">
        <v>-365.44600000000003</v>
      </c>
      <c r="H4045">
        <v>0.98337050000000004</v>
      </c>
      <c r="I4045">
        <v>141.45959999999999</v>
      </c>
      <c r="J4045">
        <v>-364.95440000000002</v>
      </c>
      <c r="K4045">
        <v>1.1087450000000001</v>
      </c>
      <c r="L4045">
        <v>141.3552</v>
      </c>
      <c r="M4045">
        <v>-0.99992999999999999</v>
      </c>
      <c r="N4045">
        <v>0</v>
      </c>
      <c r="O4045">
        <v>-1.294391E-3</v>
      </c>
      <c r="P4045">
        <v>-0.99232469999999995</v>
      </c>
      <c r="Q4045">
        <v>0.1227446</v>
      </c>
      <c r="R4045">
        <v>1.502941E-2</v>
      </c>
      <c r="S4045">
        <v>-3.0769350000000002</v>
      </c>
      <c r="T4045">
        <v>-0.48292259999999998</v>
      </c>
      <c r="U4045">
        <v>0.40074159999999998</v>
      </c>
      <c r="V4045">
        <v>1.6319299999999998E-2</v>
      </c>
      <c r="W4045">
        <v>0.1344127</v>
      </c>
      <c r="X4045">
        <v>0.99079099999999998</v>
      </c>
      <c r="Y4045">
        <v>0.12886629999999999</v>
      </c>
      <c r="Z4045">
        <v>1.0210800000000001E-2</v>
      </c>
      <c r="AA4045">
        <v>0.99160939999999997</v>
      </c>
      <c r="AB4045">
        <v>29</v>
      </c>
      <c r="AC4045">
        <v>-0.49159999999994802</v>
      </c>
      <c r="AD4045">
        <v>-0.1253745</v>
      </c>
      <c r="AE4045">
        <v>0.10439999999999799</v>
      </c>
      <c r="AF4045">
        <v>9.8882308805484501E-2</v>
      </c>
      <c r="AG4045">
        <v>-0.1253745</v>
      </c>
      <c r="AH4045">
        <v>0.46267003499102999</v>
      </c>
      <c r="AI4045">
        <v>104.842006795796</v>
      </c>
      <c r="AJ4045">
        <v>77.936181007576394</v>
      </c>
      <c r="AK4045">
        <v>0.48944870775552601</v>
      </c>
      <c r="AL4045">
        <v>82.275339051553203</v>
      </c>
      <c r="AM4045">
        <v>89.056367616509306</v>
      </c>
      <c r="AN4045">
        <v>0.99999994957738803</v>
      </c>
    </row>
    <row r="4046" spans="1:40" x14ac:dyDescent="0.25">
      <c r="A4046" t="str">
        <f>"20190312164551565"</f>
        <v>20190312164551565</v>
      </c>
      <c r="B4046" t="str">
        <f>"1552380351555354"</f>
        <v>1552380351555354</v>
      </c>
      <c r="C4046" t="s">
        <v>40</v>
      </c>
      <c r="D4046">
        <v>4.4743709999999997</v>
      </c>
      <c r="E4046">
        <v>0.55038109999999996</v>
      </c>
      <c r="F4046" t="s">
        <v>41</v>
      </c>
      <c r="G4046">
        <v>-365.70600000000002</v>
      </c>
      <c r="H4046">
        <v>0.99066810000000005</v>
      </c>
      <c r="I4046">
        <v>141.45359999999999</v>
      </c>
      <c r="J4046">
        <v>-365.2158</v>
      </c>
      <c r="K4046">
        <v>1.1087450000000001</v>
      </c>
      <c r="L4046">
        <v>141.35480000000001</v>
      </c>
      <c r="M4046">
        <v>-0.99992999999999999</v>
      </c>
      <c r="N4046">
        <v>0</v>
      </c>
      <c r="O4046">
        <v>-1.2945109999999999E-3</v>
      </c>
      <c r="P4046">
        <v>-0.99237660000000005</v>
      </c>
      <c r="Q4046">
        <v>0.1224146</v>
      </c>
      <c r="R4046">
        <v>1.426737E-2</v>
      </c>
      <c r="S4046">
        <v>-3.076965</v>
      </c>
      <c r="T4046">
        <v>-0.48340929999999999</v>
      </c>
      <c r="U4046">
        <v>0.40232849999999998</v>
      </c>
      <c r="V4046">
        <v>1.5557299999999901E-2</v>
      </c>
      <c r="W4046">
        <v>0.13408339999999999</v>
      </c>
      <c r="X4046">
        <v>0.9908479</v>
      </c>
      <c r="Y4046">
        <v>0.129359</v>
      </c>
      <c r="Z4046">
        <v>1.025887E-2</v>
      </c>
      <c r="AA4046">
        <v>0.99154469999999995</v>
      </c>
      <c r="AB4046">
        <v>29</v>
      </c>
      <c r="AC4046">
        <v>-0.490199999999958</v>
      </c>
      <c r="AD4046">
        <v>-0.1180769</v>
      </c>
      <c r="AE4046">
        <v>9.8799999999982901E-2</v>
      </c>
      <c r="AF4046">
        <v>9.4183267180637797E-2</v>
      </c>
      <c r="AG4046">
        <v>-0.1180769</v>
      </c>
      <c r="AH4046">
        <v>0.464190377798404</v>
      </c>
      <c r="AI4046">
        <v>103.99806257102701</v>
      </c>
      <c r="AJ4046">
        <v>78.530503778449201</v>
      </c>
      <c r="AK4046">
        <v>0.48814480328182802</v>
      </c>
      <c r="AL4046">
        <v>82.294379098103704</v>
      </c>
      <c r="AM4046">
        <v>89.100473044942007</v>
      </c>
      <c r="AN4046">
        <v>0.99999997433662902</v>
      </c>
    </row>
    <row r="4047" spans="1:40" x14ac:dyDescent="0.25">
      <c r="A4047" t="str">
        <f>"20190312164551587"</f>
        <v>20190312164551587</v>
      </c>
      <c r="B4047" t="str">
        <f>"1552380351575853"</f>
        <v>1552380351575853</v>
      </c>
      <c r="C4047" t="s">
        <v>40</v>
      </c>
      <c r="D4047">
        <v>4.4644820000000003</v>
      </c>
      <c r="E4047">
        <v>0.55071599999999998</v>
      </c>
      <c r="F4047" t="s">
        <v>41</v>
      </c>
      <c r="G4047">
        <v>-365.96280000000002</v>
      </c>
      <c r="H4047">
        <v>0.99122449999999995</v>
      </c>
      <c r="I4047">
        <v>141.45259999999999</v>
      </c>
      <c r="J4047">
        <v>-365.49369999999999</v>
      </c>
      <c r="K4047">
        <v>1.1087469999999999</v>
      </c>
      <c r="L4047">
        <v>141.3545</v>
      </c>
      <c r="M4047">
        <v>-0.99992999999999999</v>
      </c>
      <c r="N4047">
        <v>0</v>
      </c>
      <c r="O4047">
        <v>-1.29547E-3</v>
      </c>
      <c r="P4047">
        <v>-0.99241959999999996</v>
      </c>
      <c r="Q4047">
        <v>0.1221636</v>
      </c>
      <c r="R4047">
        <v>1.3397600000000001E-2</v>
      </c>
      <c r="S4047">
        <v>-3.0769959999999998</v>
      </c>
      <c r="T4047">
        <v>-0.48403299999999999</v>
      </c>
      <c r="U4047">
        <v>0.40266420000000003</v>
      </c>
      <c r="V4047">
        <v>1.4688369999999999E-2</v>
      </c>
      <c r="W4047">
        <v>0.13383339999999999</v>
      </c>
      <c r="X4047">
        <v>0.99089499999999997</v>
      </c>
      <c r="Y4047">
        <v>0.12945989999999999</v>
      </c>
      <c r="Z4047">
        <v>1.0279770000000001E-2</v>
      </c>
      <c r="AA4047">
        <v>0.99153139999999995</v>
      </c>
      <c r="AB4047">
        <v>29</v>
      </c>
      <c r="AC4047">
        <v>-0.469100000000025</v>
      </c>
      <c r="AD4047">
        <v>-0.117522499999999</v>
      </c>
      <c r="AE4047">
        <v>9.8099999999988002E-2</v>
      </c>
      <c r="AF4047">
        <v>9.3108646661405101E-2</v>
      </c>
      <c r="AG4047">
        <v>-0.117522499999999</v>
      </c>
      <c r="AH4047">
        <v>0.44237087411090598</v>
      </c>
      <c r="AI4047">
        <v>104.572559702039</v>
      </c>
      <c r="AJ4047">
        <v>78.114078389664996</v>
      </c>
      <c r="AK4047">
        <v>0.46708965772217198</v>
      </c>
      <c r="AL4047">
        <v>82.308833627585898</v>
      </c>
      <c r="AM4047">
        <v>89.150747580274697</v>
      </c>
      <c r="AN4047">
        <v>1.0000000140969001</v>
      </c>
    </row>
    <row r="4048" spans="1:40" x14ac:dyDescent="0.25">
      <c r="A4048" t="str">
        <f>"20190312164551610"</f>
        <v>20190312164551610</v>
      </c>
      <c r="B4048" t="str">
        <f>"1552380351606107"</f>
        <v>1552380351606107</v>
      </c>
      <c r="C4048" t="s">
        <v>40</v>
      </c>
      <c r="D4048">
        <v>5.123793</v>
      </c>
      <c r="E4048">
        <v>0.55087759999999997</v>
      </c>
      <c r="F4048" t="s">
        <v>41</v>
      </c>
      <c r="G4048">
        <v>-366.22089999999997</v>
      </c>
      <c r="H4048">
        <v>0.99428150000000004</v>
      </c>
      <c r="I4048">
        <v>141.44990000000001</v>
      </c>
      <c r="J4048">
        <v>-365.7842</v>
      </c>
      <c r="K4048">
        <v>1.1087450000000001</v>
      </c>
      <c r="L4048">
        <v>141.35409999999999</v>
      </c>
      <c r="M4048">
        <v>-0.99992979999999998</v>
      </c>
      <c r="N4048">
        <v>0</v>
      </c>
      <c r="O4048">
        <v>-1.297271E-3</v>
      </c>
      <c r="P4048">
        <v>-0.99243389999999998</v>
      </c>
      <c r="Q4048">
        <v>0.1221892</v>
      </c>
      <c r="R4048">
        <v>1.202611E-2</v>
      </c>
      <c r="S4048">
        <v>-3.077118</v>
      </c>
      <c r="T4048">
        <v>-0.48431780000000002</v>
      </c>
      <c r="U4048">
        <v>0.40275569999999999</v>
      </c>
      <c r="V4048">
        <v>1.331851E-2</v>
      </c>
      <c r="W4048">
        <v>0.13385939999999999</v>
      </c>
      <c r="X4048">
        <v>0.99091079999999998</v>
      </c>
      <c r="Y4048">
        <v>0.1294836</v>
      </c>
      <c r="Z4048">
        <v>1.028746E-2</v>
      </c>
      <c r="AA4048">
        <v>0.99152819999999997</v>
      </c>
      <c r="AB4048">
        <v>29</v>
      </c>
      <c r="AC4048">
        <v>-0.436699999999973</v>
      </c>
      <c r="AD4048">
        <v>-0.1144635</v>
      </c>
      <c r="AE4048">
        <v>9.5800000000025406E-2</v>
      </c>
      <c r="AF4048">
        <v>9.04384781456231E-2</v>
      </c>
      <c r="AG4048">
        <v>-0.1144635</v>
      </c>
      <c r="AH4048">
        <v>0.40971934522874498</v>
      </c>
      <c r="AI4048">
        <v>105.259191396879</v>
      </c>
      <c r="AJ4048">
        <v>77.552542299250604</v>
      </c>
      <c r="AK4048">
        <v>0.43491488019636398</v>
      </c>
      <c r="AL4048">
        <v>82.307330051816194</v>
      </c>
      <c r="AM4048">
        <v>89.229952417576399</v>
      </c>
      <c r="AN4048">
        <v>0.99999996761680898</v>
      </c>
    </row>
    <row r="4049" spans="1:40" x14ac:dyDescent="0.25">
      <c r="A4049" t="str">
        <f>"20190312164551624"</f>
        <v>20190312164551624</v>
      </c>
      <c r="B4049" t="str">
        <f>"1552380351615866"</f>
        <v>1552380351615866</v>
      </c>
      <c r="C4049" t="s">
        <v>40</v>
      </c>
      <c r="D4049">
        <v>4.6748279999999998</v>
      </c>
      <c r="E4049">
        <v>0.5507647</v>
      </c>
      <c r="F4049" t="s">
        <v>41</v>
      </c>
      <c r="G4049">
        <v>-366.71929999999998</v>
      </c>
      <c r="H4049">
        <v>0.96208579999999999</v>
      </c>
      <c r="I4049">
        <v>141.47579999999999</v>
      </c>
      <c r="J4049">
        <v>-365.9871</v>
      </c>
      <c r="K4049">
        <v>1.1087480000000001</v>
      </c>
      <c r="L4049">
        <v>141.35380000000001</v>
      </c>
      <c r="M4049">
        <v>-0.99993010000000004</v>
      </c>
      <c r="N4049">
        <v>0</v>
      </c>
      <c r="O4049">
        <v>-1.3009860000000001E-3</v>
      </c>
      <c r="P4049">
        <v>-0.992425</v>
      </c>
      <c r="Q4049">
        <v>0.1223489</v>
      </c>
      <c r="R4049">
        <v>1.114391E-2</v>
      </c>
      <c r="S4049">
        <v>-3.0774840000000001</v>
      </c>
      <c r="T4049">
        <v>-0.48269699999999999</v>
      </c>
      <c r="U4049">
        <v>0.40007019999999999</v>
      </c>
      <c r="V4049">
        <v>1.2439749999999999E-2</v>
      </c>
      <c r="W4049">
        <v>0.1340191</v>
      </c>
      <c r="X4049">
        <v>0.99090069999999997</v>
      </c>
      <c r="Y4049">
        <v>0.12864200000000001</v>
      </c>
      <c r="Z4049">
        <v>1.0188060000000001E-2</v>
      </c>
      <c r="AA4049">
        <v>0.99163880000000004</v>
      </c>
      <c r="AB4049">
        <v>29</v>
      </c>
      <c r="AC4049">
        <v>-0.73219999999997698</v>
      </c>
      <c r="AD4049">
        <v>-0.14666219999999999</v>
      </c>
      <c r="AE4049">
        <v>0.121999999999985</v>
      </c>
      <c r="AF4049">
        <v>0.118333093646614</v>
      </c>
      <c r="AG4049">
        <v>-0.14666219999999999</v>
      </c>
      <c r="AH4049">
        <v>0.70453714516142696</v>
      </c>
      <c r="AI4049">
        <v>101.601215789146</v>
      </c>
      <c r="AJ4049">
        <v>80.465669522856103</v>
      </c>
      <c r="AK4049">
        <v>0.72930453918307103</v>
      </c>
      <c r="AL4049">
        <v>82.298097217108605</v>
      </c>
      <c r="AM4049">
        <v>89.280747573121801</v>
      </c>
      <c r="AN4049">
        <v>1.0000000319026801</v>
      </c>
    </row>
    <row r="4050" spans="1:40" x14ac:dyDescent="0.25">
      <c r="A4050" t="str">
        <f>"20190312164551638"</f>
        <v>20190312164551638</v>
      </c>
      <c r="B4050" t="str">
        <f>"1552380351635386"</f>
        <v>1552380351635386</v>
      </c>
      <c r="C4050" t="s">
        <v>40</v>
      </c>
      <c r="D4050">
        <v>4.6475210000000002</v>
      </c>
      <c r="E4050">
        <v>0.4998821</v>
      </c>
      <c r="F4050" t="s">
        <v>41</v>
      </c>
      <c r="G4050">
        <v>-366.73329999999999</v>
      </c>
      <c r="H4050">
        <v>0.99211530000000003</v>
      </c>
      <c r="I4050">
        <v>141.4502</v>
      </c>
      <c r="J4050">
        <v>-366.14519999999999</v>
      </c>
      <c r="K4050">
        <v>1.1087499999999999</v>
      </c>
      <c r="L4050">
        <v>141.3536</v>
      </c>
      <c r="M4050">
        <v>-0.99992990000000004</v>
      </c>
      <c r="N4050">
        <v>0</v>
      </c>
      <c r="O4050">
        <v>-1.304461E-3</v>
      </c>
      <c r="P4050">
        <v>-0.99237010000000003</v>
      </c>
      <c r="Q4050">
        <v>0.1228658</v>
      </c>
      <c r="R4050">
        <v>1.0273849999999999E-2</v>
      </c>
      <c r="S4050">
        <v>-3.0777589999999999</v>
      </c>
      <c r="T4050">
        <v>-0.48115590000000003</v>
      </c>
      <c r="U4050">
        <v>0.39663700000000002</v>
      </c>
      <c r="V4050">
        <v>1.1572310000000001E-2</v>
      </c>
      <c r="W4050">
        <v>0.13453560000000001</v>
      </c>
      <c r="X4050">
        <v>0.99084119999999998</v>
      </c>
      <c r="Y4050">
        <v>0.12756880000000001</v>
      </c>
      <c r="Z4050">
        <v>1.0073240000000001E-2</v>
      </c>
      <c r="AA4050">
        <v>0.99177859999999995</v>
      </c>
      <c r="AB4050">
        <v>29</v>
      </c>
      <c r="AC4050">
        <v>-0.58809999999999696</v>
      </c>
      <c r="AD4050">
        <v>-0.11663469999999899</v>
      </c>
      <c r="AE4050">
        <v>9.6599999999995106E-2</v>
      </c>
      <c r="AF4050">
        <v>9.3775584291752603E-2</v>
      </c>
      <c r="AG4050">
        <v>-0.11663469999999899</v>
      </c>
      <c r="AH4050">
        <v>0.56628514955242004</v>
      </c>
      <c r="AI4050">
        <v>101.485972365498</v>
      </c>
      <c r="AJ4050">
        <v>80.597273551144696</v>
      </c>
      <c r="AK4050">
        <v>0.58572722666524302</v>
      </c>
      <c r="AL4050">
        <v>82.268233362565098</v>
      </c>
      <c r="AM4050">
        <v>89.330857076758804</v>
      </c>
      <c r="AN4050">
        <v>1.00000001482176</v>
      </c>
    </row>
    <row r="4051" spans="1:40" x14ac:dyDescent="0.25">
      <c r="A4051" t="str">
        <f>"20190312164551651"</f>
        <v>20190312164551651</v>
      </c>
      <c r="B4051" t="str">
        <f>"1552380351646122"</f>
        <v>1552380351646122</v>
      </c>
      <c r="C4051" t="s">
        <v>40</v>
      </c>
      <c r="D4051">
        <v>4.5987660000000004</v>
      </c>
      <c r="E4051">
        <v>0.4998821</v>
      </c>
      <c r="F4051" t="s">
        <v>41</v>
      </c>
      <c r="G4051">
        <v>-366.99799999999999</v>
      </c>
      <c r="H4051">
        <v>1.0068600000000001</v>
      </c>
      <c r="I4051">
        <v>141.35169999999999</v>
      </c>
      <c r="J4051">
        <v>-366.32740000000001</v>
      </c>
      <c r="K4051">
        <v>1.108752</v>
      </c>
      <c r="L4051">
        <v>141.35339999999999</v>
      </c>
      <c r="M4051">
        <v>-0.99992999999999999</v>
      </c>
      <c r="N4051">
        <v>0</v>
      </c>
      <c r="O4051">
        <v>-1.3102089999999999E-3</v>
      </c>
      <c r="P4051">
        <v>-0.99239270000000002</v>
      </c>
      <c r="Q4051">
        <v>0.122749</v>
      </c>
      <c r="R4051">
        <v>9.4790110000000007E-3</v>
      </c>
      <c r="S4051">
        <v>-3.0685120000000001</v>
      </c>
      <c r="T4051">
        <v>-0.3665812</v>
      </c>
      <c r="U4051">
        <v>-6.5917969999999999E-3</v>
      </c>
      <c r="V4051">
        <v>1.078282E-2</v>
      </c>
      <c r="W4051">
        <v>0.13441929999999999</v>
      </c>
      <c r="X4051">
        <v>0.99086589999999997</v>
      </c>
      <c r="Y4051">
        <v>-8.4123779999999897E-4</v>
      </c>
      <c r="Z4051">
        <v>1.0590940000000001E-4</v>
      </c>
      <c r="AA4051">
        <v>0.99999959999999999</v>
      </c>
      <c r="AB4051">
        <v>29</v>
      </c>
      <c r="AC4051">
        <v>-0.67060000000003495</v>
      </c>
      <c r="AD4051">
        <v>-0.101891999999999</v>
      </c>
      <c r="AE4051">
        <v>-1.6999999999995901E-3</v>
      </c>
      <c r="AF4051">
        <v>-8.0277861628200305E-4</v>
      </c>
      <c r="AG4051">
        <v>-0.101891999999999</v>
      </c>
      <c r="AH4051">
        <v>0.65546942907913996</v>
      </c>
      <c r="AI4051">
        <v>98.835841255610504</v>
      </c>
      <c r="AJ4051">
        <v>90.070172309429097</v>
      </c>
      <c r="AK4051">
        <v>0.66334214141334302</v>
      </c>
      <c r="AL4051">
        <v>82.274958019326604</v>
      </c>
      <c r="AM4051">
        <v>89.376519374212407</v>
      </c>
      <c r="AN4051">
        <v>1.00000002460122</v>
      </c>
    </row>
    <row r="4052" spans="1:40" x14ac:dyDescent="0.25">
      <c r="A4052" t="str">
        <f>"20190312164551664"</f>
        <v>20190312164551664</v>
      </c>
      <c r="B4052" t="str">
        <f>"1552380351655882"</f>
        <v>1552380351655882</v>
      </c>
      <c r="C4052" t="s">
        <v>40</v>
      </c>
      <c r="D4052">
        <v>4.6120449999999904</v>
      </c>
      <c r="E4052">
        <v>0.45302629999999999</v>
      </c>
      <c r="F4052" t="s">
        <v>41</v>
      </c>
      <c r="G4052">
        <v>-367.25060000000002</v>
      </c>
      <c r="H4052">
        <v>0.99837419999999999</v>
      </c>
      <c r="I4052">
        <v>141.3509</v>
      </c>
      <c r="J4052">
        <v>-366.4966</v>
      </c>
      <c r="K4052">
        <v>1.108754</v>
      </c>
      <c r="L4052">
        <v>141.35310000000001</v>
      </c>
      <c r="M4052">
        <v>-0.99992999999999999</v>
      </c>
      <c r="N4052">
        <v>0</v>
      </c>
      <c r="O4052">
        <v>-1.3188309999999999E-3</v>
      </c>
      <c r="P4052">
        <v>-0.9923691</v>
      </c>
      <c r="Q4052">
        <v>0.1230731</v>
      </c>
      <c r="R4052">
        <v>7.5582779999999999E-3</v>
      </c>
      <c r="S4052">
        <v>-3.0685120000000001</v>
      </c>
      <c r="T4052">
        <v>-0.36695919999999999</v>
      </c>
      <c r="U4052">
        <v>-9.0789789999999992E-3</v>
      </c>
      <c r="V4052">
        <v>8.8697649999999999E-3</v>
      </c>
      <c r="W4052">
        <v>0.13474349999999999</v>
      </c>
      <c r="X4052">
        <v>0.99084079999999997</v>
      </c>
      <c r="Y4052">
        <v>-1.637554E-3</v>
      </c>
      <c r="Z4052" s="1">
        <v>5.9599039999999999E-5</v>
      </c>
      <c r="AA4052">
        <v>0.99999859999999896</v>
      </c>
      <c r="AB4052">
        <v>29</v>
      </c>
      <c r="AC4052">
        <v>-0.75400000000001899</v>
      </c>
      <c r="AD4052">
        <v>-0.1103798</v>
      </c>
      <c r="AE4052">
        <v>-2.2000000000161799E-3</v>
      </c>
      <c r="AF4052">
        <v>-1.1802376518342101E-3</v>
      </c>
      <c r="AG4052">
        <v>-0.1103798</v>
      </c>
      <c r="AH4052">
        <v>0.73818260482363796</v>
      </c>
      <c r="AI4052">
        <v>98.504367677938802</v>
      </c>
      <c r="AJ4052">
        <v>90.091606843902198</v>
      </c>
      <c r="AK4052">
        <v>0.74639041477846302</v>
      </c>
      <c r="AL4052">
        <v>82.256211897430703</v>
      </c>
      <c r="AM4052">
        <v>89.487115865904599</v>
      </c>
      <c r="AN4052">
        <v>0.99999998723402195</v>
      </c>
    </row>
    <row r="4053" spans="1:40" x14ac:dyDescent="0.25">
      <c r="A4053" t="str">
        <f>"20190312164551681"</f>
        <v>20190312164551681</v>
      </c>
      <c r="B4053" t="str">
        <f>"1552380351675402"</f>
        <v>1552380351675402</v>
      </c>
      <c r="C4053" t="s">
        <v>40</v>
      </c>
      <c r="D4053">
        <v>4.5869119999999999</v>
      </c>
      <c r="E4053">
        <v>0.44773069999999998</v>
      </c>
      <c r="F4053" t="s">
        <v>42</v>
      </c>
      <c r="G4053">
        <v>-385.8168</v>
      </c>
      <c r="H4053" s="1">
        <v>-1.8959370000000001E-6</v>
      </c>
      <c r="I4053">
        <v>138.94499999999999</v>
      </c>
      <c r="J4053">
        <v>-366.69459999999998</v>
      </c>
      <c r="K4053">
        <v>1.1087560000000001</v>
      </c>
      <c r="L4053">
        <v>141.3528</v>
      </c>
      <c r="M4053">
        <v>-0.99992999999999999</v>
      </c>
      <c r="N4053">
        <v>0</v>
      </c>
      <c r="O4053">
        <v>-1.3328389999999999E-3</v>
      </c>
      <c r="P4053">
        <v>-0.99235459999999998</v>
      </c>
      <c r="Q4053">
        <v>0.1232526</v>
      </c>
      <c r="R4053">
        <v>6.4490980000000003E-3</v>
      </c>
      <c r="S4053">
        <v>-3.0476679999999998</v>
      </c>
      <c r="T4053">
        <v>-0.174900799999999</v>
      </c>
      <c r="U4053">
        <v>-0.37985229999999998</v>
      </c>
      <c r="V4053">
        <v>7.7730239999999999E-3</v>
      </c>
      <c r="W4053">
        <v>0.1349225</v>
      </c>
      <c r="X4053">
        <v>0.99082570000000003</v>
      </c>
      <c r="Y4053">
        <v>-0.12216150000000001</v>
      </c>
      <c r="Z4053">
        <v>-3.412843E-3</v>
      </c>
      <c r="AA4053">
        <v>0.99250439999999995</v>
      </c>
      <c r="AB4053">
        <v>29</v>
      </c>
      <c r="AC4053">
        <v>-19.122199999999999</v>
      </c>
      <c r="AD4053">
        <v>-1.1087578959369999</v>
      </c>
      <c r="AE4053">
        <v>-2.4077999999999999</v>
      </c>
      <c r="AF4053">
        <v>-2.3744509740185098</v>
      </c>
      <c r="AG4053">
        <v>-1.1087578959369999</v>
      </c>
      <c r="AH4053">
        <v>19.062305215151</v>
      </c>
      <c r="AI4053">
        <v>93.3033835449843</v>
      </c>
      <c r="AJ4053">
        <v>97.100341400692898</v>
      </c>
      <c r="AK4053">
        <v>19.2415914522525</v>
      </c>
      <c r="AL4053">
        <v>82.245861803374098</v>
      </c>
      <c r="AM4053">
        <v>89.550524039541997</v>
      </c>
      <c r="AN4053">
        <v>1.00000003434442</v>
      </c>
    </row>
    <row r="4054" spans="1:40" x14ac:dyDescent="0.25">
      <c r="A4054" t="str">
        <f>"20190312164551694"</f>
        <v>20190312164551694</v>
      </c>
      <c r="B4054" t="str">
        <f>"1552380351686138"</f>
        <v>1552380351686138</v>
      </c>
      <c r="C4054" t="s">
        <v>40</v>
      </c>
      <c r="D4054">
        <v>4.8918999999999997</v>
      </c>
      <c r="E4054">
        <v>0.44867990000000002</v>
      </c>
      <c r="F4054" t="s">
        <v>42</v>
      </c>
      <c r="G4054">
        <v>-385.16160000000002</v>
      </c>
      <c r="H4054" s="1">
        <v>-2.2074849999999998E-6</v>
      </c>
      <c r="I4054">
        <v>138.77330000000001</v>
      </c>
      <c r="J4054">
        <v>-366.87540000000001</v>
      </c>
      <c r="K4054">
        <v>1.1087629999999999</v>
      </c>
      <c r="L4054">
        <v>141.3526</v>
      </c>
      <c r="M4054">
        <v>-0.99992990000000004</v>
      </c>
      <c r="N4054">
        <v>0</v>
      </c>
      <c r="O4054">
        <v>-1.349594E-3</v>
      </c>
      <c r="P4054">
        <v>-0.99237070000000005</v>
      </c>
      <c r="Q4054">
        <v>0.1231631</v>
      </c>
      <c r="R4054">
        <v>5.6230999999999998E-3</v>
      </c>
      <c r="S4054">
        <v>-3.048645</v>
      </c>
      <c r="T4054">
        <v>-0.1830415</v>
      </c>
      <c r="U4054">
        <v>-0.42584230000000001</v>
      </c>
      <c r="V4054">
        <v>6.9622219999999997E-3</v>
      </c>
      <c r="W4054">
        <v>0.1348337</v>
      </c>
      <c r="X4054">
        <v>0.99084380000000005</v>
      </c>
      <c r="Y4054">
        <v>-0.13676340000000001</v>
      </c>
      <c r="Z4054">
        <v>-4.0016289999999996E-3</v>
      </c>
      <c r="AA4054">
        <v>0.99059560000000002</v>
      </c>
      <c r="AB4054">
        <v>29</v>
      </c>
      <c r="AC4054">
        <v>-18.286200000000001</v>
      </c>
      <c r="AD4054">
        <v>-1.1087652074849901</v>
      </c>
      <c r="AE4054">
        <v>-2.5792999999999799</v>
      </c>
      <c r="AF4054">
        <v>-2.5454412885252098</v>
      </c>
      <c r="AG4054">
        <v>-1.1087652074849901</v>
      </c>
      <c r="AH4054">
        <v>18.223971522305799</v>
      </c>
      <c r="AI4054">
        <v>93.448250647812401</v>
      </c>
      <c r="AJ4054">
        <v>97.951371284211902</v>
      </c>
      <c r="AK4054">
        <v>18.434255333060499</v>
      </c>
      <c r="AL4054">
        <v>82.250996458475399</v>
      </c>
      <c r="AM4054">
        <v>89.597414474582393</v>
      </c>
      <c r="AN4054">
        <v>1.00000001759465</v>
      </c>
    </row>
    <row r="4055" spans="1:40" x14ac:dyDescent="0.25">
      <c r="A4055" t="str">
        <f>"20190312164551706"</f>
        <v>20190312164551706</v>
      </c>
      <c r="B4055" t="str">
        <f>"1552380351695898"</f>
        <v>1552380351695898</v>
      </c>
      <c r="C4055" t="s">
        <v>40</v>
      </c>
      <c r="D4055">
        <v>4.6464420000000004</v>
      </c>
      <c r="E4055">
        <v>0.44952120000000001</v>
      </c>
      <c r="F4055" t="s">
        <v>42</v>
      </c>
      <c r="G4055">
        <v>-387.90019999999998</v>
      </c>
      <c r="H4055" s="1">
        <v>-1.088537E-6</v>
      </c>
      <c r="I4055">
        <v>138.45820000000001</v>
      </c>
      <c r="J4055">
        <v>-367.03919999999999</v>
      </c>
      <c r="K4055">
        <v>1.1087659999999999</v>
      </c>
      <c r="L4055">
        <v>141.35239999999999</v>
      </c>
      <c r="M4055">
        <v>-0.99992990000000004</v>
      </c>
      <c r="N4055">
        <v>0</v>
      </c>
      <c r="O4055">
        <v>-1.3686169999999999E-3</v>
      </c>
      <c r="P4055">
        <v>-0.9923459</v>
      </c>
      <c r="Q4055">
        <v>0.123409199999999</v>
      </c>
      <c r="R4055">
        <v>4.4795859999999998E-3</v>
      </c>
      <c r="S4055">
        <v>-3.04541</v>
      </c>
      <c r="T4055">
        <v>-0.16060360000000001</v>
      </c>
      <c r="U4055">
        <v>-0.41923519999999997</v>
      </c>
      <c r="V4055">
        <v>5.8358999999999998E-3</v>
      </c>
      <c r="W4055">
        <v>0.13507939999999999</v>
      </c>
      <c r="X4055">
        <v>0.99081759999999997</v>
      </c>
      <c r="Y4055">
        <v>-0.13483719999999999</v>
      </c>
      <c r="Z4055">
        <v>-3.464506E-3</v>
      </c>
      <c r="AA4055">
        <v>0.99086169999999996</v>
      </c>
      <c r="AB4055">
        <v>29</v>
      </c>
      <c r="AC4055">
        <v>-20.860999999999901</v>
      </c>
      <c r="AD4055">
        <v>-1.108767088537</v>
      </c>
      <c r="AE4055">
        <v>-2.8941999999999801</v>
      </c>
      <c r="AF4055">
        <v>-2.8577241274913399</v>
      </c>
      <c r="AG4055">
        <v>-1.108767088537</v>
      </c>
      <c r="AH4055">
        <v>20.807272353970198</v>
      </c>
      <c r="AI4055">
        <v>93.021947705943901</v>
      </c>
      <c r="AJ4055">
        <v>97.820223261357896</v>
      </c>
      <c r="AK4055">
        <v>21.031845721613799</v>
      </c>
      <c r="AL4055">
        <v>82.236788842967599</v>
      </c>
      <c r="AM4055">
        <v>89.662532666892901</v>
      </c>
      <c r="AN4055">
        <v>1.00000000925146</v>
      </c>
    </row>
    <row r="4056" spans="1:40" x14ac:dyDescent="0.25">
      <c r="A4056" t="str">
        <f>"20190312164551722"</f>
        <v>20190312164551722</v>
      </c>
      <c r="B4056" t="str">
        <f>"1552380351715421"</f>
        <v>1552380351715421</v>
      </c>
      <c r="C4056" t="s">
        <v>40</v>
      </c>
      <c r="D4056">
        <v>4.571529</v>
      </c>
      <c r="E4056">
        <v>0.45139669999999998</v>
      </c>
      <c r="F4056" t="s">
        <v>42</v>
      </c>
      <c r="G4056">
        <v>-389.73379999999997</v>
      </c>
      <c r="H4056" s="1">
        <v>-4.386219E-7</v>
      </c>
      <c r="I4056">
        <v>138.25579999999999</v>
      </c>
      <c r="J4056">
        <v>-367.23</v>
      </c>
      <c r="K4056">
        <v>1.1087739999999999</v>
      </c>
      <c r="L4056">
        <v>141.35210000000001</v>
      </c>
      <c r="M4056">
        <v>-0.99992979999999998</v>
      </c>
      <c r="N4056">
        <v>0</v>
      </c>
      <c r="O4056">
        <v>-1.397559E-3</v>
      </c>
      <c r="P4056">
        <v>-0.99234040000000001</v>
      </c>
      <c r="Q4056">
        <v>0.1235029</v>
      </c>
      <c r="R4056">
        <v>2.7490409999999998E-3</v>
      </c>
      <c r="S4056">
        <v>-3.0434570000000001</v>
      </c>
      <c r="T4056">
        <v>-0.14869199999999999</v>
      </c>
      <c r="U4056">
        <v>-0.41525269999999997</v>
      </c>
      <c r="V4056">
        <v>4.1318739999999998E-3</v>
      </c>
      <c r="W4056">
        <v>0.1351734</v>
      </c>
      <c r="X4056">
        <v>0.99081330000000001</v>
      </c>
      <c r="Y4056">
        <v>-0.13364879999999901</v>
      </c>
      <c r="Z4056">
        <v>-3.179898E-3</v>
      </c>
      <c r="AA4056">
        <v>0.99102369999999995</v>
      </c>
      <c r="AB4056">
        <v>29</v>
      </c>
      <c r="AC4056">
        <v>-22.503799999999899</v>
      </c>
      <c r="AD4056">
        <v>-1.1087744386218901</v>
      </c>
      <c r="AE4056">
        <v>-3.09630000000001</v>
      </c>
      <c r="AF4056">
        <v>-3.0575598244703901</v>
      </c>
      <c r="AG4056">
        <v>-1.1087744386218901</v>
      </c>
      <c r="AH4056">
        <v>22.454607848864899</v>
      </c>
      <c r="AI4056">
        <v>92.8010758278309</v>
      </c>
      <c r="AJ4056">
        <v>97.754062975909505</v>
      </c>
      <c r="AK4056">
        <v>22.6889282797197</v>
      </c>
      <c r="AL4056">
        <v>82.2313527849237</v>
      </c>
      <c r="AM4056">
        <v>89.761067428784997</v>
      </c>
      <c r="AN4056">
        <v>0.99999995795359997</v>
      </c>
    </row>
    <row r="4057" spans="1:40" x14ac:dyDescent="0.25">
      <c r="A4057" t="str">
        <f>"20190312164551745"</f>
        <v>20190312164551745</v>
      </c>
      <c r="B4057" t="str">
        <f>"1552380351735914"</f>
        <v>1552380351735914</v>
      </c>
      <c r="C4057" t="s">
        <v>40</v>
      </c>
      <c r="D4057">
        <v>4.7250180000000004</v>
      </c>
      <c r="E4057">
        <v>0.4524667</v>
      </c>
      <c r="F4057" t="s">
        <v>42</v>
      </c>
      <c r="G4057">
        <v>-395.84309999999999</v>
      </c>
      <c r="H4057" s="1">
        <v>-2.1320040000000002E-6</v>
      </c>
      <c r="I4057">
        <v>137.5505</v>
      </c>
      <c r="J4057">
        <v>-367.52170000000001</v>
      </c>
      <c r="K4057">
        <v>1.108789</v>
      </c>
      <c r="L4057">
        <v>141.35159999999999</v>
      </c>
      <c r="M4057">
        <v>-0.99992979999999998</v>
      </c>
      <c r="N4057">
        <v>0</v>
      </c>
      <c r="O4057">
        <v>-1.4538649999999999E-3</v>
      </c>
      <c r="P4057">
        <v>-0.99236820000000003</v>
      </c>
      <c r="Q4057">
        <v>0.12330190000000001</v>
      </c>
      <c r="R4057">
        <v>1.609411E-3</v>
      </c>
      <c r="S4057">
        <v>-3.0389710000000001</v>
      </c>
      <c r="T4057">
        <v>-0.11776209999999999</v>
      </c>
      <c r="U4057">
        <v>-0.40374759999999998</v>
      </c>
      <c r="V4057">
        <v>3.0447260000000002E-3</v>
      </c>
      <c r="W4057">
        <v>0.13497310000000001</v>
      </c>
      <c r="X4057">
        <v>0.99084459999999996</v>
      </c>
      <c r="Y4057">
        <v>-0.1301631</v>
      </c>
      <c r="Z4057">
        <v>-2.4539179999999998E-3</v>
      </c>
      <c r="AA4057">
        <v>0.99148950000000002</v>
      </c>
      <c r="AB4057">
        <v>29</v>
      </c>
      <c r="AC4057">
        <v>-28.321399999999901</v>
      </c>
      <c r="AD4057">
        <v>-1.108791132004</v>
      </c>
      <c r="AE4057">
        <v>-3.8010999999999902</v>
      </c>
      <c r="AF4057">
        <v>-3.7542651292402298</v>
      </c>
      <c r="AG4057">
        <v>-1.108791132004</v>
      </c>
      <c r="AH4057">
        <v>28.284311180549501</v>
      </c>
      <c r="AI4057">
        <v>92.225439981789194</v>
      </c>
      <c r="AJ4057">
        <v>97.560852233897506</v>
      </c>
      <c r="AK4057">
        <v>28.553917128709301</v>
      </c>
      <c r="AL4057">
        <v>82.242935719485899</v>
      </c>
      <c r="AM4057">
        <v>89.823938687764198</v>
      </c>
      <c r="AN4057">
        <v>1.00000001471459</v>
      </c>
    </row>
    <row r="4058" spans="1:40" x14ac:dyDescent="0.25">
      <c r="A4058" t="str">
        <f>"20190312164551767"</f>
        <v>20190312164551767</v>
      </c>
      <c r="B4058" t="str">
        <f>"1552380351755433"</f>
        <v>1552380351755433</v>
      </c>
      <c r="C4058" t="s">
        <v>40</v>
      </c>
      <c r="D4058">
        <v>4.6200650000000003</v>
      </c>
      <c r="E4058">
        <v>0.45335229999999999</v>
      </c>
      <c r="F4058" t="s">
        <v>42</v>
      </c>
      <c r="G4058">
        <v>-399.86509999999998</v>
      </c>
      <c r="H4058" s="1">
        <v>-6.9947230000000003E-7</v>
      </c>
      <c r="I4058">
        <v>137.10740000000001</v>
      </c>
      <c r="J4058">
        <v>-367.79969999999997</v>
      </c>
      <c r="K4058">
        <v>1.1088009999999999</v>
      </c>
      <c r="L4058">
        <v>141.3511</v>
      </c>
      <c r="M4058">
        <v>-0.99992959999999997</v>
      </c>
      <c r="N4058">
        <v>0</v>
      </c>
      <c r="O4058">
        <v>-1.523052E-3</v>
      </c>
      <c r="P4058">
        <v>-0.99246389999999995</v>
      </c>
      <c r="Q4058">
        <v>0.1225377</v>
      </c>
      <c r="R4058">
        <v>1.3356420000000001E-4</v>
      </c>
      <c r="S4058">
        <v>-3.0366520000000001</v>
      </c>
      <c r="T4058">
        <v>-0.1041019</v>
      </c>
      <c r="U4058">
        <v>-0.39846799999999999</v>
      </c>
      <c r="V4058">
        <v>1.6337929999999999E-3</v>
      </c>
      <c r="W4058">
        <v>0.13421050000000001</v>
      </c>
      <c r="X4058">
        <v>0.99095149999999999</v>
      </c>
      <c r="Y4058">
        <v>-0.12852049999999901</v>
      </c>
      <c r="Z4058">
        <v>-2.1409419999999998E-3</v>
      </c>
      <c r="AA4058">
        <v>0.99170449999999999</v>
      </c>
      <c r="AB4058">
        <v>29</v>
      </c>
      <c r="AC4058">
        <v>-32.065399999999997</v>
      </c>
      <c r="AD4058">
        <v>-1.1088016994723</v>
      </c>
      <c r="AE4058">
        <v>-4.2436999999999898</v>
      </c>
      <c r="AF4058">
        <v>-4.1899306245375296</v>
      </c>
      <c r="AG4058">
        <v>-1.1088016994723</v>
      </c>
      <c r="AH4058">
        <v>32.034181640059899</v>
      </c>
      <c r="AI4058">
        <v>91.965662809624305</v>
      </c>
      <c r="AJ4058">
        <v>97.451735591254703</v>
      </c>
      <c r="AK4058">
        <v>32.326053783218597</v>
      </c>
      <c r="AL4058">
        <v>82.287030593161305</v>
      </c>
      <c r="AM4058">
        <v>89.905535882754805</v>
      </c>
      <c r="AN4058">
        <v>1.00000000147103</v>
      </c>
    </row>
    <row r="4059" spans="1:40" x14ac:dyDescent="0.25">
      <c r="A4059" t="str">
        <f>"20190312164551788"</f>
        <v>20190312164551788</v>
      </c>
      <c r="B4059" t="str">
        <f>"1552380351775930"</f>
        <v>1552380351775930</v>
      </c>
      <c r="C4059" t="s">
        <v>40</v>
      </c>
      <c r="D4059">
        <v>4.6986169999999996</v>
      </c>
      <c r="E4059">
        <v>0.45409050000000001</v>
      </c>
      <c r="F4059" t="s">
        <v>71</v>
      </c>
      <c r="G4059">
        <v>-402.28809999999999</v>
      </c>
      <c r="H4059" s="1">
        <v>-5.0939069999999996E-6</v>
      </c>
      <c r="I4059">
        <v>136.8604</v>
      </c>
      <c r="J4059">
        <v>-368.07679999999999</v>
      </c>
      <c r="K4059">
        <v>1.1088089999999999</v>
      </c>
      <c r="L4059">
        <v>141.35059999999999</v>
      </c>
      <c r="M4059">
        <v>-0.99992950000000003</v>
      </c>
      <c r="N4059">
        <v>0</v>
      </c>
      <c r="O4059">
        <v>-1.6068979999999901E-3</v>
      </c>
      <c r="P4059">
        <v>-0.99256619999999995</v>
      </c>
      <c r="Q4059">
        <v>0.1217049</v>
      </c>
      <c r="R4059">
        <v>-8.2162550000000004E-4</v>
      </c>
      <c r="S4059">
        <v>-3.0348820000000001</v>
      </c>
      <c r="T4059">
        <v>-9.7571729999999995E-2</v>
      </c>
      <c r="U4059">
        <v>-0.39517210000000003</v>
      </c>
      <c r="V4059">
        <v>7.5847519999999995E-4</v>
      </c>
      <c r="W4059">
        <v>0.13337879999999999</v>
      </c>
      <c r="X4059">
        <v>0.99106479999999997</v>
      </c>
      <c r="Y4059">
        <v>-0.1274624</v>
      </c>
      <c r="Z4059">
        <v>-1.9883990000000001E-3</v>
      </c>
      <c r="AA4059">
        <v>0.99184139999999998</v>
      </c>
      <c r="AB4059">
        <v>29</v>
      </c>
      <c r="AC4059">
        <v>-34.211299999999902</v>
      </c>
      <c r="AD4059">
        <v>-1.1088140939069999</v>
      </c>
      <c r="AE4059">
        <v>-4.4901999999999802</v>
      </c>
      <c r="AF4059">
        <v>-4.4306409462641296</v>
      </c>
      <c r="AG4059">
        <v>-1.1088140939069999</v>
      </c>
      <c r="AH4059">
        <v>34.183171748786002</v>
      </c>
      <c r="AI4059">
        <v>91.842474625957294</v>
      </c>
      <c r="AJ4059">
        <v>97.385200884120806</v>
      </c>
      <c r="AK4059">
        <v>34.486943597491504</v>
      </c>
      <c r="AL4059">
        <v>82.335115495071406</v>
      </c>
      <c r="AM4059">
        <v>89.956150779100398</v>
      </c>
      <c r="AN4059">
        <v>0.999999958686553</v>
      </c>
    </row>
    <row r="4060" spans="1:40" x14ac:dyDescent="0.25">
      <c r="A4060" t="str">
        <f>"20190312164551811"</f>
        <v>20190312164551811</v>
      </c>
      <c r="B4060" t="str">
        <f>"1552380351806185"</f>
        <v>1552380351806185</v>
      </c>
      <c r="C4060" t="s">
        <v>40</v>
      </c>
      <c r="D4060">
        <v>4.7982139999999998</v>
      </c>
      <c r="E4060">
        <v>0.4550246</v>
      </c>
      <c r="F4060" t="s">
        <v>71</v>
      </c>
      <c r="G4060">
        <v>-403.80689999999998</v>
      </c>
      <c r="H4060" s="1">
        <v>-5.7110979999999998E-6</v>
      </c>
      <c r="I4060">
        <v>136.7397</v>
      </c>
      <c r="J4060">
        <v>-368.36959999999999</v>
      </c>
      <c r="K4060">
        <v>1.1088070000000001</v>
      </c>
      <c r="L4060">
        <v>141.35</v>
      </c>
      <c r="M4060">
        <v>-0.99992939999999997</v>
      </c>
      <c r="N4060">
        <v>0</v>
      </c>
      <c r="O4060">
        <v>-1.7077800000000001E-3</v>
      </c>
      <c r="P4060">
        <v>-0.99264330000000001</v>
      </c>
      <c r="Q4060">
        <v>0.1210632</v>
      </c>
      <c r="R4060">
        <v>-1.8096919999999999E-3</v>
      </c>
      <c r="S4060">
        <v>-3.033722</v>
      </c>
      <c r="T4060">
        <v>-9.4145889999999996E-2</v>
      </c>
      <c r="U4060">
        <v>-0.39149479999999998</v>
      </c>
      <c r="V4060">
        <v>-1.3263150000000001E-4</v>
      </c>
      <c r="W4060">
        <v>0.13273789999999999</v>
      </c>
      <c r="X4060">
        <v>0.99115120000000001</v>
      </c>
      <c r="Y4060">
        <v>-0.1262334</v>
      </c>
      <c r="Z4060">
        <v>-1.897389E-3</v>
      </c>
      <c r="AA4060">
        <v>0.99199870000000001</v>
      </c>
      <c r="AB4060">
        <v>29</v>
      </c>
      <c r="AC4060">
        <v>-35.437299999999901</v>
      </c>
      <c r="AD4060">
        <v>-1.1088127110979999</v>
      </c>
      <c r="AE4060">
        <v>-4.6102999999999899</v>
      </c>
      <c r="AF4060">
        <v>-4.54539397621466</v>
      </c>
      <c r="AG4060">
        <v>-1.1088127110979999</v>
      </c>
      <c r="AH4060">
        <v>35.411030853604302</v>
      </c>
      <c r="AI4060">
        <v>91.778910093936901</v>
      </c>
      <c r="AJ4060">
        <v>97.314543581530799</v>
      </c>
      <c r="AK4060">
        <v>35.718779068470603</v>
      </c>
      <c r="AL4060">
        <v>82.372166387660599</v>
      </c>
      <c r="AM4060">
        <v>90.007667069499703</v>
      </c>
      <c r="AN4060">
        <v>1.0000000344744799</v>
      </c>
    </row>
    <row r="4061" spans="1:40" x14ac:dyDescent="0.25">
      <c r="A4061" t="str">
        <f>"20190312164551827"</f>
        <v>20190312164551827</v>
      </c>
      <c r="B4061" t="str">
        <f>"1552380351815947"</f>
        <v>1552380351815947</v>
      </c>
      <c r="C4061" t="s">
        <v>40</v>
      </c>
      <c r="D4061">
        <v>4.7975969999999997</v>
      </c>
      <c r="E4061">
        <v>0.45541199999999998</v>
      </c>
      <c r="F4061" t="s">
        <v>71</v>
      </c>
      <c r="G4061">
        <v>-405.76139999999998</v>
      </c>
      <c r="H4061" s="1">
        <v>-6.6960230000000003E-6</v>
      </c>
      <c r="I4061">
        <v>136.58199999999999</v>
      </c>
      <c r="J4061">
        <v>-368.59089999999998</v>
      </c>
      <c r="K4061">
        <v>1.1088089999999999</v>
      </c>
      <c r="L4061">
        <v>141.34960000000001</v>
      </c>
      <c r="M4061">
        <v>-0.99992919999999996</v>
      </c>
      <c r="N4061">
        <v>0</v>
      </c>
      <c r="O4061">
        <v>-1.7902389999999999E-3</v>
      </c>
      <c r="P4061">
        <v>-0.99268160000000005</v>
      </c>
      <c r="Q4061">
        <v>0.1207428</v>
      </c>
      <c r="R4061">
        <v>-2.1558340000000001E-3</v>
      </c>
      <c r="S4061">
        <v>-3.0324710000000001</v>
      </c>
      <c r="T4061">
        <v>-8.9924569999999995E-2</v>
      </c>
      <c r="U4061">
        <v>-0.38668819999999998</v>
      </c>
      <c r="V4061">
        <v>-3.9920629999999998E-4</v>
      </c>
      <c r="W4061">
        <v>0.13241800000000001</v>
      </c>
      <c r="X4061">
        <v>0.99119389999999996</v>
      </c>
      <c r="Y4061">
        <v>-0.1246623</v>
      </c>
      <c r="Z4061">
        <v>-1.787645E-3</v>
      </c>
      <c r="AA4061">
        <v>0.99219760000000001</v>
      </c>
      <c r="AB4061">
        <v>29</v>
      </c>
      <c r="AC4061">
        <v>-37.170499999999997</v>
      </c>
      <c r="AD4061">
        <v>-1.108815696023</v>
      </c>
      <c r="AE4061">
        <v>-4.7676000000000096</v>
      </c>
      <c r="AF4061">
        <v>-4.6969317088657201</v>
      </c>
      <c r="AG4061">
        <v>-1.108815696023</v>
      </c>
      <c r="AH4061">
        <v>37.146455999537103</v>
      </c>
      <c r="AI4061">
        <v>91.696263888324594</v>
      </c>
      <c r="AJ4061">
        <v>97.206441648176394</v>
      </c>
      <c r="AK4061">
        <v>37.458641633821202</v>
      </c>
      <c r="AL4061">
        <v>82.390658409250605</v>
      </c>
      <c r="AM4061">
        <v>90.023076044866997</v>
      </c>
      <c r="AN4061">
        <v>1.00000001674343</v>
      </c>
    </row>
    <row r="4062" spans="1:40" x14ac:dyDescent="0.25">
      <c r="A4062" t="str">
        <f>"20190312164551844"</f>
        <v>20190312164551844</v>
      </c>
      <c r="B4062" t="str">
        <f>"1552380351835469"</f>
        <v>1552380351835469</v>
      </c>
      <c r="C4062" t="s">
        <v>40</v>
      </c>
      <c r="D4062">
        <v>4.8037559999999999</v>
      </c>
      <c r="E4062">
        <v>0.45577859999999998</v>
      </c>
      <c r="F4062" t="s">
        <v>71</v>
      </c>
      <c r="G4062">
        <v>-404.0505</v>
      </c>
      <c r="H4062" s="1">
        <v>-5.8713799999999997E-6</v>
      </c>
      <c r="I4062">
        <v>136.85159999999999</v>
      </c>
      <c r="J4062">
        <v>-368.79750000000001</v>
      </c>
      <c r="K4062">
        <v>1.1088150000000001</v>
      </c>
      <c r="L4062">
        <v>141.34909999999999</v>
      </c>
      <c r="M4062">
        <v>-0.99992899999999996</v>
      </c>
      <c r="N4062">
        <v>0</v>
      </c>
      <c r="O4062">
        <v>-1.8704010000000001E-3</v>
      </c>
      <c r="P4062">
        <v>-0.99276450000000005</v>
      </c>
      <c r="Q4062">
        <v>0.1200461</v>
      </c>
      <c r="R4062">
        <v>-2.7094559999999998E-3</v>
      </c>
      <c r="S4062">
        <v>-3.0328059999999999</v>
      </c>
      <c r="T4062">
        <v>-9.4835160000000002E-2</v>
      </c>
      <c r="U4062">
        <v>-0.38470460000000001</v>
      </c>
      <c r="V4062">
        <v>-8.7381619999999998E-4</v>
      </c>
      <c r="W4062">
        <v>0.1317227</v>
      </c>
      <c r="X4062">
        <v>0.99128620000000001</v>
      </c>
      <c r="Y4062">
        <v>-0.1239248</v>
      </c>
      <c r="Z4062">
        <v>-1.87111E-3</v>
      </c>
      <c r="AA4062">
        <v>0.9922898</v>
      </c>
      <c r="AB4062">
        <v>29</v>
      </c>
      <c r="AC4062">
        <v>-35.252999999999901</v>
      </c>
      <c r="AD4062">
        <v>-1.1088208713800001</v>
      </c>
      <c r="AE4062">
        <v>-4.4974999999999996</v>
      </c>
      <c r="AF4062">
        <v>-4.4272405693474699</v>
      </c>
      <c r="AG4062">
        <v>-1.1088208713800001</v>
      </c>
      <c r="AH4062">
        <v>35.227058841934301</v>
      </c>
      <c r="AI4062">
        <v>91.788807117637603</v>
      </c>
      <c r="AJ4062">
        <v>97.163220849986502</v>
      </c>
      <c r="AK4062">
        <v>35.521481070428202</v>
      </c>
      <c r="AL4062">
        <v>82.430847947534801</v>
      </c>
      <c r="AM4062">
        <v>90.0505060671302</v>
      </c>
      <c r="AN4062">
        <v>0.99999998178023997</v>
      </c>
    </row>
    <row r="4063" spans="1:40" x14ac:dyDescent="0.25">
      <c r="A4063" t="str">
        <f>"20190312164551859"</f>
        <v>20190312164551859</v>
      </c>
      <c r="B4063" t="str">
        <f>"1552380351855962"</f>
        <v>1552380351855962</v>
      </c>
      <c r="C4063" t="s">
        <v>40</v>
      </c>
      <c r="D4063">
        <v>4.7771790000000003</v>
      </c>
      <c r="E4063">
        <v>0.45614700000000002</v>
      </c>
      <c r="F4063" t="s">
        <v>71</v>
      </c>
      <c r="G4063">
        <v>-404.54759999999999</v>
      </c>
      <c r="H4063" s="1">
        <v>-6.0815449999999999E-6</v>
      </c>
      <c r="I4063">
        <v>136.8296</v>
      </c>
      <c r="J4063">
        <v>-368.99520000000001</v>
      </c>
      <c r="K4063">
        <v>1.108816</v>
      </c>
      <c r="L4063">
        <v>141.34870000000001</v>
      </c>
      <c r="M4063">
        <v>-0.99992890000000001</v>
      </c>
      <c r="N4063">
        <v>0</v>
      </c>
      <c r="O4063">
        <v>-1.948399E-3</v>
      </c>
      <c r="P4063">
        <v>-0.9927665</v>
      </c>
      <c r="Q4063">
        <v>0.12001680000000001</v>
      </c>
      <c r="R4063">
        <v>-3.283837E-3</v>
      </c>
      <c r="S4063">
        <v>-3.0321959999999999</v>
      </c>
      <c r="T4063">
        <v>-9.4046119999999997E-2</v>
      </c>
      <c r="U4063">
        <v>-0.38333129999999999</v>
      </c>
      <c r="V4063">
        <v>-1.371555E-3</v>
      </c>
      <c r="W4063">
        <v>0.13169339999999999</v>
      </c>
      <c r="X4063">
        <v>0.99128959999999999</v>
      </c>
      <c r="Y4063">
        <v>-0.1234312</v>
      </c>
      <c r="Z4063">
        <v>-1.845941E-3</v>
      </c>
      <c r="AA4063">
        <v>0.99235139999999999</v>
      </c>
      <c r="AB4063">
        <v>29</v>
      </c>
      <c r="AC4063">
        <v>-35.552399999999899</v>
      </c>
      <c r="AD4063">
        <v>-1.1088220815449901</v>
      </c>
      <c r="AE4063">
        <v>-4.5190999999999999</v>
      </c>
      <c r="AF4063">
        <v>-4.4455608570773499</v>
      </c>
      <c r="AG4063">
        <v>-1.1088220815449901</v>
      </c>
      <c r="AH4063">
        <v>35.5271298121922</v>
      </c>
      <c r="AI4063">
        <v>91.773829492306803</v>
      </c>
      <c r="AJ4063">
        <v>97.132431237334004</v>
      </c>
      <c r="AK4063">
        <v>35.821354670571203</v>
      </c>
      <c r="AL4063">
        <v>82.432542000783101</v>
      </c>
      <c r="AM4063">
        <v>90.079274777747798</v>
      </c>
      <c r="AN4063">
        <v>1.0000000519174099</v>
      </c>
    </row>
    <row r="4064" spans="1:40" x14ac:dyDescent="0.25">
      <c r="A4064" t="str">
        <f>"20190312164551877"</f>
        <v>20190312164551877</v>
      </c>
      <c r="B4064" t="str">
        <f>"1552380351865722"</f>
        <v>1552380351865722</v>
      </c>
      <c r="C4064" t="s">
        <v>40</v>
      </c>
      <c r="D4064">
        <v>4.7058429999999998</v>
      </c>
      <c r="E4064">
        <v>0.45647890000000002</v>
      </c>
      <c r="F4064" t="s">
        <v>71</v>
      </c>
      <c r="G4064">
        <v>-405.49360000000001</v>
      </c>
      <c r="H4064" s="1">
        <v>-6.592217E-6</v>
      </c>
      <c r="I4064">
        <v>136.7509</v>
      </c>
      <c r="J4064">
        <v>-369.2235</v>
      </c>
      <c r="K4064">
        <v>1.108822</v>
      </c>
      <c r="L4064">
        <v>141.34809999999999</v>
      </c>
      <c r="M4064">
        <v>-0.9999287</v>
      </c>
      <c r="N4064">
        <v>0</v>
      </c>
      <c r="O4064">
        <v>-2.0392629999999999E-3</v>
      </c>
      <c r="P4064">
        <v>-0.99280170000000001</v>
      </c>
      <c r="Q4064">
        <v>0.1197136</v>
      </c>
      <c r="R4064">
        <v>-3.6955389999999999E-3</v>
      </c>
      <c r="S4064">
        <v>-3.0317379999999998</v>
      </c>
      <c r="T4064">
        <v>-9.2104199999999997E-2</v>
      </c>
      <c r="U4064">
        <v>-0.38191219999999998</v>
      </c>
      <c r="V4064">
        <v>-1.6935209999999999E-3</v>
      </c>
      <c r="W4064">
        <v>0.13139089999999901</v>
      </c>
      <c r="X4064">
        <v>0.99132920000000002</v>
      </c>
      <c r="Y4064">
        <v>-0.1229051</v>
      </c>
      <c r="Z4064">
        <v>-1.7974579999999901E-3</v>
      </c>
      <c r="AA4064">
        <v>0.99241679999999999</v>
      </c>
      <c r="AB4064">
        <v>29</v>
      </c>
      <c r="AC4064">
        <v>-36.270099999999999</v>
      </c>
      <c r="AD4064">
        <v>-1.108828592217</v>
      </c>
      <c r="AE4064">
        <v>-4.5971999999999804</v>
      </c>
      <c r="AF4064">
        <v>-4.5190642553289697</v>
      </c>
      <c r="AG4064">
        <v>-1.108828592217</v>
      </c>
      <c r="AH4064">
        <v>36.246059745411998</v>
      </c>
      <c r="AI4064">
        <v>91.738775154798603</v>
      </c>
      <c r="AJ4064">
        <v>97.106816007589401</v>
      </c>
      <c r="AK4064">
        <v>36.543512278634203</v>
      </c>
      <c r="AL4064">
        <v>82.450025577556801</v>
      </c>
      <c r="AM4064">
        <v>90.097880211159406</v>
      </c>
      <c r="AN4064">
        <v>1.0000000096944099</v>
      </c>
    </row>
    <row r="4065" spans="1:40" x14ac:dyDescent="0.25">
      <c r="A4065" t="str">
        <f>"20190312164551894"</f>
        <v>20190312164551894</v>
      </c>
      <c r="B4065" t="str">
        <f>"1552380351886218"</f>
        <v>1552380351886218</v>
      </c>
      <c r="C4065" t="s">
        <v>40</v>
      </c>
      <c r="D4065">
        <v>4.7851220000000003</v>
      </c>
      <c r="E4065">
        <v>0.45685680000000001</v>
      </c>
      <c r="F4065" t="s">
        <v>71</v>
      </c>
      <c r="G4065">
        <v>-405.8098</v>
      </c>
      <c r="H4065" s="1">
        <v>-6.8114490000000004E-6</v>
      </c>
      <c r="I4065">
        <v>136.7585</v>
      </c>
      <c r="J4065">
        <v>-369.43459999999999</v>
      </c>
      <c r="K4065">
        <v>1.1088249999999999</v>
      </c>
      <c r="L4065">
        <v>141.3476</v>
      </c>
      <c r="M4065">
        <v>-0.9999285</v>
      </c>
      <c r="N4065">
        <v>0</v>
      </c>
      <c r="O4065">
        <v>-2.1230799999999998E-3</v>
      </c>
      <c r="P4065">
        <v>-0.99280679999999999</v>
      </c>
      <c r="Q4065">
        <v>0.1196613</v>
      </c>
      <c r="R4065">
        <v>-3.9644440000000001E-3</v>
      </c>
      <c r="S4065">
        <v>-3.0313720000000002</v>
      </c>
      <c r="T4065">
        <v>-9.1872449999999994E-2</v>
      </c>
      <c r="U4065">
        <v>-0.38027949999999999</v>
      </c>
      <c r="V4065">
        <v>-1.879779E-3</v>
      </c>
      <c r="W4065">
        <v>0.13133889999999901</v>
      </c>
      <c r="X4065">
        <v>0.99133570000000004</v>
      </c>
      <c r="Y4065">
        <v>-0.12231110000000001</v>
      </c>
      <c r="Z4065">
        <v>-1.781719E-3</v>
      </c>
      <c r="AA4065">
        <v>0.99249019999999999</v>
      </c>
      <c r="AB4065">
        <v>29</v>
      </c>
      <c r="AC4065">
        <v>-36.3752</v>
      </c>
      <c r="AD4065">
        <v>-1.1088318114489999</v>
      </c>
      <c r="AE4065">
        <v>-4.5891000000000002</v>
      </c>
      <c r="AF4065">
        <v>-4.5077337767085801</v>
      </c>
      <c r="AG4065">
        <v>-1.1088318114489999</v>
      </c>
      <c r="AH4065">
        <v>36.351612120157903</v>
      </c>
      <c r="AI4065">
        <v>91.733877417291794</v>
      </c>
      <c r="AJ4065">
        <v>97.068802927503299</v>
      </c>
      <c r="AK4065">
        <v>36.646812624322003</v>
      </c>
      <c r="AL4065">
        <v>82.453030588851405</v>
      </c>
      <c r="AM4065">
        <v>90.108644603469102</v>
      </c>
      <c r="AN4065">
        <v>0.99999995515839302</v>
      </c>
    </row>
    <row r="4066" spans="1:40" x14ac:dyDescent="0.25">
      <c r="A4066" t="str">
        <f>"20190312164551912"</f>
        <v>20190312164551912</v>
      </c>
      <c r="B4066" t="str">
        <f>"1552380351905741"</f>
        <v>1552380351905741</v>
      </c>
      <c r="C4066" t="s">
        <v>40</v>
      </c>
      <c r="D4066">
        <v>4.8312169999999997</v>
      </c>
      <c r="E4066">
        <v>0.47437770000000001</v>
      </c>
      <c r="F4066" t="s">
        <v>71</v>
      </c>
      <c r="G4066">
        <v>-406.71690000000001</v>
      </c>
      <c r="H4066" s="1">
        <v>-7.3835289999999999E-6</v>
      </c>
      <c r="I4066">
        <v>136.69659999999999</v>
      </c>
      <c r="J4066">
        <v>-369.66609999999997</v>
      </c>
      <c r="K4066">
        <v>1.108822</v>
      </c>
      <c r="L4066">
        <v>141.34700000000001</v>
      </c>
      <c r="M4066">
        <v>-0.99992829999999999</v>
      </c>
      <c r="N4066">
        <v>0</v>
      </c>
      <c r="O4066">
        <v>-2.2145200000000002E-3</v>
      </c>
      <c r="P4066">
        <v>-0.99277179999999998</v>
      </c>
      <c r="Q4066">
        <v>0.1199277</v>
      </c>
      <c r="R4066">
        <v>-4.6300580000000003E-3</v>
      </c>
      <c r="S4066">
        <v>-3.0310969999999999</v>
      </c>
      <c r="T4066">
        <v>-9.0149279999999998E-2</v>
      </c>
      <c r="U4066">
        <v>-0.37812810000000002</v>
      </c>
      <c r="V4066">
        <v>-2.4545019999999999E-3</v>
      </c>
      <c r="W4066">
        <v>0.131605</v>
      </c>
      <c r="X4066">
        <v>0.99129920000000005</v>
      </c>
      <c r="Y4066">
        <v>-0.1215401</v>
      </c>
      <c r="Z4066">
        <v>-1.7344229999999999E-3</v>
      </c>
      <c r="AA4066">
        <v>0.99258500000000005</v>
      </c>
      <c r="AB4066">
        <v>29</v>
      </c>
      <c r="AC4066">
        <v>-37.050800000000002</v>
      </c>
      <c r="AD4066">
        <v>-1.108829383529</v>
      </c>
      <c r="AE4066">
        <v>-4.6504000000000101</v>
      </c>
      <c r="AF4066">
        <v>-4.5643085933077199</v>
      </c>
      <c r="AG4066">
        <v>-1.108829383529</v>
      </c>
      <c r="AH4066">
        <v>37.028358472748899</v>
      </c>
      <c r="AI4066">
        <v>91.702356400742701</v>
      </c>
      <c r="AJ4066">
        <v>97.027128890369497</v>
      </c>
      <c r="AK4066">
        <v>37.325082005577897</v>
      </c>
      <c r="AL4066">
        <v>82.437651040214405</v>
      </c>
      <c r="AM4066">
        <v>90.141866671546396</v>
      </c>
      <c r="AN4066">
        <v>1.0000000022628499</v>
      </c>
    </row>
    <row r="4067" spans="1:40" x14ac:dyDescent="0.25">
      <c r="A4067" t="str">
        <f>"20190312164551928"</f>
        <v>20190312164551928</v>
      </c>
      <c r="B4067" t="str">
        <f>"1552380351915498"</f>
        <v>1552380351915498</v>
      </c>
      <c r="C4067" t="s">
        <v>40</v>
      </c>
      <c r="D4067">
        <v>4.6482390000000002</v>
      </c>
      <c r="E4067">
        <v>0.47422809999999999</v>
      </c>
      <c r="F4067" t="s">
        <v>42</v>
      </c>
      <c r="G4067">
        <v>-391.29109999999997</v>
      </c>
      <c r="H4067" s="1">
        <v>-3.7187390000000001E-6</v>
      </c>
      <c r="I4067">
        <v>139.61429999999999</v>
      </c>
      <c r="J4067">
        <v>-369.87529999999998</v>
      </c>
      <c r="K4067">
        <v>1.108824</v>
      </c>
      <c r="L4067">
        <v>141.34649999999999</v>
      </c>
      <c r="M4067">
        <v>-0.99992809999999999</v>
      </c>
      <c r="N4067">
        <v>0</v>
      </c>
      <c r="O4067">
        <v>-2.2959450000000002E-3</v>
      </c>
      <c r="P4067">
        <v>-0.99272479999999996</v>
      </c>
      <c r="Q4067">
        <v>0.12030440000000001</v>
      </c>
      <c r="R4067">
        <v>-4.9543699999999996E-3</v>
      </c>
      <c r="S4067">
        <v>-3.03952</v>
      </c>
      <c r="T4067">
        <v>-0.15585270000000001</v>
      </c>
      <c r="U4067">
        <v>-0.24353030000000001</v>
      </c>
      <c r="V4067">
        <v>-2.6987449999999998E-3</v>
      </c>
      <c r="W4067">
        <v>0.13198170000000001</v>
      </c>
      <c r="X4067">
        <v>0.99124849999999998</v>
      </c>
      <c r="Y4067">
        <v>-7.7478240000000004E-2</v>
      </c>
      <c r="Z4067">
        <v>-1.864426E-3</v>
      </c>
      <c r="AA4067">
        <v>0.99699230000000005</v>
      </c>
      <c r="AB4067">
        <v>29</v>
      </c>
      <c r="AC4067">
        <v>-21.415799999999901</v>
      </c>
      <c r="AD4067">
        <v>-1.1088277187389901</v>
      </c>
      <c r="AE4067">
        <v>-1.7322</v>
      </c>
      <c r="AF4067">
        <v>-1.67855196492172</v>
      </c>
      <c r="AG4067">
        <v>-1.1088277187389901</v>
      </c>
      <c r="AH4067">
        <v>21.362824273336901</v>
      </c>
      <c r="AI4067">
        <v>92.962131747272394</v>
      </c>
      <c r="AJ4067">
        <v>94.492699680728506</v>
      </c>
      <c r="AK4067">
        <v>21.4573366600391</v>
      </c>
      <c r="AL4067">
        <v>82.415877936169693</v>
      </c>
      <c r="AM4067">
        <v>90.155991475833005</v>
      </c>
      <c r="AN4067">
        <v>1.0000000205558499</v>
      </c>
    </row>
    <row r="4068" spans="1:40" x14ac:dyDescent="0.25">
      <c r="A4068" t="str">
        <f>"20190312164551942"</f>
        <v>20190312164551942</v>
      </c>
      <c r="B4068" t="str">
        <f>"1552380351935994"</f>
        <v>1552380351935994</v>
      </c>
      <c r="C4068" t="s">
        <v>40</v>
      </c>
      <c r="D4068">
        <v>4.530367</v>
      </c>
      <c r="E4068">
        <v>0.4739815</v>
      </c>
      <c r="F4068" t="s">
        <v>42</v>
      </c>
      <c r="G4068">
        <v>-395.70729999999998</v>
      </c>
      <c r="H4068" s="1">
        <v>-1.886183E-6</v>
      </c>
      <c r="I4068">
        <v>139.26490000000001</v>
      </c>
      <c r="J4068">
        <v>-370.06029999999998</v>
      </c>
      <c r="K4068">
        <v>1.108822</v>
      </c>
      <c r="L4068">
        <v>141.346</v>
      </c>
      <c r="M4068">
        <v>-0.99992800000000004</v>
      </c>
      <c r="N4068">
        <v>0</v>
      </c>
      <c r="O4068">
        <v>-2.367114E-3</v>
      </c>
      <c r="P4068">
        <v>-0.99271909999999997</v>
      </c>
      <c r="Q4068">
        <v>0.12033580000000001</v>
      </c>
      <c r="R4068">
        <v>-5.3212679999999997E-3</v>
      </c>
      <c r="S4068">
        <v>-3.0365600000000001</v>
      </c>
      <c r="T4068">
        <v>-0.13034319999999999</v>
      </c>
      <c r="U4068">
        <v>-0.24467469999999999</v>
      </c>
      <c r="V4068">
        <v>-2.9946199999999999E-3</v>
      </c>
      <c r="W4068">
        <v>0.1320124</v>
      </c>
      <c r="X4068">
        <v>0.99124350000000006</v>
      </c>
      <c r="Y4068">
        <v>-7.7887029999999996E-2</v>
      </c>
      <c r="Z4068">
        <v>-1.566766E-3</v>
      </c>
      <c r="AA4068">
        <v>0.99696090000000004</v>
      </c>
      <c r="AB4068">
        <v>29</v>
      </c>
      <c r="AC4068">
        <v>-25.646999999999899</v>
      </c>
      <c r="AD4068">
        <v>-1.108823886183</v>
      </c>
      <c r="AE4068">
        <v>-2.08109999999999</v>
      </c>
      <c r="AF4068">
        <v>-2.0166357889277502</v>
      </c>
      <c r="AG4068">
        <v>-1.108823886183</v>
      </c>
      <c r="AH4068">
        <v>25.604308580717198</v>
      </c>
      <c r="AI4068">
        <v>92.472063724177005</v>
      </c>
      <c r="AJ4068">
        <v>94.503409325266901</v>
      </c>
      <c r="AK4068">
        <v>25.707526684073301</v>
      </c>
      <c r="AL4068">
        <v>82.414102958545001</v>
      </c>
      <c r="AM4068">
        <v>90.173094265187004</v>
      </c>
      <c r="AN4068">
        <v>0.99999995889747595</v>
      </c>
    </row>
    <row r="4069" spans="1:40" x14ac:dyDescent="0.25">
      <c r="A4069" t="str">
        <f>"20190312164551957"</f>
        <v>20190312164551957</v>
      </c>
      <c r="B4069" t="str">
        <f>"1552380351945754"</f>
        <v>1552380351945754</v>
      </c>
      <c r="C4069" t="s">
        <v>40</v>
      </c>
      <c r="D4069">
        <v>4.7945140000000004</v>
      </c>
      <c r="E4069">
        <v>0.4738945</v>
      </c>
      <c r="F4069" t="s">
        <v>71</v>
      </c>
      <c r="G4069">
        <v>-402.2482</v>
      </c>
      <c r="H4069" s="1">
        <v>-5.9495660000000001E-6</v>
      </c>
      <c r="I4069">
        <v>138.73089999999999</v>
      </c>
      <c r="J4069">
        <v>-370.24160000000001</v>
      </c>
      <c r="K4069">
        <v>1.108824</v>
      </c>
      <c r="L4069">
        <v>141.34549999999999</v>
      </c>
      <c r="M4069">
        <v>-0.99992780000000003</v>
      </c>
      <c r="N4069">
        <v>0</v>
      </c>
      <c r="O4069">
        <v>-2.4361349999999999E-3</v>
      </c>
      <c r="P4069">
        <v>-0.99269030000000003</v>
      </c>
      <c r="Q4069">
        <v>0.1205463</v>
      </c>
      <c r="R4069">
        <v>-5.8778719999999897E-3</v>
      </c>
      <c r="S4069">
        <v>-3.033325</v>
      </c>
      <c r="T4069">
        <v>-0.10449360000000001</v>
      </c>
      <c r="U4069">
        <v>-0.24644469999999999</v>
      </c>
      <c r="V4069">
        <v>-3.4827819999999998E-3</v>
      </c>
      <c r="W4069">
        <v>0.13222320000000001</v>
      </c>
      <c r="X4069">
        <v>0.99121389999999998</v>
      </c>
      <c r="Y4069">
        <v>-7.8505539999999999E-2</v>
      </c>
      <c r="Z4069">
        <v>-1.2658159999999999E-3</v>
      </c>
      <c r="AA4069">
        <v>0.99691289999999999</v>
      </c>
      <c r="AB4069">
        <v>29</v>
      </c>
      <c r="AC4069">
        <v>-32.006599999999899</v>
      </c>
      <c r="AD4069">
        <v>-1.1088299495659999</v>
      </c>
      <c r="AE4069">
        <v>-2.61459999999999</v>
      </c>
      <c r="AF4069">
        <v>-2.5335938009592001</v>
      </c>
      <c r="AG4069">
        <v>-1.1088299495659999</v>
      </c>
      <c r="AH4069">
        <v>31.974753510459301</v>
      </c>
      <c r="AI4069">
        <v>91.979923226946497</v>
      </c>
      <c r="AJ4069">
        <v>94.530498226166799</v>
      </c>
      <c r="AK4069">
        <v>32.094134408953003</v>
      </c>
      <c r="AL4069">
        <v>82.401918892409199</v>
      </c>
      <c r="AM4069">
        <v>90.201316676830999</v>
      </c>
      <c r="AN4069">
        <v>1.00000004997095</v>
      </c>
    </row>
    <row r="4070" spans="1:40" x14ac:dyDescent="0.25">
      <c r="A4070" t="str">
        <f>"20190312164551978"</f>
        <v>20190312164551978</v>
      </c>
      <c r="B4070" t="str">
        <f>"1552380351965274"</f>
        <v>1552380351965274</v>
      </c>
      <c r="C4070" t="s">
        <v>40</v>
      </c>
      <c r="D4070">
        <v>4.4194469999999999</v>
      </c>
      <c r="E4070">
        <v>0.47366740000000002</v>
      </c>
      <c r="F4070" t="s">
        <v>71</v>
      </c>
      <c r="G4070">
        <v>-404.69479999999999</v>
      </c>
      <c r="H4070" s="1">
        <v>-6.9378659999999996E-6</v>
      </c>
      <c r="I4070">
        <v>138.52379999999999</v>
      </c>
      <c r="J4070">
        <v>-370.5231</v>
      </c>
      <c r="K4070">
        <v>1.1088290000000001</v>
      </c>
      <c r="L4070">
        <v>141.34469999999999</v>
      </c>
      <c r="M4070">
        <v>-0.99992749999999997</v>
      </c>
      <c r="N4070">
        <v>0</v>
      </c>
      <c r="O4070">
        <v>-2.542824E-3</v>
      </c>
      <c r="P4070">
        <v>-0.99267499999999997</v>
      </c>
      <c r="Q4070">
        <v>0.1206498</v>
      </c>
      <c r="R4070">
        <v>-6.3336620000000003E-3</v>
      </c>
      <c r="S4070">
        <v>-3.0324710000000001</v>
      </c>
      <c r="T4070">
        <v>-9.7595929999999997E-2</v>
      </c>
      <c r="U4070">
        <v>-0.24835209999999999</v>
      </c>
      <c r="V4070">
        <v>-3.8329589999999999E-3</v>
      </c>
      <c r="W4070">
        <v>0.132326799999999</v>
      </c>
      <c r="X4070">
        <v>0.99119869999999999</v>
      </c>
      <c r="Y4070">
        <v>-7.9050190000000006E-2</v>
      </c>
      <c r="Z4070">
        <v>-1.187925E-3</v>
      </c>
      <c r="AA4070">
        <v>0.99686989999999998</v>
      </c>
      <c r="AB4070">
        <v>29</v>
      </c>
      <c r="AC4070">
        <v>-34.171699999999902</v>
      </c>
      <c r="AD4070">
        <v>-1.108835937866</v>
      </c>
      <c r="AE4070">
        <v>-2.8208999999999902</v>
      </c>
      <c r="AF4070">
        <v>-2.7311359972684799</v>
      </c>
      <c r="AG4070">
        <v>-1.108835937866</v>
      </c>
      <c r="AH4070">
        <v>34.143055981184702</v>
      </c>
      <c r="AI4070">
        <v>91.854175717138503</v>
      </c>
      <c r="AJ4070">
        <v>94.573406886307694</v>
      </c>
      <c r="AK4070">
        <v>34.270058253627099</v>
      </c>
      <c r="AL4070">
        <v>82.395929804410301</v>
      </c>
      <c r="AM4070">
        <v>90.221561306616294</v>
      </c>
      <c r="AN4070">
        <v>0.99999996822731196</v>
      </c>
    </row>
    <row r="4071" spans="1:40" x14ac:dyDescent="0.25">
      <c r="A4071" t="str">
        <f>"20190312164552001"</f>
        <v>20190312164552001</v>
      </c>
      <c r="B4071" t="str">
        <f>"1552380351995533"</f>
        <v>1552380351995533</v>
      </c>
      <c r="C4071" t="s">
        <v>40</v>
      </c>
      <c r="D4071">
        <v>4.4092469999999997</v>
      </c>
      <c r="E4071">
        <v>0.47338970000000002</v>
      </c>
      <c r="F4071" t="s">
        <v>71</v>
      </c>
      <c r="G4071">
        <v>-407.57330000000002</v>
      </c>
      <c r="H4071" s="1">
        <v>-8.6069429999999998E-6</v>
      </c>
      <c r="I4071">
        <v>138.27590000000001</v>
      </c>
      <c r="J4071">
        <v>-370.8186</v>
      </c>
      <c r="K4071">
        <v>1.1088309999999999</v>
      </c>
      <c r="L4071">
        <v>141.34379999999999</v>
      </c>
      <c r="M4071">
        <v>-0.99992720000000002</v>
      </c>
      <c r="N4071">
        <v>0</v>
      </c>
      <c r="O4071">
        <v>-2.654043E-3</v>
      </c>
      <c r="P4071">
        <v>-0.99265820000000005</v>
      </c>
      <c r="Q4071">
        <v>0.12076149999999999</v>
      </c>
      <c r="R4071">
        <v>-6.824208E-3</v>
      </c>
      <c r="S4071">
        <v>-3.031555</v>
      </c>
      <c r="T4071">
        <v>-9.0728279999999994E-2</v>
      </c>
      <c r="U4071">
        <v>-0.25109860000000001</v>
      </c>
      <c r="V4071">
        <v>-4.212899E-3</v>
      </c>
      <c r="W4071">
        <v>0.1324388</v>
      </c>
      <c r="X4071">
        <v>0.99118220000000001</v>
      </c>
      <c r="Y4071">
        <v>-7.9865870000000005E-2</v>
      </c>
      <c r="Z4071">
        <v>-1.1135229999999999E-3</v>
      </c>
      <c r="AA4071">
        <v>0.99680500000000005</v>
      </c>
      <c r="AB4071">
        <v>29</v>
      </c>
      <c r="AC4071">
        <v>-36.7547</v>
      </c>
      <c r="AD4071">
        <v>-1.108839606943</v>
      </c>
      <c r="AE4071">
        <v>-3.0678999999999799</v>
      </c>
      <c r="AF4071">
        <v>-2.9676515687616498</v>
      </c>
      <c r="AG4071">
        <v>-1.108839606943</v>
      </c>
      <c r="AH4071">
        <v>36.729515461338501</v>
      </c>
      <c r="AI4071">
        <v>91.723582804501405</v>
      </c>
      <c r="AJ4071">
        <v>94.619318920841593</v>
      </c>
      <c r="AK4071">
        <v>36.8658892084838</v>
      </c>
      <c r="AL4071">
        <v>82.389455701480699</v>
      </c>
      <c r="AM4071">
        <v>90.243527253269207</v>
      </c>
      <c r="AN4071">
        <v>0.99999996893013099</v>
      </c>
    </row>
    <row r="4072" spans="1:40" x14ac:dyDescent="0.25">
      <c r="A4072" t="str">
        <f>"20190312164552015"</f>
        <v>20190312164552015</v>
      </c>
      <c r="B4072" t="str">
        <f>"1552380352005290"</f>
        <v>1552380352005290</v>
      </c>
      <c r="C4072" t="s">
        <v>40</v>
      </c>
      <c r="D4072">
        <v>4.6235980000000003</v>
      </c>
      <c r="E4072">
        <v>0.47324870000000002</v>
      </c>
      <c r="F4072" t="s">
        <v>71</v>
      </c>
      <c r="G4072">
        <v>-410.17180000000002</v>
      </c>
      <c r="H4072" s="1">
        <v>-9.9665160000000006E-6</v>
      </c>
      <c r="I4072">
        <v>138.0333</v>
      </c>
      <c r="J4072">
        <v>-370.99200000000002</v>
      </c>
      <c r="K4072">
        <v>1.1088309999999999</v>
      </c>
      <c r="L4072">
        <v>141.3433</v>
      </c>
      <c r="M4072">
        <v>-0.99992700000000001</v>
      </c>
      <c r="N4072">
        <v>0</v>
      </c>
      <c r="O4072">
        <v>-2.7194860000000001E-3</v>
      </c>
      <c r="P4072">
        <v>-0.99266359999999998</v>
      </c>
      <c r="Q4072">
        <v>0.1207115</v>
      </c>
      <c r="R4072">
        <v>-6.9107760000000004E-3</v>
      </c>
      <c r="S4072">
        <v>-3.0308229999999998</v>
      </c>
      <c r="T4072">
        <v>-8.5398199999999994E-2</v>
      </c>
      <c r="U4072">
        <v>-0.25495909999999999</v>
      </c>
      <c r="V4072">
        <v>-4.2346679999999996E-3</v>
      </c>
      <c r="W4072">
        <v>0.13238910000000001</v>
      </c>
      <c r="X4072">
        <v>0.99118879999999998</v>
      </c>
      <c r="Y4072">
        <v>-8.1084729999999994E-2</v>
      </c>
      <c r="Z4072">
        <v>-1.0636269999999999E-3</v>
      </c>
      <c r="AA4072">
        <v>0.99670669999999995</v>
      </c>
      <c r="AB4072">
        <v>29</v>
      </c>
      <c r="AC4072">
        <v>-39.1798</v>
      </c>
      <c r="AD4072">
        <v>-1.1088409665159999</v>
      </c>
      <c r="AE4072">
        <v>-3.31</v>
      </c>
      <c r="AF4072">
        <v>-3.20088582445167</v>
      </c>
      <c r="AG4072">
        <v>-1.1088409665159999</v>
      </c>
      <c r="AH4072">
        <v>39.157515648816201</v>
      </c>
      <c r="AI4072">
        <v>91.616647473443706</v>
      </c>
      <c r="AJ4072">
        <v>94.673186874736302</v>
      </c>
      <c r="AK4072">
        <v>39.303768650569403</v>
      </c>
      <c r="AL4072">
        <v>82.392329003150905</v>
      </c>
      <c r="AM4072">
        <v>90.244783968352095</v>
      </c>
      <c r="AN4072">
        <v>1.00000002172865</v>
      </c>
    </row>
    <row r="4073" spans="1:40" x14ac:dyDescent="0.25">
      <c r="A4073" t="str">
        <f>"20190312164552033"</f>
        <v>20190312164552033</v>
      </c>
      <c r="B4073" t="str">
        <f>"1552380352026041"</f>
        <v>1552380352026041</v>
      </c>
      <c r="C4073" t="s">
        <v>40</v>
      </c>
      <c r="D4073">
        <v>4.4524800000000004</v>
      </c>
      <c r="E4073">
        <v>0.47320630000000002</v>
      </c>
      <c r="F4073" t="s">
        <v>71</v>
      </c>
      <c r="G4073">
        <v>-410.33569999999997</v>
      </c>
      <c r="H4073" s="1">
        <v>-9.9432970000000003E-6</v>
      </c>
      <c r="I4073">
        <v>138.01310000000001</v>
      </c>
      <c r="J4073">
        <v>-371.23989999999998</v>
      </c>
      <c r="K4073">
        <v>1.10883</v>
      </c>
      <c r="L4073">
        <v>141.3425</v>
      </c>
      <c r="M4073">
        <v>-0.99992689999999995</v>
      </c>
      <c r="N4073">
        <v>0</v>
      </c>
      <c r="O4073">
        <v>-2.812822E-3</v>
      </c>
      <c r="P4073">
        <v>-0.99265029999999999</v>
      </c>
      <c r="Q4073">
        <v>0.1207944</v>
      </c>
      <c r="R4073">
        <v>-7.3780019999999998E-3</v>
      </c>
      <c r="S4073">
        <v>-3.0307620000000002</v>
      </c>
      <c r="T4073">
        <v>-8.5417389999999996E-2</v>
      </c>
      <c r="U4073">
        <v>-0.2565308</v>
      </c>
      <c r="V4073">
        <v>-4.6089440000000002E-3</v>
      </c>
      <c r="W4073">
        <v>0.132471799999999</v>
      </c>
      <c r="X4073">
        <v>0.9911761</v>
      </c>
      <c r="Y4073">
        <v>-8.1506399999999896E-2</v>
      </c>
      <c r="Z4073">
        <v>-1.0671700000000001E-3</v>
      </c>
      <c r="AA4073">
        <v>0.99667229999999996</v>
      </c>
      <c r="AB4073">
        <v>29</v>
      </c>
      <c r="AC4073">
        <v>-39.095799999999997</v>
      </c>
      <c r="AD4073">
        <v>-1.108839943297</v>
      </c>
      <c r="AE4073">
        <v>-3.3293999999999899</v>
      </c>
      <c r="AF4073">
        <v>-3.2168406685853301</v>
      </c>
      <c r="AG4073">
        <v>-1.108839943297</v>
      </c>
      <c r="AH4073">
        <v>39.073805915289398</v>
      </c>
      <c r="AI4073">
        <v>91.620030575706295</v>
      </c>
      <c r="AJ4073">
        <v>94.706392608829603</v>
      </c>
      <c r="AK4073">
        <v>39.221676387077302</v>
      </c>
      <c r="AL4073">
        <v>82.387548682545102</v>
      </c>
      <c r="AM4073">
        <v>90.266422017188404</v>
      </c>
      <c r="AN4073">
        <v>1.00000004068562</v>
      </c>
    </row>
    <row r="4074" spans="1:40" x14ac:dyDescent="0.25">
      <c r="A4074" t="str">
        <f>"20190312164552047"</f>
        <v>20190312164552047</v>
      </c>
      <c r="B4074" t="str">
        <f>"1552380352035785"</f>
        <v>1552380352035785</v>
      </c>
      <c r="C4074" t="s">
        <v>40</v>
      </c>
      <c r="D4074">
        <v>4.4315150000000001</v>
      </c>
      <c r="E4074">
        <v>0.47316449999999999</v>
      </c>
      <c r="F4074" t="s">
        <v>71</v>
      </c>
      <c r="G4074">
        <v>-410.12049999999999</v>
      </c>
      <c r="H4074" s="1">
        <v>-9.9692529999999993E-6</v>
      </c>
      <c r="I4074">
        <v>138.02930000000001</v>
      </c>
      <c r="J4074">
        <v>-371.41219999999998</v>
      </c>
      <c r="K4074">
        <v>1.10883</v>
      </c>
      <c r="L4074">
        <v>141.34190000000001</v>
      </c>
      <c r="M4074">
        <v>-0.9999266</v>
      </c>
      <c r="N4074">
        <v>0</v>
      </c>
      <c r="O4074">
        <v>-2.8775490000000001E-3</v>
      </c>
      <c r="P4074">
        <v>-0.99264470000000005</v>
      </c>
      <c r="Q4074">
        <v>0.1208446</v>
      </c>
      <c r="R4074">
        <v>-7.2885600000000004E-3</v>
      </c>
      <c r="S4074">
        <v>-3.0307919999999999</v>
      </c>
      <c r="T4074">
        <v>-8.6435319999999996E-2</v>
      </c>
      <c r="U4074">
        <v>-0.25827030000000001</v>
      </c>
      <c r="V4074">
        <v>-4.4553090000000002E-3</v>
      </c>
      <c r="W4074">
        <v>0.132522</v>
      </c>
      <c r="X4074">
        <v>0.99117</v>
      </c>
      <c r="Y4074">
        <v>-8.2008049999999999E-2</v>
      </c>
      <c r="Z4074">
        <v>-1.0851420000000001E-3</v>
      </c>
      <c r="AA4074">
        <v>0.99663109999999999</v>
      </c>
      <c r="AB4074">
        <v>29</v>
      </c>
      <c r="AC4074">
        <v>-38.708300000000001</v>
      </c>
      <c r="AD4074">
        <v>-1.108839969253</v>
      </c>
      <c r="AE4074">
        <v>-3.3126000000000002</v>
      </c>
      <c r="AF4074">
        <v>-3.1985878722137202</v>
      </c>
      <c r="AG4074">
        <v>-1.108839969253</v>
      </c>
      <c r="AH4074">
        <v>38.686157636623001</v>
      </c>
      <c r="AI4074">
        <v>91.636207760037294</v>
      </c>
      <c r="AJ4074">
        <v>94.726488667073497</v>
      </c>
      <c r="AK4074">
        <v>38.833996486832604</v>
      </c>
      <c r="AL4074">
        <v>82.384646152387901</v>
      </c>
      <c r="AM4074">
        <v>90.257542785696998</v>
      </c>
      <c r="AN4074">
        <v>0.99999994958114102</v>
      </c>
    </row>
    <row r="4075" spans="1:40" x14ac:dyDescent="0.25">
      <c r="A4075" t="str">
        <f>"20190312164552061"</f>
        <v>20190312164552061</v>
      </c>
      <c r="B4075" t="str">
        <f>"1552380352056280"</f>
        <v>1552380352056280</v>
      </c>
      <c r="C4075" t="s">
        <v>40</v>
      </c>
      <c r="D4075">
        <v>4.579053</v>
      </c>
      <c r="E4075">
        <v>0.47306359999999997</v>
      </c>
      <c r="F4075" t="s">
        <v>71</v>
      </c>
      <c r="G4075">
        <v>-410.06939999999997</v>
      </c>
      <c r="H4075" s="1">
        <v>-9.9815430000000002E-6</v>
      </c>
      <c r="I4075">
        <v>138.0471</v>
      </c>
      <c r="J4075">
        <v>-371.58269999999999</v>
      </c>
      <c r="K4075">
        <v>1.1088279999999999</v>
      </c>
      <c r="L4075">
        <v>141.34139999999999</v>
      </c>
      <c r="M4075">
        <v>-0.99992650000000005</v>
      </c>
      <c r="N4075">
        <v>0</v>
      </c>
      <c r="O4075">
        <v>-2.941918E-3</v>
      </c>
      <c r="P4075">
        <v>-0.99265320000000001</v>
      </c>
      <c r="Q4075">
        <v>0.1207699</v>
      </c>
      <c r="R4075">
        <v>-7.3897340000000002E-3</v>
      </c>
      <c r="S4075">
        <v>-3.0309140000000001</v>
      </c>
      <c r="T4075">
        <v>-8.6938500000000002E-2</v>
      </c>
      <c r="U4075">
        <v>-0.25833129999999999</v>
      </c>
      <c r="V4075">
        <v>-4.492691E-3</v>
      </c>
      <c r="W4075">
        <v>0.13244779999999901</v>
      </c>
      <c r="X4075">
        <v>0.99117980000000006</v>
      </c>
      <c r="Y4075">
        <v>-8.1960099999999994E-2</v>
      </c>
      <c r="Z4075">
        <v>-1.088882E-3</v>
      </c>
      <c r="AA4075">
        <v>0.99663500000000005</v>
      </c>
      <c r="AB4075">
        <v>29</v>
      </c>
      <c r="AC4075">
        <v>-38.4866999999999</v>
      </c>
      <c r="AD4075">
        <v>-1.1088379815430001</v>
      </c>
      <c r="AE4075">
        <v>-3.29429999999999</v>
      </c>
      <c r="AF4075">
        <v>-3.1784340600349301</v>
      </c>
      <c r="AG4075">
        <v>-1.1088379815430001</v>
      </c>
      <c r="AH4075">
        <v>38.4645296231473</v>
      </c>
      <c r="AI4075">
        <v>91.645633698063094</v>
      </c>
      <c r="AJ4075">
        <v>94.723781961891405</v>
      </c>
      <c r="AK4075">
        <v>38.611552725489702</v>
      </c>
      <c r="AL4075">
        <v>82.388935693982603</v>
      </c>
      <c r="AM4075">
        <v>90.259701085640501</v>
      </c>
      <c r="AN4075">
        <v>0.99999999996264999</v>
      </c>
    </row>
    <row r="4076" spans="1:40" x14ac:dyDescent="0.25">
      <c r="A4076" t="str">
        <f>"20190312164552073"</f>
        <v>20190312164552073</v>
      </c>
      <c r="B4076" t="str">
        <f>"1552380352066041"</f>
        <v>1552380352066041</v>
      </c>
      <c r="C4076" t="s">
        <v>40</v>
      </c>
      <c r="D4076">
        <v>4.6440640000000002</v>
      </c>
      <c r="E4076">
        <v>0.47307890000000002</v>
      </c>
      <c r="F4076" t="s">
        <v>71</v>
      </c>
      <c r="G4076">
        <v>-409.77080000000001</v>
      </c>
      <c r="H4076" s="1">
        <v>-9.8864340000000004E-6</v>
      </c>
      <c r="I4076">
        <v>138.07329999999999</v>
      </c>
      <c r="J4076">
        <v>-371.75880000000001</v>
      </c>
      <c r="K4076">
        <v>1.108822</v>
      </c>
      <c r="L4076">
        <v>141.3408</v>
      </c>
      <c r="M4076">
        <v>-0.99992619999999999</v>
      </c>
      <c r="N4076">
        <v>0</v>
      </c>
      <c r="O4076">
        <v>-3.0084339999999999E-3</v>
      </c>
      <c r="P4076">
        <v>-0.99265040000000004</v>
      </c>
      <c r="Q4076">
        <v>0.1207898</v>
      </c>
      <c r="R4076">
        <v>-7.4266200000000001E-3</v>
      </c>
      <c r="S4076">
        <v>-3.0309750000000002</v>
      </c>
      <c r="T4076">
        <v>-8.8007929999999998E-2</v>
      </c>
      <c r="U4076">
        <v>-0.25938420000000001</v>
      </c>
      <c r="V4076">
        <v>-4.4633759999999998E-3</v>
      </c>
      <c r="W4076">
        <v>0.13246759999999999</v>
      </c>
      <c r="X4076">
        <v>0.99117730000000004</v>
      </c>
      <c r="Y4076">
        <v>-8.2234929999999998E-2</v>
      </c>
      <c r="Z4076">
        <v>-1.104287E-3</v>
      </c>
      <c r="AA4076">
        <v>0.99661239999999995</v>
      </c>
      <c r="AB4076">
        <v>29</v>
      </c>
      <c r="AC4076">
        <v>-38.012</v>
      </c>
      <c r="AD4076">
        <v>-1.1088318864340001</v>
      </c>
      <c r="AE4076">
        <v>-3.2675000000000098</v>
      </c>
      <c r="AF4076">
        <v>-3.1504595622370801</v>
      </c>
      <c r="AG4076">
        <v>-1.1088318864340001</v>
      </c>
      <c r="AH4076">
        <v>37.989569629219602</v>
      </c>
      <c r="AI4076">
        <v>91.666146728080903</v>
      </c>
      <c r="AJ4076">
        <v>94.740667864433803</v>
      </c>
      <c r="AK4076">
        <v>38.136102373197403</v>
      </c>
      <c r="AL4076">
        <v>82.387791255537493</v>
      </c>
      <c r="AM4076">
        <v>90.258007198734703</v>
      </c>
      <c r="AN4076">
        <v>1.0000000134051801</v>
      </c>
    </row>
    <row r="4077" spans="1:40" x14ac:dyDescent="0.25">
      <c r="A4077" t="str">
        <f>"20190312164552091"</f>
        <v>20190312164552091</v>
      </c>
      <c r="B4077" t="str">
        <f>"1552380352085561"</f>
        <v>1552380352085561</v>
      </c>
      <c r="C4077" t="s">
        <v>40</v>
      </c>
      <c r="D4077">
        <v>4.5151560000000002</v>
      </c>
      <c r="E4077">
        <v>0.47303539999999999</v>
      </c>
      <c r="F4077" t="s">
        <v>71</v>
      </c>
      <c r="G4077">
        <v>-409.69569999999999</v>
      </c>
      <c r="H4077" s="1">
        <v>-9.8483440000000006E-6</v>
      </c>
      <c r="I4077">
        <v>138.0932</v>
      </c>
      <c r="J4077">
        <v>-371.96429999999998</v>
      </c>
      <c r="K4077">
        <v>1.1088209999999901</v>
      </c>
      <c r="L4077">
        <v>141.34010000000001</v>
      </c>
      <c r="M4077">
        <v>-0.99992599999999998</v>
      </c>
      <c r="N4077">
        <v>0</v>
      </c>
      <c r="O4077">
        <v>-3.0862730000000001E-3</v>
      </c>
      <c r="P4077">
        <v>-0.99272190000000005</v>
      </c>
      <c r="Q4077">
        <v>0.1201979</v>
      </c>
      <c r="R4077">
        <v>-7.482201E-3</v>
      </c>
      <c r="S4077">
        <v>-3.0310670000000002</v>
      </c>
      <c r="T4077">
        <v>-8.859301E-2</v>
      </c>
      <c r="U4077">
        <v>-0.25947569999999998</v>
      </c>
      <c r="V4077">
        <v>-4.4415160000000004E-3</v>
      </c>
      <c r="W4077">
        <v>0.13187679999999999</v>
      </c>
      <c r="X4077">
        <v>0.99125620000000003</v>
      </c>
      <c r="Y4077">
        <v>-8.2184259999999995E-2</v>
      </c>
      <c r="Z4077">
        <v>-1.108581E-3</v>
      </c>
      <c r="AA4077">
        <v>0.99661650000000002</v>
      </c>
      <c r="AB4077">
        <v>29</v>
      </c>
      <c r="AC4077">
        <v>-37.731400000000001</v>
      </c>
      <c r="AD4077">
        <v>-1.1088308483439999</v>
      </c>
      <c r="AE4077">
        <v>-3.2469000000000099</v>
      </c>
      <c r="AF4077">
        <v>-3.1277457290902202</v>
      </c>
      <c r="AG4077">
        <v>-1.1088308483439999</v>
      </c>
      <c r="AH4077">
        <v>37.708914847689897</v>
      </c>
      <c r="AI4077">
        <v>91.678536605007807</v>
      </c>
      <c r="AJ4077">
        <v>94.741514065772506</v>
      </c>
      <c r="AK4077">
        <v>37.854650416909301</v>
      </c>
      <c r="AL4077">
        <v>82.421941377775795</v>
      </c>
      <c r="AM4077">
        <v>90.256723154343604</v>
      </c>
      <c r="AN4077">
        <v>1.0000000357405201</v>
      </c>
    </row>
    <row r="4078" spans="1:40" x14ac:dyDescent="0.25">
      <c r="A4078" t="str">
        <f>"20190312164552104"</f>
        <v>20190312164552104</v>
      </c>
      <c r="B4078" t="str">
        <f>"1552380352095321"</f>
        <v>1552380352095321</v>
      </c>
      <c r="C4078" t="s">
        <v>40</v>
      </c>
      <c r="D4078">
        <v>4.7105139999999999</v>
      </c>
      <c r="E4078">
        <v>0.47303909999999899</v>
      </c>
      <c r="F4078" t="s">
        <v>71</v>
      </c>
      <c r="G4078">
        <v>-408.73520000000002</v>
      </c>
      <c r="H4078" s="1">
        <v>-9.288811E-6</v>
      </c>
      <c r="I4078">
        <v>138.18109999999999</v>
      </c>
      <c r="J4078">
        <v>-372.14420000000001</v>
      </c>
      <c r="K4078">
        <v>1.108822</v>
      </c>
      <c r="L4078">
        <v>141.33949999999999</v>
      </c>
      <c r="M4078">
        <v>-0.99992590000000003</v>
      </c>
      <c r="N4078">
        <v>0</v>
      </c>
      <c r="O4078">
        <v>-3.1539839999999999E-3</v>
      </c>
      <c r="P4078">
        <v>-0.99271900000000002</v>
      </c>
      <c r="Q4078">
        <v>0.12022089999999901</v>
      </c>
      <c r="R4078">
        <v>-7.5042769999999898E-3</v>
      </c>
      <c r="S4078">
        <v>-3.0310969999999999</v>
      </c>
      <c r="T4078">
        <v>-9.1403129999999999E-2</v>
      </c>
      <c r="U4078">
        <v>-0.26040649999999999</v>
      </c>
      <c r="V4078">
        <v>-4.3961269999999997E-3</v>
      </c>
      <c r="W4078">
        <v>0.13189999999999999</v>
      </c>
      <c r="X4078">
        <v>0.9912533</v>
      </c>
      <c r="Y4078">
        <v>-8.2417499999999894E-2</v>
      </c>
      <c r="Z4078">
        <v>-1.1451740000000001E-3</v>
      </c>
      <c r="AA4078">
        <v>0.99659719999999996</v>
      </c>
      <c r="AB4078">
        <v>29</v>
      </c>
      <c r="AC4078">
        <v>-36.591000000000001</v>
      </c>
      <c r="AD4078">
        <v>-1.1088312888109999</v>
      </c>
      <c r="AE4078">
        <v>-3.1583999999999999</v>
      </c>
      <c r="AF4078">
        <v>-3.0401977288209499</v>
      </c>
      <c r="AG4078">
        <v>-1.1088312888109999</v>
      </c>
      <c r="AH4078">
        <v>36.567448826736602</v>
      </c>
      <c r="AI4078">
        <v>91.730874204200205</v>
      </c>
      <c r="AJ4078">
        <v>94.752609655181999</v>
      </c>
      <c r="AK4078">
        <v>36.710361245203998</v>
      </c>
      <c r="AL4078">
        <v>82.420600284377599</v>
      </c>
      <c r="AM4078">
        <v>90.254100412032997</v>
      </c>
      <c r="AN4078">
        <v>1.0000000203467401</v>
      </c>
    </row>
    <row r="4079" spans="1:40" x14ac:dyDescent="0.25">
      <c r="A4079" t="str">
        <f>"20190312164552123"</f>
        <v>20190312164552123</v>
      </c>
      <c r="B4079" t="str">
        <f>"1552380352115819"</f>
        <v>1552380352115819</v>
      </c>
      <c r="C4079" t="s">
        <v>40</v>
      </c>
      <c r="D4079">
        <v>4.3552169999999997</v>
      </c>
      <c r="E4079">
        <v>0.47307329999999997</v>
      </c>
      <c r="F4079" t="s">
        <v>71</v>
      </c>
      <c r="G4079">
        <v>-408.57619999999997</v>
      </c>
      <c r="H4079" s="1">
        <v>-9.2024110000000003E-6</v>
      </c>
      <c r="I4079">
        <v>138.2098</v>
      </c>
      <c r="J4079">
        <v>-372.39609999999999</v>
      </c>
      <c r="K4079">
        <v>1.1088229999999999</v>
      </c>
      <c r="L4079">
        <v>141.33860000000001</v>
      </c>
      <c r="M4079">
        <v>-0.99992559999999997</v>
      </c>
      <c r="N4079">
        <v>0</v>
      </c>
      <c r="O4079">
        <v>-3.248992E-3</v>
      </c>
      <c r="P4079">
        <v>-0.99279790000000001</v>
      </c>
      <c r="Q4079">
        <v>0.1195657</v>
      </c>
      <c r="R4079">
        <v>-7.5357879999999999E-3</v>
      </c>
      <c r="S4079">
        <v>-3.0311889999999999</v>
      </c>
      <c r="T4079">
        <v>-9.2256190000000002E-2</v>
      </c>
      <c r="U4079">
        <v>-0.26039119999999999</v>
      </c>
      <c r="V4079">
        <v>-4.3331680000000001E-3</v>
      </c>
      <c r="W4079">
        <v>0.13124620000000001</v>
      </c>
      <c r="X4079">
        <v>0.99134029999999995</v>
      </c>
      <c r="Y4079">
        <v>-8.2314680000000001E-2</v>
      </c>
      <c r="Z4079">
        <v>-1.151376E-3</v>
      </c>
      <c r="AA4079">
        <v>0.99660570000000004</v>
      </c>
      <c r="AB4079">
        <v>29</v>
      </c>
      <c r="AC4079">
        <v>-36.180099999999896</v>
      </c>
      <c r="AD4079">
        <v>-1.108832202411</v>
      </c>
      <c r="AE4079">
        <v>-3.1288000000000098</v>
      </c>
      <c r="AF4079">
        <v>-3.0084217469525401</v>
      </c>
      <c r="AG4079">
        <v>-1.108832202411</v>
      </c>
      <c r="AH4079">
        <v>36.156366533226297</v>
      </c>
      <c r="AI4079">
        <v>91.750533166385296</v>
      </c>
      <c r="AJ4079">
        <v>94.756388576015297</v>
      </c>
      <c r="AK4079">
        <v>36.298249973595802</v>
      </c>
      <c r="AL4079">
        <v>82.458388367206993</v>
      </c>
      <c r="AM4079">
        <v>90.250439387152497</v>
      </c>
      <c r="AN4079">
        <v>0.99999996588172202</v>
      </c>
    </row>
    <row r="4080" spans="1:40" x14ac:dyDescent="0.25">
      <c r="A4080" t="str">
        <f>"20190312164552138"</f>
        <v>20190312164552138</v>
      </c>
      <c r="B4080" t="str">
        <f>"1552380352125577"</f>
        <v>1552380352125577</v>
      </c>
      <c r="C4080" t="s">
        <v>40</v>
      </c>
      <c r="D4080">
        <v>4.4370159999999998</v>
      </c>
      <c r="E4080">
        <v>0.48823420000000001</v>
      </c>
      <c r="F4080" t="s">
        <v>71</v>
      </c>
      <c r="G4080">
        <v>-407.7715</v>
      </c>
      <c r="H4080" s="1">
        <v>-8.7403929999999994E-6</v>
      </c>
      <c r="I4080">
        <v>138.29900000000001</v>
      </c>
      <c r="J4080">
        <v>-372.57339999999999</v>
      </c>
      <c r="K4080">
        <v>1.108822</v>
      </c>
      <c r="L4080">
        <v>141.33789999999999</v>
      </c>
      <c r="M4080">
        <v>-0.99992530000000002</v>
      </c>
      <c r="N4080">
        <v>0</v>
      </c>
      <c r="O4080">
        <v>-3.3161050000000002E-3</v>
      </c>
      <c r="P4080">
        <v>-0.99284099999999997</v>
      </c>
      <c r="Q4080">
        <v>0.1192228</v>
      </c>
      <c r="R4080">
        <v>-7.2703869999999997E-3</v>
      </c>
      <c r="S4080">
        <v>-3.0312190000000001</v>
      </c>
      <c r="T4080">
        <v>-9.5012899999999997E-2</v>
      </c>
      <c r="U4080">
        <v>-0.26045230000000003</v>
      </c>
      <c r="V4080">
        <v>-4.0005639999999999E-3</v>
      </c>
      <c r="W4080">
        <v>0.13090399999999999</v>
      </c>
      <c r="X4080">
        <v>0.99138700000000002</v>
      </c>
      <c r="Y4080">
        <v>-8.2264710000000005E-2</v>
      </c>
      <c r="Z4080">
        <v>-1.1828699999999999E-3</v>
      </c>
      <c r="AA4080">
        <v>0.99660979999999999</v>
      </c>
      <c r="AB4080">
        <v>29</v>
      </c>
      <c r="AC4080">
        <v>-35.198099999999997</v>
      </c>
      <c r="AD4080">
        <v>-1.108830740393</v>
      </c>
      <c r="AE4080">
        <v>-3.03889999999998</v>
      </c>
      <c r="AF4080">
        <v>-2.91927892352847</v>
      </c>
      <c r="AG4080">
        <v>-1.108830740393</v>
      </c>
      <c r="AH4080">
        <v>35.173336276837396</v>
      </c>
      <c r="AI4080">
        <v>91.799454269099897</v>
      </c>
      <c r="AJ4080">
        <v>94.744499586243407</v>
      </c>
      <c r="AK4080">
        <v>35.3116875819846</v>
      </c>
      <c r="AL4080">
        <v>82.478166043299396</v>
      </c>
      <c r="AM4080">
        <v>90.231205562224702</v>
      </c>
      <c r="AN4080">
        <v>1.0000000227486501</v>
      </c>
    </row>
    <row r="4081" spans="1:40" x14ac:dyDescent="0.25">
      <c r="A4081" t="str">
        <f>"20190312164552157"</f>
        <v>20190312164552157</v>
      </c>
      <c r="B4081" t="str">
        <f>"1552380352146057"</f>
        <v>1552380352146057</v>
      </c>
      <c r="C4081" t="s">
        <v>40</v>
      </c>
      <c r="D4081">
        <v>4.5392130000000002</v>
      </c>
      <c r="E4081">
        <v>0.49612469999999997</v>
      </c>
      <c r="F4081" t="s">
        <v>42</v>
      </c>
      <c r="G4081">
        <v>-393.22550000000001</v>
      </c>
      <c r="H4081" s="1">
        <v>-3.089883E-6</v>
      </c>
      <c r="I4081">
        <v>140.37280000000001</v>
      </c>
      <c r="J4081">
        <v>-372.82749999999999</v>
      </c>
      <c r="K4081">
        <v>1.108819</v>
      </c>
      <c r="L4081">
        <v>141.33699999999999</v>
      </c>
      <c r="M4081">
        <v>-0.99992490000000001</v>
      </c>
      <c r="N4081">
        <v>0</v>
      </c>
      <c r="O4081">
        <v>-3.4123040000000001E-3</v>
      </c>
      <c r="P4081">
        <v>-0.9928631</v>
      </c>
      <c r="Q4081">
        <v>0.1190436</v>
      </c>
      <c r="R4081">
        <v>-7.1980059999999998E-3</v>
      </c>
      <c r="S4081">
        <v>-3.0401919999999998</v>
      </c>
      <c r="T4081">
        <v>-0.1632305</v>
      </c>
      <c r="U4081">
        <v>-0.142059299999999</v>
      </c>
      <c r="V4081">
        <v>-3.8328360000000001E-3</v>
      </c>
      <c r="W4081">
        <v>0.1307248</v>
      </c>
      <c r="X4081">
        <v>0.9914113</v>
      </c>
      <c r="Y4081">
        <v>-4.3209879999999999E-2</v>
      </c>
      <c r="Z4081">
        <v>-9.7553579999999998E-4</v>
      </c>
      <c r="AA4081">
        <v>0.99906550000000005</v>
      </c>
      <c r="AB4081">
        <v>29</v>
      </c>
      <c r="AC4081">
        <v>-20.398</v>
      </c>
      <c r="AD4081">
        <v>-1.1088220898829999</v>
      </c>
      <c r="AE4081">
        <v>-0.96420000000000505</v>
      </c>
      <c r="AF4081">
        <v>-0.89195558775834205</v>
      </c>
      <c r="AG4081">
        <v>-1.1088220898829999</v>
      </c>
      <c r="AH4081">
        <v>20.341198595372799</v>
      </c>
      <c r="AI4081">
        <v>93.117181178749505</v>
      </c>
      <c r="AJ4081">
        <v>92.510794688919205</v>
      </c>
      <c r="AK4081">
        <v>20.390915415791</v>
      </c>
      <c r="AL4081">
        <v>82.488522381034102</v>
      </c>
      <c r="AM4081">
        <v>90.221506686762893</v>
      </c>
      <c r="AN4081">
        <v>1.0000000148672601</v>
      </c>
    </row>
    <row r="4082" spans="1:40" x14ac:dyDescent="0.25">
      <c r="A4082" t="str">
        <f>"20190312164552182"</f>
        <v>20190312164552182</v>
      </c>
      <c r="B4082" t="str">
        <f>"1552380352175337"</f>
        <v>1552380352175337</v>
      </c>
      <c r="C4082" t="s">
        <v>40</v>
      </c>
      <c r="D4082">
        <v>4.5797879999999997</v>
      </c>
      <c r="E4082">
        <v>0.50018699999999905</v>
      </c>
      <c r="F4082" t="s">
        <v>42</v>
      </c>
      <c r="G4082">
        <v>-391.71050000000002</v>
      </c>
      <c r="H4082" s="1">
        <v>-3.8644779999999998E-6</v>
      </c>
      <c r="I4082">
        <v>140.8415</v>
      </c>
      <c r="J4082">
        <v>-373.13200000000001</v>
      </c>
      <c r="K4082">
        <v>1.108822</v>
      </c>
      <c r="L4082">
        <v>141.33580000000001</v>
      </c>
      <c r="M4082">
        <v>-0.9999247</v>
      </c>
      <c r="N4082">
        <v>0</v>
      </c>
      <c r="O4082">
        <v>-3.5276970000000002E-3</v>
      </c>
      <c r="P4082">
        <v>-0.99286719999999895</v>
      </c>
      <c r="Q4082">
        <v>0.1190131</v>
      </c>
      <c r="R4082">
        <v>-7.1313359999999899E-3</v>
      </c>
      <c r="S4082">
        <v>-3.042389</v>
      </c>
      <c r="T4082">
        <v>-0.1786507</v>
      </c>
      <c r="U4082">
        <v>-7.9818730000000004E-2</v>
      </c>
      <c r="V4082">
        <v>-3.6517899999999998E-3</v>
      </c>
      <c r="W4082">
        <v>0.13069449999999999</v>
      </c>
      <c r="X4082">
        <v>0.99141599999999996</v>
      </c>
      <c r="Y4082">
        <v>-2.266669E-2</v>
      </c>
      <c r="Z4082">
        <v>-4.5786710000000002E-4</v>
      </c>
      <c r="AA4082">
        <v>0.99974300000000005</v>
      </c>
      <c r="AB4082">
        <v>29</v>
      </c>
      <c r="AC4082">
        <v>-18.578499999999998</v>
      </c>
      <c r="AD4082">
        <v>-1.108825864478</v>
      </c>
      <c r="AE4082">
        <v>-0.49430000000000901</v>
      </c>
      <c r="AF4082">
        <v>-0.42723231234185999</v>
      </c>
      <c r="AG4082">
        <v>-1.108825864478</v>
      </c>
      <c r="AH4082">
        <v>18.514225479159201</v>
      </c>
      <c r="AI4082">
        <v>93.426467842943097</v>
      </c>
      <c r="AJ4082">
        <v>91.321916752947899</v>
      </c>
      <c r="AK4082">
        <v>18.552319729338201</v>
      </c>
      <c r="AL4082">
        <v>82.490273629455601</v>
      </c>
      <c r="AM4082">
        <v>90.211042799817093</v>
      </c>
      <c r="AN4082">
        <v>1.00000003647822</v>
      </c>
    </row>
    <row r="4083" spans="1:40" x14ac:dyDescent="0.25">
      <c r="A4083" t="str">
        <f>"20190312164552202"</f>
        <v>20190312164552202</v>
      </c>
      <c r="B4083" t="str">
        <f>"1552380352195833"</f>
        <v>1552380352195833</v>
      </c>
      <c r="C4083" t="s">
        <v>40</v>
      </c>
      <c r="D4083">
        <v>4.5701919999999996</v>
      </c>
      <c r="E4083">
        <v>0.50098039999999999</v>
      </c>
      <c r="F4083" t="s">
        <v>42</v>
      </c>
      <c r="G4083">
        <v>-394.34559999999999</v>
      </c>
      <c r="H4083" s="1">
        <v>-2.7796640000000001E-6</v>
      </c>
      <c r="I4083">
        <v>141.0129</v>
      </c>
      <c r="J4083">
        <v>-373.4117</v>
      </c>
      <c r="K4083">
        <v>1.1088180000000001</v>
      </c>
      <c r="L4083">
        <v>141.3347</v>
      </c>
      <c r="M4083">
        <v>-0.99992409999999998</v>
      </c>
      <c r="N4083">
        <v>0</v>
      </c>
      <c r="O4083">
        <v>-3.6319949999999998E-3</v>
      </c>
      <c r="P4083">
        <v>-0.99289629999999995</v>
      </c>
      <c r="Q4083">
        <v>0.1187826</v>
      </c>
      <c r="R4083">
        <v>-6.9076479999999997E-3</v>
      </c>
      <c r="S4083">
        <v>-3.0402529999999999</v>
      </c>
      <c r="T4083">
        <v>-0.1589129</v>
      </c>
      <c r="U4083">
        <v>-4.6264649999999997E-2</v>
      </c>
      <c r="V4083">
        <v>-3.3238069999999998E-3</v>
      </c>
      <c r="W4083">
        <v>0.13046479999999999</v>
      </c>
      <c r="X4083">
        <v>0.99144739999999998</v>
      </c>
      <c r="Y4083">
        <v>-1.1572850000000001E-2</v>
      </c>
      <c r="Z4083">
        <v>-1.1251640000000001E-4</v>
      </c>
      <c r="AA4083">
        <v>0.99993299999999996</v>
      </c>
      <c r="AB4083">
        <v>29</v>
      </c>
      <c r="AC4083">
        <v>-20.933899999999898</v>
      </c>
      <c r="AD4083">
        <v>-1.1088207796639999</v>
      </c>
      <c r="AE4083">
        <v>-0.32179999999999598</v>
      </c>
      <c r="AF4083">
        <v>-0.24507337725713099</v>
      </c>
      <c r="AG4083">
        <v>-1.1088207796639999</v>
      </c>
      <c r="AH4083">
        <v>20.876374294470001</v>
      </c>
      <c r="AI4083">
        <v>93.040122997957297</v>
      </c>
      <c r="AJ4083">
        <v>90.672579683308001</v>
      </c>
      <c r="AK4083">
        <v>20.907236741484098</v>
      </c>
      <c r="AL4083">
        <v>82.503548074424302</v>
      </c>
      <c r="AM4083">
        <v>90.192082201800304</v>
      </c>
      <c r="AN4083">
        <v>1.00000002934938</v>
      </c>
    </row>
    <row r="4084" spans="1:40" x14ac:dyDescent="0.25">
      <c r="A4084" t="str">
        <f>"20190312164552215"</f>
        <v>20190312164552215</v>
      </c>
      <c r="B4084" t="str">
        <f>"1552380352205594"</f>
        <v>1552380352205594</v>
      </c>
      <c r="C4084" t="s">
        <v>40</v>
      </c>
      <c r="D4084">
        <v>4.445036</v>
      </c>
      <c r="E4084">
        <v>0.50117529999999999</v>
      </c>
      <c r="F4084" t="s">
        <v>42</v>
      </c>
      <c r="G4084">
        <v>-395.23610000000002</v>
      </c>
      <c r="H4084" s="1">
        <v>-2.4087139999999999E-6</v>
      </c>
      <c r="I4084">
        <v>141.05449999999999</v>
      </c>
      <c r="J4084">
        <v>-373.57920000000001</v>
      </c>
      <c r="K4084">
        <v>1.1088169999999999</v>
      </c>
      <c r="L4084">
        <v>141.334</v>
      </c>
      <c r="M4084">
        <v>-0.99992400000000004</v>
      </c>
      <c r="N4084">
        <v>0</v>
      </c>
      <c r="O4084">
        <v>-3.6930119999999999E-3</v>
      </c>
      <c r="P4084">
        <v>-0.99290670000000003</v>
      </c>
      <c r="Q4084">
        <v>0.1186873</v>
      </c>
      <c r="R4084">
        <v>-7.0514180000000003E-3</v>
      </c>
      <c r="S4084">
        <v>-3.0396420000000002</v>
      </c>
      <c r="T4084">
        <v>-0.1544336</v>
      </c>
      <c r="U4084">
        <v>-3.9016719999999998E-2</v>
      </c>
      <c r="V4084">
        <v>-3.4065839999999998E-3</v>
      </c>
      <c r="W4084">
        <v>0.13036980000000001</v>
      </c>
      <c r="X4084">
        <v>0.9914596</v>
      </c>
      <c r="Y4084">
        <v>-9.1348339999999997E-3</v>
      </c>
      <c r="Z4084" s="1">
        <v>-4.4383409999999898E-5</v>
      </c>
      <c r="AA4084">
        <v>0.99995829999999997</v>
      </c>
      <c r="AB4084">
        <v>29</v>
      </c>
      <c r="AC4084">
        <v>-21.6569</v>
      </c>
      <c r="AD4084">
        <v>-1.108819408714</v>
      </c>
      <c r="AE4084">
        <v>-0.27950000000001202</v>
      </c>
      <c r="AF4084">
        <v>-0.19899182361295001</v>
      </c>
      <c r="AG4084">
        <v>-1.108819408714</v>
      </c>
      <c r="AH4084">
        <v>21.601169242781399</v>
      </c>
      <c r="AI4084">
        <v>92.938372080432501</v>
      </c>
      <c r="AJ4084">
        <v>90.527798704873604</v>
      </c>
      <c r="AK4084">
        <v>21.630524517040499</v>
      </c>
      <c r="AL4084">
        <v>82.509037946608004</v>
      </c>
      <c r="AM4084">
        <v>90.196863409944598</v>
      </c>
      <c r="AN4084">
        <v>1.0000000139993701</v>
      </c>
    </row>
    <row r="4085" spans="1:40" x14ac:dyDescent="0.25">
      <c r="A4085" t="str">
        <f>"20190312164552229"</f>
        <v>20190312164552229</v>
      </c>
      <c r="B4085" t="str">
        <f>"1552380352226090"</f>
        <v>1552380352226090</v>
      </c>
      <c r="C4085" t="s">
        <v>40</v>
      </c>
      <c r="D4085">
        <v>4.577305</v>
      </c>
      <c r="E4085">
        <v>0.50138660000000002</v>
      </c>
      <c r="F4085" t="s">
        <v>42</v>
      </c>
      <c r="G4085">
        <v>-395.97660000000002</v>
      </c>
      <c r="H4085" s="1">
        <v>-2.0917010000000001E-6</v>
      </c>
      <c r="I4085">
        <v>141.05699999999999</v>
      </c>
      <c r="J4085">
        <v>-373.75909999999999</v>
      </c>
      <c r="K4085">
        <v>1.1088150000000001</v>
      </c>
      <c r="L4085">
        <v>141.33330000000001</v>
      </c>
      <c r="M4085">
        <v>-0.99992380000000003</v>
      </c>
      <c r="N4085">
        <v>0</v>
      </c>
      <c r="O4085">
        <v>-3.7562839999999999E-3</v>
      </c>
      <c r="P4085">
        <v>-0.9929152</v>
      </c>
      <c r="Q4085">
        <v>0.11862060000000001</v>
      </c>
      <c r="R4085">
        <v>-6.9915219999999896E-3</v>
      </c>
      <c r="S4085">
        <v>-3.0391539999999999</v>
      </c>
      <c r="T4085">
        <v>-0.15045810000000001</v>
      </c>
      <c r="U4085">
        <v>-3.7582400000000002E-2</v>
      </c>
      <c r="V4085">
        <v>-3.2836940000000002E-3</v>
      </c>
      <c r="W4085">
        <v>0.13030349999999999</v>
      </c>
      <c r="X4085">
        <v>0.99146869999999998</v>
      </c>
      <c r="Y4085">
        <v>-8.6028479999999997E-3</v>
      </c>
      <c r="Z4085" s="1">
        <v>-2.6959069999999999E-5</v>
      </c>
      <c r="AA4085">
        <v>0.99996300000000005</v>
      </c>
      <c r="AB4085">
        <v>29</v>
      </c>
      <c r="AC4085">
        <v>-22.217500000000001</v>
      </c>
      <c r="AD4085">
        <v>-1.1088170917009901</v>
      </c>
      <c r="AE4085">
        <v>-0.276299999999992</v>
      </c>
      <c r="AF4085">
        <v>-0.19235799898629899</v>
      </c>
      <c r="AG4085">
        <v>-1.1088170917009901</v>
      </c>
      <c r="AH4085">
        <v>22.163186836750899</v>
      </c>
      <c r="AI4085">
        <v>92.863993695832406</v>
      </c>
      <c r="AJ4085">
        <v>90.497267150878201</v>
      </c>
      <c r="AK4085">
        <v>22.191740078311799</v>
      </c>
      <c r="AL4085">
        <v>82.512869112789502</v>
      </c>
      <c r="AM4085">
        <v>90.189760019158697</v>
      </c>
      <c r="AN4085">
        <v>0.99999998391911205</v>
      </c>
    </row>
    <row r="4086" spans="1:40" x14ac:dyDescent="0.25">
      <c r="A4086" t="str">
        <f>"20190312164552245"</f>
        <v>20190312164552245</v>
      </c>
      <c r="B4086" t="str">
        <f>"1552380352235849"</f>
        <v>1552380352235849</v>
      </c>
      <c r="C4086" t="s">
        <v>40</v>
      </c>
      <c r="D4086">
        <v>4.6032840000000004</v>
      </c>
      <c r="E4086">
        <v>0.50144650000000002</v>
      </c>
      <c r="F4086" t="s">
        <v>42</v>
      </c>
      <c r="G4086">
        <v>-397.7192</v>
      </c>
      <c r="H4086" s="1">
        <v>-1.343441E-6</v>
      </c>
      <c r="I4086">
        <v>141.05439999999999</v>
      </c>
      <c r="J4086">
        <v>-373.97539999999998</v>
      </c>
      <c r="K4086">
        <v>1.1088100000000001</v>
      </c>
      <c r="L4086">
        <v>141.33240000000001</v>
      </c>
      <c r="M4086">
        <v>-0.99992340000000002</v>
      </c>
      <c r="N4086">
        <v>0</v>
      </c>
      <c r="O4086">
        <v>-3.8276310000000002E-3</v>
      </c>
      <c r="P4086">
        <v>-0.99288679999999996</v>
      </c>
      <c r="Q4086">
        <v>0.118849</v>
      </c>
      <c r="R4086">
        <v>-7.1411010000000004E-3</v>
      </c>
      <c r="S4086">
        <v>-3.0379330000000002</v>
      </c>
      <c r="T4086">
        <v>-0.14058850000000001</v>
      </c>
      <c r="U4086">
        <v>-3.5354610000000002E-2</v>
      </c>
      <c r="V4086">
        <v>-3.3606529999999999E-3</v>
      </c>
      <c r="W4086">
        <v>0.13053139999999999</v>
      </c>
      <c r="X4086">
        <v>0.99143840000000005</v>
      </c>
      <c r="Y4086">
        <v>-7.8049540000000002E-3</v>
      </c>
      <c r="Z4086" s="1">
        <v>-3.450768E-6</v>
      </c>
      <c r="AA4086">
        <v>0.99996949999999996</v>
      </c>
      <c r="AB4086">
        <v>29</v>
      </c>
      <c r="AC4086">
        <v>-23.7438</v>
      </c>
      <c r="AD4086">
        <v>-1.1088113434410001</v>
      </c>
      <c r="AE4086">
        <v>-0.27800000000002001</v>
      </c>
      <c r="AF4086">
        <v>-0.186702058944272</v>
      </c>
      <c r="AG4086">
        <v>-1.1088113434410001</v>
      </c>
      <c r="AH4086">
        <v>23.6930276407947</v>
      </c>
      <c r="AI4086">
        <v>92.679350387387402</v>
      </c>
      <c r="AJ4086">
        <v>90.451483818744407</v>
      </c>
      <c r="AK4086">
        <v>23.719693906996799</v>
      </c>
      <c r="AL4086">
        <v>82.499698443030795</v>
      </c>
      <c r="AM4086">
        <v>90.194213272200102</v>
      </c>
      <c r="AN4086">
        <v>0.99999992068455001</v>
      </c>
    </row>
    <row r="4087" spans="1:40" x14ac:dyDescent="0.25">
      <c r="A4087" t="str">
        <f>"20190312164552258"</f>
        <v>20190312164552258</v>
      </c>
      <c r="B4087" t="str">
        <f>"1552380352255370"</f>
        <v>1552380352255370</v>
      </c>
      <c r="C4087" t="s">
        <v>40</v>
      </c>
      <c r="D4087">
        <v>4.4734579999999999</v>
      </c>
      <c r="E4087">
        <v>0.50154160000000003</v>
      </c>
      <c r="F4087" t="s">
        <v>42</v>
      </c>
      <c r="G4087">
        <v>-398.45499999999998</v>
      </c>
      <c r="H4087" s="1">
        <v>-1.025885E-6</v>
      </c>
      <c r="I4087">
        <v>141.0472</v>
      </c>
      <c r="J4087">
        <v>-374.13350000000003</v>
      </c>
      <c r="K4087">
        <v>1.1088070000000001</v>
      </c>
      <c r="L4087">
        <v>141.33179999999999</v>
      </c>
      <c r="M4087">
        <v>-0.99992309999999995</v>
      </c>
      <c r="N4087">
        <v>0</v>
      </c>
      <c r="O4087">
        <v>-3.8771719999999999E-3</v>
      </c>
      <c r="P4087">
        <v>-0.99289139999999998</v>
      </c>
      <c r="Q4087">
        <v>0.1188038</v>
      </c>
      <c r="R4087">
        <v>-7.2177129999999997E-3</v>
      </c>
      <c r="S4087">
        <v>-3.0377200000000002</v>
      </c>
      <c r="T4087">
        <v>-0.13759460000000001</v>
      </c>
      <c r="U4087">
        <v>-3.5385130000000001E-2</v>
      </c>
      <c r="V4087">
        <v>-3.38762E-3</v>
      </c>
      <c r="W4087">
        <v>0.13048650000000001</v>
      </c>
      <c r="X4087">
        <v>0.99144429999999995</v>
      </c>
      <c r="Y4087">
        <v>-7.76654199999999E-3</v>
      </c>
      <c r="Z4087" s="1">
        <v>-2.6526690000000002E-7</v>
      </c>
      <c r="AA4087">
        <v>0.99996980000000002</v>
      </c>
      <c r="AB4087">
        <v>29</v>
      </c>
      <c r="AC4087">
        <v>-24.321499999999901</v>
      </c>
      <c r="AD4087">
        <v>-1.1088080258849999</v>
      </c>
      <c r="AE4087">
        <v>-0.28459999999998298</v>
      </c>
      <c r="AF4087">
        <v>-0.18989804590421799</v>
      </c>
      <c r="AG4087">
        <v>-1.1088080258849999</v>
      </c>
      <c r="AH4087">
        <v>24.2719803762071</v>
      </c>
      <c r="AI4087">
        <v>92.615523766190094</v>
      </c>
      <c r="AJ4087">
        <v>90.448259038112298</v>
      </c>
      <c r="AK4087">
        <v>24.298035885418599</v>
      </c>
      <c r="AL4087">
        <v>82.502293824604294</v>
      </c>
      <c r="AM4087">
        <v>90.195770527147502</v>
      </c>
      <c r="AN4087">
        <v>1.0000000013270001</v>
      </c>
    </row>
    <row r="4088" spans="1:40" x14ac:dyDescent="0.25">
      <c r="A4088" t="str">
        <f>"20190312164552280"</f>
        <v>20190312164552280</v>
      </c>
      <c r="B4088" t="str">
        <f>"1552380352275866"</f>
        <v>1552380352275866</v>
      </c>
      <c r="C4088" t="s">
        <v>40</v>
      </c>
      <c r="D4088">
        <v>4.6345700000000001</v>
      </c>
      <c r="E4088">
        <v>0.5016427</v>
      </c>
      <c r="F4088" t="s">
        <v>42</v>
      </c>
      <c r="G4088">
        <v>-399.4796</v>
      </c>
      <c r="H4088" s="1">
        <v>-5.8510179999999998E-7</v>
      </c>
      <c r="I4088">
        <v>141.04259999999999</v>
      </c>
      <c r="J4088">
        <v>-374.41250000000002</v>
      </c>
      <c r="K4088">
        <v>1.1087990000000001</v>
      </c>
      <c r="L4088">
        <v>141.3306</v>
      </c>
      <c r="M4088">
        <v>-0.9999228</v>
      </c>
      <c r="N4088">
        <v>0</v>
      </c>
      <c r="O4088">
        <v>-3.9582489999999996E-3</v>
      </c>
      <c r="P4088">
        <v>-0.9928555</v>
      </c>
      <c r="Q4088">
        <v>0.11909930000000001</v>
      </c>
      <c r="R4088">
        <v>-7.2986090000000002E-3</v>
      </c>
      <c r="S4088">
        <v>-3.0370789999999999</v>
      </c>
      <c r="T4088">
        <v>-0.13286199999999901</v>
      </c>
      <c r="U4088">
        <v>-3.463745E-2</v>
      </c>
      <c r="V4088">
        <v>-3.3855959999999998E-3</v>
      </c>
      <c r="W4088">
        <v>0.13078199999999901</v>
      </c>
      <c r="X4088">
        <v>0.99140539999999999</v>
      </c>
      <c r="Y4088">
        <v>-7.4424290000000004E-3</v>
      </c>
      <c r="Z4088" s="1">
        <v>1.037488E-5</v>
      </c>
      <c r="AA4088">
        <v>0.99997230000000004</v>
      </c>
      <c r="AB4088">
        <v>29</v>
      </c>
      <c r="AC4088">
        <v>-25.0670999999999</v>
      </c>
      <c r="AD4088">
        <v>-1.10879958510179</v>
      </c>
      <c r="AE4088">
        <v>-0.28800000000001003</v>
      </c>
      <c r="AF4088">
        <v>-0.18840046476698699</v>
      </c>
      <c r="AG4088">
        <v>-1.10879958510179</v>
      </c>
      <c r="AH4088">
        <v>25.019098212869299</v>
      </c>
      <c r="AI4088">
        <v>92.537509331299105</v>
      </c>
      <c r="AJ4088">
        <v>90.431444305860893</v>
      </c>
      <c r="AK4088">
        <v>25.044364768151901</v>
      </c>
      <c r="AL4088">
        <v>82.485216800722796</v>
      </c>
      <c r="AM4088">
        <v>90.195661237960294</v>
      </c>
      <c r="AN4088">
        <v>1.00000003046671</v>
      </c>
    </row>
    <row r="4089" spans="1:40" x14ac:dyDescent="0.25">
      <c r="A4089" t="str">
        <f>"20190312164552303"</f>
        <v>20190312164552303</v>
      </c>
      <c r="B4089" t="str">
        <f>"1552380352295390"</f>
        <v>1552380352295390</v>
      </c>
      <c r="C4089" t="s">
        <v>40</v>
      </c>
      <c r="D4089">
        <v>4.5339809999999998</v>
      </c>
      <c r="E4089">
        <v>0.50170559999999997</v>
      </c>
      <c r="F4089" t="s">
        <v>42</v>
      </c>
      <c r="G4089">
        <v>-399.25200000000001</v>
      </c>
      <c r="H4089" s="1">
        <v>-6.8460419999999996E-7</v>
      </c>
      <c r="I4089">
        <v>141.04949999999999</v>
      </c>
      <c r="J4089">
        <v>-374.70490000000001</v>
      </c>
      <c r="K4089">
        <v>1.1087929999999999</v>
      </c>
      <c r="L4089">
        <v>141.32929999999999</v>
      </c>
      <c r="M4089">
        <v>-0.99992259999999999</v>
      </c>
      <c r="N4089">
        <v>0</v>
      </c>
      <c r="O4089">
        <v>-4.0325140000000001E-3</v>
      </c>
      <c r="P4089">
        <v>-0.99285029999999996</v>
      </c>
      <c r="Q4089">
        <v>0.1191311</v>
      </c>
      <c r="R4089">
        <v>-7.5205710000000002E-3</v>
      </c>
      <c r="S4089">
        <v>-3.0376280000000002</v>
      </c>
      <c r="T4089">
        <v>-0.13559589999999999</v>
      </c>
      <c r="U4089">
        <v>-3.4362789999999997E-2</v>
      </c>
      <c r="V4089">
        <v>-3.5311850000000001E-3</v>
      </c>
      <c r="W4089">
        <v>0.13081409999999999</v>
      </c>
      <c r="X4089">
        <v>0.99140059999999997</v>
      </c>
      <c r="Y4089">
        <v>-7.275798E-3</v>
      </c>
      <c r="Z4089" s="1">
        <v>1.7616829999999999E-5</v>
      </c>
      <c r="AA4089">
        <v>0.99997349999999996</v>
      </c>
      <c r="AB4089">
        <v>29</v>
      </c>
      <c r="AC4089">
        <v>-24.547099999999901</v>
      </c>
      <c r="AD4089">
        <v>-1.1087936846041999</v>
      </c>
      <c r="AE4089">
        <v>-0.279799999999994</v>
      </c>
      <c r="AF4089">
        <v>-0.18043624094088301</v>
      </c>
      <c r="AG4089">
        <v>-1.1087936846041999</v>
      </c>
      <c r="AH4089">
        <v>24.498051070462999</v>
      </c>
      <c r="AI4089">
        <v>92.591396020103403</v>
      </c>
      <c r="AJ4089">
        <v>90.421994717469104</v>
      </c>
      <c r="AK4089">
        <v>24.523794301108399</v>
      </c>
      <c r="AL4089">
        <v>82.483361240879802</v>
      </c>
      <c r="AM4089">
        <v>90.2040760733843</v>
      </c>
      <c r="AN4089">
        <v>0.99999997385333605</v>
      </c>
    </row>
    <row r="4090" spans="1:40" x14ac:dyDescent="0.25">
      <c r="A4090" t="str">
        <f>"20190312164552315"</f>
        <v>20190312164552315</v>
      </c>
      <c r="B4090" t="str">
        <f>"1552380352306122"</f>
        <v>1552380352306122</v>
      </c>
      <c r="C4090" t="s">
        <v>40</v>
      </c>
      <c r="D4090">
        <v>4.5775829999999997</v>
      </c>
      <c r="E4090">
        <v>0.50171049999999995</v>
      </c>
      <c r="F4090" t="s">
        <v>71</v>
      </c>
      <c r="G4090">
        <v>-400.35599999999999</v>
      </c>
      <c r="H4090" s="1">
        <v>-6.1089470000000003E-6</v>
      </c>
      <c r="I4090">
        <v>141.03989999999999</v>
      </c>
      <c r="J4090">
        <v>-374.87209999999999</v>
      </c>
      <c r="K4090">
        <v>1.1087880000000001</v>
      </c>
      <c r="L4090">
        <v>141.32859999999999</v>
      </c>
      <c r="M4090">
        <v>-0.99992250000000005</v>
      </c>
      <c r="N4090">
        <v>0</v>
      </c>
      <c r="O4090">
        <v>-4.0695169999999999E-3</v>
      </c>
      <c r="P4090">
        <v>-0.99285520000000005</v>
      </c>
      <c r="Q4090">
        <v>0.11907420000000001</v>
      </c>
      <c r="R4090">
        <v>-7.7588869999999999E-3</v>
      </c>
      <c r="S4090">
        <v>-3.0371090000000001</v>
      </c>
      <c r="T4090">
        <v>-0.13128299999999901</v>
      </c>
      <c r="U4090">
        <v>-3.4271240000000001E-2</v>
      </c>
      <c r="V4090">
        <v>-3.7311800000000002E-3</v>
      </c>
      <c r="W4090">
        <v>0.13075690000000001</v>
      </c>
      <c r="X4090">
        <v>0.9914075</v>
      </c>
      <c r="Y4090">
        <v>-7.2108800000000002E-3</v>
      </c>
      <c r="Z4090" s="1">
        <v>2.0061170000000002E-5</v>
      </c>
      <c r="AA4090">
        <v>0.99997400000000003</v>
      </c>
      <c r="AB4090">
        <v>29</v>
      </c>
      <c r="AC4090">
        <v>-25.483899999999998</v>
      </c>
      <c r="AD4090">
        <v>-1.1087941089469999</v>
      </c>
      <c r="AE4090">
        <v>-0.28870000000000501</v>
      </c>
      <c r="AF4090">
        <v>-0.18463378328396801</v>
      </c>
      <c r="AG4090">
        <v>-1.1087941089469999</v>
      </c>
      <c r="AH4090">
        <v>25.436716223866298</v>
      </c>
      <c r="AI4090">
        <v>92.495894521891998</v>
      </c>
      <c r="AJ4090">
        <v>90.415877217190996</v>
      </c>
      <c r="AK4090">
        <v>25.461540532015501</v>
      </c>
      <c r="AL4090">
        <v>82.486667603042406</v>
      </c>
      <c r="AM4090">
        <v>90.215632681088806</v>
      </c>
      <c r="AN4090">
        <v>1.00000005982902</v>
      </c>
    </row>
    <row r="4091" spans="1:40" x14ac:dyDescent="0.25">
      <c r="A4091" t="str">
        <f>"20190312164552330"</f>
        <v>20190312164552330</v>
      </c>
      <c r="B4091" t="str">
        <f>"1552380352325642"</f>
        <v>1552380352325642</v>
      </c>
      <c r="C4091" t="s">
        <v>40</v>
      </c>
      <c r="D4091">
        <v>4.6683579999999996</v>
      </c>
      <c r="E4091">
        <v>0.50181690000000001</v>
      </c>
      <c r="F4091" t="s">
        <v>71</v>
      </c>
      <c r="G4091">
        <v>-400.78440000000001</v>
      </c>
      <c r="H4091" s="1">
        <v>-6.2955509999999996E-6</v>
      </c>
      <c r="I4091">
        <v>141.0316</v>
      </c>
      <c r="J4091">
        <v>-375.05399999999997</v>
      </c>
      <c r="K4091">
        <v>1.1087819999999999</v>
      </c>
      <c r="L4091">
        <v>141.3278</v>
      </c>
      <c r="M4091">
        <v>-0.99992219999999998</v>
      </c>
      <c r="N4091">
        <v>0</v>
      </c>
      <c r="O4091">
        <v>-4.1062759999999998E-3</v>
      </c>
      <c r="P4091">
        <v>-0.99286739999999996</v>
      </c>
      <c r="Q4091">
        <v>0.11895849999999999</v>
      </c>
      <c r="R4091">
        <v>-7.9544799999999999E-3</v>
      </c>
      <c r="S4091">
        <v>-3.0369259999999998</v>
      </c>
      <c r="T4091">
        <v>-0.12995090000000001</v>
      </c>
      <c r="U4091">
        <v>-3.4805299999999997E-2</v>
      </c>
      <c r="V4091">
        <v>-3.8881900000000001E-3</v>
      </c>
      <c r="W4091">
        <v>0.13064210000000001</v>
      </c>
      <c r="X4091">
        <v>0.99142200000000003</v>
      </c>
      <c r="Y4091">
        <v>-7.3505910000000001E-3</v>
      </c>
      <c r="Z4091" s="1">
        <v>1.8443550000000001E-5</v>
      </c>
      <c r="AA4091">
        <v>0.999973</v>
      </c>
      <c r="AB4091">
        <v>29</v>
      </c>
      <c r="AC4091">
        <v>-25.7303999999999</v>
      </c>
      <c r="AD4091">
        <v>-1.108788295551</v>
      </c>
      <c r="AE4091">
        <v>-0.29619999999999802</v>
      </c>
      <c r="AF4091">
        <v>-0.19018093580398099</v>
      </c>
      <c r="AG4091">
        <v>-1.108788295551</v>
      </c>
      <c r="AH4091">
        <v>25.683711919255298</v>
      </c>
      <c r="AI4091">
        <v>92.471906275414895</v>
      </c>
      <c r="AJ4091">
        <v>90.424251987145695</v>
      </c>
      <c r="AK4091">
        <v>25.708337912513802</v>
      </c>
      <c r="AL4091">
        <v>82.493301837126097</v>
      </c>
      <c r="AM4091">
        <v>90.224703239181807</v>
      </c>
      <c r="AN4091">
        <v>1.0000000291989399</v>
      </c>
    </row>
    <row r="4092" spans="1:40" x14ac:dyDescent="0.25">
      <c r="A4092" t="str">
        <f>"20190312164552347"</f>
        <v>20190312164552347</v>
      </c>
      <c r="B4092" t="str">
        <f>"1552380352335401"</f>
        <v>1552380352335401</v>
      </c>
      <c r="C4092" t="s">
        <v>40</v>
      </c>
      <c r="D4092">
        <v>4.611116</v>
      </c>
      <c r="E4092">
        <v>0.50183029999999995</v>
      </c>
      <c r="F4092" t="s">
        <v>71</v>
      </c>
      <c r="G4092">
        <v>-401.53859999999997</v>
      </c>
      <c r="H4092" s="1">
        <v>-6.6285029999999899E-6</v>
      </c>
      <c r="I4092">
        <v>141.02799999999999</v>
      </c>
      <c r="J4092">
        <v>-375.27910000000003</v>
      </c>
      <c r="K4092">
        <v>1.1087670000000001</v>
      </c>
      <c r="L4092">
        <v>141.32689999999999</v>
      </c>
      <c r="M4092">
        <v>-0.99992199999999998</v>
      </c>
      <c r="N4092">
        <v>0</v>
      </c>
      <c r="O4092">
        <v>-4.1430069999999998E-3</v>
      </c>
      <c r="P4092">
        <v>-0.99292919999999996</v>
      </c>
      <c r="Q4092">
        <v>0.11842320000000001</v>
      </c>
      <c r="R4092">
        <v>-8.2288640000000007E-3</v>
      </c>
      <c r="S4092">
        <v>-3.0364990000000001</v>
      </c>
      <c r="T4092">
        <v>-0.1271244</v>
      </c>
      <c r="U4092">
        <v>-3.437805E-2</v>
      </c>
      <c r="V4092">
        <v>-4.1239090000000003E-3</v>
      </c>
      <c r="W4092">
        <v>0.13010730000000001</v>
      </c>
      <c r="X4092">
        <v>0.99149129999999996</v>
      </c>
      <c r="Y4092">
        <v>-7.1751019999999896E-3</v>
      </c>
      <c r="Z4092" s="1">
        <v>2.3254090000000001E-5</v>
      </c>
      <c r="AA4092">
        <v>0.99997429999999998</v>
      </c>
      <c r="AB4092">
        <v>29</v>
      </c>
      <c r="AC4092">
        <v>-26.2594999999999</v>
      </c>
      <c r="AD4092">
        <v>-1.1087736285030001</v>
      </c>
      <c r="AE4092">
        <v>-0.298900000000003</v>
      </c>
      <c r="AF4092">
        <v>-0.189758324145332</v>
      </c>
      <c r="AG4092">
        <v>-1.1087736285030001</v>
      </c>
      <c r="AH4092">
        <v>26.213784050418202</v>
      </c>
      <c r="AI4092">
        <v>92.4219526304895</v>
      </c>
      <c r="AJ4092">
        <v>90.414749781166293</v>
      </c>
      <c r="AK4092">
        <v>26.23790886147</v>
      </c>
      <c r="AL4092">
        <v>82.524206862481606</v>
      </c>
      <c r="AM4092">
        <v>90.238308917350395</v>
      </c>
      <c r="AN4092">
        <v>0.99999995705720901</v>
      </c>
    </row>
    <row r="4093" spans="1:40" x14ac:dyDescent="0.25">
      <c r="A4093" t="str">
        <f>"20190312164552371"</f>
        <v>20190312164552371</v>
      </c>
      <c r="B4093" t="str">
        <f>"1552380352365658"</f>
        <v>1552380352365658</v>
      </c>
      <c r="C4093" t="s">
        <v>40</v>
      </c>
      <c r="D4093">
        <v>4.5943699999999996</v>
      </c>
      <c r="E4093">
        <v>0.50188549999999998</v>
      </c>
      <c r="F4093" t="s">
        <v>71</v>
      </c>
      <c r="G4093">
        <v>-401.6431</v>
      </c>
      <c r="H4093" s="1">
        <v>-6.6729150000000003E-6</v>
      </c>
      <c r="I4093">
        <v>141.0232</v>
      </c>
      <c r="J4093">
        <v>-375.56990000000002</v>
      </c>
      <c r="K4093">
        <v>1.1087530000000001</v>
      </c>
      <c r="L4093">
        <v>141.32560000000001</v>
      </c>
      <c r="M4093">
        <v>-0.99992199999999998</v>
      </c>
      <c r="N4093">
        <v>0</v>
      </c>
      <c r="O4093">
        <v>-4.1785059999999898E-3</v>
      </c>
      <c r="P4093">
        <v>-0.99293100000000001</v>
      </c>
      <c r="Q4093">
        <v>0.1183718</v>
      </c>
      <c r="R4093">
        <v>-8.7334730000000003E-3</v>
      </c>
      <c r="S4093">
        <v>-3.0363159999999998</v>
      </c>
      <c r="T4093">
        <v>-0.127695899999999</v>
      </c>
      <c r="U4093">
        <v>-3.497314E-2</v>
      </c>
      <c r="V4093">
        <v>-4.5896280000000001E-3</v>
      </c>
      <c r="W4093">
        <v>0.13005630000000001</v>
      </c>
      <c r="X4093">
        <v>0.99149600000000004</v>
      </c>
      <c r="Y4093">
        <v>-7.3361090000000004E-3</v>
      </c>
      <c r="Z4093" s="1">
        <v>2.1468190000000002E-5</v>
      </c>
      <c r="AA4093">
        <v>0.99997309999999995</v>
      </c>
      <c r="AB4093">
        <v>29</v>
      </c>
      <c r="AC4093">
        <v>-26.0731999999999</v>
      </c>
      <c r="AD4093">
        <v>-1.108759672915</v>
      </c>
      <c r="AE4093">
        <v>-0.302400000000005</v>
      </c>
      <c r="AF4093">
        <v>-0.193093652924819</v>
      </c>
      <c r="AG4093">
        <v>-1.108759672915</v>
      </c>
      <c r="AH4093">
        <v>26.027175705603899</v>
      </c>
      <c r="AI4093">
        <v>92.439262645067402</v>
      </c>
      <c r="AJ4093">
        <v>90.425065267015995</v>
      </c>
      <c r="AK4093">
        <v>26.051497238766501</v>
      </c>
      <c r="AL4093">
        <v>82.5271544007486</v>
      </c>
      <c r="AM4093">
        <v>90.2652198654514</v>
      </c>
      <c r="AN4093">
        <v>1.00000001193543</v>
      </c>
    </row>
    <row r="4094" spans="1:40" x14ac:dyDescent="0.25">
      <c r="A4094" t="str">
        <f>"20190312164552392"</f>
        <v>20190312164552392</v>
      </c>
      <c r="B4094" t="str">
        <f>"1552380352386153"</f>
        <v>1552380352386153</v>
      </c>
      <c r="C4094" t="s">
        <v>40</v>
      </c>
      <c r="D4094">
        <v>4.6431740000000001</v>
      </c>
      <c r="E4094">
        <v>0.50202100000000005</v>
      </c>
      <c r="F4094" t="s">
        <v>71</v>
      </c>
      <c r="G4094">
        <v>-402.7808</v>
      </c>
      <c r="H4094" s="1">
        <v>-7.1701470000000004E-6</v>
      </c>
      <c r="I4094">
        <v>141.00559999999999</v>
      </c>
      <c r="J4094">
        <v>-375.86009999999999</v>
      </c>
      <c r="K4094">
        <v>1.1087400000000001</v>
      </c>
      <c r="L4094">
        <v>141.3244</v>
      </c>
      <c r="M4094">
        <v>-0.99992190000000003</v>
      </c>
      <c r="N4094">
        <v>0</v>
      </c>
      <c r="O4094">
        <v>-4.1992059999999996E-3</v>
      </c>
      <c r="P4094">
        <v>-0.99296660000000003</v>
      </c>
      <c r="Q4094">
        <v>0.1180363</v>
      </c>
      <c r="R4094">
        <v>-9.2182840000000002E-3</v>
      </c>
      <c r="S4094">
        <v>-3.0357970000000001</v>
      </c>
      <c r="T4094">
        <v>-0.1236998</v>
      </c>
      <c r="U4094">
        <v>-3.5705569999999999E-2</v>
      </c>
      <c r="V4094">
        <v>-5.0503429999999997E-3</v>
      </c>
      <c r="W4094">
        <v>0.12972159999999999</v>
      </c>
      <c r="X4094">
        <v>0.99153760000000002</v>
      </c>
      <c r="Y4094">
        <v>-7.5586019999999898E-3</v>
      </c>
      <c r="Z4094" s="1">
        <v>1.7112620000000001E-5</v>
      </c>
      <c r="AA4094">
        <v>0.99997139999999995</v>
      </c>
      <c r="AB4094">
        <v>29</v>
      </c>
      <c r="AC4094">
        <v>-26.9207</v>
      </c>
      <c r="AD4094">
        <v>-1.108747170147</v>
      </c>
      <c r="AE4094">
        <v>-0.31880000000001002</v>
      </c>
      <c r="AF4094">
        <v>-0.205395436083326</v>
      </c>
      <c r="AG4094">
        <v>-1.108747170147</v>
      </c>
      <c r="AH4094">
        <v>26.8762187596761</v>
      </c>
      <c r="AI4094">
        <v>92.362262365781007</v>
      </c>
      <c r="AJ4094">
        <v>90.437861539436796</v>
      </c>
      <c r="AK4094">
        <v>26.8998632411103</v>
      </c>
      <c r="AL4094">
        <v>82.5464950965127</v>
      </c>
      <c r="AM4094">
        <v>90.291830422463406</v>
      </c>
      <c r="AN4094">
        <v>1.0000000058423599</v>
      </c>
    </row>
    <row r="4095" spans="1:40" x14ac:dyDescent="0.25">
      <c r="A4095" t="str">
        <f>"20190312164552405"</f>
        <v>20190312164552405</v>
      </c>
      <c r="B4095" t="str">
        <f>"1552380352395913"</f>
        <v>1552380352395913</v>
      </c>
      <c r="C4095" t="s">
        <v>40</v>
      </c>
      <c r="D4095">
        <v>4.7869390000000003</v>
      </c>
      <c r="E4095">
        <v>0.50203240000000005</v>
      </c>
      <c r="F4095" t="s">
        <v>71</v>
      </c>
      <c r="G4095">
        <v>-403.22370000000001</v>
      </c>
      <c r="H4095" s="1">
        <v>-7.3646219999999999E-6</v>
      </c>
      <c r="I4095">
        <v>141.0008</v>
      </c>
      <c r="J4095">
        <v>-376.03960000000001</v>
      </c>
      <c r="K4095">
        <v>1.1087400000000001</v>
      </c>
      <c r="L4095">
        <v>141.3236</v>
      </c>
      <c r="M4095">
        <v>-0.99992190000000003</v>
      </c>
      <c r="N4095">
        <v>0</v>
      </c>
      <c r="O4095">
        <v>-4.2066200000000003E-3</v>
      </c>
      <c r="P4095">
        <v>-0.99294610000000005</v>
      </c>
      <c r="Q4095">
        <v>0.11818339999999899</v>
      </c>
      <c r="R4095">
        <v>-9.5415599999999993E-3</v>
      </c>
      <c r="S4095">
        <v>-3.0355219999999998</v>
      </c>
      <c r="T4095">
        <v>-0.1229966</v>
      </c>
      <c r="U4095">
        <v>-3.5888669999999998E-2</v>
      </c>
      <c r="V4095">
        <v>-5.3641779999999998E-3</v>
      </c>
      <c r="W4095">
        <v>0.1298686</v>
      </c>
      <c r="X4095">
        <v>0.99151670000000003</v>
      </c>
      <c r="Y4095">
        <v>-7.6125539999999997E-3</v>
      </c>
      <c r="Z4095" s="1">
        <v>1.6224660000000001E-5</v>
      </c>
      <c r="AA4095">
        <v>0.99997100000000005</v>
      </c>
      <c r="AB4095">
        <v>29</v>
      </c>
      <c r="AC4095">
        <v>-27.184100000000001</v>
      </c>
      <c r="AD4095">
        <v>-1.1087473646220001</v>
      </c>
      <c r="AE4095">
        <v>-0.32279999999999998</v>
      </c>
      <c r="AF4095">
        <v>-0.20808992635810999</v>
      </c>
      <c r="AG4095">
        <v>-1.1087473646220001</v>
      </c>
      <c r="AH4095">
        <v>27.140074989870602</v>
      </c>
      <c r="AI4095">
        <v>92.339322016717304</v>
      </c>
      <c r="AJ4095">
        <v>90.439292850890197</v>
      </c>
      <c r="AK4095">
        <v>27.163510314239701</v>
      </c>
      <c r="AL4095">
        <v>82.538000695840594</v>
      </c>
      <c r="AM4095">
        <v>90.309971341342603</v>
      </c>
      <c r="AN4095">
        <v>0.99999999702523201</v>
      </c>
    </row>
    <row r="4096" spans="1:40" x14ac:dyDescent="0.25">
      <c r="A4096" t="str">
        <f>"20190312164552420"</f>
        <v>20190312164552420</v>
      </c>
      <c r="B4096" t="str">
        <f>"1552380352415434"</f>
        <v>1552380352415434</v>
      </c>
      <c r="C4096" t="s">
        <v>40</v>
      </c>
      <c r="D4096">
        <v>4.8340740000000002</v>
      </c>
      <c r="E4096">
        <v>0.50207999999999997</v>
      </c>
      <c r="F4096" t="s">
        <v>71</v>
      </c>
      <c r="G4096">
        <v>-403.13639999999998</v>
      </c>
      <c r="H4096" s="1">
        <v>-7.3228139999999902E-6</v>
      </c>
      <c r="I4096">
        <v>140.9933</v>
      </c>
      <c r="J4096">
        <v>-376.221</v>
      </c>
      <c r="K4096">
        <v>1.1087340000000001</v>
      </c>
      <c r="L4096">
        <v>141.3228</v>
      </c>
      <c r="M4096">
        <v>-0.99992170000000002</v>
      </c>
      <c r="N4096">
        <v>0</v>
      </c>
      <c r="O4096">
        <v>-4.2103519999999997E-3</v>
      </c>
      <c r="P4096">
        <v>-0.99296130000000005</v>
      </c>
      <c r="Q4096">
        <v>0.1180401</v>
      </c>
      <c r="R4096">
        <v>-9.7164880000000006E-3</v>
      </c>
      <c r="S4096">
        <v>-3.035736</v>
      </c>
      <c r="T4096">
        <v>-0.1242163</v>
      </c>
      <c r="U4096">
        <v>-3.7002559999999997E-2</v>
      </c>
      <c r="V4096">
        <v>-5.5340140000000003E-3</v>
      </c>
      <c r="W4096">
        <v>0.1297258</v>
      </c>
      <c r="X4096">
        <v>0.99153449999999999</v>
      </c>
      <c r="Y4096">
        <v>-7.9744989999999995E-3</v>
      </c>
      <c r="Z4096" s="1">
        <v>9.1352410000000007E-6</v>
      </c>
      <c r="AA4096">
        <v>0.99996819999999997</v>
      </c>
      <c r="AB4096">
        <v>29</v>
      </c>
      <c r="AC4096">
        <v>-26.915399999999899</v>
      </c>
      <c r="AD4096">
        <v>-1.108741322814</v>
      </c>
      <c r="AE4096">
        <v>-0.32949999999999502</v>
      </c>
      <c r="AF4096">
        <v>-0.21579976369478199</v>
      </c>
      <c r="AG4096">
        <v>-1.108741322814</v>
      </c>
      <c r="AH4096">
        <v>26.870958044677799</v>
      </c>
      <c r="AI4096">
        <v>92.362704683550305</v>
      </c>
      <c r="AJ4096">
        <v>90.460130593377599</v>
      </c>
      <c r="AK4096">
        <v>26.8946883807521</v>
      </c>
      <c r="AL4096">
        <v>82.546252634040897</v>
      </c>
      <c r="AM4096">
        <v>90.319779446579204</v>
      </c>
      <c r="AN4096">
        <v>1.0000000365934201</v>
      </c>
    </row>
    <row r="4097" spans="1:40" x14ac:dyDescent="0.25">
      <c r="A4097" t="str">
        <f>"20190312164552435"</f>
        <v>20190312164552435</v>
      </c>
      <c r="B4097" t="str">
        <f>"1552380352426171"</f>
        <v>1552380352426171</v>
      </c>
      <c r="C4097" t="s">
        <v>40</v>
      </c>
      <c r="D4097">
        <v>4.695106</v>
      </c>
      <c r="E4097">
        <v>0.50207999999999997</v>
      </c>
      <c r="F4097" t="s">
        <v>71</v>
      </c>
      <c r="G4097">
        <v>-403.60390000000001</v>
      </c>
      <c r="H4097" s="1">
        <v>-7.5281909999999997E-6</v>
      </c>
      <c r="I4097">
        <v>140.98859999999999</v>
      </c>
      <c r="J4097">
        <v>-376.42099999999999</v>
      </c>
      <c r="K4097">
        <v>1.108733</v>
      </c>
      <c r="L4097">
        <v>141.322</v>
      </c>
      <c r="M4097">
        <v>-0.99992190000000003</v>
      </c>
      <c r="N4097">
        <v>0</v>
      </c>
      <c r="O4097">
        <v>-4.2120660000000004E-3</v>
      </c>
      <c r="P4097">
        <v>-0.99294839999999995</v>
      </c>
      <c r="Q4097">
        <v>0.118134</v>
      </c>
      <c r="R4097">
        <v>-9.9071390000000006E-3</v>
      </c>
      <c r="S4097">
        <v>-3.0355530000000002</v>
      </c>
      <c r="T4097">
        <v>-0.12291059999999999</v>
      </c>
      <c r="U4097">
        <v>-3.7048339999999999E-2</v>
      </c>
      <c r="V4097">
        <v>-5.7211719999999897E-3</v>
      </c>
      <c r="W4097">
        <v>0.1298194</v>
      </c>
      <c r="X4097">
        <v>0.99152110000000004</v>
      </c>
      <c r="Y4097">
        <v>-7.9886519999999902E-3</v>
      </c>
      <c r="Z4097" s="1">
        <v>8.8227240000000001E-6</v>
      </c>
      <c r="AA4097">
        <v>0.99996810000000003</v>
      </c>
      <c r="AB4097">
        <v>29</v>
      </c>
      <c r="AC4097">
        <v>-27.1829</v>
      </c>
      <c r="AD4097">
        <v>-1.1087405281910001</v>
      </c>
      <c r="AE4097">
        <v>-0.33340000000001102</v>
      </c>
      <c r="AF4097">
        <v>-0.21852943914254799</v>
      </c>
      <c r="AG4097">
        <v>-1.1087405281910001</v>
      </c>
      <c r="AH4097">
        <v>27.138919704508101</v>
      </c>
      <c r="AI4097">
        <v>92.3394000101313</v>
      </c>
      <c r="AJ4097">
        <v>90.461350123647506</v>
      </c>
      <c r="AK4097">
        <v>27.1624377293785</v>
      </c>
      <c r="AL4097">
        <v>82.540843363849604</v>
      </c>
      <c r="AM4097">
        <v>90.330598483105106</v>
      </c>
      <c r="AN4097">
        <v>0.99999995008530995</v>
      </c>
    </row>
    <row r="4098" spans="1:40" x14ac:dyDescent="0.25">
      <c r="A4098" t="str">
        <f>"20190312164552458"</f>
        <v>20190312164552458</v>
      </c>
      <c r="B4098" t="str">
        <f>"1552380352455449"</f>
        <v>1552380352455449</v>
      </c>
      <c r="C4098" t="s">
        <v>40</v>
      </c>
      <c r="D4098">
        <v>4.8469100000000003</v>
      </c>
      <c r="E4098">
        <v>0.48181570000000001</v>
      </c>
      <c r="F4098" t="s">
        <v>71</v>
      </c>
      <c r="G4098">
        <v>-403.87009999999998</v>
      </c>
      <c r="H4098" s="1">
        <v>-7.6426500000000004E-6</v>
      </c>
      <c r="I4098">
        <v>140.97980000000001</v>
      </c>
      <c r="J4098">
        <v>-376.71589999999998</v>
      </c>
      <c r="K4098">
        <v>1.1087260000000001</v>
      </c>
      <c r="L4098">
        <v>141.32069999999999</v>
      </c>
      <c r="M4098">
        <v>-0.99992179999999997</v>
      </c>
      <c r="N4098">
        <v>0</v>
      </c>
      <c r="O4098">
        <v>-4.2096149999999999E-3</v>
      </c>
      <c r="P4098">
        <v>-0.99292250000000004</v>
      </c>
      <c r="Q4098">
        <v>0.1183263</v>
      </c>
      <c r="R4098">
        <v>-1.0187659999999999E-2</v>
      </c>
      <c r="S4098">
        <v>-3.0355219999999998</v>
      </c>
      <c r="T4098">
        <v>-0.1226122</v>
      </c>
      <c r="U4098">
        <v>-3.7841800000000002E-2</v>
      </c>
      <c r="V4098">
        <v>-6.0023330000000003E-3</v>
      </c>
      <c r="W4098">
        <v>0.13001179999999901</v>
      </c>
      <c r="X4098">
        <v>0.99149430000000005</v>
      </c>
      <c r="Y4098">
        <v>-8.2523660000000006E-3</v>
      </c>
      <c r="Z4098" s="1">
        <v>3.3788379999999999E-6</v>
      </c>
      <c r="AA4098">
        <v>0.99996600000000002</v>
      </c>
      <c r="AB4098">
        <v>29</v>
      </c>
      <c r="AC4098">
        <v>-27.154199999999999</v>
      </c>
      <c r="AD4098">
        <v>-1.1087336426500001</v>
      </c>
      <c r="AE4098">
        <v>-0.340899999999976</v>
      </c>
      <c r="AF4098">
        <v>-0.22620326448414399</v>
      </c>
      <c r="AG4098">
        <v>-1.1087336426500001</v>
      </c>
      <c r="AH4098">
        <v>27.110204271907399</v>
      </c>
      <c r="AI4098">
        <v>92.341855052526896</v>
      </c>
      <c r="AJ4098">
        <v>90.478055844989598</v>
      </c>
      <c r="AK4098">
        <v>27.1338097927982</v>
      </c>
      <c r="AL4098">
        <v>82.529725968245799</v>
      </c>
      <c r="AM4098">
        <v>90.346854386302198</v>
      </c>
      <c r="AN4098">
        <v>1.0000000215365801</v>
      </c>
    </row>
    <row r="4099" spans="1:40" x14ac:dyDescent="0.25">
      <c r="A4099" t="str">
        <f>"20190312164552482"</f>
        <v>20190312164552482</v>
      </c>
      <c r="B4099" t="str">
        <f>"1552380352475946"</f>
        <v>1552380352475946</v>
      </c>
      <c r="C4099" t="s">
        <v>40</v>
      </c>
      <c r="D4099">
        <v>4.7863949999999997</v>
      </c>
      <c r="E4099">
        <v>0.47386689999999998</v>
      </c>
      <c r="F4099" t="s">
        <v>42</v>
      </c>
      <c r="G4099">
        <v>-394.98020000000002</v>
      </c>
      <c r="H4099" s="1">
        <v>-2.2635200000000001E-6</v>
      </c>
      <c r="I4099">
        <v>140.09620000000001</v>
      </c>
      <c r="J4099">
        <v>-377.02760000000001</v>
      </c>
      <c r="K4099">
        <v>1.108725</v>
      </c>
      <c r="L4099">
        <v>141.3194</v>
      </c>
      <c r="M4099">
        <v>-0.99992190000000003</v>
      </c>
      <c r="N4099">
        <v>0</v>
      </c>
      <c r="O4099">
        <v>-4.2045779999999996E-3</v>
      </c>
      <c r="P4099">
        <v>-0.99292630000000004</v>
      </c>
      <c r="Q4099">
        <v>0.1182744</v>
      </c>
      <c r="R4099">
        <v>-1.0440670000000001E-2</v>
      </c>
      <c r="S4099">
        <v>-3.0413209999999999</v>
      </c>
      <c r="T4099">
        <v>-0.18462249999999999</v>
      </c>
      <c r="U4099">
        <v>-0.20388790000000001</v>
      </c>
      <c r="V4099">
        <v>-6.2595669999999997E-3</v>
      </c>
      <c r="W4099">
        <v>0.1299603</v>
      </c>
      <c r="X4099">
        <v>0.99149940000000003</v>
      </c>
      <c r="Y4099">
        <v>-6.2586119999999995E-2</v>
      </c>
      <c r="Z4099">
        <v>-1.6410420000000001E-3</v>
      </c>
      <c r="AA4099">
        <v>0.99803819999999999</v>
      </c>
      <c r="AB4099">
        <v>29</v>
      </c>
      <c r="AC4099">
        <v>-17.9526</v>
      </c>
      <c r="AD4099">
        <v>-1.1087272635200001</v>
      </c>
      <c r="AE4099">
        <v>-1.2231999999999901</v>
      </c>
      <c r="AF4099">
        <v>-1.14336008591692</v>
      </c>
      <c r="AG4099">
        <v>-1.1087272635200001</v>
      </c>
      <c r="AH4099">
        <v>17.889666590592</v>
      </c>
      <c r="AI4099">
        <v>93.539216014341505</v>
      </c>
      <c r="AJ4099">
        <v>93.656900418097507</v>
      </c>
      <c r="AK4099">
        <v>17.9604209069132</v>
      </c>
      <c r="AL4099">
        <v>82.532701494790601</v>
      </c>
      <c r="AM4099">
        <v>90.3617168159074</v>
      </c>
      <c r="AN4099">
        <v>0.99999996097773802</v>
      </c>
    </row>
    <row r="4100" spans="1:40" x14ac:dyDescent="0.25">
      <c r="A4100" t="str">
        <f>"20190312164552504"</f>
        <v>20190312164552504</v>
      </c>
      <c r="B4100" t="str">
        <f>"1552380352495466"</f>
        <v>1552380352495466</v>
      </c>
      <c r="C4100" t="s">
        <v>40</v>
      </c>
      <c r="D4100">
        <v>4.7998969999999996</v>
      </c>
      <c r="E4100">
        <v>0.4712597</v>
      </c>
      <c r="F4100" t="s">
        <v>71</v>
      </c>
      <c r="G4100">
        <v>-404.33960000000002</v>
      </c>
      <c r="H4100" s="1">
        <v>-6.9713999999999999E-6</v>
      </c>
      <c r="I4100">
        <v>138.93299999999999</v>
      </c>
      <c r="J4100">
        <v>-377.3064</v>
      </c>
      <c r="K4100">
        <v>1.108722</v>
      </c>
      <c r="L4100">
        <v>141.31819999999999</v>
      </c>
      <c r="M4100">
        <v>-0.99992190000000003</v>
      </c>
      <c r="N4100">
        <v>0</v>
      </c>
      <c r="O4100">
        <v>-4.1993259999999998E-3</v>
      </c>
      <c r="P4100">
        <v>-0.99293949999999997</v>
      </c>
      <c r="Q4100">
        <v>0.1181309</v>
      </c>
      <c r="R4100">
        <v>-1.079593E-2</v>
      </c>
      <c r="S4100">
        <v>-3.0332340000000002</v>
      </c>
      <c r="T4100">
        <v>-0.12313399999999999</v>
      </c>
      <c r="U4100">
        <v>-0.26502989999999998</v>
      </c>
      <c r="V4100">
        <v>-6.6199529999999996E-3</v>
      </c>
      <c r="W4100">
        <v>0.12981709999999999</v>
      </c>
      <c r="X4100">
        <v>0.99151590000000001</v>
      </c>
      <c r="Y4100">
        <v>-8.2795049999999995E-2</v>
      </c>
      <c r="Z4100">
        <v>-1.50656799999999E-3</v>
      </c>
      <c r="AA4100">
        <v>0.99656549999999999</v>
      </c>
      <c r="AB4100">
        <v>29</v>
      </c>
      <c r="AC4100">
        <v>-27.033200000000001</v>
      </c>
      <c r="AD4100">
        <v>-1.1087289713999999</v>
      </c>
      <c r="AE4100">
        <v>-2.38519999999999</v>
      </c>
      <c r="AF4100">
        <v>-2.26786453907844</v>
      </c>
      <c r="AG4100">
        <v>-1.1087289713999999</v>
      </c>
      <c r="AH4100">
        <v>26.997915727543901</v>
      </c>
      <c r="AI4100">
        <v>92.343412086152199</v>
      </c>
      <c r="AJ4100">
        <v>94.801656839185696</v>
      </c>
      <c r="AK4100">
        <v>27.1156770730733</v>
      </c>
      <c r="AL4100">
        <v>82.540976955245497</v>
      </c>
      <c r="AM4100">
        <v>90.382535198558998</v>
      </c>
      <c r="AN4100">
        <v>1.00000004159147</v>
      </c>
    </row>
    <row r="4101" spans="1:40" x14ac:dyDescent="0.25">
      <c r="A4101" t="str">
        <f>"20190312164552525"</f>
        <v>20190312164552525</v>
      </c>
      <c r="B4101" t="str">
        <f>"1552380352515963"</f>
        <v>1552380352515963</v>
      </c>
      <c r="C4101" t="s">
        <v>40</v>
      </c>
      <c r="D4101">
        <v>4.8938300000000003</v>
      </c>
      <c r="E4101">
        <v>0.46948380000000001</v>
      </c>
      <c r="F4101" t="s">
        <v>71</v>
      </c>
      <c r="G4101">
        <v>-414.75529999999998</v>
      </c>
      <c r="H4101" s="1">
        <v>-9.4571889999999998E-6</v>
      </c>
      <c r="I4101">
        <v>137.78919999999999</v>
      </c>
      <c r="J4101">
        <v>-377.5865</v>
      </c>
      <c r="K4101">
        <v>1.1087209999999901</v>
      </c>
      <c r="L4101">
        <v>141.31710000000001</v>
      </c>
      <c r="M4101">
        <v>-0.99992190000000003</v>
      </c>
      <c r="N4101">
        <v>0</v>
      </c>
      <c r="O4101">
        <v>-4.195748E-3</v>
      </c>
      <c r="P4101">
        <v>-0.99299599999999999</v>
      </c>
      <c r="Q4101">
        <v>0.1175672</v>
      </c>
      <c r="R4101">
        <v>-1.171676E-2</v>
      </c>
      <c r="S4101">
        <v>-3.0289000000000001</v>
      </c>
      <c r="T4101">
        <v>-8.9675190000000002E-2</v>
      </c>
      <c r="U4101">
        <v>-0.28543089999999999</v>
      </c>
      <c r="V4101">
        <v>-7.544345E-3</v>
      </c>
      <c r="W4101">
        <v>0.12925439999999999</v>
      </c>
      <c r="X4101">
        <v>0.99158279999999999</v>
      </c>
      <c r="Y4101">
        <v>-8.9604719999999999E-2</v>
      </c>
      <c r="Z4101">
        <v>-1.1992999999999999E-3</v>
      </c>
      <c r="AA4101">
        <v>0.99597670000000005</v>
      </c>
      <c r="AB4101">
        <v>29</v>
      </c>
      <c r="AC4101">
        <v>-37.168799999999898</v>
      </c>
      <c r="AD4101">
        <v>-1.10873045718899</v>
      </c>
      <c r="AE4101">
        <v>-3.52790000000001</v>
      </c>
      <c r="AF4101">
        <v>-3.3689362849458599</v>
      </c>
      <c r="AG4101">
        <v>-1.10873045718899</v>
      </c>
      <c r="AH4101">
        <v>37.1505144251526</v>
      </c>
      <c r="AI4101">
        <v>91.702462423280195</v>
      </c>
      <c r="AJ4101">
        <v>95.181605530337293</v>
      </c>
      <c r="AK4101">
        <v>37.319428411649</v>
      </c>
      <c r="AL4101">
        <v>82.5734911673065</v>
      </c>
      <c r="AM4101">
        <v>90.435920013108401</v>
      </c>
      <c r="AN4101">
        <v>1.0000000331583301</v>
      </c>
    </row>
    <row r="4102" spans="1:40" x14ac:dyDescent="0.25">
      <c r="A4102" t="str">
        <f>"20190312164552548"</f>
        <v>20190312164552548</v>
      </c>
      <c r="B4102" t="str">
        <f>"1552380352535485"</f>
        <v>1552380352535485</v>
      </c>
      <c r="C4102" t="s">
        <v>40</v>
      </c>
      <c r="D4102">
        <v>4.6764449999999904</v>
      </c>
      <c r="E4102">
        <v>0.46847230000000001</v>
      </c>
      <c r="F4102" t="s">
        <v>71</v>
      </c>
      <c r="G4102">
        <v>-405.5625</v>
      </c>
      <c r="H4102" s="1">
        <v>-7.4584450000000002E-6</v>
      </c>
      <c r="I4102">
        <v>138.51230000000001</v>
      </c>
      <c r="J4102">
        <v>-377.86900000000003</v>
      </c>
      <c r="K4102">
        <v>1.1087129999999901</v>
      </c>
      <c r="L4102">
        <v>141.3159</v>
      </c>
      <c r="M4102">
        <v>-0.99992190000000003</v>
      </c>
      <c r="N4102">
        <v>0</v>
      </c>
      <c r="O4102">
        <v>-4.1912059999999899E-3</v>
      </c>
      <c r="P4102">
        <v>-0.99306450000000002</v>
      </c>
      <c r="Q4102">
        <v>0.1168416</v>
      </c>
      <c r="R4102">
        <v>-1.308073E-2</v>
      </c>
      <c r="S4102">
        <v>-3.0317690000000002</v>
      </c>
      <c r="T4102">
        <v>-0.12015339999999999</v>
      </c>
      <c r="U4102">
        <v>-0.30395509999999998</v>
      </c>
      <c r="V4102">
        <v>-8.9121159999999994E-3</v>
      </c>
      <c r="W4102">
        <v>0.12853049999999999</v>
      </c>
      <c r="X4102">
        <v>0.99166549999999998</v>
      </c>
      <c r="Y4102">
        <v>-9.5514160000000001E-2</v>
      </c>
      <c r="Z4102">
        <v>-1.7215889999999999E-3</v>
      </c>
      <c r="AA4102">
        <v>0.99542660000000005</v>
      </c>
      <c r="AB4102">
        <v>29</v>
      </c>
      <c r="AC4102">
        <v>-27.693499999999901</v>
      </c>
      <c r="AD4102">
        <v>-1.1087204584449999</v>
      </c>
      <c r="AE4102">
        <v>-2.8035999999999799</v>
      </c>
      <c r="AF4102">
        <v>-2.68324100511667</v>
      </c>
      <c r="AG4102">
        <v>-1.1087204584449999</v>
      </c>
      <c r="AH4102">
        <v>27.6611216221043</v>
      </c>
      <c r="AI4102">
        <v>92.284603834277107</v>
      </c>
      <c r="AJ4102">
        <v>95.540587844243504</v>
      </c>
      <c r="AK4102">
        <v>27.813066942344999</v>
      </c>
      <c r="AL4102">
        <v>82.615316140384707</v>
      </c>
      <c r="AM4102">
        <v>90.514904357187106</v>
      </c>
      <c r="AN4102">
        <v>0.99999998956604796</v>
      </c>
    </row>
    <row r="4103" spans="1:40" x14ac:dyDescent="0.25">
      <c r="A4103" t="str">
        <f>"20190312164552571"</f>
        <v>20190312164552571</v>
      </c>
      <c r="B4103" t="str">
        <f>"1552380352565737"</f>
        <v>1552380352565737</v>
      </c>
      <c r="C4103" t="s">
        <v>40</v>
      </c>
      <c r="D4103">
        <v>4.8772830000000003</v>
      </c>
      <c r="E4103">
        <v>0.46777059999999998</v>
      </c>
      <c r="F4103" t="s">
        <v>71</v>
      </c>
      <c r="G4103">
        <v>-409.35930000000002</v>
      </c>
      <c r="H4103" s="1">
        <v>-9.6153370000000005E-6</v>
      </c>
      <c r="I4103">
        <v>138.03919999999999</v>
      </c>
      <c r="J4103">
        <v>-378.16649999999998</v>
      </c>
      <c r="K4103">
        <v>1.108706</v>
      </c>
      <c r="L4103">
        <v>141.31460000000001</v>
      </c>
      <c r="M4103">
        <v>-0.99992190000000003</v>
      </c>
      <c r="N4103">
        <v>0</v>
      </c>
      <c r="O4103">
        <v>-4.1840209999999996E-3</v>
      </c>
      <c r="P4103">
        <v>-0.99308810000000003</v>
      </c>
      <c r="Q4103">
        <v>0.1164839</v>
      </c>
      <c r="R4103">
        <v>-1.441255E-2</v>
      </c>
      <c r="S4103">
        <v>-3.0293580000000002</v>
      </c>
      <c r="T4103">
        <v>-0.10665860000000001</v>
      </c>
      <c r="U4103">
        <v>-0.315216099999999</v>
      </c>
      <c r="V4103">
        <v>-1.025031E-2</v>
      </c>
      <c r="W4103">
        <v>0.12817339999999999</v>
      </c>
      <c r="X4103">
        <v>0.99169879999999999</v>
      </c>
      <c r="Y4103">
        <v>-9.9273959999999994E-2</v>
      </c>
      <c r="Z4103">
        <v>-1.595522E-3</v>
      </c>
      <c r="AA4103">
        <v>0.99505880000000002</v>
      </c>
      <c r="AB4103">
        <v>29</v>
      </c>
      <c r="AC4103">
        <v>-31.192799999999998</v>
      </c>
      <c r="AD4103">
        <v>-1.1087156153369999</v>
      </c>
      <c r="AE4103">
        <v>-3.2754000000000101</v>
      </c>
      <c r="AF4103">
        <v>-3.1409260595684598</v>
      </c>
      <c r="AG4103">
        <v>-1.1087156153369999</v>
      </c>
      <c r="AH4103">
        <v>31.167285739795101</v>
      </c>
      <c r="AI4103">
        <v>92.027068220804395</v>
      </c>
      <c r="AJ4103">
        <v>95.754632299661495</v>
      </c>
      <c r="AK4103">
        <v>31.3447661853364</v>
      </c>
      <c r="AL4103">
        <v>82.635947183365104</v>
      </c>
      <c r="AM4103">
        <v>90.592194513379695</v>
      </c>
      <c r="AN4103">
        <v>0.999999999622048</v>
      </c>
    </row>
    <row r="4104" spans="1:40" x14ac:dyDescent="0.25">
      <c r="A4104" t="str">
        <f>"20190312164552594"</f>
        <v>20190312164552594</v>
      </c>
      <c r="B4104" t="str">
        <f>"1552380352585257"</f>
        <v>1552380352585257</v>
      </c>
      <c r="C4104" t="s">
        <v>40</v>
      </c>
      <c r="D4104">
        <v>4.8399939999999999</v>
      </c>
      <c r="E4104">
        <v>0.46754519999999999</v>
      </c>
      <c r="F4104" t="s">
        <v>71</v>
      </c>
      <c r="G4104">
        <v>-413.67020000000002</v>
      </c>
      <c r="H4104" s="1">
        <v>-9.4330150000000004E-6</v>
      </c>
      <c r="I4104">
        <v>137.51580000000001</v>
      </c>
      <c r="J4104">
        <v>-378.46420000000001</v>
      </c>
      <c r="K4104">
        <v>1.108703</v>
      </c>
      <c r="L4104">
        <v>141.3134</v>
      </c>
      <c r="M4104">
        <v>-0.99992199999999998</v>
      </c>
      <c r="N4104">
        <v>0</v>
      </c>
      <c r="O4104">
        <v>-4.17133E-3</v>
      </c>
      <c r="P4104">
        <v>-0.993058</v>
      </c>
      <c r="Q4104">
        <v>0.11663569999999999</v>
      </c>
      <c r="R4104">
        <v>-1.523655E-2</v>
      </c>
      <c r="S4104">
        <v>-3.0273129999999999</v>
      </c>
      <c r="T4104">
        <v>-9.4537499999999997E-2</v>
      </c>
      <c r="U4104">
        <v>-0.32391360000000002</v>
      </c>
      <c r="V4104">
        <v>-1.1085670000000001E-2</v>
      </c>
      <c r="W4104">
        <v>0.12832479999999999</v>
      </c>
      <c r="X4104">
        <v>0.9916703</v>
      </c>
      <c r="Y4104">
        <v>-0.1021937</v>
      </c>
      <c r="Z4104">
        <v>-1.460874E-3</v>
      </c>
      <c r="AA4104">
        <v>0.99476339999999996</v>
      </c>
      <c r="AB4104">
        <v>29</v>
      </c>
      <c r="AC4104">
        <v>-35.206000000000003</v>
      </c>
      <c r="AD4104">
        <v>-1.108712433015</v>
      </c>
      <c r="AE4104">
        <v>-3.7975999999999801</v>
      </c>
      <c r="AF4104">
        <v>-3.64712548116169</v>
      </c>
      <c r="AG4104">
        <v>-1.108712433015</v>
      </c>
      <c r="AH4104">
        <v>35.187040249305397</v>
      </c>
      <c r="AI4104">
        <v>91.795131419499498</v>
      </c>
      <c r="AJ4104">
        <v>95.917558332156602</v>
      </c>
      <c r="AK4104">
        <v>35.392916933204297</v>
      </c>
      <c r="AL4104">
        <v>82.627200856764503</v>
      </c>
      <c r="AM4104">
        <v>90.640470576084496</v>
      </c>
      <c r="AN4104">
        <v>1.0000000651382299</v>
      </c>
    </row>
    <row r="4105" spans="1:40" x14ac:dyDescent="0.25">
      <c r="A4105" t="str">
        <f>"20190312164552614"</f>
        <v>20190312164552614</v>
      </c>
      <c r="B4105" t="str">
        <f>"1552380352605754"</f>
        <v>1552380352605754</v>
      </c>
      <c r="C4105" t="s">
        <v>40</v>
      </c>
      <c r="D4105">
        <v>4.9559920000000002</v>
      </c>
      <c r="E4105">
        <v>0.46746320000000002</v>
      </c>
      <c r="F4105" t="s">
        <v>71</v>
      </c>
      <c r="G4105">
        <v>-417.38650000000001</v>
      </c>
      <c r="H4105" s="1">
        <v>-8.9214650000000001E-6</v>
      </c>
      <c r="I4105">
        <v>137.0924</v>
      </c>
      <c r="J4105">
        <v>-378.7328</v>
      </c>
      <c r="K4105">
        <v>1.108703</v>
      </c>
      <c r="L4105">
        <v>141.31229999999999</v>
      </c>
      <c r="M4105">
        <v>-0.99992199999999998</v>
      </c>
      <c r="N4105">
        <v>0</v>
      </c>
      <c r="O4105">
        <v>-4.1555400000000001E-3</v>
      </c>
      <c r="P4105">
        <v>-0.99306570000000005</v>
      </c>
      <c r="Q4105">
        <v>0.1164978</v>
      </c>
      <c r="R4105">
        <v>-1.5776330000000002E-2</v>
      </c>
      <c r="S4105">
        <v>-3.0260929999999999</v>
      </c>
      <c r="T4105">
        <v>-8.6198930000000007E-2</v>
      </c>
      <c r="U4105">
        <v>-0.32817079999999998</v>
      </c>
      <c r="V4105">
        <v>-1.1640070000000001E-2</v>
      </c>
      <c r="W4105">
        <v>0.12818759999999901</v>
      </c>
      <c r="X4105">
        <v>0.99168160000000005</v>
      </c>
      <c r="Y4105">
        <v>-0.1036425</v>
      </c>
      <c r="Z4105">
        <v>-1.3535260000000001E-3</v>
      </c>
      <c r="AA4105">
        <v>0.99461370000000004</v>
      </c>
      <c r="AB4105">
        <v>29</v>
      </c>
      <c r="AC4105">
        <v>-38.653700000000001</v>
      </c>
      <c r="AD4105">
        <v>-1.1087119214650001</v>
      </c>
      <c r="AE4105">
        <v>-4.2198999999999902</v>
      </c>
      <c r="AF4105">
        <v>-4.0559278047970597</v>
      </c>
      <c r="AG4105">
        <v>-1.1087119214650001</v>
      </c>
      <c r="AH4105">
        <v>38.6394880931391</v>
      </c>
      <c r="AI4105">
        <v>91.634604203649801</v>
      </c>
      <c r="AJ4105">
        <v>95.992305899043401</v>
      </c>
      <c r="AK4105">
        <v>38.867593604214299</v>
      </c>
      <c r="AL4105">
        <v>82.635126625483693</v>
      </c>
      <c r="AM4105">
        <v>90.672490301741504</v>
      </c>
      <c r="AN4105">
        <v>0.99999997390096196</v>
      </c>
    </row>
    <row r="4106" spans="1:40" x14ac:dyDescent="0.25">
      <c r="A4106" t="str">
        <f>"20190312164552636"</f>
        <v>20190312164552636</v>
      </c>
      <c r="B4106" t="str">
        <f>"1552380352625277"</f>
        <v>1552380352625277</v>
      </c>
      <c r="C4106" t="s">
        <v>40</v>
      </c>
      <c r="D4106">
        <v>4.8948519999999904</v>
      </c>
      <c r="E4106">
        <v>0.46740520000000002</v>
      </c>
      <c r="F4106" t="s">
        <v>71</v>
      </c>
      <c r="G4106">
        <v>-419.3854</v>
      </c>
      <c r="H4106" s="1">
        <v>-8.714825E-6</v>
      </c>
      <c r="I4106">
        <v>136.8733</v>
      </c>
      <c r="J4106">
        <v>-379.02190000000002</v>
      </c>
      <c r="K4106">
        <v>1.1086959999999999</v>
      </c>
      <c r="L4106">
        <v>141.31110000000001</v>
      </c>
      <c r="M4106">
        <v>-0.99992199999999998</v>
      </c>
      <c r="N4106">
        <v>0</v>
      </c>
      <c r="O4106">
        <v>-4.133673E-3</v>
      </c>
      <c r="P4106">
        <v>-0.99311850000000002</v>
      </c>
      <c r="Q4106">
        <v>0.1159283</v>
      </c>
      <c r="R4106">
        <v>-1.6627949999999999E-2</v>
      </c>
      <c r="S4106">
        <v>-3.0254210000000001</v>
      </c>
      <c r="T4106">
        <v>-8.2511899999999902E-2</v>
      </c>
      <c r="U4106">
        <v>-0.3303528</v>
      </c>
      <c r="V4106">
        <v>-1.251202E-2</v>
      </c>
      <c r="W4106">
        <v>0.12761919999999999</v>
      </c>
      <c r="X4106">
        <v>0.99174430000000002</v>
      </c>
      <c r="Y4106">
        <v>-0.1043998</v>
      </c>
      <c r="Z4106">
        <v>-1.306778E-3</v>
      </c>
      <c r="AA4106">
        <v>0.99453460000000005</v>
      </c>
      <c r="AB4106">
        <v>29</v>
      </c>
      <c r="AC4106">
        <v>-40.363499999999902</v>
      </c>
      <c r="AD4106">
        <v>-1.108704714825</v>
      </c>
      <c r="AE4106">
        <v>-4.43780000000001</v>
      </c>
      <c r="AF4106">
        <v>-4.2677194817145896</v>
      </c>
      <c r="AG4106">
        <v>-1.108704714825</v>
      </c>
      <c r="AH4106">
        <v>40.351419622927402</v>
      </c>
      <c r="AI4106">
        <v>91.565150639567193</v>
      </c>
      <c r="AJ4106">
        <v>96.037374813397705</v>
      </c>
      <c r="AK4106">
        <v>40.591621318997099</v>
      </c>
      <c r="AL4106">
        <v>82.667963319574</v>
      </c>
      <c r="AM4106">
        <v>90.722815253632703</v>
      </c>
      <c r="AN4106">
        <v>0.99999998371780496</v>
      </c>
    </row>
    <row r="4107" spans="1:40" x14ac:dyDescent="0.25">
      <c r="A4107" t="str">
        <f>"20190312164552651"</f>
        <v>20190312164552651</v>
      </c>
      <c r="B4107" t="str">
        <f>"1552380352645769"</f>
        <v>1552380352645769</v>
      </c>
      <c r="C4107" t="s">
        <v>40</v>
      </c>
      <c r="D4107">
        <v>4.7567069999999996</v>
      </c>
      <c r="E4107">
        <v>0.46734100000000001</v>
      </c>
      <c r="F4107" t="s">
        <v>71</v>
      </c>
      <c r="G4107">
        <v>-420.57639999999998</v>
      </c>
      <c r="H4107" s="1">
        <v>-8.7148069999999906E-6</v>
      </c>
      <c r="I4107">
        <v>136.73670000000001</v>
      </c>
      <c r="J4107">
        <v>-379.20909999999998</v>
      </c>
      <c r="K4107">
        <v>1.1086929999999999</v>
      </c>
      <c r="L4107">
        <v>141.31030000000001</v>
      </c>
      <c r="M4107">
        <v>-0.99992219999999998</v>
      </c>
      <c r="N4107">
        <v>0</v>
      </c>
      <c r="O4107">
        <v>-4.1168330000000003E-3</v>
      </c>
      <c r="P4107">
        <v>-0.99317259999999996</v>
      </c>
      <c r="Q4107">
        <v>0.1154591</v>
      </c>
      <c r="R4107">
        <v>-1.665635E-2</v>
      </c>
      <c r="S4107">
        <v>-3.0245669999999998</v>
      </c>
      <c r="T4107">
        <v>-8.0697660000000004E-2</v>
      </c>
      <c r="U4107">
        <v>-0.33294679999999999</v>
      </c>
      <c r="V4107">
        <v>-1.2555820000000001E-2</v>
      </c>
      <c r="W4107">
        <v>0.1271505</v>
      </c>
      <c r="X4107">
        <v>0.99180389999999996</v>
      </c>
      <c r="Y4107">
        <v>-0.105291</v>
      </c>
      <c r="Z4107">
        <v>-1.290652E-3</v>
      </c>
      <c r="AA4107">
        <v>0.99444060000000001</v>
      </c>
      <c r="AB4107">
        <v>29</v>
      </c>
      <c r="AC4107">
        <v>-41.3673</v>
      </c>
      <c r="AD4107">
        <v>-1.108701714807</v>
      </c>
      <c r="AE4107">
        <v>-4.5735999999999901</v>
      </c>
      <c r="AF4107">
        <v>-4.4001246561359402</v>
      </c>
      <c r="AG4107">
        <v>-1.108701714807</v>
      </c>
      <c r="AH4107">
        <v>41.356431237653297</v>
      </c>
      <c r="AI4107">
        <v>91.527028587793694</v>
      </c>
      <c r="AJ4107">
        <v>96.073147268109494</v>
      </c>
      <c r="AK4107">
        <v>41.604623795879903</v>
      </c>
      <c r="AL4107">
        <v>82.6950380811396</v>
      </c>
      <c r="AM4107">
        <v>90.725301712090399</v>
      </c>
      <c r="AN4107">
        <v>0.99999993716066404</v>
      </c>
    </row>
    <row r="4108" spans="1:40" x14ac:dyDescent="0.25">
      <c r="A4108" t="str">
        <f>"20190312164552663"</f>
        <v>20190312164552663</v>
      </c>
      <c r="B4108" t="str">
        <f>"1552380352655530"</f>
        <v>1552380352655530</v>
      </c>
      <c r="C4108" t="s">
        <v>40</v>
      </c>
      <c r="D4108">
        <v>4.9068800000000001</v>
      </c>
      <c r="E4108">
        <v>0.46732960000000001</v>
      </c>
      <c r="F4108" t="s">
        <v>71</v>
      </c>
      <c r="G4108">
        <v>-421.53919999999999</v>
      </c>
      <c r="H4108" s="1">
        <v>-8.8159429999999905E-6</v>
      </c>
      <c r="I4108">
        <v>136.6456</v>
      </c>
      <c r="J4108">
        <v>-379.37709999999998</v>
      </c>
      <c r="K4108">
        <v>1.1086879999999999</v>
      </c>
      <c r="L4108">
        <v>141.30969999999999</v>
      </c>
      <c r="M4108">
        <v>-0.99992230000000004</v>
      </c>
      <c r="N4108">
        <v>0</v>
      </c>
      <c r="O4108">
        <v>-4.0994040000000001E-3</v>
      </c>
      <c r="P4108">
        <v>-0.99319389999999996</v>
      </c>
      <c r="Q4108">
        <v>0.11524470000000001</v>
      </c>
      <c r="R4108">
        <v>-1.6880050000000001E-2</v>
      </c>
      <c r="S4108">
        <v>-3.0242309999999999</v>
      </c>
      <c r="T4108">
        <v>-7.9210160000000002E-2</v>
      </c>
      <c r="U4108">
        <v>-0.33326719999999999</v>
      </c>
      <c r="V4108">
        <v>-1.279689E-2</v>
      </c>
      <c r="W4108">
        <v>0.1269372</v>
      </c>
      <c r="X4108">
        <v>0.99182820000000005</v>
      </c>
      <c r="Y4108">
        <v>-0.10542559999999999</v>
      </c>
      <c r="Z4108">
        <v>-1.269215E-3</v>
      </c>
      <c r="AA4108">
        <v>0.99442640000000004</v>
      </c>
      <c r="AB4108">
        <v>29</v>
      </c>
      <c r="AC4108">
        <v>-42.162100000000002</v>
      </c>
      <c r="AD4108">
        <v>-1.108696815943</v>
      </c>
      <c r="AE4108">
        <v>-4.6640999999999897</v>
      </c>
      <c r="AF4108">
        <v>-4.4881433918848401</v>
      </c>
      <c r="AG4108">
        <v>-1.108696815943</v>
      </c>
      <c r="AH4108">
        <v>42.1520719972698</v>
      </c>
      <c r="AI4108">
        <v>91.498199243854401</v>
      </c>
      <c r="AJ4108">
        <v>96.077671836319098</v>
      </c>
      <c r="AK4108">
        <v>42.404832429792897</v>
      </c>
      <c r="AL4108">
        <v>82.707359537161807</v>
      </c>
      <c r="AM4108">
        <v>90.739207764265203</v>
      </c>
      <c r="AN4108">
        <v>0.99999999572637599</v>
      </c>
    </row>
    <row r="4109" spans="1:40" x14ac:dyDescent="0.25">
      <c r="A4109" t="str">
        <f>"20190312164552676"</f>
        <v>20190312164552676</v>
      </c>
      <c r="B4109" t="str">
        <f>"1552380352665291"</f>
        <v>1552380352665291</v>
      </c>
      <c r="C4109" t="s">
        <v>40</v>
      </c>
      <c r="D4109">
        <v>4.7779930000000004</v>
      </c>
      <c r="E4109">
        <v>0.46729179999999998</v>
      </c>
      <c r="F4109" t="s">
        <v>71</v>
      </c>
      <c r="G4109">
        <v>-421.88069999999999</v>
      </c>
      <c r="H4109" s="1">
        <v>-8.8530649999999992E-6</v>
      </c>
      <c r="I4109">
        <v>136.6163</v>
      </c>
      <c r="J4109">
        <v>-379.53339999999997</v>
      </c>
      <c r="K4109">
        <v>1.108681</v>
      </c>
      <c r="L4109">
        <v>141.309</v>
      </c>
      <c r="M4109">
        <v>-0.99992239999999999</v>
      </c>
      <c r="N4109">
        <v>0</v>
      </c>
      <c r="O4109">
        <v>-4.0823359999999998E-3</v>
      </c>
      <c r="P4109">
        <v>-0.99327509999999997</v>
      </c>
      <c r="Q4109">
        <v>0.11447499999999999</v>
      </c>
      <c r="R4109">
        <v>-1.733556E-2</v>
      </c>
      <c r="S4109">
        <v>-3.0240480000000001</v>
      </c>
      <c r="T4109">
        <v>-7.888162E-2</v>
      </c>
      <c r="U4109">
        <v>-0.33392329999999998</v>
      </c>
      <c r="V4109">
        <v>-1.32682999999999E-2</v>
      </c>
      <c r="W4109">
        <v>0.12616849999999999</v>
      </c>
      <c r="X4109">
        <v>0.99192009999999997</v>
      </c>
      <c r="Y4109">
        <v>-0.10566250000000001</v>
      </c>
      <c r="Z4109">
        <v>-1.2675379999999999E-3</v>
      </c>
      <c r="AA4109">
        <v>0.99440119999999999</v>
      </c>
      <c r="AB4109">
        <v>29</v>
      </c>
      <c r="AC4109">
        <v>-42.347299999999997</v>
      </c>
      <c r="AD4109">
        <v>-1.108689853065</v>
      </c>
      <c r="AE4109">
        <v>-4.6927000000000003</v>
      </c>
      <c r="AF4109">
        <v>-4.5167146336923896</v>
      </c>
      <c r="AG4109">
        <v>-1.108689853065</v>
      </c>
      <c r="AH4109">
        <v>42.337437898540202</v>
      </c>
      <c r="AI4109">
        <v>91.491600502694695</v>
      </c>
      <c r="AJ4109">
        <v>96.089493258881006</v>
      </c>
      <c r="AK4109">
        <v>42.592118426831597</v>
      </c>
      <c r="AL4109">
        <v>82.751759902982798</v>
      </c>
      <c r="AM4109">
        <v>90.766364402630202</v>
      </c>
      <c r="AN4109">
        <v>1.0000000114805701</v>
      </c>
    </row>
    <row r="4110" spans="1:40" x14ac:dyDescent="0.25">
      <c r="A4110" t="str">
        <f>"20190312164552689"</f>
        <v>20190312164552689</v>
      </c>
      <c r="B4110" t="str">
        <f>"1552380352685786"</f>
        <v>1552380352685786</v>
      </c>
      <c r="C4110" t="s">
        <v>40</v>
      </c>
      <c r="D4110">
        <v>4.9567540000000001</v>
      </c>
      <c r="E4110">
        <v>0.46719549999999999</v>
      </c>
      <c r="F4110" t="s">
        <v>71</v>
      </c>
      <c r="G4110">
        <v>-421.37430000000001</v>
      </c>
      <c r="H4110" s="1">
        <v>-8.799853E-6</v>
      </c>
      <c r="I4110">
        <v>136.66419999999999</v>
      </c>
      <c r="J4110">
        <v>-379.70359999999999</v>
      </c>
      <c r="K4110">
        <v>1.1086739999999999</v>
      </c>
      <c r="L4110">
        <v>141.3083</v>
      </c>
      <c r="M4110">
        <v>-0.99992250000000005</v>
      </c>
      <c r="N4110">
        <v>0</v>
      </c>
      <c r="O4110">
        <v>-4.0626459999999996E-3</v>
      </c>
      <c r="P4110">
        <v>-0.99330149999999995</v>
      </c>
      <c r="Q4110">
        <v>0.1141765</v>
      </c>
      <c r="R4110">
        <v>-1.7778039999999998E-2</v>
      </c>
      <c r="S4110">
        <v>-3.023682</v>
      </c>
      <c r="T4110">
        <v>-8.012068E-2</v>
      </c>
      <c r="U4110">
        <v>-0.33566279999999998</v>
      </c>
      <c r="V4110">
        <v>-1.3729979999999999E-2</v>
      </c>
      <c r="W4110">
        <v>0.12587100000000001</v>
      </c>
      <c r="X4110">
        <v>0.99195160000000004</v>
      </c>
      <c r="Y4110">
        <v>-0.1062591</v>
      </c>
      <c r="Z4110">
        <v>-1.2959530000000001E-3</v>
      </c>
      <c r="AA4110">
        <v>0.99433760000000004</v>
      </c>
      <c r="AB4110">
        <v>29</v>
      </c>
      <c r="AC4110">
        <v>-41.670699999999997</v>
      </c>
      <c r="AD4110">
        <v>-1.108682799853</v>
      </c>
      <c r="AE4110">
        <v>-4.6440999999999999</v>
      </c>
      <c r="AF4110">
        <v>-4.4716301459011101</v>
      </c>
      <c r="AG4110">
        <v>-1.108682799853</v>
      </c>
      <c r="AH4110">
        <v>41.660096590175002</v>
      </c>
      <c r="AI4110">
        <v>91.515726640768904</v>
      </c>
      <c r="AJ4110">
        <v>96.126446762564299</v>
      </c>
      <c r="AK4110">
        <v>41.914058519965998</v>
      </c>
      <c r="AL4110">
        <v>82.768942288863201</v>
      </c>
      <c r="AM4110">
        <v>90.793002072711204</v>
      </c>
      <c r="AN4110">
        <v>0.99999999886718005</v>
      </c>
    </row>
    <row r="4111" spans="1:40" x14ac:dyDescent="0.25">
      <c r="A4111" t="str">
        <f>"20190312164552703"</f>
        <v>20190312164552703</v>
      </c>
      <c r="B4111" t="str">
        <f>"1552380352695546"</f>
        <v>1552380352695546</v>
      </c>
      <c r="C4111" t="s">
        <v>40</v>
      </c>
      <c r="D4111">
        <v>5.0608190000000004</v>
      </c>
      <c r="E4111">
        <v>0.4670031</v>
      </c>
      <c r="F4111" t="s">
        <v>71</v>
      </c>
      <c r="G4111">
        <v>-422.22719999999998</v>
      </c>
      <c r="H4111" s="1">
        <v>-8.8797510000000002E-6</v>
      </c>
      <c r="I4111">
        <v>136.55959999999999</v>
      </c>
      <c r="J4111">
        <v>-379.8931</v>
      </c>
      <c r="K4111">
        <v>1.108665</v>
      </c>
      <c r="L4111">
        <v>141.30760000000001</v>
      </c>
      <c r="M4111">
        <v>-0.99992259999999999</v>
      </c>
      <c r="N4111">
        <v>0</v>
      </c>
      <c r="O4111">
        <v>-4.039623E-3</v>
      </c>
      <c r="P4111">
        <v>-0.99335680000000004</v>
      </c>
      <c r="Q4111">
        <v>0.11358790000000001</v>
      </c>
      <c r="R4111">
        <v>-1.8453379999999998E-2</v>
      </c>
      <c r="S4111">
        <v>-3.023285</v>
      </c>
      <c r="T4111">
        <v>-7.8823450000000003E-2</v>
      </c>
      <c r="U4111">
        <v>-0.33761600000000003</v>
      </c>
      <c r="V4111">
        <v>-1.442732E-2</v>
      </c>
      <c r="W4111">
        <v>0.12528349999999999</v>
      </c>
      <c r="X4111">
        <v>0.99201609999999996</v>
      </c>
      <c r="Y4111">
        <v>-0.1069316</v>
      </c>
      <c r="Z4111">
        <v>-1.2844359999999999E-3</v>
      </c>
      <c r="AA4111">
        <v>0.99426559999999997</v>
      </c>
      <c r="AB4111">
        <v>29</v>
      </c>
      <c r="AC4111">
        <v>-42.3340999999999</v>
      </c>
      <c r="AD4111">
        <v>-1.1086738797509901</v>
      </c>
      <c r="AE4111">
        <v>-4.74800000000001</v>
      </c>
      <c r="AF4111">
        <v>-4.5738376265487997</v>
      </c>
      <c r="AG4111">
        <v>-1.1086738797509901</v>
      </c>
      <c r="AH4111">
        <v>42.324268641084302</v>
      </c>
      <c r="AI4111">
        <v>91.491824016494704</v>
      </c>
      <c r="AJ4111">
        <v>96.167821398380099</v>
      </c>
      <c r="AK4111">
        <v>42.585124919487399</v>
      </c>
      <c r="AL4111">
        <v>82.802872327110705</v>
      </c>
      <c r="AM4111">
        <v>90.833218606929407</v>
      </c>
      <c r="AN4111">
        <v>1.0000000227969199</v>
      </c>
    </row>
    <row r="4112" spans="1:40" x14ac:dyDescent="0.25">
      <c r="A4112" t="str">
        <f>"20190312164552725"</f>
        <v>20190312164552725</v>
      </c>
      <c r="B4112" t="str">
        <f>"1552380352716042"</f>
        <v>1552380352716042</v>
      </c>
      <c r="C4112" t="s">
        <v>40</v>
      </c>
      <c r="D4112">
        <v>5.006723</v>
      </c>
      <c r="E4112">
        <v>0.4666786</v>
      </c>
      <c r="F4112" t="s">
        <v>71</v>
      </c>
      <c r="G4112">
        <v>-420.57990000000001</v>
      </c>
      <c r="H4112" s="1">
        <v>-8.7090620000000004E-6</v>
      </c>
      <c r="I4112">
        <v>136.72139999999999</v>
      </c>
      <c r="J4112">
        <v>-380.17829999999998</v>
      </c>
      <c r="K4112">
        <v>1.1086609999999999</v>
      </c>
      <c r="L4112">
        <v>141.3065</v>
      </c>
      <c r="M4112">
        <v>-0.9999228</v>
      </c>
      <c r="N4112">
        <v>0</v>
      </c>
      <c r="O4112">
        <v>-4.0049170000000002E-3</v>
      </c>
      <c r="P4112">
        <v>-0.99343020000000004</v>
      </c>
      <c r="Q4112">
        <v>0.1129324</v>
      </c>
      <c r="R4112">
        <v>-1.8522170000000001E-2</v>
      </c>
      <c r="S4112">
        <v>-3.023193</v>
      </c>
      <c r="T4112">
        <v>-8.2378859999999998E-2</v>
      </c>
      <c r="U4112">
        <v>-0.34077449999999998</v>
      </c>
      <c r="V4112">
        <v>-1.453022E-2</v>
      </c>
      <c r="W4112">
        <v>0.12462910000000001</v>
      </c>
      <c r="X4112">
        <v>0.99209700000000001</v>
      </c>
      <c r="Y4112">
        <v>-0.1079917</v>
      </c>
      <c r="Z4112">
        <v>-1.35765E-3</v>
      </c>
      <c r="AA4112">
        <v>0.99415089999999995</v>
      </c>
      <c r="AB4112">
        <v>29</v>
      </c>
      <c r="AC4112">
        <v>-40.401600000000002</v>
      </c>
      <c r="AD4112">
        <v>-1.1086697090619999</v>
      </c>
      <c r="AE4112">
        <v>-4.5851000000000104</v>
      </c>
      <c r="AF4112">
        <v>-4.4199609723120004</v>
      </c>
      <c r="AG4112">
        <v>-1.1086697090619999</v>
      </c>
      <c r="AH4112">
        <v>40.389612664983702</v>
      </c>
      <c r="AI4112">
        <v>91.563012150030801</v>
      </c>
      <c r="AJ4112">
        <v>96.245204490850696</v>
      </c>
      <c r="AK4112">
        <v>40.645860979292401</v>
      </c>
      <c r="AL4112">
        <v>82.840662704203794</v>
      </c>
      <c r="AM4112">
        <v>90.839092107574999</v>
      </c>
      <c r="AN4112">
        <v>0.99999999863452904</v>
      </c>
    </row>
    <row r="4113" spans="1:40" x14ac:dyDescent="0.25">
      <c r="A4113" t="str">
        <f>"20190312164552749"</f>
        <v>20190312164552749</v>
      </c>
      <c r="B4113" t="str">
        <f>"1552380352745322"</f>
        <v>1552380352745322</v>
      </c>
      <c r="C4113" t="s">
        <v>40</v>
      </c>
      <c r="D4113">
        <v>4.8974219999999997</v>
      </c>
      <c r="E4113">
        <v>0.46648689999999998</v>
      </c>
      <c r="F4113" t="s">
        <v>71</v>
      </c>
      <c r="G4113">
        <v>-419.84629999999999</v>
      </c>
      <c r="H4113" s="1">
        <v>-8.6601009999999997E-6</v>
      </c>
      <c r="I4113">
        <v>136.8047</v>
      </c>
      <c r="J4113">
        <v>-380.47030000000001</v>
      </c>
      <c r="K4113">
        <v>1.1086689999999999</v>
      </c>
      <c r="L4113">
        <v>141.30539999999999</v>
      </c>
      <c r="M4113">
        <v>-0.9999228</v>
      </c>
      <c r="N4113">
        <v>0</v>
      </c>
      <c r="O4113">
        <v>-3.9685500000000004E-3</v>
      </c>
      <c r="P4113">
        <v>-0.99345559999999999</v>
      </c>
      <c r="Q4113">
        <v>0.1125821</v>
      </c>
      <c r="R4113">
        <v>-1.9279129999999998E-2</v>
      </c>
      <c r="S4113">
        <v>-3.0230410000000001</v>
      </c>
      <c r="T4113">
        <v>-8.4490300000000004E-2</v>
      </c>
      <c r="U4113">
        <v>-0.34307860000000001</v>
      </c>
      <c r="V4113">
        <v>-1.5322819999999999E-2</v>
      </c>
      <c r="W4113">
        <v>0.1242795</v>
      </c>
      <c r="X4113">
        <v>0.99212889999999998</v>
      </c>
      <c r="Y4113">
        <v>-0.1087793</v>
      </c>
      <c r="Z4113">
        <v>-1.404427E-3</v>
      </c>
      <c r="AA4113">
        <v>0.99406490000000003</v>
      </c>
      <c r="AB4113">
        <v>29</v>
      </c>
      <c r="AC4113">
        <v>-39.375999999999898</v>
      </c>
      <c r="AD4113">
        <v>-1.108677660101</v>
      </c>
      <c r="AE4113">
        <v>-4.5006999999999904</v>
      </c>
      <c r="AF4113">
        <v>-4.3409910665638103</v>
      </c>
      <c r="AG4113">
        <v>-1.108677660101</v>
      </c>
      <c r="AH4113">
        <v>39.362749184650802</v>
      </c>
      <c r="AI4113">
        <v>91.603629571143998</v>
      </c>
      <c r="AJ4113">
        <v>96.2932455044009</v>
      </c>
      <c r="AK4113">
        <v>39.616907917803502</v>
      </c>
      <c r="AL4113">
        <v>82.860850044499699</v>
      </c>
      <c r="AM4113">
        <v>90.884827689296998</v>
      </c>
      <c r="AN4113">
        <v>0.999999968574105</v>
      </c>
    </row>
    <row r="4114" spans="1:40" x14ac:dyDescent="0.25">
      <c r="A4114" t="str">
        <f>"20190312164552772"</f>
        <v>20190312164552772</v>
      </c>
      <c r="B4114" t="str">
        <f>"1552380352765818"</f>
        <v>1552380352765818</v>
      </c>
      <c r="C4114" t="s">
        <v>40</v>
      </c>
      <c r="D4114">
        <v>4.9611369999999999</v>
      </c>
      <c r="E4114">
        <v>0.46643990000000002</v>
      </c>
      <c r="F4114" t="s">
        <v>71</v>
      </c>
      <c r="G4114">
        <v>-420.8723</v>
      </c>
      <c r="H4114" s="1">
        <v>-8.7305829999999992E-6</v>
      </c>
      <c r="I4114">
        <v>136.6712</v>
      </c>
      <c r="J4114">
        <v>-380.7765</v>
      </c>
      <c r="K4114">
        <v>1.1086750000000001</v>
      </c>
      <c r="L4114">
        <v>141.30420000000001</v>
      </c>
      <c r="M4114">
        <v>-0.99992300000000001</v>
      </c>
      <c r="N4114">
        <v>0</v>
      </c>
      <c r="O4114">
        <v>-3.9309979999999998E-3</v>
      </c>
      <c r="P4114">
        <v>-0.99340419999999996</v>
      </c>
      <c r="Q4114">
        <v>0.1129984</v>
      </c>
      <c r="R4114">
        <v>-1.94831E-2</v>
      </c>
      <c r="S4114">
        <v>-3.0224299999999999</v>
      </c>
      <c r="T4114">
        <v>-8.2939029999999997E-2</v>
      </c>
      <c r="U4114">
        <v>-0.34667969999999998</v>
      </c>
      <c r="V4114">
        <v>-1.556421E-2</v>
      </c>
      <c r="W4114">
        <v>0.124695899999999</v>
      </c>
      <c r="X4114">
        <v>0.99207290000000004</v>
      </c>
      <c r="Y4114">
        <v>-0.1100091</v>
      </c>
      <c r="Z4114">
        <v>-1.396677E-3</v>
      </c>
      <c r="AA4114">
        <v>0.99392959999999997</v>
      </c>
      <c r="AB4114">
        <v>29</v>
      </c>
      <c r="AC4114">
        <v>-40.095799999999997</v>
      </c>
      <c r="AD4114">
        <v>-1.108683730583</v>
      </c>
      <c r="AE4114">
        <v>-4.6330000000000098</v>
      </c>
      <c r="AF4114">
        <v>-4.4719626872933196</v>
      </c>
      <c r="AG4114">
        <v>-1.108683730583</v>
      </c>
      <c r="AH4114">
        <v>40.083460885697001</v>
      </c>
      <c r="AI4114">
        <v>91.574597597283898</v>
      </c>
      <c r="AJ4114">
        <v>96.365951768100004</v>
      </c>
      <c r="AK4114">
        <v>40.347384877662201</v>
      </c>
      <c r="AL4114">
        <v>82.8368050884539</v>
      </c>
      <c r="AM4114">
        <v>90.898815391080007</v>
      </c>
      <c r="AN4114">
        <v>0.99999997551207098</v>
      </c>
    </row>
    <row r="4115" spans="1:40" x14ac:dyDescent="0.25">
      <c r="A4115" t="str">
        <f>"20190312164552794"</f>
        <v>20190312164552794</v>
      </c>
      <c r="B4115" t="str">
        <f>"1552380352785337"</f>
        <v>1552380352785337</v>
      </c>
      <c r="C4115" t="s">
        <v>40</v>
      </c>
      <c r="D4115">
        <v>5.0539259999999997</v>
      </c>
      <c r="E4115">
        <v>0.46635260000000001</v>
      </c>
      <c r="F4115" t="s">
        <v>71</v>
      </c>
      <c r="G4115">
        <v>-422.29169999999999</v>
      </c>
      <c r="H4115" s="1">
        <v>-8.8755129999999904E-6</v>
      </c>
      <c r="I4115">
        <v>136.5265</v>
      </c>
      <c r="J4115">
        <v>-381.05939999999998</v>
      </c>
      <c r="K4115">
        <v>1.108676</v>
      </c>
      <c r="L4115">
        <v>141.3031</v>
      </c>
      <c r="M4115">
        <v>-0.99992309999999995</v>
      </c>
      <c r="N4115">
        <v>0</v>
      </c>
      <c r="O4115">
        <v>-3.8969040000000001E-3</v>
      </c>
      <c r="P4115">
        <v>-0.99332770000000004</v>
      </c>
      <c r="Q4115">
        <v>0.1135574</v>
      </c>
      <c r="R4115">
        <v>-2.012541E-2</v>
      </c>
      <c r="S4115">
        <v>-3.022278</v>
      </c>
      <c r="T4115">
        <v>-8.0711480000000002E-2</v>
      </c>
      <c r="U4115">
        <v>-0.34780879999999997</v>
      </c>
      <c r="V4115">
        <v>-1.6240480000000002E-2</v>
      </c>
      <c r="W4115">
        <v>0.12525410000000001</v>
      </c>
      <c r="X4115">
        <v>0.99199179999999998</v>
      </c>
      <c r="Y4115">
        <v>-0.11041719999999999</v>
      </c>
      <c r="Z4115">
        <v>-1.3655550000000001E-3</v>
      </c>
      <c r="AA4115">
        <v>0.9938844</v>
      </c>
      <c r="AB4115">
        <v>29</v>
      </c>
      <c r="AC4115">
        <v>-41.232300000000002</v>
      </c>
      <c r="AD4115">
        <v>-1.1086848755130001</v>
      </c>
      <c r="AE4115">
        <v>-4.7766000000000002</v>
      </c>
      <c r="AF4115">
        <v>-4.6125835182114896</v>
      </c>
      <c r="AG4115">
        <v>-1.1086848755130001</v>
      </c>
      <c r="AH4115">
        <v>41.221193676772998</v>
      </c>
      <c r="AI4115">
        <v>91.5311041204845</v>
      </c>
      <c r="AJ4115">
        <v>96.384743232751703</v>
      </c>
      <c r="AK4115">
        <v>41.493275563682502</v>
      </c>
      <c r="AL4115">
        <v>82.804570300214095</v>
      </c>
      <c r="AM4115">
        <v>90.937939043484505</v>
      </c>
      <c r="AN4115">
        <v>1.0000000370123301</v>
      </c>
    </row>
    <row r="4116" spans="1:40" x14ac:dyDescent="0.25">
      <c r="A4116" t="str">
        <f>"20190312164552815"</f>
        <v>20190312164552815</v>
      </c>
      <c r="B4116" t="str">
        <f>"1552380352805834"</f>
        <v>1552380352805834</v>
      </c>
      <c r="C4116" t="s">
        <v>40</v>
      </c>
      <c r="D4116">
        <v>4.9153500000000001</v>
      </c>
      <c r="E4116">
        <v>0.46631060000000002</v>
      </c>
      <c r="F4116" t="s">
        <v>71</v>
      </c>
      <c r="G4116">
        <v>-423.82690000000002</v>
      </c>
      <c r="H4116" s="1">
        <v>-9.0220689999999998E-6</v>
      </c>
      <c r="I4116">
        <v>136.3451</v>
      </c>
      <c r="J4116">
        <v>-381.33699999999999</v>
      </c>
      <c r="K4116">
        <v>1.1086720000000001</v>
      </c>
      <c r="L4116">
        <v>141.3021</v>
      </c>
      <c r="M4116">
        <v>-0.99992309999999995</v>
      </c>
      <c r="N4116">
        <v>0</v>
      </c>
      <c r="O4116">
        <v>-3.86353E-3</v>
      </c>
      <c r="P4116">
        <v>-0.99325980000000003</v>
      </c>
      <c r="Q4116">
        <v>0.11409469999999999</v>
      </c>
      <c r="R4116">
        <v>-2.0427210000000001E-2</v>
      </c>
      <c r="S4116">
        <v>-3.0220030000000002</v>
      </c>
      <c r="T4116">
        <v>-7.8341129999999995E-2</v>
      </c>
      <c r="U4116">
        <v>-0.35034179999999998</v>
      </c>
      <c r="V4116">
        <v>-1.6575659999999999E-2</v>
      </c>
      <c r="W4116">
        <v>0.12579109999999999</v>
      </c>
      <c r="X4116">
        <v>0.99191830000000003</v>
      </c>
      <c r="Y4116">
        <v>-0.11128449999999999</v>
      </c>
      <c r="Z4116">
        <v>-1.337586E-3</v>
      </c>
      <c r="AA4116">
        <v>0.99378770000000005</v>
      </c>
      <c r="AB4116">
        <v>29</v>
      </c>
      <c r="AC4116">
        <v>-42.489899999999999</v>
      </c>
      <c r="AD4116">
        <v>-1.108681022069</v>
      </c>
      <c r="AE4116">
        <v>-4.9569999999999901</v>
      </c>
      <c r="AF4116">
        <v>-4.7895734727735597</v>
      </c>
      <c r="AG4116">
        <v>-1.108681022069</v>
      </c>
      <c r="AH4116">
        <v>42.480202028791702</v>
      </c>
      <c r="AI4116">
        <v>91.4856014438095</v>
      </c>
      <c r="AJ4116">
        <v>96.432838956285096</v>
      </c>
      <c r="AK4116">
        <v>42.763731736914103</v>
      </c>
      <c r="AL4116">
        <v>82.773557152434904</v>
      </c>
      <c r="AM4116">
        <v>90.957364102928906</v>
      </c>
      <c r="AN4116">
        <v>1.00000003360926</v>
      </c>
    </row>
    <row r="4117" spans="1:40" x14ac:dyDescent="0.25">
      <c r="A4117" t="str">
        <f>"20190312164552838"</f>
        <v>20190312164552838</v>
      </c>
      <c r="B4117" t="str">
        <f>"1552380352825357"</f>
        <v>1552380352825357</v>
      </c>
      <c r="C4117" t="s">
        <v>40</v>
      </c>
      <c r="D4117">
        <v>5.1169820000000001</v>
      </c>
      <c r="E4117">
        <v>0.46324779999999999</v>
      </c>
      <c r="F4117" t="s">
        <v>71</v>
      </c>
      <c r="G4117">
        <v>-425.24450000000002</v>
      </c>
      <c r="H4117" s="1">
        <v>-9.1645149999999994E-6</v>
      </c>
      <c r="I4117">
        <v>136.19499999999999</v>
      </c>
      <c r="J4117">
        <v>-381.62430000000001</v>
      </c>
      <c r="K4117">
        <v>1.1086750000000001</v>
      </c>
      <c r="L4117">
        <v>141.30099999999999</v>
      </c>
      <c r="M4117">
        <v>-0.99992320000000001</v>
      </c>
      <c r="N4117">
        <v>0</v>
      </c>
      <c r="O4117">
        <v>-3.829084E-3</v>
      </c>
      <c r="P4117">
        <v>-0.99326930000000002</v>
      </c>
      <c r="Q4117">
        <v>0.1139598</v>
      </c>
      <c r="R4117">
        <v>-2.0722979999999998E-2</v>
      </c>
      <c r="S4117">
        <v>-3.0218509999999998</v>
      </c>
      <c r="T4117">
        <v>-7.6302889999999998E-2</v>
      </c>
      <c r="U4117">
        <v>-0.35148620000000003</v>
      </c>
      <c r="V4117">
        <v>-1.690562E-2</v>
      </c>
      <c r="W4117">
        <v>0.1256562</v>
      </c>
      <c r="X4117">
        <v>0.99192979999999997</v>
      </c>
      <c r="Y4117">
        <v>-0.11169750000000001</v>
      </c>
      <c r="Z4117">
        <v>-1.3088959999999999E-3</v>
      </c>
      <c r="AA4117">
        <v>0.9937414</v>
      </c>
      <c r="AB4117">
        <v>29</v>
      </c>
      <c r="AC4117">
        <v>-43.620199999999997</v>
      </c>
      <c r="AD4117">
        <v>-1.1086841645150001</v>
      </c>
      <c r="AE4117">
        <v>-5.1060000000000203</v>
      </c>
      <c r="AF4117">
        <v>-4.9357800769723399</v>
      </c>
      <c r="AG4117">
        <v>-1.1086841645150001</v>
      </c>
      <c r="AH4117">
        <v>43.6116400278474</v>
      </c>
      <c r="AI4117">
        <v>91.447011517606796</v>
      </c>
      <c r="AJ4117">
        <v>96.457017592396198</v>
      </c>
      <c r="AK4117">
        <v>43.904057346257098</v>
      </c>
      <c r="AL4117">
        <v>82.781347959934905</v>
      </c>
      <c r="AM4117">
        <v>90.976406704907006</v>
      </c>
      <c r="AN4117">
        <v>1.0000000043570301</v>
      </c>
    </row>
    <row r="4118" spans="1:40" x14ac:dyDescent="0.25">
      <c r="A4118" t="str">
        <f>"20190312164552861"</f>
        <v>20190312164552861</v>
      </c>
      <c r="B4118" t="str">
        <f>"1552380352855613"</f>
        <v>1552380352855613</v>
      </c>
      <c r="C4118" t="s">
        <v>40</v>
      </c>
      <c r="D4118">
        <v>5.0789790000000004</v>
      </c>
      <c r="E4118">
        <v>0.4789699</v>
      </c>
      <c r="F4118" t="s">
        <v>42</v>
      </c>
      <c r="G4118">
        <v>-392.87849999999997</v>
      </c>
      <c r="H4118" s="1">
        <v>-3.1041870000000001E-6</v>
      </c>
      <c r="I4118">
        <v>139.8672</v>
      </c>
      <c r="J4118">
        <v>-381.92290000000003</v>
      </c>
      <c r="K4118">
        <v>1.108671</v>
      </c>
      <c r="L4118">
        <v>141.29990000000001</v>
      </c>
      <c r="M4118">
        <v>-0.99992349999999997</v>
      </c>
      <c r="N4118">
        <v>0</v>
      </c>
      <c r="O4118">
        <v>-3.7939219999999999E-3</v>
      </c>
      <c r="P4118">
        <v>-0.99320710000000001</v>
      </c>
      <c r="Q4118">
        <v>0.1144698</v>
      </c>
      <c r="R4118">
        <v>-2.089357E-2</v>
      </c>
      <c r="S4118">
        <v>-3.0466609999999998</v>
      </c>
      <c r="T4118">
        <v>-0.3001335</v>
      </c>
      <c r="U4118">
        <v>-0.38813779999999998</v>
      </c>
      <c r="V4118">
        <v>-1.7111669999999999E-2</v>
      </c>
      <c r="W4118">
        <v>0.12616569999999999</v>
      </c>
      <c r="X4118">
        <v>0.99186160000000001</v>
      </c>
      <c r="Y4118">
        <v>-0.1220484</v>
      </c>
      <c r="Z4118">
        <v>-5.6017940000000002E-3</v>
      </c>
      <c r="AA4118">
        <v>0.99250839999999996</v>
      </c>
      <c r="AB4118">
        <v>29</v>
      </c>
      <c r="AC4118">
        <v>-10.955599999999899</v>
      </c>
      <c r="AD4118">
        <v>-1.1086741041870001</v>
      </c>
      <c r="AE4118">
        <v>-1.4327000000000101</v>
      </c>
      <c r="AF4118">
        <v>-1.37725502040699</v>
      </c>
      <c r="AG4118">
        <v>-1.1086741041870001</v>
      </c>
      <c r="AH4118">
        <v>10.8516951838676</v>
      </c>
      <c r="AI4118">
        <v>95.787334318110695</v>
      </c>
      <c r="AJ4118">
        <v>97.233087170089306</v>
      </c>
      <c r="AK4118">
        <v>10.9947841281267</v>
      </c>
      <c r="AL4118">
        <v>82.751921636952702</v>
      </c>
      <c r="AM4118">
        <v>90.988372994123296</v>
      </c>
      <c r="AN4118">
        <v>1.0000000133306099</v>
      </c>
    </row>
    <row r="4119" spans="1:40" x14ac:dyDescent="0.25">
      <c r="A4119" t="str">
        <f>"20190312164552882"</f>
        <v>20190312164552882</v>
      </c>
      <c r="B4119" t="str">
        <f>"1552380352876106"</f>
        <v>1552380352876106</v>
      </c>
      <c r="C4119" t="s">
        <v>40</v>
      </c>
      <c r="D4119">
        <v>4.8355269999999999</v>
      </c>
      <c r="E4119">
        <v>0.4800296</v>
      </c>
      <c r="F4119" t="s">
        <v>71</v>
      </c>
      <c r="G4119">
        <v>-408.44569999999999</v>
      </c>
      <c r="H4119" s="1">
        <v>-9.4975780000000002E-6</v>
      </c>
      <c r="I4119">
        <v>139.07089999999999</v>
      </c>
      <c r="J4119">
        <v>-382.21010000000001</v>
      </c>
      <c r="K4119">
        <v>1.1086739999999999</v>
      </c>
      <c r="L4119">
        <v>141.2988</v>
      </c>
      <c r="M4119">
        <v>-0.99992369999999997</v>
      </c>
      <c r="N4119">
        <v>0</v>
      </c>
      <c r="O4119">
        <v>-3.7600720000000002E-3</v>
      </c>
      <c r="P4119">
        <v>-0.9931335</v>
      </c>
      <c r="Q4119">
        <v>0.11508980000000001</v>
      </c>
      <c r="R4119">
        <v>-2.0985569999999999E-2</v>
      </c>
      <c r="S4119">
        <v>-3.029785</v>
      </c>
      <c r="T4119">
        <v>-0.12664810000000001</v>
      </c>
      <c r="U4119">
        <v>-0.2546234</v>
      </c>
      <c r="V4119">
        <v>-1.723705E-2</v>
      </c>
      <c r="W4119">
        <v>0.12678529999999999</v>
      </c>
      <c r="X4119">
        <v>0.99178040000000001</v>
      </c>
      <c r="Y4119">
        <v>-7.9931119999999994E-2</v>
      </c>
      <c r="Z4119">
        <v>-1.5101029999999901E-3</v>
      </c>
      <c r="AA4119">
        <v>0.9967992</v>
      </c>
      <c r="AB4119">
        <v>29</v>
      </c>
      <c r="AC4119">
        <v>-26.235599999999899</v>
      </c>
      <c r="AD4119">
        <v>-1.108683497578</v>
      </c>
      <c r="AE4119">
        <v>-2.2279</v>
      </c>
      <c r="AF4119">
        <v>-2.1254611974400501</v>
      </c>
      <c r="AG4119">
        <v>-1.108683497578</v>
      </c>
      <c r="AH4119">
        <v>26.197343852240301</v>
      </c>
      <c r="AI4119">
        <v>92.415410118375405</v>
      </c>
      <c r="AJ4119">
        <v>94.638401553021794</v>
      </c>
      <c r="AK4119">
        <v>26.3067973974814</v>
      </c>
      <c r="AL4119">
        <v>82.716133651588194</v>
      </c>
      <c r="AM4119">
        <v>90.995695009421496</v>
      </c>
      <c r="AN4119">
        <v>0.99999999500647596</v>
      </c>
    </row>
    <row r="4120" spans="1:40" x14ac:dyDescent="0.25">
      <c r="A4120" t="str">
        <f>"20190312164552904"</f>
        <v>20190312164552904</v>
      </c>
      <c r="B4120" t="str">
        <f>"1552380352895626"</f>
        <v>1552380352895626</v>
      </c>
      <c r="C4120" t="s">
        <v>40</v>
      </c>
      <c r="D4120">
        <v>4.8755110000000004</v>
      </c>
      <c r="E4120">
        <v>0.48043859999999999</v>
      </c>
      <c r="F4120" t="s">
        <v>71</v>
      </c>
      <c r="G4120">
        <v>-413.66230000000002</v>
      </c>
      <c r="H4120" s="1">
        <v>-9.9711009999999995E-6</v>
      </c>
      <c r="I4120">
        <v>138.74529999999999</v>
      </c>
      <c r="J4120">
        <v>-382.49220000000003</v>
      </c>
      <c r="K4120">
        <v>1.1086769999999999</v>
      </c>
      <c r="L4120">
        <v>141.2978</v>
      </c>
      <c r="M4120">
        <v>-0.99992380000000003</v>
      </c>
      <c r="N4120">
        <v>0</v>
      </c>
      <c r="O4120">
        <v>-3.727054E-3</v>
      </c>
      <c r="P4120">
        <v>-0.9931141</v>
      </c>
      <c r="Q4120">
        <v>0.11524089999999999</v>
      </c>
      <c r="R4120">
        <v>-2.1083569999999999E-2</v>
      </c>
      <c r="S4120">
        <v>-3.0279240000000001</v>
      </c>
      <c r="T4120">
        <v>-0.1067338</v>
      </c>
      <c r="U4120">
        <v>-0.24583440000000001</v>
      </c>
      <c r="V4120">
        <v>-1.736818E-2</v>
      </c>
      <c r="W4120">
        <v>0.1269362</v>
      </c>
      <c r="X4120">
        <v>0.99175880000000005</v>
      </c>
      <c r="Y4120">
        <v>-7.7161859999999999E-2</v>
      </c>
      <c r="Z4120">
        <v>-1.226193E-3</v>
      </c>
      <c r="AA4120">
        <v>0.99701779999999995</v>
      </c>
      <c r="AB4120">
        <v>29</v>
      </c>
      <c r="AC4120">
        <v>-31.170099999999898</v>
      </c>
      <c r="AD4120">
        <v>-1.1086869711009999</v>
      </c>
      <c r="AE4120">
        <v>-2.5525000000000002</v>
      </c>
      <c r="AF4120">
        <v>-2.4332436687327101</v>
      </c>
      <c r="AG4120">
        <v>-1.1086869711009999</v>
      </c>
      <c r="AH4120">
        <v>31.140262818264102</v>
      </c>
      <c r="AI4120">
        <v>92.032849548345794</v>
      </c>
      <c r="AJ4120">
        <v>94.467910017105297</v>
      </c>
      <c r="AK4120">
        <v>31.254852902259501</v>
      </c>
      <c r="AL4120">
        <v>82.707417221271896</v>
      </c>
      <c r="AM4120">
        <v>91.003290013462106</v>
      </c>
      <c r="AN4120">
        <v>0.999999984962196</v>
      </c>
    </row>
    <row r="4121" spans="1:40" x14ac:dyDescent="0.25">
      <c r="A4121" t="str">
        <f>"20190312164552927"</f>
        <v>20190312164552927</v>
      </c>
      <c r="B4121" t="str">
        <f>"1552380352916122"</f>
        <v>1552380352916122</v>
      </c>
      <c r="C4121" t="s">
        <v>40</v>
      </c>
      <c r="D4121">
        <v>5.153931</v>
      </c>
      <c r="E4121">
        <v>0.47493590000000002</v>
      </c>
      <c r="F4121" t="s">
        <v>71</v>
      </c>
      <c r="G4121">
        <v>-416.03359999999998</v>
      </c>
      <c r="H4121" s="1">
        <v>-9.7048099999999997E-6</v>
      </c>
      <c r="I4121">
        <v>138.61259999999999</v>
      </c>
      <c r="J4121">
        <v>-382.78250000000003</v>
      </c>
      <c r="K4121">
        <v>1.1086750000000001</v>
      </c>
      <c r="L4121">
        <v>141.29679999999999</v>
      </c>
      <c r="M4121">
        <v>-0.99992380000000003</v>
      </c>
      <c r="N4121">
        <v>0</v>
      </c>
      <c r="O4121">
        <v>-3.6930830000000002E-3</v>
      </c>
      <c r="P4121">
        <v>-0.99302670000000004</v>
      </c>
      <c r="Q4121">
        <v>0.11599130000000001</v>
      </c>
      <c r="R4121">
        <v>-2.1075699999999999E-2</v>
      </c>
      <c r="S4121">
        <v>-3.0272830000000002</v>
      </c>
      <c r="T4121">
        <v>-0.100064899999999</v>
      </c>
      <c r="U4121">
        <v>-0.2423553</v>
      </c>
      <c r="V4121">
        <v>-1.739487E-2</v>
      </c>
      <c r="W4121">
        <v>0.12768589999999999</v>
      </c>
      <c r="X4121">
        <v>0.99166209999999999</v>
      </c>
      <c r="Y4121">
        <v>-7.6080339999999996E-2</v>
      </c>
      <c r="Z4121">
        <v>-1.1331959999999999E-3</v>
      </c>
      <c r="AA4121">
        <v>0.99710109999999996</v>
      </c>
      <c r="AB4121">
        <v>29</v>
      </c>
      <c r="AC4121">
        <v>-33.251099999999902</v>
      </c>
      <c r="AD4121">
        <v>-1.1086847048099999</v>
      </c>
      <c r="AE4121">
        <v>-2.6842000000000001</v>
      </c>
      <c r="AF4121">
        <v>-2.5585480703274199</v>
      </c>
      <c r="AG4121">
        <v>-1.1086847048099999</v>
      </c>
      <c r="AH4121">
        <v>33.224089395190099</v>
      </c>
      <c r="AI4121">
        <v>91.905607565828006</v>
      </c>
      <c r="AJ4121">
        <v>94.403589398949507</v>
      </c>
      <c r="AK4121">
        <v>33.340897800485799</v>
      </c>
      <c r="AL4121">
        <v>82.664110255601798</v>
      </c>
      <c r="AM4121">
        <v>91.004929435804499</v>
      </c>
      <c r="AN4121">
        <v>0.99999999556876795</v>
      </c>
    </row>
    <row r="4122" spans="1:40" x14ac:dyDescent="0.25">
      <c r="A4122" t="str">
        <f>"20190312164552950"</f>
        <v>20190312164552950</v>
      </c>
      <c r="B4122" t="str">
        <f>"1552380352945401"</f>
        <v>1552380352945401</v>
      </c>
      <c r="C4122" t="s">
        <v>40</v>
      </c>
      <c r="D4122">
        <v>5.041156</v>
      </c>
      <c r="E4122">
        <v>0.48193829999999999</v>
      </c>
      <c r="F4122" t="s">
        <v>42</v>
      </c>
      <c r="G4122">
        <v>-392.45179999999999</v>
      </c>
      <c r="H4122" s="1">
        <v>-3.4160870000000001E-6</v>
      </c>
      <c r="I4122">
        <v>140.35140000000001</v>
      </c>
      <c r="J4122">
        <v>-383.07709999999997</v>
      </c>
      <c r="K4122">
        <v>1.108679</v>
      </c>
      <c r="L4122">
        <v>141.29570000000001</v>
      </c>
      <c r="M4122">
        <v>-0.99992389999999998</v>
      </c>
      <c r="N4122">
        <v>0</v>
      </c>
      <c r="O4122">
        <v>-3.6585509999999999E-3</v>
      </c>
      <c r="P4122">
        <v>-0.99290820000000002</v>
      </c>
      <c r="Q4122">
        <v>0.11693580000000001</v>
      </c>
      <c r="R4122">
        <v>-2.144629E-2</v>
      </c>
      <c r="S4122">
        <v>-3.055634</v>
      </c>
      <c r="T4122">
        <v>-0.35035850000000002</v>
      </c>
      <c r="U4122">
        <v>-0.29872130000000002</v>
      </c>
      <c r="V4122">
        <v>-1.77997999999999E-2</v>
      </c>
      <c r="W4122">
        <v>0.12863550000000001</v>
      </c>
      <c r="X4122">
        <v>0.99153219999999997</v>
      </c>
      <c r="Y4122">
        <v>-9.307464E-2</v>
      </c>
      <c r="Z4122">
        <v>-4.88887E-3</v>
      </c>
      <c r="AA4122">
        <v>0.99564710000000001</v>
      </c>
      <c r="AB4122">
        <v>29</v>
      </c>
      <c r="AC4122">
        <v>-9.3747000000000096</v>
      </c>
      <c r="AD4122">
        <v>-1.1086824160869999</v>
      </c>
      <c r="AE4122">
        <v>-0.94429999999999803</v>
      </c>
      <c r="AF4122">
        <v>-0.89756603932048296</v>
      </c>
      <c r="AG4122">
        <v>-1.1086824160869999</v>
      </c>
      <c r="AH4122">
        <v>9.2500191546892001</v>
      </c>
      <c r="AI4122">
        <v>96.803062981891898</v>
      </c>
      <c r="AJ4122">
        <v>95.542285521805994</v>
      </c>
      <c r="AK4122">
        <v>9.3593619364141993</v>
      </c>
      <c r="AL4122">
        <v>82.609249907634506</v>
      </c>
      <c r="AM4122">
        <v>91.028452613167104</v>
      </c>
      <c r="AN4122">
        <v>1.0000000141885601</v>
      </c>
    </row>
    <row r="4123" spans="1:40" x14ac:dyDescent="0.25">
      <c r="A4123" t="str">
        <f>"20190312164552973"</f>
        <v>20190312164552973</v>
      </c>
      <c r="B4123" t="str">
        <f>"1552380352965898"</f>
        <v>1552380352965898</v>
      </c>
      <c r="C4123" t="s">
        <v>40</v>
      </c>
      <c r="D4123">
        <v>5.0304779999999996</v>
      </c>
      <c r="E4123">
        <v>0.48161500000000002</v>
      </c>
      <c r="F4123" t="s">
        <v>71</v>
      </c>
      <c r="G4123">
        <v>-416.90820000000002</v>
      </c>
      <c r="H4123" s="1">
        <v>-9.6711350000000004E-6</v>
      </c>
      <c r="I4123">
        <v>138.71129999999999</v>
      </c>
      <c r="J4123">
        <v>-383.38249999999999</v>
      </c>
      <c r="K4123">
        <v>1.108687</v>
      </c>
      <c r="L4123">
        <v>141.29470000000001</v>
      </c>
      <c r="M4123">
        <v>-0.99992380000000003</v>
      </c>
      <c r="N4123">
        <v>0</v>
      </c>
      <c r="O4123">
        <v>-3.6221650000000001E-3</v>
      </c>
      <c r="P4123">
        <v>-0.99284799999999995</v>
      </c>
      <c r="Q4123">
        <v>0.1173376</v>
      </c>
      <c r="R4123">
        <v>-2.2020629999999999E-2</v>
      </c>
      <c r="S4123">
        <v>-3.0281069999999999</v>
      </c>
      <c r="T4123">
        <v>-9.9234939999999994E-2</v>
      </c>
      <c r="U4123">
        <v>-0.23132320000000001</v>
      </c>
      <c r="V4123">
        <v>-1.8410119999999999E-2</v>
      </c>
      <c r="W4123">
        <v>0.129052</v>
      </c>
      <c r="X4123">
        <v>0.99146690000000004</v>
      </c>
      <c r="Y4123">
        <v>-7.2520940000000006E-2</v>
      </c>
      <c r="Z4123">
        <v>-1.067754E-3</v>
      </c>
      <c r="AA4123">
        <v>0.99736630000000004</v>
      </c>
      <c r="AB4123">
        <v>29</v>
      </c>
      <c r="AC4123">
        <v>-33.525700000000001</v>
      </c>
      <c r="AD4123">
        <v>-1.1086966711349999</v>
      </c>
      <c r="AE4123">
        <v>-2.5834000000000099</v>
      </c>
      <c r="AF4123">
        <v>-2.4592653291909499</v>
      </c>
      <c r="AG4123">
        <v>-1.1086966711349999</v>
      </c>
      <c r="AH4123">
        <v>33.498419615796799</v>
      </c>
      <c r="AI4123">
        <v>91.890541416161597</v>
      </c>
      <c r="AJ4123">
        <v>94.198800911310599</v>
      </c>
      <c r="AK4123">
        <v>33.606864046262103</v>
      </c>
      <c r="AL4123">
        <v>82.585185401485106</v>
      </c>
      <c r="AM4123">
        <v>91.063778296676901</v>
      </c>
      <c r="AN4123">
        <v>0.99999998250901201</v>
      </c>
    </row>
    <row r="4124" spans="1:40" x14ac:dyDescent="0.25">
      <c r="A4124" t="str">
        <f>"20190312164552996"</f>
        <v>20190312164552996</v>
      </c>
      <c r="B4124" t="str">
        <f>"1552380352985418"</f>
        <v>1552380352985418</v>
      </c>
      <c r="C4124" t="s">
        <v>40</v>
      </c>
      <c r="D4124">
        <v>5.0109329999999996</v>
      </c>
      <c r="E4124">
        <v>0.48147390000000001</v>
      </c>
      <c r="F4124" t="s">
        <v>71</v>
      </c>
      <c r="G4124">
        <v>-419.51650000000001</v>
      </c>
      <c r="H4124" s="1">
        <v>-9.3624039999999996E-6</v>
      </c>
      <c r="I4124">
        <v>138.4819</v>
      </c>
      <c r="J4124">
        <v>-383.66980000000001</v>
      </c>
      <c r="K4124">
        <v>1.108687</v>
      </c>
      <c r="L4124">
        <v>141.2937</v>
      </c>
      <c r="M4124">
        <v>-0.99992380000000003</v>
      </c>
      <c r="N4124">
        <v>0</v>
      </c>
      <c r="O4124">
        <v>-3.5880500000000002E-3</v>
      </c>
      <c r="P4124">
        <v>-0.99276109999999995</v>
      </c>
      <c r="Q4124">
        <v>0.117926</v>
      </c>
      <c r="R4124">
        <v>-2.2781780000000001E-2</v>
      </c>
      <c r="S4124">
        <v>-3.027374</v>
      </c>
      <c r="T4124">
        <v>-9.2888830000000006E-2</v>
      </c>
      <c r="U4124">
        <v>-0.2356567</v>
      </c>
      <c r="V4124">
        <v>-1.9205679999999999E-2</v>
      </c>
      <c r="W4124">
        <v>0.12965679999999999</v>
      </c>
      <c r="X4124">
        <v>0.9913729</v>
      </c>
      <c r="Y4124">
        <v>-7.3996270000000003E-2</v>
      </c>
      <c r="Z4124">
        <v>-1.0233289999999999E-3</v>
      </c>
      <c r="AA4124">
        <v>0.99725799999999998</v>
      </c>
      <c r="AB4124">
        <v>29</v>
      </c>
      <c r="AC4124">
        <v>-35.846699999999998</v>
      </c>
      <c r="AD4124">
        <v>-1.108696362404</v>
      </c>
      <c r="AE4124">
        <v>-2.8117999999999999</v>
      </c>
      <c r="AF4124">
        <v>-2.6806046073103298</v>
      </c>
      <c r="AG4124">
        <v>-1.108696362404</v>
      </c>
      <c r="AH4124">
        <v>35.822500825072602</v>
      </c>
      <c r="AI4124">
        <v>91.767783100440795</v>
      </c>
      <c r="AJ4124">
        <v>94.279478334056506</v>
      </c>
      <c r="AK4124">
        <v>35.9397609069268</v>
      </c>
      <c r="AL4124">
        <v>82.550239332302993</v>
      </c>
      <c r="AM4124">
        <v>91.109841488451394</v>
      </c>
      <c r="AN4124">
        <v>0.99999998539245605</v>
      </c>
    </row>
    <row r="4125" spans="1:40" x14ac:dyDescent="0.25">
      <c r="A4125" t="str">
        <f>"20190312164553016"</f>
        <v>20190312164553016</v>
      </c>
      <c r="B4125" t="str">
        <f>"1552380353005914"</f>
        <v>1552380353005914</v>
      </c>
      <c r="C4125" t="s">
        <v>40</v>
      </c>
      <c r="D4125">
        <v>5.0356059999999996</v>
      </c>
      <c r="E4125">
        <v>0.48158129999999999</v>
      </c>
      <c r="F4125" t="s">
        <v>71</v>
      </c>
      <c r="G4125">
        <v>-422.58510000000001</v>
      </c>
      <c r="H4125" s="1">
        <v>-9.6093850000000005E-6</v>
      </c>
      <c r="I4125">
        <v>138.22479999999999</v>
      </c>
      <c r="J4125">
        <v>-383.94170000000003</v>
      </c>
      <c r="K4125">
        <v>1.1086929999999999</v>
      </c>
      <c r="L4125">
        <v>141.2927</v>
      </c>
      <c r="M4125">
        <v>-0.99992349999999997</v>
      </c>
      <c r="N4125">
        <v>0</v>
      </c>
      <c r="O4125">
        <v>-3.5615270000000001E-3</v>
      </c>
      <c r="P4125">
        <v>-0.99274929999999995</v>
      </c>
      <c r="Q4125">
        <v>0.1177825</v>
      </c>
      <c r="R4125">
        <v>-2.4002059999999999E-2</v>
      </c>
      <c r="S4125">
        <v>-3.0266419999999998</v>
      </c>
      <c r="T4125">
        <v>-8.6228849999999996E-2</v>
      </c>
      <c r="U4125">
        <v>-0.238678</v>
      </c>
      <c r="V4125">
        <v>-2.0453019999999999E-2</v>
      </c>
      <c r="W4125">
        <v>0.1295376</v>
      </c>
      <c r="X4125">
        <v>0.99136349999999995</v>
      </c>
      <c r="Y4125">
        <v>-7.5034859999999995E-2</v>
      </c>
      <c r="Z4125">
        <v>-9.6570399999999995E-4</v>
      </c>
      <c r="AA4125">
        <v>0.99718050000000003</v>
      </c>
      <c r="AB4125">
        <v>29</v>
      </c>
      <c r="AC4125">
        <v>-38.6433999999999</v>
      </c>
      <c r="AD4125">
        <v>-1.1087026093850001</v>
      </c>
      <c r="AE4125">
        <v>-3.0678999999999998</v>
      </c>
      <c r="AF4125">
        <v>-2.9278464063927299</v>
      </c>
      <c r="AG4125">
        <v>-1.1087026093850001</v>
      </c>
      <c r="AH4125">
        <v>38.622489039988302</v>
      </c>
      <c r="AI4125">
        <v>91.639587405811696</v>
      </c>
      <c r="AJ4125">
        <v>94.335116898707994</v>
      </c>
      <c r="AK4125">
        <v>38.749169871101799</v>
      </c>
      <c r="AL4125">
        <v>82.557126829273699</v>
      </c>
      <c r="AM4125">
        <v>91.181913091473405</v>
      </c>
      <c r="AN4125">
        <v>0.99999995248656404</v>
      </c>
    </row>
    <row r="4126" spans="1:40" x14ac:dyDescent="0.25">
      <c r="A4126" t="str">
        <f>"20190312164553040"</f>
        <v>20190312164553040</v>
      </c>
      <c r="B4126" t="str">
        <f>"1552380353035194"</f>
        <v>1552380353035194</v>
      </c>
      <c r="C4126" t="s">
        <v>40</v>
      </c>
      <c r="D4126">
        <v>5.0352309999999996</v>
      </c>
      <c r="E4126">
        <v>0.48139349999999997</v>
      </c>
      <c r="F4126" t="s">
        <v>71</v>
      </c>
      <c r="G4126">
        <v>-423.93259999999998</v>
      </c>
      <c r="H4126" s="1">
        <v>-9.7525030000000001E-6</v>
      </c>
      <c r="I4126">
        <v>138.1011</v>
      </c>
      <c r="J4126">
        <v>-384.23840000000001</v>
      </c>
      <c r="K4126">
        <v>1.1087049999999901</v>
      </c>
      <c r="L4126">
        <v>141.29169999999999</v>
      </c>
      <c r="M4126">
        <v>-0.99992309999999995</v>
      </c>
      <c r="N4126">
        <v>0</v>
      </c>
      <c r="O4126">
        <v>-3.5456839999999999E-3</v>
      </c>
      <c r="P4126">
        <v>-0.99277079999999995</v>
      </c>
      <c r="Q4126">
        <v>0.11733789999999999</v>
      </c>
      <c r="R4126">
        <v>-2.526457E-2</v>
      </c>
      <c r="S4126">
        <v>-3.0260009999999999</v>
      </c>
      <c r="T4126">
        <v>-8.3892460000000002E-2</v>
      </c>
      <c r="U4126">
        <v>-0.24150089999999999</v>
      </c>
      <c r="V4126">
        <v>-2.1733809999999999E-2</v>
      </c>
      <c r="W4126">
        <v>0.12913569999999999</v>
      </c>
      <c r="X4126">
        <v>0.99138870000000001</v>
      </c>
      <c r="Y4126">
        <v>-7.5992760000000006E-2</v>
      </c>
      <c r="Z4126">
        <v>-9.5340500000000005E-4</v>
      </c>
      <c r="AA4126">
        <v>0.99710790000000005</v>
      </c>
      <c r="AB4126">
        <v>29</v>
      </c>
      <c r="AC4126">
        <v>-39.694199999999903</v>
      </c>
      <c r="AD4126">
        <v>-1.1087147525029999</v>
      </c>
      <c r="AE4126">
        <v>-3.1905999999999799</v>
      </c>
      <c r="AF4126">
        <v>-3.0474646542706201</v>
      </c>
      <c r="AG4126">
        <v>-1.1087147525029999</v>
      </c>
      <c r="AH4126">
        <v>39.674510204907797</v>
      </c>
      <c r="AI4126">
        <v>91.596030266065895</v>
      </c>
      <c r="AJ4126">
        <v>94.392358652901095</v>
      </c>
      <c r="AK4126">
        <v>39.806821641783699</v>
      </c>
      <c r="AL4126">
        <v>82.580349191933806</v>
      </c>
      <c r="AM4126">
        <v>91.255870833793693</v>
      </c>
      <c r="AN4126">
        <v>0.99999997099964699</v>
      </c>
    </row>
    <row r="4127" spans="1:40" x14ac:dyDescent="0.25">
      <c r="A4127" t="str">
        <f>"20190312164553062"</f>
        <v>20190312164553062</v>
      </c>
      <c r="B4127" t="str">
        <f>"1552380353055690"</f>
        <v>1552380353055690</v>
      </c>
      <c r="C4127" t="s">
        <v>40</v>
      </c>
      <c r="D4127">
        <v>5.0319589999999996</v>
      </c>
      <c r="E4127">
        <v>0.48139789999999999</v>
      </c>
      <c r="F4127" t="s">
        <v>71</v>
      </c>
      <c r="G4127">
        <v>-424.12200000000001</v>
      </c>
      <c r="H4127" s="1">
        <v>-9.7568469999999997E-6</v>
      </c>
      <c r="I4127">
        <v>138.04499999999999</v>
      </c>
      <c r="J4127">
        <v>-384.53809999999999</v>
      </c>
      <c r="K4127">
        <v>1.1087260000000001</v>
      </c>
      <c r="L4127">
        <v>141.29069999999999</v>
      </c>
      <c r="M4127">
        <v>-0.99992250000000005</v>
      </c>
      <c r="N4127">
        <v>0</v>
      </c>
      <c r="O4127">
        <v>-3.5366130000000001E-3</v>
      </c>
      <c r="P4127">
        <v>-0.9927414</v>
      </c>
      <c r="Q4127">
        <v>0.11728669999999999</v>
      </c>
      <c r="R4127">
        <v>-2.661848E-2</v>
      </c>
      <c r="S4127">
        <v>-3.0255429999999999</v>
      </c>
      <c r="T4127">
        <v>-8.4106330000000007E-2</v>
      </c>
      <c r="U4127">
        <v>-0.24629210000000001</v>
      </c>
      <c r="V4127">
        <v>-2.3098520000000001E-2</v>
      </c>
      <c r="W4127">
        <v>0.12914800000000001</v>
      </c>
      <c r="X4127">
        <v>0.99135629999999997</v>
      </c>
      <c r="Y4127">
        <v>-7.7581750000000005E-2</v>
      </c>
      <c r="Z4127">
        <v>-9.7821509999999998E-4</v>
      </c>
      <c r="AA4127">
        <v>0.99698549999999997</v>
      </c>
      <c r="AB4127">
        <v>29</v>
      </c>
      <c r="AC4127">
        <v>-39.5838999999999</v>
      </c>
      <c r="AD4127">
        <v>-1.108735756847</v>
      </c>
      <c r="AE4127">
        <v>-3.2456999999999998</v>
      </c>
      <c r="AF4127">
        <v>-3.1032583966121998</v>
      </c>
      <c r="AG4127">
        <v>-1.108735756847</v>
      </c>
      <c r="AH4127">
        <v>39.564299261831401</v>
      </c>
      <c r="AI4127">
        <v>91.600303732214101</v>
      </c>
      <c r="AJ4127">
        <v>94.484859475043507</v>
      </c>
      <c r="AK4127">
        <v>39.701300781390103</v>
      </c>
      <c r="AL4127">
        <v>82.579638946902605</v>
      </c>
      <c r="AM4127">
        <v>91.334745432258899</v>
      </c>
      <c r="AN4127">
        <v>1.0000000305399299</v>
      </c>
    </row>
    <row r="4128" spans="1:40" x14ac:dyDescent="0.25">
      <c r="A4128" t="str">
        <f>"20190312164553083"</f>
        <v>20190312164553083</v>
      </c>
      <c r="B4128" t="str">
        <f>"1552380353075210"</f>
        <v>1552380353075210</v>
      </c>
      <c r="C4128" t="s">
        <v>40</v>
      </c>
      <c r="D4128">
        <v>4.9681629999999997</v>
      </c>
      <c r="E4128">
        <v>0.48400300000000002</v>
      </c>
      <c r="F4128" t="s">
        <v>71</v>
      </c>
      <c r="G4128">
        <v>-424.12909999999999</v>
      </c>
      <c r="H4128" s="1">
        <v>-9.749392E-6</v>
      </c>
      <c r="I4128">
        <v>138.02420000000001</v>
      </c>
      <c r="J4128">
        <v>-384.81560000000002</v>
      </c>
      <c r="K4128">
        <v>1.1087450000000001</v>
      </c>
      <c r="L4128">
        <v>141.28970000000001</v>
      </c>
      <c r="M4128">
        <v>-0.99992130000000001</v>
      </c>
      <c r="N4128">
        <v>0</v>
      </c>
      <c r="O4128">
        <v>-3.5332839999999998E-3</v>
      </c>
      <c r="P4128">
        <v>-0.99283840000000001</v>
      </c>
      <c r="Q4128">
        <v>0.1163739</v>
      </c>
      <c r="R4128">
        <v>-2.7005930000000001E-2</v>
      </c>
      <c r="S4128">
        <v>-3.025299</v>
      </c>
      <c r="T4128">
        <v>-8.4722759999999994E-2</v>
      </c>
      <c r="U4128">
        <v>-0.2496033</v>
      </c>
      <c r="V4128">
        <v>-2.3490090000000002E-2</v>
      </c>
      <c r="W4128">
        <v>0.1283262</v>
      </c>
      <c r="X4128">
        <v>0.99145380000000005</v>
      </c>
      <c r="Y4128">
        <v>-7.8674579999999994E-2</v>
      </c>
      <c r="Z4128">
        <v>-1.0007830000000001E-3</v>
      </c>
      <c r="AA4128">
        <v>0.9968998</v>
      </c>
      <c r="AB4128">
        <v>29</v>
      </c>
      <c r="AC4128">
        <v>-39.313499999999898</v>
      </c>
      <c r="AD4128">
        <v>-1.108754749392</v>
      </c>
      <c r="AE4128">
        <v>-3.2654999999999998</v>
      </c>
      <c r="AF4128">
        <v>-3.1240958974870101</v>
      </c>
      <c r="AG4128">
        <v>-1.108754749392</v>
      </c>
      <c r="AH4128">
        <v>39.293753109445902</v>
      </c>
      <c r="AI4128">
        <v>91.611208694483807</v>
      </c>
      <c r="AJ4128">
        <v>94.545805836129404</v>
      </c>
      <c r="AK4128">
        <v>39.433340534338299</v>
      </c>
      <c r="AL4128">
        <v>82.627119622503997</v>
      </c>
      <c r="AM4128">
        <v>91.357230433159501</v>
      </c>
      <c r="AN4128">
        <v>1.0000000177345401</v>
      </c>
    </row>
    <row r="4129" spans="1:40" x14ac:dyDescent="0.25">
      <c r="A4129" t="str">
        <f>"20190312164553105"</f>
        <v>20190312164553105</v>
      </c>
      <c r="B4129" t="str">
        <f>"1552380353095707"</f>
        <v>1552380353095707</v>
      </c>
      <c r="C4129" t="s">
        <v>40</v>
      </c>
      <c r="D4129">
        <v>5.2307569999999997</v>
      </c>
      <c r="E4129">
        <v>0.48119010000000001</v>
      </c>
      <c r="F4129" t="s">
        <v>71</v>
      </c>
      <c r="G4129">
        <v>-403.98669999999998</v>
      </c>
      <c r="H4129" s="1">
        <v>-7.2152019999999996E-6</v>
      </c>
      <c r="I4129">
        <v>139.81399999999999</v>
      </c>
      <c r="J4129">
        <v>-385.09899999999999</v>
      </c>
      <c r="K4129">
        <v>1.1087610000000001</v>
      </c>
      <c r="L4129">
        <v>141.28870000000001</v>
      </c>
      <c r="M4129">
        <v>-0.99991989999999997</v>
      </c>
      <c r="N4129">
        <v>0</v>
      </c>
      <c r="O4129">
        <v>-3.5320500000000001E-3</v>
      </c>
      <c r="P4129">
        <v>-0.99295129999999998</v>
      </c>
      <c r="Q4129">
        <v>0.1152884</v>
      </c>
      <c r="R4129">
        <v>-2.7504589999999999E-2</v>
      </c>
      <c r="S4129">
        <v>-3.0358580000000002</v>
      </c>
      <c r="T4129">
        <v>-0.17557719999999999</v>
      </c>
      <c r="U4129">
        <v>-0.23368839999999999</v>
      </c>
      <c r="V4129">
        <v>-2.3991390000000001E-2</v>
      </c>
      <c r="W4129">
        <v>0.1273619</v>
      </c>
      <c r="X4129">
        <v>0.99156610000000001</v>
      </c>
      <c r="Y4129">
        <v>-7.3111060000000005E-2</v>
      </c>
      <c r="Z4129">
        <v>-1.9054810000000001E-3</v>
      </c>
      <c r="AA4129">
        <v>0.99732200000000004</v>
      </c>
      <c r="AB4129">
        <v>29</v>
      </c>
      <c r="AC4129">
        <v>-18.887699999999899</v>
      </c>
      <c r="AD4129">
        <v>-1.108768215202</v>
      </c>
      <c r="AE4129">
        <v>-1.4747000000000099</v>
      </c>
      <c r="AF4129">
        <v>-1.4031674641896601</v>
      </c>
      <c r="AG4129">
        <v>-1.108768215202</v>
      </c>
      <c r="AH4129">
        <v>18.828300866436901</v>
      </c>
      <c r="AI4129">
        <v>93.360865190125693</v>
      </c>
      <c r="AJ4129">
        <v>94.262053827883307</v>
      </c>
      <c r="AK4129">
        <v>18.913042045230899</v>
      </c>
      <c r="AL4129">
        <v>82.682826826470404</v>
      </c>
      <c r="AM4129">
        <v>91.386026857294993</v>
      </c>
      <c r="AN4129">
        <v>0.99999998551747504</v>
      </c>
    </row>
    <row r="4130" spans="1:40" x14ac:dyDescent="0.25">
      <c r="A4130" t="str">
        <f>"20190312164553128"</f>
        <v>20190312164553128</v>
      </c>
      <c r="B4130" t="str">
        <f>"1552380353125963"</f>
        <v>1552380353125963</v>
      </c>
      <c r="C4130" t="s">
        <v>40</v>
      </c>
      <c r="D4130">
        <v>5.026656</v>
      </c>
      <c r="E4130">
        <v>0.48258469999999998</v>
      </c>
      <c r="F4130" t="s">
        <v>71</v>
      </c>
      <c r="G4130">
        <v>-418.52519999999998</v>
      </c>
      <c r="H4130" s="1">
        <v>-9.4262949999999995E-6</v>
      </c>
      <c r="I4130">
        <v>138.47620000000001</v>
      </c>
      <c r="J4130">
        <v>-385.39640000000003</v>
      </c>
      <c r="K4130">
        <v>1.1087849999999999</v>
      </c>
      <c r="L4130">
        <v>141.2877</v>
      </c>
      <c r="M4130">
        <v>-0.99991810000000003</v>
      </c>
      <c r="N4130">
        <v>0</v>
      </c>
      <c r="O4130">
        <v>-3.5322249999999999E-3</v>
      </c>
      <c r="P4130">
        <v>-0.99301680000000003</v>
      </c>
      <c r="Q4130">
        <v>0.11446530000000001</v>
      </c>
      <c r="R4130">
        <v>-2.8554659999999999E-2</v>
      </c>
      <c r="S4130">
        <v>-3.025909</v>
      </c>
      <c r="T4130">
        <v>-0.10037160000000001</v>
      </c>
      <c r="U4130">
        <v>-0.25460820000000001</v>
      </c>
      <c r="V4130">
        <v>-2.50423E-2</v>
      </c>
      <c r="W4130">
        <v>0.1266756</v>
      </c>
      <c r="X4130">
        <v>0.99162810000000001</v>
      </c>
      <c r="Y4130">
        <v>-8.0283899999999894E-2</v>
      </c>
      <c r="Z4130">
        <v>-1.2118929999999999E-3</v>
      </c>
      <c r="AA4130">
        <v>0.99677130000000003</v>
      </c>
      <c r="AB4130">
        <v>29</v>
      </c>
      <c r="AC4130">
        <v>-33.128799999999899</v>
      </c>
      <c r="AD4130">
        <v>-1.108794426295</v>
      </c>
      <c r="AE4130">
        <v>-2.8114999999999899</v>
      </c>
      <c r="AF4130">
        <v>-2.6914618457374</v>
      </c>
      <c r="AG4130">
        <v>-1.108794426295</v>
      </c>
      <c r="AH4130">
        <v>33.101709934754503</v>
      </c>
      <c r="AI4130">
        <v>91.912190206542107</v>
      </c>
      <c r="AJ4130">
        <v>94.648427943122201</v>
      </c>
      <c r="AK4130">
        <v>33.229453690234998</v>
      </c>
      <c r="AL4130">
        <v>82.722470538540904</v>
      </c>
      <c r="AM4130">
        <v>91.446624190389798</v>
      </c>
      <c r="AN4130">
        <v>1.0000000565671201</v>
      </c>
    </row>
    <row r="4131" spans="1:40" x14ac:dyDescent="0.25">
      <c r="A4131" t="str">
        <f>"20190312164553151"</f>
        <v>20190312164553151</v>
      </c>
      <c r="B4131" t="str">
        <f>"1552380353145486"</f>
        <v>1552380353145486</v>
      </c>
      <c r="C4131" t="s">
        <v>40</v>
      </c>
      <c r="D4131">
        <v>5.141095</v>
      </c>
      <c r="E4131">
        <v>0.48220950000000001</v>
      </c>
      <c r="F4131" t="s">
        <v>71</v>
      </c>
      <c r="G4131">
        <v>-401.41789999999997</v>
      </c>
      <c r="H4131" s="1">
        <v>-6.1339139999999998E-6</v>
      </c>
      <c r="I4131">
        <v>139.95490000000001</v>
      </c>
      <c r="J4131">
        <v>-385.68729999999999</v>
      </c>
      <c r="K4131">
        <v>1.108806</v>
      </c>
      <c r="L4131">
        <v>141.2867</v>
      </c>
      <c r="M4131">
        <v>-0.99991649999999999</v>
      </c>
      <c r="N4131">
        <v>0</v>
      </c>
      <c r="O4131">
        <v>-3.5337609999999998E-3</v>
      </c>
      <c r="P4131">
        <v>-0.992892</v>
      </c>
      <c r="Q4131">
        <v>0.1153164</v>
      </c>
      <c r="R4131">
        <v>-2.9454500000000002E-2</v>
      </c>
      <c r="S4131">
        <v>-3.0380250000000002</v>
      </c>
      <c r="T4131">
        <v>-0.2102512</v>
      </c>
      <c r="U4131">
        <v>-0.25273129999999999</v>
      </c>
      <c r="V4131">
        <v>-2.5941189999999999E-2</v>
      </c>
      <c r="W4131">
        <v>0.12765370000000001</v>
      </c>
      <c r="X4131">
        <v>0.99147949999999996</v>
      </c>
      <c r="Y4131">
        <v>-7.9200859999999998E-2</v>
      </c>
      <c r="Z4131">
        <v>-2.4887749999999999E-3</v>
      </c>
      <c r="AA4131">
        <v>0.99685559999999995</v>
      </c>
      <c r="AB4131">
        <v>29</v>
      </c>
      <c r="AC4131">
        <v>-15.7305999999999</v>
      </c>
      <c r="AD4131">
        <v>-1.108812133914</v>
      </c>
      <c r="AE4131">
        <v>-1.3317999999999801</v>
      </c>
      <c r="AF4131">
        <v>-1.26993444211839</v>
      </c>
      <c r="AG4131">
        <v>-1.108812133914</v>
      </c>
      <c r="AH4131">
        <v>15.657965443567701</v>
      </c>
      <c r="AI4131">
        <v>94.037401172722795</v>
      </c>
      <c r="AJ4131">
        <v>94.636807312998997</v>
      </c>
      <c r="AK4131">
        <v>15.7484627715708</v>
      </c>
      <c r="AL4131">
        <v>82.665970476439497</v>
      </c>
      <c r="AM4131">
        <v>91.498751797287497</v>
      </c>
      <c r="AN4131">
        <v>1.0000000056912699</v>
      </c>
    </row>
    <row r="4132" spans="1:40" x14ac:dyDescent="0.25">
      <c r="A4132" t="str">
        <f>"20190312164553173"</f>
        <v>20190312164553173</v>
      </c>
      <c r="B4132" t="str">
        <f>"1552380353165978"</f>
        <v>1552380353165978</v>
      </c>
      <c r="C4132" t="s">
        <v>40</v>
      </c>
      <c r="D4132">
        <v>5.0499549999999997</v>
      </c>
      <c r="E4132">
        <v>0.48213820000000002</v>
      </c>
      <c r="F4132" t="s">
        <v>71</v>
      </c>
      <c r="G4132">
        <v>-406.36340000000001</v>
      </c>
      <c r="H4132" s="1">
        <v>-8.4081360000000002E-6</v>
      </c>
      <c r="I4132">
        <v>139.54419999999999</v>
      </c>
      <c r="J4132">
        <v>-385.97730000000001</v>
      </c>
      <c r="K4132">
        <v>1.108827</v>
      </c>
      <c r="L4132">
        <v>141.28569999999999</v>
      </c>
      <c r="M4132">
        <v>-0.99991509999999995</v>
      </c>
      <c r="N4132">
        <v>0</v>
      </c>
      <c r="O4132">
        <v>-3.5360700000000001E-3</v>
      </c>
      <c r="P4132">
        <v>-0.99286920000000001</v>
      </c>
      <c r="Q4132">
        <v>0.11543730000000001</v>
      </c>
      <c r="R4132">
        <v>-2.9756600000000001E-2</v>
      </c>
      <c r="S4132">
        <v>-3.0327760000000001</v>
      </c>
      <c r="T4132">
        <v>-0.16264129999999999</v>
      </c>
      <c r="U4132">
        <v>-0.2555847</v>
      </c>
      <c r="V4132">
        <v>-2.6241529999999999E-2</v>
      </c>
      <c r="W4132">
        <v>0.12789439999999999</v>
      </c>
      <c r="X4132">
        <v>0.99144060000000001</v>
      </c>
      <c r="Y4132">
        <v>-8.0342549999999999E-2</v>
      </c>
      <c r="Z4132">
        <v>-1.9597830000000001E-3</v>
      </c>
      <c r="AA4132">
        <v>0.99676540000000002</v>
      </c>
      <c r="AB4132">
        <v>29</v>
      </c>
      <c r="AC4132">
        <v>-20.386099999999999</v>
      </c>
      <c r="AD4132">
        <v>-1.1088354081359999</v>
      </c>
      <c r="AE4132">
        <v>-1.7415</v>
      </c>
      <c r="AF4132">
        <v>-1.6645080573462101</v>
      </c>
      <c r="AG4132">
        <v>-1.1088354081359999</v>
      </c>
      <c r="AH4132">
        <v>20.3324142088927</v>
      </c>
      <c r="AI4132">
        <v>93.111166156592105</v>
      </c>
      <c r="AJ4132">
        <v>94.680068410087202</v>
      </c>
      <c r="AK4132">
        <v>20.430545039163501</v>
      </c>
      <c r="AL4132">
        <v>82.652065581798396</v>
      </c>
      <c r="AM4132">
        <v>91.5161553407724</v>
      </c>
      <c r="AN4132">
        <v>1.0000000293882301</v>
      </c>
    </row>
    <row r="4133" spans="1:40" x14ac:dyDescent="0.25">
      <c r="A4133" t="str">
        <f>"20190312164553196"</f>
        <v>20190312164553196</v>
      </c>
      <c r="B4133" t="str">
        <f>"1552380353185497"</f>
        <v>1552380353185497</v>
      </c>
      <c r="C4133" t="s">
        <v>40</v>
      </c>
      <c r="D4133">
        <v>5.2098259999999996</v>
      </c>
      <c r="E4133">
        <v>0.48216730000000002</v>
      </c>
      <c r="F4133" t="s">
        <v>71</v>
      </c>
      <c r="G4133">
        <v>-407.4624</v>
      </c>
      <c r="H4133" s="1">
        <v>-9.0571759999999996E-6</v>
      </c>
      <c r="I4133">
        <v>139.4639</v>
      </c>
      <c r="J4133">
        <v>-386.26240000000001</v>
      </c>
      <c r="K4133">
        <v>1.1088359999999999</v>
      </c>
      <c r="L4133">
        <v>141.28469999999999</v>
      </c>
      <c r="M4133">
        <v>-0.99991359999999996</v>
      </c>
      <c r="N4133">
        <v>0</v>
      </c>
      <c r="O4133">
        <v>-3.5383139999999999E-3</v>
      </c>
      <c r="P4133">
        <v>-0.99294700000000002</v>
      </c>
      <c r="Q4133">
        <v>0.1146176</v>
      </c>
      <c r="R4133">
        <v>-3.032251E-2</v>
      </c>
      <c r="S4133">
        <v>-3.0320429999999998</v>
      </c>
      <c r="T4133">
        <v>-0.15648210000000001</v>
      </c>
      <c r="U4133">
        <v>-0.25709530000000003</v>
      </c>
      <c r="V4133">
        <v>-2.6804680000000001E-2</v>
      </c>
      <c r="W4133">
        <v>0.12718640000000001</v>
      </c>
      <c r="X4133">
        <v>0.99151659999999997</v>
      </c>
      <c r="Y4133">
        <v>-8.0860940000000006E-2</v>
      </c>
      <c r="Z4133">
        <v>-1.8993090000000001E-3</v>
      </c>
      <c r="AA4133">
        <v>0.99672360000000004</v>
      </c>
      <c r="AB4133">
        <v>29</v>
      </c>
      <c r="AC4133">
        <v>-21.1999999999999</v>
      </c>
      <c r="AD4133">
        <v>-1.108845057176</v>
      </c>
      <c r="AE4133">
        <v>-1.82079999999999</v>
      </c>
      <c r="AF4133">
        <v>-1.74104222251604</v>
      </c>
      <c r="AG4133">
        <v>-1.108845057176</v>
      </c>
      <c r="AH4133">
        <v>21.148876821949798</v>
      </c>
      <c r="AI4133">
        <v>92.991194951292599</v>
      </c>
      <c r="AJ4133">
        <v>94.706157000912995</v>
      </c>
      <c r="AK4133">
        <v>21.2493707250689</v>
      </c>
      <c r="AL4133">
        <v>82.692964931991298</v>
      </c>
      <c r="AM4133">
        <v>91.548558097683298</v>
      </c>
      <c r="AN4133">
        <v>1.0000000196452099</v>
      </c>
    </row>
    <row r="4134" spans="1:40" x14ac:dyDescent="0.25">
      <c r="A4134" t="str">
        <f>"20190312164553217"</f>
        <v>20190312164553217</v>
      </c>
      <c r="B4134" t="str">
        <f>"1552380353205994"</f>
        <v>1552380353205994</v>
      </c>
      <c r="C4134" t="s">
        <v>40</v>
      </c>
      <c r="D4134">
        <v>5.153079</v>
      </c>
      <c r="E4134">
        <v>0.48187790000000003</v>
      </c>
      <c r="F4134" t="s">
        <v>71</v>
      </c>
      <c r="G4134">
        <v>-409.12029999999999</v>
      </c>
      <c r="H4134" s="1">
        <v>-1.0031869999999999E-5</v>
      </c>
      <c r="I4134">
        <v>139.33250000000001</v>
      </c>
      <c r="J4134">
        <v>-386.54059999999998</v>
      </c>
      <c r="K4134">
        <v>1.1088480000000001</v>
      </c>
      <c r="L4134">
        <v>141.28370000000001</v>
      </c>
      <c r="M4134">
        <v>-0.99991220000000003</v>
      </c>
      <c r="N4134">
        <v>0</v>
      </c>
      <c r="O4134">
        <v>-3.539773E-3</v>
      </c>
      <c r="P4134">
        <v>-0.99308719999999995</v>
      </c>
      <c r="Q4134">
        <v>0.11335779999999999</v>
      </c>
      <c r="R4134">
        <v>-3.0463270000000001E-2</v>
      </c>
      <c r="S4134">
        <v>-3.0303650000000002</v>
      </c>
      <c r="T4134">
        <v>-0.1470042</v>
      </c>
      <c r="U4134">
        <v>-0.25880429999999999</v>
      </c>
      <c r="V4134">
        <v>-2.6943439999999999E-2</v>
      </c>
      <c r="W4134">
        <v>0.126028</v>
      </c>
      <c r="X4134">
        <v>0.99166069999999995</v>
      </c>
      <c r="Y4134">
        <v>-8.1475199999999998E-2</v>
      </c>
      <c r="Z4134">
        <v>-1.8001429999999999E-3</v>
      </c>
      <c r="AA4134">
        <v>0.99667380000000005</v>
      </c>
      <c r="AB4134">
        <v>29</v>
      </c>
      <c r="AC4134">
        <v>-22.579699999999999</v>
      </c>
      <c r="AD4134">
        <v>-1.1088580318700001</v>
      </c>
      <c r="AE4134">
        <v>-1.9512</v>
      </c>
      <c r="AF4134">
        <v>-1.8667855665270301</v>
      </c>
      <c r="AG4134">
        <v>-1.1088580318700001</v>
      </c>
      <c r="AH4134">
        <v>22.5325279263058</v>
      </c>
      <c r="AI4134">
        <v>92.807730685838905</v>
      </c>
      <c r="AJ4134">
        <v>94.736051812733805</v>
      </c>
      <c r="AK4134">
        <v>22.636900610198101</v>
      </c>
      <c r="AL4134">
        <v>82.759874467720806</v>
      </c>
      <c r="AM4134">
        <v>91.556344520192994</v>
      </c>
      <c r="AN4134">
        <v>0.99999997483376102</v>
      </c>
    </row>
    <row r="4135" spans="1:40" x14ac:dyDescent="0.25">
      <c r="A4135" t="str">
        <f>"20190312164553234"</f>
        <v>20190312164553234</v>
      </c>
      <c r="B4135" t="str">
        <f>"1552380353225514"</f>
        <v>1552380353225514</v>
      </c>
      <c r="C4135" t="s">
        <v>40</v>
      </c>
      <c r="D4135">
        <v>5.1316470000000001</v>
      </c>
      <c r="E4135">
        <v>0.48173090000000002</v>
      </c>
      <c r="F4135" t="s">
        <v>71</v>
      </c>
      <c r="G4135">
        <v>-407.54629999999997</v>
      </c>
      <c r="H4135" s="1">
        <v>-9.1077260000000004E-6</v>
      </c>
      <c r="I4135">
        <v>139.46010000000001</v>
      </c>
      <c r="J4135">
        <v>-386.75240000000002</v>
      </c>
      <c r="K4135">
        <v>1.1088519999999999</v>
      </c>
      <c r="L4135">
        <v>141.28290000000001</v>
      </c>
      <c r="M4135">
        <v>-0.99991140000000001</v>
      </c>
      <c r="N4135">
        <v>0</v>
      </c>
      <c r="O4135">
        <v>-3.54069E-3</v>
      </c>
      <c r="P4135">
        <v>-0.9930949</v>
      </c>
      <c r="Q4135">
        <v>0.1132469</v>
      </c>
      <c r="R4135">
        <v>-3.0626250000000001E-2</v>
      </c>
      <c r="S4135">
        <v>-3.0310670000000002</v>
      </c>
      <c r="T4135">
        <v>-0.1600058</v>
      </c>
      <c r="U4135">
        <v>-0.26313779999999998</v>
      </c>
      <c r="V4135">
        <v>-2.7105299999999999E-2</v>
      </c>
      <c r="W4135">
        <v>0.12598589999999901</v>
      </c>
      <c r="X4135">
        <v>0.99166169999999998</v>
      </c>
      <c r="Y4135">
        <v>-8.2850460000000001E-2</v>
      </c>
      <c r="Z4135">
        <v>-1.9947300000000001E-3</v>
      </c>
      <c r="AA4135">
        <v>0.99656</v>
      </c>
      <c r="AB4135">
        <v>29</v>
      </c>
      <c r="AC4135">
        <v>-20.793899999999901</v>
      </c>
      <c r="AD4135">
        <v>-1.108861107726</v>
      </c>
      <c r="AE4135">
        <v>-1.8228</v>
      </c>
      <c r="AF4135">
        <v>-1.74423551377481</v>
      </c>
      <c r="AG4135">
        <v>-1.108861107726</v>
      </c>
      <c r="AH4135">
        <v>20.741690966883599</v>
      </c>
      <c r="AI4135">
        <v>93.049404966006506</v>
      </c>
      <c r="AJ4135">
        <v>94.806876812172106</v>
      </c>
      <c r="AK4135">
        <v>20.844415910488902</v>
      </c>
      <c r="AL4135">
        <v>82.762306444355801</v>
      </c>
      <c r="AM4135">
        <v>91.565687885099706</v>
      </c>
      <c r="AN4135">
        <v>1.0000000357668899</v>
      </c>
    </row>
    <row r="4136" spans="1:40" x14ac:dyDescent="0.25">
      <c r="A4136" t="str">
        <f>"20190312164553246"</f>
        <v>20190312164553246</v>
      </c>
      <c r="B4136" t="str">
        <f>"1552380353235274"</f>
        <v>1552380353235274</v>
      </c>
      <c r="C4136" t="s">
        <v>40</v>
      </c>
      <c r="D4136">
        <v>5.1201030000000003</v>
      </c>
      <c r="E4136">
        <v>0.48162569999999999</v>
      </c>
      <c r="F4136" t="s">
        <v>71</v>
      </c>
      <c r="G4136">
        <v>-407.3664</v>
      </c>
      <c r="H4136" s="1">
        <v>-9.004026E-6</v>
      </c>
      <c r="I4136">
        <v>139.47899999999899</v>
      </c>
      <c r="J4136">
        <v>-386.92250000000001</v>
      </c>
      <c r="K4136">
        <v>1.10886</v>
      </c>
      <c r="L4136">
        <v>141.28229999999999</v>
      </c>
      <c r="M4136">
        <v>-0.99991079999999999</v>
      </c>
      <c r="N4136">
        <v>0</v>
      </c>
      <c r="O4136">
        <v>-3.5410210000000001E-3</v>
      </c>
      <c r="P4136">
        <v>-0.99311890000000003</v>
      </c>
      <c r="Q4136">
        <v>0.112924499999999</v>
      </c>
      <c r="R4136">
        <v>-3.103889E-2</v>
      </c>
      <c r="S4136">
        <v>-3.03125</v>
      </c>
      <c r="T4136">
        <v>-0.1630558</v>
      </c>
      <c r="U4136">
        <v>-0.26525880000000002</v>
      </c>
      <c r="V4136">
        <v>-2.7517639999999999E-2</v>
      </c>
      <c r="W4136">
        <v>0.1257163</v>
      </c>
      <c r="X4136">
        <v>0.99168449999999997</v>
      </c>
      <c r="Y4136">
        <v>-8.353178E-2</v>
      </c>
      <c r="Z4136">
        <v>-2.0507730000000001E-3</v>
      </c>
      <c r="AA4136">
        <v>0.99650300000000003</v>
      </c>
      <c r="AB4136">
        <v>29</v>
      </c>
      <c r="AC4136">
        <v>-20.4438999999999</v>
      </c>
      <c r="AD4136">
        <v>-1.1088690040260001</v>
      </c>
      <c r="AE4136">
        <v>-1.8032999999999999</v>
      </c>
      <c r="AF4136">
        <v>-1.7258522643792</v>
      </c>
      <c r="AG4136">
        <v>-1.1088690040260001</v>
      </c>
      <c r="AH4136">
        <v>20.3906330873914</v>
      </c>
      <c r="AI4136">
        <v>93.101684162331793</v>
      </c>
      <c r="AJ4136">
        <v>94.837953308133393</v>
      </c>
      <c r="AK4136">
        <v>20.493561774644501</v>
      </c>
      <c r="AL4136">
        <v>82.777876767833405</v>
      </c>
      <c r="AM4136">
        <v>91.589457295374999</v>
      </c>
      <c r="AN4136">
        <v>0.99999997806855401</v>
      </c>
    </row>
    <row r="4137" spans="1:40" x14ac:dyDescent="0.25">
      <c r="A4137" t="str">
        <f>"20190312164553263"</f>
        <v>20190312164553263</v>
      </c>
      <c r="B4137" t="str">
        <f>"1552380353255774"</f>
        <v>1552380353255774</v>
      </c>
      <c r="C4137" t="s">
        <v>40</v>
      </c>
      <c r="D4137">
        <v>5.127103</v>
      </c>
      <c r="E4137">
        <v>0.4816433</v>
      </c>
      <c r="F4137" t="s">
        <v>71</v>
      </c>
      <c r="G4137">
        <v>-406.88279999999997</v>
      </c>
      <c r="H4137" s="1">
        <v>-8.7203229999999998E-6</v>
      </c>
      <c r="I4137">
        <v>139.5188</v>
      </c>
      <c r="J4137">
        <v>-387.12810000000002</v>
      </c>
      <c r="K4137">
        <v>1.108868</v>
      </c>
      <c r="L4137">
        <v>141.2816</v>
      </c>
      <c r="M4137">
        <v>-0.99990999999999997</v>
      </c>
      <c r="N4137">
        <v>0</v>
      </c>
      <c r="O4137">
        <v>-3.541031E-3</v>
      </c>
      <c r="P4137">
        <v>-0.99297299999999999</v>
      </c>
      <c r="Q4137">
        <v>0.1141146</v>
      </c>
      <c r="R4137">
        <v>-3.135027E-2</v>
      </c>
      <c r="S4137">
        <v>-3.0315859999999999</v>
      </c>
      <c r="T4137">
        <v>-0.16841589999999901</v>
      </c>
      <c r="U4137">
        <v>-0.2678528</v>
      </c>
      <c r="V4137">
        <v>-2.7829070000000001E-2</v>
      </c>
      <c r="W4137">
        <v>0.1269613</v>
      </c>
      <c r="X4137">
        <v>0.99151719999999999</v>
      </c>
      <c r="Y4137">
        <v>-8.4359379999999998E-2</v>
      </c>
      <c r="Z4137">
        <v>-2.1406989999999998E-3</v>
      </c>
      <c r="AA4137">
        <v>0.99643309999999996</v>
      </c>
      <c r="AB4137">
        <v>29</v>
      </c>
      <c r="AC4137">
        <v>-19.7546999999999</v>
      </c>
      <c r="AD4137">
        <v>-1.1088767203230001</v>
      </c>
      <c r="AE4137">
        <v>-1.7627999999999899</v>
      </c>
      <c r="AF4137">
        <v>-1.6875558789532299</v>
      </c>
      <c r="AG4137">
        <v>-1.1088767203230001</v>
      </c>
      <c r="AH4137">
        <v>19.699240064085899</v>
      </c>
      <c r="AI4137">
        <v>93.210065778675798</v>
      </c>
      <c r="AJ4137">
        <v>94.896348303462403</v>
      </c>
      <c r="AK4137">
        <v>19.802462259222899</v>
      </c>
      <c r="AL4137">
        <v>82.705967428439806</v>
      </c>
      <c r="AM4137">
        <v>91.607707624593004</v>
      </c>
      <c r="AN4137">
        <v>0.99999999336529699</v>
      </c>
    </row>
    <row r="4138" spans="1:40" x14ac:dyDescent="0.25">
      <c r="A4138" t="str">
        <f>"20190312164553277"</f>
        <v>20190312164553277</v>
      </c>
      <c r="B4138" t="str">
        <f>"1552380353265529"</f>
        <v>1552380353265529</v>
      </c>
      <c r="C4138" t="s">
        <v>40</v>
      </c>
      <c r="D4138">
        <v>5.1506470000000002</v>
      </c>
      <c r="E4138">
        <v>0.48173969999999999</v>
      </c>
      <c r="F4138" t="s">
        <v>71</v>
      </c>
      <c r="G4138">
        <v>-407.59160000000003</v>
      </c>
      <c r="H4138" s="1">
        <v>-9.1392799999999993E-6</v>
      </c>
      <c r="I4138">
        <v>139.46770000000001</v>
      </c>
      <c r="J4138">
        <v>-387.30470000000003</v>
      </c>
      <c r="K4138">
        <v>1.108867</v>
      </c>
      <c r="L4138">
        <v>141.28100000000001</v>
      </c>
      <c r="M4138">
        <v>-0.9999093</v>
      </c>
      <c r="N4138">
        <v>0</v>
      </c>
      <c r="O4138">
        <v>-3.5408470000000002E-3</v>
      </c>
      <c r="P4138">
        <v>-0.99291870000000004</v>
      </c>
      <c r="Q4138">
        <v>0.1145318</v>
      </c>
      <c r="R4138">
        <v>-3.1543759999999997E-2</v>
      </c>
      <c r="S4138">
        <v>-3.0316160000000001</v>
      </c>
      <c r="T4138">
        <v>-0.16427720000000001</v>
      </c>
      <c r="U4138">
        <v>-0.26872249999999998</v>
      </c>
      <c r="V4138">
        <v>-2.802313E-2</v>
      </c>
      <c r="W4138">
        <v>0.12742390000000001</v>
      </c>
      <c r="X4138">
        <v>0.99145240000000001</v>
      </c>
      <c r="Y4138">
        <v>-8.4647910000000007E-2</v>
      </c>
      <c r="Z4138">
        <v>-2.0959300000000002E-3</v>
      </c>
      <c r="AA4138">
        <v>0.99640870000000004</v>
      </c>
      <c r="AB4138">
        <v>29</v>
      </c>
      <c r="AC4138">
        <v>-20.286899999999999</v>
      </c>
      <c r="AD4138">
        <v>-1.10887613928</v>
      </c>
      <c r="AE4138">
        <v>-1.8132999999999899</v>
      </c>
      <c r="AF4138">
        <v>-1.7363033463747199</v>
      </c>
      <c r="AG4138">
        <v>-1.10887613928</v>
      </c>
      <c r="AH4138">
        <v>20.2332226110499</v>
      </c>
      <c r="AI4138">
        <v>93.125476924954498</v>
      </c>
      <c r="AJ4138">
        <v>94.904790878399893</v>
      </c>
      <c r="AK4138">
        <v>20.337837958622799</v>
      </c>
      <c r="AL4138">
        <v>82.679245441529403</v>
      </c>
      <c r="AM4138">
        <v>91.6190184342137</v>
      </c>
      <c r="AN4138">
        <v>1.00000000378598</v>
      </c>
    </row>
    <row r="4139" spans="1:40" x14ac:dyDescent="0.25">
      <c r="A4139" t="str">
        <f>"20190312164553295"</f>
        <v>20190312164553295</v>
      </c>
      <c r="B4139" t="str">
        <f>"1552380353286027"</f>
        <v>1552380353286027</v>
      </c>
      <c r="C4139" t="s">
        <v>40</v>
      </c>
      <c r="D4139">
        <v>5.2882759999999998</v>
      </c>
      <c r="E4139">
        <v>0.4816415</v>
      </c>
      <c r="F4139" t="s">
        <v>71</v>
      </c>
      <c r="G4139">
        <v>-408.3288</v>
      </c>
      <c r="H4139" s="1">
        <v>-9.5777300000000002E-6</v>
      </c>
      <c r="I4139">
        <v>139.42089999999999</v>
      </c>
      <c r="J4139">
        <v>-387.55169999999998</v>
      </c>
      <c r="K4139">
        <v>1.1088709999999999</v>
      </c>
      <c r="L4139">
        <v>141.2801</v>
      </c>
      <c r="M4139">
        <v>-0.99990860000000004</v>
      </c>
      <c r="N4139">
        <v>0</v>
      </c>
      <c r="O4139">
        <v>-3.5407469999999999E-3</v>
      </c>
      <c r="P4139">
        <v>-0.99284470000000002</v>
      </c>
      <c r="Q4139">
        <v>0.11508939999999999</v>
      </c>
      <c r="R4139">
        <v>-3.1839779999999998E-2</v>
      </c>
      <c r="S4139">
        <v>-3.0312809999999999</v>
      </c>
      <c r="T4139">
        <v>-0.1598791</v>
      </c>
      <c r="U4139">
        <v>-0.2681885</v>
      </c>
      <c r="V4139">
        <v>-2.8319170000000001E-2</v>
      </c>
      <c r="W4139">
        <v>0.1280386</v>
      </c>
      <c r="X4139">
        <v>0.99136480000000005</v>
      </c>
      <c r="Y4139">
        <v>-8.4489960000000003E-2</v>
      </c>
      <c r="Z4139">
        <v>-2.035986E-3</v>
      </c>
      <c r="AA4139">
        <v>0.99642220000000004</v>
      </c>
      <c r="AB4139">
        <v>29</v>
      </c>
      <c r="AC4139">
        <v>-20.777100000000001</v>
      </c>
      <c r="AD4139">
        <v>-1.1088805777299999</v>
      </c>
      <c r="AE4139">
        <v>-1.85920000000001</v>
      </c>
      <c r="AF4139">
        <v>-1.7805841135567799</v>
      </c>
      <c r="AG4139">
        <v>-1.1088805777299999</v>
      </c>
      <c r="AH4139">
        <v>20.7249893046198</v>
      </c>
      <c r="AI4139">
        <v>93.051442973053</v>
      </c>
      <c r="AJ4139">
        <v>94.910499292932101</v>
      </c>
      <c r="AK4139">
        <v>20.830873183756001</v>
      </c>
      <c r="AL4139">
        <v>82.643734916679094</v>
      </c>
      <c r="AM4139">
        <v>91.636257201756706</v>
      </c>
      <c r="AN4139">
        <v>1.0000000125792401</v>
      </c>
    </row>
    <row r="4140" spans="1:40" x14ac:dyDescent="0.25">
      <c r="A4140" t="str">
        <f>"20190312164553318"</f>
        <v>20190312164553318</v>
      </c>
      <c r="B4140" t="str">
        <f>"1552380353305557"</f>
        <v>1552380353305557</v>
      </c>
      <c r="C4140" t="s">
        <v>40</v>
      </c>
      <c r="D4140">
        <v>5.1008100000000001</v>
      </c>
      <c r="E4140">
        <v>0.48156640000000001</v>
      </c>
      <c r="F4140" t="s">
        <v>71</v>
      </c>
      <c r="G4140">
        <v>-409.33330000000001</v>
      </c>
      <c r="H4140" s="1">
        <v>-1.0168839999999999E-5</v>
      </c>
      <c r="I4140">
        <v>139.3425</v>
      </c>
      <c r="J4140">
        <v>-387.8329</v>
      </c>
      <c r="K4140">
        <v>1.1088720000000001</v>
      </c>
      <c r="L4140">
        <v>141.2791</v>
      </c>
      <c r="M4140">
        <v>-0.99990789999999996</v>
      </c>
      <c r="N4140">
        <v>0</v>
      </c>
      <c r="O4140">
        <v>-3.540769E-3</v>
      </c>
      <c r="P4140">
        <v>-0.99287610000000004</v>
      </c>
      <c r="Q4140">
        <v>0.1148153</v>
      </c>
      <c r="R4140">
        <v>-3.1855399999999999E-2</v>
      </c>
      <c r="S4140">
        <v>-3.0308839999999999</v>
      </c>
      <c r="T4140">
        <v>-0.1542994</v>
      </c>
      <c r="U4140">
        <v>-0.2696228</v>
      </c>
      <c r="V4140">
        <v>-2.8335099999999998E-2</v>
      </c>
      <c r="W4140">
        <v>0.12782349999999901</v>
      </c>
      <c r="X4140">
        <v>0.9913921</v>
      </c>
      <c r="Y4140">
        <v>-8.4976250000000003E-2</v>
      </c>
      <c r="Z4140">
        <v>-1.9775840000000001E-3</v>
      </c>
      <c r="AA4140">
        <v>0.99638099999999996</v>
      </c>
      <c r="AB4140">
        <v>29</v>
      </c>
      <c r="AC4140">
        <v>-21.500399999999999</v>
      </c>
      <c r="AD4140">
        <v>-1.1088821688399999</v>
      </c>
      <c r="AE4140">
        <v>-1.9365999999999901</v>
      </c>
      <c r="AF4140">
        <v>-1.85555735755743</v>
      </c>
      <c r="AG4140">
        <v>-1.1088821688399999</v>
      </c>
      <c r="AH4140">
        <v>21.450524153575198</v>
      </c>
      <c r="AI4140">
        <v>92.948273173738698</v>
      </c>
      <c r="AJ4140">
        <v>94.944009941889902</v>
      </c>
      <c r="AK4140">
        <v>21.559167405878</v>
      </c>
      <c r="AL4140">
        <v>82.656161330488004</v>
      </c>
      <c r="AM4140">
        <v>91.637132064155395</v>
      </c>
      <c r="AN4140">
        <v>1.00000001049333</v>
      </c>
    </row>
    <row r="4141" spans="1:40" x14ac:dyDescent="0.25">
      <c r="A4141" t="str">
        <f>"20190312164553332"</f>
        <v>20190312164553332</v>
      </c>
      <c r="B4141" t="str">
        <f>"1552380353326043"</f>
        <v>1552380353326043</v>
      </c>
      <c r="C4141" t="s">
        <v>40</v>
      </c>
      <c r="D4141">
        <v>5.2498069999999997</v>
      </c>
      <c r="E4141">
        <v>0.48159580000000002</v>
      </c>
      <c r="F4141" t="s">
        <v>71</v>
      </c>
      <c r="G4141">
        <v>-409.7824</v>
      </c>
      <c r="H4141" s="1">
        <v>-1.0439459999999999E-5</v>
      </c>
      <c r="I4141">
        <v>139.322</v>
      </c>
      <c r="J4141">
        <v>-388.02409999999998</v>
      </c>
      <c r="K4141">
        <v>1.1088720000000001</v>
      </c>
      <c r="L4141">
        <v>141.27850000000001</v>
      </c>
      <c r="M4141">
        <v>-0.9999074</v>
      </c>
      <c r="N4141">
        <v>0</v>
      </c>
      <c r="O4141">
        <v>-3.540765E-3</v>
      </c>
      <c r="P4141">
        <v>-0.99291019999999997</v>
      </c>
      <c r="Q4141">
        <v>0.1144491</v>
      </c>
      <c r="R4141">
        <v>-3.2110659999999999E-2</v>
      </c>
      <c r="S4141">
        <v>-3.030548</v>
      </c>
      <c r="T4141">
        <v>-0.15310260000000001</v>
      </c>
      <c r="U4141">
        <v>-0.27021790000000001</v>
      </c>
      <c r="V4141">
        <v>-2.8589699999999999E-2</v>
      </c>
      <c r="W4141">
        <v>0.12749379999999999</v>
      </c>
      <c r="X4141">
        <v>0.99142719999999995</v>
      </c>
      <c r="Y4141">
        <v>-8.5181430000000002E-2</v>
      </c>
      <c r="Z4141">
        <v>-1.9676339999999998E-3</v>
      </c>
      <c r="AA4141">
        <v>0.99636349999999996</v>
      </c>
      <c r="AB4141">
        <v>29</v>
      </c>
      <c r="AC4141">
        <v>-21.758299999999998</v>
      </c>
      <c r="AD4141">
        <v>-1.1088824394600001</v>
      </c>
      <c r="AE4141">
        <v>-1.9564999999999999</v>
      </c>
      <c r="AF4141">
        <v>-1.8746101933466099</v>
      </c>
      <c r="AG4141">
        <v>-1.1088824394600001</v>
      </c>
      <c r="AH4141">
        <v>21.709158871265501</v>
      </c>
      <c r="AI4141">
        <v>92.913248295221905</v>
      </c>
      <c r="AJ4141">
        <v>94.935312311437002</v>
      </c>
      <c r="AK4141">
        <v>21.818142967250601</v>
      </c>
      <c r="AL4141">
        <v>82.675207257769401</v>
      </c>
      <c r="AM4141">
        <v>91.651775661293499</v>
      </c>
      <c r="AN4141">
        <v>0.99999996644218403</v>
      </c>
    </row>
    <row r="4142" spans="1:40" x14ac:dyDescent="0.25">
      <c r="A4142" t="str">
        <f>"20190312164553344"</f>
        <v>20190312164553344</v>
      </c>
      <c r="B4142" t="str">
        <f>"1552380353335803"</f>
        <v>1552380353335803</v>
      </c>
      <c r="C4142" t="s">
        <v>40</v>
      </c>
      <c r="D4142">
        <v>5.1161940000000001</v>
      </c>
      <c r="E4142">
        <v>0.48157040000000001</v>
      </c>
      <c r="F4142" t="s">
        <v>71</v>
      </c>
      <c r="G4142">
        <v>-410.12920000000003</v>
      </c>
      <c r="H4142" s="1">
        <v>-1.0526270000000001E-5</v>
      </c>
      <c r="I4142">
        <v>139.30529999999999</v>
      </c>
      <c r="J4142">
        <v>-388.18729999999999</v>
      </c>
      <c r="K4142">
        <v>1.10887</v>
      </c>
      <c r="L4142">
        <v>141.27789999999999</v>
      </c>
      <c r="M4142">
        <v>-0.99990710000000005</v>
      </c>
      <c r="N4142">
        <v>0</v>
      </c>
      <c r="O4142">
        <v>-3.540947E-3</v>
      </c>
      <c r="P4142">
        <v>-0.99293390000000004</v>
      </c>
      <c r="Q4142">
        <v>0.11412310000000001</v>
      </c>
      <c r="R4142">
        <v>-3.2533840000000001E-2</v>
      </c>
      <c r="S4142">
        <v>-3.0301819999999999</v>
      </c>
      <c r="T4142">
        <v>-0.15200649999999999</v>
      </c>
      <c r="U4142">
        <v>-0.27047729999999998</v>
      </c>
      <c r="V4142">
        <v>-2.9012509999999998E-2</v>
      </c>
      <c r="W4142">
        <v>0.12719629999999901</v>
      </c>
      <c r="X4142">
        <v>0.99145320000000003</v>
      </c>
      <c r="Y4142">
        <v>-8.5277839999999994E-2</v>
      </c>
      <c r="Z4142">
        <v>-1.956195E-3</v>
      </c>
      <c r="AA4142">
        <v>0.99635530000000005</v>
      </c>
      <c r="AB4142">
        <v>29</v>
      </c>
      <c r="AC4142">
        <v>-21.9419</v>
      </c>
      <c r="AD4142">
        <v>-1.1088805262700001</v>
      </c>
      <c r="AE4142">
        <v>-1.9725999999999999</v>
      </c>
      <c r="AF4142">
        <v>-1.89009718749237</v>
      </c>
      <c r="AG4142">
        <v>-1.1088805262700001</v>
      </c>
      <c r="AH4142">
        <v>21.8932807332503</v>
      </c>
      <c r="AI4142">
        <v>92.888789313108802</v>
      </c>
      <c r="AJ4142">
        <v>94.9342417154418</v>
      </c>
      <c r="AK4142">
        <v>22.002677670334101</v>
      </c>
      <c r="AL4142">
        <v>82.692393180271097</v>
      </c>
      <c r="AM4142">
        <v>91.676145828403705</v>
      </c>
      <c r="AN4142">
        <v>1.0000000361302099</v>
      </c>
    </row>
    <row r="4143" spans="1:40" x14ac:dyDescent="0.25">
      <c r="A4143" t="str">
        <f>"20190312164553359"</f>
        <v>20190312164553359</v>
      </c>
      <c r="B4143" t="str">
        <f>"1552380353355322"</f>
        <v>1552380353355322</v>
      </c>
      <c r="C4143" t="s">
        <v>40</v>
      </c>
      <c r="D4143">
        <v>5.1470279999999997</v>
      </c>
      <c r="E4143">
        <v>0.48153560000000001</v>
      </c>
      <c r="F4143" t="s">
        <v>71</v>
      </c>
      <c r="G4143">
        <v>-410.2715</v>
      </c>
      <c r="H4143" s="1">
        <v>-1.0510070000000001E-5</v>
      </c>
      <c r="I4143">
        <v>139.29689999999999</v>
      </c>
      <c r="J4143">
        <v>-388.35109999999997</v>
      </c>
      <c r="K4143">
        <v>1.1088709999999999</v>
      </c>
      <c r="L4143">
        <v>141.2773</v>
      </c>
      <c r="M4143">
        <v>-0.99990670000000004</v>
      </c>
      <c r="N4143">
        <v>0</v>
      </c>
      <c r="O4143">
        <v>-3.541116E-3</v>
      </c>
      <c r="P4143">
        <v>-0.99299360000000003</v>
      </c>
      <c r="Q4143">
        <v>0.1135448</v>
      </c>
      <c r="R4143">
        <v>-3.2729550000000003E-2</v>
      </c>
      <c r="S4143">
        <v>-3.029938</v>
      </c>
      <c r="T4143">
        <v>-0.1521372</v>
      </c>
      <c r="U4143">
        <v>-0.27178960000000002</v>
      </c>
      <c r="V4143">
        <v>-2.920795E-2</v>
      </c>
      <c r="W4143">
        <v>0.12664489999999901</v>
      </c>
      <c r="X4143">
        <v>0.99151800000000001</v>
      </c>
      <c r="Y4143">
        <v>-8.5712129999999997E-2</v>
      </c>
      <c r="Z4143">
        <v>-1.9688589999999999E-3</v>
      </c>
      <c r="AA4143">
        <v>0.99631800000000004</v>
      </c>
      <c r="AB4143">
        <v>29</v>
      </c>
      <c r="AC4143">
        <v>-21.920400000000001</v>
      </c>
      <c r="AD4143">
        <v>-1.10888151007</v>
      </c>
      <c r="AE4143">
        <v>-1.9803999999999999</v>
      </c>
      <c r="AF4143">
        <v>-1.8979406037497299</v>
      </c>
      <c r="AG4143">
        <v>-1.10888151007</v>
      </c>
      <c r="AH4143">
        <v>21.8717588960603</v>
      </c>
      <c r="AI4143">
        <v>92.8915196236795</v>
      </c>
      <c r="AJ4143">
        <v>94.959466876237201</v>
      </c>
      <c r="AK4143">
        <v>21.9819388122643</v>
      </c>
      <c r="AL4143">
        <v>82.724243311166006</v>
      </c>
      <c r="AM4143">
        <v>91.687320301212793</v>
      </c>
      <c r="AN4143">
        <v>0.99999998968160597</v>
      </c>
    </row>
    <row r="4144" spans="1:40" x14ac:dyDescent="0.25">
      <c r="A4144" t="str">
        <f>"20190312164553374"</f>
        <v>20190312164553374</v>
      </c>
      <c r="B4144" t="str">
        <f>"1552380353366059"</f>
        <v>1552380353366059</v>
      </c>
      <c r="C4144" t="s">
        <v>40</v>
      </c>
      <c r="D4144">
        <v>5.2909040000000003</v>
      </c>
      <c r="E4144">
        <v>0.48156320000000002</v>
      </c>
      <c r="F4144" t="s">
        <v>71</v>
      </c>
      <c r="G4144">
        <v>-410.14580000000001</v>
      </c>
      <c r="H4144" s="1">
        <v>-1.052926E-5</v>
      </c>
      <c r="I4144">
        <v>139.31549999999999</v>
      </c>
      <c r="J4144">
        <v>-388.55399999999997</v>
      </c>
      <c r="K4144">
        <v>1.1088709999999999</v>
      </c>
      <c r="L4144">
        <v>141.2766</v>
      </c>
      <c r="M4144">
        <v>-0.99990619999999997</v>
      </c>
      <c r="N4144">
        <v>0</v>
      </c>
      <c r="O4144">
        <v>-3.544433E-3</v>
      </c>
      <c r="P4144">
        <v>-0.99298209999999998</v>
      </c>
      <c r="Q4144">
        <v>0.1134096</v>
      </c>
      <c r="R4144">
        <v>-3.354066E-2</v>
      </c>
      <c r="S4144">
        <v>-3.0298159999999998</v>
      </c>
      <c r="T4144">
        <v>-0.15415239999999999</v>
      </c>
      <c r="U4144">
        <v>-0.27272030000000003</v>
      </c>
      <c r="V4144">
        <v>-3.0016350000000001E-2</v>
      </c>
      <c r="W4144">
        <v>0.12653889999999901</v>
      </c>
      <c r="X4144">
        <v>0.99150740000000004</v>
      </c>
      <c r="Y4144">
        <v>-8.6012909999999998E-2</v>
      </c>
      <c r="Z4144">
        <v>-2.0024219999999998E-3</v>
      </c>
      <c r="AA4144">
        <v>0.99629199999999996</v>
      </c>
      <c r="AB4144">
        <v>29</v>
      </c>
      <c r="AC4144">
        <v>-21.5917999999999</v>
      </c>
      <c r="AD4144">
        <v>-1.1088815292599901</v>
      </c>
      <c r="AE4144">
        <v>-1.9611000000000101</v>
      </c>
      <c r="AF4144">
        <v>-1.8796333199252</v>
      </c>
      <c r="AG4144">
        <v>-1.1088815292599901</v>
      </c>
      <c r="AH4144">
        <v>21.542263083203</v>
      </c>
      <c r="AI4144">
        <v>92.935548783176301</v>
      </c>
      <c r="AJ4144">
        <v>94.986616236263103</v>
      </c>
      <c r="AK4144">
        <v>21.6525226800306</v>
      </c>
      <c r="AL4144">
        <v>82.7303659917646</v>
      </c>
      <c r="AM4144">
        <v>91.734011333183702</v>
      </c>
      <c r="AN4144">
        <v>0.99999999936764605</v>
      </c>
    </row>
    <row r="4145" spans="1:40" x14ac:dyDescent="0.25">
      <c r="A4145" t="str">
        <f>"20190312164553397"</f>
        <v>20190312164553397</v>
      </c>
      <c r="B4145" t="str">
        <f>"1552380353385579"</f>
        <v>1552380353385579</v>
      </c>
      <c r="C4145" t="s">
        <v>40</v>
      </c>
      <c r="D4145">
        <v>5.1484800000000002</v>
      </c>
      <c r="E4145">
        <v>0.48163539999999999</v>
      </c>
      <c r="F4145" t="s">
        <v>71</v>
      </c>
      <c r="G4145">
        <v>-410.13339999999999</v>
      </c>
      <c r="H4145" s="1">
        <v>-1.053408E-5</v>
      </c>
      <c r="I4145">
        <v>139.32409999999999</v>
      </c>
      <c r="J4145">
        <v>-388.84070000000003</v>
      </c>
      <c r="K4145">
        <v>1.108886</v>
      </c>
      <c r="L4145">
        <v>141.2756</v>
      </c>
      <c r="M4145">
        <v>-0.99990579999999996</v>
      </c>
      <c r="N4145">
        <v>0</v>
      </c>
      <c r="O4145">
        <v>-3.5655610000000001E-3</v>
      </c>
      <c r="P4145">
        <v>-0.99287840000000005</v>
      </c>
      <c r="Q4145">
        <v>0.1140471</v>
      </c>
      <c r="R4145">
        <v>-3.4437759999999998E-2</v>
      </c>
      <c r="S4145">
        <v>-3.0297550000000002</v>
      </c>
      <c r="T4145">
        <v>-0.155687299999999</v>
      </c>
      <c r="U4145">
        <v>-0.27413939999999998</v>
      </c>
      <c r="V4145">
        <v>-3.08954E-2</v>
      </c>
      <c r="W4145">
        <v>0.12721150000000001</v>
      </c>
      <c r="X4145">
        <v>0.99139429999999995</v>
      </c>
      <c r="Y4145">
        <v>-8.6453840000000004E-2</v>
      </c>
      <c r="Z4145">
        <v>-2.032547E-3</v>
      </c>
      <c r="AA4145">
        <v>0.99625379999999997</v>
      </c>
      <c r="AB4145">
        <v>29</v>
      </c>
      <c r="AC4145">
        <v>-21.2926999999999</v>
      </c>
      <c r="AD4145">
        <v>-1.1088965340799899</v>
      </c>
      <c r="AE4145">
        <v>-1.95150000000001</v>
      </c>
      <c r="AF4145">
        <v>-1.87052952537168</v>
      </c>
      <c r="AG4145">
        <v>-1.1088965340799899</v>
      </c>
      <c r="AH4145">
        <v>21.242389887684901</v>
      </c>
      <c r="AI4145">
        <v>92.976747733966207</v>
      </c>
      <c r="AJ4145">
        <v>95.032283278803703</v>
      </c>
      <c r="AK4145">
        <v>21.353399269647898</v>
      </c>
      <c r="AL4145">
        <v>82.691514700992201</v>
      </c>
      <c r="AM4145">
        <v>91.784964179600905</v>
      </c>
      <c r="AN4145">
        <v>0.999999974772949</v>
      </c>
    </row>
    <row r="4146" spans="1:40" x14ac:dyDescent="0.25">
      <c r="A4146" t="str">
        <f>"20190312164553421"</f>
        <v>20190312164553421</v>
      </c>
      <c r="B4146" t="str">
        <f>"1552380353415835"</f>
        <v>1552380353415835</v>
      </c>
      <c r="C4146" t="s">
        <v>40</v>
      </c>
      <c r="D4146">
        <v>5.0911140000000001</v>
      </c>
      <c r="E4146">
        <v>0.48166890000000001</v>
      </c>
      <c r="F4146" t="s">
        <v>71</v>
      </c>
      <c r="G4146">
        <v>-410.6404</v>
      </c>
      <c r="H4146" s="1">
        <v>-1.047499E-5</v>
      </c>
      <c r="I4146">
        <v>139.29079999999999</v>
      </c>
      <c r="J4146">
        <v>-389.13060000000002</v>
      </c>
      <c r="K4146">
        <v>1.108914</v>
      </c>
      <c r="L4146">
        <v>141.27449999999999</v>
      </c>
      <c r="M4146">
        <v>-0.99990500000000004</v>
      </c>
      <c r="N4146">
        <v>0</v>
      </c>
      <c r="O4146">
        <v>-3.6213109999999999E-3</v>
      </c>
      <c r="P4146">
        <v>-0.99273960000000006</v>
      </c>
      <c r="Q4146">
        <v>0.115091899999999</v>
      </c>
      <c r="R4146">
        <v>-3.4954640000000002E-2</v>
      </c>
      <c r="S4146">
        <v>-3.0296630000000002</v>
      </c>
      <c r="T4146">
        <v>-0.1541119</v>
      </c>
      <c r="U4146">
        <v>-0.27584839999999999</v>
      </c>
      <c r="V4146">
        <v>-3.1364240000000002E-2</v>
      </c>
      <c r="W4146">
        <v>0.12828410000000001</v>
      </c>
      <c r="X4146">
        <v>0.99124140000000005</v>
      </c>
      <c r="Y4146">
        <v>-8.6959980000000006E-2</v>
      </c>
      <c r="Z4146">
        <v>-2.0220250000000002E-3</v>
      </c>
      <c r="AA4146">
        <v>0.99620969999999998</v>
      </c>
      <c r="AB4146">
        <v>29</v>
      </c>
      <c r="AC4146">
        <v>-21.509799999999899</v>
      </c>
      <c r="AD4146">
        <v>-1.10892447499</v>
      </c>
      <c r="AE4146">
        <v>-1.98369999999999</v>
      </c>
      <c r="AF4146">
        <v>-1.9007770421594401</v>
      </c>
      <c r="AG4146">
        <v>-1.10892447499</v>
      </c>
      <c r="AH4146">
        <v>21.460285875056499</v>
      </c>
      <c r="AI4146">
        <v>92.9465182731917</v>
      </c>
      <c r="AJ4146">
        <v>95.061584292070904</v>
      </c>
      <c r="AK4146">
        <v>21.572819396045102</v>
      </c>
      <c r="AL4146">
        <v>82.6295518908628</v>
      </c>
      <c r="AM4146">
        <v>91.812312542634899</v>
      </c>
      <c r="AN4146">
        <v>1.0000000194687699</v>
      </c>
    </row>
    <row r="4147" spans="1:40" x14ac:dyDescent="0.25">
      <c r="A4147" t="str">
        <f>"20190312164553442"</f>
        <v>20190312164553442</v>
      </c>
      <c r="B4147" t="str">
        <f>"1552380353435354"</f>
        <v>1552380353435354</v>
      </c>
      <c r="C4147" t="s">
        <v>40</v>
      </c>
      <c r="D4147">
        <v>5.3015429999999997</v>
      </c>
      <c r="E4147">
        <v>0.48175210000000002</v>
      </c>
      <c r="F4147" t="s">
        <v>71</v>
      </c>
      <c r="G4147">
        <v>-411.5</v>
      </c>
      <c r="H4147" s="1">
        <v>-1.0370290000000001E-5</v>
      </c>
      <c r="I4147">
        <v>139.22399999999999</v>
      </c>
      <c r="J4147">
        <v>-389.41460000000001</v>
      </c>
      <c r="K4147">
        <v>1.1089560000000001</v>
      </c>
      <c r="L4147">
        <v>141.27340000000001</v>
      </c>
      <c r="M4147">
        <v>-0.99990420000000002</v>
      </c>
      <c r="N4147">
        <v>0</v>
      </c>
      <c r="O4147">
        <v>-3.7390969999999998E-3</v>
      </c>
      <c r="P4147">
        <v>-0.99272000000000005</v>
      </c>
      <c r="Q4147">
        <v>0.1149138</v>
      </c>
      <c r="R4147">
        <v>-3.6082669999999997E-2</v>
      </c>
      <c r="S4147">
        <v>-3.029541</v>
      </c>
      <c r="T4147">
        <v>-0.15018399999999901</v>
      </c>
      <c r="U4147">
        <v>-0.27771000000000001</v>
      </c>
      <c r="V4147">
        <v>-3.2387699999999998E-2</v>
      </c>
      <c r="W4147">
        <v>0.12812989999999999</v>
      </c>
      <c r="X4147">
        <v>0.99122840000000001</v>
      </c>
      <c r="Y4147">
        <v>-8.7458220000000003E-2</v>
      </c>
      <c r="Z4147">
        <v>-1.9770709999999999E-3</v>
      </c>
      <c r="AA4147">
        <v>0.9961662</v>
      </c>
      <c r="AB4147">
        <v>29</v>
      </c>
      <c r="AC4147">
        <v>-22.0854</v>
      </c>
      <c r="AD4147">
        <v>-1.1089663702899999</v>
      </c>
      <c r="AE4147">
        <v>-2.0494000000000199</v>
      </c>
      <c r="AF4147">
        <v>-1.9618945698879799</v>
      </c>
      <c r="AG4147">
        <v>-1.1089663702899999</v>
      </c>
      <c r="AH4147">
        <v>22.037819368199699</v>
      </c>
      <c r="AI4147">
        <v>92.869425315653999</v>
      </c>
      <c r="AJ4147">
        <v>95.087287703935104</v>
      </c>
      <c r="AK4147">
        <v>22.152749698833901</v>
      </c>
      <c r="AL4147">
        <v>82.638460182801396</v>
      </c>
      <c r="AM4147">
        <v>91.871434031097493</v>
      </c>
      <c r="AN4147">
        <v>0.99999998767592901</v>
      </c>
    </row>
    <row r="4148" spans="1:40" x14ac:dyDescent="0.25">
      <c r="A4148" t="str">
        <f>"20190312164553464"</f>
        <v>20190312164553464</v>
      </c>
      <c r="B4148" t="str">
        <f>"1552380353455851"</f>
        <v>1552380353455851</v>
      </c>
      <c r="C4148" t="s">
        <v>40</v>
      </c>
      <c r="D4148">
        <v>5.1550349999999998</v>
      </c>
      <c r="E4148">
        <v>0.48148380000000002</v>
      </c>
      <c r="F4148" t="s">
        <v>71</v>
      </c>
      <c r="G4148">
        <v>-411.71510000000001</v>
      </c>
      <c r="H4148" s="1">
        <v>-1.034272E-5</v>
      </c>
      <c r="I4148">
        <v>139.20410000000001</v>
      </c>
      <c r="J4148">
        <v>-389.70589999999999</v>
      </c>
      <c r="K4148">
        <v>1.1090230000000001</v>
      </c>
      <c r="L4148">
        <v>141.27209999999999</v>
      </c>
      <c r="M4148">
        <v>-0.99990299999999999</v>
      </c>
      <c r="N4148">
        <v>0</v>
      </c>
      <c r="O4148">
        <v>-3.96584E-3</v>
      </c>
      <c r="P4148">
        <v>-0.9927009</v>
      </c>
      <c r="Q4148">
        <v>0.1145675</v>
      </c>
      <c r="R4148">
        <v>-3.7676630000000003E-2</v>
      </c>
      <c r="S4148">
        <v>-3.0292050000000001</v>
      </c>
      <c r="T4148">
        <v>-0.15063770000000001</v>
      </c>
      <c r="U4148">
        <v>-0.2810822</v>
      </c>
      <c r="V4148">
        <v>-3.3778719999999998E-2</v>
      </c>
      <c r="W4148">
        <v>0.12780169999999999</v>
      </c>
      <c r="X4148">
        <v>0.99122429999999995</v>
      </c>
      <c r="Y4148">
        <v>-8.8340500000000002E-2</v>
      </c>
      <c r="Z4148">
        <v>-1.9937869999999999E-3</v>
      </c>
      <c r="AA4148">
        <v>0.99608830000000004</v>
      </c>
      <c r="AB4148">
        <v>29</v>
      </c>
      <c r="AC4148">
        <v>-22.0092</v>
      </c>
      <c r="AD4148">
        <v>-1.1090333427200001</v>
      </c>
      <c r="AE4148">
        <v>-2.0679999999999801</v>
      </c>
      <c r="AF4148">
        <v>-1.9757183327932599</v>
      </c>
      <c r="AG4148">
        <v>-1.1090333427200001</v>
      </c>
      <c r="AH4148">
        <v>21.961953275951199</v>
      </c>
      <c r="AI4148">
        <v>92.879255376984105</v>
      </c>
      <c r="AJ4148">
        <v>95.140545521250303</v>
      </c>
      <c r="AK4148">
        <v>22.078514659751502</v>
      </c>
      <c r="AL4148">
        <v>82.657420221545706</v>
      </c>
      <c r="AM4148">
        <v>91.951757471444694</v>
      </c>
      <c r="AN4148">
        <v>0.99999994467910702</v>
      </c>
    </row>
    <row r="4149" spans="1:40" x14ac:dyDescent="0.25">
      <c r="A4149" t="str">
        <f>"20190312164553486"</f>
        <v>20190312164553486</v>
      </c>
      <c r="B4149" t="str">
        <f>"1552380353475372"</f>
        <v>1552380353475372</v>
      </c>
      <c r="C4149" t="s">
        <v>40</v>
      </c>
      <c r="D4149">
        <v>5.2627889999999997</v>
      </c>
      <c r="E4149">
        <v>0.4808673</v>
      </c>
      <c r="F4149" t="s">
        <v>71</v>
      </c>
      <c r="G4149">
        <v>-411.935</v>
      </c>
      <c r="H4149" s="1">
        <v>-1.030163E-5</v>
      </c>
      <c r="I4149">
        <v>139.15430000000001</v>
      </c>
      <c r="J4149">
        <v>-389.97699999999998</v>
      </c>
      <c r="K4149">
        <v>1.109116</v>
      </c>
      <c r="L4149">
        <v>141.27070000000001</v>
      </c>
      <c r="M4149">
        <v>-0.9999015</v>
      </c>
      <c r="N4149">
        <v>0</v>
      </c>
      <c r="O4149">
        <v>-4.3162870000000002E-3</v>
      </c>
      <c r="P4149">
        <v>-0.99261100000000002</v>
      </c>
      <c r="Q4149">
        <v>0.1145767</v>
      </c>
      <c r="R4149">
        <v>-3.9949489999999997E-2</v>
      </c>
      <c r="S4149">
        <v>-3.0285340000000001</v>
      </c>
      <c r="T4149">
        <v>-0.15109649999999999</v>
      </c>
      <c r="U4149">
        <v>-0.28852840000000002</v>
      </c>
      <c r="V4149">
        <v>-3.5734410000000001E-2</v>
      </c>
      <c r="W4149">
        <v>0.12782060000000001</v>
      </c>
      <c r="X4149">
        <v>0.99115339999999996</v>
      </c>
      <c r="Y4149">
        <v>-9.0436329999999995E-2</v>
      </c>
      <c r="Z4149">
        <v>-2.03476E-3</v>
      </c>
      <c r="AA4149">
        <v>0.99590020000000001</v>
      </c>
      <c r="AB4149">
        <v>29</v>
      </c>
      <c r="AC4149">
        <v>-21.957999999999998</v>
      </c>
      <c r="AD4149">
        <v>-1.1091263016299999</v>
      </c>
      <c r="AE4149">
        <v>-2.1163999999999898</v>
      </c>
      <c r="AF4149">
        <v>-2.0164972874789102</v>
      </c>
      <c r="AG4149">
        <v>-1.1091263016299999</v>
      </c>
      <c r="AH4149">
        <v>21.911540958709701</v>
      </c>
      <c r="AI4149">
        <v>92.885572343321996</v>
      </c>
      <c r="AJ4149">
        <v>95.258062788467598</v>
      </c>
      <c r="AK4149">
        <v>22.032068664757499</v>
      </c>
      <c r="AL4149">
        <v>82.656329213930704</v>
      </c>
      <c r="AM4149">
        <v>92.064811010614605</v>
      </c>
      <c r="AN4149">
        <v>1.0000000580869799</v>
      </c>
    </row>
    <row r="4150" spans="1:40" x14ac:dyDescent="0.25">
      <c r="A4150" t="str">
        <f>"20190312164553509"</f>
        <v>20190312164553509</v>
      </c>
      <c r="B4150" t="str">
        <f>"1552380353505627"</f>
        <v>1552380353505627</v>
      </c>
      <c r="C4150" t="s">
        <v>40</v>
      </c>
      <c r="D4150">
        <v>5.2031450000000001</v>
      </c>
      <c r="E4150">
        <v>0.46659519999999999</v>
      </c>
      <c r="F4150" t="s">
        <v>71</v>
      </c>
      <c r="G4150">
        <v>-412.7638</v>
      </c>
      <c r="H4150" s="1">
        <v>-1.016437E-5</v>
      </c>
      <c r="I4150">
        <v>139.0069</v>
      </c>
      <c r="J4150">
        <v>-390.26409999999998</v>
      </c>
      <c r="K4150">
        <v>1.1092599999999999</v>
      </c>
      <c r="L4150">
        <v>141.2689</v>
      </c>
      <c r="M4150">
        <v>-0.99989850000000002</v>
      </c>
      <c r="N4150">
        <v>0</v>
      </c>
      <c r="O4150">
        <v>-4.8729649999999999E-3</v>
      </c>
      <c r="P4150">
        <v>-0.99241650000000003</v>
      </c>
      <c r="Q4150">
        <v>0.1153503</v>
      </c>
      <c r="R4150">
        <v>-4.2475899999999997E-2</v>
      </c>
      <c r="S4150">
        <v>-3.0272519999999998</v>
      </c>
      <c r="T4150">
        <v>-0.14734849999999999</v>
      </c>
      <c r="U4150">
        <v>-0.30075069999999998</v>
      </c>
      <c r="V4150">
        <v>-3.7751890000000003E-2</v>
      </c>
      <c r="W4150">
        <v>0.12859709999999999</v>
      </c>
      <c r="X4150">
        <v>0.99097809999999997</v>
      </c>
      <c r="Y4150">
        <v>-9.3906030000000001E-2</v>
      </c>
      <c r="Z4150">
        <v>-2.0419700000000002E-3</v>
      </c>
      <c r="AA4150">
        <v>0.99557890000000004</v>
      </c>
      <c r="AB4150">
        <v>29</v>
      </c>
      <c r="AC4150">
        <v>-22.499700000000001</v>
      </c>
      <c r="AD4150">
        <v>-1.10927016437</v>
      </c>
      <c r="AE4150">
        <v>-2.262</v>
      </c>
      <c r="AF4150">
        <v>-2.1471563110615399</v>
      </c>
      <c r="AG4150">
        <v>-1.10927016437</v>
      </c>
      <c r="AH4150">
        <v>22.456419074546801</v>
      </c>
      <c r="AI4150">
        <v>92.815098744671502</v>
      </c>
      <c r="AJ4150">
        <v>95.461696309249007</v>
      </c>
      <c r="AK4150">
        <v>22.586091254871</v>
      </c>
      <c r="AL4150">
        <v>82.611468438754798</v>
      </c>
      <c r="AM4150">
        <v>92.181661225426197</v>
      </c>
      <c r="AN4150">
        <v>1.0000000070032899</v>
      </c>
    </row>
    <row r="4151" spans="1:40" x14ac:dyDescent="0.25">
      <c r="A4151" t="str">
        <f>"20190312164553531"</f>
        <v>20190312164553531</v>
      </c>
      <c r="B4151" t="str">
        <f>"1552380353526122"</f>
        <v>1552380353526122</v>
      </c>
      <c r="C4151" t="s">
        <v>40</v>
      </c>
      <c r="D4151">
        <v>5.012778</v>
      </c>
      <c r="E4151">
        <v>0.466331</v>
      </c>
      <c r="F4151" t="s">
        <v>71</v>
      </c>
      <c r="G4151">
        <v>-407.88679999999999</v>
      </c>
      <c r="H4151" s="1">
        <v>-9.027463E-6</v>
      </c>
      <c r="I4151">
        <v>138.79150000000001</v>
      </c>
      <c r="J4151">
        <v>-390.5566</v>
      </c>
      <c r="K4151">
        <v>1.109451</v>
      </c>
      <c r="L4151">
        <v>141.26669999999999</v>
      </c>
      <c r="M4151">
        <v>-0.9998937</v>
      </c>
      <c r="N4151">
        <v>0</v>
      </c>
      <c r="O4151">
        <v>-5.7226129999999997E-3</v>
      </c>
      <c r="P4151">
        <v>-0.99212650000000002</v>
      </c>
      <c r="Q4151">
        <v>0.1167189</v>
      </c>
      <c r="R4151">
        <v>-4.5407749999999997E-2</v>
      </c>
      <c r="S4151">
        <v>-3.0268250000000001</v>
      </c>
      <c r="T4151">
        <v>-0.1905249</v>
      </c>
      <c r="U4151">
        <v>-0.42552190000000001</v>
      </c>
      <c r="V4151">
        <v>-3.9900369999999998E-2</v>
      </c>
      <c r="W4151">
        <v>0.1299594</v>
      </c>
      <c r="X4151">
        <v>0.99071620000000005</v>
      </c>
      <c r="Y4151">
        <v>-0.13329739999999901</v>
      </c>
      <c r="Z4151">
        <v>-3.8125450000000001E-3</v>
      </c>
      <c r="AA4151">
        <v>0.99106879999999997</v>
      </c>
      <c r="AB4151">
        <v>28</v>
      </c>
      <c r="AC4151">
        <v>-17.330199999999898</v>
      </c>
      <c r="AD4151">
        <v>-1.109460027463</v>
      </c>
      <c r="AE4151">
        <v>-2.4751999999999699</v>
      </c>
      <c r="AF4151">
        <v>-2.3664716206300498</v>
      </c>
      <c r="AG4151">
        <v>-1.109460027463</v>
      </c>
      <c r="AH4151">
        <v>17.274698512617601</v>
      </c>
      <c r="AI4151">
        <v>93.640838398509899</v>
      </c>
      <c r="AJ4151">
        <v>97.800430638857506</v>
      </c>
      <c r="AK4151">
        <v>17.4712992701064</v>
      </c>
      <c r="AL4151">
        <v>82.532754073406494</v>
      </c>
      <c r="AM4151">
        <v>92.306299180774204</v>
      </c>
      <c r="AN4151">
        <v>1.0000000370584601</v>
      </c>
    </row>
    <row r="4152" spans="1:40" x14ac:dyDescent="0.25">
      <c r="A4152" t="str">
        <f>"20190312164553553"</f>
        <v>20190312164553553</v>
      </c>
      <c r="B4152" t="str">
        <f>"1552380353545209"</f>
        <v>1552380353545209</v>
      </c>
      <c r="C4152" t="s">
        <v>40</v>
      </c>
      <c r="D4152">
        <v>5.0330599999999999</v>
      </c>
      <c r="E4152">
        <v>0.46712510000000002</v>
      </c>
      <c r="F4152" t="s">
        <v>71</v>
      </c>
      <c r="G4152">
        <v>-411.08460000000002</v>
      </c>
      <c r="H4152" s="1">
        <v>-1.0006680000000001E-5</v>
      </c>
      <c r="I4152">
        <v>138.30860000000001</v>
      </c>
      <c r="J4152">
        <v>-390.83550000000002</v>
      </c>
      <c r="K4152">
        <v>1.109659</v>
      </c>
      <c r="L4152">
        <v>141.26400000000001</v>
      </c>
      <c r="M4152">
        <v>-0.99988679999999996</v>
      </c>
      <c r="N4152">
        <v>0</v>
      </c>
      <c r="O4152">
        <v>-6.8130019999999899E-3</v>
      </c>
      <c r="P4152">
        <v>-0.99186560000000001</v>
      </c>
      <c r="Q4152">
        <v>0.1177893</v>
      </c>
      <c r="R4152">
        <v>-4.8255239999999998E-2</v>
      </c>
      <c r="S4152">
        <v>-3.0231020000000002</v>
      </c>
      <c r="T4152">
        <v>-0.1633869</v>
      </c>
      <c r="U4152">
        <v>-0.43562319999999999</v>
      </c>
      <c r="V4152">
        <v>-4.1732560000000002E-2</v>
      </c>
      <c r="W4152">
        <v>0.13102069999999999</v>
      </c>
      <c r="X4152">
        <v>0.99050090000000002</v>
      </c>
      <c r="Y4152">
        <v>-0.13569339999999999</v>
      </c>
      <c r="Z4152">
        <v>-3.2793459999999998E-3</v>
      </c>
      <c r="AA4152">
        <v>0.9907454</v>
      </c>
      <c r="AB4152">
        <v>28</v>
      </c>
      <c r="AC4152">
        <v>-20.249099999999999</v>
      </c>
      <c r="AD4152">
        <v>-1.1096690066799999</v>
      </c>
      <c r="AE4152">
        <v>-2.9553999999999898</v>
      </c>
      <c r="AF4152">
        <v>-2.8091016569303902</v>
      </c>
      <c r="AG4152">
        <v>-1.1096690066799999</v>
      </c>
      <c r="AH4152">
        <v>20.2093413376363</v>
      </c>
      <c r="AI4152">
        <v>93.113011993381505</v>
      </c>
      <c r="AJ4152">
        <v>97.913417256436006</v>
      </c>
      <c r="AK4152">
        <v>20.4337929598118</v>
      </c>
      <c r="AL4152">
        <v>82.471421605243606</v>
      </c>
      <c r="AM4152">
        <v>92.412603755127805</v>
      </c>
      <c r="AN4152">
        <v>1.0000000316467199</v>
      </c>
    </row>
    <row r="4153" spans="1:40" x14ac:dyDescent="0.25">
      <c r="A4153" t="str">
        <f>"20190312164553575"</f>
        <v>20190312164553575</v>
      </c>
      <c r="B4153" t="str">
        <f>"1552380353565705"</f>
        <v>1552380353565705</v>
      </c>
      <c r="C4153" t="s">
        <v>40</v>
      </c>
      <c r="D4153">
        <v>5.0912730000000002</v>
      </c>
      <c r="E4153">
        <v>0.46732760000000001</v>
      </c>
      <c r="F4153" t="s">
        <v>71</v>
      </c>
      <c r="G4153">
        <v>-414.37950000000001</v>
      </c>
      <c r="H4153" s="1">
        <v>-9.5182600000000006E-6</v>
      </c>
      <c r="I4153">
        <v>137.85339999999999</v>
      </c>
      <c r="J4153">
        <v>-391.11130000000003</v>
      </c>
      <c r="K4153">
        <v>1.1098619999999999</v>
      </c>
      <c r="L4153">
        <v>141.26079999999999</v>
      </c>
      <c r="M4153">
        <v>-0.99987669999999995</v>
      </c>
      <c r="N4153">
        <v>0</v>
      </c>
      <c r="O4153">
        <v>-8.1394859999999996E-3</v>
      </c>
      <c r="P4153">
        <v>-0.99151889999999998</v>
      </c>
      <c r="Q4153">
        <v>0.1192682</v>
      </c>
      <c r="R4153">
        <v>-5.1629729999999999E-2</v>
      </c>
      <c r="S4153">
        <v>-3.0202640000000001</v>
      </c>
      <c r="T4153">
        <v>-0.14235010000000001</v>
      </c>
      <c r="U4153">
        <v>-0.4375153</v>
      </c>
      <c r="V4153">
        <v>-4.3858679999999997E-2</v>
      </c>
      <c r="W4153">
        <v>0.13248509999999999</v>
      </c>
      <c r="X4153">
        <v>0.99021420000000004</v>
      </c>
      <c r="Y4153">
        <v>-0.1351646</v>
      </c>
      <c r="Z4153">
        <v>-2.785596E-3</v>
      </c>
      <c r="AA4153">
        <v>0.99081920000000001</v>
      </c>
      <c r="AB4153">
        <v>28</v>
      </c>
      <c r="AC4153">
        <v>-23.268199999999901</v>
      </c>
      <c r="AD4153">
        <v>-1.1098715182600001</v>
      </c>
      <c r="AE4153">
        <v>-3.4073999999999902</v>
      </c>
      <c r="AF4153">
        <v>-3.2107271535162898</v>
      </c>
      <c r="AG4153">
        <v>-1.1098715182600001</v>
      </c>
      <c r="AH4153">
        <v>23.243392922585699</v>
      </c>
      <c r="AI4153">
        <v>92.708119486145804</v>
      </c>
      <c r="AJ4153">
        <v>97.864783760126997</v>
      </c>
      <c r="AK4153">
        <v>23.490336272498901</v>
      </c>
      <c r="AL4153">
        <v>82.386779742303801</v>
      </c>
      <c r="AM4153">
        <v>92.536093622426904</v>
      </c>
      <c r="AN4153">
        <v>1.00000002370749</v>
      </c>
    </row>
    <row r="4154" spans="1:40" x14ac:dyDescent="0.25">
      <c r="A4154" t="str">
        <f>"20190312164553597"</f>
        <v>20190312164553597</v>
      </c>
      <c r="B4154" t="str">
        <f>"1552380353586201"</f>
        <v>1552380353586201</v>
      </c>
      <c r="C4154" t="s">
        <v>40</v>
      </c>
      <c r="D4154">
        <v>5.1392309999999997</v>
      </c>
      <c r="E4154">
        <v>0.46775369999999999</v>
      </c>
      <c r="F4154" t="s">
        <v>71</v>
      </c>
      <c r="G4154">
        <v>-416.39890000000003</v>
      </c>
      <c r="H4154" s="1">
        <v>-9.1950799999999997E-6</v>
      </c>
      <c r="I4154">
        <v>137.51990000000001</v>
      </c>
      <c r="J4154">
        <v>-391.39260000000002</v>
      </c>
      <c r="K4154">
        <v>1.1100829999999999</v>
      </c>
      <c r="L4154">
        <v>141.2568</v>
      </c>
      <c r="M4154">
        <v>-0.99986180000000002</v>
      </c>
      <c r="N4154">
        <v>0</v>
      </c>
      <c r="O4154">
        <v>-9.7838700000000001E-3</v>
      </c>
      <c r="P4154">
        <v>-0.99113810000000002</v>
      </c>
      <c r="Q4154">
        <v>0.1207207</v>
      </c>
      <c r="R4154">
        <v>-5.542793E-2</v>
      </c>
      <c r="S4154">
        <v>-3.0183409999999999</v>
      </c>
      <c r="T4154">
        <v>-0.1324747</v>
      </c>
      <c r="U4154">
        <v>-0.44651790000000002</v>
      </c>
      <c r="V4154">
        <v>-4.6100450000000001E-2</v>
      </c>
      <c r="W4154">
        <v>0.13391889999999901</v>
      </c>
      <c r="X4154">
        <v>0.9899194</v>
      </c>
      <c r="Y4154">
        <v>-0.1365364</v>
      </c>
      <c r="Z4154">
        <v>-2.5518149999999998E-3</v>
      </c>
      <c r="AA4154">
        <v>0.99063179999999995</v>
      </c>
      <c r="AB4154">
        <v>28</v>
      </c>
      <c r="AC4154">
        <v>-25.0063</v>
      </c>
      <c r="AD4154">
        <v>-1.11009219507999</v>
      </c>
      <c r="AE4154">
        <v>-3.7368999999999901</v>
      </c>
      <c r="AF4154">
        <v>-3.4853221484008001</v>
      </c>
      <c r="AG4154">
        <v>-1.11009219507999</v>
      </c>
      <c r="AH4154">
        <v>24.993488942708499</v>
      </c>
      <c r="AI4154">
        <v>92.518794686227395</v>
      </c>
      <c r="AJ4154">
        <v>97.938656445008505</v>
      </c>
      <c r="AK4154">
        <v>25.259736037595498</v>
      </c>
      <c r="AL4154">
        <v>82.303890004773805</v>
      </c>
      <c r="AM4154">
        <v>92.666332441171306</v>
      </c>
      <c r="AN4154">
        <v>0.99999997088188497</v>
      </c>
    </row>
    <row r="4155" spans="1:40" x14ac:dyDescent="0.25">
      <c r="A4155" t="str">
        <f>"20190312164553621"</f>
        <v>20190312164553621</v>
      </c>
      <c r="B4155" t="str">
        <f>"1552380353615483"</f>
        <v>1552380353615483</v>
      </c>
      <c r="C4155" t="s">
        <v>40</v>
      </c>
      <c r="D4155">
        <v>5.0363239999999996</v>
      </c>
      <c r="E4155">
        <v>0.46822000000000003</v>
      </c>
      <c r="F4155" t="s">
        <v>71</v>
      </c>
      <c r="G4155">
        <v>-416.52289999999999</v>
      </c>
      <c r="H4155" s="1">
        <v>-9.1624539999999999E-6</v>
      </c>
      <c r="I4155">
        <v>137.4701</v>
      </c>
      <c r="J4155">
        <v>-391.6875</v>
      </c>
      <c r="K4155">
        <v>1.110331</v>
      </c>
      <c r="L4155">
        <v>141.2518</v>
      </c>
      <c r="M4155">
        <v>-0.99983920000000004</v>
      </c>
      <c r="N4155">
        <v>0</v>
      </c>
      <c r="O4155">
        <v>-1.1856459999999999E-2</v>
      </c>
      <c r="P4155">
        <v>-0.99066759999999998</v>
      </c>
      <c r="Q4155">
        <v>0.1224254</v>
      </c>
      <c r="R4155">
        <v>-5.9918100000000002E-2</v>
      </c>
      <c r="S4155">
        <v>-3.0176699999999999</v>
      </c>
      <c r="T4155">
        <v>-0.13330110000000001</v>
      </c>
      <c r="U4155">
        <v>-0.4547119</v>
      </c>
      <c r="V4155">
        <v>-4.8622470000000001E-2</v>
      </c>
      <c r="W4155">
        <v>0.13559769999999999</v>
      </c>
      <c r="X4155">
        <v>0.98957019999999996</v>
      </c>
      <c r="Y4155">
        <v>-0.13714599999999999</v>
      </c>
      <c r="Z4155">
        <v>-2.4901929999999999E-3</v>
      </c>
      <c r="AA4155">
        <v>0.99054770000000003</v>
      </c>
      <c r="AB4155">
        <v>28</v>
      </c>
      <c r="AC4155">
        <v>-24.8354</v>
      </c>
      <c r="AD4155">
        <v>-1.1103401624539999</v>
      </c>
      <c r="AE4155">
        <v>-3.7816999999999998</v>
      </c>
      <c r="AF4155">
        <v>-3.4801490595256501</v>
      </c>
      <c r="AG4155">
        <v>-1.1103401624539999</v>
      </c>
      <c r="AH4155">
        <v>24.829990060871602</v>
      </c>
      <c r="AI4155">
        <v>92.535677783378901</v>
      </c>
      <c r="AJ4155">
        <v>97.978550722245899</v>
      </c>
      <c r="AK4155">
        <v>25.097264774788901</v>
      </c>
      <c r="AL4155">
        <v>82.206816847693005</v>
      </c>
      <c r="AM4155">
        <v>92.812962281069403</v>
      </c>
      <c r="AN4155">
        <v>1.0000000307811101</v>
      </c>
    </row>
    <row r="4156" spans="1:40" x14ac:dyDescent="0.25">
      <c r="A4156" t="str">
        <f>"20190312164553643"</f>
        <v>20190312164553643</v>
      </c>
      <c r="B4156" t="str">
        <f>"1552380353635598"</f>
        <v>1552380353635598</v>
      </c>
      <c r="C4156" t="s">
        <v>40</v>
      </c>
      <c r="D4156">
        <v>4.903759</v>
      </c>
      <c r="E4156">
        <v>0.46861459999999999</v>
      </c>
      <c r="F4156" t="s">
        <v>71</v>
      </c>
      <c r="G4156">
        <v>-416.97280000000001</v>
      </c>
      <c r="H4156" s="1">
        <v>-9.0739999999999999E-6</v>
      </c>
      <c r="I4156">
        <v>137.35820000000001</v>
      </c>
      <c r="J4156">
        <v>-391.96629999999999</v>
      </c>
      <c r="K4156">
        <v>1.110581</v>
      </c>
      <c r="L4156">
        <v>141.24619999999999</v>
      </c>
      <c r="M4156">
        <v>-0.99980899999999995</v>
      </c>
      <c r="N4156">
        <v>0</v>
      </c>
      <c r="O4156">
        <v>-1.4156119999999999E-2</v>
      </c>
      <c r="P4156">
        <v>-0.99010830000000005</v>
      </c>
      <c r="Q4156">
        <v>0.1238329</v>
      </c>
      <c r="R4156">
        <v>-6.5962960000000001E-2</v>
      </c>
      <c r="S4156">
        <v>-3.0165099999999998</v>
      </c>
      <c r="T4156">
        <v>-0.13246229999999901</v>
      </c>
      <c r="U4156">
        <v>-0.46450809999999998</v>
      </c>
      <c r="V4156">
        <v>-5.2480899999999997E-2</v>
      </c>
      <c r="W4156">
        <v>0.13696989999999901</v>
      </c>
      <c r="X4156">
        <v>0.98918399999999995</v>
      </c>
      <c r="Y4156">
        <v>-0.13807039999999901</v>
      </c>
      <c r="Z4156">
        <v>-2.3947460000000001E-3</v>
      </c>
      <c r="AA4156">
        <v>0.99041950000000001</v>
      </c>
      <c r="AB4156">
        <v>28</v>
      </c>
      <c r="AC4156">
        <v>-25.006499999999999</v>
      </c>
      <c r="AD4156">
        <v>-1.1105900740000001</v>
      </c>
      <c r="AE4156">
        <v>-3.8879999999999701</v>
      </c>
      <c r="AF4156">
        <v>-3.5267910262537501</v>
      </c>
      <c r="AG4156">
        <v>-1.1105900740000001</v>
      </c>
      <c r="AH4156">
        <v>25.010870009034601</v>
      </c>
      <c r="AI4156">
        <v>92.517634090271898</v>
      </c>
      <c r="AJ4156">
        <v>98.026377341916003</v>
      </c>
      <c r="AK4156">
        <v>25.282707209952001</v>
      </c>
      <c r="AL4156">
        <v>82.127454810638795</v>
      </c>
      <c r="AM4156">
        <v>93.036965335960602</v>
      </c>
      <c r="AN4156">
        <v>0.99999999211340995</v>
      </c>
    </row>
    <row r="4157" spans="1:40" x14ac:dyDescent="0.25">
      <c r="A4157" t="str">
        <f>"20190312164553675"</f>
        <v>20190312164553675</v>
      </c>
      <c r="B4157" t="str">
        <f>"1552380353665790"</f>
        <v>1552380353665790</v>
      </c>
      <c r="C4157" t="s">
        <v>40</v>
      </c>
      <c r="D4157">
        <v>5.0490449999999996</v>
      </c>
      <c r="E4157">
        <v>0.46873589999999998</v>
      </c>
      <c r="F4157" t="s">
        <v>71</v>
      </c>
      <c r="G4157">
        <v>-418.78030000000001</v>
      </c>
      <c r="H4157" s="1">
        <v>-8.7984720000000006E-6</v>
      </c>
      <c r="I4157">
        <v>136.99250000000001</v>
      </c>
      <c r="J4157">
        <v>-392.3759</v>
      </c>
      <c r="K4157">
        <v>1.1109659999999999</v>
      </c>
      <c r="L4157">
        <v>141.23609999999999</v>
      </c>
      <c r="M4157">
        <v>-0.99974419999999997</v>
      </c>
      <c r="N4157">
        <v>0</v>
      </c>
      <c r="O4157">
        <v>-1.815249E-2</v>
      </c>
      <c r="P4157">
        <v>-0.98924179999999995</v>
      </c>
      <c r="Q4157">
        <v>0.124878</v>
      </c>
      <c r="R4157">
        <v>-7.6198929999999998E-2</v>
      </c>
      <c r="S4157">
        <v>-3.013763</v>
      </c>
      <c r="T4157">
        <v>-0.1248252</v>
      </c>
      <c r="U4157">
        <v>-0.47810360000000002</v>
      </c>
      <c r="V4157">
        <v>-5.8901120000000001E-2</v>
      </c>
      <c r="W4157">
        <v>0.13795089999999999</v>
      </c>
      <c r="X4157">
        <v>0.98868610000000001</v>
      </c>
      <c r="Y4157">
        <v>-0.13862430000000001</v>
      </c>
      <c r="Z4157">
        <v>-2.1051289999999999E-3</v>
      </c>
      <c r="AA4157">
        <v>0.99034279999999997</v>
      </c>
      <c r="AB4157">
        <v>28</v>
      </c>
      <c r="AC4157">
        <v>-26.404399999999999</v>
      </c>
      <c r="AD4157">
        <v>-1.110974798472</v>
      </c>
      <c r="AE4157">
        <v>-4.2435999999999803</v>
      </c>
      <c r="AF4157">
        <v>-3.7570676194333399</v>
      </c>
      <c r="AG4157">
        <v>-1.110974798472</v>
      </c>
      <c r="AH4157">
        <v>26.431473070638901</v>
      </c>
      <c r="AI4157">
        <v>92.382929967722305</v>
      </c>
      <c r="AJ4157">
        <v>98.090039151177606</v>
      </c>
      <c r="AK4157">
        <v>26.720265544783501</v>
      </c>
      <c r="AL4157">
        <v>82.070709026060996</v>
      </c>
      <c r="AM4157">
        <v>93.409374796640407</v>
      </c>
      <c r="AN4157">
        <v>0.99999999854063704</v>
      </c>
    </row>
    <row r="4158" spans="1:40" x14ac:dyDescent="0.25">
      <c r="A4158" t="str">
        <f>"20190312164553697"</f>
        <v>20190312164553697</v>
      </c>
      <c r="B4158" t="str">
        <f>"1552380353696046"</f>
        <v>1552380353696046</v>
      </c>
      <c r="C4158" t="s">
        <v>40</v>
      </c>
      <c r="D4158">
        <v>5.1095370000000004</v>
      </c>
      <c r="E4158">
        <v>0.46976059999999997</v>
      </c>
      <c r="F4158" t="s">
        <v>71</v>
      </c>
      <c r="G4158">
        <v>-419.57350000000002</v>
      </c>
      <c r="H4158" s="1">
        <v>-8.6160130000000007E-6</v>
      </c>
      <c r="I4158">
        <v>136.6575</v>
      </c>
      <c r="J4158">
        <v>-392.6558</v>
      </c>
      <c r="K4158">
        <v>1.111221</v>
      </c>
      <c r="L4158">
        <v>141.2278</v>
      </c>
      <c r="M4158">
        <v>-0.99968239999999997</v>
      </c>
      <c r="N4158">
        <v>0</v>
      </c>
      <c r="O4158">
        <v>-2.1275510000000001E-2</v>
      </c>
      <c r="P4158">
        <v>-0.98842909999999995</v>
      </c>
      <c r="Q4158">
        <v>0.1253359</v>
      </c>
      <c r="R4158">
        <v>-8.5432930000000004E-2</v>
      </c>
      <c r="S4158">
        <v>-3.0091860000000001</v>
      </c>
      <c r="T4158">
        <v>-0.122919899999999</v>
      </c>
      <c r="U4158">
        <v>-0.50657649999999999</v>
      </c>
      <c r="V4158">
        <v>-6.5142389999999994E-2</v>
      </c>
      <c r="W4158">
        <v>0.1383481</v>
      </c>
      <c r="X4158">
        <v>0.98823899999999998</v>
      </c>
      <c r="Y4158">
        <v>-0.14488760000000001</v>
      </c>
      <c r="Z4158">
        <v>-2.075038E-3</v>
      </c>
      <c r="AA4158">
        <v>0.98944589999999999</v>
      </c>
      <c r="AB4158">
        <v>28</v>
      </c>
      <c r="AC4158">
        <v>-26.9177</v>
      </c>
      <c r="AD4158">
        <v>-1.111229616013</v>
      </c>
      <c r="AE4158">
        <v>-4.5702999999999996</v>
      </c>
      <c r="AF4158">
        <v>-3.9899160221439498</v>
      </c>
      <c r="AG4158">
        <v>-1.111229616013</v>
      </c>
      <c r="AH4158">
        <v>26.964184503355</v>
      </c>
      <c r="AI4158">
        <v>92.334508736728907</v>
      </c>
      <c r="AJ4158">
        <v>98.417034157455802</v>
      </c>
      <c r="AK4158">
        <v>27.280423513102502</v>
      </c>
      <c r="AL4158">
        <v>82.047731020302393</v>
      </c>
      <c r="AM4158">
        <v>93.771346970470503</v>
      </c>
      <c r="AN4158">
        <v>1.00000002443476</v>
      </c>
    </row>
    <row r="4159" spans="1:40" x14ac:dyDescent="0.25">
      <c r="A4159" t="str">
        <f>"20190312164553720"</f>
        <v>20190312164553720</v>
      </c>
      <c r="B4159" t="str">
        <f>"1552380353715569"</f>
        <v>1552380353715569</v>
      </c>
      <c r="C4159" t="s">
        <v>40</v>
      </c>
      <c r="D4159">
        <v>5.0341239999999896</v>
      </c>
      <c r="E4159">
        <v>0.47041690000000003</v>
      </c>
      <c r="F4159" t="s">
        <v>71</v>
      </c>
      <c r="G4159">
        <v>-419.61669999999998</v>
      </c>
      <c r="H4159" s="1">
        <v>-8.5561899999999903E-6</v>
      </c>
      <c r="I4159">
        <v>136.51679999999999</v>
      </c>
      <c r="J4159">
        <v>-392.94130000000001</v>
      </c>
      <c r="K4159">
        <v>1.1114580000000001</v>
      </c>
      <c r="L4159">
        <v>141.21799999999999</v>
      </c>
      <c r="M4159">
        <v>-0.99960230000000005</v>
      </c>
      <c r="N4159">
        <v>0</v>
      </c>
      <c r="O4159">
        <v>-2.4743790000000002E-2</v>
      </c>
      <c r="P4159">
        <v>-0.98735300000000004</v>
      </c>
      <c r="Q4159">
        <v>0.12627720000000001</v>
      </c>
      <c r="R4159">
        <v>-9.5855659999999995E-2</v>
      </c>
      <c r="S4159">
        <v>-3.0054319999999999</v>
      </c>
      <c r="T4159">
        <v>-0.1238731</v>
      </c>
      <c r="U4159">
        <v>-0.52514649999999996</v>
      </c>
      <c r="V4159">
        <v>-7.2233190000000003E-2</v>
      </c>
      <c r="W4159">
        <v>0.13921749999999999</v>
      </c>
      <c r="X4159">
        <v>0.9876239</v>
      </c>
      <c r="Y4159">
        <v>-0.14759410000000001</v>
      </c>
      <c r="Z4159">
        <v>-2.0062919999999998E-3</v>
      </c>
      <c r="AA4159">
        <v>0.98904599999999998</v>
      </c>
      <c r="AB4159">
        <v>28</v>
      </c>
      <c r="AC4159">
        <v>-26.6753999999999</v>
      </c>
      <c r="AD4159">
        <v>-1.1114665561899999</v>
      </c>
      <c r="AE4159">
        <v>-4.7012</v>
      </c>
      <c r="AF4159">
        <v>-4.0328589793604301</v>
      </c>
      <c r="AG4159">
        <v>-1.1114665561899999</v>
      </c>
      <c r="AH4159">
        <v>26.738545313837101</v>
      </c>
      <c r="AI4159">
        <v>92.353707326443995</v>
      </c>
      <c r="AJ4159">
        <v>98.577026340613102</v>
      </c>
      <c r="AK4159">
        <v>27.063797127399798</v>
      </c>
      <c r="AL4159">
        <v>81.997431572874405</v>
      </c>
      <c r="AM4159">
        <v>94.183071100807595</v>
      </c>
      <c r="AN4159">
        <v>1.00000005694751</v>
      </c>
    </row>
    <row r="4160" spans="1:40" x14ac:dyDescent="0.25">
      <c r="A4160" t="str">
        <f>"20190312164553743"</f>
        <v>20190312164553743</v>
      </c>
      <c r="B4160" t="str">
        <f>"1552380353736061"</f>
        <v>1552380353736061</v>
      </c>
      <c r="C4160" t="s">
        <v>40</v>
      </c>
      <c r="D4160">
        <v>5.0306059999999997</v>
      </c>
      <c r="E4160">
        <v>0.4710047</v>
      </c>
      <c r="F4160" t="s">
        <v>71</v>
      </c>
      <c r="G4160">
        <v>-420.08409999999998</v>
      </c>
      <c r="H4160" s="1">
        <v>-8.4428009999999993E-6</v>
      </c>
      <c r="I4160">
        <v>136.24250000000001</v>
      </c>
      <c r="J4160">
        <v>-393.2303</v>
      </c>
      <c r="K4160">
        <v>1.1116779999999999</v>
      </c>
      <c r="L4160">
        <v>141.20689999999999</v>
      </c>
      <c r="M4160">
        <v>-0.99950099999999997</v>
      </c>
      <c r="N4160">
        <v>0</v>
      </c>
      <c r="O4160">
        <v>-2.8538549999999999E-2</v>
      </c>
      <c r="P4160">
        <v>-0.98601479999999997</v>
      </c>
      <c r="Q4160">
        <v>0.1280057</v>
      </c>
      <c r="R4160">
        <v>-0.10672189999999999</v>
      </c>
      <c r="S4160">
        <v>-3.0007320000000002</v>
      </c>
      <c r="T4160">
        <v>-0.1228766</v>
      </c>
      <c r="U4160">
        <v>-0.55006409999999994</v>
      </c>
      <c r="V4160">
        <v>-7.9455460000000006E-2</v>
      </c>
      <c r="W4160">
        <v>0.1408662</v>
      </c>
      <c r="X4160">
        <v>0.98683509999999997</v>
      </c>
      <c r="Y4160">
        <v>-0.15205869999999999</v>
      </c>
      <c r="Z4160">
        <v>-1.928602E-3</v>
      </c>
      <c r="AA4160">
        <v>0.98836959999999996</v>
      </c>
      <c r="AB4160">
        <v>28</v>
      </c>
      <c r="AC4160">
        <v>-26.8537999999999</v>
      </c>
      <c r="AD4160">
        <v>-1.111686442801</v>
      </c>
      <c r="AE4160">
        <v>-4.9643999999999799</v>
      </c>
      <c r="AF4160">
        <v>-4.1889970847398601</v>
      </c>
      <c r="AG4160">
        <v>-1.111686442801</v>
      </c>
      <c r="AH4160">
        <v>26.939906868586</v>
      </c>
      <c r="AI4160">
        <v>92.334965797368596</v>
      </c>
      <c r="AJ4160">
        <v>98.838377637616702</v>
      </c>
      <c r="AK4160">
        <v>27.2862992252734</v>
      </c>
      <c r="AL4160">
        <v>81.902027285051702</v>
      </c>
      <c r="AM4160">
        <v>94.603264653609898</v>
      </c>
      <c r="AN4160">
        <v>0.99999998550913005</v>
      </c>
    </row>
    <row r="4161" spans="1:40" x14ac:dyDescent="0.25">
      <c r="A4161" t="str">
        <f>"20190312164553764"</f>
        <v>20190312164553764</v>
      </c>
      <c r="B4161" t="str">
        <f>"1552380353755582"</f>
        <v>1552380353755582</v>
      </c>
      <c r="C4161" t="s">
        <v>40</v>
      </c>
      <c r="D4161">
        <v>4.8837129999999904</v>
      </c>
      <c r="E4161">
        <v>0.47160659999999999</v>
      </c>
      <c r="F4161" t="s">
        <v>71</v>
      </c>
      <c r="G4161">
        <v>-421.31610000000001</v>
      </c>
      <c r="H4161" s="1">
        <v>-8.4364630000000001E-6</v>
      </c>
      <c r="I4161">
        <v>135.79249999999999</v>
      </c>
      <c r="J4161">
        <v>-393.4939</v>
      </c>
      <c r="K4161">
        <v>1.111853</v>
      </c>
      <c r="L4161">
        <v>141.19550000000001</v>
      </c>
      <c r="M4161">
        <v>-0.99938830000000001</v>
      </c>
      <c r="N4161">
        <v>0</v>
      </c>
      <c r="O4161">
        <v>-3.2238759999999998E-2</v>
      </c>
      <c r="P4161">
        <v>-0.98455159999999997</v>
      </c>
      <c r="Q4161">
        <v>0.12972980000000001</v>
      </c>
      <c r="R4161">
        <v>-0.1175933</v>
      </c>
      <c r="S4161">
        <v>-2.995422</v>
      </c>
      <c r="T4161">
        <v>-0.1185645</v>
      </c>
      <c r="U4161">
        <v>-0.57745360000000001</v>
      </c>
      <c r="V4161">
        <v>-8.6778510000000003E-2</v>
      </c>
      <c r="W4161">
        <v>0.14250739999999901</v>
      </c>
      <c r="X4161">
        <v>0.98598229999999998</v>
      </c>
      <c r="Y4161">
        <v>-0.15744179999999999</v>
      </c>
      <c r="Z4161">
        <v>-1.8233920000000001E-3</v>
      </c>
      <c r="AA4161">
        <v>0.98752660000000003</v>
      </c>
      <c r="AB4161">
        <v>28</v>
      </c>
      <c r="AC4161">
        <v>-27.822199999999999</v>
      </c>
      <c r="AD4161">
        <v>-1.111861436463</v>
      </c>
      <c r="AE4161">
        <v>-5.4030000000000102</v>
      </c>
      <c r="AF4161">
        <v>-4.4962356144735303</v>
      </c>
      <c r="AG4161">
        <v>-1.111861436463</v>
      </c>
      <c r="AH4161">
        <v>27.938938982672902</v>
      </c>
      <c r="AI4161">
        <v>92.250027444127298</v>
      </c>
      <c r="AJ4161">
        <v>99.142268701380004</v>
      </c>
      <c r="AK4161">
        <v>28.320252153401999</v>
      </c>
      <c r="AL4161">
        <v>81.807035088081406</v>
      </c>
      <c r="AM4161">
        <v>95.029769444768903</v>
      </c>
      <c r="AN4161">
        <v>0.99999998238293397</v>
      </c>
    </row>
    <row r="4162" spans="1:40" x14ac:dyDescent="0.25">
      <c r="A4162" t="str">
        <f>"20190312164553788"</f>
        <v>20190312164553788</v>
      </c>
      <c r="B4162" t="str">
        <f>"1552380353776078"</f>
        <v>1552380353776078</v>
      </c>
      <c r="C4162" t="s">
        <v>40</v>
      </c>
      <c r="D4162">
        <v>5.0121739999999999</v>
      </c>
      <c r="E4162">
        <v>0.47216130000000001</v>
      </c>
      <c r="F4162" t="s">
        <v>71</v>
      </c>
      <c r="G4162">
        <v>-422.5102</v>
      </c>
      <c r="H4162" s="1">
        <v>-8.4159459999999993E-6</v>
      </c>
      <c r="I4162">
        <v>135.3212</v>
      </c>
      <c r="J4162">
        <v>-393.78109999999998</v>
      </c>
      <c r="K4162">
        <v>1.1120429999999999</v>
      </c>
      <c r="L4162">
        <v>141.18180000000001</v>
      </c>
      <c r="M4162">
        <v>-0.99924170000000001</v>
      </c>
      <c r="N4162">
        <v>0</v>
      </c>
      <c r="O4162">
        <v>-3.6501310000000002E-2</v>
      </c>
      <c r="P4162">
        <v>-0.98301039999999995</v>
      </c>
      <c r="Q4162">
        <v>0.13100400000000001</v>
      </c>
      <c r="R4162">
        <v>-0.1285647</v>
      </c>
      <c r="S4162">
        <v>-2.989868</v>
      </c>
      <c r="T4162">
        <v>-0.1145675</v>
      </c>
      <c r="U4162">
        <v>-0.60530090000000003</v>
      </c>
      <c r="V4162">
        <v>-9.3656260000000005E-2</v>
      </c>
      <c r="W4162">
        <v>0.14369570000000001</v>
      </c>
      <c r="X4162">
        <v>0.98518019999999995</v>
      </c>
      <c r="Y4162">
        <v>-0.1624255</v>
      </c>
      <c r="Z4162">
        <v>-1.69683799999999E-3</v>
      </c>
      <c r="AA4162">
        <v>0.98671940000000002</v>
      </c>
      <c r="AB4162">
        <v>28</v>
      </c>
      <c r="AC4162">
        <v>-28.729099999999999</v>
      </c>
      <c r="AD4162">
        <v>-1.112051415946</v>
      </c>
      <c r="AE4162">
        <v>-5.8605999999999998</v>
      </c>
      <c r="AF4162">
        <v>-4.80104157927122</v>
      </c>
      <c r="AG4162">
        <v>-1.112051415946</v>
      </c>
      <c r="AH4162">
        <v>28.8823445839746</v>
      </c>
      <c r="AI4162">
        <v>92.175142035239702</v>
      </c>
      <c r="AJ4162">
        <v>99.437841309549398</v>
      </c>
      <c r="AK4162">
        <v>29.299769406346002</v>
      </c>
      <c r="AL4162">
        <v>81.738242540597795</v>
      </c>
      <c r="AM4162">
        <v>95.430509401906207</v>
      </c>
      <c r="AN4162">
        <v>0.99999998785385802</v>
      </c>
    </row>
    <row r="4163" spans="1:40" x14ac:dyDescent="0.25">
      <c r="A4163" t="str">
        <f>"20190312164553812"</f>
        <v>20190312164553812</v>
      </c>
      <c r="B4163" t="str">
        <f>"1552380353806335"</f>
        <v>1552380353806335</v>
      </c>
      <c r="C4163" t="s">
        <v>40</v>
      </c>
      <c r="D4163">
        <v>5.1740029999999999</v>
      </c>
      <c r="E4163">
        <v>0.48198079999999999</v>
      </c>
      <c r="F4163" t="s">
        <v>71</v>
      </c>
      <c r="G4163">
        <v>-423.51769999999999</v>
      </c>
      <c r="H4163" s="1">
        <v>-8.3759739999999996E-6</v>
      </c>
      <c r="I4163">
        <v>134.86779999999999</v>
      </c>
      <c r="J4163">
        <v>-394.06689999999998</v>
      </c>
      <c r="K4163">
        <v>1.1122350000000001</v>
      </c>
      <c r="L4163">
        <v>141.16659999999999</v>
      </c>
      <c r="M4163">
        <v>-0.99906680000000003</v>
      </c>
      <c r="N4163">
        <v>0</v>
      </c>
      <c r="O4163">
        <v>-4.1000500000000002E-2</v>
      </c>
      <c r="P4163">
        <v>-0.98131559999999995</v>
      </c>
      <c r="Q4163">
        <v>0.13204099999999999</v>
      </c>
      <c r="R4163">
        <v>-0.1399465</v>
      </c>
      <c r="S4163">
        <v>-2.9838260000000001</v>
      </c>
      <c r="T4163">
        <v>-0.1115853</v>
      </c>
      <c r="U4163">
        <v>-0.63356020000000002</v>
      </c>
      <c r="V4163">
        <v>-0.10072440000000001</v>
      </c>
      <c r="W4163">
        <v>0.14463899999999999</v>
      </c>
      <c r="X4163">
        <v>0.98434449999999996</v>
      </c>
      <c r="Y4163">
        <v>-0.16733199999999901</v>
      </c>
      <c r="Z4163">
        <v>-1.579233E-3</v>
      </c>
      <c r="AA4163">
        <v>0.98589930000000003</v>
      </c>
      <c r="AB4163">
        <v>28</v>
      </c>
      <c r="AC4163">
        <v>-29.450800000000001</v>
      </c>
      <c r="AD4163">
        <v>-1.112243375974</v>
      </c>
      <c r="AE4163">
        <v>-6.2988</v>
      </c>
      <c r="AF4163">
        <v>-5.0789664274756303</v>
      </c>
      <c r="AG4163">
        <v>-1.112243375974</v>
      </c>
      <c r="AH4163">
        <v>29.6438776819849</v>
      </c>
      <c r="AI4163">
        <v>92.117907621937803</v>
      </c>
      <c r="AJ4163">
        <v>99.722243807689495</v>
      </c>
      <c r="AK4163">
        <v>30.096386316687699</v>
      </c>
      <c r="AL4163">
        <v>81.6836247049646</v>
      </c>
      <c r="AM4163">
        <v>95.842534009679895</v>
      </c>
      <c r="AN4163">
        <v>0.99999996987830397</v>
      </c>
    </row>
    <row r="4164" spans="1:40" x14ac:dyDescent="0.25">
      <c r="A4164" t="str">
        <f>"20190312164553833"</f>
        <v>20190312164553833</v>
      </c>
      <c r="B4164" t="str">
        <f>"1552380353825854"</f>
        <v>1552380353825854</v>
      </c>
      <c r="C4164" t="s">
        <v>40</v>
      </c>
      <c r="D4164">
        <v>5.0921450000000004</v>
      </c>
      <c r="E4164">
        <v>0.48239759999999998</v>
      </c>
      <c r="F4164" t="s">
        <v>71</v>
      </c>
      <c r="G4164">
        <v>-411.78019999999998</v>
      </c>
      <c r="H4164" s="1">
        <v>-9.6630470000000007E-6</v>
      </c>
      <c r="I4164">
        <v>137.66229999999999</v>
      </c>
      <c r="J4164">
        <v>-394.34890000000001</v>
      </c>
      <c r="K4164">
        <v>1.1124130000000001</v>
      </c>
      <c r="L4164">
        <v>141.15</v>
      </c>
      <c r="M4164">
        <v>-0.99886379999999997</v>
      </c>
      <c r="N4164">
        <v>0</v>
      </c>
      <c r="O4164">
        <v>-4.5675199999999902E-2</v>
      </c>
      <c r="P4164">
        <v>-0.97961039999999999</v>
      </c>
      <c r="Q4164">
        <v>0.13157389999999999</v>
      </c>
      <c r="R4164">
        <v>-0.15182709999999999</v>
      </c>
      <c r="S4164">
        <v>-2.997925</v>
      </c>
      <c r="T4164">
        <v>-0.18824460000000001</v>
      </c>
      <c r="U4164">
        <v>-0.59309389999999995</v>
      </c>
      <c r="V4164">
        <v>-0.1081138</v>
      </c>
      <c r="W4164">
        <v>0.14407229999999999</v>
      </c>
      <c r="X4164">
        <v>0.9836435</v>
      </c>
      <c r="Y4164">
        <v>-0.14886469999999999</v>
      </c>
      <c r="Z4164">
        <v>-1.790313E-3</v>
      </c>
      <c r="AA4164">
        <v>0.98885599999999996</v>
      </c>
      <c r="AB4164">
        <v>28</v>
      </c>
      <c r="AC4164">
        <v>-17.431299999999901</v>
      </c>
      <c r="AD4164">
        <v>-1.11242266304699</v>
      </c>
      <c r="AE4164">
        <v>-3.48770000000001</v>
      </c>
      <c r="AF4164">
        <v>-2.6773234768276701</v>
      </c>
      <c r="AG4164">
        <v>-1.11242266304699</v>
      </c>
      <c r="AH4164">
        <v>17.503876819786299</v>
      </c>
      <c r="AI4164">
        <v>93.594728464450796</v>
      </c>
      <c r="AJ4164">
        <v>98.696334368748097</v>
      </c>
      <c r="AK4164">
        <v>17.742357478731101</v>
      </c>
      <c r="AL4164">
        <v>81.716437984235696</v>
      </c>
      <c r="AM4164">
        <v>96.272292268548597</v>
      </c>
      <c r="AN4164">
        <v>0.99999997823498898</v>
      </c>
    </row>
    <row r="4165" spans="1:40" x14ac:dyDescent="0.25">
      <c r="A4165" t="str">
        <f>"20190312164553854"</f>
        <v>20190312164553854</v>
      </c>
      <c r="B4165" t="str">
        <f>"1552380353845936"</f>
        <v>1552380353845936</v>
      </c>
      <c r="C4165" t="s">
        <v>40</v>
      </c>
      <c r="D4165">
        <v>4.8774300000000004</v>
      </c>
      <c r="E4165">
        <v>0.4828133</v>
      </c>
      <c r="F4165" t="s">
        <v>71</v>
      </c>
      <c r="G4165">
        <v>-416.06</v>
      </c>
      <c r="H4165" s="1">
        <v>-8.8348709999999997E-6</v>
      </c>
      <c r="I4165">
        <v>136.6277</v>
      </c>
      <c r="J4165">
        <v>-394.60590000000002</v>
      </c>
      <c r="K4165">
        <v>1.1125579999999999</v>
      </c>
      <c r="L4165">
        <v>141.1335</v>
      </c>
      <c r="M4165">
        <v>-0.99865130000000002</v>
      </c>
      <c r="N4165">
        <v>0</v>
      </c>
      <c r="O4165">
        <v>-5.0105230000000001E-2</v>
      </c>
      <c r="P4165">
        <v>-0.97794449999999999</v>
      </c>
      <c r="Q4165">
        <v>0.13111700000000001</v>
      </c>
      <c r="R4165">
        <v>-0.1625819</v>
      </c>
      <c r="S4165">
        <v>-2.9865719999999998</v>
      </c>
      <c r="T4165">
        <v>-0.1530244</v>
      </c>
      <c r="U4165">
        <v>-0.62208560000000002</v>
      </c>
      <c r="V4165">
        <v>-0.1146134</v>
      </c>
      <c r="W4165">
        <v>0.1435254</v>
      </c>
      <c r="X4165">
        <v>0.98298739999999996</v>
      </c>
      <c r="Y4165">
        <v>-0.15447350000000001</v>
      </c>
      <c r="Z4165">
        <v>-1.378347E-3</v>
      </c>
      <c r="AA4165">
        <v>0.98799599999999999</v>
      </c>
      <c r="AB4165">
        <v>28</v>
      </c>
      <c r="AC4165">
        <v>-21.454099999999901</v>
      </c>
      <c r="AD4165">
        <v>-1.1125668348709901</v>
      </c>
      <c r="AE4165">
        <v>-4.50579999999999</v>
      </c>
      <c r="AF4165">
        <v>-3.4162782085518102</v>
      </c>
      <c r="AG4165">
        <v>-1.1125668348709901</v>
      </c>
      <c r="AH4165">
        <v>21.597305513054099</v>
      </c>
      <c r="AI4165">
        <v>92.912784736741301</v>
      </c>
      <c r="AJ4165">
        <v>98.988615226805095</v>
      </c>
      <c r="AK4165">
        <v>21.8941171821218</v>
      </c>
      <c r="AL4165">
        <v>81.748102317446893</v>
      </c>
      <c r="AM4165">
        <v>96.650488051219</v>
      </c>
      <c r="AN4165">
        <v>1.00000000023174</v>
      </c>
    </row>
    <row r="4166" spans="1:40" x14ac:dyDescent="0.25">
      <c r="A4166" t="str">
        <f>"20190312164553877"</f>
        <v>20190312164553877</v>
      </c>
      <c r="B4166" t="str">
        <f>"1552380353865458"</f>
        <v>1552380353865458</v>
      </c>
      <c r="C4166" t="s">
        <v>40</v>
      </c>
      <c r="D4166">
        <v>5.056686</v>
      </c>
      <c r="E4166">
        <v>0.48312739999999998</v>
      </c>
      <c r="F4166" t="s">
        <v>71</v>
      </c>
      <c r="G4166">
        <v>-416.04680000000002</v>
      </c>
      <c r="H4166" s="1">
        <v>-8.7617679999999903E-6</v>
      </c>
      <c r="I4166">
        <v>136.45779999999999</v>
      </c>
      <c r="J4166">
        <v>-394.88740000000001</v>
      </c>
      <c r="K4166">
        <v>1.1127069999999999</v>
      </c>
      <c r="L4166">
        <v>141.1139</v>
      </c>
      <c r="M4166">
        <v>-0.99838499999999997</v>
      </c>
      <c r="N4166">
        <v>0</v>
      </c>
      <c r="O4166">
        <v>-5.5156810000000001E-2</v>
      </c>
      <c r="P4166">
        <v>-0.97614009999999996</v>
      </c>
      <c r="Q4166">
        <v>0.1306223</v>
      </c>
      <c r="R4166">
        <v>-0.1734591</v>
      </c>
      <c r="S4166">
        <v>-2.9803470000000001</v>
      </c>
      <c r="T4166">
        <v>-0.1546496</v>
      </c>
      <c r="U4166">
        <v>-0.64993290000000004</v>
      </c>
      <c r="V4166">
        <v>-0.1206372</v>
      </c>
      <c r="W4166">
        <v>0.14294019999999999</v>
      </c>
      <c r="X4166">
        <v>0.98235170000000005</v>
      </c>
      <c r="Y4166">
        <v>-0.1587132</v>
      </c>
      <c r="Z4166">
        <v>-1.245335E-3</v>
      </c>
      <c r="AA4166">
        <v>0.98732390000000003</v>
      </c>
      <c r="AB4166">
        <v>28</v>
      </c>
      <c r="AC4166">
        <v>-21.159400000000002</v>
      </c>
      <c r="AD4166">
        <v>-1.1127157617679999</v>
      </c>
      <c r="AE4166">
        <v>-4.6561000000000003</v>
      </c>
      <c r="AF4166">
        <v>-3.4726578418906402</v>
      </c>
      <c r="AG4166">
        <v>-1.1127157617679999</v>
      </c>
      <c r="AH4166">
        <v>21.327766257016499</v>
      </c>
      <c r="AI4166">
        <v>92.947787552810794</v>
      </c>
      <c r="AJ4166">
        <v>99.247933948029598</v>
      </c>
      <c r="AK4166">
        <v>21.637261896258099</v>
      </c>
      <c r="AL4166">
        <v>81.781981532380598</v>
      </c>
      <c r="AM4166">
        <v>97.001124919111803</v>
      </c>
      <c r="AN4166">
        <v>1.00000004864638</v>
      </c>
    </row>
    <row r="4167" spans="1:40" x14ac:dyDescent="0.25">
      <c r="A4167" t="str">
        <f>"20190312164553898"</f>
        <v>20190312164553898</v>
      </c>
      <c r="B4167" t="str">
        <f>"1552380353895712"</f>
        <v>1552380353895712</v>
      </c>
      <c r="C4167" t="s">
        <v>40</v>
      </c>
      <c r="D4167">
        <v>5.0609599999999997</v>
      </c>
      <c r="E4167">
        <v>0.48814059999999998</v>
      </c>
      <c r="F4167" t="s">
        <v>71</v>
      </c>
      <c r="G4167">
        <v>-415.86</v>
      </c>
      <c r="H4167" s="1">
        <v>-8.7196420000000002E-6</v>
      </c>
      <c r="I4167">
        <v>136.32390000000001</v>
      </c>
      <c r="J4167">
        <v>-395.15660000000003</v>
      </c>
      <c r="K4167">
        <v>1.1128420000000001</v>
      </c>
      <c r="L4167">
        <v>141.09360000000001</v>
      </c>
      <c r="M4167">
        <v>-0.99809389999999998</v>
      </c>
      <c r="N4167">
        <v>0</v>
      </c>
      <c r="O4167">
        <v>-6.0188709999999999E-2</v>
      </c>
      <c r="P4167">
        <v>-0.97416150000000001</v>
      </c>
      <c r="Q4167">
        <v>0.13074759999999999</v>
      </c>
      <c r="R4167">
        <v>-0.18415870000000001</v>
      </c>
      <c r="S4167">
        <v>-2.9737239999999998</v>
      </c>
      <c r="T4167">
        <v>-0.15777249999999901</v>
      </c>
      <c r="U4167">
        <v>-0.67918400000000001</v>
      </c>
      <c r="V4167">
        <v>-0.12652240000000001</v>
      </c>
      <c r="W4167">
        <v>0.1429742</v>
      </c>
      <c r="X4167">
        <v>0.98160610000000004</v>
      </c>
      <c r="Y4167">
        <v>-0.16343679999999999</v>
      </c>
      <c r="Z4167">
        <v>-1.1334489999999999E-3</v>
      </c>
      <c r="AA4167">
        <v>0.98655309999999896</v>
      </c>
      <c r="AB4167">
        <v>28</v>
      </c>
      <c r="AC4167">
        <v>-20.703399999999899</v>
      </c>
      <c r="AD4167">
        <v>-1.1128507196420001</v>
      </c>
      <c r="AE4167">
        <v>-4.7697000000000003</v>
      </c>
      <c r="AF4167">
        <v>-3.5052071233580899</v>
      </c>
      <c r="AG4167">
        <v>-1.1128507196420001</v>
      </c>
      <c r="AH4167">
        <v>20.895636281754602</v>
      </c>
      <c r="AI4167">
        <v>93.006623392093303</v>
      </c>
      <c r="AJ4167">
        <v>99.522608782078905</v>
      </c>
      <c r="AK4167">
        <v>21.216798281579301</v>
      </c>
      <c r="AL4167">
        <v>81.780013167849702</v>
      </c>
      <c r="AM4167">
        <v>97.344545053707606</v>
      </c>
      <c r="AN4167">
        <v>1.0000000375622999</v>
      </c>
    </row>
    <row r="4168" spans="1:40" x14ac:dyDescent="0.25">
      <c r="A4168" t="str">
        <f>"20190312164553922"</f>
        <v>20190312164553922</v>
      </c>
      <c r="B4168" t="str">
        <f>"1552380353916208"</f>
        <v>1552380353916208</v>
      </c>
      <c r="C4168" t="s">
        <v>40</v>
      </c>
      <c r="D4168">
        <v>5.0784039999999999</v>
      </c>
      <c r="E4168">
        <v>0.48972860000000001</v>
      </c>
      <c r="F4168" t="s">
        <v>71</v>
      </c>
      <c r="G4168">
        <v>-405.62299999999999</v>
      </c>
      <c r="H4168" s="1">
        <v>-7.5860459999999999E-6</v>
      </c>
      <c r="I4168">
        <v>138.71799999999999</v>
      </c>
      <c r="J4168">
        <v>-395.44110000000001</v>
      </c>
      <c r="K4168">
        <v>1.1129849999999999</v>
      </c>
      <c r="L4168">
        <v>141.07060000000001</v>
      </c>
      <c r="M4168">
        <v>-0.9977454</v>
      </c>
      <c r="N4168">
        <v>0</v>
      </c>
      <c r="O4168">
        <v>-6.5710640000000001E-2</v>
      </c>
      <c r="P4168">
        <v>-0.97217889999999996</v>
      </c>
      <c r="Q4168">
        <v>0.13143659999999999</v>
      </c>
      <c r="R4168">
        <v>-0.19388900000000001</v>
      </c>
      <c r="S4168">
        <v>-2.9938349999999998</v>
      </c>
      <c r="T4168">
        <v>-0.31832270000000001</v>
      </c>
      <c r="U4168">
        <v>-0.67955019999999999</v>
      </c>
      <c r="V4168">
        <v>-0.1309748</v>
      </c>
      <c r="W4168">
        <v>0.14358109999999999</v>
      </c>
      <c r="X4168">
        <v>0.98093319999999995</v>
      </c>
      <c r="Y4168">
        <v>-0.1563032</v>
      </c>
      <c r="Z4168">
        <v>-1.318332E-3</v>
      </c>
      <c r="AA4168">
        <v>0.98770820000000004</v>
      </c>
      <c r="AB4168">
        <v>28</v>
      </c>
      <c r="AC4168">
        <v>-10.181900000000001</v>
      </c>
      <c r="AD4168">
        <v>-1.1129925860459999</v>
      </c>
      <c r="AE4168">
        <v>-2.3526000000000198</v>
      </c>
      <c r="AF4168">
        <v>-1.6595680021619801</v>
      </c>
      <c r="AG4168">
        <v>-1.1129925860459999</v>
      </c>
      <c r="AH4168">
        <v>10.1988072509404</v>
      </c>
      <c r="AI4168">
        <v>96.147795723022696</v>
      </c>
      <c r="AJ4168">
        <v>99.242265583732902</v>
      </c>
      <c r="AK4168">
        <v>10.3927180175461</v>
      </c>
      <c r="AL4168">
        <v>81.744877013995094</v>
      </c>
      <c r="AM4168">
        <v>97.605185890003796</v>
      </c>
      <c r="AN4168">
        <v>0.99999993668724296</v>
      </c>
    </row>
    <row r="4169" spans="1:40" x14ac:dyDescent="0.25">
      <c r="A4169" t="str">
        <f>"20190312164553944"</f>
        <v>20190312164553944</v>
      </c>
      <c r="B4169" t="str">
        <f>"1552380353935731"</f>
        <v>1552380353935731</v>
      </c>
      <c r="C4169" t="s">
        <v>40</v>
      </c>
      <c r="D4169">
        <v>4.9751989999999999</v>
      </c>
      <c r="E4169">
        <v>0.4897474</v>
      </c>
      <c r="F4169" t="s">
        <v>71</v>
      </c>
      <c r="G4169">
        <v>-407.5591</v>
      </c>
      <c r="H4169" s="1">
        <v>-8.5878549999999998E-6</v>
      </c>
      <c r="I4169">
        <v>138.25239999999999</v>
      </c>
      <c r="J4169">
        <v>-395.72019999999998</v>
      </c>
      <c r="K4169">
        <v>1.1131279999999999</v>
      </c>
      <c r="L4169">
        <v>141.0462</v>
      </c>
      <c r="M4169">
        <v>-0.99735960000000001</v>
      </c>
      <c r="N4169">
        <v>0</v>
      </c>
      <c r="O4169">
        <v>-7.132521E-2</v>
      </c>
      <c r="P4169">
        <v>-0.97002319999999997</v>
      </c>
      <c r="Q4169">
        <v>0.1317412</v>
      </c>
      <c r="R4169">
        <v>-0.2042052</v>
      </c>
      <c r="S4169">
        <v>-2.984467</v>
      </c>
      <c r="T4169">
        <v>-0.27411079999999999</v>
      </c>
      <c r="U4169">
        <v>-0.69406129999999999</v>
      </c>
      <c r="V4169">
        <v>-0.13593769999999999</v>
      </c>
      <c r="W4169">
        <v>0.143796799999999</v>
      </c>
      <c r="X4169">
        <v>0.98022619999999905</v>
      </c>
      <c r="Y4169">
        <v>-0.15612089999999901</v>
      </c>
      <c r="Z4169">
        <v>-6.2586879999999997E-4</v>
      </c>
      <c r="AA4169">
        <v>0.9877378</v>
      </c>
      <c r="AB4169">
        <v>28</v>
      </c>
      <c r="AC4169">
        <v>-11.838900000000001</v>
      </c>
      <c r="AD4169">
        <v>-1.1131365878549999</v>
      </c>
      <c r="AE4169">
        <v>-2.7938000000000001</v>
      </c>
      <c r="AF4169">
        <v>-1.9260633286336999</v>
      </c>
      <c r="AG4169">
        <v>-1.1131365878549999</v>
      </c>
      <c r="AH4169">
        <v>11.908307604050799</v>
      </c>
      <c r="AI4169">
        <v>95.272120447959395</v>
      </c>
      <c r="AJ4169">
        <v>99.1875206594557</v>
      </c>
      <c r="AK4169">
        <v>12.1143131461021</v>
      </c>
      <c r="AL4169">
        <v>81.732389169867005</v>
      </c>
      <c r="AM4169">
        <v>97.8954164398926</v>
      </c>
      <c r="AN4169">
        <v>0.99999999056898403</v>
      </c>
    </row>
    <row r="4170" spans="1:40" x14ac:dyDescent="0.25">
      <c r="A4170" t="str">
        <f>"20190312164553965"</f>
        <v>20190312164553965</v>
      </c>
      <c r="B4170" t="str">
        <f>"1552380353956225"</f>
        <v>1552380353956225</v>
      </c>
      <c r="C4170" t="s">
        <v>40</v>
      </c>
      <c r="D4170">
        <v>4.8220879999999999</v>
      </c>
      <c r="E4170">
        <v>0.4555323</v>
      </c>
      <c r="F4170" t="s">
        <v>71</v>
      </c>
      <c r="G4170">
        <v>-410.53680000000003</v>
      </c>
      <c r="H4170" s="1">
        <v>-9.6772779999999995E-6</v>
      </c>
      <c r="I4170">
        <v>137.44489999999999</v>
      </c>
      <c r="J4170">
        <v>-395.98180000000002</v>
      </c>
      <c r="K4170">
        <v>1.1132550000000001</v>
      </c>
      <c r="L4170">
        <v>141.02170000000001</v>
      </c>
      <c r="M4170">
        <v>-0.99695560000000005</v>
      </c>
      <c r="N4170">
        <v>0</v>
      </c>
      <c r="O4170">
        <v>-7.6761360000000001E-2</v>
      </c>
      <c r="P4170">
        <v>-0.96792540000000005</v>
      </c>
      <c r="Q4170">
        <v>0.1320083</v>
      </c>
      <c r="R4170">
        <v>-0.2137627</v>
      </c>
      <c r="S4170">
        <v>-2.9710390000000002</v>
      </c>
      <c r="T4170">
        <v>-0.2232074</v>
      </c>
      <c r="U4170">
        <v>-0.72212219999999905</v>
      </c>
      <c r="V4170">
        <v>-0.14031959999999999</v>
      </c>
      <c r="W4170">
        <v>0.1439812</v>
      </c>
      <c r="X4170">
        <v>0.97958149999999999</v>
      </c>
      <c r="Y4170">
        <v>-0.16066150000000001</v>
      </c>
      <c r="Z4170">
        <v>-2.805986E-4</v>
      </c>
      <c r="AA4170">
        <v>0.98700949999999998</v>
      </c>
      <c r="AB4170">
        <v>28</v>
      </c>
      <c r="AC4170">
        <v>-14.555</v>
      </c>
      <c r="AD4170">
        <v>-1.1132646772779999</v>
      </c>
      <c r="AE4170">
        <v>-3.57680000000002</v>
      </c>
      <c r="AF4170">
        <v>-2.4354419996263998</v>
      </c>
      <c r="AG4170">
        <v>-1.1132646772779999</v>
      </c>
      <c r="AH4170">
        <v>14.7055020982966</v>
      </c>
      <c r="AI4170">
        <v>94.2712984348709</v>
      </c>
      <c r="AJ4170">
        <v>99.403647809607506</v>
      </c>
      <c r="AK4170">
        <v>14.9473251098056</v>
      </c>
      <c r="AL4170">
        <v>81.721713186093893</v>
      </c>
      <c r="AM4170">
        <v>98.151847660930699</v>
      </c>
      <c r="AN4170">
        <v>1.0000000456199201</v>
      </c>
    </row>
    <row r="4171" spans="1:40" x14ac:dyDescent="0.25">
      <c r="A4171" t="str">
        <f>"20190312164553989"</f>
        <v>20190312164553989</v>
      </c>
      <c r="B4171" t="str">
        <f>"1552380353985504"</f>
        <v>1552380353985504</v>
      </c>
      <c r="C4171" t="s">
        <v>40</v>
      </c>
      <c r="D4171">
        <v>4.8494960000000003</v>
      </c>
      <c r="E4171">
        <v>0.43762849999999998</v>
      </c>
      <c r="F4171" t="s">
        <v>43</v>
      </c>
      <c r="G4171">
        <v>-449.49419999999998</v>
      </c>
      <c r="H4171">
        <v>-0.05</v>
      </c>
      <c r="I4171">
        <v>122.30159999999999</v>
      </c>
      <c r="J4171">
        <v>-396.26159999999999</v>
      </c>
      <c r="K4171">
        <v>1.1133839999999999</v>
      </c>
      <c r="L4171">
        <v>140.99369999999999</v>
      </c>
      <c r="M4171">
        <v>-0.9964771</v>
      </c>
      <c r="N4171">
        <v>0</v>
      </c>
      <c r="O4171">
        <v>-8.2740659999999994E-2</v>
      </c>
      <c r="P4171">
        <v>-0.965754</v>
      </c>
      <c r="Q4171">
        <v>0.13210179999999999</v>
      </c>
      <c r="R4171">
        <v>-0.22331200000000001</v>
      </c>
      <c r="S4171">
        <v>-2.88504</v>
      </c>
      <c r="T4171">
        <v>-6.2715049999999994E-2</v>
      </c>
      <c r="U4171">
        <v>-1.0092620000000001</v>
      </c>
      <c r="V4171">
        <v>-0.1441722</v>
      </c>
      <c r="W4171">
        <v>0.14399770000000001</v>
      </c>
      <c r="X4171">
        <v>0.97901939999999998</v>
      </c>
      <c r="Y4171">
        <v>-0.25092950000000003</v>
      </c>
      <c r="Z4171">
        <v>-9.092719E-4</v>
      </c>
      <c r="AA4171">
        <v>0.96800489999999995</v>
      </c>
      <c r="AB4171">
        <v>28</v>
      </c>
      <c r="AC4171">
        <v>-53.232599999999898</v>
      </c>
      <c r="AD4171">
        <v>-1.163384</v>
      </c>
      <c r="AE4171">
        <v>-18.6921</v>
      </c>
      <c r="AF4171">
        <v>-14.2170365995384</v>
      </c>
      <c r="AG4171">
        <v>-1.163384</v>
      </c>
      <c r="AH4171">
        <v>54.573573974414302</v>
      </c>
      <c r="AI4171">
        <v>91.181798168027896</v>
      </c>
      <c r="AJ4171">
        <v>104.601656975145</v>
      </c>
      <c r="AK4171">
        <v>56.407025877499898</v>
      </c>
      <c r="AL4171">
        <v>81.720757246789304</v>
      </c>
      <c r="AM4171">
        <v>98.377271647201098</v>
      </c>
      <c r="AN4171">
        <v>0.99999997321724399</v>
      </c>
    </row>
    <row r="4172" spans="1:40" x14ac:dyDescent="0.25">
      <c r="A4172" t="str">
        <f>"20190312164554012"</f>
        <v>20190312164554012</v>
      </c>
      <c r="B4172" t="str">
        <f>"1552380354006000"</f>
        <v>1552380354006000</v>
      </c>
      <c r="C4172" t="s">
        <v>40</v>
      </c>
      <c r="D4172">
        <v>4.8938470000000001</v>
      </c>
      <c r="E4172">
        <v>0.43411260000000002</v>
      </c>
      <c r="F4172" t="s">
        <v>71</v>
      </c>
      <c r="G4172">
        <v>-417.79070000000002</v>
      </c>
      <c r="H4172" s="1">
        <v>-6.8588359999999996E-6</v>
      </c>
      <c r="I4172">
        <v>132.08930000000001</v>
      </c>
      <c r="J4172">
        <v>-396.5487</v>
      </c>
      <c r="K4172">
        <v>1.113497</v>
      </c>
      <c r="L4172">
        <v>140.96289999999999</v>
      </c>
      <c r="M4172">
        <v>-0.9959327</v>
      </c>
      <c r="N4172">
        <v>0</v>
      </c>
      <c r="O4172">
        <v>-8.9052350000000002E-2</v>
      </c>
      <c r="P4172">
        <v>-0.96349589999999996</v>
      </c>
      <c r="Q4172">
        <v>0.1312884</v>
      </c>
      <c r="R4172">
        <v>-0.2333228</v>
      </c>
      <c r="S4172">
        <v>-2.8536380000000001</v>
      </c>
      <c r="T4172">
        <v>-0.14757799999999999</v>
      </c>
      <c r="U4172">
        <v>-1.180267</v>
      </c>
      <c r="V4172">
        <v>-0.14815699999999901</v>
      </c>
      <c r="W4172">
        <v>0.1431096</v>
      </c>
      <c r="X4172">
        <v>0.97855460000000005</v>
      </c>
      <c r="Y4172">
        <v>-0.29814560000000001</v>
      </c>
      <c r="Z4172">
        <v>-3.0031160000000001E-3</v>
      </c>
      <c r="AA4172">
        <v>0.95451569999999997</v>
      </c>
      <c r="AB4172">
        <v>28</v>
      </c>
      <c r="AC4172">
        <v>-21.242000000000001</v>
      </c>
      <c r="AD4172">
        <v>-1.113503858836</v>
      </c>
      <c r="AE4172">
        <v>-8.8735999999999802</v>
      </c>
      <c r="AF4172">
        <v>-6.9302965010141202</v>
      </c>
      <c r="AG4172">
        <v>-1.113503858836</v>
      </c>
      <c r="AH4172">
        <v>21.8966487179894</v>
      </c>
      <c r="AI4172">
        <v>92.775660814462</v>
      </c>
      <c r="AJ4172">
        <v>107.562596456104</v>
      </c>
      <c r="AK4172">
        <v>22.994175904229301</v>
      </c>
      <c r="AL4172">
        <v>81.772174234695399</v>
      </c>
      <c r="AM4172">
        <v>98.609417872100096</v>
      </c>
      <c r="AN4172">
        <v>0.99999997972115895</v>
      </c>
    </row>
    <row r="4173" spans="1:40" x14ac:dyDescent="0.25">
      <c r="A4173" t="str">
        <f>"20190312164554035"</f>
        <v>20190312164554035</v>
      </c>
      <c r="B4173" t="str">
        <f>"1552380354025520"</f>
        <v>1552380354025520</v>
      </c>
      <c r="C4173" t="s">
        <v>40</v>
      </c>
      <c r="D4173">
        <v>4.9965919999999997</v>
      </c>
      <c r="E4173">
        <v>0.43379600000000001</v>
      </c>
      <c r="F4173" t="s">
        <v>71</v>
      </c>
      <c r="G4173">
        <v>-416.51549999999997</v>
      </c>
      <c r="H4173" s="1">
        <v>-7.0002840000000001E-6</v>
      </c>
      <c r="I4173">
        <v>132.25489999999999</v>
      </c>
      <c r="J4173">
        <v>-396.82560000000001</v>
      </c>
      <c r="K4173">
        <v>1.1135820000000001</v>
      </c>
      <c r="L4173">
        <v>140.9314</v>
      </c>
      <c r="M4173">
        <v>-0.9953573</v>
      </c>
      <c r="N4173">
        <v>0</v>
      </c>
      <c r="O4173">
        <v>-9.5266649999999994E-2</v>
      </c>
      <c r="P4173">
        <v>-0.9610609</v>
      </c>
      <c r="Q4173">
        <v>0.130470899999999</v>
      </c>
      <c r="R4173">
        <v>-0.24359710000000001</v>
      </c>
      <c r="S4173">
        <v>-2.8357239999999999</v>
      </c>
      <c r="T4173">
        <v>-0.15814220000000001</v>
      </c>
      <c r="U4173">
        <v>-1.23674</v>
      </c>
      <c r="V4173">
        <v>-0.15251529999999999</v>
      </c>
      <c r="W4173">
        <v>0.14221710000000001</v>
      </c>
      <c r="X4173">
        <v>0.97801499999999997</v>
      </c>
      <c r="Y4173">
        <v>-0.31033529999999998</v>
      </c>
      <c r="Z4173">
        <v>-3.2233259999999999E-3</v>
      </c>
      <c r="AA4173">
        <v>0.95062170000000001</v>
      </c>
      <c r="AB4173">
        <v>28</v>
      </c>
      <c r="AC4173">
        <v>-19.689899999999898</v>
      </c>
      <c r="AD4173">
        <v>-1.1135890002840001</v>
      </c>
      <c r="AE4173">
        <v>-8.6765000000000008</v>
      </c>
      <c r="AF4173">
        <v>-6.7430015418530402</v>
      </c>
      <c r="AG4173">
        <v>-1.1135890002840001</v>
      </c>
      <c r="AH4173">
        <v>20.3724203957782</v>
      </c>
      <c r="AI4173">
        <v>92.970582910242896</v>
      </c>
      <c r="AJ4173">
        <v>108.313860194836</v>
      </c>
      <c r="AK4173">
        <v>21.488221495445</v>
      </c>
      <c r="AL4173">
        <v>81.8238391919392</v>
      </c>
      <c r="AM4173">
        <v>98.863528173862207</v>
      </c>
      <c r="AN4173">
        <v>0.99999998024574899</v>
      </c>
    </row>
    <row r="4174" spans="1:40" x14ac:dyDescent="0.25">
      <c r="A4174" t="str">
        <f>"20190312164554054"</f>
        <v>20190312164554054</v>
      </c>
      <c r="B4174" t="str">
        <f>"1552380354046016"</f>
        <v>1552380354046016</v>
      </c>
      <c r="C4174" t="s">
        <v>40</v>
      </c>
      <c r="D4174">
        <v>4.894158</v>
      </c>
      <c r="E4174">
        <v>0.43265360000000003</v>
      </c>
      <c r="F4174" t="s">
        <v>71</v>
      </c>
      <c r="G4174">
        <v>-419.84679999999997</v>
      </c>
      <c r="H4174" s="1">
        <v>-6.1239020000000004E-6</v>
      </c>
      <c r="I4174">
        <v>130.5779</v>
      </c>
      <c r="J4174">
        <v>-397.0772</v>
      </c>
      <c r="K4174">
        <v>1.1136429999999999</v>
      </c>
      <c r="L4174">
        <v>140.90110000000001</v>
      </c>
      <c r="M4174">
        <v>-0.99479229999999996</v>
      </c>
      <c r="N4174">
        <v>0</v>
      </c>
      <c r="O4174">
        <v>-0.1009944</v>
      </c>
      <c r="P4174">
        <v>-0.95868589999999998</v>
      </c>
      <c r="Q4174">
        <v>0.12998879999999999</v>
      </c>
      <c r="R4174">
        <v>-0.25302980000000003</v>
      </c>
      <c r="S4174">
        <v>-2.8187259999999998</v>
      </c>
      <c r="T4174">
        <v>-0.1363482</v>
      </c>
      <c r="U4174">
        <v>-1.267685</v>
      </c>
      <c r="V4174">
        <v>-0.1565124</v>
      </c>
      <c r="W4174">
        <v>0.14166960000000001</v>
      </c>
      <c r="X4174">
        <v>0.97746279999999997</v>
      </c>
      <c r="Y4174">
        <v>-0.31574410000000003</v>
      </c>
      <c r="Z4174">
        <v>-2.653842E-3</v>
      </c>
      <c r="AA4174">
        <v>0.94884069999999998</v>
      </c>
      <c r="AB4174">
        <v>28</v>
      </c>
      <c r="AC4174">
        <v>-22.769599999999901</v>
      </c>
      <c r="AD4174">
        <v>-1.1136491239020001</v>
      </c>
      <c r="AE4174">
        <v>-10.3232</v>
      </c>
      <c r="AF4174">
        <v>-7.95480421435603</v>
      </c>
      <c r="AG4174">
        <v>-1.1136491239020001</v>
      </c>
      <c r="AH4174">
        <v>23.648914707518301</v>
      </c>
      <c r="AI4174">
        <v>92.555616725239702</v>
      </c>
      <c r="AJ4174">
        <v>108.591436138566</v>
      </c>
      <c r="AK4174">
        <v>24.975794107563001</v>
      </c>
      <c r="AL4174">
        <v>81.855529387996896</v>
      </c>
      <c r="AM4174">
        <v>99.097041048209604</v>
      </c>
      <c r="AN4174">
        <v>0.99999996615087905</v>
      </c>
    </row>
    <row r="4175" spans="1:40" x14ac:dyDescent="0.25">
      <c r="A4175" t="str">
        <f>"20190312164554077"</f>
        <v>20190312164554077</v>
      </c>
      <c r="B4175" t="str">
        <f>"1552380354065536"</f>
        <v>1552380354065536</v>
      </c>
      <c r="C4175" t="s">
        <v>40</v>
      </c>
      <c r="D4175">
        <v>4.8642000000000003</v>
      </c>
      <c r="E4175">
        <v>0.43309110000000001</v>
      </c>
      <c r="F4175" t="s">
        <v>71</v>
      </c>
      <c r="G4175">
        <v>-414.98050000000001</v>
      </c>
      <c r="H4175" s="1">
        <v>-7.2217779999999999E-6</v>
      </c>
      <c r="I4175">
        <v>132.57990000000001</v>
      </c>
      <c r="J4175">
        <v>-397.35050000000001</v>
      </c>
      <c r="K4175">
        <v>1.1136919999999999</v>
      </c>
      <c r="L4175">
        <v>140.8665</v>
      </c>
      <c r="M4175">
        <v>-0.99413379999999996</v>
      </c>
      <c r="N4175">
        <v>0</v>
      </c>
      <c r="O4175">
        <v>-0.10728119999999999</v>
      </c>
      <c r="P4175">
        <v>-0.95597430000000005</v>
      </c>
      <c r="Q4175">
        <v>0.12979679999999999</v>
      </c>
      <c r="R4175">
        <v>-0.2631848</v>
      </c>
      <c r="S4175">
        <v>-2.8084410000000002</v>
      </c>
      <c r="T4175">
        <v>-0.17469509999999999</v>
      </c>
      <c r="U4175">
        <v>-1.3053129999999999</v>
      </c>
      <c r="V4175">
        <v>-0.16071959999999999</v>
      </c>
      <c r="W4175">
        <v>0.14141189999999901</v>
      </c>
      <c r="X4175">
        <v>0.9768173</v>
      </c>
      <c r="Y4175">
        <v>-0.32141609999999998</v>
      </c>
      <c r="Z4175">
        <v>-3.2040570000000002E-3</v>
      </c>
      <c r="AA4175">
        <v>0.94693260000000001</v>
      </c>
      <c r="AB4175">
        <v>28</v>
      </c>
      <c r="AC4175">
        <v>-17.6299999999999</v>
      </c>
      <c r="AD4175">
        <v>-1.113699221778</v>
      </c>
      <c r="AE4175">
        <v>-8.2865999999999893</v>
      </c>
      <c r="AF4175">
        <v>-6.3265426026621396</v>
      </c>
      <c r="AG4175">
        <v>-1.113699221778</v>
      </c>
      <c r="AH4175">
        <v>18.357313403189501</v>
      </c>
      <c r="AI4175">
        <v>93.282728951708094</v>
      </c>
      <c r="AJ4175">
        <v>109.01565971946501</v>
      </c>
      <c r="AK4175">
        <v>19.448815456032499</v>
      </c>
      <c r="AL4175">
        <v>81.870445574198399</v>
      </c>
      <c r="AM4175">
        <v>99.343387665138096</v>
      </c>
      <c r="AN4175">
        <v>1.0000000764325201</v>
      </c>
    </row>
    <row r="4176" spans="1:40" x14ac:dyDescent="0.25">
      <c r="A4176" t="str">
        <f>"20190312164554100"</f>
        <v>20190312164554100</v>
      </c>
      <c r="B4176" t="str">
        <f>"1552380354095795"</f>
        <v>1552380354095795</v>
      </c>
      <c r="C4176" t="s">
        <v>40</v>
      </c>
      <c r="D4176">
        <v>4.888795</v>
      </c>
      <c r="E4176">
        <v>0.43386459999999999</v>
      </c>
      <c r="F4176" t="s">
        <v>71</v>
      </c>
      <c r="G4176">
        <v>-414.24549999999999</v>
      </c>
      <c r="H4176" s="1">
        <v>-7.3607489999999902E-6</v>
      </c>
      <c r="I4176">
        <v>132.81639999999999</v>
      </c>
      <c r="J4176">
        <v>-397.6259</v>
      </c>
      <c r="K4176">
        <v>1.113718</v>
      </c>
      <c r="L4176">
        <v>140.8297</v>
      </c>
      <c r="M4176">
        <v>-0.99342319999999995</v>
      </c>
      <c r="N4176">
        <v>0</v>
      </c>
      <c r="O4176">
        <v>-0.1136723</v>
      </c>
      <c r="P4176">
        <v>-0.95315280000000002</v>
      </c>
      <c r="Q4176">
        <v>0.12966730000000001</v>
      </c>
      <c r="R4176">
        <v>-0.27328859999999999</v>
      </c>
      <c r="S4176">
        <v>-2.7963870000000002</v>
      </c>
      <c r="T4176">
        <v>-0.18433450000000001</v>
      </c>
      <c r="U4176">
        <v>-1.3324129999999901</v>
      </c>
      <c r="V4176">
        <v>-0.16479179999999999</v>
      </c>
      <c r="W4176">
        <v>0.1412207</v>
      </c>
      <c r="X4176">
        <v>0.97616610000000004</v>
      </c>
      <c r="Y4176">
        <v>-0.3243586</v>
      </c>
      <c r="Z4176">
        <v>-3.087209E-3</v>
      </c>
      <c r="AA4176">
        <v>0.94592920000000003</v>
      </c>
      <c r="AB4176">
        <v>28</v>
      </c>
      <c r="AC4176">
        <v>-16.619599999999899</v>
      </c>
      <c r="AD4176">
        <v>-1.1137253607490001</v>
      </c>
      <c r="AE4176">
        <v>-8.0133000000000099</v>
      </c>
      <c r="AF4176">
        <v>-6.0499398338122203</v>
      </c>
      <c r="AG4176">
        <v>-1.1137253607490001</v>
      </c>
      <c r="AH4176">
        <v>17.3595804581464</v>
      </c>
      <c r="AI4176">
        <v>93.466886821216505</v>
      </c>
      <c r="AJ4176">
        <v>109.21381687997901</v>
      </c>
      <c r="AK4176">
        <v>18.417306802428602</v>
      </c>
      <c r="AL4176">
        <v>81.881510457072807</v>
      </c>
      <c r="AM4176">
        <v>99.582062241851403</v>
      </c>
      <c r="AN4176">
        <v>0.99999993912246798</v>
      </c>
    </row>
    <row r="4177" spans="1:40" x14ac:dyDescent="0.25">
      <c r="A4177" t="str">
        <f>"20190312164554123"</f>
        <v>20190312164554123</v>
      </c>
      <c r="B4177" t="str">
        <f>"1552380354116288"</f>
        <v>1552380354116288</v>
      </c>
      <c r="C4177" t="s">
        <v>40</v>
      </c>
      <c r="D4177">
        <v>4.9103589999999997</v>
      </c>
      <c r="E4177">
        <v>0.43438110000000002</v>
      </c>
      <c r="F4177" t="s">
        <v>71</v>
      </c>
      <c r="G4177">
        <v>-414.6773</v>
      </c>
      <c r="H4177" s="1">
        <v>-7.216591E-6</v>
      </c>
      <c r="I4177">
        <v>132.524</v>
      </c>
      <c r="J4177">
        <v>-397.9033</v>
      </c>
      <c r="K4177">
        <v>1.113742</v>
      </c>
      <c r="L4177">
        <v>140.79089999999999</v>
      </c>
      <c r="M4177">
        <v>-0.9926606</v>
      </c>
      <c r="N4177">
        <v>0</v>
      </c>
      <c r="O4177">
        <v>-0.1201488</v>
      </c>
      <c r="P4177">
        <v>-0.95028760000000001</v>
      </c>
      <c r="Q4177">
        <v>0.12922529999999999</v>
      </c>
      <c r="R4177">
        <v>-0.28329169999999998</v>
      </c>
      <c r="S4177">
        <v>-2.7834469999999998</v>
      </c>
      <c r="T4177">
        <v>-0.1818032</v>
      </c>
      <c r="U4177">
        <v>-1.35582</v>
      </c>
      <c r="V4177">
        <v>-0.1686888</v>
      </c>
      <c r="W4177">
        <v>0.14072270000000001</v>
      </c>
      <c r="X4177">
        <v>0.9755722</v>
      </c>
      <c r="Y4177">
        <v>-0.3263625</v>
      </c>
      <c r="Z4177">
        <v>-2.722314E-3</v>
      </c>
      <c r="AA4177">
        <v>0.94524079999999999</v>
      </c>
      <c r="AB4177">
        <v>28</v>
      </c>
      <c r="AC4177">
        <v>-16.774000000000001</v>
      </c>
      <c r="AD4177">
        <v>-1.1137492165909999</v>
      </c>
      <c r="AE4177">
        <v>-8.2668999999999908</v>
      </c>
      <c r="AF4177">
        <v>-6.1695519149613398</v>
      </c>
      <c r="AG4177">
        <v>-1.1137492165909999</v>
      </c>
      <c r="AH4177">
        <v>17.583446866420999</v>
      </c>
      <c r="AI4177">
        <v>93.420410421473093</v>
      </c>
      <c r="AJ4177">
        <v>109.334580597409</v>
      </c>
      <c r="AK4177">
        <v>18.6676568388513</v>
      </c>
      <c r="AL4177">
        <v>81.910331692730296</v>
      </c>
      <c r="AM4177">
        <v>99.8101634408943</v>
      </c>
      <c r="AN4177">
        <v>0.99999995347678305</v>
      </c>
    </row>
    <row r="4178" spans="1:40" x14ac:dyDescent="0.25">
      <c r="A4178" t="str">
        <f>"20190312164554144"</f>
        <v>20190312164554144</v>
      </c>
      <c r="B4178" t="str">
        <f>"1552380354135809"</f>
        <v>1552380354135809</v>
      </c>
      <c r="C4178" t="s">
        <v>40</v>
      </c>
      <c r="D4178">
        <v>5.0565980000000001</v>
      </c>
      <c r="E4178">
        <v>0.43526480000000001</v>
      </c>
      <c r="F4178" t="s">
        <v>71</v>
      </c>
      <c r="G4178">
        <v>-415.20119999999997</v>
      </c>
      <c r="H4178" s="1">
        <v>-7.0401200000000003E-6</v>
      </c>
      <c r="I4178">
        <v>132.16540000000001</v>
      </c>
      <c r="J4178">
        <v>-398.16500000000002</v>
      </c>
      <c r="K4178">
        <v>1.1137549999999901</v>
      </c>
      <c r="L4178">
        <v>140.7525</v>
      </c>
      <c r="M4178">
        <v>-0.99189910000000003</v>
      </c>
      <c r="N4178">
        <v>0</v>
      </c>
      <c r="O4178">
        <v>-0.12628030000000001</v>
      </c>
      <c r="P4178">
        <v>-0.94723259999999998</v>
      </c>
      <c r="Q4178">
        <v>0.12897449999999999</v>
      </c>
      <c r="R4178">
        <v>-0.29345549999999998</v>
      </c>
      <c r="S4178">
        <v>-2.769501</v>
      </c>
      <c r="T4178">
        <v>-0.17831810000000001</v>
      </c>
      <c r="U4178">
        <v>-1.380997</v>
      </c>
      <c r="V4178">
        <v>-0.17311650000000001</v>
      </c>
      <c r="W4178">
        <v>0.14040920000000001</v>
      </c>
      <c r="X4178">
        <v>0.97484150000000003</v>
      </c>
      <c r="Y4178">
        <v>-0.32931700000000003</v>
      </c>
      <c r="Z4178">
        <v>-2.4028309999999998E-3</v>
      </c>
      <c r="AA4178">
        <v>0.94421639999999996</v>
      </c>
      <c r="AB4178">
        <v>28</v>
      </c>
      <c r="AC4178">
        <v>-17.036199999999901</v>
      </c>
      <c r="AD4178">
        <v>-1.1137620401199999</v>
      </c>
      <c r="AE4178">
        <v>-8.5870999999999906</v>
      </c>
      <c r="AF4178">
        <v>-6.3451781526420099</v>
      </c>
      <c r="AG4178">
        <v>-1.1137620401199999</v>
      </c>
      <c r="AH4178">
        <v>17.9231918192724</v>
      </c>
      <c r="AI4178">
        <v>93.352460161280106</v>
      </c>
      <c r="AJ4178">
        <v>109.495009166522</v>
      </c>
      <c r="AK4178">
        <v>19.045801549454598</v>
      </c>
      <c r="AL4178">
        <v>81.928474493832994</v>
      </c>
      <c r="AM4178">
        <v>100.06984920470801</v>
      </c>
      <c r="AN4178">
        <v>1.0000000080695699</v>
      </c>
    </row>
    <row r="4179" spans="1:40" x14ac:dyDescent="0.25">
      <c r="A4179" t="str">
        <f>"20190312164554167"</f>
        <v>20190312164554167</v>
      </c>
      <c r="B4179" t="str">
        <f>"1552380354156305"</f>
        <v>1552380354156305</v>
      </c>
      <c r="C4179" t="s">
        <v>40</v>
      </c>
      <c r="D4179">
        <v>5.0175470000000004</v>
      </c>
      <c r="E4179">
        <v>0.43631900000000001</v>
      </c>
      <c r="F4179" t="s">
        <v>71</v>
      </c>
      <c r="G4179">
        <v>-416.29379999999998</v>
      </c>
      <c r="H4179" s="1">
        <v>-6.7145209999999998E-6</v>
      </c>
      <c r="I4179">
        <v>131.52170000000001</v>
      </c>
      <c r="J4179">
        <v>-398.43310000000002</v>
      </c>
      <c r="K4179">
        <v>1.1137699999999999</v>
      </c>
      <c r="L4179">
        <v>140.7115</v>
      </c>
      <c r="M4179">
        <v>-0.99107719999999999</v>
      </c>
      <c r="N4179">
        <v>0</v>
      </c>
      <c r="O4179">
        <v>-0.13257639999999901</v>
      </c>
      <c r="P4179">
        <v>-0.9445983</v>
      </c>
      <c r="Q4179">
        <v>0.12850349999999999</v>
      </c>
      <c r="R4179">
        <v>-0.30202849999999998</v>
      </c>
      <c r="S4179">
        <v>-2.7554630000000002</v>
      </c>
      <c r="T4179">
        <v>-0.16928489999999999</v>
      </c>
      <c r="U4179">
        <v>-1.40303</v>
      </c>
      <c r="V4179">
        <v>-0.17575539999999901</v>
      </c>
      <c r="W4179">
        <v>0.1399031</v>
      </c>
      <c r="X4179">
        <v>0.97444200000000003</v>
      </c>
      <c r="Y4179">
        <v>-0.33129330000000001</v>
      </c>
      <c r="Z4179">
        <v>-1.9895249999999998E-3</v>
      </c>
      <c r="AA4179">
        <v>0.94352570000000002</v>
      </c>
      <c r="AB4179">
        <v>28</v>
      </c>
      <c r="AC4179">
        <v>-17.860699999999898</v>
      </c>
      <c r="AD4179">
        <v>-1.113776714521</v>
      </c>
      <c r="AE4179">
        <v>-9.1897999999999893</v>
      </c>
      <c r="AF4179">
        <v>-6.7198711707249403</v>
      </c>
      <c r="AG4179">
        <v>-1.113776714521</v>
      </c>
      <c r="AH4179">
        <v>18.863476840013298</v>
      </c>
      <c r="AI4179">
        <v>93.183524100275207</v>
      </c>
      <c r="AJ4179">
        <v>109.607787779752</v>
      </c>
      <c r="AK4179">
        <v>20.055620798535902</v>
      </c>
      <c r="AL4179">
        <v>81.957761097152698</v>
      </c>
      <c r="AM4179">
        <v>100.224238681207</v>
      </c>
      <c r="AN4179">
        <v>1.0000000246913801</v>
      </c>
    </row>
    <row r="4180" spans="1:40" x14ac:dyDescent="0.25">
      <c r="A4180" t="str">
        <f>"20190312164554189"</f>
        <v>20190312164554189</v>
      </c>
      <c r="B4180" t="str">
        <f>"1552380354185585"</f>
        <v>1552380354185585</v>
      </c>
      <c r="C4180" t="s">
        <v>40</v>
      </c>
      <c r="D4180">
        <v>4.8322269999999996</v>
      </c>
      <c r="E4180">
        <v>0.43735499999999999</v>
      </c>
      <c r="F4180" t="s">
        <v>71</v>
      </c>
      <c r="G4180">
        <v>-417.00900000000001</v>
      </c>
      <c r="H4180" s="1">
        <v>-6.5038670000000003E-6</v>
      </c>
      <c r="I4180">
        <v>131.10640000000001</v>
      </c>
      <c r="J4180">
        <v>-398.70659999999998</v>
      </c>
      <c r="K4180">
        <v>1.113767</v>
      </c>
      <c r="L4180">
        <v>140.6678</v>
      </c>
      <c r="M4180">
        <v>-0.99019579999999996</v>
      </c>
      <c r="N4180">
        <v>0</v>
      </c>
      <c r="O4180">
        <v>-0.1390052</v>
      </c>
      <c r="P4180">
        <v>-0.94113119999999995</v>
      </c>
      <c r="Q4180">
        <v>0.12751460000000001</v>
      </c>
      <c r="R4180">
        <v>-0.31306850000000003</v>
      </c>
      <c r="S4180">
        <v>-2.7445680000000001</v>
      </c>
      <c r="T4180">
        <v>-0.1645597</v>
      </c>
      <c r="U4180">
        <v>-1.419144</v>
      </c>
      <c r="V4180">
        <v>-0.18082019999999999</v>
      </c>
      <c r="W4180">
        <v>0.13884730000000001</v>
      </c>
      <c r="X4180">
        <v>0.97366600000000003</v>
      </c>
      <c r="Y4180">
        <v>-0.33108989999999999</v>
      </c>
      <c r="Z4180">
        <v>-1.5794839999999999E-3</v>
      </c>
      <c r="AA4180">
        <v>0.94359789999999999</v>
      </c>
      <c r="AB4180">
        <v>28</v>
      </c>
      <c r="AC4180">
        <v>-18.302399999999999</v>
      </c>
      <c r="AD4180">
        <v>-1.113773503867</v>
      </c>
      <c r="AE4180">
        <v>-9.5613999999999901</v>
      </c>
      <c r="AF4180">
        <v>-6.9041009642339501</v>
      </c>
      <c r="AG4180">
        <v>-1.113773503867</v>
      </c>
      <c r="AH4180">
        <v>19.397458790998598</v>
      </c>
      <c r="AI4180">
        <v>93.096352396149499</v>
      </c>
      <c r="AJ4180">
        <v>109.592074037663</v>
      </c>
      <c r="AK4180">
        <v>20.619614668823001</v>
      </c>
      <c r="AL4180">
        <v>82.018850023974196</v>
      </c>
      <c r="AM4180">
        <v>100.520586034069</v>
      </c>
      <c r="AN4180">
        <v>0.99999999850066501</v>
      </c>
    </row>
    <row r="4181" spans="1:40" x14ac:dyDescent="0.25">
      <c r="A4181" t="str">
        <f>"20190312164554204"</f>
        <v>20190312164554204</v>
      </c>
      <c r="B4181" t="str">
        <f>"1552380354196321"</f>
        <v>1552380354196321</v>
      </c>
      <c r="C4181" t="s">
        <v>40</v>
      </c>
      <c r="D4181">
        <v>4.722207</v>
      </c>
      <c r="E4181">
        <v>0.43750660000000002</v>
      </c>
      <c r="F4181" t="s">
        <v>71</v>
      </c>
      <c r="G4181">
        <v>-418.02350000000001</v>
      </c>
      <c r="H4181" s="1">
        <v>-6.1812420000000001E-6</v>
      </c>
      <c r="I4181">
        <v>130.4589</v>
      </c>
      <c r="J4181">
        <v>-398.88490000000002</v>
      </c>
      <c r="K4181">
        <v>1.1137619999999999</v>
      </c>
      <c r="L4181">
        <v>140.63820000000001</v>
      </c>
      <c r="M4181">
        <v>-0.98959839999999999</v>
      </c>
      <c r="N4181">
        <v>0</v>
      </c>
      <c r="O4181">
        <v>-0.14319709999999999</v>
      </c>
      <c r="P4181">
        <v>-0.93898020000000004</v>
      </c>
      <c r="Q4181">
        <v>0.1268503</v>
      </c>
      <c r="R4181">
        <v>-0.3197276</v>
      </c>
      <c r="S4181">
        <v>-2.7291560000000001</v>
      </c>
      <c r="T4181">
        <v>-0.15735759999999999</v>
      </c>
      <c r="U4181">
        <v>-1.4423520000000001</v>
      </c>
      <c r="V4181">
        <v>-0.18357689999999999</v>
      </c>
      <c r="W4181">
        <v>0.1381484</v>
      </c>
      <c r="X4181">
        <v>0.97324949999999999</v>
      </c>
      <c r="Y4181">
        <v>-0.33557799999999999</v>
      </c>
      <c r="Z4181">
        <v>-1.41664E-3</v>
      </c>
      <c r="AA4181">
        <v>0.94201140000000005</v>
      </c>
      <c r="AB4181">
        <v>28</v>
      </c>
      <c r="AC4181">
        <v>-19.1386</v>
      </c>
      <c r="AD4181">
        <v>-1.1137681812419999</v>
      </c>
      <c r="AE4181">
        <v>-10.1793</v>
      </c>
      <c r="AF4181">
        <v>-7.3142137409957302</v>
      </c>
      <c r="AG4181">
        <v>-1.1137681812419999</v>
      </c>
      <c r="AH4181">
        <v>20.345399142731701</v>
      </c>
      <c r="AI4181">
        <v>92.948994901246493</v>
      </c>
      <c r="AJ4181">
        <v>109.773617831997</v>
      </c>
      <c r="AK4181">
        <v>21.648867602892899</v>
      </c>
      <c r="AL4181">
        <v>82.059283918779101</v>
      </c>
      <c r="AM4181">
        <v>100.681781178458</v>
      </c>
      <c r="AN4181">
        <v>1.0000000239432001</v>
      </c>
    </row>
    <row r="4182" spans="1:40" x14ac:dyDescent="0.25">
      <c r="A4182" t="str">
        <f>"20190312164554223"</f>
        <v>20190312164554223</v>
      </c>
      <c r="B4182" t="str">
        <f>"1552380354215840"</f>
        <v>1552380354215840</v>
      </c>
      <c r="C4182" t="s">
        <v>40</v>
      </c>
      <c r="D4182">
        <v>5.2496320000000001</v>
      </c>
      <c r="E4182">
        <v>0.4382084</v>
      </c>
      <c r="F4182" t="s">
        <v>71</v>
      </c>
      <c r="G4182">
        <v>-417.38209999999998</v>
      </c>
      <c r="H4182" s="1">
        <v>-6.318632E-6</v>
      </c>
      <c r="I4182">
        <v>130.70480000000001</v>
      </c>
      <c r="J4182">
        <v>-399.12150000000003</v>
      </c>
      <c r="K4182">
        <v>1.113756</v>
      </c>
      <c r="L4182">
        <v>140.59780000000001</v>
      </c>
      <c r="M4182">
        <v>-0.98877680000000001</v>
      </c>
      <c r="N4182">
        <v>0</v>
      </c>
      <c r="O4182">
        <v>-0.14876449999999999</v>
      </c>
      <c r="P4182">
        <v>-0.93540889999999999</v>
      </c>
      <c r="Q4182">
        <v>0.1248059</v>
      </c>
      <c r="R4182">
        <v>-0.3308083</v>
      </c>
      <c r="S4182">
        <v>-2.7197879999999999</v>
      </c>
      <c r="T4182">
        <v>-0.16376589999999999</v>
      </c>
      <c r="U4182">
        <v>-1.4605870000000001</v>
      </c>
      <c r="V4182">
        <v>-0.18954889999999999</v>
      </c>
      <c r="W4182">
        <v>0.13602709999999901</v>
      </c>
      <c r="X4182">
        <v>0.97240309999999996</v>
      </c>
      <c r="Y4182">
        <v>-0.33651700000000001</v>
      </c>
      <c r="Z4182">
        <v>-1.1983320000000001E-3</v>
      </c>
      <c r="AA4182">
        <v>0.94167659999999997</v>
      </c>
      <c r="AB4182">
        <v>28</v>
      </c>
      <c r="AC4182">
        <v>-18.260599999999901</v>
      </c>
      <c r="AD4182">
        <v>-1.113762318632</v>
      </c>
      <c r="AE4182">
        <v>-9.89299999999999</v>
      </c>
      <c r="AF4182">
        <v>-7.0458459755628198</v>
      </c>
      <c r="AG4182">
        <v>-1.113762318632</v>
      </c>
      <c r="AH4182">
        <v>19.4732314880366</v>
      </c>
      <c r="AI4182">
        <v>93.078533491149898</v>
      </c>
      <c r="AJ4182">
        <v>109.891244738482</v>
      </c>
      <c r="AK4182">
        <v>20.7386392176637</v>
      </c>
      <c r="AL4182">
        <v>82.181983499821499</v>
      </c>
      <c r="AM4182">
        <v>101.030252284797</v>
      </c>
      <c r="AN4182">
        <v>0.99999997315761402</v>
      </c>
    </row>
    <row r="4183" spans="1:40" x14ac:dyDescent="0.25">
      <c r="A4183" t="str">
        <f>"20190312164554246"</f>
        <v>20190312164554246</v>
      </c>
      <c r="B4183" t="str">
        <f>"1552380354236336"</f>
        <v>1552380354236336</v>
      </c>
      <c r="C4183" t="s">
        <v>40</v>
      </c>
      <c r="D4183">
        <v>4.6826489999999996</v>
      </c>
      <c r="E4183">
        <v>0.43914920000000002</v>
      </c>
      <c r="F4183" t="s">
        <v>71</v>
      </c>
      <c r="G4183">
        <v>-417.2373</v>
      </c>
      <c r="H4183" s="1">
        <v>-6.2997300000000004E-6</v>
      </c>
      <c r="I4183">
        <v>130.6377</v>
      </c>
      <c r="J4183">
        <v>-399.38069999999999</v>
      </c>
      <c r="K4183">
        <v>1.1137509999999999</v>
      </c>
      <c r="L4183">
        <v>140.55199999999999</v>
      </c>
      <c r="M4183">
        <v>-0.9878401</v>
      </c>
      <c r="N4183">
        <v>0</v>
      </c>
      <c r="O4183">
        <v>-0.15486249999999999</v>
      </c>
      <c r="P4183">
        <v>-0.93131629999999999</v>
      </c>
      <c r="Q4183">
        <v>0.123928</v>
      </c>
      <c r="R4183">
        <v>-0.3424796</v>
      </c>
      <c r="S4183">
        <v>-2.7036440000000002</v>
      </c>
      <c r="T4183">
        <v>-0.16622049999999999</v>
      </c>
      <c r="U4183">
        <v>-1.4864649999999999</v>
      </c>
      <c r="V4183">
        <v>-0.1956851</v>
      </c>
      <c r="W4183">
        <v>0.13506899999999999</v>
      </c>
      <c r="X4183">
        <v>0.97132059999999998</v>
      </c>
      <c r="Y4183">
        <v>-0.33998979999999901</v>
      </c>
      <c r="Z4183">
        <v>-9.8103100000000005E-4</v>
      </c>
      <c r="AA4183">
        <v>0.94042859999999995</v>
      </c>
      <c r="AB4183">
        <v>28</v>
      </c>
      <c r="AC4183">
        <v>-17.8566</v>
      </c>
      <c r="AD4183">
        <v>-1.11375729972999</v>
      </c>
      <c r="AE4183">
        <v>-9.9143000000000203</v>
      </c>
      <c r="AF4183">
        <v>-7.0082516093490002</v>
      </c>
      <c r="AG4183">
        <v>-1.11375729972999</v>
      </c>
      <c r="AH4183">
        <v>19.119781093084001</v>
      </c>
      <c r="AI4183">
        <v>93.130569298119397</v>
      </c>
      <c r="AJ4183">
        <v>110.130135749883</v>
      </c>
      <c r="AK4183">
        <v>20.394167670932202</v>
      </c>
      <c r="AL4183">
        <v>82.237390162559606</v>
      </c>
      <c r="AM4183">
        <v>101.390505970118</v>
      </c>
      <c r="AN4183">
        <v>1.00000000055368</v>
      </c>
    </row>
    <row r="4184" spans="1:40" x14ac:dyDescent="0.25">
      <c r="A4184" t="str">
        <f>"20190312164554267"</f>
        <v>20190312164554267</v>
      </c>
      <c r="B4184" t="str">
        <f>"1552380354255857"</f>
        <v>1552380354255857</v>
      </c>
      <c r="C4184" t="s">
        <v>40</v>
      </c>
      <c r="D4184">
        <v>4.766788</v>
      </c>
      <c r="E4184">
        <v>0.43959819999999999</v>
      </c>
      <c r="F4184" t="s">
        <v>71</v>
      </c>
      <c r="G4184">
        <v>-417.39710000000002</v>
      </c>
      <c r="H4184" s="1">
        <v>-6.19647299999999E-6</v>
      </c>
      <c r="I4184">
        <v>130.40700000000001</v>
      </c>
      <c r="J4184">
        <v>-399.6472</v>
      </c>
      <c r="K4184">
        <v>1.113739</v>
      </c>
      <c r="L4184">
        <v>140.5033</v>
      </c>
      <c r="M4184">
        <v>-0.98683540000000003</v>
      </c>
      <c r="N4184">
        <v>0</v>
      </c>
      <c r="O4184">
        <v>-0.16113939999999999</v>
      </c>
      <c r="P4184">
        <v>-0.92689480000000002</v>
      </c>
      <c r="Q4184">
        <v>0.1229321</v>
      </c>
      <c r="R4184">
        <v>-0.35461809999999899</v>
      </c>
      <c r="S4184">
        <v>-2.6869510000000001</v>
      </c>
      <c r="T4184">
        <v>-0.16610529999999901</v>
      </c>
      <c r="U4184">
        <v>-1.513031</v>
      </c>
      <c r="V4184">
        <v>-0.2021732</v>
      </c>
      <c r="W4184">
        <v>0.13398699999999999</v>
      </c>
      <c r="X4184">
        <v>0.97014100000000003</v>
      </c>
      <c r="Y4184">
        <v>-0.3435647</v>
      </c>
      <c r="Z4184">
        <v>-7.3768110000000005E-4</v>
      </c>
      <c r="AA4184">
        <v>0.93912870000000004</v>
      </c>
      <c r="AB4184">
        <v>28</v>
      </c>
      <c r="AC4184">
        <v>-17.7499</v>
      </c>
      <c r="AD4184">
        <v>-1.1137451964730001</v>
      </c>
      <c r="AE4184">
        <v>-10.0962999999999</v>
      </c>
      <c r="AF4184">
        <v>-7.0827837821735198</v>
      </c>
      <c r="AG4184">
        <v>-1.1137451964730001</v>
      </c>
      <c r="AH4184">
        <v>19.088178718649701</v>
      </c>
      <c r="AI4184">
        <v>93.131127805552197</v>
      </c>
      <c r="AJ4184">
        <v>110.357675537494</v>
      </c>
      <c r="AK4184">
        <v>20.3903119461865</v>
      </c>
      <c r="AL4184">
        <v>82.299953208649796</v>
      </c>
      <c r="AM4184">
        <v>101.771712870302</v>
      </c>
      <c r="AN4184">
        <v>1.00000003942411</v>
      </c>
    </row>
    <row r="4185" spans="1:40" x14ac:dyDescent="0.25">
      <c r="A4185" t="str">
        <f>"20190312164554290"</f>
        <v>20190312164554290</v>
      </c>
      <c r="B4185" t="str">
        <f>"1552380354286113"</f>
        <v>1552380354286113</v>
      </c>
      <c r="C4185" t="s">
        <v>40</v>
      </c>
      <c r="D4185">
        <v>4.3735290000000004</v>
      </c>
      <c r="E4185">
        <v>0.43784519999999999</v>
      </c>
      <c r="F4185" t="s">
        <v>71</v>
      </c>
      <c r="G4185">
        <v>-417.39690000000002</v>
      </c>
      <c r="H4185" s="1">
        <v>-6.1227419999999997E-6</v>
      </c>
      <c r="I4185">
        <v>130.2259</v>
      </c>
      <c r="J4185">
        <v>-399.91050000000001</v>
      </c>
      <c r="K4185">
        <v>1.1137349999999999</v>
      </c>
      <c r="L4185">
        <v>140.45330000000001</v>
      </c>
      <c r="M4185">
        <v>-0.98579950000000005</v>
      </c>
      <c r="N4185">
        <v>0</v>
      </c>
      <c r="O4185">
        <v>-0.1673606</v>
      </c>
      <c r="P4185">
        <v>-0.92239020000000005</v>
      </c>
      <c r="Q4185">
        <v>0.1221785</v>
      </c>
      <c r="R4185">
        <v>-0.36642720000000001</v>
      </c>
      <c r="S4185">
        <v>-2.6678160000000002</v>
      </c>
      <c r="T4185">
        <v>-0.16739809999999999</v>
      </c>
      <c r="U4185">
        <v>-1.544708</v>
      </c>
      <c r="V4185">
        <v>-0.20842630000000001</v>
      </c>
      <c r="W4185">
        <v>0.13314579999999901</v>
      </c>
      <c r="X4185">
        <v>0.96893269999999998</v>
      </c>
      <c r="Y4185">
        <v>-0.34890139999999997</v>
      </c>
      <c r="Z4185">
        <v>-5.5307619999999996E-4</v>
      </c>
      <c r="AA4185">
        <v>0.93715930000000003</v>
      </c>
      <c r="AB4185">
        <v>28</v>
      </c>
      <c r="AC4185">
        <v>-17.4864</v>
      </c>
      <c r="AD4185">
        <v>-1.113741122742</v>
      </c>
      <c r="AE4185">
        <v>-10.227399999999999</v>
      </c>
      <c r="AF4185">
        <v>-7.1347446068496696</v>
      </c>
      <c r="AG4185">
        <v>-1.113741122742</v>
      </c>
      <c r="AH4185">
        <v>18.894435145315899</v>
      </c>
      <c r="AI4185">
        <v>93.156371568553595</v>
      </c>
      <c r="AJ4185">
        <v>110.687082879543</v>
      </c>
      <c r="AK4185">
        <v>20.2273250667014</v>
      </c>
      <c r="AL4185">
        <v>82.348585501844795</v>
      </c>
      <c r="AM4185">
        <v>102.139858153053</v>
      </c>
      <c r="AN4185">
        <v>0.99999995185930801</v>
      </c>
    </row>
    <row r="4186" spans="1:40" x14ac:dyDescent="0.25">
      <c r="A4186" t="str">
        <f>"20190312164554304"</f>
        <v>20190312164554304</v>
      </c>
      <c r="B4186" t="str">
        <f>"1552380354295874"</f>
        <v>1552380354295874</v>
      </c>
      <c r="C4186" t="s">
        <v>40</v>
      </c>
      <c r="D4186">
        <v>4.4492000000000003</v>
      </c>
      <c r="E4186">
        <v>0.437116</v>
      </c>
      <c r="F4186" t="s">
        <v>71</v>
      </c>
      <c r="G4186">
        <v>-417.79790000000003</v>
      </c>
      <c r="H4186" s="1">
        <v>-5.8772950000000001E-6</v>
      </c>
      <c r="I4186">
        <v>129.68049999999999</v>
      </c>
      <c r="J4186">
        <v>-400.09910000000002</v>
      </c>
      <c r="K4186">
        <v>1.113748</v>
      </c>
      <c r="L4186">
        <v>140.41640000000001</v>
      </c>
      <c r="M4186">
        <v>-0.98502869999999998</v>
      </c>
      <c r="N4186">
        <v>0</v>
      </c>
      <c r="O4186">
        <v>-0.17183780000000001</v>
      </c>
      <c r="P4186">
        <v>-0.91970130000000005</v>
      </c>
      <c r="Q4186">
        <v>0.1215548</v>
      </c>
      <c r="R4186">
        <v>-0.37332799999999999</v>
      </c>
      <c r="S4186">
        <v>-2.64209</v>
      </c>
      <c r="T4186">
        <v>-0.1645076</v>
      </c>
      <c r="U4186">
        <v>-1.591232</v>
      </c>
      <c r="V4186">
        <v>-0.21126929999999999</v>
      </c>
      <c r="W4186">
        <v>0.1324794</v>
      </c>
      <c r="X4186">
        <v>0.96840820000000005</v>
      </c>
      <c r="Y4186">
        <v>-0.36076439999999999</v>
      </c>
      <c r="Z4186">
        <v>-6.4155370000000002E-4</v>
      </c>
      <c r="AA4186">
        <v>0.93265679999999995</v>
      </c>
      <c r="AB4186">
        <v>27</v>
      </c>
      <c r="AC4186">
        <v>-17.698799999999999</v>
      </c>
      <c r="AD4186">
        <v>-1.113753877295</v>
      </c>
      <c r="AE4186">
        <v>-10.735900000000001</v>
      </c>
      <c r="AF4186">
        <v>-7.5128152594391002</v>
      </c>
      <c r="AG4186">
        <v>-1.113753877295</v>
      </c>
      <c r="AH4186">
        <v>19.2248410368137</v>
      </c>
      <c r="AI4186">
        <v>93.088639948867794</v>
      </c>
      <c r="AJ4186">
        <v>111.344904991609</v>
      </c>
      <c r="AK4186">
        <v>20.670688273795001</v>
      </c>
      <c r="AL4186">
        <v>82.387108861001195</v>
      </c>
      <c r="AM4186">
        <v>102.306899735543</v>
      </c>
      <c r="AN4186">
        <v>0.99999997518704398</v>
      </c>
    </row>
    <row r="4187" spans="1:40" x14ac:dyDescent="0.25">
      <c r="A4187" t="str">
        <f>"20190312164554324"</f>
        <v>20190312164554324</v>
      </c>
      <c r="B4187" t="str">
        <f>"1552380354315396"</f>
        <v>1552380354315396</v>
      </c>
      <c r="C4187" t="s">
        <v>40</v>
      </c>
      <c r="D4187">
        <v>4.3900769999999998</v>
      </c>
      <c r="E4187">
        <v>0.40820390000000001</v>
      </c>
      <c r="F4187" t="s">
        <v>71</v>
      </c>
      <c r="G4187">
        <v>-417.76949999999999</v>
      </c>
      <c r="H4187" s="1">
        <v>-5.8166460000000003E-6</v>
      </c>
      <c r="I4187">
        <v>129.5453</v>
      </c>
      <c r="J4187">
        <v>-400.31450000000001</v>
      </c>
      <c r="K4187">
        <v>1.113758</v>
      </c>
      <c r="L4187">
        <v>140.3732</v>
      </c>
      <c r="M4187">
        <v>-0.98411959999999998</v>
      </c>
      <c r="N4187">
        <v>0</v>
      </c>
      <c r="O4187">
        <v>-0.17697060000000001</v>
      </c>
      <c r="P4187">
        <v>-0.91567460000000001</v>
      </c>
      <c r="Q4187">
        <v>0.1201537</v>
      </c>
      <c r="R4187">
        <v>-0.38354070000000001</v>
      </c>
      <c r="S4187">
        <v>-2.6276250000000001</v>
      </c>
      <c r="T4187">
        <v>-0.16561709999999999</v>
      </c>
      <c r="U4187">
        <v>-1.616547</v>
      </c>
      <c r="V4187">
        <v>-0.21696009999999999</v>
      </c>
      <c r="W4187">
        <v>0.13099279999999999</v>
      </c>
      <c r="X4187">
        <v>0.96735170000000004</v>
      </c>
      <c r="Y4187">
        <v>-0.3647089</v>
      </c>
      <c r="Z4187">
        <v>-4.7689580000000002E-4</v>
      </c>
      <c r="AA4187">
        <v>0.93112150000000005</v>
      </c>
      <c r="AB4187">
        <v>27</v>
      </c>
      <c r="AC4187">
        <v>-17.454999999999899</v>
      </c>
      <c r="AD4187">
        <v>-1.113763816646</v>
      </c>
      <c r="AE4187">
        <v>-10.8279</v>
      </c>
      <c r="AF4187">
        <v>-7.5454617466209299</v>
      </c>
      <c r="AG4187">
        <v>-1.113763816646</v>
      </c>
      <c r="AH4187">
        <v>19.039863686014201</v>
      </c>
      <c r="AI4187">
        <v>93.112775890704498</v>
      </c>
      <c r="AJ4187">
        <v>111.61832863026601</v>
      </c>
      <c r="AK4187">
        <v>20.510750156710301</v>
      </c>
      <c r="AL4187">
        <v>82.473034231686896</v>
      </c>
      <c r="AM4187">
        <v>102.64125104740999</v>
      </c>
      <c r="AN4187">
        <v>1.0000000550683601</v>
      </c>
    </row>
    <row r="4188" spans="1:40" x14ac:dyDescent="0.25">
      <c r="A4188" t="str">
        <f>"20190312164554345"</f>
        <v>20190312164554345</v>
      </c>
      <c r="B4188" t="str">
        <f>"1552380354335889"</f>
        <v>1552380354335889</v>
      </c>
      <c r="C4188" t="s">
        <v>40</v>
      </c>
      <c r="D4188">
        <v>4.3651160000000004</v>
      </c>
      <c r="E4188">
        <v>0.40949580000000002</v>
      </c>
      <c r="F4188" t="s">
        <v>71</v>
      </c>
      <c r="G4188">
        <v>-408.60250000000002</v>
      </c>
      <c r="H4188" s="1">
        <v>-7.4962899999999897E-6</v>
      </c>
      <c r="I4188">
        <v>134.26920000000001</v>
      </c>
      <c r="J4188">
        <v>-400.57479999999998</v>
      </c>
      <c r="K4188">
        <v>1.113783</v>
      </c>
      <c r="L4188">
        <v>140.3193</v>
      </c>
      <c r="M4188">
        <v>-0.98297420000000002</v>
      </c>
      <c r="N4188">
        <v>0</v>
      </c>
      <c r="O4188">
        <v>-0.18322630000000001</v>
      </c>
      <c r="P4188">
        <v>-0.91151899999999997</v>
      </c>
      <c r="Q4188">
        <v>0.1182753</v>
      </c>
      <c r="R4188">
        <v>-0.39388410000000001</v>
      </c>
      <c r="S4188">
        <v>-2.5380859999999998</v>
      </c>
      <c r="T4188">
        <v>-0.34107480000000001</v>
      </c>
      <c r="U4188">
        <v>-1.8692470000000001</v>
      </c>
      <c r="V4188">
        <v>-0.22170780000000001</v>
      </c>
      <c r="W4188">
        <v>0.12903689999999901</v>
      </c>
      <c r="X4188">
        <v>0.96653770000000006</v>
      </c>
      <c r="Y4188">
        <v>-0.43399470000000001</v>
      </c>
      <c r="Z4188">
        <v>-4.4459549999999997E-3</v>
      </c>
      <c r="AA4188">
        <v>0.90090440000000005</v>
      </c>
      <c r="AB4188">
        <v>27</v>
      </c>
      <c r="AC4188">
        <v>-8.0277000000000296</v>
      </c>
      <c r="AD4188">
        <v>-1.11379049629</v>
      </c>
      <c r="AE4188">
        <v>-6.05009999999998</v>
      </c>
      <c r="AF4188">
        <v>-4.42233977405931</v>
      </c>
      <c r="AG4188">
        <v>-1.11379049629</v>
      </c>
      <c r="AH4188">
        <v>8.8912587317805407</v>
      </c>
      <c r="AI4188">
        <v>96.399571830646295</v>
      </c>
      <c r="AJ4188">
        <v>116.44486185571</v>
      </c>
      <c r="AK4188">
        <v>9.9926022727974395</v>
      </c>
      <c r="AL4188">
        <v>82.586057976825003</v>
      </c>
      <c r="AM4188">
        <v>102.919211819148</v>
      </c>
      <c r="AN4188">
        <v>0.99999999783186999</v>
      </c>
    </row>
    <row r="4189" spans="1:40" x14ac:dyDescent="0.25">
      <c r="A4189" t="str">
        <f>"20190312164554368"</f>
        <v>20190312164554368</v>
      </c>
      <c r="B4189" t="str">
        <f>"1552380354355409"</f>
        <v>1552380354355409</v>
      </c>
      <c r="C4189" t="s">
        <v>40</v>
      </c>
      <c r="D4189">
        <v>4.2370029999999996</v>
      </c>
      <c r="E4189">
        <v>0.41977170000000003</v>
      </c>
      <c r="F4189" t="s">
        <v>71</v>
      </c>
      <c r="G4189">
        <v>-408.9776</v>
      </c>
      <c r="H4189" s="1">
        <v>-7.6219520000000004E-6</v>
      </c>
      <c r="I4189">
        <v>134.02250000000001</v>
      </c>
      <c r="J4189">
        <v>-400.8383</v>
      </c>
      <c r="K4189">
        <v>1.113818</v>
      </c>
      <c r="L4189">
        <v>140.26310000000001</v>
      </c>
      <c r="M4189">
        <v>-0.98175789999999996</v>
      </c>
      <c r="N4189">
        <v>0</v>
      </c>
      <c r="O4189">
        <v>-0.18963430000000001</v>
      </c>
      <c r="P4189">
        <v>-0.90704629999999997</v>
      </c>
      <c r="Q4189">
        <v>0.1175408</v>
      </c>
      <c r="R4189">
        <v>-0.40429130000000002</v>
      </c>
      <c r="S4189">
        <v>-2.5188600000000001</v>
      </c>
      <c r="T4189">
        <v>-0.33387719999999999</v>
      </c>
      <c r="U4189">
        <v>-1.887589</v>
      </c>
      <c r="V4189">
        <v>-0.2264581</v>
      </c>
      <c r="W4189">
        <v>0.12821459999999901</v>
      </c>
      <c r="X4189">
        <v>0.96554530000000005</v>
      </c>
      <c r="Y4189">
        <v>-0.43568879999999999</v>
      </c>
      <c r="Z4189">
        <v>-3.754187E-3</v>
      </c>
      <c r="AA4189">
        <v>0.90008960000000005</v>
      </c>
      <c r="AB4189">
        <v>27</v>
      </c>
      <c r="AC4189">
        <v>-8.1392999999999898</v>
      </c>
      <c r="AD4189">
        <v>-1.113825621952</v>
      </c>
      <c r="AE4189">
        <v>-6.2405999999999997</v>
      </c>
      <c r="AF4189">
        <v>-4.5302757016793098</v>
      </c>
      <c r="AG4189">
        <v>-1.113825621952</v>
      </c>
      <c r="AH4189">
        <v>9.0681802684530197</v>
      </c>
      <c r="AI4189">
        <v>96.270454342075098</v>
      </c>
      <c r="AJ4189">
        <v>116.54576725019599</v>
      </c>
      <c r="AK4189">
        <v>10.1978379488254</v>
      </c>
      <c r="AL4189">
        <v>82.633566890929799</v>
      </c>
      <c r="AM4189">
        <v>103.19952159417799</v>
      </c>
      <c r="AN4189">
        <v>0.99999999053042998</v>
      </c>
    </row>
    <row r="4190" spans="1:40" x14ac:dyDescent="0.25">
      <c r="A4190" t="str">
        <f>"20190312164554391"</f>
        <v>20190312164554391</v>
      </c>
      <c r="B4190" t="str">
        <f>"1552380354385664"</f>
        <v>1552380354385664</v>
      </c>
      <c r="C4190" t="s">
        <v>40</v>
      </c>
      <c r="D4190">
        <v>4.2475120000000004</v>
      </c>
      <c r="E4190">
        <v>0.4200661</v>
      </c>
      <c r="F4190" t="s">
        <v>71</v>
      </c>
      <c r="G4190">
        <v>-419.54129999999998</v>
      </c>
      <c r="H4190" s="1">
        <v>-4.2339009999999996E-6</v>
      </c>
      <c r="I4190">
        <v>126.6409</v>
      </c>
      <c r="J4190">
        <v>-401.1071</v>
      </c>
      <c r="K4190">
        <v>1.1138779999999999</v>
      </c>
      <c r="L4190">
        <v>140.20359999999999</v>
      </c>
      <c r="M4190">
        <v>-0.98045020000000005</v>
      </c>
      <c r="N4190">
        <v>0</v>
      </c>
      <c r="O4190">
        <v>-0.19628209999999999</v>
      </c>
      <c r="P4190">
        <v>-0.90241590000000005</v>
      </c>
      <c r="Q4190">
        <v>0.1167907</v>
      </c>
      <c r="R4190">
        <v>-0.41473529999999997</v>
      </c>
      <c r="S4190">
        <v>-2.5114749999999999</v>
      </c>
      <c r="T4190">
        <v>-0.14956610000000001</v>
      </c>
      <c r="U4190">
        <v>-1.8292079999999999</v>
      </c>
      <c r="V4190">
        <v>-0.23105880000000001</v>
      </c>
      <c r="W4190">
        <v>0.12736900000000001</v>
      </c>
      <c r="X4190">
        <v>0.96456679999999995</v>
      </c>
      <c r="Y4190">
        <v>-0.4183557</v>
      </c>
      <c r="Z4190">
        <v>-8.9802130000000003E-4</v>
      </c>
      <c r="AA4190">
        <v>0.9082829</v>
      </c>
      <c r="AB4190">
        <v>27</v>
      </c>
      <c r="AC4190">
        <v>-18.434199999999901</v>
      </c>
      <c r="AD4190">
        <v>-1.1138822339009999</v>
      </c>
      <c r="AE4190">
        <v>-13.5626999999999</v>
      </c>
      <c r="AF4190">
        <v>-9.6572948412560198</v>
      </c>
      <c r="AG4190">
        <v>-1.1138822339009999</v>
      </c>
      <c r="AH4190">
        <v>20.6888989472776</v>
      </c>
      <c r="AI4190">
        <v>92.793035106477106</v>
      </c>
      <c r="AJ4190">
        <v>115.02252247286501</v>
      </c>
      <c r="AK4190">
        <v>22.8590160972124</v>
      </c>
      <c r="AL4190">
        <v>82.682417318377702</v>
      </c>
      <c r="AM4190">
        <v>103.471173444385</v>
      </c>
      <c r="AN4190">
        <v>1.0000000714403301</v>
      </c>
    </row>
    <row r="4191" spans="1:40" x14ac:dyDescent="0.25">
      <c r="A4191" t="str">
        <f>"20190312164554406"</f>
        <v>20190312164554406</v>
      </c>
      <c r="B4191" t="str">
        <f>"1552380354395424"</f>
        <v>1552380354395424</v>
      </c>
      <c r="C4191" t="s">
        <v>40</v>
      </c>
      <c r="D4191">
        <v>4.3222610000000001</v>
      </c>
      <c r="E4191">
        <v>0.42050609999999999</v>
      </c>
      <c r="F4191" t="s">
        <v>41</v>
      </c>
      <c r="G4191">
        <v>-401.94670000000002</v>
      </c>
      <c r="H4191">
        <v>1.0626359999999999</v>
      </c>
      <c r="I4191">
        <v>139.57830000000001</v>
      </c>
      <c r="J4191">
        <v>-401.2946</v>
      </c>
      <c r="K4191">
        <v>1.113928</v>
      </c>
      <c r="L4191">
        <v>140.1609</v>
      </c>
      <c r="M4191">
        <v>-0.97949430000000004</v>
      </c>
      <c r="N4191">
        <v>0</v>
      </c>
      <c r="O4191">
        <v>-0.2009977</v>
      </c>
      <c r="P4191">
        <v>-0.89960280000000004</v>
      </c>
      <c r="Q4191">
        <v>0.1163838</v>
      </c>
      <c r="R4191">
        <v>-0.42091529999999999</v>
      </c>
      <c r="S4191">
        <v>-2.4913020000000001</v>
      </c>
      <c r="T4191">
        <v>-0.15205339999999901</v>
      </c>
      <c r="U4191">
        <v>-1.8555299999999999</v>
      </c>
      <c r="V4191">
        <v>-0.2330361</v>
      </c>
      <c r="W4191">
        <v>0.12690879999999999</v>
      </c>
      <c r="X4191">
        <v>0.9641516</v>
      </c>
      <c r="Y4191">
        <v>-0.42366179999999898</v>
      </c>
      <c r="Z4191">
        <v>-8.1915869999999997E-4</v>
      </c>
      <c r="AA4191">
        <v>0.90582010000000002</v>
      </c>
      <c r="AB4191">
        <v>27</v>
      </c>
      <c r="AC4191">
        <v>-0.652100000000018</v>
      </c>
      <c r="AD4191">
        <v>-5.1291999999999803E-2</v>
      </c>
      <c r="AE4191">
        <v>-0.58259999999998502</v>
      </c>
      <c r="AF4191">
        <v>-0.43811734948160902</v>
      </c>
      <c r="AG4191">
        <v>-5.1291999999999803E-2</v>
      </c>
      <c r="AH4191">
        <v>0.753309797305735</v>
      </c>
      <c r="AI4191">
        <v>93.368447544878904</v>
      </c>
      <c r="AJ4191">
        <v>120.181849110898</v>
      </c>
      <c r="AK4191">
        <v>0.87295666095035895</v>
      </c>
      <c r="AL4191">
        <v>82.708999944907504</v>
      </c>
      <c r="AM4191">
        <v>103.587832627091</v>
      </c>
      <c r="AN4191">
        <v>0.99999998760160402</v>
      </c>
    </row>
    <row r="4192" spans="1:40" x14ac:dyDescent="0.25">
      <c r="A4192" t="str">
        <f>"20190312164554424"</f>
        <v>20190312164554424</v>
      </c>
      <c r="B4192" t="str">
        <f>"1552380354415920"</f>
        <v>1552380354415920</v>
      </c>
      <c r="C4192" t="s">
        <v>40</v>
      </c>
      <c r="D4192">
        <v>4.2955059999999996</v>
      </c>
      <c r="E4192">
        <v>0.42108069999999997</v>
      </c>
      <c r="F4192" t="s">
        <v>71</v>
      </c>
      <c r="G4192">
        <v>-419.00889999999998</v>
      </c>
      <c r="H4192" s="1">
        <v>-4.3501299999999996E-6</v>
      </c>
      <c r="I4192">
        <v>126.80840000000001</v>
      </c>
      <c r="J4192">
        <v>-401.50979999999998</v>
      </c>
      <c r="K4192">
        <v>1.113985</v>
      </c>
      <c r="L4192">
        <v>140.11060000000001</v>
      </c>
      <c r="M4192">
        <v>-0.9783539</v>
      </c>
      <c r="N4192">
        <v>0</v>
      </c>
      <c r="O4192">
        <v>-0.2064772</v>
      </c>
      <c r="P4192">
        <v>-0.895337099999999</v>
      </c>
      <c r="Q4192">
        <v>0.1156571</v>
      </c>
      <c r="R4192">
        <v>-0.43011070000000001</v>
      </c>
      <c r="S4192">
        <v>-2.4802550000000001</v>
      </c>
      <c r="T4192">
        <v>-0.15596599999999999</v>
      </c>
      <c r="U4192">
        <v>-1.869537</v>
      </c>
      <c r="V4192">
        <v>-0.23751359999999999</v>
      </c>
      <c r="W4192">
        <v>0.1260857</v>
      </c>
      <c r="X4192">
        <v>0.96316650000000004</v>
      </c>
      <c r="Y4192">
        <v>-0.42378539999999998</v>
      </c>
      <c r="Z4192">
        <v>-5.5610109999999996E-4</v>
      </c>
      <c r="AA4192">
        <v>0.90576239999999997</v>
      </c>
      <c r="AB4192">
        <v>27</v>
      </c>
      <c r="AC4192">
        <v>-17.499099999999999</v>
      </c>
      <c r="AD4192">
        <v>-1.11398935013</v>
      </c>
      <c r="AE4192">
        <v>-13.302199999999999</v>
      </c>
      <c r="AF4192">
        <v>-9.3779047995603992</v>
      </c>
      <c r="AG4192">
        <v>-1.11398935013</v>
      </c>
      <c r="AH4192">
        <v>19.8179088710617</v>
      </c>
      <c r="AI4192">
        <v>92.908678589670501</v>
      </c>
      <c r="AJ4192">
        <v>115.323678754955</v>
      </c>
      <c r="AK4192">
        <v>21.9530312878091</v>
      </c>
      <c r="AL4192">
        <v>82.756542175932296</v>
      </c>
      <c r="AM4192">
        <v>103.852568057434</v>
      </c>
      <c r="AN4192">
        <v>1.00000001032585</v>
      </c>
    </row>
    <row r="4193" spans="1:40" x14ac:dyDescent="0.25">
      <c r="A4193" t="str">
        <f>"20190312164554446"</f>
        <v>20190312164554446</v>
      </c>
      <c r="B4193" t="str">
        <f>"1552380354435441"</f>
        <v>1552380354435441</v>
      </c>
      <c r="C4193" t="s">
        <v>40</v>
      </c>
      <c r="D4193">
        <v>4.8266799999999996</v>
      </c>
      <c r="E4193">
        <v>0.42176259999999999</v>
      </c>
      <c r="F4193" t="s">
        <v>71</v>
      </c>
      <c r="G4193">
        <v>-409.90179999999998</v>
      </c>
      <c r="H4193" s="1">
        <v>-8.0445269999999995E-6</v>
      </c>
      <c r="I4193">
        <v>133.6729</v>
      </c>
      <c r="J4193">
        <v>-401.76569999999998</v>
      </c>
      <c r="K4193">
        <v>1.114061</v>
      </c>
      <c r="L4193">
        <v>140.04910000000001</v>
      </c>
      <c r="M4193">
        <v>-0.97693289999999999</v>
      </c>
      <c r="N4193">
        <v>0</v>
      </c>
      <c r="O4193">
        <v>-0.2130987</v>
      </c>
      <c r="P4193">
        <v>-0.89072289999999998</v>
      </c>
      <c r="Q4193">
        <v>0.1149456</v>
      </c>
      <c r="R4193">
        <v>-0.43977329999999998</v>
      </c>
      <c r="S4193">
        <v>-2.4794619999999998</v>
      </c>
      <c r="T4193">
        <v>-0.3291364</v>
      </c>
      <c r="U4193">
        <v>-1.9020539999999999</v>
      </c>
      <c r="V4193">
        <v>-0.24141199999999999</v>
      </c>
      <c r="W4193">
        <v>0.12527730000000001</v>
      </c>
      <c r="X4193">
        <v>0.9623024</v>
      </c>
      <c r="Y4193">
        <v>-0.42444270000000001</v>
      </c>
      <c r="Z4193">
        <v>-4.742797E-4</v>
      </c>
      <c r="AA4193">
        <v>0.90545469999999895</v>
      </c>
      <c r="AB4193">
        <v>27</v>
      </c>
      <c r="AC4193">
        <v>-8.1360999999999901</v>
      </c>
      <c r="AD4193">
        <v>-1.1140690445270001</v>
      </c>
      <c r="AE4193">
        <v>-6.3762000000000096</v>
      </c>
      <c r="AF4193">
        <v>-4.4441354431765197</v>
      </c>
      <c r="AG4193">
        <v>-1.1140690445270001</v>
      </c>
      <c r="AH4193">
        <v>9.2011955728685599</v>
      </c>
      <c r="AI4193">
        <v>96.2222406737651</v>
      </c>
      <c r="AJ4193">
        <v>115.780330457894</v>
      </c>
      <c r="AK4193">
        <v>10.2787883353752</v>
      </c>
      <c r="AL4193">
        <v>82.803230450976301</v>
      </c>
      <c r="AM4193">
        <v>104.083104003058</v>
      </c>
      <c r="AN4193">
        <v>1.00000003234252</v>
      </c>
    </row>
    <row r="4194" spans="1:40" x14ac:dyDescent="0.25">
      <c r="A4194" t="str">
        <f>"20190312164554468"</f>
        <v>20190312164554468</v>
      </c>
      <c r="B4194" t="str">
        <f>"1552380354465697"</f>
        <v>1552380354465697</v>
      </c>
      <c r="C4194" t="s">
        <v>40</v>
      </c>
      <c r="D4194">
        <v>4.1699820000000001</v>
      </c>
      <c r="E4194">
        <v>0.42228470000000001</v>
      </c>
      <c r="F4194" t="s">
        <v>71</v>
      </c>
      <c r="G4194">
        <v>-410.09750000000003</v>
      </c>
      <c r="H4194" s="1">
        <v>-8.0059790000000001E-6</v>
      </c>
      <c r="I4194">
        <v>133.53309999999999</v>
      </c>
      <c r="J4194">
        <v>-402.02409999999998</v>
      </c>
      <c r="K4194">
        <v>1.114139</v>
      </c>
      <c r="L4194">
        <v>139.98509999999999</v>
      </c>
      <c r="M4194">
        <v>-0.97541770000000005</v>
      </c>
      <c r="N4194">
        <v>0</v>
      </c>
      <c r="O4194">
        <v>-0.21992990000000001</v>
      </c>
      <c r="P4194">
        <v>-0.8857661</v>
      </c>
      <c r="Q4194">
        <v>0.11438280000000001</v>
      </c>
      <c r="R4194">
        <v>-0.44981719999999997</v>
      </c>
      <c r="S4194">
        <v>-2.4604490000000001</v>
      </c>
      <c r="T4194">
        <v>-0.32899309999999998</v>
      </c>
      <c r="U4194">
        <v>-1.92424</v>
      </c>
      <c r="V4194">
        <v>-0.2455668</v>
      </c>
      <c r="W4194">
        <v>0.12460789999999999</v>
      </c>
      <c r="X4194">
        <v>0.96133749999999996</v>
      </c>
      <c r="Y4194">
        <v>-0.4265872</v>
      </c>
      <c r="Z4194">
        <v>1.5137899999999999E-4</v>
      </c>
      <c r="AA4194">
        <v>0.90444639999999998</v>
      </c>
      <c r="AB4194">
        <v>27</v>
      </c>
      <c r="AC4194">
        <v>-8.0734000000000492</v>
      </c>
      <c r="AD4194">
        <v>-1.114147005979</v>
      </c>
      <c r="AE4194">
        <v>-6.4519999999999902</v>
      </c>
      <c r="AF4194">
        <v>-4.4663370314985498</v>
      </c>
      <c r="AG4194">
        <v>-1.114147005979</v>
      </c>
      <c r="AH4194">
        <v>9.1880300884075794</v>
      </c>
      <c r="AI4194">
        <v>96.223982120163697</v>
      </c>
      <c r="AJ4194">
        <v>115.92456616292201</v>
      </c>
      <c r="AK4194">
        <v>10.2766427852363</v>
      </c>
      <c r="AL4194">
        <v>82.841886822973507</v>
      </c>
      <c r="AM4194">
        <v>104.329374096691</v>
      </c>
      <c r="AN4194">
        <v>0.99999998545544899</v>
      </c>
    </row>
    <row r="4195" spans="1:40" x14ac:dyDescent="0.25">
      <c r="A4195" t="str">
        <f>"20190312164554492"</f>
        <v>20190312164554492</v>
      </c>
      <c r="B4195" t="str">
        <f>"1552380354486193"</f>
        <v>1552380354486193</v>
      </c>
      <c r="C4195" t="s">
        <v>40</v>
      </c>
      <c r="D4195">
        <v>4.226235</v>
      </c>
      <c r="E4195">
        <v>0.41815210000000003</v>
      </c>
      <c r="F4195" t="s">
        <v>71</v>
      </c>
      <c r="G4195">
        <v>-410.26330000000002</v>
      </c>
      <c r="H4195" s="1">
        <v>-7.9366669999999995E-6</v>
      </c>
      <c r="I4195">
        <v>133.40780000000001</v>
      </c>
      <c r="J4195">
        <v>-402.29129999999998</v>
      </c>
      <c r="K4195">
        <v>1.1142350000000001</v>
      </c>
      <c r="L4195">
        <v>139.91650000000001</v>
      </c>
      <c r="M4195">
        <v>-0.97375889999999998</v>
      </c>
      <c r="N4195">
        <v>0</v>
      </c>
      <c r="O4195">
        <v>-0.22716049999999999</v>
      </c>
      <c r="P4195">
        <v>-0.88036419999999904</v>
      </c>
      <c r="Q4195">
        <v>0.113804</v>
      </c>
      <c r="R4195">
        <v>-0.46044279999999999</v>
      </c>
      <c r="S4195">
        <v>-2.4402159999999999</v>
      </c>
      <c r="T4195">
        <v>-0.32997919999999997</v>
      </c>
      <c r="U4195">
        <v>-1.9479979999999999</v>
      </c>
      <c r="V4195">
        <v>-0.25001250000000003</v>
      </c>
      <c r="W4195">
        <v>0.1239109</v>
      </c>
      <c r="X4195">
        <v>0.9602811</v>
      </c>
      <c r="Y4195">
        <v>-0.4289249</v>
      </c>
      <c r="Z4195">
        <v>8.1380459999999999E-4</v>
      </c>
      <c r="AA4195">
        <v>0.90333969999999997</v>
      </c>
      <c r="AB4195">
        <v>27</v>
      </c>
      <c r="AC4195">
        <v>-7.9720000000000297</v>
      </c>
      <c r="AD4195">
        <v>-1.1142429366669999</v>
      </c>
      <c r="AE4195">
        <v>-6.5087000000000002</v>
      </c>
      <c r="AF4195">
        <v>-4.4749599699664904</v>
      </c>
      <c r="AG4195">
        <v>-1.1142429366669999</v>
      </c>
      <c r="AH4195">
        <v>9.1351302877200293</v>
      </c>
      <c r="AI4195">
        <v>96.251079233482002</v>
      </c>
      <c r="AJ4195">
        <v>116.098511989271</v>
      </c>
      <c r="AK4195">
        <v>10.2331524677557</v>
      </c>
      <c r="AL4195">
        <v>82.882133840460199</v>
      </c>
      <c r="AM4195">
        <v>104.59318360839301</v>
      </c>
      <c r="AN4195">
        <v>0.99999997615613401</v>
      </c>
    </row>
    <row r="4196" spans="1:40" x14ac:dyDescent="0.25">
      <c r="A4196" t="str">
        <f>"20190312164554514"</f>
        <v>20190312164554514</v>
      </c>
      <c r="B4196" t="str">
        <f>"1552380354505713"</f>
        <v>1552380354505713</v>
      </c>
      <c r="C4196" t="s">
        <v>40</v>
      </c>
      <c r="D4196">
        <v>4.208539</v>
      </c>
      <c r="E4196">
        <v>0.41809849999999998</v>
      </c>
      <c r="F4196" t="s">
        <v>41</v>
      </c>
      <c r="G4196">
        <v>-403.089</v>
      </c>
      <c r="H4196">
        <v>1.037256</v>
      </c>
      <c r="I4196">
        <v>139.25020000000001</v>
      </c>
      <c r="J4196">
        <v>-402.5564</v>
      </c>
      <c r="K4196">
        <v>1.1143400000000001</v>
      </c>
      <c r="L4196">
        <v>139.84620000000001</v>
      </c>
      <c r="M4196">
        <v>-0.97202029999999995</v>
      </c>
      <c r="N4196">
        <v>0</v>
      </c>
      <c r="O4196">
        <v>-0.2344879</v>
      </c>
      <c r="P4196">
        <v>-0.87482979999999999</v>
      </c>
      <c r="Q4196">
        <v>0.1148768</v>
      </c>
      <c r="R4196">
        <v>-0.47061259999999999</v>
      </c>
      <c r="S4196">
        <v>-2.3919980000000001</v>
      </c>
      <c r="T4196">
        <v>-0.23081560000000001</v>
      </c>
      <c r="U4196">
        <v>-1.9990079999999999</v>
      </c>
      <c r="V4196">
        <v>-0.25398850000000001</v>
      </c>
      <c r="W4196">
        <v>0.1248667</v>
      </c>
      <c r="X4196">
        <v>0.9591132</v>
      </c>
      <c r="Y4196">
        <v>-0.44287609999999999</v>
      </c>
      <c r="Z4196">
        <v>5.5531039999999997E-4</v>
      </c>
      <c r="AA4196">
        <v>0.89658269999999995</v>
      </c>
      <c r="AB4196">
        <v>27</v>
      </c>
      <c r="AC4196">
        <v>-0.53260000000000196</v>
      </c>
      <c r="AD4196">
        <v>-7.7083999999999903E-2</v>
      </c>
      <c r="AE4196">
        <v>-0.59600000000000297</v>
      </c>
      <c r="AF4196">
        <v>-0.45029149445765998</v>
      </c>
      <c r="AG4196">
        <v>-7.7083999999999903E-2</v>
      </c>
      <c r="AH4196">
        <v>0.65145698412492103</v>
      </c>
      <c r="AI4196">
        <v>95.559454928720797</v>
      </c>
      <c r="AJ4196">
        <v>124.652491685383</v>
      </c>
      <c r="AK4196">
        <v>0.79567617483625297</v>
      </c>
      <c r="AL4196">
        <v>82.826941990108907</v>
      </c>
      <c r="AM4196">
        <v>104.832374766558</v>
      </c>
      <c r="AN4196">
        <v>0.99999999065768996</v>
      </c>
    </row>
    <row r="4197" spans="1:40" x14ac:dyDescent="0.25">
      <c r="A4197" t="str">
        <f>"20190312164554534"</f>
        <v>20190312164554534</v>
      </c>
      <c r="B4197" t="str">
        <f>"1552380354526209"</f>
        <v>1552380354526209</v>
      </c>
      <c r="C4197" t="s">
        <v>40</v>
      </c>
      <c r="D4197">
        <v>4.1972370000000003</v>
      </c>
      <c r="E4197">
        <v>0.41842869999999999</v>
      </c>
      <c r="F4197" t="s">
        <v>41</v>
      </c>
      <c r="G4197">
        <v>-403.32100000000003</v>
      </c>
      <c r="H4197">
        <v>1.0427879999999901</v>
      </c>
      <c r="I4197">
        <v>139.1919</v>
      </c>
      <c r="J4197">
        <v>-402.80119999999999</v>
      </c>
      <c r="K4197">
        <v>1.11443</v>
      </c>
      <c r="L4197">
        <v>139.77930000000001</v>
      </c>
      <c r="M4197">
        <v>-0.97033360000000002</v>
      </c>
      <c r="N4197">
        <v>0</v>
      </c>
      <c r="O4197">
        <v>-0.24137239999999999</v>
      </c>
      <c r="P4197">
        <v>-0.86921170000000003</v>
      </c>
      <c r="Q4197">
        <v>0.11662260000000001</v>
      </c>
      <c r="R4197">
        <v>-0.48048980000000002</v>
      </c>
      <c r="S4197">
        <v>-2.3683169999999998</v>
      </c>
      <c r="T4197">
        <v>-0.22162180000000001</v>
      </c>
      <c r="U4197">
        <v>-2.0261840000000002</v>
      </c>
      <c r="V4197">
        <v>-0.25816080000000002</v>
      </c>
      <c r="W4197">
        <v>0.12649820000000001</v>
      </c>
      <c r="X4197">
        <v>0.95778450000000004</v>
      </c>
      <c r="Y4197">
        <v>-0.4469322</v>
      </c>
      <c r="Z4197">
        <v>8.8563379999999998E-4</v>
      </c>
      <c r="AA4197">
        <v>0.89456740000000001</v>
      </c>
      <c r="AB4197">
        <v>27</v>
      </c>
      <c r="AC4197">
        <v>-0.51979999999997495</v>
      </c>
      <c r="AD4197">
        <v>-7.1642000000000206E-2</v>
      </c>
      <c r="AE4197">
        <v>-0.58740000000000203</v>
      </c>
      <c r="AF4197">
        <v>-0.44087328265043801</v>
      </c>
      <c r="AG4197">
        <v>-7.1642000000000206E-2</v>
      </c>
      <c r="AH4197">
        <v>0.64087708500856899</v>
      </c>
      <c r="AI4197">
        <v>95.262061658393307</v>
      </c>
      <c r="AJ4197">
        <v>124.524928344462</v>
      </c>
      <c r="AK4197">
        <v>0.78116916580728801</v>
      </c>
      <c r="AL4197">
        <v>82.732716612321994</v>
      </c>
      <c r="AM4197">
        <v>105.084982816915</v>
      </c>
      <c r="AN4197">
        <v>0.99999997085006398</v>
      </c>
    </row>
    <row r="4198" spans="1:40" x14ac:dyDescent="0.25">
      <c r="A4198" t="str">
        <f>"20190312164554558"</f>
        <v>20190312164554558</v>
      </c>
      <c r="B4198" t="str">
        <f>"1552380354545729"</f>
        <v>1552380354545729</v>
      </c>
      <c r="C4198" t="s">
        <v>40</v>
      </c>
      <c r="D4198">
        <v>4.1919649999999997</v>
      </c>
      <c r="E4198">
        <v>0.4196607</v>
      </c>
      <c r="F4198" t="s">
        <v>41</v>
      </c>
      <c r="G4198">
        <v>-403.54919999999998</v>
      </c>
      <c r="H4198">
        <v>1.0449619999999999</v>
      </c>
      <c r="I4198">
        <v>139.12559999999999</v>
      </c>
      <c r="J4198">
        <v>-403.06029999999998</v>
      </c>
      <c r="K4198">
        <v>1.114517</v>
      </c>
      <c r="L4198">
        <v>139.7063</v>
      </c>
      <c r="M4198">
        <v>-0.96845919999999996</v>
      </c>
      <c r="N4198">
        <v>0</v>
      </c>
      <c r="O4198">
        <v>-0.24878549999999999</v>
      </c>
      <c r="P4198">
        <v>-0.86334</v>
      </c>
      <c r="Q4198">
        <v>0.1180431</v>
      </c>
      <c r="R4198">
        <v>-0.49062220000000001</v>
      </c>
      <c r="S4198">
        <v>-2.3468019999999998</v>
      </c>
      <c r="T4198">
        <v>-0.2179661</v>
      </c>
      <c r="U4198">
        <v>-2.0511020000000002</v>
      </c>
      <c r="V4198">
        <v>-0.26213550000000002</v>
      </c>
      <c r="W4198">
        <v>0.127806</v>
      </c>
      <c r="X4198">
        <v>0.95653049999999995</v>
      </c>
      <c r="Y4198">
        <v>-0.4495653</v>
      </c>
      <c r="Z4198">
        <v>1.314569E-3</v>
      </c>
      <c r="AA4198">
        <v>0.89324650000000005</v>
      </c>
      <c r="AB4198">
        <v>27</v>
      </c>
      <c r="AC4198">
        <v>-0.488900000000001</v>
      </c>
      <c r="AD4198">
        <v>-6.9554999999999798E-2</v>
      </c>
      <c r="AE4198">
        <v>-0.58070000000000699</v>
      </c>
      <c r="AF4198">
        <v>-0.43712549530623801</v>
      </c>
      <c r="AG4198">
        <v>-6.9554999999999798E-2</v>
      </c>
      <c r="AH4198">
        <v>0.61286353125856696</v>
      </c>
      <c r="AI4198">
        <v>95.278986390190596</v>
      </c>
      <c r="AJ4198">
        <v>125.49840051616501</v>
      </c>
      <c r="AK4198">
        <v>0.75598829661473199</v>
      </c>
      <c r="AL4198">
        <v>82.657172189393293</v>
      </c>
      <c r="AM4198">
        <v>105.32554111163699</v>
      </c>
      <c r="AN4198">
        <v>0.99999999571324905</v>
      </c>
    </row>
    <row r="4199" spans="1:40" x14ac:dyDescent="0.25">
      <c r="A4199" t="str">
        <f>"20190312164554580"</f>
        <v>20190312164554580</v>
      </c>
      <c r="B4199" t="str">
        <f>"1552380354575984"</f>
        <v>1552380354575984</v>
      </c>
      <c r="C4199" t="s">
        <v>40</v>
      </c>
      <c r="D4199">
        <v>4.250216</v>
      </c>
      <c r="E4199">
        <v>0.42928339999999998</v>
      </c>
      <c r="F4199" t="s">
        <v>41</v>
      </c>
      <c r="G4199">
        <v>-403.78050000000002</v>
      </c>
      <c r="H4199">
        <v>1.0469839999999999</v>
      </c>
      <c r="I4199">
        <v>139.06569999999999</v>
      </c>
      <c r="J4199">
        <v>-403.32229999999998</v>
      </c>
      <c r="K4199">
        <v>1.114606</v>
      </c>
      <c r="L4199">
        <v>139.6302</v>
      </c>
      <c r="M4199">
        <v>-0.96646679999999996</v>
      </c>
      <c r="N4199">
        <v>0</v>
      </c>
      <c r="O4199">
        <v>-0.25641540000000002</v>
      </c>
      <c r="P4199">
        <v>-0.85753690000000005</v>
      </c>
      <c r="Q4199">
        <v>0.1187981</v>
      </c>
      <c r="R4199">
        <v>-0.50051759999999901</v>
      </c>
      <c r="S4199">
        <v>-2.3279420000000002</v>
      </c>
      <c r="T4199">
        <v>-0.21828629999999999</v>
      </c>
      <c r="U4199">
        <v>-2.070786</v>
      </c>
      <c r="V4199">
        <v>-0.2656579</v>
      </c>
      <c r="W4199">
        <v>0.12845719999999999</v>
      </c>
      <c r="X4199">
        <v>0.95547090000000001</v>
      </c>
      <c r="Y4199">
        <v>-0.45034200000000002</v>
      </c>
      <c r="Z4199">
        <v>1.8529709999999999E-3</v>
      </c>
      <c r="AA4199">
        <v>0.89285419999999904</v>
      </c>
      <c r="AB4199">
        <v>27</v>
      </c>
      <c r="AC4199">
        <v>-0.45820000000003303</v>
      </c>
      <c r="AD4199">
        <v>-6.7622000000000002E-2</v>
      </c>
      <c r="AE4199">
        <v>-0.56450000000000899</v>
      </c>
      <c r="AF4199">
        <v>-0.42445058006634701</v>
      </c>
      <c r="AG4199">
        <v>-6.7622000000000002E-2</v>
      </c>
      <c r="AH4199">
        <v>0.58259852468004802</v>
      </c>
      <c r="AI4199">
        <v>95.359391574947907</v>
      </c>
      <c r="AJ4199">
        <v>126.075108322543</v>
      </c>
      <c r="AK4199">
        <v>0.72398347409455899</v>
      </c>
      <c r="AL4199">
        <v>82.619551151958703</v>
      </c>
      <c r="AM4199">
        <v>105.53798963422599</v>
      </c>
      <c r="AN4199">
        <v>1.0000000064055199</v>
      </c>
    </row>
    <row r="4200" spans="1:40" x14ac:dyDescent="0.25">
      <c r="A4200" t="str">
        <f>"20190312164554603"</f>
        <v>20190312164554603</v>
      </c>
      <c r="B4200" t="str">
        <f>"1552380354595508"</f>
        <v>1552380354595508</v>
      </c>
      <c r="C4200" t="s">
        <v>40</v>
      </c>
      <c r="D4200">
        <v>4.2181829999999998</v>
      </c>
      <c r="E4200">
        <v>0.42912549999999999</v>
      </c>
      <c r="F4200" t="s">
        <v>41</v>
      </c>
      <c r="G4200">
        <v>-404.08580000000001</v>
      </c>
      <c r="H4200">
        <v>1.0278700000000001</v>
      </c>
      <c r="I4200">
        <v>138.9682</v>
      </c>
      <c r="J4200">
        <v>-403.58139999999997</v>
      </c>
      <c r="K4200">
        <v>1.114682</v>
      </c>
      <c r="L4200">
        <v>139.55250000000001</v>
      </c>
      <c r="M4200">
        <v>-0.96439629999999998</v>
      </c>
      <c r="N4200">
        <v>0</v>
      </c>
      <c r="O4200">
        <v>-0.26409589999999999</v>
      </c>
      <c r="P4200">
        <v>-0.85171219999999903</v>
      </c>
      <c r="Q4200">
        <v>0.119478</v>
      </c>
      <c r="R4200">
        <v>-0.51020719999999997</v>
      </c>
      <c r="S4200">
        <v>-2.347137</v>
      </c>
      <c r="T4200">
        <v>-0.26665220000000001</v>
      </c>
      <c r="U4200">
        <v>-2.0356900000000002</v>
      </c>
      <c r="V4200">
        <v>-0.26895360000000001</v>
      </c>
      <c r="W4200">
        <v>0.1290364</v>
      </c>
      <c r="X4200">
        <v>0.95447029999999999</v>
      </c>
      <c r="Y4200">
        <v>-0.43180730000000001</v>
      </c>
      <c r="Z4200">
        <v>3.8681050000000002E-3</v>
      </c>
      <c r="AA4200">
        <v>0.90195760000000003</v>
      </c>
      <c r="AB4200">
        <v>27</v>
      </c>
      <c r="AC4200">
        <v>-0.50440000000003204</v>
      </c>
      <c r="AD4200">
        <v>-8.6811999999999806E-2</v>
      </c>
      <c r="AE4200">
        <v>-0.58430000000001303</v>
      </c>
      <c r="AF4200">
        <v>-0.42495330702999801</v>
      </c>
      <c r="AG4200">
        <v>-8.6811999999999806E-2</v>
      </c>
      <c r="AH4200">
        <v>0.63281048725508804</v>
      </c>
      <c r="AI4200">
        <v>96.497319987477795</v>
      </c>
      <c r="AJ4200">
        <v>123.88267507190901</v>
      </c>
      <c r="AK4200">
        <v>0.76718364768792802</v>
      </c>
      <c r="AL4200">
        <v>82.586086826707003</v>
      </c>
      <c r="AM4200">
        <v>105.73693927510701</v>
      </c>
      <c r="AN4200">
        <v>0.99999999253000504</v>
      </c>
    </row>
    <row r="4201" spans="1:40" x14ac:dyDescent="0.25">
      <c r="A4201" t="str">
        <f>"20190312164554618"</f>
        <v>20190312164554618</v>
      </c>
      <c r="B4201" t="str">
        <f>"1552380354606240"</f>
        <v>1552380354606240</v>
      </c>
      <c r="C4201" t="s">
        <v>40</v>
      </c>
      <c r="D4201">
        <v>3.6903779999999999</v>
      </c>
      <c r="E4201">
        <v>0.43006840000000002</v>
      </c>
      <c r="F4201" t="s">
        <v>71</v>
      </c>
      <c r="G4201">
        <v>-413.67090000000002</v>
      </c>
      <c r="H4201" s="1">
        <v>-6.4852799999999998E-6</v>
      </c>
      <c r="I4201">
        <v>130.58510000000001</v>
      </c>
      <c r="J4201">
        <v>-403.755</v>
      </c>
      <c r="K4201">
        <v>1.1147389999999999</v>
      </c>
      <c r="L4201">
        <v>139.4991</v>
      </c>
      <c r="M4201">
        <v>-0.9629508</v>
      </c>
      <c r="N4201">
        <v>0</v>
      </c>
      <c r="O4201">
        <v>-0.26931820000000001</v>
      </c>
      <c r="P4201">
        <v>-0.84804709999999905</v>
      </c>
      <c r="Q4201">
        <v>0.1193828</v>
      </c>
      <c r="R4201">
        <v>-0.51629829999999999</v>
      </c>
      <c r="S4201">
        <v>-2.3220209999999999</v>
      </c>
      <c r="T4201">
        <v>-0.25653799999999999</v>
      </c>
      <c r="U4201">
        <v>-2.0637970000000001</v>
      </c>
      <c r="V4201">
        <v>-0.27063799999999999</v>
      </c>
      <c r="W4201">
        <v>0.12888279999999999</v>
      </c>
      <c r="X4201">
        <v>0.95401480000000005</v>
      </c>
      <c r="Y4201">
        <v>-0.43789260000000002</v>
      </c>
      <c r="Z4201">
        <v>3.8976000000000002E-3</v>
      </c>
      <c r="AA4201">
        <v>0.89901880000000001</v>
      </c>
      <c r="AB4201">
        <v>27</v>
      </c>
      <c r="AC4201">
        <v>-9.9159000000000201</v>
      </c>
      <c r="AD4201">
        <v>-1.1147454852799901</v>
      </c>
      <c r="AE4201">
        <v>-8.9139999999999802</v>
      </c>
      <c r="AF4201">
        <v>-5.8727346043282296</v>
      </c>
      <c r="AG4201">
        <v>-1.1147454852799901</v>
      </c>
      <c r="AH4201">
        <v>11.867432691968601</v>
      </c>
      <c r="AI4201">
        <v>94.812309489457505</v>
      </c>
      <c r="AJ4201">
        <v>116.329032272285</v>
      </c>
      <c r="AK4201">
        <v>13.287875222481301</v>
      </c>
      <c r="AL4201">
        <v>82.594961402845598</v>
      </c>
      <c r="AM4201">
        <v>105.83775006933</v>
      </c>
      <c r="AN4201">
        <v>0.99999997089943904</v>
      </c>
    </row>
    <row r="4202" spans="1:40" x14ac:dyDescent="0.25">
      <c r="A4202" t="str">
        <f>"20190312164554636"</f>
        <v>20190312164554636</v>
      </c>
      <c r="B4202" t="str">
        <f>"1552380354625760"</f>
        <v>1552380354625760</v>
      </c>
      <c r="C4202" t="s">
        <v>40</v>
      </c>
      <c r="D4202">
        <v>4.2298859999999996</v>
      </c>
      <c r="E4202">
        <v>0.43150579999999999</v>
      </c>
      <c r="F4202" t="s">
        <v>41</v>
      </c>
      <c r="G4202">
        <v>-404.4837</v>
      </c>
      <c r="H4202">
        <v>1.041228</v>
      </c>
      <c r="I4202">
        <v>138.84530000000001</v>
      </c>
      <c r="J4202">
        <v>-403.9597</v>
      </c>
      <c r="K4202">
        <v>1.1148039999999999</v>
      </c>
      <c r="L4202">
        <v>139.4348</v>
      </c>
      <c r="M4202">
        <v>-0.96118689999999996</v>
      </c>
      <c r="N4202">
        <v>0</v>
      </c>
      <c r="O4202">
        <v>-0.27554640000000002</v>
      </c>
      <c r="P4202">
        <v>-0.84295710000000001</v>
      </c>
      <c r="Q4202">
        <v>0.11973979999999999</v>
      </c>
      <c r="R4202">
        <v>-0.52448600000000001</v>
      </c>
      <c r="S4202">
        <v>-2.3088380000000002</v>
      </c>
      <c r="T4202">
        <v>-0.2329164</v>
      </c>
      <c r="U4202">
        <v>-2.0720209999999999</v>
      </c>
      <c r="V4202">
        <v>-0.27374359999999998</v>
      </c>
      <c r="W4202">
        <v>0.12914900000000001</v>
      </c>
      <c r="X4202">
        <v>0.9530923</v>
      </c>
      <c r="Y4202">
        <v>-0.43650889999999998</v>
      </c>
      <c r="Z4202">
        <v>4.1005690000000001E-3</v>
      </c>
      <c r="AA4202">
        <v>0.89969059999999901</v>
      </c>
      <c r="AB4202">
        <v>27</v>
      </c>
      <c r="AC4202">
        <v>-0.52400000000000002</v>
      </c>
      <c r="AD4202">
        <v>-7.3576000000000003E-2</v>
      </c>
      <c r="AE4202">
        <v>-0.58949999999998604</v>
      </c>
      <c r="AF4202">
        <v>-0.41863135820783098</v>
      </c>
      <c r="AG4202">
        <v>-7.3576000000000003E-2</v>
      </c>
      <c r="AH4202">
        <v>0.66041417466232</v>
      </c>
      <c r="AI4202">
        <v>95.375508211089297</v>
      </c>
      <c r="AJ4202">
        <v>122.37028929735401</v>
      </c>
      <c r="AK4202">
        <v>0.785374129918885</v>
      </c>
      <c r="AL4202">
        <v>82.579580771669995</v>
      </c>
      <c r="AM4202">
        <v>106.024925907586</v>
      </c>
      <c r="AN4202">
        <v>0.99999997753062397</v>
      </c>
    </row>
    <row r="4203" spans="1:40" x14ac:dyDescent="0.25">
      <c r="A4203" t="str">
        <f>"20190312164554659"</f>
        <v>20190312164554659</v>
      </c>
      <c r="B4203" t="str">
        <f>"1552380354656017"</f>
        <v>1552380354656017</v>
      </c>
      <c r="C4203" t="s">
        <v>40</v>
      </c>
      <c r="D4203">
        <v>4.2480589999999996</v>
      </c>
      <c r="E4203">
        <v>0.43344769999999999</v>
      </c>
      <c r="F4203" t="s">
        <v>41</v>
      </c>
      <c r="G4203">
        <v>-404.68310000000002</v>
      </c>
      <c r="H4203">
        <v>1.0487310000000001</v>
      </c>
      <c r="I4203">
        <v>138.7775</v>
      </c>
      <c r="J4203">
        <v>-404.21800000000002</v>
      </c>
      <c r="K4203">
        <v>1.114884</v>
      </c>
      <c r="L4203">
        <v>139.35130000000001</v>
      </c>
      <c r="M4203">
        <v>-0.95886649999999995</v>
      </c>
      <c r="N4203">
        <v>0</v>
      </c>
      <c r="O4203">
        <v>-0.28351549999999998</v>
      </c>
      <c r="P4203">
        <v>-0.83617619999999904</v>
      </c>
      <c r="Q4203">
        <v>0.12025950000000001</v>
      </c>
      <c r="R4203">
        <v>-0.53511469999999906</v>
      </c>
      <c r="S4203">
        <v>-2.292694</v>
      </c>
      <c r="T4203">
        <v>-0.20940259999999999</v>
      </c>
      <c r="U4203">
        <v>-2.0827640000000001</v>
      </c>
      <c r="V4203">
        <v>-0.27795609999999998</v>
      </c>
      <c r="W4203">
        <v>0.12954849999999901</v>
      </c>
      <c r="X4203">
        <v>0.95181800000000005</v>
      </c>
      <c r="Y4203">
        <v>-0.43459880000000001</v>
      </c>
      <c r="Z4203">
        <v>4.3397380000000001E-3</v>
      </c>
      <c r="AA4203">
        <v>0.90061369999999896</v>
      </c>
      <c r="AB4203">
        <v>27</v>
      </c>
      <c r="AC4203">
        <v>-0.46510000000000601</v>
      </c>
      <c r="AD4203">
        <v>-6.6153000000000101E-2</v>
      </c>
      <c r="AE4203">
        <v>-0.57380000000000497</v>
      </c>
      <c r="AF4203">
        <v>-0.41504585160931901</v>
      </c>
      <c r="AG4203">
        <v>-6.6153000000000101E-2</v>
      </c>
      <c r="AH4203">
        <v>0.60386517370313497</v>
      </c>
      <c r="AI4203">
        <v>95.158734037546694</v>
      </c>
      <c r="AJ4203">
        <v>124.50134141673</v>
      </c>
      <c r="AK4203">
        <v>0.73572578204017203</v>
      </c>
      <c r="AL4203">
        <v>82.556497026347898</v>
      </c>
      <c r="AM4203">
        <v>106.279204588879</v>
      </c>
      <c r="AN4203">
        <v>0.99999995625172899</v>
      </c>
    </row>
    <row r="4204" spans="1:40" x14ac:dyDescent="0.25">
      <c r="A4204" t="str">
        <f>"20190312164554681"</f>
        <v>20190312164554681</v>
      </c>
      <c r="B4204" t="str">
        <f>"1552380354675540"</f>
        <v>1552380354675540</v>
      </c>
      <c r="C4204" t="s">
        <v>40</v>
      </c>
      <c r="D4204">
        <v>4.3211380000000004</v>
      </c>
      <c r="E4204">
        <v>0.43421100000000001</v>
      </c>
      <c r="F4204" t="s">
        <v>41</v>
      </c>
      <c r="G4204">
        <v>-404.94450000000001</v>
      </c>
      <c r="H4204">
        <v>1.0526960000000001</v>
      </c>
      <c r="I4204">
        <v>138.68100000000001</v>
      </c>
      <c r="J4204">
        <v>-404.46550000000002</v>
      </c>
      <c r="K4204">
        <v>1.1149579999999999</v>
      </c>
      <c r="L4204">
        <v>139.26900000000001</v>
      </c>
      <c r="M4204">
        <v>-0.95654490000000003</v>
      </c>
      <c r="N4204">
        <v>0</v>
      </c>
      <c r="O4204">
        <v>-0.29125139999999999</v>
      </c>
      <c r="P4204">
        <v>-0.83035949999999903</v>
      </c>
      <c r="Q4204">
        <v>0.12084549999999999</v>
      </c>
      <c r="R4204">
        <v>-0.54396650000000002</v>
      </c>
      <c r="S4204">
        <v>-2.2731629999999998</v>
      </c>
      <c r="T4204">
        <v>-0.1945839</v>
      </c>
      <c r="U4204">
        <v>-2.0979160000000001</v>
      </c>
      <c r="V4204">
        <v>-0.28043679999999999</v>
      </c>
      <c r="W4204">
        <v>0.13005249999999999</v>
      </c>
      <c r="X4204">
        <v>0.95102129999999996</v>
      </c>
      <c r="Y4204">
        <v>-0.4344729</v>
      </c>
      <c r="Z4204">
        <v>4.5626310000000002E-3</v>
      </c>
      <c r="AA4204">
        <v>0.90067339999999996</v>
      </c>
      <c r="AB4204">
        <v>27</v>
      </c>
      <c r="AC4204">
        <v>-0.47899999999998399</v>
      </c>
      <c r="AD4204">
        <v>-6.2261999999999998E-2</v>
      </c>
      <c r="AE4204">
        <v>-0.58799999999999297</v>
      </c>
      <c r="AF4204">
        <v>-0.42014845081521301</v>
      </c>
      <c r="AG4204">
        <v>-6.2261999999999998E-2</v>
      </c>
      <c r="AH4204">
        <v>0.62528781186167304</v>
      </c>
      <c r="AI4204">
        <v>94.724688248723197</v>
      </c>
      <c r="AJ4204">
        <v>123.89826264027499</v>
      </c>
      <c r="AK4204">
        <v>0.75590086984285298</v>
      </c>
      <c r="AL4204">
        <v>82.527373767004804</v>
      </c>
      <c r="AM4204">
        <v>106.42971395705899</v>
      </c>
      <c r="AN4204">
        <v>0.99999998230208897</v>
      </c>
    </row>
    <row r="4205" spans="1:40" x14ac:dyDescent="0.25">
      <c r="A4205" t="str">
        <f>"20190312164554703"</f>
        <v>20190312164554703</v>
      </c>
      <c r="B4205" t="str">
        <f>"1552380354696032"</f>
        <v>1552380354696032</v>
      </c>
      <c r="C4205" t="s">
        <v>40</v>
      </c>
      <c r="D4205">
        <v>4.3049269999999904</v>
      </c>
      <c r="E4205">
        <v>0.43411880000000003</v>
      </c>
      <c r="F4205" t="s">
        <v>41</v>
      </c>
      <c r="G4205">
        <v>-405.19459999999998</v>
      </c>
      <c r="H4205">
        <v>1.05159</v>
      </c>
      <c r="I4205">
        <v>138.58430000000001</v>
      </c>
      <c r="J4205">
        <v>-404.71949999999998</v>
      </c>
      <c r="K4205">
        <v>1.1150230000000001</v>
      </c>
      <c r="L4205">
        <v>139.18219999999999</v>
      </c>
      <c r="M4205">
        <v>-0.95406199999999997</v>
      </c>
      <c r="N4205">
        <v>0</v>
      </c>
      <c r="O4205">
        <v>-0.29928369999999999</v>
      </c>
      <c r="P4205">
        <v>-0.82427329999999999</v>
      </c>
      <c r="Q4205">
        <v>0.1209828</v>
      </c>
      <c r="R4205">
        <v>-0.55311540000000003</v>
      </c>
      <c r="S4205">
        <v>-2.2545169999999999</v>
      </c>
      <c r="T4205">
        <v>-0.19595109999999999</v>
      </c>
      <c r="U4205">
        <v>-2.1170650000000002</v>
      </c>
      <c r="V4205">
        <v>-0.28298800000000002</v>
      </c>
      <c r="W4205">
        <v>0.13011210000000001</v>
      </c>
      <c r="X4205">
        <v>0.95025709999999997</v>
      </c>
      <c r="Y4205">
        <v>-0.4346912</v>
      </c>
      <c r="Z4205">
        <v>5.1321589999999999E-3</v>
      </c>
      <c r="AA4205">
        <v>0.900564899999999</v>
      </c>
      <c r="AB4205">
        <v>27</v>
      </c>
      <c r="AC4205">
        <v>-0.47509999999999702</v>
      </c>
      <c r="AD4205">
        <v>-6.3432999999999795E-2</v>
      </c>
      <c r="AE4205">
        <v>-0.597899999999981</v>
      </c>
      <c r="AF4205">
        <v>-0.42535108053084503</v>
      </c>
      <c r="AG4205">
        <v>-6.3432999999999795E-2</v>
      </c>
      <c r="AH4205">
        <v>0.62794578722997296</v>
      </c>
      <c r="AI4205">
        <v>94.780837599304505</v>
      </c>
      <c r="AJ4205">
        <v>124.112499710134</v>
      </c>
      <c r="AK4205">
        <v>0.76109342323897899</v>
      </c>
      <c r="AL4205">
        <v>82.523929517602099</v>
      </c>
      <c r="AM4205">
        <v>106.583610978305</v>
      </c>
      <c r="AN4205">
        <v>0.99999996140540903</v>
      </c>
    </row>
    <row r="4206" spans="1:40" x14ac:dyDescent="0.25">
      <c r="A4206" t="str">
        <f>"20190312164554725"</f>
        <v>20190312164554725</v>
      </c>
      <c r="B4206" t="str">
        <f>"1552380354715553"</f>
        <v>1552380354715553</v>
      </c>
      <c r="C4206" t="s">
        <v>40</v>
      </c>
      <c r="D4206">
        <v>4.2564109999999999</v>
      </c>
      <c r="E4206">
        <v>0.4330212</v>
      </c>
      <c r="F4206" t="s">
        <v>71</v>
      </c>
      <c r="G4206">
        <v>-416.86849999999998</v>
      </c>
      <c r="H4206" s="1">
        <v>-4.8345430000000002E-6</v>
      </c>
      <c r="I4206">
        <v>127.51519999999999</v>
      </c>
      <c r="J4206">
        <v>-404.9631</v>
      </c>
      <c r="K4206">
        <v>1.1150629999999999</v>
      </c>
      <c r="L4206">
        <v>139.0966</v>
      </c>
      <c r="M4206">
        <v>-0.95158640000000005</v>
      </c>
      <c r="N4206">
        <v>0</v>
      </c>
      <c r="O4206">
        <v>-0.30706369999999999</v>
      </c>
      <c r="P4206">
        <v>-0.81834790000000002</v>
      </c>
      <c r="Q4206">
        <v>0.12057759999999999</v>
      </c>
      <c r="R4206">
        <v>-0.56193280000000001</v>
      </c>
      <c r="S4206">
        <v>-2.231598</v>
      </c>
      <c r="T4206">
        <v>-0.20481479999999999</v>
      </c>
      <c r="U4206">
        <v>-2.1430509999999998</v>
      </c>
      <c r="V4206">
        <v>-0.28542400000000001</v>
      </c>
      <c r="W4206">
        <v>0.1296407</v>
      </c>
      <c r="X4206">
        <v>0.94959280000000001</v>
      </c>
      <c r="Y4206">
        <v>-0.43740129999999999</v>
      </c>
      <c r="Z4206">
        <v>5.8137629999999996E-3</v>
      </c>
      <c r="AA4206">
        <v>0.89924760000000004</v>
      </c>
      <c r="AB4206">
        <v>27</v>
      </c>
      <c r="AC4206">
        <v>-11.905399999999901</v>
      </c>
      <c r="AD4206">
        <v>-1.1150678345429901</v>
      </c>
      <c r="AE4206">
        <v>-11.5814</v>
      </c>
      <c r="AF4206">
        <v>-7.33265611654718</v>
      </c>
      <c r="AG4206">
        <v>-1.1150678345429901</v>
      </c>
      <c r="AH4206">
        <v>14.8199017755251</v>
      </c>
      <c r="AI4206">
        <v>93.858066459751498</v>
      </c>
      <c r="AJ4206">
        <v>116.32548700411699</v>
      </c>
      <c r="AK4206">
        <v>16.572287429180701</v>
      </c>
      <c r="AL4206">
        <v>82.551169967971205</v>
      </c>
      <c r="AM4206">
        <v>106.729472262852</v>
      </c>
      <c r="AN4206">
        <v>1.00000002834216</v>
      </c>
    </row>
    <row r="4207" spans="1:40" x14ac:dyDescent="0.25">
      <c r="A4207" t="str">
        <f>"20190312164554747"</f>
        <v>20190312164554747</v>
      </c>
      <c r="B4207" t="str">
        <f>"1552380354736049"</f>
        <v>1552380354736049</v>
      </c>
      <c r="C4207" t="s">
        <v>40</v>
      </c>
      <c r="D4207">
        <v>4.3158890000000003</v>
      </c>
      <c r="E4207">
        <v>0.431728</v>
      </c>
      <c r="F4207" t="s">
        <v>71</v>
      </c>
      <c r="G4207">
        <v>-417.1028</v>
      </c>
      <c r="H4207" s="1">
        <v>-4.6186540000000004E-6</v>
      </c>
      <c r="I4207">
        <v>127.1182</v>
      </c>
      <c r="J4207">
        <v>-405.21319999999997</v>
      </c>
      <c r="K4207">
        <v>1.1150899999999999</v>
      </c>
      <c r="L4207">
        <v>139.00630000000001</v>
      </c>
      <c r="M4207">
        <v>-0.94894970000000001</v>
      </c>
      <c r="N4207">
        <v>0</v>
      </c>
      <c r="O4207">
        <v>-0.31511719999999999</v>
      </c>
      <c r="P4207">
        <v>-0.81201429999999997</v>
      </c>
      <c r="Q4207">
        <v>0.11930399999999999</v>
      </c>
      <c r="R4207">
        <v>-0.57131390000000004</v>
      </c>
      <c r="S4207">
        <v>-2.2030639999999999</v>
      </c>
      <c r="T4207">
        <v>-0.2023585</v>
      </c>
      <c r="U4207">
        <v>-2.1737820000000001</v>
      </c>
      <c r="V4207">
        <v>-0.2882419</v>
      </c>
      <c r="W4207">
        <v>0.1282992</v>
      </c>
      <c r="X4207">
        <v>0.94892359999999998</v>
      </c>
      <c r="Y4207">
        <v>-0.44197039999999999</v>
      </c>
      <c r="Z4207">
        <v>6.1419049999999996E-3</v>
      </c>
      <c r="AA4207">
        <v>0.89700859999999905</v>
      </c>
      <c r="AB4207">
        <v>27</v>
      </c>
      <c r="AC4207">
        <v>-11.8896</v>
      </c>
      <c r="AD4207">
        <v>-1.1150946186539901</v>
      </c>
      <c r="AE4207">
        <v>-11.8881</v>
      </c>
      <c r="AF4207">
        <v>-7.5023288344832597</v>
      </c>
      <c r="AG4207">
        <v>-1.1150946186539901</v>
      </c>
      <c r="AH4207">
        <v>14.964424887511599</v>
      </c>
      <c r="AI4207">
        <v>93.811048343316699</v>
      </c>
      <c r="AJ4207">
        <v>116.62663533695</v>
      </c>
      <c r="AK4207">
        <v>16.776840768250899</v>
      </c>
      <c r="AL4207">
        <v>82.628679654093702</v>
      </c>
      <c r="AM4207">
        <v>106.896510111149</v>
      </c>
      <c r="AN4207">
        <v>1.0000000381366001</v>
      </c>
    </row>
    <row r="4208" spans="1:40" x14ac:dyDescent="0.25">
      <c r="A4208" t="str">
        <f>"20190312164554771"</f>
        <v>20190312164554771</v>
      </c>
      <c r="B4208" t="str">
        <f>"1552380354765329"</f>
        <v>1552380354765329</v>
      </c>
      <c r="C4208" t="s">
        <v>40</v>
      </c>
      <c r="D4208">
        <v>4.2395769999999997</v>
      </c>
      <c r="E4208">
        <v>0.42985059999999897</v>
      </c>
      <c r="F4208" t="s">
        <v>71</v>
      </c>
      <c r="G4208">
        <v>-416.7747</v>
      </c>
      <c r="H4208" s="1">
        <v>-4.7084240000000003E-6</v>
      </c>
      <c r="I4208">
        <v>127.25700000000001</v>
      </c>
      <c r="J4208">
        <v>-405.46429999999998</v>
      </c>
      <c r="K4208">
        <v>1.115105</v>
      </c>
      <c r="L4208">
        <v>138.91299999999899</v>
      </c>
      <c r="M4208">
        <v>-0.9462064</v>
      </c>
      <c r="N4208">
        <v>0</v>
      </c>
      <c r="O4208">
        <v>-0.32326110000000002</v>
      </c>
      <c r="P4208">
        <v>-0.80601969999999901</v>
      </c>
      <c r="Q4208">
        <v>0.1180262</v>
      </c>
      <c r="R4208">
        <v>-0.58000180000000001</v>
      </c>
      <c r="S4208">
        <v>-2.17218</v>
      </c>
      <c r="T4208">
        <v>-0.20950530000000001</v>
      </c>
      <c r="U4208">
        <v>-2.2074579999999999</v>
      </c>
      <c r="V4208">
        <v>-0.29020980000000002</v>
      </c>
      <c r="W4208">
        <v>0.126974</v>
      </c>
      <c r="X4208">
        <v>0.94850190000000001</v>
      </c>
      <c r="Y4208">
        <v>-0.44746429999999998</v>
      </c>
      <c r="Z4208">
        <v>6.7408140000000004E-3</v>
      </c>
      <c r="AA4208">
        <v>0.89427639999999997</v>
      </c>
      <c r="AB4208">
        <v>27</v>
      </c>
      <c r="AC4208">
        <v>-11.3104</v>
      </c>
      <c r="AD4208">
        <v>-1.115109708424</v>
      </c>
      <c r="AE4208">
        <v>-11.655999999999899</v>
      </c>
      <c r="AF4208">
        <v>-7.3388961468435001</v>
      </c>
      <c r="AG4208">
        <v>-1.115109708424</v>
      </c>
      <c r="AH4208">
        <v>14.4034240063457</v>
      </c>
      <c r="AI4208">
        <v>93.946100208386795</v>
      </c>
      <c r="AJ4208">
        <v>116.999952805333</v>
      </c>
      <c r="AK4208">
        <v>16.203749239683699</v>
      </c>
      <c r="AL4208">
        <v>82.705233806593498</v>
      </c>
      <c r="AM4208">
        <v>107.012355257018</v>
      </c>
      <c r="AN4208">
        <v>0.99999998949782498</v>
      </c>
    </row>
    <row r="4209" spans="1:40" x14ac:dyDescent="0.25">
      <c r="A4209" t="str">
        <f>"20190312164554792"</f>
        <v>20190312164554792</v>
      </c>
      <c r="B4209" t="str">
        <f>"1552380354785825"</f>
        <v>1552380354785825</v>
      </c>
      <c r="C4209" t="s">
        <v>40</v>
      </c>
      <c r="D4209">
        <v>4.5787559999999896</v>
      </c>
      <c r="E4209">
        <v>0.4288901</v>
      </c>
      <c r="F4209" t="s">
        <v>41</v>
      </c>
      <c r="G4209">
        <v>-406.19119999999998</v>
      </c>
      <c r="H4209">
        <v>1.03921</v>
      </c>
      <c r="I4209">
        <v>138.15110000000001</v>
      </c>
      <c r="J4209">
        <v>-405.71460000000002</v>
      </c>
      <c r="K4209">
        <v>1.1151260000000001</v>
      </c>
      <c r="L4209">
        <v>138.8175</v>
      </c>
      <c r="M4209">
        <v>-0.94337819999999994</v>
      </c>
      <c r="N4209">
        <v>0</v>
      </c>
      <c r="O4209">
        <v>-0.331424</v>
      </c>
      <c r="P4209">
        <v>-0.79984960000000005</v>
      </c>
      <c r="Q4209">
        <v>0.1167127</v>
      </c>
      <c r="R4209">
        <v>-0.58874389999999999</v>
      </c>
      <c r="S4209">
        <v>-2.1400450000000002</v>
      </c>
      <c r="T4209">
        <v>-0.2234507</v>
      </c>
      <c r="U4209">
        <v>-2.2439269999999998</v>
      </c>
      <c r="V4209">
        <v>-0.2922691</v>
      </c>
      <c r="W4209">
        <v>0.12561510000000001</v>
      </c>
      <c r="X4209">
        <v>0.94805039999999996</v>
      </c>
      <c r="Y4209">
        <v>-0.45367499999999999</v>
      </c>
      <c r="Z4209">
        <v>7.5654650000000004E-3</v>
      </c>
      <c r="AA4209">
        <v>0.89113509999999996</v>
      </c>
      <c r="AB4209">
        <v>27</v>
      </c>
      <c r="AC4209">
        <v>-0.476599999999962</v>
      </c>
      <c r="AD4209">
        <v>-7.5916000000000095E-2</v>
      </c>
      <c r="AE4209">
        <v>-0.66639999999998101</v>
      </c>
      <c r="AF4209">
        <v>-0.46674911134215602</v>
      </c>
      <c r="AG4209">
        <v>-7.5916000000000095E-2</v>
      </c>
      <c r="AH4209">
        <v>0.66483236768520804</v>
      </c>
      <c r="AI4209">
        <v>95.339141993378206</v>
      </c>
      <c r="AJ4209">
        <v>125.070978862028</v>
      </c>
      <c r="AK4209">
        <v>0.815855409442514</v>
      </c>
      <c r="AL4209">
        <v>82.783721379061703</v>
      </c>
      <c r="AM4209">
        <v>107.13371150864999</v>
      </c>
      <c r="AN4209">
        <v>0.99999997055148904</v>
      </c>
    </row>
    <row r="4210" spans="1:40" x14ac:dyDescent="0.25">
      <c r="A4210" t="str">
        <f>"20190312164554815"</f>
        <v>20190312164554815</v>
      </c>
      <c r="B4210" t="str">
        <f>"1552380354805345"</f>
        <v>1552380354805345</v>
      </c>
      <c r="C4210" t="s">
        <v>40</v>
      </c>
      <c r="D4210">
        <v>4.1672279999999997</v>
      </c>
      <c r="E4210">
        <v>0.4280679</v>
      </c>
      <c r="F4210" t="s">
        <v>41</v>
      </c>
      <c r="G4210">
        <v>-406.41050000000001</v>
      </c>
      <c r="H4210">
        <v>1.041104</v>
      </c>
      <c r="I4210">
        <v>138.06790000000001</v>
      </c>
      <c r="J4210">
        <v>-405.95319999999998</v>
      </c>
      <c r="K4210">
        <v>1.1151500000000001</v>
      </c>
      <c r="L4210">
        <v>138.72409999999999</v>
      </c>
      <c r="M4210">
        <v>-0.94059780000000004</v>
      </c>
      <c r="N4210">
        <v>0</v>
      </c>
      <c r="O4210">
        <v>-0.33923389999999998</v>
      </c>
      <c r="P4210">
        <v>-0.79414180000000001</v>
      </c>
      <c r="Q4210">
        <v>0.11612980000000001</v>
      </c>
      <c r="R4210">
        <v>-0.59653409999999996</v>
      </c>
      <c r="S4210">
        <v>-2.1102910000000001</v>
      </c>
      <c r="T4210">
        <v>-0.2244604</v>
      </c>
      <c r="U4210">
        <v>-2.2731479999999999</v>
      </c>
      <c r="V4210">
        <v>-0.2936452</v>
      </c>
      <c r="W4210">
        <v>0.1250019</v>
      </c>
      <c r="X4210">
        <v>0.94770620000000005</v>
      </c>
      <c r="Y4210">
        <v>-0.45826499999999998</v>
      </c>
      <c r="Z4210">
        <v>8.0244970000000002E-3</v>
      </c>
      <c r="AA4210">
        <v>0.8887794</v>
      </c>
      <c r="AB4210">
        <v>27</v>
      </c>
      <c r="AC4210">
        <v>-0.45730000000003201</v>
      </c>
      <c r="AD4210">
        <v>-7.4046000000000001E-2</v>
      </c>
      <c r="AE4210">
        <v>-0.65619999999998402</v>
      </c>
      <c r="AF4210">
        <v>-0.45820682221439901</v>
      </c>
      <c r="AG4210">
        <v>-7.4046000000000001E-2</v>
      </c>
      <c r="AH4210">
        <v>0.64725728822379902</v>
      </c>
      <c r="AI4210">
        <v>95.334302685657093</v>
      </c>
      <c r="AJ4210">
        <v>125.29546655429</v>
      </c>
      <c r="AK4210">
        <v>0.796478687221852</v>
      </c>
      <c r="AL4210">
        <v>82.819134568170298</v>
      </c>
      <c r="AM4210">
        <v>107.215508611563</v>
      </c>
      <c r="AN4210">
        <v>1.0000000100025399</v>
      </c>
    </row>
    <row r="4211" spans="1:40" x14ac:dyDescent="0.25">
      <c r="A4211" t="str">
        <f>"20190312164554837"</f>
        <v>20190312164554837</v>
      </c>
      <c r="B4211" t="str">
        <f>"1552380354825842"</f>
        <v>1552380354825842</v>
      </c>
      <c r="C4211" t="s">
        <v>40</v>
      </c>
      <c r="D4211">
        <v>4.2400710000000004</v>
      </c>
      <c r="E4211">
        <v>0.42736200000000002</v>
      </c>
      <c r="F4211" t="s">
        <v>41</v>
      </c>
      <c r="G4211">
        <v>-406.62740000000002</v>
      </c>
      <c r="H4211">
        <v>1.042816</v>
      </c>
      <c r="I4211">
        <v>137.9803</v>
      </c>
      <c r="J4211">
        <v>-406.20139999999998</v>
      </c>
      <c r="K4211">
        <v>1.115151</v>
      </c>
      <c r="L4211">
        <v>138.62440000000001</v>
      </c>
      <c r="M4211">
        <v>-0.93761519999999998</v>
      </c>
      <c r="N4211">
        <v>0</v>
      </c>
      <c r="O4211">
        <v>-0.34739309999999901</v>
      </c>
      <c r="P4211">
        <v>-0.78837979999999996</v>
      </c>
      <c r="Q4211">
        <v>0.11540010000000001</v>
      </c>
      <c r="R4211">
        <v>-0.60426869999999999</v>
      </c>
      <c r="S4211">
        <v>-2.083466</v>
      </c>
      <c r="T4211">
        <v>-0.2235134</v>
      </c>
      <c r="U4211">
        <v>-2.2989039999999998</v>
      </c>
      <c r="V4211">
        <v>-0.29463289999999998</v>
      </c>
      <c r="W4211">
        <v>0.1242511</v>
      </c>
      <c r="X4211">
        <v>0.94749839999999996</v>
      </c>
      <c r="Y4211">
        <v>-0.46120640000000002</v>
      </c>
      <c r="Z4211">
        <v>8.5092669999999992E-3</v>
      </c>
      <c r="AA4211">
        <v>0.88725209999999999</v>
      </c>
      <c r="AB4211">
        <v>27</v>
      </c>
      <c r="AC4211">
        <v>-0.42600000000004401</v>
      </c>
      <c r="AD4211">
        <v>-7.2334999999999997E-2</v>
      </c>
      <c r="AE4211">
        <v>-0.644100000000008</v>
      </c>
      <c r="AF4211">
        <v>-0.452007170175246</v>
      </c>
      <c r="AG4211">
        <v>-7.2334999999999997E-2</v>
      </c>
      <c r="AH4211">
        <v>0.61782016590789401</v>
      </c>
      <c r="AI4211">
        <v>95.397966449927793</v>
      </c>
      <c r="AJ4211">
        <v>126.18980263385301</v>
      </c>
      <c r="AK4211">
        <v>0.76892430805463097</v>
      </c>
      <c r="AL4211">
        <v>82.862490538419706</v>
      </c>
      <c r="AM4211">
        <v>107.273537760438</v>
      </c>
      <c r="AN4211">
        <v>1.0000000498080801</v>
      </c>
    </row>
    <row r="4212" spans="1:40" x14ac:dyDescent="0.25">
      <c r="A4212" t="str">
        <f>"20190312164554860"</f>
        <v>20190312164554860</v>
      </c>
      <c r="B4212" t="str">
        <f>"1552380354856097"</f>
        <v>1552380354856097</v>
      </c>
      <c r="C4212" t="s">
        <v>40</v>
      </c>
      <c r="D4212">
        <v>4.2467829999999998</v>
      </c>
      <c r="E4212">
        <v>0.42715730000000002</v>
      </c>
      <c r="F4212" t="s">
        <v>41</v>
      </c>
      <c r="G4212">
        <v>-406.84640000000002</v>
      </c>
      <c r="H4212">
        <v>1.0435179999999999</v>
      </c>
      <c r="I4212">
        <v>137.89599999999999</v>
      </c>
      <c r="J4212">
        <v>-406.44850000000002</v>
      </c>
      <c r="K4212">
        <v>1.115157</v>
      </c>
      <c r="L4212">
        <v>138.52269999999999</v>
      </c>
      <c r="M4212">
        <v>-0.9345523</v>
      </c>
      <c r="N4212">
        <v>0</v>
      </c>
      <c r="O4212">
        <v>-0.35554989999999997</v>
      </c>
      <c r="P4212">
        <v>-0.78290749999999998</v>
      </c>
      <c r="Q4212">
        <v>0.1141884</v>
      </c>
      <c r="R4212">
        <v>-0.61156960000000005</v>
      </c>
      <c r="S4212">
        <v>-2.0574650000000001</v>
      </c>
      <c r="T4212">
        <v>-0.2284892</v>
      </c>
      <c r="U4212">
        <v>-2.323944</v>
      </c>
      <c r="V4212">
        <v>-0.29510560000000002</v>
      </c>
      <c r="W4212">
        <v>0.123029399999999</v>
      </c>
      <c r="X4212">
        <v>0.94751070000000004</v>
      </c>
      <c r="Y4212">
        <v>-0.46378609999999998</v>
      </c>
      <c r="Z4212">
        <v>9.243177E-3</v>
      </c>
      <c r="AA4212">
        <v>0.88589889999999905</v>
      </c>
      <c r="AB4212">
        <v>27</v>
      </c>
      <c r="AC4212">
        <v>-0.39789999999999198</v>
      </c>
      <c r="AD4212">
        <v>-7.1638999999999994E-2</v>
      </c>
      <c r="AE4212">
        <v>-0.62669999999997095</v>
      </c>
      <c r="AF4212">
        <v>-0.44015508450975299</v>
      </c>
      <c r="AG4212">
        <v>-7.1638999999999994E-2</v>
      </c>
      <c r="AH4212">
        <v>0.58925218284757996</v>
      </c>
      <c r="AI4212">
        <v>95.563190417166297</v>
      </c>
      <c r="AJ4212">
        <v>126.758714199805</v>
      </c>
      <c r="AK4212">
        <v>0.73897684654624096</v>
      </c>
      <c r="AL4212">
        <v>82.933029947985403</v>
      </c>
      <c r="AM4212">
        <v>107.29938706256</v>
      </c>
      <c r="AN4212">
        <v>1.0000000375150999</v>
      </c>
    </row>
    <row r="4213" spans="1:40" x14ac:dyDescent="0.25">
      <c r="A4213" t="str">
        <f>"20190312164554882"</f>
        <v>20190312164554882</v>
      </c>
      <c r="B4213" t="str">
        <f>"1552380354875620"</f>
        <v>1552380354875620</v>
      </c>
      <c r="C4213" t="s">
        <v>40</v>
      </c>
      <c r="D4213">
        <v>4.2571870000000001</v>
      </c>
      <c r="E4213">
        <v>0.42695670000000002</v>
      </c>
      <c r="F4213" t="s">
        <v>41</v>
      </c>
      <c r="G4213">
        <v>-407.06560000000002</v>
      </c>
      <c r="H4213">
        <v>1.047418</v>
      </c>
      <c r="I4213">
        <v>137.81139999999999</v>
      </c>
      <c r="J4213">
        <v>-406.6968</v>
      </c>
      <c r="K4213">
        <v>1.11517</v>
      </c>
      <c r="L4213">
        <v>138.41800000000001</v>
      </c>
      <c r="M4213">
        <v>-0.93137970000000003</v>
      </c>
      <c r="N4213">
        <v>0</v>
      </c>
      <c r="O4213">
        <v>-0.36377969999999998</v>
      </c>
      <c r="P4213">
        <v>-0.77699830000000003</v>
      </c>
      <c r="Q4213">
        <v>0.1133565</v>
      </c>
      <c r="R4213">
        <v>-0.61921300000000001</v>
      </c>
      <c r="S4213">
        <v>-2.033417</v>
      </c>
      <c r="T4213">
        <v>-0.22323319999999999</v>
      </c>
      <c r="U4213">
        <v>-2.343979</v>
      </c>
      <c r="V4213">
        <v>-0.29598219999999997</v>
      </c>
      <c r="W4213">
        <v>0.1221766</v>
      </c>
      <c r="X4213">
        <v>0.94734759999999996</v>
      </c>
      <c r="Y4213">
        <v>-0.46493190000000001</v>
      </c>
      <c r="Z4213">
        <v>9.6347519999999999E-3</v>
      </c>
      <c r="AA4213">
        <v>0.88529400000000003</v>
      </c>
      <c r="AB4213">
        <v>27</v>
      </c>
      <c r="AC4213">
        <v>-0.368800000000021</v>
      </c>
      <c r="AD4213">
        <v>-6.7752000000000007E-2</v>
      </c>
      <c r="AE4213">
        <v>-0.60660000000001402</v>
      </c>
      <c r="AF4213">
        <v>-0.42696633484270202</v>
      </c>
      <c r="AG4213">
        <v>-6.7752000000000007E-2</v>
      </c>
      <c r="AH4213">
        <v>0.55912431990850298</v>
      </c>
      <c r="AI4213">
        <v>95.500976948131196</v>
      </c>
      <c r="AJ4213">
        <v>127.36658347713301</v>
      </c>
      <c r="AK4213">
        <v>0.70676063112354803</v>
      </c>
      <c r="AL4213">
        <v>82.982263159674005</v>
      </c>
      <c r="AM4213">
        <v>107.350502339057</v>
      </c>
      <c r="AN4213">
        <v>1.00000002976507</v>
      </c>
    </row>
    <row r="4214" spans="1:40" x14ac:dyDescent="0.25">
      <c r="A4214" t="str">
        <f>"20190312164554903"</f>
        <v>20190312164554903</v>
      </c>
      <c r="B4214" t="str">
        <f>"1552380354896113"</f>
        <v>1552380354896113</v>
      </c>
      <c r="C4214" t="s">
        <v>40</v>
      </c>
      <c r="D4214">
        <v>4.1819050000000004</v>
      </c>
      <c r="E4214">
        <v>0.42681659999999999</v>
      </c>
      <c r="F4214" t="s">
        <v>41</v>
      </c>
      <c r="G4214">
        <v>-407.28489999999999</v>
      </c>
      <c r="H4214">
        <v>1.048611</v>
      </c>
      <c r="I4214">
        <v>137.72569999999999</v>
      </c>
      <c r="J4214">
        <v>-406.92750000000001</v>
      </c>
      <c r="K4214">
        <v>1.1151850000000001</v>
      </c>
      <c r="L4214">
        <v>138.31819999999999</v>
      </c>
      <c r="M4214">
        <v>-0.92834079999999997</v>
      </c>
      <c r="N4214">
        <v>0</v>
      </c>
      <c r="O4214">
        <v>-0.37146570000000001</v>
      </c>
      <c r="P4214">
        <v>-0.77157259999999905</v>
      </c>
      <c r="Q4214">
        <v>0.11257010000000001</v>
      </c>
      <c r="R4214">
        <v>-0.62610209999999999</v>
      </c>
      <c r="S4214">
        <v>-2.0091860000000001</v>
      </c>
      <c r="T4214">
        <v>-0.2274098</v>
      </c>
      <c r="U4214">
        <v>-2.3653559999999998</v>
      </c>
      <c r="V4214">
        <v>-0.29653249999999998</v>
      </c>
      <c r="W4214">
        <v>0.12137340000000001</v>
      </c>
      <c r="X4214">
        <v>0.94727870000000003</v>
      </c>
      <c r="Y4214">
        <v>-0.46683279999999999</v>
      </c>
      <c r="Z4214">
        <v>1.035289E-2</v>
      </c>
      <c r="AA4214">
        <v>0.88428499999999999</v>
      </c>
      <c r="AB4214">
        <v>27</v>
      </c>
      <c r="AC4214">
        <v>-0.35739999999998401</v>
      </c>
      <c r="AD4214">
        <v>-6.6574000000000105E-2</v>
      </c>
      <c r="AE4214">
        <v>-0.59250000000000103</v>
      </c>
      <c r="AF4214">
        <v>-0.41349345828466999</v>
      </c>
      <c r="AG4214">
        <v>-6.6574000000000105E-2</v>
      </c>
      <c r="AH4214">
        <v>0.54687435034486298</v>
      </c>
      <c r="AI4214">
        <v>95.546213086051594</v>
      </c>
      <c r="AJ4214">
        <v>127.093043666645</v>
      </c>
      <c r="AK4214">
        <v>0.68882544420581004</v>
      </c>
      <c r="AL4214">
        <v>83.028627846485904</v>
      </c>
      <c r="AM4214">
        <v>107.382007730777</v>
      </c>
      <c r="AN4214">
        <v>0.99999998062874895</v>
      </c>
    </row>
    <row r="4215" spans="1:40" x14ac:dyDescent="0.25">
      <c r="A4215" t="str">
        <f>"20190312164554926"</f>
        <v>20190312164554926</v>
      </c>
      <c r="B4215" t="str">
        <f>"1552380354915633"</f>
        <v>1552380354915633</v>
      </c>
      <c r="C4215" t="s">
        <v>40</v>
      </c>
      <c r="D4215">
        <v>4.3790500000000003</v>
      </c>
      <c r="E4215">
        <v>0.42690270000000002</v>
      </c>
      <c r="F4215" t="s">
        <v>41</v>
      </c>
      <c r="G4215">
        <v>-407.50049999999999</v>
      </c>
      <c r="H4215">
        <v>1.0485329999999999</v>
      </c>
      <c r="I4215">
        <v>137.631</v>
      </c>
      <c r="J4215">
        <v>-407.16520000000003</v>
      </c>
      <c r="K4215">
        <v>1.1152029999999999</v>
      </c>
      <c r="L4215">
        <v>138.2131</v>
      </c>
      <c r="M4215">
        <v>-0.9251142</v>
      </c>
      <c r="N4215">
        <v>0</v>
      </c>
      <c r="O4215">
        <v>-0.37942999999999999</v>
      </c>
      <c r="P4215">
        <v>-0.76595590000000002</v>
      </c>
      <c r="Q4215">
        <v>0.1118658</v>
      </c>
      <c r="R4215">
        <v>-0.63308609999999998</v>
      </c>
      <c r="S4215">
        <v>-1.9869380000000001</v>
      </c>
      <c r="T4215">
        <v>-0.23114129999999999</v>
      </c>
      <c r="U4215">
        <v>-2.384506</v>
      </c>
      <c r="V4215">
        <v>-0.29695429999999901</v>
      </c>
      <c r="W4215">
        <v>0.120653</v>
      </c>
      <c r="X4215">
        <v>0.94723860000000004</v>
      </c>
      <c r="Y4215">
        <v>-0.4676034</v>
      </c>
      <c r="Z4215">
        <v>1.114091E-2</v>
      </c>
      <c r="AA4215">
        <v>0.88386819999999899</v>
      </c>
      <c r="AB4215">
        <v>27</v>
      </c>
      <c r="AC4215">
        <v>-0.33529999999996102</v>
      </c>
      <c r="AD4215">
        <v>-6.6670000000000201E-2</v>
      </c>
      <c r="AE4215">
        <v>-0.58209999999999695</v>
      </c>
      <c r="AF4215">
        <v>-0.40731455989374099</v>
      </c>
      <c r="AG4215">
        <v>-6.6670000000000201E-2</v>
      </c>
      <c r="AH4215">
        <v>0.52592890342741305</v>
      </c>
      <c r="AI4215">
        <v>95.723286473917298</v>
      </c>
      <c r="AJ4215">
        <v>127.75659880522601</v>
      </c>
      <c r="AK4215">
        <v>0.66854412798393004</v>
      </c>
      <c r="AL4215">
        <v>83.070209337822305</v>
      </c>
      <c r="AM4215">
        <v>107.40593262288699</v>
      </c>
      <c r="AN4215">
        <v>0.99999998401372403</v>
      </c>
    </row>
    <row r="4216" spans="1:40" x14ac:dyDescent="0.25">
      <c r="A4216" t="str">
        <f>"20190312164554948"</f>
        <v>20190312164554948</v>
      </c>
      <c r="B4216" t="str">
        <f>"1552380354945889"</f>
        <v>1552380354945889</v>
      </c>
      <c r="C4216" t="s">
        <v>40</v>
      </c>
      <c r="D4216">
        <v>4.154649</v>
      </c>
      <c r="E4216">
        <v>0.42729299999999998</v>
      </c>
      <c r="F4216" t="s">
        <v>41</v>
      </c>
      <c r="G4216">
        <v>-407.73880000000003</v>
      </c>
      <c r="H4216">
        <v>1.047992</v>
      </c>
      <c r="I4216">
        <v>137.5119</v>
      </c>
      <c r="J4216">
        <v>-407.40640000000002</v>
      </c>
      <c r="K4216">
        <v>1.1152260000000001</v>
      </c>
      <c r="L4216">
        <v>138.10380000000001</v>
      </c>
      <c r="M4216">
        <v>-0.92173709999999998</v>
      </c>
      <c r="N4216">
        <v>0</v>
      </c>
      <c r="O4216">
        <v>-0.38756190000000001</v>
      </c>
      <c r="P4216">
        <v>-0.76043870000000002</v>
      </c>
      <c r="Q4216">
        <v>0.111185199999999</v>
      </c>
      <c r="R4216">
        <v>-0.63982139999999998</v>
      </c>
      <c r="S4216">
        <v>-1.964844</v>
      </c>
      <c r="T4216">
        <v>-0.23024900000000001</v>
      </c>
      <c r="U4216">
        <v>-2.402161</v>
      </c>
      <c r="V4216">
        <v>-0.296931</v>
      </c>
      <c r="W4216">
        <v>0.11996229999999999</v>
      </c>
      <c r="X4216">
        <v>0.9473336</v>
      </c>
      <c r="Y4216">
        <v>-0.46789249999999999</v>
      </c>
      <c r="Z4216">
        <v>1.1752240000000001E-2</v>
      </c>
      <c r="AA4216">
        <v>0.88370720000000003</v>
      </c>
      <c r="AB4216">
        <v>27</v>
      </c>
      <c r="AC4216">
        <v>-0.33240000000000602</v>
      </c>
      <c r="AD4216">
        <v>-6.7234000000000002E-2</v>
      </c>
      <c r="AE4216">
        <v>-0.59190000000000897</v>
      </c>
      <c r="AF4216">
        <v>-0.41274290035130301</v>
      </c>
      <c r="AG4216">
        <v>-6.7234000000000002E-2</v>
      </c>
      <c r="AH4216">
        <v>0.53063090029957405</v>
      </c>
      <c r="AI4216">
        <v>95.711316255563403</v>
      </c>
      <c r="AJ4216">
        <v>127.877000442688</v>
      </c>
      <c r="AK4216">
        <v>0.67560807048106097</v>
      </c>
      <c r="AL4216">
        <v>83.110072918465903</v>
      </c>
      <c r="AM4216">
        <v>107.403009404605</v>
      </c>
      <c r="AN4216">
        <v>0.99999996093562404</v>
      </c>
    </row>
    <row r="4217" spans="1:40" x14ac:dyDescent="0.25">
      <c r="A4217" t="str">
        <f>"20190312164554972"</f>
        <v>20190312164554972</v>
      </c>
      <c r="B4217" t="str">
        <f>"1552380354965410"</f>
        <v>1552380354965410</v>
      </c>
      <c r="C4217" t="s">
        <v>40</v>
      </c>
      <c r="D4217">
        <v>4.1586970000000001</v>
      </c>
      <c r="E4217">
        <v>0.42756929999999999</v>
      </c>
      <c r="F4217" t="s">
        <v>41</v>
      </c>
      <c r="G4217">
        <v>-407.98649999999998</v>
      </c>
      <c r="H4217">
        <v>1.047558</v>
      </c>
      <c r="I4217">
        <v>137.38319999999999</v>
      </c>
      <c r="J4217">
        <v>-407.65140000000002</v>
      </c>
      <c r="K4217">
        <v>1.1152489999999999</v>
      </c>
      <c r="L4217">
        <v>137.98990000000001</v>
      </c>
      <c r="M4217">
        <v>-0.91819150000000005</v>
      </c>
      <c r="N4217">
        <v>0</v>
      </c>
      <c r="O4217">
        <v>-0.39588800000000002</v>
      </c>
      <c r="P4217">
        <v>-0.75490699999999999</v>
      </c>
      <c r="Q4217">
        <v>0.11107400000000001</v>
      </c>
      <c r="R4217">
        <v>-0.64635799999999999</v>
      </c>
      <c r="S4217">
        <v>-1.94455</v>
      </c>
      <c r="T4217">
        <v>-0.22684119999999999</v>
      </c>
      <c r="U4217">
        <v>-2.4171450000000001</v>
      </c>
      <c r="V4217">
        <v>-0.29652869999999998</v>
      </c>
      <c r="W4217">
        <v>0.1198454</v>
      </c>
      <c r="X4217">
        <v>0.94747440000000005</v>
      </c>
      <c r="Y4217">
        <v>-0.46709820000000002</v>
      </c>
      <c r="Z4217">
        <v>1.22872E-2</v>
      </c>
      <c r="AA4217">
        <v>0.88412000000000002</v>
      </c>
      <c r="AB4217">
        <v>27</v>
      </c>
      <c r="AC4217">
        <v>-0.33509999999995399</v>
      </c>
      <c r="AD4217">
        <v>-6.7690999999999904E-2</v>
      </c>
      <c r="AE4217">
        <v>-0.606700000000017</v>
      </c>
      <c r="AF4217">
        <v>-0.42043620954245697</v>
      </c>
      <c r="AG4217">
        <v>-6.7690999999999904E-2</v>
      </c>
      <c r="AH4217">
        <v>0.54274821142544205</v>
      </c>
      <c r="AI4217">
        <v>95.630979869274398</v>
      </c>
      <c r="AJ4217">
        <v>127.762910014064</v>
      </c>
      <c r="AK4217">
        <v>0.68987266852727602</v>
      </c>
      <c r="AL4217">
        <v>83.116819491139296</v>
      </c>
      <c r="AM4217">
        <v>107.37842440292999</v>
      </c>
      <c r="AN4217">
        <v>0.99999996424010396</v>
      </c>
    </row>
    <row r="4218" spans="1:40" x14ac:dyDescent="0.25">
      <c r="A4218" t="str">
        <f>"20190312164554993"</f>
        <v>20190312164554993</v>
      </c>
      <c r="B4218" t="str">
        <f>"1552380354985905"</f>
        <v>1552380354985905</v>
      </c>
      <c r="C4218" t="s">
        <v>40</v>
      </c>
      <c r="D4218">
        <v>4.1467640000000001</v>
      </c>
      <c r="E4218">
        <v>0.42760179999999998</v>
      </c>
      <c r="F4218" t="s">
        <v>41</v>
      </c>
      <c r="G4218">
        <v>-408.29579999999999</v>
      </c>
      <c r="H4218">
        <v>1.0403629999999999</v>
      </c>
      <c r="I4218">
        <v>137.17590000000001</v>
      </c>
      <c r="J4218">
        <v>-407.88470000000001</v>
      </c>
      <c r="K4218">
        <v>1.115272</v>
      </c>
      <c r="L4218">
        <v>137.87899999999999</v>
      </c>
      <c r="M4218">
        <v>-0.91470839999999998</v>
      </c>
      <c r="N4218">
        <v>0</v>
      </c>
      <c r="O4218">
        <v>-0.40387050000000002</v>
      </c>
      <c r="P4218">
        <v>-0.74921490000000002</v>
      </c>
      <c r="Q4218">
        <v>0.1104947</v>
      </c>
      <c r="R4218">
        <v>-0.65304510000000004</v>
      </c>
      <c r="S4218">
        <v>-1.9245300000000001</v>
      </c>
      <c r="T4218">
        <v>-0.22367200000000001</v>
      </c>
      <c r="U4218">
        <v>-2.4320979999999999</v>
      </c>
      <c r="V4218">
        <v>-0.29666609999999899</v>
      </c>
      <c r="W4218">
        <v>0.1192508</v>
      </c>
      <c r="X4218">
        <v>0.94750639999999997</v>
      </c>
      <c r="Y4218">
        <v>-0.46653939999999999</v>
      </c>
      <c r="Z4218">
        <v>1.277818E-2</v>
      </c>
      <c r="AA4218">
        <v>0.88440810000000003</v>
      </c>
      <c r="AB4218">
        <v>27</v>
      </c>
      <c r="AC4218">
        <v>-0.41109999999997598</v>
      </c>
      <c r="AD4218">
        <v>-7.4909000000000101E-2</v>
      </c>
      <c r="AE4218">
        <v>-0.70309999999997697</v>
      </c>
      <c r="AF4218">
        <v>-0.47314497964007701</v>
      </c>
      <c r="AG4218">
        <v>-7.4909000000000101E-2</v>
      </c>
      <c r="AH4218">
        <v>0.65452635031984596</v>
      </c>
      <c r="AI4218">
        <v>95.299096886876796</v>
      </c>
      <c r="AJ4218">
        <v>125.862469590941</v>
      </c>
      <c r="AK4218">
        <v>0.81109942257569501</v>
      </c>
      <c r="AL4218">
        <v>83.151133573929002</v>
      </c>
      <c r="AM4218">
        <v>107.385439928783</v>
      </c>
      <c r="AN4218">
        <v>0.99999995311540302</v>
      </c>
    </row>
    <row r="4219" spans="1:40" x14ac:dyDescent="0.25">
      <c r="A4219" t="str">
        <f>"20190312164555015"</f>
        <v>20190312164555015</v>
      </c>
      <c r="B4219" t="str">
        <f>"1552380355005425"</f>
        <v>1552380355005425</v>
      </c>
      <c r="C4219" t="s">
        <v>40</v>
      </c>
      <c r="D4219">
        <v>4.1541389999999998</v>
      </c>
      <c r="E4219">
        <v>0.42773319999999998</v>
      </c>
      <c r="F4219" t="s">
        <v>41</v>
      </c>
      <c r="G4219">
        <v>-408.5068</v>
      </c>
      <c r="H4219">
        <v>1.041277</v>
      </c>
      <c r="I4219">
        <v>137.07820000000001</v>
      </c>
      <c r="J4219">
        <v>-408.11430000000001</v>
      </c>
      <c r="K4219">
        <v>1.115281</v>
      </c>
      <c r="L4219">
        <v>137.7672</v>
      </c>
      <c r="M4219">
        <v>-0.91117689999999996</v>
      </c>
      <c r="N4219">
        <v>0</v>
      </c>
      <c r="O4219">
        <v>-0.41177580000000003</v>
      </c>
      <c r="P4219">
        <v>-0.74337790000000004</v>
      </c>
      <c r="Q4219">
        <v>0.1097375</v>
      </c>
      <c r="R4219">
        <v>-0.65980850000000002</v>
      </c>
      <c r="S4219">
        <v>-1.9027400000000001</v>
      </c>
      <c r="T4219">
        <v>-0.2263377</v>
      </c>
      <c r="U4219">
        <v>-2.4491879999999999</v>
      </c>
      <c r="V4219">
        <v>-0.29699880000000001</v>
      </c>
      <c r="W4219">
        <v>0.1184767</v>
      </c>
      <c r="X4219">
        <v>0.94749930000000004</v>
      </c>
      <c r="Y4219">
        <v>-0.46678900000000001</v>
      </c>
      <c r="Z4219">
        <v>1.3559730000000001E-2</v>
      </c>
      <c r="AA4219">
        <v>0.88426479999999996</v>
      </c>
      <c r="AB4219">
        <v>27</v>
      </c>
      <c r="AC4219">
        <v>-0.39249999999998397</v>
      </c>
      <c r="AD4219">
        <v>-7.4003999999999903E-2</v>
      </c>
      <c r="AE4219">
        <v>-0.68899999999999195</v>
      </c>
      <c r="AF4219">
        <v>-0.46219917669579202</v>
      </c>
      <c r="AG4219">
        <v>-7.4003999999999903E-2</v>
      </c>
      <c r="AH4219">
        <v>0.63587533754848302</v>
      </c>
      <c r="AI4219">
        <v>95.3779610871823</v>
      </c>
      <c r="AJ4219">
        <v>126.01230619062601</v>
      </c>
      <c r="AK4219">
        <v>0.78958350784237197</v>
      </c>
      <c r="AL4219">
        <v>83.195803032639404</v>
      </c>
      <c r="AM4219">
        <v>107.403882846371</v>
      </c>
      <c r="AN4219">
        <v>0.999999969572409</v>
      </c>
    </row>
    <row r="4220" spans="1:40" x14ac:dyDescent="0.25">
      <c r="A4220" t="str">
        <f>"20190312164555038"</f>
        <v>20190312164555038</v>
      </c>
      <c r="B4220" t="str">
        <f>"1552380355025921"</f>
        <v>1552380355025921</v>
      </c>
      <c r="C4220" t="s">
        <v>40</v>
      </c>
      <c r="D4220">
        <v>4.1157839999999997</v>
      </c>
      <c r="E4220">
        <v>0.42783779999999999</v>
      </c>
      <c r="F4220" t="s">
        <v>41</v>
      </c>
      <c r="G4220">
        <v>-408.71629999999999</v>
      </c>
      <c r="H4220">
        <v>1.0417650000000001</v>
      </c>
      <c r="I4220">
        <v>136.97829999999999</v>
      </c>
      <c r="J4220">
        <v>-408.351</v>
      </c>
      <c r="K4220">
        <v>1.115297</v>
      </c>
      <c r="L4220">
        <v>137.64930000000001</v>
      </c>
      <c r="M4220">
        <v>-0.9074257</v>
      </c>
      <c r="N4220">
        <v>0</v>
      </c>
      <c r="O4220">
        <v>-0.41997760000000001</v>
      </c>
      <c r="P4220">
        <v>-0.737209</v>
      </c>
      <c r="Q4220">
        <v>0.1087234</v>
      </c>
      <c r="R4220">
        <v>-0.66686029999999996</v>
      </c>
      <c r="S4220">
        <v>-1.8808290000000001</v>
      </c>
      <c r="T4220">
        <v>-0.22971620000000001</v>
      </c>
      <c r="U4220">
        <v>-2.4659270000000002</v>
      </c>
      <c r="V4220">
        <v>-0.29740689999999997</v>
      </c>
      <c r="W4220">
        <v>0.11744540000000001</v>
      </c>
      <c r="X4220">
        <v>0.94749969999999994</v>
      </c>
      <c r="Y4220">
        <v>-0.46668670000000001</v>
      </c>
      <c r="Z4220">
        <v>1.4441259999999999E-2</v>
      </c>
      <c r="AA4220">
        <v>0.8843048</v>
      </c>
      <c r="AB4220">
        <v>27</v>
      </c>
      <c r="AC4220">
        <v>-0.36529999999999002</v>
      </c>
      <c r="AD4220">
        <v>-7.3531999999999903E-2</v>
      </c>
      <c r="AE4220">
        <v>-0.67100000000002002</v>
      </c>
      <c r="AF4220">
        <v>-0.45132891547442799</v>
      </c>
      <c r="AG4220">
        <v>-7.3531999999999903E-2</v>
      </c>
      <c r="AH4220">
        <v>0.60771853434836298</v>
      </c>
      <c r="AI4220">
        <v>95.548222084933201</v>
      </c>
      <c r="AJ4220">
        <v>126.599835998605</v>
      </c>
      <c r="AK4220">
        <v>0.76054359635582003</v>
      </c>
      <c r="AL4220">
        <v>83.255307719006694</v>
      </c>
      <c r="AM4220">
        <v>107.426343396539</v>
      </c>
      <c r="AN4220">
        <v>0.99999998382442901</v>
      </c>
    </row>
    <row r="4221" spans="1:40" x14ac:dyDescent="0.25">
      <c r="A4221" t="str">
        <f>"20190312164555062"</f>
        <v>20190312164555062</v>
      </c>
      <c r="B4221" t="str">
        <f>"1552380355056177"</f>
        <v>1552380355056177</v>
      </c>
      <c r="C4221" t="s">
        <v>40</v>
      </c>
      <c r="D4221">
        <v>4.0496749999999997</v>
      </c>
      <c r="E4221">
        <v>0.42819170000000001</v>
      </c>
      <c r="F4221" t="s">
        <v>41</v>
      </c>
      <c r="G4221">
        <v>-408.92689999999999</v>
      </c>
      <c r="H4221">
        <v>1.042476</v>
      </c>
      <c r="I4221">
        <v>136.87960000000001</v>
      </c>
      <c r="J4221">
        <v>-408.5942</v>
      </c>
      <c r="K4221">
        <v>1.115313</v>
      </c>
      <c r="L4221">
        <v>137.52549999999999</v>
      </c>
      <c r="M4221">
        <v>-0.90345359999999997</v>
      </c>
      <c r="N4221">
        <v>0</v>
      </c>
      <c r="O4221">
        <v>-0.42845490000000003</v>
      </c>
      <c r="P4221">
        <v>-0.73041210000000001</v>
      </c>
      <c r="Q4221">
        <v>0.10831590000000001</v>
      </c>
      <c r="R4221">
        <v>-0.67436339999999995</v>
      </c>
      <c r="S4221">
        <v>-1.858093</v>
      </c>
      <c r="T4221">
        <v>-0.234928</v>
      </c>
      <c r="U4221">
        <v>-2.48291</v>
      </c>
      <c r="V4221">
        <v>-0.2981993</v>
      </c>
      <c r="W4221">
        <v>0.11701259999999999</v>
      </c>
      <c r="X4221">
        <v>0.94730420000000004</v>
      </c>
      <c r="Y4221">
        <v>-0.46650989999999998</v>
      </c>
      <c r="Z4221">
        <v>1.549126E-2</v>
      </c>
      <c r="AA4221">
        <v>0.88438030000000001</v>
      </c>
      <c r="AB4221">
        <v>27</v>
      </c>
      <c r="AC4221">
        <v>-0.33269999999998801</v>
      </c>
      <c r="AD4221">
        <v>-7.2836999999999999E-2</v>
      </c>
      <c r="AE4221">
        <v>-0.64589999999998304</v>
      </c>
      <c r="AF4221">
        <v>-0.43664901434771097</v>
      </c>
      <c r="AG4221">
        <v>-7.2836999999999999E-2</v>
      </c>
      <c r="AH4221">
        <v>0.57163022941205999</v>
      </c>
      <c r="AI4221">
        <v>95.781943872612501</v>
      </c>
      <c r="AJ4221">
        <v>127.374986750766</v>
      </c>
      <c r="AK4221">
        <v>0.72299979908538803</v>
      </c>
      <c r="AL4221">
        <v>83.280277673260301</v>
      </c>
      <c r="AM4221">
        <v>107.473338188414</v>
      </c>
      <c r="AN4221">
        <v>1.00000000920844</v>
      </c>
    </row>
    <row r="4222" spans="1:40" x14ac:dyDescent="0.25">
      <c r="A4222" t="str">
        <f>"20190312164555083"</f>
        <v>20190312164555083</v>
      </c>
      <c r="B4222" t="str">
        <f>"1552380355075697"</f>
        <v>1552380355075697</v>
      </c>
      <c r="C4222" t="s">
        <v>40</v>
      </c>
      <c r="D4222">
        <v>4.0992739999999896</v>
      </c>
      <c r="E4222">
        <v>0.42837150000000002</v>
      </c>
      <c r="F4222" t="s">
        <v>41</v>
      </c>
      <c r="G4222">
        <v>-409.1395</v>
      </c>
      <c r="H4222">
        <v>1.0448569999999999</v>
      </c>
      <c r="I4222">
        <v>136.78290000000001</v>
      </c>
      <c r="J4222">
        <v>-408.81979999999999</v>
      </c>
      <c r="K4222">
        <v>1.115335</v>
      </c>
      <c r="L4222">
        <v>137.40790000000001</v>
      </c>
      <c r="M4222">
        <v>-0.89966109999999899</v>
      </c>
      <c r="N4222">
        <v>0</v>
      </c>
      <c r="O4222">
        <v>-0.43636219999999998</v>
      </c>
      <c r="P4222">
        <v>-0.72454890000000005</v>
      </c>
      <c r="Q4222">
        <v>0.1081683</v>
      </c>
      <c r="R4222">
        <v>-0.68068219999999902</v>
      </c>
      <c r="S4222">
        <v>-1.8348390000000001</v>
      </c>
      <c r="T4222">
        <v>-0.2370949</v>
      </c>
      <c r="U4222">
        <v>-2.4993439999999998</v>
      </c>
      <c r="V4222">
        <v>-0.29811209999999999</v>
      </c>
      <c r="W4222">
        <v>0.116859199999999</v>
      </c>
      <c r="X4222">
        <v>0.94735060000000004</v>
      </c>
      <c r="Y4222">
        <v>-0.46688550000000001</v>
      </c>
      <c r="Z4222">
        <v>1.629661E-2</v>
      </c>
      <c r="AA4222">
        <v>0.88416759999999905</v>
      </c>
      <c r="AB4222">
        <v>26</v>
      </c>
      <c r="AC4222">
        <v>-0.31970000000001098</v>
      </c>
      <c r="AD4222">
        <v>-7.0477999999999999E-2</v>
      </c>
      <c r="AE4222">
        <v>-0.625</v>
      </c>
      <c r="AF4222">
        <v>-0.418606009045212</v>
      </c>
      <c r="AG4222">
        <v>-7.0477999999999999E-2</v>
      </c>
      <c r="AH4222">
        <v>0.55481167725593605</v>
      </c>
      <c r="AI4222">
        <v>95.790279082229404</v>
      </c>
      <c r="AJ4222">
        <v>127.034592769979</v>
      </c>
      <c r="AK4222">
        <v>0.69858008596889198</v>
      </c>
      <c r="AL4222">
        <v>83.289127687797901</v>
      </c>
      <c r="AM4222">
        <v>107.467735899164</v>
      </c>
      <c r="AN4222">
        <v>1.0000000280557</v>
      </c>
    </row>
    <row r="4223" spans="1:40" x14ac:dyDescent="0.25">
      <c r="A4223" t="str">
        <f>"20190312164555104"</f>
        <v>20190312164555104</v>
      </c>
      <c r="B4223" t="str">
        <f>"1552380355096193"</f>
        <v>1552380355096193</v>
      </c>
      <c r="C4223" t="s">
        <v>40</v>
      </c>
      <c r="D4223">
        <v>3.9720110000000002</v>
      </c>
      <c r="E4223">
        <v>0.42808629999999998</v>
      </c>
      <c r="F4223" t="s">
        <v>41</v>
      </c>
      <c r="G4223">
        <v>-409.34660000000002</v>
      </c>
      <c r="H4223">
        <v>1.046735</v>
      </c>
      <c r="I4223">
        <v>136.67699999999999</v>
      </c>
      <c r="J4223">
        <v>-409.04149999999998</v>
      </c>
      <c r="K4223">
        <v>1.115353</v>
      </c>
      <c r="L4223">
        <v>137.28989999999999</v>
      </c>
      <c r="M4223">
        <v>-0.8958334</v>
      </c>
      <c r="N4223">
        <v>0</v>
      </c>
      <c r="O4223">
        <v>-0.44416709999999898</v>
      </c>
      <c r="P4223">
        <v>-0.71880639999999996</v>
      </c>
      <c r="Q4223">
        <v>0.1077548</v>
      </c>
      <c r="R4223">
        <v>-0.68680909999999995</v>
      </c>
      <c r="S4223">
        <v>-1.8131710000000001</v>
      </c>
      <c r="T4223">
        <v>-0.2360517</v>
      </c>
      <c r="U4223">
        <v>-2.5148320000000002</v>
      </c>
      <c r="V4223">
        <v>-0.29788809999999999</v>
      </c>
      <c r="W4223">
        <v>0.1164448</v>
      </c>
      <c r="X4223">
        <v>0.94747199999999998</v>
      </c>
      <c r="Y4223">
        <v>-0.46681139999999999</v>
      </c>
      <c r="Z4223">
        <v>1.6894510000000001E-2</v>
      </c>
      <c r="AA4223">
        <v>0.88419550000000002</v>
      </c>
      <c r="AB4223">
        <v>26</v>
      </c>
      <c r="AC4223">
        <v>-0.30510000000003801</v>
      </c>
      <c r="AD4223">
        <v>-6.8617999999999998E-2</v>
      </c>
      <c r="AE4223">
        <v>-0.61289999999996703</v>
      </c>
      <c r="AF4223">
        <v>-0.409468752583247</v>
      </c>
      <c r="AG4223">
        <v>-6.8617999999999998E-2</v>
      </c>
      <c r="AH4223">
        <v>0.54017674231391999</v>
      </c>
      <c r="AI4223">
        <v>95.7804539495867</v>
      </c>
      <c r="AJ4223">
        <v>127.16312308333499</v>
      </c>
      <c r="AK4223">
        <v>0.68129582576364001</v>
      </c>
      <c r="AL4223">
        <v>83.313033755721804</v>
      </c>
      <c r="AM4223">
        <v>107.453307440684</v>
      </c>
      <c r="AN4223">
        <v>0.99999995117632301</v>
      </c>
    </row>
    <row r="4224" spans="1:40" x14ac:dyDescent="0.25">
      <c r="A4224" t="str">
        <f>"20190312164555127"</f>
        <v>20190312164555127</v>
      </c>
      <c r="B4224" t="str">
        <f>"1552380355115713"</f>
        <v>1552380355115713</v>
      </c>
      <c r="C4224" t="s">
        <v>40</v>
      </c>
      <c r="D4224">
        <v>3.9459439999999999</v>
      </c>
      <c r="E4224">
        <v>0.42784299999999997</v>
      </c>
      <c r="F4224" t="s">
        <v>41</v>
      </c>
      <c r="G4224">
        <v>-409.56279999999998</v>
      </c>
      <c r="H4224">
        <v>1.047647</v>
      </c>
      <c r="I4224">
        <v>136.553</v>
      </c>
      <c r="J4224">
        <v>-409.26900000000001</v>
      </c>
      <c r="K4224">
        <v>1.1153580000000001</v>
      </c>
      <c r="L4224">
        <v>137.1662</v>
      </c>
      <c r="M4224">
        <v>-0.89180149999999903</v>
      </c>
      <c r="N4224">
        <v>0</v>
      </c>
      <c r="O4224">
        <v>-0.45220769999999999</v>
      </c>
      <c r="P4224">
        <v>-0.71296400000000004</v>
      </c>
      <c r="Q4224">
        <v>0.1070962</v>
      </c>
      <c r="R4224">
        <v>-0.69297410000000004</v>
      </c>
      <c r="S4224">
        <v>-1.7902530000000001</v>
      </c>
      <c r="T4224">
        <v>-0.23248779999999999</v>
      </c>
      <c r="U4224">
        <v>-2.5308380000000001</v>
      </c>
      <c r="V4224">
        <v>-0.29747180000000001</v>
      </c>
      <c r="W4224">
        <v>0.1157921</v>
      </c>
      <c r="X4224">
        <v>0.94768280000000005</v>
      </c>
      <c r="Y4224">
        <v>-0.46684979999999998</v>
      </c>
      <c r="Z4224">
        <v>1.7316939999999999E-2</v>
      </c>
      <c r="AA4224">
        <v>0.88416709999999998</v>
      </c>
      <c r="AB4224">
        <v>26</v>
      </c>
      <c r="AC4224">
        <v>-0.29379999999997602</v>
      </c>
      <c r="AD4224">
        <v>-6.7710999999999993E-2</v>
      </c>
      <c r="AE4224">
        <v>-0.61320000000000596</v>
      </c>
      <c r="AF4224">
        <v>-0.40996959269835198</v>
      </c>
      <c r="AG4224">
        <v>-6.7710999999999993E-2</v>
      </c>
      <c r="AH4224">
        <v>0.534062420755685</v>
      </c>
      <c r="AI4224">
        <v>95.742913449866407</v>
      </c>
      <c r="AJ4224">
        <v>127.51141563291699</v>
      </c>
      <c r="AK4224">
        <v>0.67667016760137699</v>
      </c>
      <c r="AL4224">
        <v>83.350685644364901</v>
      </c>
      <c r="AM4224">
        <v>107.42675217682699</v>
      </c>
      <c r="AN4224">
        <v>0.99999998581674499</v>
      </c>
    </row>
    <row r="4225" spans="1:40" x14ac:dyDescent="0.25">
      <c r="A4225" t="str">
        <f>"20190312164555150"</f>
        <v>20190312164555150</v>
      </c>
      <c r="B4225" t="str">
        <f>"1552380355145662"</f>
        <v>1552380355145662</v>
      </c>
      <c r="C4225" t="s">
        <v>40</v>
      </c>
      <c r="D4225">
        <v>4.2701029999999998</v>
      </c>
      <c r="E4225">
        <v>0.4275079</v>
      </c>
      <c r="F4225" t="s">
        <v>41</v>
      </c>
      <c r="G4225">
        <v>-409.79090000000002</v>
      </c>
      <c r="H4225">
        <v>1.046878</v>
      </c>
      <c r="I4225">
        <v>136.41370000000001</v>
      </c>
      <c r="J4225">
        <v>-409.4982</v>
      </c>
      <c r="K4225">
        <v>1.1153569999999999</v>
      </c>
      <c r="L4225">
        <v>137.03880000000001</v>
      </c>
      <c r="M4225">
        <v>-0.88763860000000006</v>
      </c>
      <c r="N4225">
        <v>0</v>
      </c>
      <c r="O4225">
        <v>-0.4603257</v>
      </c>
      <c r="P4225">
        <v>-0.70738080000000003</v>
      </c>
      <c r="Q4225">
        <v>0.10615239999999999</v>
      </c>
      <c r="R4225">
        <v>-0.69881629999999995</v>
      </c>
      <c r="S4225">
        <v>-1.7668759999999999</v>
      </c>
      <c r="T4225">
        <v>-0.23183860000000001</v>
      </c>
      <c r="U4225">
        <v>-2.5471949999999999</v>
      </c>
      <c r="V4225">
        <v>-0.2965412</v>
      </c>
      <c r="W4225">
        <v>0.114869</v>
      </c>
      <c r="X4225">
        <v>0.94808669999999995</v>
      </c>
      <c r="Y4225">
        <v>-0.46693620000000002</v>
      </c>
      <c r="Z4225">
        <v>1.7948329999999998E-2</v>
      </c>
      <c r="AA4225">
        <v>0.88410880000000003</v>
      </c>
      <c r="AB4225">
        <v>26</v>
      </c>
      <c r="AC4225">
        <v>-0.292700000000024</v>
      </c>
      <c r="AD4225">
        <v>-6.8478999999999901E-2</v>
      </c>
      <c r="AE4225">
        <v>-0.62510000000000299</v>
      </c>
      <c r="AF4225">
        <v>-0.41607180644234798</v>
      </c>
      <c r="AG4225">
        <v>-6.8478999999999901E-2</v>
      </c>
      <c r="AH4225">
        <v>0.54227804725794704</v>
      </c>
      <c r="AI4225">
        <v>95.7212449450777</v>
      </c>
      <c r="AJ4225">
        <v>127.497820390009</v>
      </c>
      <c r="AK4225">
        <v>0.68692838207129803</v>
      </c>
      <c r="AL4225">
        <v>83.4039306416405</v>
      </c>
      <c r="AM4225">
        <v>107.368564236021</v>
      </c>
      <c r="AN4225">
        <v>0.99999998058766404</v>
      </c>
    </row>
    <row r="4226" spans="1:40" x14ac:dyDescent="0.25">
      <c r="A4226" t="str">
        <f>"20190312164555172"</f>
        <v>20190312164555172</v>
      </c>
      <c r="B4226" t="str">
        <f>"1552380355166120"</f>
        <v>1552380355166120</v>
      </c>
      <c r="C4226" t="s">
        <v>40</v>
      </c>
      <c r="D4226">
        <v>4.0098060000000002</v>
      </c>
      <c r="E4226">
        <v>0.42737760000000002</v>
      </c>
      <c r="F4226" t="s">
        <v>41</v>
      </c>
      <c r="G4226">
        <v>-410.0949</v>
      </c>
      <c r="H4226">
        <v>1.0363789999999999</v>
      </c>
      <c r="I4226">
        <v>136.1619</v>
      </c>
      <c r="J4226">
        <v>-409.72980000000001</v>
      </c>
      <c r="K4226">
        <v>1.1153439999999999</v>
      </c>
      <c r="L4226">
        <v>136.90700000000001</v>
      </c>
      <c r="M4226">
        <v>-0.88332429999999995</v>
      </c>
      <c r="N4226">
        <v>0</v>
      </c>
      <c r="O4226">
        <v>-0.4685511</v>
      </c>
      <c r="P4226">
        <v>-0.70129640000000004</v>
      </c>
      <c r="Q4226">
        <v>0.1057452</v>
      </c>
      <c r="R4226">
        <v>-0.70498359999999904</v>
      </c>
      <c r="S4226">
        <v>-1.743622</v>
      </c>
      <c r="T4226">
        <v>-0.2307988</v>
      </c>
      <c r="U4226">
        <v>-2.5629879999999998</v>
      </c>
      <c r="V4226">
        <v>-0.2959985</v>
      </c>
      <c r="W4226">
        <v>0.1144782</v>
      </c>
      <c r="X4226">
        <v>0.94830360000000002</v>
      </c>
      <c r="Y4226">
        <v>-0.46675729999999999</v>
      </c>
      <c r="Z4226">
        <v>1.8566699999999998E-2</v>
      </c>
      <c r="AA4226">
        <v>0.88419059999999905</v>
      </c>
      <c r="AB4226">
        <v>26</v>
      </c>
      <c r="AC4226">
        <v>-0.36509999999998399</v>
      </c>
      <c r="AD4226">
        <v>-7.8964999999999896E-2</v>
      </c>
      <c r="AE4226">
        <v>-0.74510000000000698</v>
      </c>
      <c r="AF4226">
        <v>-0.48277271217564599</v>
      </c>
      <c r="AG4226">
        <v>-7.8964999999999896E-2</v>
      </c>
      <c r="AH4226">
        <v>0.665656808227854</v>
      </c>
      <c r="AI4226">
        <v>95.485296761082097</v>
      </c>
      <c r="AJ4226">
        <v>125.951788003031</v>
      </c>
      <c r="AK4226">
        <v>0.82607744745061495</v>
      </c>
      <c r="AL4226">
        <v>83.426470942263904</v>
      </c>
      <c r="AM4226">
        <v>107.33495683727</v>
      </c>
      <c r="AN4226">
        <v>1.0000000440252199</v>
      </c>
    </row>
    <row r="4227" spans="1:40" x14ac:dyDescent="0.25">
      <c r="A4227" t="str">
        <f>"20190312164555194"</f>
        <v>20190312164555194</v>
      </c>
      <c r="B4227" t="str">
        <f>"1552380355185640"</f>
        <v>1552380355185640</v>
      </c>
      <c r="C4227" t="s">
        <v>40</v>
      </c>
      <c r="D4227">
        <v>3.9999639999999999</v>
      </c>
      <c r="E4227">
        <v>0.42723460000000002</v>
      </c>
      <c r="F4227" t="s">
        <v>41</v>
      </c>
      <c r="G4227">
        <v>-410.29919999999998</v>
      </c>
      <c r="H4227">
        <v>1.039709</v>
      </c>
      <c r="I4227">
        <v>136.05369999999999</v>
      </c>
      <c r="J4227">
        <v>-409.9468</v>
      </c>
      <c r="K4227">
        <v>1.115334</v>
      </c>
      <c r="L4227">
        <v>136.78100000000001</v>
      </c>
      <c r="M4227">
        <v>-0.87919029999999998</v>
      </c>
      <c r="N4227">
        <v>0</v>
      </c>
      <c r="O4227">
        <v>-0.47626289999999999</v>
      </c>
      <c r="P4227">
        <v>-0.69542939999999998</v>
      </c>
      <c r="Q4227">
        <v>0.10434019999999999</v>
      </c>
      <c r="R4227">
        <v>-0.71097919999999903</v>
      </c>
      <c r="S4227">
        <v>-1.7199709999999999</v>
      </c>
      <c r="T4227">
        <v>-0.2284737</v>
      </c>
      <c r="U4227">
        <v>-2.5786899999999999</v>
      </c>
      <c r="V4227">
        <v>-0.29571750000000002</v>
      </c>
      <c r="W4227">
        <v>0.1130873</v>
      </c>
      <c r="X4227">
        <v>0.94855809999999996</v>
      </c>
      <c r="Y4227">
        <v>-0.46713199999999999</v>
      </c>
      <c r="Z4227">
        <v>1.9009499999999999E-2</v>
      </c>
      <c r="AA4227">
        <v>0.88398319999999997</v>
      </c>
      <c r="AB4227">
        <v>26</v>
      </c>
      <c r="AC4227">
        <v>-0.352399999999988</v>
      </c>
      <c r="AD4227">
        <v>-7.5624999999999998E-2</v>
      </c>
      <c r="AE4227">
        <v>-0.72730000000001305</v>
      </c>
      <c r="AF4227">
        <v>-0.46755277078880098</v>
      </c>
      <c r="AG4227">
        <v>-7.5624999999999998E-2</v>
      </c>
      <c r="AH4227">
        <v>0.65058102848241395</v>
      </c>
      <c r="AI4227">
        <v>95.392404948720397</v>
      </c>
      <c r="AJ4227">
        <v>125.703651716161</v>
      </c>
      <c r="AK4227">
        <v>0.80472380896710305</v>
      </c>
      <c r="AL4227">
        <v>83.506684444143701</v>
      </c>
      <c r="AM4227">
        <v>107.315115978506</v>
      </c>
      <c r="AN4227">
        <v>1.00000002315157</v>
      </c>
    </row>
    <row r="4228" spans="1:40" x14ac:dyDescent="0.25">
      <c r="A4228" t="str">
        <f>"20190312164555216"</f>
        <v>20190312164555216</v>
      </c>
      <c r="B4228" t="str">
        <f>"1552380355206137"</f>
        <v>1552380355206137</v>
      </c>
      <c r="C4228" t="s">
        <v>40</v>
      </c>
      <c r="D4228">
        <v>4.0500980000000002</v>
      </c>
      <c r="E4228">
        <v>0.42709520000000001</v>
      </c>
      <c r="F4228" t="s">
        <v>41</v>
      </c>
      <c r="G4228">
        <v>-410.49799999999999</v>
      </c>
      <c r="H4228">
        <v>1.039849</v>
      </c>
      <c r="I4228">
        <v>135.93860000000001</v>
      </c>
      <c r="J4228">
        <v>-410.17180000000002</v>
      </c>
      <c r="K4228">
        <v>1.1153109999999999</v>
      </c>
      <c r="L4228">
        <v>136.64769999999999</v>
      </c>
      <c r="M4228">
        <v>-0.87480689999999905</v>
      </c>
      <c r="N4228">
        <v>0</v>
      </c>
      <c r="O4228">
        <v>-0.48426740000000001</v>
      </c>
      <c r="P4228">
        <v>-0.68905950000000005</v>
      </c>
      <c r="Q4228">
        <v>0.1028625</v>
      </c>
      <c r="R4228">
        <v>-0.71736789999999995</v>
      </c>
      <c r="S4228">
        <v>-1.6972659999999999</v>
      </c>
      <c r="T4228">
        <v>-0.2324224</v>
      </c>
      <c r="U4228">
        <v>-2.593445</v>
      </c>
      <c r="V4228">
        <v>-0.29568240000000001</v>
      </c>
      <c r="W4228">
        <v>0.11162030000000001</v>
      </c>
      <c r="X4228">
        <v>0.94874270000000005</v>
      </c>
      <c r="Y4228">
        <v>-0.46679949999999998</v>
      </c>
      <c r="Z4228">
        <v>2.003166E-2</v>
      </c>
      <c r="AA4228">
        <v>0.88413629999999999</v>
      </c>
      <c r="AB4228">
        <v>26</v>
      </c>
      <c r="AC4228">
        <v>-0.32620000000002802</v>
      </c>
      <c r="AD4228">
        <v>-7.5462000000000098E-2</v>
      </c>
      <c r="AE4228">
        <v>-0.70909999999997797</v>
      </c>
      <c r="AF4228">
        <v>-0.45812122593830601</v>
      </c>
      <c r="AG4228">
        <v>-7.5462000000000098E-2</v>
      </c>
      <c r="AH4228">
        <v>0.62299508791633496</v>
      </c>
      <c r="AI4228">
        <v>95.573502680361401</v>
      </c>
      <c r="AJ4228">
        <v>126.329010844978</v>
      </c>
      <c r="AK4228">
        <v>0.77697648012478404</v>
      </c>
      <c r="AL4228">
        <v>83.591272427777398</v>
      </c>
      <c r="AM4228">
        <v>107.31001622630799</v>
      </c>
      <c r="AN4228">
        <v>0.99999994192256803</v>
      </c>
    </row>
    <row r="4229" spans="1:40" x14ac:dyDescent="0.25">
      <c r="A4229" t="str">
        <f>"20190312164555239"</f>
        <v>20190312164555239</v>
      </c>
      <c r="B4229" t="str">
        <f>"1552380355235417"</f>
        <v>1552380355235417</v>
      </c>
      <c r="C4229" t="s">
        <v>40</v>
      </c>
      <c r="D4229">
        <v>4.1096769999999996</v>
      </c>
      <c r="E4229">
        <v>0.42696149999999999</v>
      </c>
      <c r="F4229" t="s">
        <v>41</v>
      </c>
      <c r="G4229">
        <v>-410.69900000000001</v>
      </c>
      <c r="H4229">
        <v>1.040529</v>
      </c>
      <c r="I4229">
        <v>135.82579999999999</v>
      </c>
      <c r="J4229">
        <v>-410.39479999999998</v>
      </c>
      <c r="K4229">
        <v>1.1153040000000001</v>
      </c>
      <c r="L4229">
        <v>136.5127</v>
      </c>
      <c r="M4229">
        <v>-0.87036089999999999</v>
      </c>
      <c r="N4229">
        <v>0</v>
      </c>
      <c r="O4229">
        <v>-0.49221300000000001</v>
      </c>
      <c r="P4229">
        <v>-0.68247250000000004</v>
      </c>
      <c r="Q4229">
        <v>0.1016994</v>
      </c>
      <c r="R4229">
        <v>-0.72380159999999905</v>
      </c>
      <c r="S4229">
        <v>-1.6730039999999999</v>
      </c>
      <c r="T4229">
        <v>-0.23731910000000001</v>
      </c>
      <c r="U4229">
        <v>-2.6089630000000001</v>
      </c>
      <c r="V4229">
        <v>-0.29583900000000002</v>
      </c>
      <c r="W4229">
        <v>0.1104622</v>
      </c>
      <c r="X4229">
        <v>0.94882949999999999</v>
      </c>
      <c r="Y4229">
        <v>-0.46697640000000001</v>
      </c>
      <c r="Z4229">
        <v>2.1137530000000002E-2</v>
      </c>
      <c r="AA4229">
        <v>0.8840171</v>
      </c>
      <c r="AB4229">
        <v>26</v>
      </c>
      <c r="AC4229">
        <v>-0.304200000000037</v>
      </c>
      <c r="AD4229">
        <v>-7.4774999999999994E-2</v>
      </c>
      <c r="AE4229">
        <v>-0.68690000000000795</v>
      </c>
      <c r="AF4229">
        <v>-0.44376765729393303</v>
      </c>
      <c r="AG4229">
        <v>-7.4774999999999994E-2</v>
      </c>
      <c r="AH4229">
        <v>0.59700999038580105</v>
      </c>
      <c r="AI4229">
        <v>95.740139335018497</v>
      </c>
      <c r="AJ4229">
        <v>126.62404848812</v>
      </c>
      <c r="AK4229">
        <v>0.74762421235912402</v>
      </c>
      <c r="AL4229">
        <v>83.658040049880299</v>
      </c>
      <c r="AM4229">
        <v>107.317146245831</v>
      </c>
      <c r="AN4229">
        <v>1.0000000158100399</v>
      </c>
    </row>
    <row r="4230" spans="1:40" x14ac:dyDescent="0.25">
      <c r="A4230" t="str">
        <f>"20190312164555262"</f>
        <v>20190312164555262</v>
      </c>
      <c r="B4230" t="str">
        <f>"1552380355255519"</f>
        <v>1552380355255519</v>
      </c>
      <c r="C4230" t="s">
        <v>40</v>
      </c>
      <c r="D4230">
        <v>4.1303700000000001</v>
      </c>
      <c r="E4230">
        <v>0.42704690000000001</v>
      </c>
      <c r="F4230" t="s">
        <v>41</v>
      </c>
      <c r="G4230">
        <v>-410.89800000000002</v>
      </c>
      <c r="H4230">
        <v>1.0417719999999999</v>
      </c>
      <c r="I4230">
        <v>135.71029999999999</v>
      </c>
      <c r="J4230">
        <v>-410.61770000000001</v>
      </c>
      <c r="K4230">
        <v>1.115299</v>
      </c>
      <c r="L4230">
        <v>136.3751</v>
      </c>
      <c r="M4230">
        <v>-0.86581390000000003</v>
      </c>
      <c r="N4230">
        <v>0</v>
      </c>
      <c r="O4230">
        <v>-0.50016779999999905</v>
      </c>
      <c r="P4230">
        <v>-0.67533120000000002</v>
      </c>
      <c r="Q4230">
        <v>0.1008778</v>
      </c>
      <c r="R4230">
        <v>-0.73058310000000004</v>
      </c>
      <c r="S4230">
        <v>-1.6470640000000001</v>
      </c>
      <c r="T4230">
        <v>-0.2406549</v>
      </c>
      <c r="U4230">
        <v>-2.6255489999999999</v>
      </c>
      <c r="V4230">
        <v>-0.29654910000000001</v>
      </c>
      <c r="W4230">
        <v>0.1096294</v>
      </c>
      <c r="X4230">
        <v>0.9487044</v>
      </c>
      <c r="Y4230">
        <v>-0.46766950000000002</v>
      </c>
      <c r="Z4230">
        <v>2.210844E-2</v>
      </c>
      <c r="AA4230">
        <v>0.88362689999999999</v>
      </c>
      <c r="AB4230">
        <v>26</v>
      </c>
      <c r="AC4230">
        <v>-0.28030000000001098</v>
      </c>
      <c r="AD4230">
        <v>-7.3527000000000106E-2</v>
      </c>
      <c r="AE4230">
        <v>-0.66480000000001305</v>
      </c>
      <c r="AF4230">
        <v>-0.43096325268129898</v>
      </c>
      <c r="AG4230">
        <v>-7.3527000000000106E-2</v>
      </c>
      <c r="AH4230">
        <v>0.56934305158486798</v>
      </c>
      <c r="AI4230">
        <v>95.879050804737602</v>
      </c>
      <c r="AJ4230">
        <v>127.123838178848</v>
      </c>
      <c r="AK4230">
        <v>0.71783497774810001</v>
      </c>
      <c r="AL4230">
        <v>83.706047488463099</v>
      </c>
      <c r="AM4230">
        <v>107.358369785569</v>
      </c>
      <c r="AN4230">
        <v>1.00000000631726</v>
      </c>
    </row>
    <row r="4231" spans="1:40" x14ac:dyDescent="0.25">
      <c r="A4231" t="str">
        <f>"20190312164555284"</f>
        <v>20190312164555284</v>
      </c>
      <c r="B4231" t="str">
        <f>"1552380355276015"</f>
        <v>1552380355276015</v>
      </c>
      <c r="C4231" t="s">
        <v>40</v>
      </c>
      <c r="D4231">
        <v>4.1246660000000004</v>
      </c>
      <c r="E4231">
        <v>0.4271334</v>
      </c>
      <c r="F4231" t="s">
        <v>41</v>
      </c>
      <c r="G4231">
        <v>-411.09690000000001</v>
      </c>
      <c r="H4231">
        <v>1.044108</v>
      </c>
      <c r="I4231">
        <v>135.5942</v>
      </c>
      <c r="J4231">
        <v>-410.8408</v>
      </c>
      <c r="K4231">
        <v>1.115313</v>
      </c>
      <c r="L4231">
        <v>136.2346</v>
      </c>
      <c r="M4231">
        <v>-0.86114760000000001</v>
      </c>
      <c r="N4231">
        <v>0</v>
      </c>
      <c r="O4231">
        <v>-0.50815969999999999</v>
      </c>
      <c r="P4231">
        <v>-0.66809069999999904</v>
      </c>
      <c r="Q4231">
        <v>0.10064439999999999</v>
      </c>
      <c r="R4231">
        <v>-0.73724179999999995</v>
      </c>
      <c r="S4231">
        <v>-1.620941</v>
      </c>
      <c r="T4231">
        <v>-0.24079320000000001</v>
      </c>
      <c r="U4231">
        <v>-2.6411899999999999</v>
      </c>
      <c r="V4231">
        <v>-0.29715439999999999</v>
      </c>
      <c r="W4231">
        <v>0.10938059999999999</v>
      </c>
      <c r="X4231">
        <v>0.94854369999999999</v>
      </c>
      <c r="Y4231">
        <v>-0.4681845</v>
      </c>
      <c r="Z4231">
        <v>2.281325E-2</v>
      </c>
      <c r="AA4231">
        <v>0.88333619999999902</v>
      </c>
      <c r="AB4231">
        <v>26</v>
      </c>
      <c r="AC4231">
        <v>-0.25610000000000299</v>
      </c>
      <c r="AD4231">
        <v>-7.1204999999999893E-2</v>
      </c>
      <c r="AE4231">
        <v>-0.64039999999999897</v>
      </c>
      <c r="AF4231">
        <v>-0.41693720780105697</v>
      </c>
      <c r="AG4231">
        <v>-7.1204999999999893E-2</v>
      </c>
      <c r="AH4231">
        <v>0.54026130244177395</v>
      </c>
      <c r="AI4231">
        <v>95.956656524539298</v>
      </c>
      <c r="AJ4231">
        <v>127.658536242561</v>
      </c>
      <c r="AK4231">
        <v>0.686140701452715</v>
      </c>
      <c r="AL4231">
        <v>83.720388896718404</v>
      </c>
      <c r="AM4231">
        <v>107.394434858222</v>
      </c>
      <c r="AN4231">
        <v>1.0000000019527</v>
      </c>
    </row>
    <row r="4232" spans="1:40" x14ac:dyDescent="0.25">
      <c r="A4232" t="str">
        <f>"20190312164555306"</f>
        <v>20190312164555306</v>
      </c>
      <c r="B4232" t="str">
        <f>"1552380355295535"</f>
        <v>1552380355295535</v>
      </c>
      <c r="C4232" t="s">
        <v>40</v>
      </c>
      <c r="D4232">
        <v>4.1785139999999998</v>
      </c>
      <c r="E4232">
        <v>0.42725760000000002</v>
      </c>
      <c r="F4232" t="s">
        <v>41</v>
      </c>
      <c r="G4232">
        <v>-411.3023</v>
      </c>
      <c r="H4232">
        <v>1.046149</v>
      </c>
      <c r="I4232">
        <v>135.46610000000001</v>
      </c>
      <c r="J4232">
        <v>-411.04590000000002</v>
      </c>
      <c r="K4232">
        <v>1.115332</v>
      </c>
      <c r="L4232">
        <v>136.1026</v>
      </c>
      <c r="M4232">
        <v>-0.85674240000000002</v>
      </c>
      <c r="N4232">
        <v>0</v>
      </c>
      <c r="O4232">
        <v>-0.51555200000000001</v>
      </c>
      <c r="P4232">
        <v>-0.66153450000000003</v>
      </c>
      <c r="Q4232">
        <v>0.1009582</v>
      </c>
      <c r="R4232">
        <v>-0.74308799999999997</v>
      </c>
      <c r="S4232">
        <v>-1.5948789999999999</v>
      </c>
      <c r="T4232">
        <v>-0.23904059999999999</v>
      </c>
      <c r="U4232">
        <v>-2.6565859999999999</v>
      </c>
      <c r="V4232">
        <v>-0.29736610000000002</v>
      </c>
      <c r="W4232">
        <v>0.10968020000000001</v>
      </c>
      <c r="X4232">
        <v>0.94844280000000003</v>
      </c>
      <c r="Y4232">
        <v>-0.469221</v>
      </c>
      <c r="Z4232">
        <v>2.3262620000000001E-2</v>
      </c>
      <c r="AA4232">
        <v>0.88277430000000001</v>
      </c>
      <c r="AB4232">
        <v>26</v>
      </c>
      <c r="AC4232">
        <v>-0.25639999999998497</v>
      </c>
      <c r="AD4232">
        <v>-6.9182999999999995E-2</v>
      </c>
      <c r="AE4232">
        <v>-0.63649999999998297</v>
      </c>
      <c r="AF4232">
        <v>-0.40901254164287598</v>
      </c>
      <c r="AG4232">
        <v>-6.9182999999999995E-2</v>
      </c>
      <c r="AH4232">
        <v>0.542359084130147</v>
      </c>
      <c r="AI4232">
        <v>95.815236346319793</v>
      </c>
      <c r="AJ4232">
        <v>127.02126312731301</v>
      </c>
      <c r="AK4232">
        <v>0.68281104476176802</v>
      </c>
      <c r="AL4232">
        <v>83.7031194445957</v>
      </c>
      <c r="AM4232">
        <v>107.407818691559</v>
      </c>
      <c r="AN4232">
        <v>1.00000004428654</v>
      </c>
    </row>
    <row r="4233" spans="1:40" x14ac:dyDescent="0.25">
      <c r="A4233" t="str">
        <f>"20190312164555328"</f>
        <v>20190312164555328</v>
      </c>
      <c r="B4233" t="str">
        <f>"1552380355316031"</f>
        <v>1552380355316031</v>
      </c>
      <c r="C4233" t="s">
        <v>40</v>
      </c>
      <c r="D4233">
        <v>4.1174220000000004</v>
      </c>
      <c r="E4233">
        <v>0.42736540000000001</v>
      </c>
      <c r="F4233" t="s">
        <v>41</v>
      </c>
      <c r="G4233">
        <v>-411.50420000000003</v>
      </c>
      <c r="H4233">
        <v>1.046387</v>
      </c>
      <c r="I4233">
        <v>135.3244</v>
      </c>
      <c r="J4233">
        <v>-411.262</v>
      </c>
      <c r="K4233">
        <v>1.115362</v>
      </c>
      <c r="L4233">
        <v>135.96090000000001</v>
      </c>
      <c r="M4233">
        <v>-0.85197299999999998</v>
      </c>
      <c r="N4233">
        <v>0</v>
      </c>
      <c r="O4233">
        <v>-0.52339609999999903</v>
      </c>
      <c r="P4233">
        <v>-0.65471259999999998</v>
      </c>
      <c r="Q4233">
        <v>0.1010259</v>
      </c>
      <c r="R4233">
        <v>-0.74909630000000005</v>
      </c>
      <c r="S4233">
        <v>-1.5718379999999901</v>
      </c>
      <c r="T4233">
        <v>-0.2364994</v>
      </c>
      <c r="U4233">
        <v>-2.6699679999999999</v>
      </c>
      <c r="V4233">
        <v>-0.29733140000000002</v>
      </c>
      <c r="W4233">
        <v>0.10973090000000001</v>
      </c>
      <c r="X4233">
        <v>0.94844779999999995</v>
      </c>
      <c r="Y4233">
        <v>-0.4687212</v>
      </c>
      <c r="Z4233">
        <v>2.3725639999999999E-2</v>
      </c>
      <c r="AA4233">
        <v>0.88302749999999997</v>
      </c>
      <c r="AB4233">
        <v>26</v>
      </c>
      <c r="AC4233">
        <v>-0.24220000000008199</v>
      </c>
      <c r="AD4233">
        <v>-6.8974999999999995E-2</v>
      </c>
      <c r="AE4233">
        <v>-0.63650000000001195</v>
      </c>
      <c r="AF4233">
        <v>-0.41133608018355</v>
      </c>
      <c r="AG4233">
        <v>-6.8974999999999995E-2</v>
      </c>
      <c r="AH4233">
        <v>0.53406464821139699</v>
      </c>
      <c r="AI4233">
        <v>95.842190195024997</v>
      </c>
      <c r="AJ4233">
        <v>127.60342987916</v>
      </c>
      <c r="AK4233">
        <v>0.67762819448052103</v>
      </c>
      <c r="AL4233">
        <v>83.700196821977698</v>
      </c>
      <c r="AM4233">
        <v>107.405823834472</v>
      </c>
      <c r="AN4233">
        <v>1.0000000305828001</v>
      </c>
    </row>
    <row r="4234" spans="1:40" x14ac:dyDescent="0.25">
      <c r="A4234" t="str">
        <f>"20190312164555352"</f>
        <v>20190312164555352</v>
      </c>
      <c r="B4234" t="str">
        <f>"1552380355346261"</f>
        <v>1552380355346261</v>
      </c>
      <c r="C4234" t="s">
        <v>40</v>
      </c>
      <c r="D4234">
        <v>4.1935580000000003</v>
      </c>
      <c r="E4234">
        <v>0.42758220000000002</v>
      </c>
      <c r="F4234" t="s">
        <v>41</v>
      </c>
      <c r="G4234">
        <v>-411.72129999999999</v>
      </c>
      <c r="H4234">
        <v>1.045215</v>
      </c>
      <c r="I4234">
        <v>135.16499999999999</v>
      </c>
      <c r="J4234">
        <v>-411.48270000000002</v>
      </c>
      <c r="K4234">
        <v>1.1154040000000001</v>
      </c>
      <c r="L4234">
        <v>135.81280000000001</v>
      </c>
      <c r="M4234">
        <v>-0.84694760000000002</v>
      </c>
      <c r="N4234">
        <v>0</v>
      </c>
      <c r="O4234">
        <v>-0.53148960000000001</v>
      </c>
      <c r="P4234">
        <v>-0.64790080000000005</v>
      </c>
      <c r="Q4234">
        <v>0.10125670000000001</v>
      </c>
      <c r="R4234">
        <v>-0.75496470000000004</v>
      </c>
      <c r="S4234">
        <v>-1.54834</v>
      </c>
      <c r="T4234">
        <v>-0.23649200000000001</v>
      </c>
      <c r="U4234">
        <v>-2.6834560000000001</v>
      </c>
      <c r="V4234">
        <v>-0.29687340000000001</v>
      </c>
      <c r="W4234">
        <v>0.1099465</v>
      </c>
      <c r="X4234">
        <v>0.94856629999999997</v>
      </c>
      <c r="Y4234">
        <v>-0.46804449999999997</v>
      </c>
      <c r="Z4234">
        <v>2.446415E-2</v>
      </c>
      <c r="AA4234">
        <v>0.88336619999999999</v>
      </c>
      <c r="AB4234">
        <v>26</v>
      </c>
      <c r="AC4234">
        <v>-0.23859999999996201</v>
      </c>
      <c r="AD4234">
        <v>-7.0189000000000001E-2</v>
      </c>
      <c r="AE4234">
        <v>-0.64780000000001703</v>
      </c>
      <c r="AF4234">
        <v>-0.417564634775002</v>
      </c>
      <c r="AG4234">
        <v>-7.0189000000000001E-2</v>
      </c>
      <c r="AH4234">
        <v>0.54084404906281403</v>
      </c>
      <c r="AI4234">
        <v>95.865052447343203</v>
      </c>
      <c r="AJ4234">
        <v>127.670332897086</v>
      </c>
      <c r="AK4234">
        <v>0.686876266399153</v>
      </c>
      <c r="AL4234">
        <v>83.687768695342697</v>
      </c>
      <c r="AM4234">
        <v>107.37858783716599</v>
      </c>
      <c r="AN4234">
        <v>1.00000003699274</v>
      </c>
    </row>
    <row r="4235" spans="1:40" x14ac:dyDescent="0.25">
      <c r="A4235" t="str">
        <f>"20190312164555373"</f>
        <v>20190312164555373</v>
      </c>
      <c r="B4235" t="str">
        <f>"1552380355365777"</f>
        <v>1552380355365777</v>
      </c>
      <c r="C4235" t="s">
        <v>40</v>
      </c>
      <c r="D4235">
        <v>4.2459670000000003</v>
      </c>
      <c r="E4235">
        <v>0.42773470000000002</v>
      </c>
      <c r="F4235" t="s">
        <v>41</v>
      </c>
      <c r="G4235">
        <v>-411.99400000000003</v>
      </c>
      <c r="H4235">
        <v>1.0360830000000001</v>
      </c>
      <c r="I4235">
        <v>134.90899999999999</v>
      </c>
      <c r="J4235">
        <v>-411.69290000000001</v>
      </c>
      <c r="K4235">
        <v>1.1154580000000001</v>
      </c>
      <c r="L4235">
        <v>135.66890000000001</v>
      </c>
      <c r="M4235">
        <v>-0.84200839999999999</v>
      </c>
      <c r="N4235">
        <v>0</v>
      </c>
      <c r="O4235">
        <v>-0.53927999999999998</v>
      </c>
      <c r="P4235">
        <v>-0.64108900000000002</v>
      </c>
      <c r="Q4235">
        <v>0.10090059999999999</v>
      </c>
      <c r="R4235">
        <v>-0.7608047</v>
      </c>
      <c r="S4235">
        <v>-1.52536</v>
      </c>
      <c r="T4235">
        <v>-0.23666139999999999</v>
      </c>
      <c r="U4235">
        <v>-2.6963810000000001</v>
      </c>
      <c r="V4235">
        <v>-0.29669499999999999</v>
      </c>
      <c r="W4235">
        <v>0.10956780000000001</v>
      </c>
      <c r="X4235">
        <v>0.94866589999999995</v>
      </c>
      <c r="Y4235">
        <v>-0.46742610000000001</v>
      </c>
      <c r="Z4235">
        <v>2.5194129999999999E-2</v>
      </c>
      <c r="AA4235">
        <v>0.88367309999999999</v>
      </c>
      <c r="AB4235">
        <v>26</v>
      </c>
      <c r="AC4235">
        <v>-0.30110000000001902</v>
      </c>
      <c r="AD4235">
        <v>-7.9374999999999904E-2</v>
      </c>
      <c r="AE4235">
        <v>-0.75990000000001501</v>
      </c>
      <c r="AF4235">
        <v>-0.47305151349699898</v>
      </c>
      <c r="AG4235">
        <v>-7.9374999999999904E-2</v>
      </c>
      <c r="AH4235">
        <v>0.65719611287880098</v>
      </c>
      <c r="AI4235">
        <v>95.598525420065201</v>
      </c>
      <c r="AJ4235">
        <v>125.746440258262</v>
      </c>
      <c r="AK4235">
        <v>0.81362451771674604</v>
      </c>
      <c r="AL4235">
        <v>83.709598308299306</v>
      </c>
      <c r="AM4235">
        <v>107.367058963584</v>
      </c>
      <c r="AN4235">
        <v>1.0000000078223199</v>
      </c>
    </row>
    <row r="4236" spans="1:40" x14ac:dyDescent="0.25">
      <c r="A4236" t="str">
        <f>"20190312164555395"</f>
        <v>20190312164555395</v>
      </c>
      <c r="B4236" t="str">
        <f>"1552380355386270"</f>
        <v>1552380355386270</v>
      </c>
      <c r="C4236" t="s">
        <v>40</v>
      </c>
      <c r="D4236">
        <v>3.8075009999999998</v>
      </c>
      <c r="E4236">
        <v>0.42795709999999998</v>
      </c>
      <c r="F4236" t="s">
        <v>41</v>
      </c>
      <c r="G4236">
        <v>-412.18430000000001</v>
      </c>
      <c r="H4236">
        <v>1.036775</v>
      </c>
      <c r="I4236">
        <v>134.7833</v>
      </c>
      <c r="J4236">
        <v>-411.89839999999998</v>
      </c>
      <c r="K4236">
        <v>1.1155040000000001</v>
      </c>
      <c r="L4236">
        <v>135.52529999999999</v>
      </c>
      <c r="M4236">
        <v>-0.83703289999999997</v>
      </c>
      <c r="N4236">
        <v>0</v>
      </c>
      <c r="O4236">
        <v>-0.54697050000000003</v>
      </c>
      <c r="P4236">
        <v>-0.63420929999999998</v>
      </c>
      <c r="Q4236">
        <v>0.10135470000000001</v>
      </c>
      <c r="R4236">
        <v>-0.76648939999999999</v>
      </c>
      <c r="S4236">
        <v>-1.5024109999999999</v>
      </c>
      <c r="T4236">
        <v>-0.24063670000000001</v>
      </c>
      <c r="U4236">
        <v>-2.7091059999999998</v>
      </c>
      <c r="V4236">
        <v>-0.2965197</v>
      </c>
      <c r="W4236">
        <v>0.1099996</v>
      </c>
      <c r="X4236">
        <v>0.94867069999999998</v>
      </c>
      <c r="Y4236">
        <v>-0.4668311</v>
      </c>
      <c r="Z4236">
        <v>2.633137E-2</v>
      </c>
      <c r="AA4236">
        <v>0.88395429999999997</v>
      </c>
      <c r="AB4236">
        <v>26</v>
      </c>
      <c r="AC4236">
        <v>-0.28590000000002602</v>
      </c>
      <c r="AD4236">
        <v>-7.8728999999999993E-2</v>
      </c>
      <c r="AE4236">
        <v>-0.74199999999999</v>
      </c>
      <c r="AF4236">
        <v>-0.46023431119122199</v>
      </c>
      <c r="AG4236">
        <v>-7.8728999999999993E-2</v>
      </c>
      <c r="AH4236">
        <v>0.638960564277681</v>
      </c>
      <c r="AI4236">
        <v>95.709400597064999</v>
      </c>
      <c r="AJ4236">
        <v>125.764675571898</v>
      </c>
      <c r="AK4236">
        <v>0.79138137414315701</v>
      </c>
      <c r="AL4236">
        <v>83.684707303491507</v>
      </c>
      <c r="AM4236">
        <v>107.357331776332</v>
      </c>
      <c r="AN4236">
        <v>0.99999997076336899</v>
      </c>
    </row>
    <row r="4237" spans="1:40" x14ac:dyDescent="0.25">
      <c r="A4237" t="str">
        <f>"20190312164555417"</f>
        <v>20190312164555417</v>
      </c>
      <c r="B4237" t="str">
        <f>"1552380355405789"</f>
        <v>1552380355405789</v>
      </c>
      <c r="C4237" t="s">
        <v>40</v>
      </c>
      <c r="D4237">
        <v>4.1920190000000002</v>
      </c>
      <c r="E4237">
        <v>0.42828270000000002</v>
      </c>
      <c r="F4237" t="s">
        <v>41</v>
      </c>
      <c r="G4237">
        <v>-412.37189999999998</v>
      </c>
      <c r="H4237">
        <v>1.039007</v>
      </c>
      <c r="I4237">
        <v>134.65450000000001</v>
      </c>
      <c r="J4237">
        <v>-412.10649999999998</v>
      </c>
      <c r="K4237">
        <v>1.115553</v>
      </c>
      <c r="L4237">
        <v>135.37690000000001</v>
      </c>
      <c r="M4237">
        <v>-0.83183869999999904</v>
      </c>
      <c r="N4237">
        <v>0</v>
      </c>
      <c r="O4237">
        <v>-0.554838099999999</v>
      </c>
      <c r="P4237">
        <v>-0.62709389999999998</v>
      </c>
      <c r="Q4237">
        <v>0.10159079999999999</v>
      </c>
      <c r="R4237">
        <v>-0.7722909</v>
      </c>
      <c r="S4237">
        <v>-1.4797670000000001</v>
      </c>
      <c r="T4237">
        <v>-0.23909559999999999</v>
      </c>
      <c r="U4237">
        <v>-2.7211759999999998</v>
      </c>
      <c r="V4237">
        <v>-0.29633890000000002</v>
      </c>
      <c r="W4237">
        <v>0.1102133</v>
      </c>
      <c r="X4237">
        <v>0.94870239999999995</v>
      </c>
      <c r="Y4237">
        <v>-0.46583140000000001</v>
      </c>
      <c r="Z4237">
        <v>2.690938E-2</v>
      </c>
      <c r="AA4237">
        <v>0.88446429999999998</v>
      </c>
      <c r="AB4237">
        <v>26</v>
      </c>
      <c r="AC4237">
        <v>-0.26539999999999903</v>
      </c>
      <c r="AD4237">
        <v>-7.6546000000000003E-2</v>
      </c>
      <c r="AE4237">
        <v>-0.72239999999999305</v>
      </c>
      <c r="AF4237">
        <v>-0.44926705141294698</v>
      </c>
      <c r="AG4237">
        <v>-7.6546000000000003E-2</v>
      </c>
      <c r="AH4237">
        <v>0.61555753509964595</v>
      </c>
      <c r="AI4237">
        <v>95.735820919051207</v>
      </c>
      <c r="AJ4237">
        <v>126.123981941575</v>
      </c>
      <c r="AK4237">
        <v>0.76590551154775999</v>
      </c>
      <c r="AL4237">
        <v>83.672388348220807</v>
      </c>
      <c r="AM4237">
        <v>107.34683864848</v>
      </c>
      <c r="AN4237">
        <v>0.99999997945792896</v>
      </c>
    </row>
    <row r="4238" spans="1:40" x14ac:dyDescent="0.25">
      <c r="A4238" t="str">
        <f>"20190312164555440"</f>
        <v>20190312164555440</v>
      </c>
      <c r="B4238" t="str">
        <f>"1552380355436045"</f>
        <v>1552380355436045</v>
      </c>
      <c r="C4238" t="s">
        <v>40</v>
      </c>
      <c r="D4238">
        <v>4.2412489999999998</v>
      </c>
      <c r="E4238">
        <v>0.42863990000000002</v>
      </c>
      <c r="F4238" t="s">
        <v>41</v>
      </c>
      <c r="G4238">
        <v>-412.56009999999998</v>
      </c>
      <c r="H4238">
        <v>1.0416890000000001</v>
      </c>
      <c r="I4238">
        <v>134.52610000000001</v>
      </c>
      <c r="J4238">
        <v>-412.31569999999999</v>
      </c>
      <c r="K4238">
        <v>1.115594</v>
      </c>
      <c r="L4238">
        <v>135.22460000000001</v>
      </c>
      <c r="M4238">
        <v>-0.82644919999999999</v>
      </c>
      <c r="N4238">
        <v>0</v>
      </c>
      <c r="O4238">
        <v>-0.562834099999999</v>
      </c>
      <c r="P4238">
        <v>-0.61966529999999997</v>
      </c>
      <c r="Q4238">
        <v>0.10182289999999999</v>
      </c>
      <c r="R4238">
        <v>-0.77823359999999997</v>
      </c>
      <c r="S4238">
        <v>-1.4566349999999999</v>
      </c>
      <c r="T4238">
        <v>-0.2372406</v>
      </c>
      <c r="U4238">
        <v>-2.7329560000000002</v>
      </c>
      <c r="V4238">
        <v>-0.29627150000000002</v>
      </c>
      <c r="W4238">
        <v>0.1104195</v>
      </c>
      <c r="X4238">
        <v>0.94869950000000003</v>
      </c>
      <c r="Y4238">
        <v>-0.464725</v>
      </c>
      <c r="Z4238">
        <v>2.746121E-2</v>
      </c>
      <c r="AA4238">
        <v>0.88502909999999901</v>
      </c>
      <c r="AB4238">
        <v>26</v>
      </c>
      <c r="AC4238">
        <v>-0.24439999999998399</v>
      </c>
      <c r="AD4238">
        <v>-7.3905000000000096E-2</v>
      </c>
      <c r="AE4238">
        <v>-0.69849999999999501</v>
      </c>
      <c r="AF4238">
        <v>-0.435419226446219</v>
      </c>
      <c r="AG4238">
        <v>-7.3905000000000096E-2</v>
      </c>
      <c r="AH4238">
        <v>0.58930560038286905</v>
      </c>
      <c r="AI4238">
        <v>95.759637446717406</v>
      </c>
      <c r="AJ4238">
        <v>126.459520213202</v>
      </c>
      <c r="AK4238">
        <v>0.73643257833058795</v>
      </c>
      <c r="AL4238">
        <v>83.660501565885198</v>
      </c>
      <c r="AM4238">
        <v>107.34317972154</v>
      </c>
      <c r="AN4238">
        <v>1.0000000044963699</v>
      </c>
    </row>
    <row r="4239" spans="1:40" x14ac:dyDescent="0.25">
      <c r="A4239" t="str">
        <f>"20190312164555463"</f>
        <v>20190312164555463</v>
      </c>
      <c r="B4239" t="str">
        <f>"1552380355455566"</f>
        <v>1552380355455566</v>
      </c>
      <c r="C4239" t="s">
        <v>40</v>
      </c>
      <c r="D4239">
        <v>4.2966490000000004</v>
      </c>
      <c r="E4239">
        <v>0.42895349999999999</v>
      </c>
      <c r="F4239" t="s">
        <v>41</v>
      </c>
      <c r="G4239">
        <v>-412.74770000000001</v>
      </c>
      <c r="H4239">
        <v>1.044087</v>
      </c>
      <c r="I4239">
        <v>134.39670000000001</v>
      </c>
      <c r="J4239">
        <v>-412.524</v>
      </c>
      <c r="K4239">
        <v>1.115648</v>
      </c>
      <c r="L4239">
        <v>135.06979999999999</v>
      </c>
      <c r="M4239">
        <v>-0.82090839999999998</v>
      </c>
      <c r="N4239">
        <v>0</v>
      </c>
      <c r="O4239">
        <v>-0.57088519999999998</v>
      </c>
      <c r="P4239">
        <v>-0.61196260000000002</v>
      </c>
      <c r="Q4239">
        <v>0.1019423</v>
      </c>
      <c r="R4239">
        <v>-0.78428949999999997</v>
      </c>
      <c r="S4239">
        <v>-1.432739</v>
      </c>
      <c r="T4239">
        <v>-0.23713419999999999</v>
      </c>
      <c r="U4239">
        <v>-2.745117</v>
      </c>
      <c r="V4239">
        <v>-0.29635539999999999</v>
      </c>
      <c r="W4239">
        <v>0.1105091</v>
      </c>
      <c r="X4239">
        <v>0.94866289999999998</v>
      </c>
      <c r="Y4239">
        <v>-0.46374870000000001</v>
      </c>
      <c r="Z4239">
        <v>2.820841E-2</v>
      </c>
      <c r="AA4239">
        <v>0.88551759999999902</v>
      </c>
      <c r="AB4239">
        <v>26</v>
      </c>
      <c r="AC4239">
        <v>-0.223700000000008</v>
      </c>
      <c r="AD4239">
        <v>-7.1560999999999902E-2</v>
      </c>
      <c r="AE4239">
        <v>-0.67309999999997605</v>
      </c>
      <c r="AF4239">
        <v>-0.42060755303880598</v>
      </c>
      <c r="AG4239">
        <v>-7.1560999999999902E-2</v>
      </c>
      <c r="AH4239">
        <v>0.56223385928173097</v>
      </c>
      <c r="AI4239">
        <v>95.819301548503702</v>
      </c>
      <c r="AJ4239">
        <v>126.800188739867</v>
      </c>
      <c r="AK4239">
        <v>0.70578934740977906</v>
      </c>
      <c r="AL4239">
        <v>83.655336485788098</v>
      </c>
      <c r="AM4239">
        <v>107.34842552991999</v>
      </c>
      <c r="AN4239">
        <v>1.0000000410641801</v>
      </c>
    </row>
    <row r="4240" spans="1:40" x14ac:dyDescent="0.25">
      <c r="A4240" t="str">
        <f>"20190312164555485"</f>
        <v>20190312164555485</v>
      </c>
      <c r="B4240" t="str">
        <f>"1552380355476062"</f>
        <v>1552380355476062</v>
      </c>
      <c r="C4240" t="s">
        <v>40</v>
      </c>
      <c r="D4240">
        <v>4.4038950000000003</v>
      </c>
      <c r="E4240">
        <v>0.42926750000000002</v>
      </c>
      <c r="F4240" t="s">
        <v>41</v>
      </c>
      <c r="G4240">
        <v>-412.93540000000002</v>
      </c>
      <c r="H4240">
        <v>1.0463659999999999</v>
      </c>
      <c r="I4240">
        <v>134.26410000000001</v>
      </c>
      <c r="J4240">
        <v>-412.72919999999999</v>
      </c>
      <c r="K4240">
        <v>1.1156999999999999</v>
      </c>
      <c r="L4240">
        <v>134.91409999999999</v>
      </c>
      <c r="M4240">
        <v>-0.81526960000000004</v>
      </c>
      <c r="N4240">
        <v>0</v>
      </c>
      <c r="O4240">
        <v>-0.57890869999999905</v>
      </c>
      <c r="P4240">
        <v>-0.60434169999999998</v>
      </c>
      <c r="Q4240">
        <v>0.10184609999999999</v>
      </c>
      <c r="R4240">
        <v>-0.79018909999999998</v>
      </c>
      <c r="S4240">
        <v>-1.4078980000000001</v>
      </c>
      <c r="T4240">
        <v>-0.23707829999999999</v>
      </c>
      <c r="U4240">
        <v>-2.7573850000000002</v>
      </c>
      <c r="V4240">
        <v>-0.2962573</v>
      </c>
      <c r="W4240">
        <v>0.11038580000000001</v>
      </c>
      <c r="X4240">
        <v>0.94870790000000005</v>
      </c>
      <c r="Y4240">
        <v>-0.46299770000000001</v>
      </c>
      <c r="Z4240">
        <v>2.8953010000000001E-2</v>
      </c>
      <c r="AA4240">
        <v>0.88588650000000002</v>
      </c>
      <c r="AB4240">
        <v>26</v>
      </c>
      <c r="AC4240">
        <v>-0.206200000000023</v>
      </c>
      <c r="AD4240">
        <v>-6.9334000000000007E-2</v>
      </c>
      <c r="AE4240">
        <v>-0.64999999999997704</v>
      </c>
      <c r="AF4240">
        <v>-0.40639420198452703</v>
      </c>
      <c r="AG4240">
        <v>-6.9334000000000007E-2</v>
      </c>
      <c r="AH4240">
        <v>0.53888295808905395</v>
      </c>
      <c r="AI4240">
        <v>95.865157150980806</v>
      </c>
      <c r="AJ4240">
        <v>127.02147542674599</v>
      </c>
      <c r="AK4240">
        <v>0.678497084357369</v>
      </c>
      <c r="AL4240">
        <v>83.662444574392595</v>
      </c>
      <c r="AM4240">
        <v>107.342253985147</v>
      </c>
      <c r="AN4240">
        <v>1.00000004608366</v>
      </c>
    </row>
    <row r="4241" spans="1:40" x14ac:dyDescent="0.25">
      <c r="A4241" t="str">
        <f>"20190312164555508"</f>
        <v>20190312164555508</v>
      </c>
      <c r="B4241" t="str">
        <f>"1552380355495581"</f>
        <v>1552380355495581</v>
      </c>
      <c r="C4241" t="s">
        <v>40</v>
      </c>
      <c r="D4241">
        <v>4.4213500000000003</v>
      </c>
      <c r="E4241">
        <v>0.42955330000000003</v>
      </c>
      <c r="F4241" t="s">
        <v>41</v>
      </c>
      <c r="G4241">
        <v>-413.14170000000001</v>
      </c>
      <c r="H4241">
        <v>1.044605</v>
      </c>
      <c r="I4241">
        <v>134.0882</v>
      </c>
      <c r="J4241">
        <v>-412.9307</v>
      </c>
      <c r="K4241">
        <v>1.1157629999999901</v>
      </c>
      <c r="L4241">
        <v>134.75790000000001</v>
      </c>
      <c r="M4241">
        <v>-0.80955410000000005</v>
      </c>
      <c r="N4241">
        <v>0</v>
      </c>
      <c r="O4241">
        <v>-0.58687449999999997</v>
      </c>
      <c r="P4241">
        <v>-0.59662579999999998</v>
      </c>
      <c r="Q4241">
        <v>0.1013116</v>
      </c>
      <c r="R4241">
        <v>-0.79609919999999901</v>
      </c>
      <c r="S4241">
        <v>-1.382965</v>
      </c>
      <c r="T4241">
        <v>-0.23834720000000001</v>
      </c>
      <c r="U4241">
        <v>-2.7695620000000001</v>
      </c>
      <c r="V4241">
        <v>-0.29624650000000002</v>
      </c>
      <c r="W4241">
        <v>0.1098214</v>
      </c>
      <c r="X4241">
        <v>0.94877670000000003</v>
      </c>
      <c r="Y4241">
        <v>-0.46226309999999898</v>
      </c>
      <c r="Z4241">
        <v>2.985757E-2</v>
      </c>
      <c r="AA4241">
        <v>0.88623999999999903</v>
      </c>
      <c r="AB4241">
        <v>26</v>
      </c>
      <c r="AC4241">
        <v>-0.21100000000001201</v>
      </c>
      <c r="AD4241">
        <v>-7.1157999999999805E-2</v>
      </c>
      <c r="AE4241">
        <v>-0.66970000000000596</v>
      </c>
      <c r="AF4241">
        <v>-0.41411669230142301</v>
      </c>
      <c r="AG4241">
        <v>-7.1157999999999805E-2</v>
      </c>
      <c r="AH4241">
        <v>0.55816971788567404</v>
      </c>
      <c r="AI4241">
        <v>95.845766470509503</v>
      </c>
      <c r="AJ4241">
        <v>126.572420068547</v>
      </c>
      <c r="AK4241">
        <v>0.69864835917022305</v>
      </c>
      <c r="AL4241">
        <v>83.694979689866798</v>
      </c>
      <c r="AM4241">
        <v>107.340477563325</v>
      </c>
      <c r="AN4241">
        <v>0.99999997756154901</v>
      </c>
    </row>
    <row r="4242" spans="1:40" x14ac:dyDescent="0.25">
      <c r="A4242" t="str">
        <f>"20190312164555530"</f>
        <v>20190312164555530</v>
      </c>
      <c r="B4242" t="str">
        <f>"1552380355525838"</f>
        <v>1552380355525838</v>
      </c>
      <c r="C4242" t="s">
        <v>40</v>
      </c>
      <c r="D4242">
        <v>4.3076610000000004</v>
      </c>
      <c r="E4242">
        <v>0.43007580000000001</v>
      </c>
      <c r="F4242" t="s">
        <v>41</v>
      </c>
      <c r="G4242">
        <v>-413.34280000000001</v>
      </c>
      <c r="H4242">
        <v>1.042719</v>
      </c>
      <c r="I4242">
        <v>133.91370000000001</v>
      </c>
      <c r="J4242">
        <v>-413.12900000000002</v>
      </c>
      <c r="K4242">
        <v>1.115818</v>
      </c>
      <c r="L4242">
        <v>134.60079999999999</v>
      </c>
      <c r="M4242">
        <v>-0.80374250000000003</v>
      </c>
      <c r="N4242">
        <v>0</v>
      </c>
      <c r="O4242">
        <v>-0.59480880000000003</v>
      </c>
      <c r="P4242">
        <v>-0.58831020000000001</v>
      </c>
      <c r="Q4242">
        <v>0.101451399999999</v>
      </c>
      <c r="R4242">
        <v>-0.80224589999999996</v>
      </c>
      <c r="S4242">
        <v>-1.357666</v>
      </c>
      <c r="T4242">
        <v>-0.24062320000000001</v>
      </c>
      <c r="U4242">
        <v>-2.7815089999999998</v>
      </c>
      <c r="V4242">
        <v>-0.29679060000000002</v>
      </c>
      <c r="W4242">
        <v>0.1099195</v>
      </c>
      <c r="X4242">
        <v>0.94859530000000003</v>
      </c>
      <c r="Y4242">
        <v>-0.46156839999999999</v>
      </c>
      <c r="Z4242">
        <v>3.089768E-2</v>
      </c>
      <c r="AA4242">
        <v>0.88656639999999998</v>
      </c>
      <c r="AB4242">
        <v>26</v>
      </c>
      <c r="AC4242">
        <v>-0.213799999999992</v>
      </c>
      <c r="AD4242">
        <v>-7.3098999999999997E-2</v>
      </c>
      <c r="AE4242">
        <v>-0.68709999999998606</v>
      </c>
      <c r="AF4242">
        <v>-0.420781829476855</v>
      </c>
      <c r="AG4242">
        <v>-7.3098999999999997E-2</v>
      </c>
      <c r="AH4242">
        <v>0.57466142068703696</v>
      </c>
      <c r="AI4242">
        <v>95.859852144989006</v>
      </c>
      <c r="AJ4242">
        <v>126.212544780062</v>
      </c>
      <c r="AK4242">
        <v>0.71598642462335405</v>
      </c>
      <c r="AL4242">
        <v>83.689324880109297</v>
      </c>
      <c r="AM4242">
        <v>107.37353339041201</v>
      </c>
      <c r="AN4242">
        <v>0.99999999995535005</v>
      </c>
    </row>
    <row r="4243" spans="1:40" x14ac:dyDescent="0.25">
      <c r="A4243" t="str">
        <f>"20190312164555552"</f>
        <v>20190312164555552</v>
      </c>
      <c r="B4243" t="str">
        <f>"1552380355545357"</f>
        <v>1552380355545357</v>
      </c>
      <c r="C4243" t="s">
        <v>40</v>
      </c>
      <c r="D4243">
        <v>4.2423060000000001</v>
      </c>
      <c r="E4243">
        <v>0.43007679999999998</v>
      </c>
      <c r="F4243" t="s">
        <v>41</v>
      </c>
      <c r="G4243">
        <v>-413.58120000000002</v>
      </c>
      <c r="H4243">
        <v>1.0339449999999999</v>
      </c>
      <c r="I4243">
        <v>133.65309999999999</v>
      </c>
      <c r="J4243">
        <v>-413.32780000000002</v>
      </c>
      <c r="K4243">
        <v>1.1158779999999999</v>
      </c>
      <c r="L4243">
        <v>134.43989999999999</v>
      </c>
      <c r="M4243">
        <v>-0.79772959999999904</v>
      </c>
      <c r="N4243">
        <v>0</v>
      </c>
      <c r="O4243">
        <v>-0.60284890000000002</v>
      </c>
      <c r="P4243">
        <v>-0.57972709999999905</v>
      </c>
      <c r="Q4243">
        <v>0.1015216</v>
      </c>
      <c r="R4243">
        <v>-0.80846149999999894</v>
      </c>
      <c r="S4243">
        <v>-1.3321229999999999</v>
      </c>
      <c r="T4243">
        <v>-0.24124119999999999</v>
      </c>
      <c r="U4243">
        <v>-2.793167</v>
      </c>
      <c r="V4243">
        <v>-0.29738490000000001</v>
      </c>
      <c r="W4243">
        <v>0.1099489</v>
      </c>
      <c r="X4243">
        <v>0.94840570000000002</v>
      </c>
      <c r="Y4243">
        <v>-0.46071909999999999</v>
      </c>
      <c r="Z4243">
        <v>3.1753539999999997E-2</v>
      </c>
      <c r="AA4243">
        <v>0.88697780000000004</v>
      </c>
      <c r="AB4243">
        <v>26</v>
      </c>
      <c r="AC4243">
        <v>-0.25339999999999901</v>
      </c>
      <c r="AD4243">
        <v>-8.1933000000000006E-2</v>
      </c>
      <c r="AE4243">
        <v>-0.78679999999999894</v>
      </c>
      <c r="AF4243">
        <v>-0.47031856624784502</v>
      </c>
      <c r="AG4243">
        <v>-8.1933000000000006E-2</v>
      </c>
      <c r="AH4243">
        <v>0.66995187650408605</v>
      </c>
      <c r="AI4243">
        <v>95.715952296205202</v>
      </c>
      <c r="AJ4243">
        <v>125.069562505774</v>
      </c>
      <c r="AK4243">
        <v>0.822647000284918</v>
      </c>
      <c r="AL4243">
        <v>83.687629830698</v>
      </c>
      <c r="AM4243">
        <v>107.409492606204</v>
      </c>
      <c r="AN4243">
        <v>0.99999995557585397</v>
      </c>
    </row>
    <row r="4244" spans="1:40" x14ac:dyDescent="0.25">
      <c r="A4244" t="str">
        <f>"20190312164555574"</f>
        <v>20190312164555574</v>
      </c>
      <c r="B4244" t="str">
        <f>"1552380355565854"</f>
        <v>1552380355565854</v>
      </c>
      <c r="C4244" t="s">
        <v>40</v>
      </c>
      <c r="D4244">
        <v>4.2779369999999997</v>
      </c>
      <c r="E4244">
        <v>0.42994539999999998</v>
      </c>
      <c r="F4244" t="s">
        <v>41</v>
      </c>
      <c r="G4244">
        <v>-413.75779999999997</v>
      </c>
      <c r="H4244">
        <v>1.036627</v>
      </c>
      <c r="I4244">
        <v>133.51320000000001</v>
      </c>
      <c r="J4244">
        <v>-413.51749999999998</v>
      </c>
      <c r="K4244">
        <v>1.1159209999999999</v>
      </c>
      <c r="L4244">
        <v>134.28309999999999</v>
      </c>
      <c r="M4244">
        <v>-0.79182299999999906</v>
      </c>
      <c r="N4244">
        <v>0</v>
      </c>
      <c r="O4244">
        <v>-0.61058579999999996</v>
      </c>
      <c r="P4244">
        <v>-0.57099200000000006</v>
      </c>
      <c r="Q4244">
        <v>0.1011214</v>
      </c>
      <c r="R4244">
        <v>-0.81470390000000004</v>
      </c>
      <c r="S4244">
        <v>-1.3023990000000001</v>
      </c>
      <c r="T4244">
        <v>-0.2400552</v>
      </c>
      <c r="U4244">
        <v>-2.8069609999999998</v>
      </c>
      <c r="V4244">
        <v>-0.29840549999999999</v>
      </c>
      <c r="W4244">
        <v>0.1095072</v>
      </c>
      <c r="X4244">
        <v>0.94813619999999998</v>
      </c>
      <c r="Y4244">
        <v>-0.46148220000000001</v>
      </c>
      <c r="Z4244">
        <v>3.2281980000000002E-2</v>
      </c>
      <c r="AA4244">
        <v>0.88656190000000001</v>
      </c>
      <c r="AB4244">
        <v>26</v>
      </c>
      <c r="AC4244">
        <v>-0.24029999999998999</v>
      </c>
      <c r="AD4244">
        <v>-7.9293999999999906E-2</v>
      </c>
      <c r="AE4244">
        <v>-0.76989999999997805</v>
      </c>
      <c r="AF4244">
        <v>-0.45851542163656001</v>
      </c>
      <c r="AG4244">
        <v>-7.9293999999999906E-2</v>
      </c>
      <c r="AH4244">
        <v>0.65410903734972403</v>
      </c>
      <c r="AI4244">
        <v>95.668914123912202</v>
      </c>
      <c r="AJ4244">
        <v>125.029573887452</v>
      </c>
      <c r="AK4244">
        <v>0.80273442872293399</v>
      </c>
      <c r="AL4244">
        <v>83.713091159634203</v>
      </c>
      <c r="AM4244">
        <v>107.470275490357</v>
      </c>
      <c r="AN4244">
        <v>0.99999996151626402</v>
      </c>
    </row>
    <row r="4245" spans="1:40" x14ac:dyDescent="0.25">
      <c r="A4245" t="str">
        <f>"20190312164555596"</f>
        <v>20190312164555596</v>
      </c>
      <c r="B4245" t="str">
        <f>"1552380355585374"</f>
        <v>1552380355585374</v>
      </c>
      <c r="C4245" t="s">
        <v>40</v>
      </c>
      <c r="D4245">
        <v>4.2935319999999999</v>
      </c>
      <c r="E4245">
        <v>0.40360629999999997</v>
      </c>
      <c r="F4245" t="s">
        <v>41</v>
      </c>
      <c r="G4245">
        <v>-413.92959999999999</v>
      </c>
      <c r="H4245">
        <v>1.0376289999999999</v>
      </c>
      <c r="I4245">
        <v>133.36879999999999</v>
      </c>
      <c r="J4245">
        <v>-413.70890000000003</v>
      </c>
      <c r="K4245">
        <v>1.1159559999999999</v>
      </c>
      <c r="L4245">
        <v>134.1216</v>
      </c>
      <c r="M4245">
        <v>-0.78569089999999997</v>
      </c>
      <c r="N4245">
        <v>0</v>
      </c>
      <c r="O4245">
        <v>-0.61845649999999996</v>
      </c>
      <c r="P4245">
        <v>-0.56217320000000004</v>
      </c>
      <c r="Q4245">
        <v>0.10047300000000001</v>
      </c>
      <c r="R4245">
        <v>-0.82089380000000001</v>
      </c>
      <c r="S4245">
        <v>-1.271088</v>
      </c>
      <c r="T4245">
        <v>-0.24156830000000001</v>
      </c>
      <c r="U4245">
        <v>-2.8214419999999998</v>
      </c>
      <c r="V4245">
        <v>-0.29923139999999998</v>
      </c>
      <c r="W4245">
        <v>0.10882509999999999</v>
      </c>
      <c r="X4245">
        <v>0.94795450000000003</v>
      </c>
      <c r="Y4245">
        <v>-0.46252660000000001</v>
      </c>
      <c r="Z4245">
        <v>3.3174229999999999E-2</v>
      </c>
      <c r="AA4245">
        <v>0.88598449999999995</v>
      </c>
      <c r="AB4245">
        <v>26</v>
      </c>
      <c r="AC4245">
        <v>-0.22069999999996501</v>
      </c>
      <c r="AD4245">
        <v>-7.83269999999998E-2</v>
      </c>
      <c r="AE4245">
        <v>-0.75280000000000702</v>
      </c>
      <c r="AF4245">
        <v>-0.45052922500665199</v>
      </c>
      <c r="AG4245">
        <v>-7.83269999999998E-2</v>
      </c>
      <c r="AH4245">
        <v>0.63273263287998205</v>
      </c>
      <c r="AI4245">
        <v>95.758270271885607</v>
      </c>
      <c r="AJ4245">
        <v>125.452283603252</v>
      </c>
      <c r="AK4245">
        <v>0.78068065572635303</v>
      </c>
      <c r="AL4245">
        <v>83.752408039292902</v>
      </c>
      <c r="AM4245">
        <v>107.518827055325</v>
      </c>
      <c r="AN4245">
        <v>1.0000000336031001</v>
      </c>
    </row>
    <row r="4246" spans="1:40" x14ac:dyDescent="0.25">
      <c r="A4246" t="str">
        <f>"20190312164555618"</f>
        <v>20190312164555618</v>
      </c>
      <c r="B4246" t="str">
        <f>"1552380355615630"</f>
        <v>1552380355615630</v>
      </c>
      <c r="C4246" t="s">
        <v>40</v>
      </c>
      <c r="D4246">
        <v>4.2344480000000004</v>
      </c>
      <c r="E4246">
        <v>0.4066034</v>
      </c>
      <c r="F4246" t="s">
        <v>41</v>
      </c>
      <c r="G4246">
        <v>-414.04849999999999</v>
      </c>
      <c r="H4246">
        <v>1.0151410000000001</v>
      </c>
      <c r="I4246">
        <v>133.18109999999999</v>
      </c>
      <c r="J4246">
        <v>-413.90120000000002</v>
      </c>
      <c r="K4246">
        <v>1.1159829999999999</v>
      </c>
      <c r="L4246">
        <v>133.95590000000001</v>
      </c>
      <c r="M4246">
        <v>-0.77935459999999901</v>
      </c>
      <c r="N4246">
        <v>0</v>
      </c>
      <c r="O4246">
        <v>-0.62642189999999998</v>
      </c>
      <c r="P4246">
        <v>-0.55306880000000003</v>
      </c>
      <c r="Q4246">
        <v>0.1008537</v>
      </c>
      <c r="R4246">
        <v>-0.82700869999999904</v>
      </c>
      <c r="S4246">
        <v>-1.0694269999999999</v>
      </c>
      <c r="T4246">
        <v>-0.31743369999999999</v>
      </c>
      <c r="U4246">
        <v>-2.9610289999999999</v>
      </c>
      <c r="V4246">
        <v>-0.300035099999999</v>
      </c>
      <c r="W4246">
        <v>0.10917540000000001</v>
      </c>
      <c r="X4246">
        <v>0.94766010000000001</v>
      </c>
      <c r="Y4246">
        <v>-0.52030639999999995</v>
      </c>
      <c r="Z4246">
        <v>4.0966389999999998E-2</v>
      </c>
      <c r="AA4246">
        <v>0.85299650000000005</v>
      </c>
      <c r="AB4246">
        <v>26</v>
      </c>
      <c r="AC4246">
        <v>-0.14729999999997201</v>
      </c>
      <c r="AD4246">
        <v>-0.100841999999999</v>
      </c>
      <c r="AE4246">
        <v>-0.77480000000002702</v>
      </c>
      <c r="AF4246">
        <v>-0.50339382989523396</v>
      </c>
      <c r="AG4246">
        <v>-0.100841999999999</v>
      </c>
      <c r="AH4246">
        <v>0.59055640364454398</v>
      </c>
      <c r="AI4246">
        <v>97.404236834566504</v>
      </c>
      <c r="AJ4246">
        <v>130.44447321264701</v>
      </c>
      <c r="AK4246">
        <v>0.78251602081118399</v>
      </c>
      <c r="AL4246">
        <v>83.732216795326096</v>
      </c>
      <c r="AM4246">
        <v>107.56811201185999</v>
      </c>
      <c r="AN4246">
        <v>0.99999999716458898</v>
      </c>
    </row>
    <row r="4247" spans="1:40" x14ac:dyDescent="0.25">
      <c r="A4247" t="str">
        <f>"20190312164555641"</f>
        <v>20190312164555641</v>
      </c>
      <c r="B4247" t="str">
        <f>"1552380355636125"</f>
        <v>1552380355636125</v>
      </c>
      <c r="C4247" t="s">
        <v>40</v>
      </c>
      <c r="D4247">
        <v>4.3128859999999998</v>
      </c>
      <c r="E4247">
        <v>0.40720600000000001</v>
      </c>
      <c r="F4247" t="s">
        <v>41</v>
      </c>
      <c r="G4247">
        <v>-414.2278</v>
      </c>
      <c r="H4247">
        <v>1.0337050000000001</v>
      </c>
      <c r="I4247">
        <v>133.04300000000001</v>
      </c>
      <c r="J4247">
        <v>-414.09719999999999</v>
      </c>
      <c r="K4247">
        <v>1.116012</v>
      </c>
      <c r="L4247">
        <v>133.7834</v>
      </c>
      <c r="M4247">
        <v>-0.77271299999999998</v>
      </c>
      <c r="N4247">
        <v>0</v>
      </c>
      <c r="O4247">
        <v>-0.6345963</v>
      </c>
      <c r="P4247">
        <v>-0.54372909999999997</v>
      </c>
      <c r="Q4247">
        <v>0.10154680000000001</v>
      </c>
      <c r="R4247">
        <v>-0.83309509999999898</v>
      </c>
      <c r="S4247">
        <v>-1.0558780000000001</v>
      </c>
      <c r="T4247">
        <v>-0.26611030000000002</v>
      </c>
      <c r="U4247">
        <v>-2.9538730000000002</v>
      </c>
      <c r="V4247">
        <v>-0.3006702</v>
      </c>
      <c r="W4247">
        <v>0.1098437</v>
      </c>
      <c r="X4247">
        <v>0.94738160000000005</v>
      </c>
      <c r="Y4247">
        <v>-0.51412219999999997</v>
      </c>
      <c r="Z4247">
        <v>3.5605619999999998E-2</v>
      </c>
      <c r="AA4247">
        <v>0.85697760000000001</v>
      </c>
      <c r="AB4247">
        <v>26</v>
      </c>
      <c r="AC4247">
        <v>-0.13060000000001501</v>
      </c>
      <c r="AD4247">
        <v>-8.2307000000000102E-2</v>
      </c>
      <c r="AE4247">
        <v>-0.74039999999999395</v>
      </c>
      <c r="AF4247">
        <v>-0.48349327260705599</v>
      </c>
      <c r="AG4247">
        <v>-8.2307000000000102E-2</v>
      </c>
      <c r="AH4247">
        <v>0.56406881578241597</v>
      </c>
      <c r="AI4247">
        <v>96.321880309860504</v>
      </c>
      <c r="AJ4247">
        <v>130.60162935957501</v>
      </c>
      <c r="AK4247">
        <v>0.74747161540988105</v>
      </c>
      <c r="AL4247">
        <v>83.693694687100106</v>
      </c>
      <c r="AM4247">
        <v>107.607860291542</v>
      </c>
      <c r="AN4247">
        <v>1.00000005180814</v>
      </c>
    </row>
    <row r="4248" spans="1:40" x14ac:dyDescent="0.25">
      <c r="A4248" t="str">
        <f>"20190312164555664"</f>
        <v>20190312164555664</v>
      </c>
      <c r="B4248" t="str">
        <f>"1552380355655646"</f>
        <v>1552380355655646</v>
      </c>
      <c r="C4248" t="s">
        <v>40</v>
      </c>
      <c r="D4248">
        <v>4.2547199999999998</v>
      </c>
      <c r="E4248">
        <v>0.40794540000000001</v>
      </c>
      <c r="F4248" t="s">
        <v>41</v>
      </c>
      <c r="G4248">
        <v>-414.40300000000002</v>
      </c>
      <c r="H4248">
        <v>1.0305489999999999</v>
      </c>
      <c r="I4248">
        <v>132.90119999999999</v>
      </c>
      <c r="J4248">
        <v>-414.28449999999998</v>
      </c>
      <c r="K4248">
        <v>1.116034</v>
      </c>
      <c r="L4248">
        <v>133.61510000000001</v>
      </c>
      <c r="M4248">
        <v>-0.76619890000000002</v>
      </c>
      <c r="N4248">
        <v>0</v>
      </c>
      <c r="O4248">
        <v>-0.64244609999999902</v>
      </c>
      <c r="P4248">
        <v>-0.53458319999999904</v>
      </c>
      <c r="Q4248">
        <v>0.10266699999999999</v>
      </c>
      <c r="R4248">
        <v>-0.83885659999999895</v>
      </c>
      <c r="S4248">
        <v>-1.0281070000000001</v>
      </c>
      <c r="T4248">
        <v>-0.28728520000000002</v>
      </c>
      <c r="U4248">
        <v>-2.9650729999999998</v>
      </c>
      <c r="V4248">
        <v>-0.30129</v>
      </c>
      <c r="W4248">
        <v>0.11094270000000001</v>
      </c>
      <c r="X4248">
        <v>0.94705649999999997</v>
      </c>
      <c r="Y4248">
        <v>-0.51356829999999998</v>
      </c>
      <c r="Z4248">
        <v>3.9310680000000001E-2</v>
      </c>
      <c r="AA4248">
        <v>0.85714780000000002</v>
      </c>
      <c r="AB4248">
        <v>26</v>
      </c>
      <c r="AC4248">
        <v>-0.11850000000004</v>
      </c>
      <c r="AD4248">
        <v>-8.5485000000000005E-2</v>
      </c>
      <c r="AE4248">
        <v>-0.71390000000002296</v>
      </c>
      <c r="AF4248">
        <v>-0.46442651378997002</v>
      </c>
      <c r="AG4248">
        <v>-8.5485000000000005E-2</v>
      </c>
      <c r="AH4248">
        <v>0.54193027662700199</v>
      </c>
      <c r="AI4248">
        <v>96.830105288888305</v>
      </c>
      <c r="AJ4248">
        <v>130.59610444153401</v>
      </c>
      <c r="AK4248">
        <v>0.71881019515663802</v>
      </c>
      <c r="AL4248">
        <v>83.630338941209999</v>
      </c>
      <c r="AM4248">
        <v>107.64758834249901</v>
      </c>
      <c r="AN4248">
        <v>0.99999998048776895</v>
      </c>
    </row>
    <row r="4249" spans="1:40" x14ac:dyDescent="0.25">
      <c r="A4249" t="str">
        <f>"20190312164555686"</f>
        <v>20190312164555686</v>
      </c>
      <c r="B4249" t="str">
        <f>"1552380355676141"</f>
        <v>1552380355676141</v>
      </c>
      <c r="C4249" t="s">
        <v>40</v>
      </c>
      <c r="D4249">
        <v>4.2884449999999896</v>
      </c>
      <c r="E4249">
        <v>0.40826980000000002</v>
      </c>
      <c r="F4249" t="s">
        <v>41</v>
      </c>
      <c r="G4249">
        <v>-414.57409999999999</v>
      </c>
      <c r="H4249">
        <v>1.0304949999999999</v>
      </c>
      <c r="I4249">
        <v>132.7559</v>
      </c>
      <c r="J4249">
        <v>-414.47190000000001</v>
      </c>
      <c r="K4249">
        <v>1.1160490000000001</v>
      </c>
      <c r="L4249">
        <v>133.44319999999999</v>
      </c>
      <c r="M4249">
        <v>-0.75951780000000002</v>
      </c>
      <c r="N4249">
        <v>0</v>
      </c>
      <c r="O4249">
        <v>-0.65033099999999999</v>
      </c>
      <c r="P4249">
        <v>-0.52482740000000005</v>
      </c>
      <c r="Q4249">
        <v>0.103793899999999</v>
      </c>
      <c r="R4249">
        <v>-0.84485730000000003</v>
      </c>
      <c r="S4249">
        <v>-1.0017400000000001</v>
      </c>
      <c r="T4249">
        <v>-0.29598239999999998</v>
      </c>
      <c r="U4249">
        <v>-2.9741520000000001</v>
      </c>
      <c r="V4249">
        <v>-0.30239470000000002</v>
      </c>
      <c r="W4249">
        <v>0.11204210000000001</v>
      </c>
      <c r="X4249">
        <v>0.9465749</v>
      </c>
      <c r="Y4249">
        <v>-0.51234020000000002</v>
      </c>
      <c r="Z4249">
        <v>4.1461230000000002E-2</v>
      </c>
      <c r="AA4249">
        <v>0.85778109999999996</v>
      </c>
      <c r="AB4249">
        <v>26</v>
      </c>
      <c r="AC4249">
        <v>-0.102199999999982</v>
      </c>
      <c r="AD4249">
        <v>-8.5553999999999894E-2</v>
      </c>
      <c r="AE4249">
        <v>-0.68729999999999303</v>
      </c>
      <c r="AF4249">
        <v>-0.44879525243865498</v>
      </c>
      <c r="AG4249">
        <v>-8.5553999999999894E-2</v>
      </c>
      <c r="AH4249">
        <v>0.51681356151172297</v>
      </c>
      <c r="AI4249">
        <v>97.124517577008703</v>
      </c>
      <c r="AJ4249">
        <v>130.97069194944899</v>
      </c>
      <c r="AK4249">
        <v>0.68980643871299696</v>
      </c>
      <c r="AL4249">
        <v>83.566952978694601</v>
      </c>
      <c r="AM4249">
        <v>107.716704834699</v>
      </c>
      <c r="AN4249">
        <v>1.0000000140352501</v>
      </c>
    </row>
    <row r="4250" spans="1:40" x14ac:dyDescent="0.25">
      <c r="A4250" t="str">
        <f>"20190312164555720"</f>
        <v>20190312164555720</v>
      </c>
      <c r="B4250" t="str">
        <f>"1552380355716157"</f>
        <v>1552380355716157</v>
      </c>
      <c r="C4250" t="s">
        <v>40</v>
      </c>
      <c r="D4250">
        <v>4.3200710000000004</v>
      </c>
      <c r="E4250">
        <v>0.40981800000000002</v>
      </c>
      <c r="F4250" t="s">
        <v>41</v>
      </c>
      <c r="G4250">
        <v>-414.74349999999998</v>
      </c>
      <c r="H4250">
        <v>1.0330220000000001</v>
      </c>
      <c r="I4250">
        <v>132.6087</v>
      </c>
      <c r="J4250">
        <v>-414.74360000000001</v>
      </c>
      <c r="K4250">
        <v>1.1160570000000001</v>
      </c>
      <c r="L4250">
        <v>133.18709999999999</v>
      </c>
      <c r="M4250">
        <v>-0.7495387</v>
      </c>
      <c r="N4250">
        <v>0</v>
      </c>
      <c r="O4250">
        <v>-0.66180740000000005</v>
      </c>
      <c r="P4250">
        <v>-0.51126629999999995</v>
      </c>
      <c r="Q4250">
        <v>0.10392940000000001</v>
      </c>
      <c r="R4250">
        <v>-0.85311530000000002</v>
      </c>
      <c r="S4250">
        <v>-0.97079470000000001</v>
      </c>
      <c r="T4250">
        <v>-0.29686940000000001</v>
      </c>
      <c r="U4250">
        <v>-2.9843289999999998</v>
      </c>
      <c r="V4250">
        <v>-0.30310749999999997</v>
      </c>
      <c r="W4250">
        <v>0.11216859999999999</v>
      </c>
      <c r="X4250">
        <v>0.9463319</v>
      </c>
      <c r="Y4250">
        <v>-0.50821210000000006</v>
      </c>
      <c r="Z4250">
        <v>4.3107630000000001E-2</v>
      </c>
      <c r="AA4250">
        <v>0.86015239999999904</v>
      </c>
      <c r="AB4250">
        <v>26</v>
      </c>
      <c r="AC4250">
        <v>1.00000000031741E-4</v>
      </c>
      <c r="AD4250">
        <v>-8.3035000000000095E-2</v>
      </c>
      <c r="AE4250">
        <v>-0.57839999999998704</v>
      </c>
      <c r="AF4250">
        <v>-0.42488664935539999</v>
      </c>
      <c r="AG4250">
        <v>-8.3035000000000095E-2</v>
      </c>
      <c r="AH4250">
        <v>0.37502420883746301</v>
      </c>
      <c r="AI4250">
        <v>98.335581010551707</v>
      </c>
      <c r="AJ4250">
        <v>138.56691705820899</v>
      </c>
      <c r="AK4250">
        <v>0.57277101291844701</v>
      </c>
      <c r="AL4250">
        <v>83.559659046425395</v>
      </c>
      <c r="AM4250">
        <v>107.760119183524</v>
      </c>
      <c r="AN4250">
        <v>1.0000000081699001</v>
      </c>
    </row>
    <row r="4251" spans="1:40" x14ac:dyDescent="0.25">
      <c r="A4251" t="str">
        <f>"20190312164555742"</f>
        <v>20190312164555742</v>
      </c>
      <c r="B4251" t="str">
        <f>"1552380355735681"</f>
        <v>1552380355735681</v>
      </c>
      <c r="C4251" t="s">
        <v>40</v>
      </c>
      <c r="D4251">
        <v>4.1404940000000003</v>
      </c>
      <c r="E4251">
        <v>0.41065020000000002</v>
      </c>
      <c r="F4251" t="s">
        <v>41</v>
      </c>
      <c r="G4251">
        <v>-415.02839999999998</v>
      </c>
      <c r="H4251">
        <v>1.021606</v>
      </c>
      <c r="I4251">
        <v>132.27369999999999</v>
      </c>
      <c r="J4251">
        <v>-414.92630000000003</v>
      </c>
      <c r="K4251">
        <v>1.116058</v>
      </c>
      <c r="L4251">
        <v>133.01050000000001</v>
      </c>
      <c r="M4251">
        <v>-0.74263829999999997</v>
      </c>
      <c r="N4251">
        <v>0</v>
      </c>
      <c r="O4251">
        <v>-0.66954119999999995</v>
      </c>
      <c r="P4251">
        <v>-0.50209870000000001</v>
      </c>
      <c r="Q4251">
        <v>0.1046392</v>
      </c>
      <c r="R4251">
        <v>-0.85845640000000001</v>
      </c>
      <c r="S4251">
        <v>-0.93396000000000001</v>
      </c>
      <c r="T4251">
        <v>-0.30967260000000002</v>
      </c>
      <c r="U4251">
        <v>-2.9945369999999998</v>
      </c>
      <c r="V4251">
        <v>-0.30338110000000001</v>
      </c>
      <c r="W4251">
        <v>0.1128812</v>
      </c>
      <c r="X4251">
        <v>0.94615950000000004</v>
      </c>
      <c r="Y4251">
        <v>-0.50977810000000001</v>
      </c>
      <c r="Z4251">
        <v>4.5847890000000002E-2</v>
      </c>
      <c r="AA4251">
        <v>0.85908340000000005</v>
      </c>
      <c r="AB4251">
        <v>26</v>
      </c>
      <c r="AC4251">
        <v>-0.10209999999994999</v>
      </c>
      <c r="AD4251">
        <v>-9.4451999999999897E-2</v>
      </c>
      <c r="AE4251">
        <v>-0.736800000000016</v>
      </c>
      <c r="AF4251">
        <v>-0.47126582131795403</v>
      </c>
      <c r="AG4251">
        <v>-9.4451999999999897E-2</v>
      </c>
      <c r="AH4251">
        <v>0.56016715967963004</v>
      </c>
      <c r="AI4251">
        <v>97.352037865883602</v>
      </c>
      <c r="AJ4251">
        <v>130.07373357994001</v>
      </c>
      <c r="AK4251">
        <v>0.73810561671757402</v>
      </c>
      <c r="AL4251">
        <v>83.518569238277905</v>
      </c>
      <c r="AM4251">
        <v>107.778176677217</v>
      </c>
      <c r="AN4251">
        <v>1.00000002829544</v>
      </c>
    </row>
    <row r="4252" spans="1:40" x14ac:dyDescent="0.25">
      <c r="A4252" t="str">
        <f>"20190312164555763"</f>
        <v>20190312164555763</v>
      </c>
      <c r="B4252" t="str">
        <f>"1552380355756173"</f>
        <v>1552380355756173</v>
      </c>
      <c r="C4252" t="s">
        <v>40</v>
      </c>
      <c r="D4252">
        <v>4.379086</v>
      </c>
      <c r="E4252">
        <v>0.41176810000000003</v>
      </c>
      <c r="F4252" t="s">
        <v>41</v>
      </c>
      <c r="G4252">
        <v>-415.19470000000001</v>
      </c>
      <c r="H4252">
        <v>1.0275030000000001</v>
      </c>
      <c r="I4252">
        <v>132.12370000000001</v>
      </c>
      <c r="J4252">
        <v>-415.09969999999998</v>
      </c>
      <c r="K4252">
        <v>1.116047</v>
      </c>
      <c r="L4252">
        <v>132.83940000000001</v>
      </c>
      <c r="M4252">
        <v>-0.73594669999999995</v>
      </c>
      <c r="N4252">
        <v>0</v>
      </c>
      <c r="O4252">
        <v>-0.67688979999999999</v>
      </c>
      <c r="P4252">
        <v>-0.49360720000000002</v>
      </c>
      <c r="Q4252">
        <v>0.105198</v>
      </c>
      <c r="R4252">
        <v>-0.86329889999999998</v>
      </c>
      <c r="S4252">
        <v>-0.90734859999999995</v>
      </c>
      <c r="T4252">
        <v>-0.29954740000000002</v>
      </c>
      <c r="U4252">
        <v>-3.0004430000000002</v>
      </c>
      <c r="V4252">
        <v>-0.303264799999999</v>
      </c>
      <c r="W4252">
        <v>0.113453</v>
      </c>
      <c r="X4252">
        <v>0.94612839999999998</v>
      </c>
      <c r="Y4252">
        <v>-0.50868230000000003</v>
      </c>
      <c r="Z4252">
        <v>4.5310780000000002E-2</v>
      </c>
      <c r="AA4252">
        <v>0.859761199999999</v>
      </c>
      <c r="AB4252">
        <v>26</v>
      </c>
      <c r="AC4252">
        <v>-9.5000000000027202E-2</v>
      </c>
      <c r="AD4252">
        <v>-8.8543999999999901E-2</v>
      </c>
      <c r="AE4252">
        <v>-0.715699999999998</v>
      </c>
      <c r="AF4252">
        <v>-0.45560669442249901</v>
      </c>
      <c r="AG4252">
        <v>-8.8543999999999901E-2</v>
      </c>
      <c r="AH4252">
        <v>0.54620577451222196</v>
      </c>
      <c r="AI4252">
        <v>97.095992820798102</v>
      </c>
      <c r="AJ4252">
        <v>129.832503385998</v>
      </c>
      <c r="AK4252">
        <v>0.71676931299344304</v>
      </c>
      <c r="AL4252">
        <v>83.485595737433101</v>
      </c>
      <c r="AM4252">
        <v>107.77233776066799</v>
      </c>
      <c r="AN4252">
        <v>1.00000003570729</v>
      </c>
    </row>
    <row r="4253" spans="1:40" x14ac:dyDescent="0.25">
      <c r="A4253" t="str">
        <f>"20190312164555786"</f>
        <v>20190312164555786</v>
      </c>
      <c r="B4253" t="str">
        <f>"1552380355775693"</f>
        <v>1552380355775693</v>
      </c>
      <c r="C4253" t="s">
        <v>40</v>
      </c>
      <c r="D4253">
        <v>4.2972440000000001</v>
      </c>
      <c r="E4253">
        <v>0.41270000000000001</v>
      </c>
      <c r="F4253" t="s">
        <v>41</v>
      </c>
      <c r="G4253">
        <v>-415.35610000000003</v>
      </c>
      <c r="H4253">
        <v>1.033425</v>
      </c>
      <c r="I4253">
        <v>131.96979999999999</v>
      </c>
      <c r="J4253">
        <v>-415.27910000000003</v>
      </c>
      <c r="K4253">
        <v>1.1160239999999999</v>
      </c>
      <c r="L4253">
        <v>132.65880000000001</v>
      </c>
      <c r="M4253">
        <v>-0.72888019999999998</v>
      </c>
      <c r="N4253">
        <v>0</v>
      </c>
      <c r="O4253">
        <v>-0.68449300000000002</v>
      </c>
      <c r="P4253">
        <v>-0.48476609999999998</v>
      </c>
      <c r="Q4253">
        <v>0.1063195</v>
      </c>
      <c r="R4253">
        <v>-0.86815799999999999</v>
      </c>
      <c r="S4253">
        <v>-0.88534550000000001</v>
      </c>
      <c r="T4253">
        <v>-0.28535460000000001</v>
      </c>
      <c r="U4253">
        <v>-3.0036320000000001</v>
      </c>
      <c r="V4253">
        <v>-0.3030196</v>
      </c>
      <c r="W4253">
        <v>0.1145914</v>
      </c>
      <c r="X4253">
        <v>0.94606970000000001</v>
      </c>
      <c r="Y4253">
        <v>-0.50578849999999997</v>
      </c>
      <c r="Z4253">
        <v>4.4206309999999999E-2</v>
      </c>
      <c r="AA4253">
        <v>0.86152410000000001</v>
      </c>
      <c r="AB4253">
        <v>26</v>
      </c>
      <c r="AC4253">
        <v>-7.6999999999998098E-2</v>
      </c>
      <c r="AD4253">
        <v>-8.2598999999999798E-2</v>
      </c>
      <c r="AE4253">
        <v>-0.68900000000002104</v>
      </c>
      <c r="AF4253">
        <v>-0.44324645478631303</v>
      </c>
      <c r="AG4253">
        <v>-8.2598999999999798E-2</v>
      </c>
      <c r="AH4253">
        <v>0.52040610909518403</v>
      </c>
      <c r="AI4253">
        <v>96.889756044692405</v>
      </c>
      <c r="AJ4253">
        <v>130.42209394588201</v>
      </c>
      <c r="AK4253">
        <v>0.68855830026601506</v>
      </c>
      <c r="AL4253">
        <v>83.419941620136399</v>
      </c>
      <c r="AM4253">
        <v>107.75990397612399</v>
      </c>
      <c r="AN4253">
        <v>0.99999997209810398</v>
      </c>
    </row>
    <row r="4254" spans="1:40" x14ac:dyDescent="0.25">
      <c r="A4254" t="str">
        <f>"20190312164555808"</f>
        <v>20190312164555808</v>
      </c>
      <c r="B4254" t="str">
        <f>"1552380355805950"</f>
        <v>1552380355805950</v>
      </c>
      <c r="C4254" t="s">
        <v>40</v>
      </c>
      <c r="D4254">
        <v>4.0822799999999999</v>
      </c>
      <c r="E4254">
        <v>0.41360479999999999</v>
      </c>
      <c r="F4254" t="s">
        <v>41</v>
      </c>
      <c r="G4254">
        <v>-415.52030000000002</v>
      </c>
      <c r="H4254">
        <v>1.0378499999999999</v>
      </c>
      <c r="I4254">
        <v>131.81739999999999</v>
      </c>
      <c r="J4254">
        <v>-415.452</v>
      </c>
      <c r="K4254">
        <v>1.1160129999999999</v>
      </c>
      <c r="L4254">
        <v>132.4813</v>
      </c>
      <c r="M4254">
        <v>-0.72192509999999999</v>
      </c>
      <c r="N4254">
        <v>0</v>
      </c>
      <c r="O4254">
        <v>-0.69182460000000001</v>
      </c>
      <c r="P4254">
        <v>-0.4763018</v>
      </c>
      <c r="Q4254">
        <v>0.10674939999999999</v>
      </c>
      <c r="R4254">
        <v>-0.87277819999999995</v>
      </c>
      <c r="S4254">
        <v>-0.86157229999999996</v>
      </c>
      <c r="T4254">
        <v>-0.27944390000000002</v>
      </c>
      <c r="U4254">
        <v>-3.0087429999999999</v>
      </c>
      <c r="V4254">
        <v>-0.30262119999999998</v>
      </c>
      <c r="W4254">
        <v>0.1150419</v>
      </c>
      <c r="X4254">
        <v>0.94614259999999994</v>
      </c>
      <c r="Y4254">
        <v>-0.50375619999999999</v>
      </c>
      <c r="Z4254">
        <v>4.4220809999999999E-2</v>
      </c>
      <c r="AA4254">
        <v>0.86271330000000002</v>
      </c>
      <c r="AB4254">
        <v>26</v>
      </c>
      <c r="AC4254">
        <v>-6.8300000000021996E-2</v>
      </c>
      <c r="AD4254">
        <v>-7.8162999999999899E-2</v>
      </c>
      <c r="AE4254">
        <v>-0.66390000000001204</v>
      </c>
      <c r="AF4254">
        <v>-0.42623212028757201</v>
      </c>
      <c r="AG4254">
        <v>-7.8162999999999899E-2</v>
      </c>
      <c r="AH4254">
        <v>0.50177907583733306</v>
      </c>
      <c r="AI4254">
        <v>96.7705389962195</v>
      </c>
      <c r="AJ4254">
        <v>130.345963893771</v>
      </c>
      <c r="AK4254">
        <v>0.66299737245482904</v>
      </c>
      <c r="AL4254">
        <v>83.393958380910107</v>
      </c>
      <c r="AM4254">
        <v>107.736737308969</v>
      </c>
      <c r="AN4254">
        <v>1.0000000244899001</v>
      </c>
    </row>
    <row r="4255" spans="1:40" x14ac:dyDescent="0.25">
      <c r="A4255" t="str">
        <f>"20190312164555832"</f>
        <v>20190312164555832</v>
      </c>
      <c r="B4255" t="str">
        <f>"1552380355825473"</f>
        <v>1552380355825473</v>
      </c>
      <c r="C4255" t="s">
        <v>40</v>
      </c>
      <c r="D4255">
        <v>4.1302110000000001</v>
      </c>
      <c r="E4255">
        <v>0.4143693</v>
      </c>
      <c r="F4255" t="s">
        <v>41</v>
      </c>
      <c r="G4255">
        <v>-415.68009999999998</v>
      </c>
      <c r="H4255">
        <v>1.042492</v>
      </c>
      <c r="I4255">
        <v>131.66159999999999</v>
      </c>
      <c r="J4255">
        <v>-415.63150000000002</v>
      </c>
      <c r="K4255">
        <v>1.115996</v>
      </c>
      <c r="L4255">
        <v>132.2927</v>
      </c>
      <c r="M4255">
        <v>-0.71454229999999996</v>
      </c>
      <c r="N4255">
        <v>0</v>
      </c>
      <c r="O4255">
        <v>-0.69944740000000005</v>
      </c>
      <c r="P4255">
        <v>-0.46718409999999999</v>
      </c>
      <c r="Q4255">
        <v>0.1071513</v>
      </c>
      <c r="R4255">
        <v>-0.87764349999999902</v>
      </c>
      <c r="S4255">
        <v>-0.83877559999999995</v>
      </c>
      <c r="T4255">
        <v>-0.270229</v>
      </c>
      <c r="U4255">
        <v>-3.0125890000000002</v>
      </c>
      <c r="V4255">
        <v>-0.30240240000000002</v>
      </c>
      <c r="W4255">
        <v>0.1154606</v>
      </c>
      <c r="X4255">
        <v>0.94616149999999999</v>
      </c>
      <c r="Y4255">
        <v>-0.50093370000000004</v>
      </c>
      <c r="Z4255">
        <v>4.3740439999999998E-2</v>
      </c>
      <c r="AA4255">
        <v>0.86437960000000003</v>
      </c>
      <c r="AB4255">
        <v>26</v>
      </c>
      <c r="AC4255">
        <v>-4.8599999999964803E-2</v>
      </c>
      <c r="AD4255">
        <v>-7.3504E-2</v>
      </c>
      <c r="AE4255">
        <v>-0.63110000000000299</v>
      </c>
      <c r="AF4255">
        <v>-0.41144828696630698</v>
      </c>
      <c r="AG4255">
        <v>-7.3504E-2</v>
      </c>
      <c r="AH4255">
        <v>0.46986009777072202</v>
      </c>
      <c r="AI4255">
        <v>96.712366195973999</v>
      </c>
      <c r="AJ4255">
        <v>131.20806679517301</v>
      </c>
      <c r="AK4255">
        <v>0.62885693312598701</v>
      </c>
      <c r="AL4255">
        <v>83.369807363633498</v>
      </c>
      <c r="AM4255">
        <v>107.72438437745799</v>
      </c>
      <c r="AN4255">
        <v>0.99999997288018405</v>
      </c>
    </row>
    <row r="4256" spans="1:40" x14ac:dyDescent="0.25">
      <c r="A4256" t="str">
        <f>"20190312164555853"</f>
        <v>20190312164555853</v>
      </c>
      <c r="B4256" t="str">
        <f>"1552380355845966"</f>
        <v>1552380355845966</v>
      </c>
      <c r="C4256" t="s">
        <v>40</v>
      </c>
      <c r="D4256">
        <v>4.1332839999999997</v>
      </c>
      <c r="E4256">
        <v>0.41496949999999999</v>
      </c>
      <c r="F4256" t="s">
        <v>41</v>
      </c>
      <c r="G4256">
        <v>-415.90289999999999</v>
      </c>
      <c r="H4256">
        <v>1.0285629999999999</v>
      </c>
      <c r="I4256">
        <v>131.2859</v>
      </c>
      <c r="J4256">
        <v>-415.80239999999998</v>
      </c>
      <c r="K4256">
        <v>1.1159809999999999</v>
      </c>
      <c r="L4256">
        <v>132.1095</v>
      </c>
      <c r="M4256">
        <v>-0.70736449999999995</v>
      </c>
      <c r="N4256">
        <v>0</v>
      </c>
      <c r="O4256">
        <v>-0.70670549999999999</v>
      </c>
      <c r="P4256">
        <v>-0.45792769999999999</v>
      </c>
      <c r="Q4256">
        <v>0.1076271</v>
      </c>
      <c r="R4256">
        <v>-0.88245030000000002</v>
      </c>
      <c r="S4256">
        <v>-0.81326290000000001</v>
      </c>
      <c r="T4256">
        <v>-0.26202789999999998</v>
      </c>
      <c r="U4256">
        <v>-3.0172729999999999</v>
      </c>
      <c r="V4256">
        <v>-0.30265740000000002</v>
      </c>
      <c r="W4256">
        <v>0.1159413</v>
      </c>
      <c r="X4256">
        <v>0.94602120000000001</v>
      </c>
      <c r="Y4256">
        <v>-0.49924980000000002</v>
      </c>
      <c r="Z4256">
        <v>4.3279110000000003E-2</v>
      </c>
      <c r="AA4256">
        <v>0.86537649999999999</v>
      </c>
      <c r="AB4256">
        <v>25</v>
      </c>
      <c r="AC4256">
        <v>-0.10050000000001</v>
      </c>
      <c r="AD4256">
        <v>-8.7417999999999996E-2</v>
      </c>
      <c r="AE4256">
        <v>-0.823599999999999</v>
      </c>
      <c r="AF4256">
        <v>-0.50599646933120901</v>
      </c>
      <c r="AG4256">
        <v>-8.7417999999999996E-2</v>
      </c>
      <c r="AH4256">
        <v>0.64602766642347798</v>
      </c>
      <c r="AI4256">
        <v>96.080750787198198</v>
      </c>
      <c r="AJ4256">
        <v>128.069564400068</v>
      </c>
      <c r="AK4256">
        <v>0.82524304267543702</v>
      </c>
      <c r="AL4256">
        <v>83.342079234278302</v>
      </c>
      <c r="AM4256">
        <v>107.740859640454</v>
      </c>
      <c r="AN4256">
        <v>0.99999999883494495</v>
      </c>
    </row>
    <row r="4257" spans="1:40" x14ac:dyDescent="0.25">
      <c r="A4257" t="str">
        <f>"20190312164555876"</f>
        <v>20190312164555876</v>
      </c>
      <c r="B4257" t="str">
        <f>"1552380355866462"</f>
        <v>1552380355866462</v>
      </c>
      <c r="C4257" t="s">
        <v>40</v>
      </c>
      <c r="D4257">
        <v>4.165826</v>
      </c>
      <c r="E4257">
        <v>0.41554360000000001</v>
      </c>
      <c r="F4257" t="s">
        <v>41</v>
      </c>
      <c r="G4257">
        <v>-416.05779999999999</v>
      </c>
      <c r="H4257">
        <v>1.0326869999999999</v>
      </c>
      <c r="I4257">
        <v>131.12690000000001</v>
      </c>
      <c r="J4257">
        <v>-415.96940000000001</v>
      </c>
      <c r="K4257">
        <v>1.115964</v>
      </c>
      <c r="L4257">
        <v>131.92679999999999</v>
      </c>
      <c r="M4257">
        <v>-0.70020090000000001</v>
      </c>
      <c r="N4257">
        <v>0</v>
      </c>
      <c r="O4257">
        <v>-0.71380390000000005</v>
      </c>
      <c r="P4257">
        <v>-0.44746229999999998</v>
      </c>
      <c r="Q4257">
        <v>0.1090539</v>
      </c>
      <c r="R4257">
        <v>-0.88762919999999901</v>
      </c>
      <c r="S4257">
        <v>-0.7854004</v>
      </c>
      <c r="T4257">
        <v>-0.25622919999999999</v>
      </c>
      <c r="U4257">
        <v>-3.023285</v>
      </c>
      <c r="V4257">
        <v>-0.3042012</v>
      </c>
      <c r="W4257">
        <v>0.11734410000000001</v>
      </c>
      <c r="X4257">
        <v>0.94535290000000005</v>
      </c>
      <c r="Y4257">
        <v>-0.4984034</v>
      </c>
      <c r="Z4257">
        <v>4.311077E-2</v>
      </c>
      <c r="AA4257">
        <v>0.86587269999999905</v>
      </c>
      <c r="AB4257">
        <v>25</v>
      </c>
      <c r="AC4257">
        <v>-8.8399999999978704E-2</v>
      </c>
      <c r="AD4257">
        <v>-8.3276999999999796E-2</v>
      </c>
      <c r="AE4257">
        <v>-0.79989999999997896</v>
      </c>
      <c r="AF4257">
        <v>-0.49177490516329703</v>
      </c>
      <c r="AG4257">
        <v>-8.3276999999999796E-2</v>
      </c>
      <c r="AH4257">
        <v>0.62622802356572604</v>
      </c>
      <c r="AI4257">
        <v>95.970705043888501</v>
      </c>
      <c r="AJ4257">
        <v>128.14243621720499</v>
      </c>
      <c r="AK4257">
        <v>0.80058675580876704</v>
      </c>
      <c r="AL4257">
        <v>83.261152687644298</v>
      </c>
      <c r="AM4257">
        <v>107.83744138405</v>
      </c>
      <c r="AN4257">
        <v>1.00000005671232</v>
      </c>
    </row>
    <row r="4258" spans="1:40" x14ac:dyDescent="0.25">
      <c r="A4258" t="str">
        <f>"20190312164555898"</f>
        <v>20190312164555898</v>
      </c>
      <c r="B4258" t="str">
        <f>"1552380355885982"</f>
        <v>1552380355885982</v>
      </c>
      <c r="C4258" t="s">
        <v>40</v>
      </c>
      <c r="D4258">
        <v>4.1837790000000004</v>
      </c>
      <c r="E4258">
        <v>0.41604219999999997</v>
      </c>
      <c r="F4258" t="s">
        <v>41</v>
      </c>
      <c r="G4258">
        <v>-416.20870000000002</v>
      </c>
      <c r="H4258">
        <v>1.0366470000000001</v>
      </c>
      <c r="I4258">
        <v>130.965</v>
      </c>
      <c r="J4258">
        <v>-416.13479999999998</v>
      </c>
      <c r="K4258">
        <v>1.1159559999999999</v>
      </c>
      <c r="L4258">
        <v>131.74209999999999</v>
      </c>
      <c r="M4258">
        <v>-0.69295600000000002</v>
      </c>
      <c r="N4258">
        <v>0</v>
      </c>
      <c r="O4258">
        <v>-0.72083940000000002</v>
      </c>
      <c r="P4258">
        <v>-0.43653960000000003</v>
      </c>
      <c r="Q4258">
        <v>0.1104738</v>
      </c>
      <c r="R4258">
        <v>-0.89287680000000003</v>
      </c>
      <c r="S4258">
        <v>-0.75433349999999999</v>
      </c>
      <c r="T4258">
        <v>-0.2499352</v>
      </c>
      <c r="U4258">
        <v>-3.030243</v>
      </c>
      <c r="V4258">
        <v>-0.30615160000000002</v>
      </c>
      <c r="W4258">
        <v>0.11873</v>
      </c>
      <c r="X4258">
        <v>0.94454990000000005</v>
      </c>
      <c r="Y4258">
        <v>-0.49847390000000003</v>
      </c>
      <c r="Z4258">
        <v>4.2782319999999999E-2</v>
      </c>
      <c r="AA4258">
        <v>0.86584839999999996</v>
      </c>
      <c r="AB4258">
        <v>25</v>
      </c>
      <c r="AC4258">
        <v>-7.3900000000037297E-2</v>
      </c>
      <c r="AD4258">
        <v>-7.9309000000000004E-2</v>
      </c>
      <c r="AE4258">
        <v>-0.77709999999999002</v>
      </c>
      <c r="AF4258">
        <v>-0.480317189940555</v>
      </c>
      <c r="AG4258">
        <v>-7.9309000000000004E-2</v>
      </c>
      <c r="AH4258">
        <v>0.60518866217267397</v>
      </c>
      <c r="AI4258">
        <v>95.860772119652907</v>
      </c>
      <c r="AJ4258">
        <v>128.43780846127899</v>
      </c>
      <c r="AK4258">
        <v>0.77669030974754805</v>
      </c>
      <c r="AL4258">
        <v>83.181187495204298</v>
      </c>
      <c r="AM4258">
        <v>107.95877070540899</v>
      </c>
      <c r="AN4258">
        <v>1.0000000643362801</v>
      </c>
    </row>
    <row r="4259" spans="1:40" x14ac:dyDescent="0.25">
      <c r="A4259" t="str">
        <f>"20190312164555921"</f>
        <v>20190312164555921</v>
      </c>
      <c r="B4259" t="str">
        <f>"1552380355916237"</f>
        <v>1552380355916237</v>
      </c>
      <c r="C4259" t="s">
        <v>40</v>
      </c>
      <c r="D4259">
        <v>4.1934940000000003</v>
      </c>
      <c r="E4259">
        <v>0.41701709999999897</v>
      </c>
      <c r="F4259" t="s">
        <v>41</v>
      </c>
      <c r="G4259">
        <v>-416.35840000000002</v>
      </c>
      <c r="H4259">
        <v>1.0401469999999999</v>
      </c>
      <c r="I4259">
        <v>130.8021</v>
      </c>
      <c r="J4259">
        <v>-416.3005</v>
      </c>
      <c r="K4259">
        <v>1.1159509999999999</v>
      </c>
      <c r="L4259">
        <v>131.55330000000001</v>
      </c>
      <c r="M4259">
        <v>-0.68553839999999999</v>
      </c>
      <c r="N4259">
        <v>0</v>
      </c>
      <c r="O4259">
        <v>-0.72789749999999998</v>
      </c>
      <c r="P4259">
        <v>-0.42623739999999999</v>
      </c>
      <c r="Q4259">
        <v>0.11196159999999999</v>
      </c>
      <c r="R4259">
        <v>-0.89765659999999903</v>
      </c>
      <c r="S4259">
        <v>-0.72183229999999998</v>
      </c>
      <c r="T4259">
        <v>-0.24489060000000001</v>
      </c>
      <c r="U4259">
        <v>-3.0373079999999999</v>
      </c>
      <c r="V4259">
        <v>-0.30724370000000001</v>
      </c>
      <c r="W4259">
        <v>0.1202019</v>
      </c>
      <c r="X4259">
        <v>0.94400890000000004</v>
      </c>
      <c r="Y4259">
        <v>-0.49882159999999898</v>
      </c>
      <c r="Z4259">
        <v>4.2628989999999999E-2</v>
      </c>
      <c r="AA4259">
        <v>0.86565569999999903</v>
      </c>
      <c r="AB4259">
        <v>25</v>
      </c>
      <c r="AC4259">
        <v>-5.7900000000017798E-2</v>
      </c>
      <c r="AD4259">
        <v>-7.5803999999999899E-2</v>
      </c>
      <c r="AE4259">
        <v>-0.75120000000001097</v>
      </c>
      <c r="AF4259">
        <v>-0.46814013347692102</v>
      </c>
      <c r="AG4259">
        <v>-7.5803999999999899E-2</v>
      </c>
      <c r="AH4259">
        <v>0.58067060460748099</v>
      </c>
      <c r="AI4259">
        <v>95.803079787471006</v>
      </c>
      <c r="AJ4259">
        <v>128.87596893391901</v>
      </c>
      <c r="AK4259">
        <v>0.74971980235485802</v>
      </c>
      <c r="AL4259">
        <v>83.096245028867102</v>
      </c>
      <c r="AM4259">
        <v>108.028356740089</v>
      </c>
      <c r="AN4259">
        <v>0.99999999561625497</v>
      </c>
    </row>
    <row r="4260" spans="1:40" x14ac:dyDescent="0.25">
      <c r="A4260" t="str">
        <f>"20190312164555943"</f>
        <v>20190312164555943</v>
      </c>
      <c r="B4260" t="str">
        <f>"1552380355935761"</f>
        <v>1552380355935761</v>
      </c>
      <c r="C4260" t="s">
        <v>40</v>
      </c>
      <c r="D4260">
        <v>4.2004070000000002</v>
      </c>
      <c r="E4260">
        <v>0.4334537</v>
      </c>
      <c r="F4260" t="s">
        <v>41</v>
      </c>
      <c r="G4260">
        <v>-416.50900000000001</v>
      </c>
      <c r="H4260">
        <v>1.0449539999999999</v>
      </c>
      <c r="I4260">
        <v>130.6395</v>
      </c>
      <c r="J4260">
        <v>-416.46359999999999</v>
      </c>
      <c r="K4260">
        <v>1.115939</v>
      </c>
      <c r="L4260">
        <v>131.36359999999999</v>
      </c>
      <c r="M4260">
        <v>-0.67808279999999999</v>
      </c>
      <c r="N4260">
        <v>0</v>
      </c>
      <c r="O4260">
        <v>-0.7348479</v>
      </c>
      <c r="P4260">
        <v>-0.41647289999999998</v>
      </c>
      <c r="Q4260">
        <v>0.11324049999999999</v>
      </c>
      <c r="R4260">
        <v>-0.90206869999999995</v>
      </c>
      <c r="S4260">
        <v>-0.69375609999999999</v>
      </c>
      <c r="T4260">
        <v>-0.23632500000000001</v>
      </c>
      <c r="U4260">
        <v>-3.042084</v>
      </c>
      <c r="V4260">
        <v>-0.3077725</v>
      </c>
      <c r="W4260">
        <v>0.1214775</v>
      </c>
      <c r="X4260">
        <v>0.94367330000000005</v>
      </c>
      <c r="Y4260">
        <v>-0.49787300000000001</v>
      </c>
      <c r="Z4260">
        <v>4.1872479999999997E-2</v>
      </c>
      <c r="AA4260">
        <v>0.86623850000000002</v>
      </c>
      <c r="AB4260">
        <v>25</v>
      </c>
      <c r="AC4260">
        <v>-4.5400000000029202E-2</v>
      </c>
      <c r="AD4260">
        <v>-7.0984999999999798E-2</v>
      </c>
      <c r="AE4260">
        <v>-0.72409999999999197</v>
      </c>
      <c r="AF4260">
        <v>-0.45334424767234899</v>
      </c>
      <c r="AG4260">
        <v>-7.0984999999999798E-2</v>
      </c>
      <c r="AH4260">
        <v>0.55760748162197504</v>
      </c>
      <c r="AI4260">
        <v>95.641177800748096</v>
      </c>
      <c r="AJ4260">
        <v>129.111690156029</v>
      </c>
      <c r="AK4260">
        <v>0.72213986227282101</v>
      </c>
      <c r="AL4260">
        <v>83.022619000208607</v>
      </c>
      <c r="AM4260">
        <v>108.063377552977</v>
      </c>
      <c r="AN4260">
        <v>0.99999999594769495</v>
      </c>
    </row>
    <row r="4261" spans="1:40" x14ac:dyDescent="0.25">
      <c r="A4261" t="str">
        <f>"20190312164555965"</f>
        <v>20190312164555965</v>
      </c>
      <c r="B4261" t="str">
        <f>"1552380355956254"</f>
        <v>1552380355956254</v>
      </c>
      <c r="C4261" t="s">
        <v>40</v>
      </c>
      <c r="D4261">
        <v>4.195208</v>
      </c>
      <c r="E4261">
        <v>0.43418020000000002</v>
      </c>
      <c r="F4261" t="s">
        <v>41</v>
      </c>
      <c r="G4261">
        <v>-416.69290000000001</v>
      </c>
      <c r="H4261">
        <v>1.07219</v>
      </c>
      <c r="I4261">
        <v>130.48429999999999</v>
      </c>
      <c r="J4261">
        <v>-416.61930000000001</v>
      </c>
      <c r="K4261">
        <v>1.1159300000000001</v>
      </c>
      <c r="L4261">
        <v>131.1789</v>
      </c>
      <c r="M4261">
        <v>-0.67081389999999996</v>
      </c>
      <c r="N4261">
        <v>0</v>
      </c>
      <c r="O4261">
        <v>-0.74148899999999995</v>
      </c>
      <c r="P4261">
        <v>-0.4073542</v>
      </c>
      <c r="Q4261">
        <v>0.1126828</v>
      </c>
      <c r="R4261">
        <v>-0.90629230000000005</v>
      </c>
      <c r="S4261">
        <v>-0.77801509999999996</v>
      </c>
      <c r="T4261">
        <v>-0.1484885</v>
      </c>
      <c r="U4261">
        <v>-2.9851230000000002</v>
      </c>
      <c r="V4261">
        <v>-0.30803069999999999</v>
      </c>
      <c r="W4261">
        <v>0.1209242</v>
      </c>
      <c r="X4261">
        <v>0.9436601</v>
      </c>
      <c r="Y4261">
        <v>-0.46224349999999997</v>
      </c>
      <c r="Z4261">
        <v>2.77577E-2</v>
      </c>
      <c r="AA4261">
        <v>0.88631849999999901</v>
      </c>
      <c r="AB4261">
        <v>25</v>
      </c>
      <c r="AC4261">
        <v>-7.3599999999999E-2</v>
      </c>
      <c r="AD4261">
        <v>-4.37399999999998E-2</v>
      </c>
      <c r="AE4261">
        <v>-0.69460000000000799</v>
      </c>
      <c r="AF4261">
        <v>-0.40980844368027403</v>
      </c>
      <c r="AG4261">
        <v>-4.37399999999998E-2</v>
      </c>
      <c r="AH4261">
        <v>0.56226254917047802</v>
      </c>
      <c r="AI4261">
        <v>93.597250834807397</v>
      </c>
      <c r="AJ4261">
        <v>126.086661866578</v>
      </c>
      <c r="AK4261">
        <v>0.69713364738142802</v>
      </c>
      <c r="AL4261">
        <v>83.054556080336198</v>
      </c>
      <c r="AM4261">
        <v>108.077782412579</v>
      </c>
      <c r="AN4261">
        <v>0.99999997931006901</v>
      </c>
    </row>
    <row r="4262" spans="1:40" x14ac:dyDescent="0.25">
      <c r="A4262" t="str">
        <f>"20190312164555987"</f>
        <v>20190312164555987</v>
      </c>
      <c r="B4262" t="str">
        <f>"1552380355975774"</f>
        <v>1552380355975774</v>
      </c>
      <c r="C4262" t="s">
        <v>40</v>
      </c>
      <c r="D4262">
        <v>4.2099489999999999</v>
      </c>
      <c r="E4262">
        <v>0.43370300000000001</v>
      </c>
      <c r="F4262" t="s">
        <v>41</v>
      </c>
      <c r="G4262">
        <v>-416.84469999999999</v>
      </c>
      <c r="H4262">
        <v>1.0647359999999999</v>
      </c>
      <c r="I4262">
        <v>130.28370000000001</v>
      </c>
      <c r="J4262">
        <v>-416.78</v>
      </c>
      <c r="K4262">
        <v>1.115909</v>
      </c>
      <c r="L4262">
        <v>130.98439999999999</v>
      </c>
      <c r="M4262">
        <v>-0.66315190000000002</v>
      </c>
      <c r="N4262">
        <v>0</v>
      </c>
      <c r="O4262">
        <v>-0.74834940000000005</v>
      </c>
      <c r="P4262">
        <v>-0.39869139999999997</v>
      </c>
      <c r="Q4262">
        <v>0.1118857</v>
      </c>
      <c r="R4262">
        <v>-0.91023449999999995</v>
      </c>
      <c r="S4262">
        <v>-0.75372309999999998</v>
      </c>
      <c r="T4262">
        <v>-0.17115349999999999</v>
      </c>
      <c r="U4262">
        <v>-2.9926910000000002</v>
      </c>
      <c r="V4262">
        <v>-0.30737120000000001</v>
      </c>
      <c r="W4262">
        <v>0.1201517</v>
      </c>
      <c r="X4262">
        <v>0.94397379999999997</v>
      </c>
      <c r="Y4262">
        <v>-0.46044950000000001</v>
      </c>
      <c r="Z4262">
        <v>3.2494450000000001E-2</v>
      </c>
      <c r="AA4262">
        <v>0.88709090000000002</v>
      </c>
      <c r="AB4262">
        <v>25</v>
      </c>
      <c r="AC4262">
        <v>-6.4700000000016106E-2</v>
      </c>
      <c r="AD4262">
        <v>-5.1172999999999899E-2</v>
      </c>
      <c r="AE4262">
        <v>-0.700699999999983</v>
      </c>
      <c r="AF4262">
        <v>-0.41410454918787698</v>
      </c>
      <c r="AG4262">
        <v>-5.1172999999999899E-2</v>
      </c>
      <c r="AH4262">
        <v>0.56434732732272896</v>
      </c>
      <c r="AI4262">
        <v>94.181254796116093</v>
      </c>
      <c r="AJ4262">
        <v>126.270329124279</v>
      </c>
      <c r="AK4262">
        <v>0.70184696297939697</v>
      </c>
      <c r="AL4262">
        <v>83.099142376917399</v>
      </c>
      <c r="AM4262">
        <v>108.035980929415</v>
      </c>
      <c r="AN4262">
        <v>1.00000001034438</v>
      </c>
    </row>
    <row r="4263" spans="1:40" x14ac:dyDescent="0.25">
      <c r="A4263" t="str">
        <f>"20190312164556010"</f>
        <v>20190312164556010</v>
      </c>
      <c r="B4263" t="str">
        <f>"1552380356006030"</f>
        <v>1552380356006030</v>
      </c>
      <c r="C4263" t="s">
        <v>40</v>
      </c>
      <c r="D4263">
        <v>4.2353630000000004</v>
      </c>
      <c r="E4263">
        <v>0.4342105</v>
      </c>
      <c r="F4263" t="s">
        <v>41</v>
      </c>
      <c r="G4263">
        <v>-416.99869999999999</v>
      </c>
      <c r="H4263">
        <v>1.0581719999999999</v>
      </c>
      <c r="I4263">
        <v>130.0737</v>
      </c>
      <c r="J4263">
        <v>-416.93790000000001</v>
      </c>
      <c r="K4263">
        <v>1.1158889999999999</v>
      </c>
      <c r="L4263">
        <v>130.78890000000001</v>
      </c>
      <c r="M4263">
        <v>-0.65544840000000004</v>
      </c>
      <c r="N4263">
        <v>0</v>
      </c>
      <c r="O4263">
        <v>-0.75510619999999995</v>
      </c>
      <c r="P4263">
        <v>-0.39061829999999997</v>
      </c>
      <c r="Q4263">
        <v>0.11128540000000001</v>
      </c>
      <c r="R4263">
        <v>-0.9138018</v>
      </c>
      <c r="S4263">
        <v>-0.72164919999999899</v>
      </c>
      <c r="T4263">
        <v>-0.19041279999999999</v>
      </c>
      <c r="U4263">
        <v>-3.0031590000000001</v>
      </c>
      <c r="V4263">
        <v>-0.306085099999999</v>
      </c>
      <c r="W4263">
        <v>0.1195888</v>
      </c>
      <c r="X4263">
        <v>0.94446300000000005</v>
      </c>
      <c r="Y4263">
        <v>-0.46104659999999897</v>
      </c>
      <c r="Z4263">
        <v>3.662791E-2</v>
      </c>
      <c r="AA4263">
        <v>0.88661970000000001</v>
      </c>
      <c r="AB4263">
        <v>25</v>
      </c>
      <c r="AC4263">
        <v>-6.0799999999971897E-2</v>
      </c>
      <c r="AD4263">
        <v>-5.7716999999999997E-2</v>
      </c>
      <c r="AE4263">
        <v>-0.71520000000000905</v>
      </c>
      <c r="AF4263">
        <v>-0.420192063255661</v>
      </c>
      <c r="AG4263">
        <v>-5.7716999999999997E-2</v>
      </c>
      <c r="AH4263">
        <v>0.57623595101982905</v>
      </c>
      <c r="AI4263">
        <v>94.626885672208601</v>
      </c>
      <c r="AJ4263">
        <v>126.099583284746</v>
      </c>
      <c r="AK4263">
        <v>0.71550017006271704</v>
      </c>
      <c r="AL4263">
        <v>83.131628089498506</v>
      </c>
      <c r="AM4263">
        <v>107.956666258852</v>
      </c>
      <c r="AN4263">
        <v>0.99999996394822399</v>
      </c>
    </row>
    <row r="4264" spans="1:40" x14ac:dyDescent="0.25">
      <c r="A4264" t="str">
        <f>"20190312164556032"</f>
        <v>20190312164556032</v>
      </c>
      <c r="B4264" t="str">
        <f>"1552380356025550"</f>
        <v>1552380356025550</v>
      </c>
      <c r="C4264" t="s">
        <v>40</v>
      </c>
      <c r="D4264">
        <v>4.3773090000000003</v>
      </c>
      <c r="E4264">
        <v>0.43540240000000002</v>
      </c>
      <c r="F4264" t="s">
        <v>41</v>
      </c>
      <c r="G4264">
        <v>-417.17399999999998</v>
      </c>
      <c r="H4264">
        <v>1.044746</v>
      </c>
      <c r="I4264">
        <v>129.77209999999999</v>
      </c>
      <c r="J4264">
        <v>-417.09160000000003</v>
      </c>
      <c r="K4264">
        <v>1.115872</v>
      </c>
      <c r="L4264">
        <v>130.59469999999999</v>
      </c>
      <c r="M4264">
        <v>-0.64778579999999997</v>
      </c>
      <c r="N4264">
        <v>0</v>
      </c>
      <c r="O4264">
        <v>-0.76168979999999997</v>
      </c>
      <c r="P4264">
        <v>-0.38255319999999998</v>
      </c>
      <c r="Q4264">
        <v>0.1110221</v>
      </c>
      <c r="R4264">
        <v>-0.91723909999999997</v>
      </c>
      <c r="S4264">
        <v>-0.69854740000000004</v>
      </c>
      <c r="T4264">
        <v>-0.2105706</v>
      </c>
      <c r="U4264">
        <v>-3.0100099999999999</v>
      </c>
      <c r="V4264">
        <v>-0.30487300000000001</v>
      </c>
      <c r="W4264">
        <v>0.1193578</v>
      </c>
      <c r="X4264">
        <v>0.94488419999999895</v>
      </c>
      <c r="Y4264">
        <v>-0.45901700000000001</v>
      </c>
      <c r="Z4264">
        <v>4.1101819999999997E-2</v>
      </c>
      <c r="AA4264">
        <v>0.88747619999999905</v>
      </c>
      <c r="AB4264">
        <v>25</v>
      </c>
      <c r="AC4264">
        <v>-8.2400000000006898E-2</v>
      </c>
      <c r="AD4264">
        <v>-7.1125999999999995E-2</v>
      </c>
      <c r="AE4264">
        <v>-0.822599999999994</v>
      </c>
      <c r="AF4264">
        <v>-0.46669843963401098</v>
      </c>
      <c r="AG4264">
        <v>-7.1125999999999995E-2</v>
      </c>
      <c r="AH4264">
        <v>0.67501593226283796</v>
      </c>
      <c r="AI4264">
        <v>94.953511038038101</v>
      </c>
      <c r="AJ4264">
        <v>124.659546830991</v>
      </c>
      <c r="AK4264">
        <v>0.82371891458281399</v>
      </c>
      <c r="AL4264">
        <v>83.144959084336307</v>
      </c>
      <c r="AM4264">
        <v>107.882631455904</v>
      </c>
      <c r="AN4264">
        <v>0.99999999097973902</v>
      </c>
    </row>
    <row r="4265" spans="1:40" x14ac:dyDescent="0.25">
      <c r="A4265" t="str">
        <f>"20190312164556053"</f>
        <v>20190312164556053</v>
      </c>
      <c r="B4265" t="str">
        <f>"1552380356046046"</f>
        <v>1552380356046046</v>
      </c>
      <c r="C4265" t="s">
        <v>40</v>
      </c>
      <c r="D4265">
        <v>4.2569089999999896</v>
      </c>
      <c r="E4265">
        <v>0.44153759999999997</v>
      </c>
      <c r="F4265" t="s">
        <v>41</v>
      </c>
      <c r="G4265">
        <v>-417.31569999999999</v>
      </c>
      <c r="H4265">
        <v>1.045563</v>
      </c>
      <c r="I4265">
        <v>129.60290000000001</v>
      </c>
      <c r="J4265">
        <v>-417.23989999999998</v>
      </c>
      <c r="K4265">
        <v>1.1158520000000001</v>
      </c>
      <c r="L4265">
        <v>130.4032</v>
      </c>
      <c r="M4265">
        <v>-0.64022950000000001</v>
      </c>
      <c r="N4265">
        <v>0</v>
      </c>
      <c r="O4265">
        <v>-0.76805230000000002</v>
      </c>
      <c r="P4265">
        <v>-0.3751852</v>
      </c>
      <c r="Q4265">
        <v>0.11103209999999999</v>
      </c>
      <c r="R4265">
        <v>-0.92027619999999999</v>
      </c>
      <c r="S4265">
        <v>-0.68041989999999997</v>
      </c>
      <c r="T4265">
        <v>-0.2135512</v>
      </c>
      <c r="U4265">
        <v>-3.012772</v>
      </c>
      <c r="V4265">
        <v>-0.30310749999999997</v>
      </c>
      <c r="W4265">
        <v>0.1194089</v>
      </c>
      <c r="X4265">
        <v>0.9454456</v>
      </c>
      <c r="Y4265">
        <v>-0.45550220000000002</v>
      </c>
      <c r="Z4265">
        <v>4.2357249999999999E-2</v>
      </c>
      <c r="AA4265">
        <v>0.88922639999999997</v>
      </c>
      <c r="AB4265">
        <v>25</v>
      </c>
      <c r="AC4265">
        <v>-7.5800000000015105E-2</v>
      </c>
      <c r="AD4265">
        <v>-7.0289000000000004E-2</v>
      </c>
      <c r="AE4265">
        <v>-0.80029999999999202</v>
      </c>
      <c r="AF4265">
        <v>-0.45075700725879497</v>
      </c>
      <c r="AG4265">
        <v>-7.0289000000000004E-2</v>
      </c>
      <c r="AH4265">
        <v>0.65823622960881101</v>
      </c>
      <c r="AI4265">
        <v>95.035070332279602</v>
      </c>
      <c r="AJ4265">
        <v>124.403155786068</v>
      </c>
      <c r="AK4265">
        <v>0.800872871986265</v>
      </c>
      <c r="AL4265">
        <v>83.142010326725995</v>
      </c>
      <c r="AM4265">
        <v>107.77572074159499</v>
      </c>
      <c r="AN4265">
        <v>1.00000001225741</v>
      </c>
    </row>
    <row r="4266" spans="1:40" x14ac:dyDescent="0.25">
      <c r="A4266" t="str">
        <f>"20190312164556077"</f>
        <v>20190312164556077</v>
      </c>
      <c r="B4266" t="str">
        <f>"1552380356065565"</f>
        <v>1552380356065565</v>
      </c>
      <c r="C4266" t="s">
        <v>40</v>
      </c>
      <c r="D4266">
        <v>4.3676729999999999</v>
      </c>
      <c r="E4266">
        <v>0.44221909999999998</v>
      </c>
      <c r="F4266" t="s">
        <v>41</v>
      </c>
      <c r="G4266">
        <v>-417.4665</v>
      </c>
      <c r="H4266">
        <v>1.0747930000000001</v>
      </c>
      <c r="I4266">
        <v>129.4366</v>
      </c>
      <c r="J4266">
        <v>-417.39159999999998</v>
      </c>
      <c r="K4266">
        <v>1.1158440000000001</v>
      </c>
      <c r="L4266">
        <v>130.20339999999999</v>
      </c>
      <c r="M4266">
        <v>-0.63233219999999901</v>
      </c>
      <c r="N4266">
        <v>0</v>
      </c>
      <c r="O4266">
        <v>-0.77456709999999995</v>
      </c>
      <c r="P4266">
        <v>-0.36776730000000002</v>
      </c>
      <c r="Q4266">
        <v>0.11085639999999899</v>
      </c>
      <c r="R4266">
        <v>-0.92328670000000002</v>
      </c>
      <c r="S4266">
        <v>-0.69961549999999995</v>
      </c>
      <c r="T4266">
        <v>-0.12693199999999999</v>
      </c>
      <c r="U4266">
        <v>-2.98996</v>
      </c>
      <c r="V4266">
        <v>-0.30103869999999999</v>
      </c>
      <c r="W4266">
        <v>0.1192759</v>
      </c>
      <c r="X4266">
        <v>0.94612309999999999</v>
      </c>
      <c r="Y4266">
        <v>-0.43933860000000002</v>
      </c>
      <c r="Z4266">
        <v>2.595256E-2</v>
      </c>
      <c r="AA4266">
        <v>0.89794660000000004</v>
      </c>
      <c r="AB4266">
        <v>25</v>
      </c>
      <c r="AC4266">
        <v>-7.4900000000013706E-2</v>
      </c>
      <c r="AD4266">
        <v>-4.10509999999999E-2</v>
      </c>
      <c r="AE4266">
        <v>-0.76679999999998905</v>
      </c>
      <c r="AF4266">
        <v>-0.42569180884728502</v>
      </c>
      <c r="AG4266">
        <v>-4.10509999999999E-2</v>
      </c>
      <c r="AH4266">
        <v>0.639548796462584</v>
      </c>
      <c r="AI4266">
        <v>93.058585689404595</v>
      </c>
      <c r="AJ4266">
        <v>123.648240694371</v>
      </c>
      <c r="AK4266">
        <v>0.76936425948793197</v>
      </c>
      <c r="AL4266">
        <v>83.149685295198694</v>
      </c>
      <c r="AM4266">
        <v>107.650098474049</v>
      </c>
      <c r="AN4266">
        <v>0.99999997978605404</v>
      </c>
    </row>
    <row r="4267" spans="1:40" x14ac:dyDescent="0.25">
      <c r="A4267" t="str">
        <f>"20190312164556099"</f>
        <v>20190312164556099</v>
      </c>
      <c r="B4267" t="str">
        <f>"1552380356095822"</f>
        <v>1552380356095822</v>
      </c>
      <c r="C4267" t="s">
        <v>40</v>
      </c>
      <c r="D4267">
        <v>4.6380699999999999</v>
      </c>
      <c r="E4267">
        <v>0.44351479999999999</v>
      </c>
      <c r="F4267" t="s">
        <v>41</v>
      </c>
      <c r="G4267">
        <v>-417.60730000000001</v>
      </c>
      <c r="H4267">
        <v>1.074487</v>
      </c>
      <c r="I4267">
        <v>129.25380000000001</v>
      </c>
      <c r="J4267">
        <v>-417.54079999999999</v>
      </c>
      <c r="K4267">
        <v>1.115834</v>
      </c>
      <c r="L4267">
        <v>130.0026</v>
      </c>
      <c r="M4267">
        <v>-0.62439129999999998</v>
      </c>
      <c r="N4267">
        <v>0</v>
      </c>
      <c r="O4267">
        <v>-0.78098269999999903</v>
      </c>
      <c r="P4267">
        <v>-0.36043649999999999</v>
      </c>
      <c r="Q4267">
        <v>0.1111786</v>
      </c>
      <c r="R4267">
        <v>-0.92613449999999997</v>
      </c>
      <c r="S4267">
        <v>-0.67984009999999995</v>
      </c>
      <c r="T4267">
        <v>-0.1303821</v>
      </c>
      <c r="U4267">
        <v>-2.9941249999999999</v>
      </c>
      <c r="V4267">
        <v>-0.29885200000000001</v>
      </c>
      <c r="W4267">
        <v>0.11964089999999999</v>
      </c>
      <c r="X4267">
        <v>0.94677009999999995</v>
      </c>
      <c r="Y4267">
        <v>-0.43607970000000001</v>
      </c>
      <c r="Z4267">
        <v>2.7060939999999999E-2</v>
      </c>
      <c r="AA4267">
        <v>0.89950110000000005</v>
      </c>
      <c r="AB4267">
        <v>25</v>
      </c>
      <c r="AC4267">
        <v>-6.6500000000019099E-2</v>
      </c>
      <c r="AD4267">
        <v>-4.1347000000000002E-2</v>
      </c>
      <c r="AE4267">
        <v>-0.74879999999998803</v>
      </c>
      <c r="AF4267">
        <v>-0.41439713387166599</v>
      </c>
      <c r="AG4267">
        <v>-4.1347000000000002E-2</v>
      </c>
      <c r="AH4267">
        <v>0.62449580410693595</v>
      </c>
      <c r="AI4267">
        <v>93.1576696197057</v>
      </c>
      <c r="AJ4267">
        <v>123.56708743455501</v>
      </c>
      <c r="AK4267">
        <v>0.75061945639399796</v>
      </c>
      <c r="AL4267">
        <v>83.128621935048002</v>
      </c>
      <c r="AM4267">
        <v>107.518522598929</v>
      </c>
      <c r="AN4267">
        <v>1.0000000425554001</v>
      </c>
    </row>
    <row r="4268" spans="1:40" x14ac:dyDescent="0.25">
      <c r="A4268" t="str">
        <f>"20190312164556122"</f>
        <v>20190312164556122</v>
      </c>
      <c r="B4268" t="str">
        <f>"1552380356116318"</f>
        <v>1552380356116318</v>
      </c>
      <c r="C4268" t="s">
        <v>40</v>
      </c>
      <c r="D4268">
        <v>4.3576899999999998</v>
      </c>
      <c r="E4268">
        <v>0.44471889999999997</v>
      </c>
      <c r="F4268" t="s">
        <v>41</v>
      </c>
      <c r="G4268">
        <v>-417.75959999999998</v>
      </c>
      <c r="H4268">
        <v>1.0729150000000001</v>
      </c>
      <c r="I4268">
        <v>129.01609999999999</v>
      </c>
      <c r="J4268">
        <v>-417.68790000000001</v>
      </c>
      <c r="K4268">
        <v>1.1158220000000001</v>
      </c>
      <c r="L4268">
        <v>129.8004</v>
      </c>
      <c r="M4268">
        <v>-0.61638490000000001</v>
      </c>
      <c r="N4268">
        <v>0</v>
      </c>
      <c r="O4268">
        <v>-0.78731739999999995</v>
      </c>
      <c r="P4268">
        <v>-0.35297709999999999</v>
      </c>
      <c r="Q4268">
        <v>0.1118518</v>
      </c>
      <c r="R4268">
        <v>-0.92892220000000003</v>
      </c>
      <c r="S4268">
        <v>-0.66467290000000001</v>
      </c>
      <c r="T4268">
        <v>-0.1303443</v>
      </c>
      <c r="U4268">
        <v>-2.996216</v>
      </c>
      <c r="V4268">
        <v>-0.29675240000000003</v>
      </c>
      <c r="W4268">
        <v>0.1203562</v>
      </c>
      <c r="X4268">
        <v>0.94733970000000001</v>
      </c>
      <c r="Y4268">
        <v>-0.4313593</v>
      </c>
      <c r="Z4268">
        <v>2.7483199999999999E-2</v>
      </c>
      <c r="AA4268">
        <v>0.90176149999999999</v>
      </c>
      <c r="AB4268">
        <v>25</v>
      </c>
      <c r="AC4268">
        <v>-7.1699999999964306E-2</v>
      </c>
      <c r="AD4268">
        <v>-4.2906999999999799E-2</v>
      </c>
      <c r="AE4268">
        <v>-0.784300000000001</v>
      </c>
      <c r="AF4268">
        <v>-0.42575923775469798</v>
      </c>
      <c r="AG4268">
        <v>-4.2906999999999799E-2</v>
      </c>
      <c r="AH4268">
        <v>0.659795997563841</v>
      </c>
      <c r="AI4268">
        <v>93.127639986511397</v>
      </c>
      <c r="AJ4268">
        <v>122.83371665052</v>
      </c>
      <c r="AK4268">
        <v>0.78641127763004903</v>
      </c>
      <c r="AL4268">
        <v>83.087340046951098</v>
      </c>
      <c r="AM4268">
        <v>107.393067999651</v>
      </c>
      <c r="AN4268">
        <v>1.00000005449014</v>
      </c>
    </row>
    <row r="4269" spans="1:40" x14ac:dyDescent="0.25">
      <c r="A4269" t="str">
        <f>"20190312164556143"</f>
        <v>20190312164556143</v>
      </c>
      <c r="B4269" t="str">
        <f>"1552380356135838"</f>
        <v>1552380356135838</v>
      </c>
      <c r="C4269" t="s">
        <v>40</v>
      </c>
      <c r="D4269">
        <v>4.5150690000000004</v>
      </c>
      <c r="E4269">
        <v>0.44651400000000002</v>
      </c>
      <c r="F4269" t="s">
        <v>42</v>
      </c>
      <c r="G4269">
        <v>-422.46039999999999</v>
      </c>
      <c r="H4269" s="1">
        <v>-4.4539580000000002E-6</v>
      </c>
      <c r="I4269">
        <v>107.748</v>
      </c>
      <c r="J4269">
        <v>-417.82780000000002</v>
      </c>
      <c r="K4269">
        <v>1.1158030000000001</v>
      </c>
      <c r="L4269">
        <v>129.60409999999999</v>
      </c>
      <c r="M4269">
        <v>-0.60860649999999905</v>
      </c>
      <c r="N4269">
        <v>0</v>
      </c>
      <c r="O4269">
        <v>-0.79334559999999998</v>
      </c>
      <c r="P4269">
        <v>-0.345802</v>
      </c>
      <c r="Q4269">
        <v>0.11246250000000001</v>
      </c>
      <c r="R4269">
        <v>-0.93154329999999996</v>
      </c>
      <c r="S4269">
        <v>-0.64947509999999997</v>
      </c>
      <c r="T4269">
        <v>-0.1518497</v>
      </c>
      <c r="U4269">
        <v>-3.0010530000000002</v>
      </c>
      <c r="V4269">
        <v>-0.29469269999999997</v>
      </c>
      <c r="W4269">
        <v>0.1210085</v>
      </c>
      <c r="X4269">
        <v>0.9478993</v>
      </c>
      <c r="Y4269">
        <v>-0.42716910000000002</v>
      </c>
      <c r="Z4269">
        <v>3.2451750000000001E-2</v>
      </c>
      <c r="AA4269">
        <v>0.90358919999999998</v>
      </c>
      <c r="AB4269">
        <v>25</v>
      </c>
      <c r="AC4269">
        <v>-4.6325999999999601</v>
      </c>
      <c r="AD4269">
        <v>-1.1158074539579901</v>
      </c>
      <c r="AE4269">
        <v>-21.856100000000001</v>
      </c>
      <c r="AF4269">
        <v>-9.6035247660863092</v>
      </c>
      <c r="AG4269">
        <v>-1.1158074539579901</v>
      </c>
      <c r="AH4269">
        <v>20.1107343222438</v>
      </c>
      <c r="AI4269">
        <v>92.866260949268494</v>
      </c>
      <c r="AJ4269">
        <v>115.525981333828</v>
      </c>
      <c r="AK4269">
        <v>22.313994469548</v>
      </c>
      <c r="AL4269">
        <v>83.049690205928997</v>
      </c>
      <c r="AM4269">
        <v>107.2699627092</v>
      </c>
      <c r="AN4269">
        <v>0.99999996372301403</v>
      </c>
    </row>
    <row r="4270" spans="1:40" x14ac:dyDescent="0.25">
      <c r="A4270" t="str">
        <f>"20190312164556166"</f>
        <v>20190312164556166</v>
      </c>
      <c r="B4270" t="str">
        <f>"1552380356156335"</f>
        <v>1552380356156335</v>
      </c>
      <c r="C4270" t="s">
        <v>40</v>
      </c>
      <c r="D4270">
        <v>4.4838950000000004</v>
      </c>
      <c r="E4270">
        <v>0.4483471</v>
      </c>
      <c r="F4270" t="s">
        <v>42</v>
      </c>
      <c r="G4270">
        <v>-422.19779999999997</v>
      </c>
      <c r="H4270" s="1">
        <v>-4.9215339999999999E-6</v>
      </c>
      <c r="I4270">
        <v>109.0869</v>
      </c>
      <c r="J4270">
        <v>-417.96870000000001</v>
      </c>
      <c r="K4270">
        <v>1.115785</v>
      </c>
      <c r="L4270">
        <v>129.40199999999999</v>
      </c>
      <c r="M4270">
        <v>-0.60059259999999903</v>
      </c>
      <c r="N4270">
        <v>0</v>
      </c>
      <c r="O4270">
        <v>-0.79942999999999997</v>
      </c>
      <c r="P4270">
        <v>-0.33827659999999998</v>
      </c>
      <c r="Q4270">
        <v>0.1127037</v>
      </c>
      <c r="R4270">
        <v>-0.93427380000000004</v>
      </c>
      <c r="S4270">
        <v>-0.63955689999999998</v>
      </c>
      <c r="T4270">
        <v>-0.16330149999999999</v>
      </c>
      <c r="U4270">
        <v>-3.0027469999999998</v>
      </c>
      <c r="V4270">
        <v>-0.29277910000000001</v>
      </c>
      <c r="W4270">
        <v>0.1212887</v>
      </c>
      <c r="X4270">
        <v>0.94845630000000003</v>
      </c>
      <c r="Y4270">
        <v>-0.42103960000000001</v>
      </c>
      <c r="Z4270">
        <v>3.5430160000000002E-2</v>
      </c>
      <c r="AA4270">
        <v>0.90634999999999999</v>
      </c>
      <c r="AB4270">
        <v>25</v>
      </c>
      <c r="AC4270">
        <v>-4.2290999999999599</v>
      </c>
      <c r="AD4270">
        <v>-1.1157899215339999</v>
      </c>
      <c r="AE4270">
        <v>-20.315100000000001</v>
      </c>
      <c r="AF4270">
        <v>-8.7956808786669995</v>
      </c>
      <c r="AG4270">
        <v>-1.1157899215339999</v>
      </c>
      <c r="AH4270">
        <v>18.728196817724601</v>
      </c>
      <c r="AI4270">
        <v>93.086791134471696</v>
      </c>
      <c r="AJ4270">
        <v>115.157055114282</v>
      </c>
      <c r="AK4270">
        <v>20.720867388016799</v>
      </c>
      <c r="AL4270">
        <v>83.033516715707705</v>
      </c>
      <c r="AM4270">
        <v>107.15494087838999</v>
      </c>
      <c r="AN4270">
        <v>0.99999995157709298</v>
      </c>
    </row>
    <row r="4271" spans="1:40" x14ac:dyDescent="0.25">
      <c r="A4271" t="str">
        <f>"20190312164556188"</f>
        <v>20190312164556188</v>
      </c>
      <c r="B4271" t="str">
        <f>"1552380356185614"</f>
        <v>1552380356185614</v>
      </c>
      <c r="C4271" t="s">
        <v>40</v>
      </c>
      <c r="D4271">
        <v>4.6553649999999998</v>
      </c>
      <c r="E4271">
        <v>0.46726440000000002</v>
      </c>
      <c r="F4271" t="s">
        <v>42</v>
      </c>
      <c r="G4271">
        <v>-422.15870000000001</v>
      </c>
      <c r="H4271" s="1">
        <v>-5.0307720000000003E-6</v>
      </c>
      <c r="I4271">
        <v>109.38939999999999</v>
      </c>
      <c r="J4271">
        <v>-418.108</v>
      </c>
      <c r="K4271">
        <v>1.115775</v>
      </c>
      <c r="L4271">
        <v>129.19810000000001</v>
      </c>
      <c r="M4271">
        <v>-0.59249949999999996</v>
      </c>
      <c r="N4271">
        <v>0</v>
      </c>
      <c r="O4271">
        <v>-0.80544659999999901</v>
      </c>
      <c r="P4271">
        <v>-0.33118160000000002</v>
      </c>
      <c r="Q4271">
        <v>0.1126979</v>
      </c>
      <c r="R4271">
        <v>-0.93681309999999995</v>
      </c>
      <c r="S4271">
        <v>-0.62884519999999899</v>
      </c>
      <c r="T4271">
        <v>-0.1674612</v>
      </c>
      <c r="U4271">
        <v>-3.003555</v>
      </c>
      <c r="V4271">
        <v>-0.29039779999999998</v>
      </c>
      <c r="W4271">
        <v>0.1213323</v>
      </c>
      <c r="X4271">
        <v>0.94918259999999999</v>
      </c>
      <c r="Y4271">
        <v>-0.41503790000000002</v>
      </c>
      <c r="Z4271">
        <v>3.6884060000000003E-2</v>
      </c>
      <c r="AA4271">
        <v>0.90905610000000003</v>
      </c>
      <c r="AB4271">
        <v>25</v>
      </c>
      <c r="AC4271">
        <v>-4.0507</v>
      </c>
      <c r="AD4271">
        <v>-1.1157800307720001</v>
      </c>
      <c r="AE4271">
        <v>-19.808700000000002</v>
      </c>
      <c r="AF4271">
        <v>-8.4491387511413105</v>
      </c>
      <c r="AG4271">
        <v>-1.1157800307720001</v>
      </c>
      <c r="AH4271">
        <v>18.300989560114601</v>
      </c>
      <c r="AI4271">
        <v>93.168307004672201</v>
      </c>
      <c r="AJ4271">
        <v>114.781665364457</v>
      </c>
      <c r="AK4271">
        <v>20.188093758265801</v>
      </c>
      <c r="AL4271">
        <v>83.031000433014796</v>
      </c>
      <c r="AM4271">
        <v>107.011236349035</v>
      </c>
      <c r="AN4271">
        <v>1.0000000087054399</v>
      </c>
    </row>
    <row r="4272" spans="1:40" x14ac:dyDescent="0.25">
      <c r="A4272" t="str">
        <f>"20190312164556211"</f>
        <v>20190312164556211</v>
      </c>
      <c r="B4272" t="str">
        <f>"1552380356206110"</f>
        <v>1552380356206110</v>
      </c>
      <c r="C4272" t="s">
        <v>40</v>
      </c>
      <c r="D4272">
        <v>4.5979919999999996</v>
      </c>
      <c r="E4272">
        <v>0.46556839999999999</v>
      </c>
      <c r="F4272" t="s">
        <v>42</v>
      </c>
      <c r="G4272">
        <v>-424.19490000000002</v>
      </c>
      <c r="H4272" s="1">
        <v>-3.7394149999999999E-6</v>
      </c>
      <c r="I4272">
        <v>105.14100000000001</v>
      </c>
      <c r="J4272">
        <v>-418.24650000000003</v>
      </c>
      <c r="K4272">
        <v>1.115766</v>
      </c>
      <c r="L4272">
        <v>128.99039999999999</v>
      </c>
      <c r="M4272">
        <v>-0.58425459999999996</v>
      </c>
      <c r="N4272">
        <v>0</v>
      </c>
      <c r="O4272">
        <v>-0.81144729999999998</v>
      </c>
      <c r="P4272">
        <v>-0.32272990000000001</v>
      </c>
      <c r="Q4272">
        <v>0.11277239999999999</v>
      </c>
      <c r="R4272">
        <v>-0.9397489</v>
      </c>
      <c r="S4272">
        <v>-0.74755859999999996</v>
      </c>
      <c r="T4272">
        <v>-0.137032399999999</v>
      </c>
      <c r="U4272">
        <v>-2.954529</v>
      </c>
      <c r="V4272">
        <v>-0.289257599999999</v>
      </c>
      <c r="W4272">
        <v>0.1214297</v>
      </c>
      <c r="X4272">
        <v>0.94951830000000004</v>
      </c>
      <c r="Y4272">
        <v>-0.36752610000000002</v>
      </c>
      <c r="Z4272">
        <v>3.145879E-2</v>
      </c>
      <c r="AA4272">
        <v>0.929481</v>
      </c>
      <c r="AB4272">
        <v>25</v>
      </c>
      <c r="AC4272">
        <v>-5.9483999999999897</v>
      </c>
      <c r="AD4272">
        <v>-1.1157697394149999</v>
      </c>
      <c r="AE4272">
        <v>-23.8493999999999</v>
      </c>
      <c r="AF4272">
        <v>-9.0894892697279399</v>
      </c>
      <c r="AG4272">
        <v>-1.1157697394149999</v>
      </c>
      <c r="AH4272">
        <v>22.783246437845399</v>
      </c>
      <c r="AI4272">
        <v>92.604412092658606</v>
      </c>
      <c r="AJ4272">
        <v>111.74977353618</v>
      </c>
      <c r="AK4272">
        <v>24.5548381290427</v>
      </c>
      <c r="AL4272">
        <v>83.025378659611903</v>
      </c>
      <c r="AM4272">
        <v>106.94263117081699</v>
      </c>
      <c r="AN4272">
        <v>1.0000000666173601</v>
      </c>
    </row>
    <row r="4273" spans="1:40" x14ac:dyDescent="0.25">
      <c r="A4273" t="str">
        <f>"20190312164556233"</f>
        <v>20190312164556233</v>
      </c>
      <c r="B4273" t="str">
        <f>"1552380356225639"</f>
        <v>1552380356225639</v>
      </c>
      <c r="C4273" t="s">
        <v>40</v>
      </c>
      <c r="D4273">
        <v>4.6556340000000001</v>
      </c>
      <c r="E4273">
        <v>0.46465519999999999</v>
      </c>
      <c r="F4273" t="s">
        <v>42</v>
      </c>
      <c r="G4273">
        <v>-423.45909999999998</v>
      </c>
      <c r="H4273" s="1">
        <v>-4.3978800000000001E-6</v>
      </c>
      <c r="I4273">
        <v>107.14060000000001</v>
      </c>
      <c r="J4273">
        <v>-418.38189999999997</v>
      </c>
      <c r="K4273">
        <v>1.1157549999999901</v>
      </c>
      <c r="L4273">
        <v>128.78299999999999</v>
      </c>
      <c r="M4273">
        <v>-0.57601409999999997</v>
      </c>
      <c r="N4273">
        <v>0</v>
      </c>
      <c r="O4273">
        <v>-0.81731759999999998</v>
      </c>
      <c r="P4273">
        <v>-0.31509789999999999</v>
      </c>
      <c r="Q4273">
        <v>0.112884</v>
      </c>
      <c r="R4273">
        <v>-0.94232199999999999</v>
      </c>
      <c r="S4273">
        <v>-0.70791630000000005</v>
      </c>
      <c r="T4273">
        <v>-0.15153129999999901</v>
      </c>
      <c r="U4273">
        <v>-2.9673919999999998</v>
      </c>
      <c r="V4273">
        <v>-0.2873368</v>
      </c>
      <c r="W4273">
        <v>0.1215812</v>
      </c>
      <c r="X4273">
        <v>0.95008190000000003</v>
      </c>
      <c r="Y4273">
        <v>-0.37081150000000002</v>
      </c>
      <c r="Z4273">
        <v>3.506273E-2</v>
      </c>
      <c r="AA4273">
        <v>0.92804600000000004</v>
      </c>
      <c r="AB4273">
        <v>25</v>
      </c>
      <c r="AC4273">
        <v>-5.0772000000000004</v>
      </c>
      <c r="AD4273">
        <v>-1.11575939787999</v>
      </c>
      <c r="AE4273">
        <v>-21.642399999999899</v>
      </c>
      <c r="AF4273">
        <v>-8.2965724045560201</v>
      </c>
      <c r="AG4273">
        <v>-1.11575939787999</v>
      </c>
      <c r="AH4273">
        <v>20.563508041725701</v>
      </c>
      <c r="AI4273">
        <v>92.880586601165902</v>
      </c>
      <c r="AJ4273">
        <v>111.97215141053</v>
      </c>
      <c r="AK4273">
        <v>22.2021597075626</v>
      </c>
      <c r="AL4273">
        <v>83.016633233273495</v>
      </c>
      <c r="AM4273">
        <v>106.82708653969399</v>
      </c>
      <c r="AN4273">
        <v>1.0000000207676401</v>
      </c>
    </row>
    <row r="4274" spans="1:40" x14ac:dyDescent="0.25">
      <c r="A4274" t="str">
        <f>"20190312164556255"</f>
        <v>20190312164556255</v>
      </c>
      <c r="B4274" t="str">
        <f>"1552380356246126"</f>
        <v>1552380356246126</v>
      </c>
      <c r="C4274" t="s">
        <v>40</v>
      </c>
      <c r="D4274">
        <v>4.639621</v>
      </c>
      <c r="E4274">
        <v>0.46445320000000001</v>
      </c>
      <c r="F4274" t="s">
        <v>42</v>
      </c>
      <c r="G4274">
        <v>-423.74419999999998</v>
      </c>
      <c r="H4274" s="1">
        <v>-3.652018E-6</v>
      </c>
      <c r="I4274">
        <v>105.2098</v>
      </c>
      <c r="J4274">
        <v>-418.51049999999998</v>
      </c>
      <c r="K4274">
        <v>1.1157429999999999</v>
      </c>
      <c r="L4274">
        <v>128.58150000000001</v>
      </c>
      <c r="M4274">
        <v>-0.56800309999999998</v>
      </c>
      <c r="N4274">
        <v>0</v>
      </c>
      <c r="O4274">
        <v>-0.8229052</v>
      </c>
      <c r="P4274">
        <v>-0.30768289999999998</v>
      </c>
      <c r="Q4274">
        <v>0.1131871</v>
      </c>
      <c r="R4274">
        <v>-0.94473280000000004</v>
      </c>
      <c r="S4274">
        <v>-0.67657469999999997</v>
      </c>
      <c r="T4274">
        <v>-0.14077629999999999</v>
      </c>
      <c r="U4274">
        <v>-2.974243</v>
      </c>
      <c r="V4274">
        <v>-0.28549999999999998</v>
      </c>
      <c r="W4274">
        <v>0.1219205</v>
      </c>
      <c r="X4274">
        <v>0.95059199999999999</v>
      </c>
      <c r="Y4274">
        <v>-0.37148199999999998</v>
      </c>
      <c r="Z4274">
        <v>3.2902279999999999E-2</v>
      </c>
      <c r="AA4274">
        <v>0.92785700000000004</v>
      </c>
      <c r="AB4274">
        <v>25</v>
      </c>
      <c r="AC4274">
        <v>-5.23369999999999</v>
      </c>
      <c r="AD4274">
        <v>-1.1157466520179999</v>
      </c>
      <c r="AE4274">
        <v>-23.371700000000001</v>
      </c>
      <c r="AF4274">
        <v>-8.9498309082055894</v>
      </c>
      <c r="AG4274">
        <v>-1.1157466520179999</v>
      </c>
      <c r="AH4274">
        <v>22.159575892321101</v>
      </c>
      <c r="AI4274">
        <v>92.673002178719997</v>
      </c>
      <c r="AJ4274">
        <v>111.992844778711</v>
      </c>
      <c r="AK4274">
        <v>23.924697858165299</v>
      </c>
      <c r="AL4274">
        <v>82.997046952860799</v>
      </c>
      <c r="AM4274">
        <v>106.717070339014</v>
      </c>
      <c r="AN4274">
        <v>1.00000000439212</v>
      </c>
    </row>
    <row r="4275" spans="1:40" x14ac:dyDescent="0.25">
      <c r="A4275" t="str">
        <f>"20190312164556278"</f>
        <v>20190312164556278</v>
      </c>
      <c r="B4275" t="str">
        <f>"1552380356265646"</f>
        <v>1552380356265646</v>
      </c>
      <c r="C4275" t="s">
        <v>40</v>
      </c>
      <c r="D4275">
        <v>4.7121079999999997</v>
      </c>
      <c r="E4275">
        <v>0.46448220000000001</v>
      </c>
      <c r="F4275" t="s">
        <v>42</v>
      </c>
      <c r="G4275">
        <v>-423.87119999999999</v>
      </c>
      <c r="H4275" s="1">
        <v>-3.1409339999999898E-6</v>
      </c>
      <c r="I4275">
        <v>104.05719999999999</v>
      </c>
      <c r="J4275">
        <v>-418.6422</v>
      </c>
      <c r="K4275">
        <v>1.1157360000000001</v>
      </c>
      <c r="L4275">
        <v>128.3708</v>
      </c>
      <c r="M4275">
        <v>-0.55961759999999905</v>
      </c>
      <c r="N4275">
        <v>0</v>
      </c>
      <c r="O4275">
        <v>-0.82863109999999995</v>
      </c>
      <c r="P4275">
        <v>-0.2999675</v>
      </c>
      <c r="Q4275">
        <v>0.11313819999999999</v>
      </c>
      <c r="R4275">
        <v>-0.94721690000000003</v>
      </c>
      <c r="S4275">
        <v>-0.65130619999999995</v>
      </c>
      <c r="T4275">
        <v>-0.13555900000000001</v>
      </c>
      <c r="U4275">
        <v>-2.9796140000000002</v>
      </c>
      <c r="V4275">
        <v>-0.28359529999999999</v>
      </c>
      <c r="W4275">
        <v>0.1219049</v>
      </c>
      <c r="X4275">
        <v>0.95116389999999995</v>
      </c>
      <c r="Y4275">
        <v>-0.36990499999999998</v>
      </c>
      <c r="Z4275">
        <v>3.2035460000000002E-2</v>
      </c>
      <c r="AA4275">
        <v>0.92851709999999998</v>
      </c>
      <c r="AB4275">
        <v>25</v>
      </c>
      <c r="AC4275">
        <v>-5.2289999999999797</v>
      </c>
      <c r="AD4275">
        <v>-1.1157391409340001</v>
      </c>
      <c r="AE4275">
        <v>-24.313600000000001</v>
      </c>
      <c r="AF4275">
        <v>-9.2556982186202692</v>
      </c>
      <c r="AG4275">
        <v>-1.1157391409340001</v>
      </c>
      <c r="AH4275">
        <v>23.029185515929498</v>
      </c>
      <c r="AI4275">
        <v>92.573941401376004</v>
      </c>
      <c r="AJ4275">
        <v>111.89576974072401</v>
      </c>
      <c r="AK4275">
        <v>24.844641451868</v>
      </c>
      <c r="AL4275">
        <v>82.997946973007302</v>
      </c>
      <c r="AM4275">
        <v>106.60226958392001</v>
      </c>
      <c r="AN4275">
        <v>0.99999993174465196</v>
      </c>
    </row>
    <row r="4276" spans="1:40" x14ac:dyDescent="0.25">
      <c r="A4276" t="str">
        <f>"20190312164556301"</f>
        <v>20190312164556301</v>
      </c>
      <c r="B4276" t="str">
        <f>"1552380356295902"</f>
        <v>1552380356295902</v>
      </c>
      <c r="C4276" t="s">
        <v>40</v>
      </c>
      <c r="D4276">
        <v>4.4796860000000001</v>
      </c>
      <c r="E4276">
        <v>0.46455679999999999</v>
      </c>
      <c r="F4276" t="s">
        <v>42</v>
      </c>
      <c r="G4276">
        <v>-423.8408</v>
      </c>
      <c r="H4276" s="1">
        <v>-2.9313100000000001E-6</v>
      </c>
      <c r="I4276">
        <v>103.63079999999999</v>
      </c>
      <c r="J4276">
        <v>-418.77480000000003</v>
      </c>
      <c r="K4276">
        <v>1.1157220000000001</v>
      </c>
      <c r="L4276">
        <v>128.15350000000001</v>
      </c>
      <c r="M4276">
        <v>-0.55096339999999999</v>
      </c>
      <c r="N4276">
        <v>0</v>
      </c>
      <c r="O4276">
        <v>-0.834410399999999</v>
      </c>
      <c r="P4276">
        <v>-0.29206900000000002</v>
      </c>
      <c r="Q4276">
        <v>0.1131071</v>
      </c>
      <c r="R4276">
        <v>-0.94968560000000002</v>
      </c>
      <c r="S4276">
        <v>-0.62716669999999997</v>
      </c>
      <c r="T4276">
        <v>-0.1346031</v>
      </c>
      <c r="U4276">
        <v>-2.9846339999999998</v>
      </c>
      <c r="V4276">
        <v>-0.28161079999999999</v>
      </c>
      <c r="W4276">
        <v>0.1219078</v>
      </c>
      <c r="X4276">
        <v>0.95175299999999996</v>
      </c>
      <c r="Y4276">
        <v>-0.3677416</v>
      </c>
      <c r="Z4276">
        <v>3.2168750000000003E-2</v>
      </c>
      <c r="AA4276">
        <v>0.92937150000000002</v>
      </c>
      <c r="AB4276">
        <v>25</v>
      </c>
      <c r="AC4276">
        <v>-5.0659999999999696</v>
      </c>
      <c r="AD4276">
        <v>-1.1157249313099999</v>
      </c>
      <c r="AE4276">
        <v>-24.5227</v>
      </c>
      <c r="AF4276">
        <v>-9.2665123134511092</v>
      </c>
      <c r="AG4276">
        <v>-1.1157249313099999</v>
      </c>
      <c r="AH4276">
        <v>23.209408247477501</v>
      </c>
      <c r="AI4276">
        <v>92.556287210261303</v>
      </c>
      <c r="AJ4276">
        <v>111.764687534917</v>
      </c>
      <c r="AK4276">
        <v>25.0157894893558</v>
      </c>
      <c r="AL4276">
        <v>82.997779791484405</v>
      </c>
      <c r="AM4276">
        <v>106.48277077904299</v>
      </c>
      <c r="AN4276">
        <v>0.99999996369323896</v>
      </c>
    </row>
    <row r="4277" spans="1:40" x14ac:dyDescent="0.25">
      <c r="A4277" t="str">
        <f>"20190312164556324"</f>
        <v>20190312164556324</v>
      </c>
      <c r="B4277" t="str">
        <f>"1552380356316398"</f>
        <v>1552380356316398</v>
      </c>
      <c r="C4277" t="s">
        <v>40</v>
      </c>
      <c r="D4277">
        <v>4.5793549999999996</v>
      </c>
      <c r="E4277">
        <v>0.4650938</v>
      </c>
      <c r="F4277" t="s">
        <v>42</v>
      </c>
      <c r="G4277">
        <v>-423.81299999999999</v>
      </c>
      <c r="H4277" s="1">
        <v>-2.6977099999999901E-6</v>
      </c>
      <c r="I4277">
        <v>103.1523</v>
      </c>
      <c r="J4277">
        <v>-418.90050000000002</v>
      </c>
      <c r="K4277">
        <v>1.1157060000000001</v>
      </c>
      <c r="L4277">
        <v>127.94289999999999</v>
      </c>
      <c r="M4277">
        <v>-0.54256979999999999</v>
      </c>
      <c r="N4277">
        <v>0</v>
      </c>
      <c r="O4277">
        <v>-0.83989269999999905</v>
      </c>
      <c r="P4277">
        <v>-0.28471259999999998</v>
      </c>
      <c r="Q4277">
        <v>0.1129925</v>
      </c>
      <c r="R4277">
        <v>-0.95193059999999996</v>
      </c>
      <c r="S4277">
        <v>-0.60244750000000002</v>
      </c>
      <c r="T4277">
        <v>-0.1334157</v>
      </c>
      <c r="U4277">
        <v>-2.9895779999999998</v>
      </c>
      <c r="V4277">
        <v>-0.27942919999999999</v>
      </c>
      <c r="W4277">
        <v>0.12183389999999999</v>
      </c>
      <c r="X4277">
        <v>0.95240530000000001</v>
      </c>
      <c r="Y4277">
        <v>-0.36609910000000001</v>
      </c>
      <c r="Z4277">
        <v>3.2218040000000003E-2</v>
      </c>
      <c r="AA4277">
        <v>0.93001789999999995</v>
      </c>
      <c r="AB4277">
        <v>25</v>
      </c>
      <c r="AC4277">
        <v>-4.9125000000000201</v>
      </c>
      <c r="AD4277">
        <v>-1.1157086977099999</v>
      </c>
      <c r="AE4277">
        <v>-24.790600000000001</v>
      </c>
      <c r="AF4277">
        <v>-9.3074427835259801</v>
      </c>
      <c r="AG4277">
        <v>-1.1157086977099999</v>
      </c>
      <c r="AH4277">
        <v>23.4434566769635</v>
      </c>
      <c r="AI4277">
        <v>92.532709475595993</v>
      </c>
      <c r="AJ4277">
        <v>111.653902031485</v>
      </c>
      <c r="AK4277">
        <v>25.248147615843401</v>
      </c>
      <c r="AL4277">
        <v>83.002046117855997</v>
      </c>
      <c r="AM4277">
        <v>106.351327703596</v>
      </c>
      <c r="AN4277">
        <v>1.00000001623496</v>
      </c>
    </row>
    <row r="4278" spans="1:40" x14ac:dyDescent="0.25">
      <c r="A4278" t="str">
        <f>"20190312164556344"</f>
        <v>20190312164556344</v>
      </c>
      <c r="B4278" t="str">
        <f>"1552380356335919"</f>
        <v>1552380356335919</v>
      </c>
      <c r="C4278" t="s">
        <v>40</v>
      </c>
      <c r="D4278">
        <v>4.6382899999999996</v>
      </c>
      <c r="E4278">
        <v>0.46545140000000002</v>
      </c>
      <c r="F4278" t="s">
        <v>42</v>
      </c>
      <c r="G4278">
        <v>-423.68790000000001</v>
      </c>
      <c r="H4278" s="1">
        <v>-2.7592319999999998E-6</v>
      </c>
      <c r="I4278">
        <v>103.35290000000001</v>
      </c>
      <c r="J4278">
        <v>-419.017</v>
      </c>
      <c r="K4278">
        <v>1.115691</v>
      </c>
      <c r="L4278">
        <v>127.7433</v>
      </c>
      <c r="M4278">
        <v>-0.53460850000000004</v>
      </c>
      <c r="N4278">
        <v>0</v>
      </c>
      <c r="O4278">
        <v>-0.84498300000000004</v>
      </c>
      <c r="P4278">
        <v>-0.27774260000000001</v>
      </c>
      <c r="Q4278">
        <v>0.1129154</v>
      </c>
      <c r="R4278">
        <v>-0.95399670000000003</v>
      </c>
      <c r="S4278">
        <v>-0.5827637</v>
      </c>
      <c r="T4278">
        <v>-0.1358134</v>
      </c>
      <c r="U4278">
        <v>-2.9933010000000002</v>
      </c>
      <c r="V4278">
        <v>-0.27739029999999998</v>
      </c>
      <c r="W4278">
        <v>0.1217956</v>
      </c>
      <c r="X4278">
        <v>0.95300600000000002</v>
      </c>
      <c r="Y4278">
        <v>-0.36341790000000002</v>
      </c>
      <c r="Z4278">
        <v>3.3126929999999999E-2</v>
      </c>
      <c r="AA4278">
        <v>0.93103709999999995</v>
      </c>
      <c r="AB4278">
        <v>25</v>
      </c>
      <c r="AC4278">
        <v>-4.6709000000000103</v>
      </c>
      <c r="AD4278">
        <v>-1.115693759232</v>
      </c>
      <c r="AE4278">
        <v>-24.3904</v>
      </c>
      <c r="AF4278">
        <v>-9.07506477720489</v>
      </c>
      <c r="AG4278">
        <v>-1.115693759232</v>
      </c>
      <c r="AH4278">
        <v>23.062308867240301</v>
      </c>
      <c r="AI4278">
        <v>92.577567841644196</v>
      </c>
      <c r="AJ4278">
        <v>111.479737182851</v>
      </c>
      <c r="AK4278">
        <v>24.808701367924201</v>
      </c>
      <c r="AL4278">
        <v>83.004256836235598</v>
      </c>
      <c r="AM4278">
        <v>106.228629300938</v>
      </c>
      <c r="AN4278">
        <v>0.99999999137472495</v>
      </c>
    </row>
    <row r="4279" spans="1:40" x14ac:dyDescent="0.25">
      <c r="A4279" t="str">
        <f>"20190312164556367"</f>
        <v>20190312164556367</v>
      </c>
      <c r="B4279" t="str">
        <f>"1552380356356414"</f>
        <v>1552380356356414</v>
      </c>
      <c r="C4279" t="s">
        <v>40</v>
      </c>
      <c r="D4279">
        <v>4.8246120000000001</v>
      </c>
      <c r="E4279">
        <v>0.46586480000000002</v>
      </c>
      <c r="F4279" t="s">
        <v>42</v>
      </c>
      <c r="G4279">
        <v>-423.63369999999998</v>
      </c>
      <c r="H4279" s="1">
        <v>-2.6594170000000002E-6</v>
      </c>
      <c r="I4279">
        <v>103.1722</v>
      </c>
      <c r="J4279">
        <v>-419.13850000000002</v>
      </c>
      <c r="K4279">
        <v>1.115675</v>
      </c>
      <c r="L4279">
        <v>127.5305</v>
      </c>
      <c r="M4279">
        <v>-0.52611219999999903</v>
      </c>
      <c r="N4279">
        <v>0</v>
      </c>
      <c r="O4279">
        <v>-0.85029929999999998</v>
      </c>
      <c r="P4279">
        <v>-0.27033430000000003</v>
      </c>
      <c r="Q4279">
        <v>0.11246100000000001</v>
      </c>
      <c r="R4279">
        <v>-0.95617580000000002</v>
      </c>
      <c r="S4279">
        <v>-0.56307980000000002</v>
      </c>
      <c r="T4279">
        <v>-0.13607649999999999</v>
      </c>
      <c r="U4279">
        <v>-2.996826</v>
      </c>
      <c r="V4279">
        <v>-0.27524280000000001</v>
      </c>
      <c r="W4279">
        <v>0.1213824</v>
      </c>
      <c r="X4279">
        <v>0.95368109999999995</v>
      </c>
      <c r="Y4279">
        <v>-0.36018509999999998</v>
      </c>
      <c r="Z4279">
        <v>3.3543839999999998E-2</v>
      </c>
      <c r="AA4279">
        <v>0.93227760000000004</v>
      </c>
      <c r="AB4279">
        <v>25</v>
      </c>
      <c r="AC4279">
        <v>-4.4951999999999499</v>
      </c>
      <c r="AD4279">
        <v>-1.1156776594169999</v>
      </c>
      <c r="AE4279">
        <v>-24.3583</v>
      </c>
      <c r="AF4279">
        <v>-8.9756098506481106</v>
      </c>
      <c r="AG4279">
        <v>-1.1156776594169999</v>
      </c>
      <c r="AH4279">
        <v>23.032370958738301</v>
      </c>
      <c r="AI4279">
        <v>92.584209773797895</v>
      </c>
      <c r="AJ4279">
        <v>111.29063561736299</v>
      </c>
      <c r="AK4279">
        <v>24.7446240790137</v>
      </c>
      <c r="AL4279">
        <v>83.028108221608207</v>
      </c>
      <c r="AM4279">
        <v>106.09871861410601</v>
      </c>
      <c r="AN4279">
        <v>0.99999996323940399</v>
      </c>
    </row>
    <row r="4280" spans="1:40" x14ac:dyDescent="0.25">
      <c r="A4280" t="str">
        <f>"20190312164556390"</f>
        <v>20190312164556390</v>
      </c>
      <c r="B4280" t="str">
        <f>"1552380356385694"</f>
        <v>1552380356385694</v>
      </c>
      <c r="C4280" t="s">
        <v>40</v>
      </c>
      <c r="D4280">
        <v>4.6785230000000002</v>
      </c>
      <c r="E4280">
        <v>0.46643600000000002</v>
      </c>
      <c r="F4280" t="s">
        <v>42</v>
      </c>
      <c r="G4280">
        <v>-423.53800000000001</v>
      </c>
      <c r="H4280" s="1">
        <v>-2.6480809999999998E-6</v>
      </c>
      <c r="I4280">
        <v>103.2021</v>
      </c>
      <c r="J4280">
        <v>-419.25990000000002</v>
      </c>
      <c r="K4280">
        <v>1.1156619999999999</v>
      </c>
      <c r="L4280">
        <v>127.3125</v>
      </c>
      <c r="M4280">
        <v>-0.51740730000000001</v>
      </c>
      <c r="N4280">
        <v>0</v>
      </c>
      <c r="O4280">
        <v>-0.85562399999999905</v>
      </c>
      <c r="P4280">
        <v>-0.26231860000000001</v>
      </c>
      <c r="Q4280">
        <v>0.1121818</v>
      </c>
      <c r="R4280">
        <v>-0.95843840000000002</v>
      </c>
      <c r="S4280">
        <v>-0.54257200000000005</v>
      </c>
      <c r="T4280">
        <v>-0.13759080000000001</v>
      </c>
      <c r="U4280">
        <v>-3.0002900000000001</v>
      </c>
      <c r="V4280">
        <v>-0.2735012</v>
      </c>
      <c r="W4280">
        <v>0.1211368</v>
      </c>
      <c r="X4280">
        <v>0.95421330000000004</v>
      </c>
      <c r="Y4280">
        <v>-0.3570255</v>
      </c>
      <c r="Z4280">
        <v>3.4273860000000003E-2</v>
      </c>
      <c r="AA4280">
        <v>0.93346560000000001</v>
      </c>
      <c r="AB4280">
        <v>25</v>
      </c>
      <c r="AC4280">
        <v>-4.2780999999999896</v>
      </c>
      <c r="AD4280">
        <v>-1.115664648081</v>
      </c>
      <c r="AE4280">
        <v>-24.110399999999998</v>
      </c>
      <c r="AF4280">
        <v>-8.7970600391526492</v>
      </c>
      <c r="AG4280">
        <v>-1.115664648081</v>
      </c>
      <c r="AH4280">
        <v>22.797885369099401</v>
      </c>
      <c r="AI4280">
        <v>92.614084981889704</v>
      </c>
      <c r="AJ4280">
        <v>111.10019295680701</v>
      </c>
      <c r="AK4280">
        <v>24.4617364518963</v>
      </c>
      <c r="AL4280">
        <v>83.042285117077597</v>
      </c>
      <c r="AM4280">
        <v>105.993615870003</v>
      </c>
      <c r="AN4280">
        <v>1.00000002630628</v>
      </c>
    </row>
    <row r="4281" spans="1:40" x14ac:dyDescent="0.25">
      <c r="A4281" t="str">
        <f>"20190312164556413"</f>
        <v>20190312164556413</v>
      </c>
      <c r="B4281" t="str">
        <f>"1552380356406190"</f>
        <v>1552380356406190</v>
      </c>
      <c r="C4281" t="s">
        <v>40</v>
      </c>
      <c r="D4281">
        <v>4.7213050000000001</v>
      </c>
      <c r="E4281">
        <v>0.46681489999999998</v>
      </c>
      <c r="F4281" t="s">
        <v>42</v>
      </c>
      <c r="G4281">
        <v>-423.476</v>
      </c>
      <c r="H4281" s="1">
        <v>-2.5621660000000001E-6</v>
      </c>
      <c r="I4281">
        <v>103.0553</v>
      </c>
      <c r="J4281">
        <v>-419.37860000000001</v>
      </c>
      <c r="K4281">
        <v>1.1156520000000001</v>
      </c>
      <c r="L4281">
        <v>127.09399999999999</v>
      </c>
      <c r="M4281">
        <v>-0.50867580000000001</v>
      </c>
      <c r="N4281">
        <v>0</v>
      </c>
      <c r="O4281">
        <v>-0.8608439</v>
      </c>
      <c r="P4281">
        <v>-0.25430249999999999</v>
      </c>
      <c r="Q4281">
        <v>0.1116972</v>
      </c>
      <c r="R4281">
        <v>-0.96065319999999998</v>
      </c>
      <c r="S4281">
        <v>-0.5220032</v>
      </c>
      <c r="T4281">
        <v>-0.1381358</v>
      </c>
      <c r="U4281">
        <v>-3.003403</v>
      </c>
      <c r="V4281">
        <v>-0.27177859999999998</v>
      </c>
      <c r="W4281">
        <v>0.12068570000000001</v>
      </c>
      <c r="X4281">
        <v>0.95476249999999996</v>
      </c>
      <c r="Y4281">
        <v>-0.3538905</v>
      </c>
      <c r="Z4281">
        <v>3.4764389999999999E-2</v>
      </c>
      <c r="AA4281">
        <v>0.93464060000000004</v>
      </c>
      <c r="AB4281">
        <v>25</v>
      </c>
      <c r="AC4281">
        <v>-4.0973999999999897</v>
      </c>
      <c r="AD4281">
        <v>-1.1156545621659999</v>
      </c>
      <c r="AE4281">
        <v>-24.038699999999899</v>
      </c>
      <c r="AF4281">
        <v>-8.68336348656692</v>
      </c>
      <c r="AG4281">
        <v>-1.1156545621659999</v>
      </c>
      <c r="AH4281">
        <v>22.732474721763801</v>
      </c>
      <c r="AI4281">
        <v>92.624983395117198</v>
      </c>
      <c r="AJ4281">
        <v>110.90588502972599</v>
      </c>
      <c r="AK4281">
        <v>24.360026550017501</v>
      </c>
      <c r="AL4281">
        <v>83.068322353941696</v>
      </c>
      <c r="AM4281">
        <v>105.889305966278</v>
      </c>
      <c r="AN4281">
        <v>1.0000000385043399</v>
      </c>
    </row>
    <row r="4282" spans="1:40" x14ac:dyDescent="0.25">
      <c r="A4282" t="str">
        <f>"20190312164556434"</f>
        <v>20190312164556434</v>
      </c>
      <c r="B4282" t="str">
        <f>"1552380356425710"</f>
        <v>1552380356425710</v>
      </c>
      <c r="C4282" t="s">
        <v>40</v>
      </c>
      <c r="D4282">
        <v>4.508038</v>
      </c>
      <c r="E4282">
        <v>0.46720509999999899</v>
      </c>
      <c r="F4282" t="s">
        <v>42</v>
      </c>
      <c r="G4282">
        <v>-423.36070000000001</v>
      </c>
      <c r="H4282" s="1">
        <v>-2.5647869999999998E-6</v>
      </c>
      <c r="I4282">
        <v>103.12569999999999</v>
      </c>
      <c r="J4282">
        <v>-419.48970000000003</v>
      </c>
      <c r="K4282">
        <v>1.115642</v>
      </c>
      <c r="L4282">
        <v>126.8848</v>
      </c>
      <c r="M4282">
        <v>-0.50031110000000001</v>
      </c>
      <c r="N4282">
        <v>0</v>
      </c>
      <c r="O4282">
        <v>-0.86573219999999995</v>
      </c>
      <c r="P4282">
        <v>-0.24689739999999999</v>
      </c>
      <c r="Q4282">
        <v>0.1111034</v>
      </c>
      <c r="R4282">
        <v>-0.96265129999999999</v>
      </c>
      <c r="S4282">
        <v>-0.49957279999999998</v>
      </c>
      <c r="T4282">
        <v>-0.13996220000000001</v>
      </c>
      <c r="U4282">
        <v>-3.0068969999999999</v>
      </c>
      <c r="V4282">
        <v>-0.26989839999999998</v>
      </c>
      <c r="W4282">
        <v>0.1201295</v>
      </c>
      <c r="X4282">
        <v>0.95536580000000004</v>
      </c>
      <c r="Y4282">
        <v>-0.35179139999999998</v>
      </c>
      <c r="Z4282">
        <v>3.5547679999999998E-2</v>
      </c>
      <c r="AA4282">
        <v>0.93540319999999999</v>
      </c>
      <c r="AB4282">
        <v>25</v>
      </c>
      <c r="AC4282">
        <v>-3.87099999999998</v>
      </c>
      <c r="AD4282">
        <v>-1.1156445647869999</v>
      </c>
      <c r="AE4282">
        <v>-23.7591</v>
      </c>
      <c r="AF4282">
        <v>-8.5182348265840293</v>
      </c>
      <c r="AG4282">
        <v>-1.1156445647869999</v>
      </c>
      <c r="AH4282">
        <v>22.459693252092698</v>
      </c>
      <c r="AI4282">
        <v>92.659189528876396</v>
      </c>
      <c r="AJ4282">
        <v>110.77011554073199</v>
      </c>
      <c r="AK4282">
        <v>24.046679777754498</v>
      </c>
      <c r="AL4282">
        <v>83.100423742026507</v>
      </c>
      <c r="AM4282">
        <v>105.775405921443</v>
      </c>
      <c r="AN4282">
        <v>1.00000002745122</v>
      </c>
    </row>
    <row r="4283" spans="1:40" x14ac:dyDescent="0.25">
      <c r="A4283" t="str">
        <f>"20190312164556456"</f>
        <v>20190312164556456</v>
      </c>
      <c r="B4283" t="str">
        <f>"1552380356446206"</f>
        <v>1552380356446206</v>
      </c>
      <c r="C4283" t="s">
        <v>40</v>
      </c>
      <c r="D4283">
        <v>4.6875349999999996</v>
      </c>
      <c r="E4283">
        <v>0.46746650000000001</v>
      </c>
      <c r="F4283" t="s">
        <v>42</v>
      </c>
      <c r="G4283">
        <v>-423.26830000000001</v>
      </c>
      <c r="H4283" s="1">
        <v>-2.5409519999999998E-6</v>
      </c>
      <c r="I4283">
        <v>103.12730000000001</v>
      </c>
      <c r="J4283">
        <v>-419.60149999999999</v>
      </c>
      <c r="K4283">
        <v>1.1156299999999999</v>
      </c>
      <c r="L4283">
        <v>126.669</v>
      </c>
      <c r="M4283">
        <v>-0.49167509999999998</v>
      </c>
      <c r="N4283">
        <v>0</v>
      </c>
      <c r="O4283">
        <v>-0.87066599999999905</v>
      </c>
      <c r="P4283">
        <v>-0.2389743</v>
      </c>
      <c r="Q4283">
        <v>0.11112470000000001</v>
      </c>
      <c r="R4283">
        <v>-0.96464629999999996</v>
      </c>
      <c r="S4283">
        <v>-0.47872920000000002</v>
      </c>
      <c r="T4283">
        <v>-0.14134559999999999</v>
      </c>
      <c r="U4283">
        <v>-3.0099330000000002</v>
      </c>
      <c r="V4283">
        <v>-0.2682426</v>
      </c>
      <c r="W4283">
        <v>0.1201829</v>
      </c>
      <c r="X4283">
        <v>0.95582529999999999</v>
      </c>
      <c r="Y4283">
        <v>-0.34894589999999998</v>
      </c>
      <c r="Z4283">
        <v>3.6239359999999998E-2</v>
      </c>
      <c r="AA4283">
        <v>0.936442</v>
      </c>
      <c r="AB4283">
        <v>25</v>
      </c>
      <c r="AC4283">
        <v>-3.6668000000000198</v>
      </c>
      <c r="AD4283">
        <v>-1.11563254095199</v>
      </c>
      <c r="AE4283">
        <v>-23.541699999999899</v>
      </c>
      <c r="AF4283">
        <v>-8.3647919983387098</v>
      </c>
      <c r="AG4283">
        <v>-1.11563254095199</v>
      </c>
      <c r="AH4283">
        <v>22.253229137835</v>
      </c>
      <c r="AI4283">
        <v>92.686788431696797</v>
      </c>
      <c r="AJ4283">
        <v>110.600796511748</v>
      </c>
      <c r="AK4283">
        <v>23.7995921856424</v>
      </c>
      <c r="AL4283">
        <v>83.097341718806206</v>
      </c>
      <c r="AM4283">
        <v>105.676232442764</v>
      </c>
      <c r="AN4283">
        <v>1.00000001301363</v>
      </c>
    </row>
    <row r="4284" spans="1:40" x14ac:dyDescent="0.25">
      <c r="A4284" t="str">
        <f>"20190312164556480"</f>
        <v>20190312164556480</v>
      </c>
      <c r="B4284" t="str">
        <f>"1552380356476463"</f>
        <v>1552380356476463</v>
      </c>
      <c r="C4284" t="s">
        <v>40</v>
      </c>
      <c r="D4284">
        <v>4.7553140000000003</v>
      </c>
      <c r="E4284">
        <v>0.46816419999999997</v>
      </c>
      <c r="F4284" t="s">
        <v>42</v>
      </c>
      <c r="G4284">
        <v>-423.19880000000001</v>
      </c>
      <c r="H4284" s="1">
        <v>-2.422482E-6</v>
      </c>
      <c r="I4284">
        <v>102.9158</v>
      </c>
      <c r="J4284">
        <v>-419.71719999999999</v>
      </c>
      <c r="K4284">
        <v>1.1156189999999999</v>
      </c>
      <c r="L4284">
        <v>126.4402</v>
      </c>
      <c r="M4284">
        <v>-0.48251119999999997</v>
      </c>
      <c r="N4284">
        <v>0</v>
      </c>
      <c r="O4284">
        <v>-0.8757779</v>
      </c>
      <c r="P4284">
        <v>-0.2308675</v>
      </c>
      <c r="Q4284">
        <v>0.1110931</v>
      </c>
      <c r="R4284">
        <v>-0.96662239999999999</v>
      </c>
      <c r="S4284">
        <v>-0.45632929999999999</v>
      </c>
      <c r="T4284">
        <v>-0.1415247</v>
      </c>
      <c r="U4284">
        <v>-3.0132289999999999</v>
      </c>
      <c r="V4284">
        <v>-0.26623079999999999</v>
      </c>
      <c r="W4284">
        <v>0.12019050000000001</v>
      </c>
      <c r="X4284">
        <v>0.95638659999999998</v>
      </c>
      <c r="Y4284">
        <v>-0.34606809999999899</v>
      </c>
      <c r="Z4284">
        <v>3.663636E-2</v>
      </c>
      <c r="AA4284">
        <v>0.93749380000000004</v>
      </c>
      <c r="AB4284">
        <v>25</v>
      </c>
      <c r="AC4284">
        <v>-3.48160000000001</v>
      </c>
      <c r="AD4284">
        <v>-1.115621422482</v>
      </c>
      <c r="AE4284">
        <v>-23.5244</v>
      </c>
      <c r="AF4284">
        <v>-8.2842596205795793</v>
      </c>
      <c r="AG4284">
        <v>-1.115621422482</v>
      </c>
      <c r="AH4284">
        <v>22.235308579555898</v>
      </c>
      <c r="AI4284">
        <v>92.691850647162596</v>
      </c>
      <c r="AJ4284">
        <v>110.43399897936401</v>
      </c>
      <c r="AK4284">
        <v>23.754631469411098</v>
      </c>
      <c r="AL4284">
        <v>83.096902736916604</v>
      </c>
      <c r="AM4284">
        <v>105.555688666303</v>
      </c>
      <c r="AN4284">
        <v>0.99999996190922402</v>
      </c>
    </row>
    <row r="4285" spans="1:40" x14ac:dyDescent="0.25">
      <c r="A4285" t="str">
        <f>"20190312164556502"</f>
        <v>20190312164556502</v>
      </c>
      <c r="B4285" t="str">
        <f>"1552380356495984"</f>
        <v>1552380356495984</v>
      </c>
      <c r="C4285" t="s">
        <v>40</v>
      </c>
      <c r="D4285">
        <v>4.6842990000000002</v>
      </c>
      <c r="E4285">
        <v>0.46854659999999898</v>
      </c>
      <c r="F4285" t="s">
        <v>42</v>
      </c>
      <c r="G4285">
        <v>-423.15249999999997</v>
      </c>
      <c r="H4285" s="1">
        <v>-2.3021029999999998E-6</v>
      </c>
      <c r="I4285">
        <v>102.6872</v>
      </c>
      <c r="J4285">
        <v>-419.82499999999999</v>
      </c>
      <c r="K4285">
        <v>1.1156109999999999</v>
      </c>
      <c r="L4285">
        <v>126.2214</v>
      </c>
      <c r="M4285">
        <v>-0.47373320000000002</v>
      </c>
      <c r="N4285">
        <v>0</v>
      </c>
      <c r="O4285">
        <v>-0.88055720000000004</v>
      </c>
      <c r="P4285">
        <v>-0.22302920000000001</v>
      </c>
      <c r="Q4285">
        <v>0.11118069999999999</v>
      </c>
      <c r="R4285">
        <v>-0.96845099999999995</v>
      </c>
      <c r="S4285">
        <v>-0.43615720000000002</v>
      </c>
      <c r="T4285">
        <v>-0.1416404</v>
      </c>
      <c r="U4285">
        <v>-3.015701</v>
      </c>
      <c r="V4285">
        <v>-0.26441049999999999</v>
      </c>
      <c r="W4285">
        <v>0.12031219999999999</v>
      </c>
      <c r="X4285">
        <v>0.95687619999999896</v>
      </c>
      <c r="Y4285">
        <v>-0.34294029999999998</v>
      </c>
      <c r="Z4285">
        <v>3.7004790000000003E-2</v>
      </c>
      <c r="AA4285">
        <v>0.93862800000000002</v>
      </c>
      <c r="AB4285">
        <v>25</v>
      </c>
      <c r="AC4285">
        <v>-3.3274999999999801</v>
      </c>
      <c r="AD4285">
        <v>-1.1156133021029999</v>
      </c>
      <c r="AE4285">
        <v>-23.534199999999998</v>
      </c>
      <c r="AF4285">
        <v>-8.2016139501116392</v>
      </c>
      <c r="AG4285">
        <v>-1.1156133021029999</v>
      </c>
      <c r="AH4285">
        <v>22.2527160179541</v>
      </c>
      <c r="AI4285">
        <v>92.6932358519216</v>
      </c>
      <c r="AJ4285">
        <v>110.23221544439799</v>
      </c>
      <c r="AK4285">
        <v>23.742249990306401</v>
      </c>
      <c r="AL4285">
        <v>83.0898791363024</v>
      </c>
      <c r="AM4285">
        <v>105.446900340215</v>
      </c>
      <c r="AN4285">
        <v>1.00000000005276</v>
      </c>
    </row>
    <row r="4286" spans="1:40" x14ac:dyDescent="0.25">
      <c r="A4286" t="str">
        <f>"20190312164556525"</f>
        <v>20190312164556525</v>
      </c>
      <c r="B4286" t="str">
        <f>"1552380356516479"</f>
        <v>1552380356516479</v>
      </c>
      <c r="C4286" t="s">
        <v>40</v>
      </c>
      <c r="D4286">
        <v>4.6248449999999997</v>
      </c>
      <c r="E4286">
        <v>0.47598990000000002</v>
      </c>
      <c r="F4286" t="s">
        <v>42</v>
      </c>
      <c r="G4286">
        <v>-423.09559999999999</v>
      </c>
      <c r="H4286" s="1">
        <v>-2.1075580000000001E-6</v>
      </c>
      <c r="I4286">
        <v>102.3077</v>
      </c>
      <c r="J4286">
        <v>-419.92849999999999</v>
      </c>
      <c r="K4286">
        <v>1.115613</v>
      </c>
      <c r="L4286">
        <v>126.0059</v>
      </c>
      <c r="M4286">
        <v>-0.46505970000000002</v>
      </c>
      <c r="N4286">
        <v>0</v>
      </c>
      <c r="O4286">
        <v>-0.88516890000000004</v>
      </c>
      <c r="P4286">
        <v>-0.21586159999999999</v>
      </c>
      <c r="Q4286">
        <v>0.11135150000000001</v>
      </c>
      <c r="R4286">
        <v>-0.97005399999999997</v>
      </c>
      <c r="S4286">
        <v>-0.41287230000000003</v>
      </c>
      <c r="T4286">
        <v>-0.1408316</v>
      </c>
      <c r="U4286">
        <v>-3.018799</v>
      </c>
      <c r="V4286">
        <v>-0.26207540000000001</v>
      </c>
      <c r="W4286">
        <v>0.1205242</v>
      </c>
      <c r="X4286">
        <v>0.95749169999999995</v>
      </c>
      <c r="Y4286">
        <v>-0.34094740000000001</v>
      </c>
      <c r="Z4286">
        <v>3.710314E-2</v>
      </c>
      <c r="AA4286">
        <v>0.93934989999999996</v>
      </c>
      <c r="AB4286">
        <v>25</v>
      </c>
      <c r="AC4286">
        <v>-3.1671</v>
      </c>
      <c r="AD4286">
        <v>-1.1156151075580001</v>
      </c>
      <c r="AE4286">
        <v>-23.6982</v>
      </c>
      <c r="AF4286">
        <v>-8.2006078928547694</v>
      </c>
      <c r="AG4286">
        <v>-1.1156151075580001</v>
      </c>
      <c r="AH4286">
        <v>22.403217349090198</v>
      </c>
      <c r="AI4286">
        <v>92.6773540989184</v>
      </c>
      <c r="AJ4286">
        <v>110.10494954687</v>
      </c>
      <c r="AK4286">
        <v>23.883021468632101</v>
      </c>
      <c r="AL4286">
        <v>83.077643233012296</v>
      </c>
      <c r="AM4286">
        <v>105.307532932296</v>
      </c>
      <c r="AN4286">
        <v>0.99999997681984398</v>
      </c>
    </row>
    <row r="4287" spans="1:40" x14ac:dyDescent="0.25">
      <c r="A4287" t="str">
        <f>"20190312164556546"</f>
        <v>20190312164556546</v>
      </c>
      <c r="B4287" t="str">
        <f>"1552380356535998"</f>
        <v>1552380356535998</v>
      </c>
      <c r="C4287" t="s">
        <v>40</v>
      </c>
      <c r="D4287">
        <v>4.6466289999999999</v>
      </c>
      <c r="E4287">
        <v>0.47708329999999999</v>
      </c>
      <c r="F4287" t="s">
        <v>42</v>
      </c>
      <c r="G4287">
        <v>-421.87720000000002</v>
      </c>
      <c r="H4287" s="1">
        <v>-1.859418E-6</v>
      </c>
      <c r="I4287">
        <v>112.75920000000001</v>
      </c>
      <c r="J4287">
        <v>-420.02940000000001</v>
      </c>
      <c r="K4287">
        <v>1.1156250000000001</v>
      </c>
      <c r="L4287">
        <v>125.79049999999999</v>
      </c>
      <c r="M4287">
        <v>-0.45635890000000001</v>
      </c>
      <c r="N4287">
        <v>0</v>
      </c>
      <c r="O4287">
        <v>-0.88968609999999904</v>
      </c>
      <c r="P4287">
        <v>-0.2087627</v>
      </c>
      <c r="Q4287">
        <v>0.1117644</v>
      </c>
      <c r="R4287">
        <v>-0.97155950000000002</v>
      </c>
      <c r="S4287">
        <v>-0.44470209999999999</v>
      </c>
      <c r="T4287">
        <v>-0.25458190000000003</v>
      </c>
      <c r="U4287">
        <v>-3.022888</v>
      </c>
      <c r="V4287">
        <v>-0.25967200000000001</v>
      </c>
      <c r="W4287">
        <v>0.12097579999999999</v>
      </c>
      <c r="X4287">
        <v>0.95808939999999998</v>
      </c>
      <c r="Y4287">
        <v>-0.32236989999999999</v>
      </c>
      <c r="Z4287">
        <v>6.7623020000000006E-2</v>
      </c>
      <c r="AA4287">
        <v>0.94419529999999996</v>
      </c>
      <c r="AB4287">
        <v>25</v>
      </c>
      <c r="AC4287">
        <v>-1.8478000000000001</v>
      </c>
      <c r="AD4287">
        <v>-1.1156268594179899</v>
      </c>
      <c r="AE4287">
        <v>-13.0312999999999</v>
      </c>
      <c r="AF4287">
        <v>-4.2727090652778603</v>
      </c>
      <c r="AG4287">
        <v>-1.1156268594179899</v>
      </c>
      <c r="AH4287">
        <v>12.3495112345691</v>
      </c>
      <c r="AI4287">
        <v>94.879648047611894</v>
      </c>
      <c r="AJ4287">
        <v>109.08470096011899</v>
      </c>
      <c r="AK4287">
        <v>13.1152999881326</v>
      </c>
      <c r="AL4287">
        <v>83.051577863083807</v>
      </c>
      <c r="AM4287">
        <v>105.164623031001</v>
      </c>
      <c r="AN4287">
        <v>0.99999999508100001</v>
      </c>
    </row>
    <row r="4288" spans="1:40" x14ac:dyDescent="0.25">
      <c r="A4288" t="str">
        <f>"20190312164556569"</f>
        <v>20190312164556569</v>
      </c>
      <c r="B4288" t="str">
        <f>"1552380356555518"</f>
        <v>1552380356555518</v>
      </c>
      <c r="C4288" t="s">
        <v>40</v>
      </c>
      <c r="D4288">
        <v>4.7107809999999999</v>
      </c>
      <c r="E4288">
        <v>0.4779698</v>
      </c>
      <c r="F4288" t="s">
        <v>42</v>
      </c>
      <c r="G4288">
        <v>-423.3091</v>
      </c>
      <c r="H4288" s="1">
        <v>-2.512641E-6</v>
      </c>
      <c r="I4288">
        <v>103.0444</v>
      </c>
      <c r="J4288">
        <v>-420.12939999999998</v>
      </c>
      <c r="K4288">
        <v>1.1156440000000001</v>
      </c>
      <c r="L4288">
        <v>125.57129999999999</v>
      </c>
      <c r="M4288">
        <v>-0.44746580000000002</v>
      </c>
      <c r="N4288">
        <v>0</v>
      </c>
      <c r="O4288">
        <v>-0.89419159999999998</v>
      </c>
      <c r="P4288">
        <v>-0.20170360000000001</v>
      </c>
      <c r="Q4288">
        <v>0.11219419999999999</v>
      </c>
      <c r="R4288">
        <v>-0.97299970000000002</v>
      </c>
      <c r="S4288">
        <v>-0.43423460000000003</v>
      </c>
      <c r="T4288">
        <v>-0.14770639999999999</v>
      </c>
      <c r="U4288">
        <v>-3.01152</v>
      </c>
      <c r="V4288">
        <v>-0.2570595</v>
      </c>
      <c r="W4288">
        <v>0.12144580000000001</v>
      </c>
      <c r="X4288">
        <v>0.95873430000000004</v>
      </c>
      <c r="Y4288">
        <v>-0.31541380000000002</v>
      </c>
      <c r="Z4288">
        <v>3.9853529999999998E-2</v>
      </c>
      <c r="AA4288">
        <v>0.94811699999999999</v>
      </c>
      <c r="AB4288">
        <v>25</v>
      </c>
      <c r="AC4288">
        <v>-3.17970000000002</v>
      </c>
      <c r="AD4288">
        <v>-1.115646512641</v>
      </c>
      <c r="AE4288">
        <v>-22.526900000000001</v>
      </c>
      <c r="AF4288">
        <v>-7.2201016166469802</v>
      </c>
      <c r="AG4288">
        <v>-1.115646512641</v>
      </c>
      <c r="AH4288">
        <v>21.5165393351365</v>
      </c>
      <c r="AI4288">
        <v>92.814217631286994</v>
      </c>
      <c r="AJ4288">
        <v>108.549720710895</v>
      </c>
      <c r="AK4288">
        <v>22.723027955278098</v>
      </c>
      <c r="AL4288">
        <v>83.024449297330904</v>
      </c>
      <c r="AM4288">
        <v>105.009334618213</v>
      </c>
      <c r="AN4288">
        <v>1.00000006343718</v>
      </c>
    </row>
    <row r="4289" spans="1:40" x14ac:dyDescent="0.25">
      <c r="A4289" t="str">
        <f>"20190312164556591"</f>
        <v>20190312164556591</v>
      </c>
      <c r="B4289" t="str">
        <f>"1552380356585777"</f>
        <v>1552380356585777</v>
      </c>
      <c r="C4289" t="s">
        <v>40</v>
      </c>
      <c r="D4289">
        <v>4.6673660000000003</v>
      </c>
      <c r="E4289">
        <v>0.47876099999999999</v>
      </c>
      <c r="F4289" t="s">
        <v>42</v>
      </c>
      <c r="G4289">
        <v>-423.30610000000001</v>
      </c>
      <c r="H4289" s="1">
        <v>-2.3722279999999998E-6</v>
      </c>
      <c r="I4289">
        <v>102.7491</v>
      </c>
      <c r="J4289">
        <v>-420.22899999999998</v>
      </c>
      <c r="K4289">
        <v>1.1156680000000001</v>
      </c>
      <c r="L4289">
        <v>125.34650000000001</v>
      </c>
      <c r="M4289">
        <v>-0.43829469999999998</v>
      </c>
      <c r="N4289">
        <v>0</v>
      </c>
      <c r="O4289">
        <v>-0.89872249999999998</v>
      </c>
      <c r="P4289">
        <v>-0.1948706</v>
      </c>
      <c r="Q4289">
        <v>0.1123739</v>
      </c>
      <c r="R4289">
        <v>-0.97437070000000003</v>
      </c>
      <c r="S4289">
        <v>-0.41943359999999902</v>
      </c>
      <c r="T4289">
        <v>-0.14730260000000001</v>
      </c>
      <c r="U4289">
        <v>-3.01329</v>
      </c>
      <c r="V4289">
        <v>-0.25397429999999999</v>
      </c>
      <c r="W4289">
        <v>0.1216725</v>
      </c>
      <c r="X4289">
        <v>0.95952740000000003</v>
      </c>
      <c r="Y4289">
        <v>-0.31034669999999998</v>
      </c>
      <c r="Z4289">
        <v>4.0097840000000003E-2</v>
      </c>
      <c r="AA4289">
        <v>0.94977739999999999</v>
      </c>
      <c r="AB4289">
        <v>25</v>
      </c>
      <c r="AC4289">
        <v>-3.07709999999997</v>
      </c>
      <c r="AD4289">
        <v>-1.1156703722279999</v>
      </c>
      <c r="AE4289">
        <v>-22.5974</v>
      </c>
      <c r="AF4289">
        <v>-7.1225145437390003</v>
      </c>
      <c r="AG4289">
        <v>-1.1156703722279999</v>
      </c>
      <c r="AH4289">
        <v>21.607875533751098</v>
      </c>
      <c r="AI4289">
        <v>92.807377775432002</v>
      </c>
      <c r="AJ4289">
        <v>108.243556313734</v>
      </c>
      <c r="AK4289">
        <v>22.778832693694302</v>
      </c>
      <c r="AL4289">
        <v>83.011362763632306</v>
      </c>
      <c r="AM4289">
        <v>104.825461734699</v>
      </c>
      <c r="AN4289">
        <v>0.99999998683374902</v>
      </c>
    </row>
    <row r="4290" spans="1:40" x14ac:dyDescent="0.25">
      <c r="A4290" t="str">
        <f>"20190312164556614"</f>
        <v>20190312164556614</v>
      </c>
      <c r="B4290" t="str">
        <f>"1552380356606270"</f>
        <v>1552380356606270</v>
      </c>
      <c r="C4290" t="s">
        <v>40</v>
      </c>
      <c r="D4290">
        <v>4.7250909999999999</v>
      </c>
      <c r="E4290">
        <v>0.47933530000000002</v>
      </c>
      <c r="F4290" t="s">
        <v>42</v>
      </c>
      <c r="G4290">
        <v>-423.25470000000001</v>
      </c>
      <c r="H4290" s="1">
        <v>-2.359569E-6</v>
      </c>
      <c r="I4290">
        <v>102.7513</v>
      </c>
      <c r="J4290">
        <v>-420.3254</v>
      </c>
      <c r="K4290">
        <v>1.115693</v>
      </c>
      <c r="L4290">
        <v>125.1225</v>
      </c>
      <c r="M4290">
        <v>-0.42910409999999999</v>
      </c>
      <c r="N4290">
        <v>0</v>
      </c>
      <c r="O4290">
        <v>-0.90314689999999997</v>
      </c>
      <c r="P4290">
        <v>-0.1884354</v>
      </c>
      <c r="Q4290">
        <v>0.1124165</v>
      </c>
      <c r="R4290">
        <v>-0.97563069999999996</v>
      </c>
      <c r="S4290">
        <v>-0.40377809999999997</v>
      </c>
      <c r="T4290">
        <v>-0.1488864</v>
      </c>
      <c r="U4290">
        <v>-3.0153349999999999</v>
      </c>
      <c r="V4290">
        <v>-0.25051800000000002</v>
      </c>
      <c r="W4290">
        <v>0.1217705</v>
      </c>
      <c r="X4290">
        <v>0.96042320000000003</v>
      </c>
      <c r="Y4290">
        <v>-0.30557839999999997</v>
      </c>
      <c r="Z4290">
        <v>4.0870749999999997E-2</v>
      </c>
      <c r="AA4290">
        <v>0.95128939999999995</v>
      </c>
      <c r="AB4290">
        <v>25</v>
      </c>
      <c r="AC4290">
        <v>-2.9293000000000098</v>
      </c>
      <c r="AD4290">
        <v>-1.115695359569</v>
      </c>
      <c r="AE4290">
        <v>-22.371200000000002</v>
      </c>
      <c r="AF4290">
        <v>-6.93770009259761</v>
      </c>
      <c r="AG4290">
        <v>-1.115695359569</v>
      </c>
      <c r="AH4290">
        <v>21.4111946164446</v>
      </c>
      <c r="AI4290">
        <v>92.837871833339406</v>
      </c>
      <c r="AJ4290">
        <v>107.953469877869</v>
      </c>
      <c r="AK4290">
        <v>22.5347667752178</v>
      </c>
      <c r="AL4290">
        <v>83.005705967540095</v>
      </c>
      <c r="AM4290">
        <v>104.61935567549401</v>
      </c>
      <c r="AN4290">
        <v>1.00000002304624</v>
      </c>
    </row>
    <row r="4291" spans="1:40" x14ac:dyDescent="0.25">
      <c r="A4291" t="str">
        <f>"20190312164556635"</f>
        <v>20190312164556635</v>
      </c>
      <c r="B4291" t="str">
        <f>"1552380356625791"</f>
        <v>1552380356625791</v>
      </c>
      <c r="C4291" t="s">
        <v>40</v>
      </c>
      <c r="D4291">
        <v>4.8714959999999996</v>
      </c>
      <c r="E4291">
        <v>0.47984769999999999</v>
      </c>
      <c r="F4291" t="s">
        <v>42</v>
      </c>
      <c r="G4291">
        <v>-422.79329999999999</v>
      </c>
      <c r="H4291" s="1">
        <v>-3.7167259999999998E-6</v>
      </c>
      <c r="I4291">
        <v>105.88200000000001</v>
      </c>
      <c r="J4291">
        <v>-420.416</v>
      </c>
      <c r="K4291">
        <v>1.115696</v>
      </c>
      <c r="L4291">
        <v>124.9061</v>
      </c>
      <c r="M4291">
        <v>-0.42017680000000002</v>
      </c>
      <c r="N4291">
        <v>0</v>
      </c>
      <c r="O4291">
        <v>-0.90733439999999999</v>
      </c>
      <c r="P4291">
        <v>-0.18293970000000001</v>
      </c>
      <c r="Q4291">
        <v>0.1119222</v>
      </c>
      <c r="R4291">
        <v>-0.97673239999999995</v>
      </c>
      <c r="S4291">
        <v>-0.38739010000000001</v>
      </c>
      <c r="T4291">
        <v>-0.17513600000000001</v>
      </c>
      <c r="U4291">
        <v>-3.0202640000000001</v>
      </c>
      <c r="V4291">
        <v>-0.24646689999999999</v>
      </c>
      <c r="W4291">
        <v>0.12134739999999999</v>
      </c>
      <c r="X4291">
        <v>0.96152420000000005</v>
      </c>
      <c r="Y4291">
        <v>-0.30150660000000001</v>
      </c>
      <c r="Z4291">
        <v>4.8385879999999999E-2</v>
      </c>
      <c r="AA4291">
        <v>0.95223559999999996</v>
      </c>
      <c r="AB4291">
        <v>25</v>
      </c>
      <c r="AC4291">
        <v>-2.3772999999999902</v>
      </c>
      <c r="AD4291">
        <v>-1.1156997167260001</v>
      </c>
      <c r="AE4291">
        <v>-19.024099999999901</v>
      </c>
      <c r="AF4291">
        <v>-5.8173499761400498</v>
      </c>
      <c r="AG4291">
        <v>-1.1156997167260001</v>
      </c>
      <c r="AH4291">
        <v>18.200258057259301</v>
      </c>
      <c r="AI4291">
        <v>93.341770090928193</v>
      </c>
      <c r="AJ4291">
        <v>107.725443565635</v>
      </c>
      <c r="AK4291">
        <v>19.1398991625774</v>
      </c>
      <c r="AL4291">
        <v>83.030128455433896</v>
      </c>
      <c r="AM4291">
        <v>104.377046380729</v>
      </c>
      <c r="AN4291">
        <v>0.99999995573400402</v>
      </c>
    </row>
    <row r="4292" spans="1:40" x14ac:dyDescent="0.25">
      <c r="A4292" t="str">
        <f>"20190312164556657"</f>
        <v>20190312164556657</v>
      </c>
      <c r="B4292" t="str">
        <f>"1552380356646286"</f>
        <v>1552380356646286</v>
      </c>
      <c r="C4292" t="s">
        <v>40</v>
      </c>
      <c r="D4292">
        <v>4.7570610000000002</v>
      </c>
      <c r="E4292">
        <v>0.47956070000000001</v>
      </c>
      <c r="F4292" t="s">
        <v>42</v>
      </c>
      <c r="G4292">
        <v>-422.572</v>
      </c>
      <c r="H4292" s="1">
        <v>-4.3542029999999996E-6</v>
      </c>
      <c r="I4292">
        <v>107.4367</v>
      </c>
      <c r="J4292">
        <v>-420.50619999999998</v>
      </c>
      <c r="K4292">
        <v>1.1157049999999999</v>
      </c>
      <c r="L4292">
        <v>124.6846</v>
      </c>
      <c r="M4292">
        <v>-0.41100219999999998</v>
      </c>
      <c r="N4292">
        <v>0</v>
      </c>
      <c r="O4292">
        <v>-0.91152699999999998</v>
      </c>
      <c r="P4292">
        <v>-0.17765649999999999</v>
      </c>
      <c r="Q4292">
        <v>0.1109121</v>
      </c>
      <c r="R4292">
        <v>-0.97782250000000004</v>
      </c>
      <c r="S4292">
        <v>-0.37316890000000003</v>
      </c>
      <c r="T4292">
        <v>-0.19311239999999999</v>
      </c>
      <c r="U4292">
        <v>-3.0237120000000002</v>
      </c>
      <c r="V4292">
        <v>-0.2419907</v>
      </c>
      <c r="W4292">
        <v>0.1204206</v>
      </c>
      <c r="X4292">
        <v>0.96277690000000005</v>
      </c>
      <c r="Y4292">
        <v>-0.29646250000000002</v>
      </c>
      <c r="Z4292">
        <v>5.3730729999999997E-2</v>
      </c>
      <c r="AA4292">
        <v>0.95353189999999999</v>
      </c>
      <c r="AB4292">
        <v>25</v>
      </c>
      <c r="AC4292">
        <v>-2.0657999999999599</v>
      </c>
      <c r="AD4292">
        <v>-1.1157093542030001</v>
      </c>
      <c r="AE4292">
        <v>-17.247900000000001</v>
      </c>
      <c r="AF4292">
        <v>-5.1850127292797001</v>
      </c>
      <c r="AG4292">
        <v>-1.1157093542030001</v>
      </c>
      <c r="AH4292">
        <v>16.5045125109454</v>
      </c>
      <c r="AI4292">
        <v>93.690043065535093</v>
      </c>
      <c r="AJ4292">
        <v>107.440490864918</v>
      </c>
      <c r="AK4292">
        <v>17.335746236888699</v>
      </c>
      <c r="AL4292">
        <v>83.083622713766601</v>
      </c>
      <c r="AM4292">
        <v>104.10883640418299</v>
      </c>
      <c r="AN4292">
        <v>0.99999998948223001</v>
      </c>
    </row>
    <row r="4293" spans="1:40" x14ac:dyDescent="0.25">
      <c r="A4293" t="str">
        <f>"20190312164556680"</f>
        <v>20190312164556680</v>
      </c>
      <c r="B4293" t="str">
        <f>"1552380356675569"</f>
        <v>1552380356675569</v>
      </c>
      <c r="C4293" t="s">
        <v>40</v>
      </c>
      <c r="D4293">
        <v>4.5873889999999999</v>
      </c>
      <c r="E4293">
        <v>0.47958869999999998</v>
      </c>
      <c r="F4293" t="s">
        <v>42</v>
      </c>
      <c r="G4293">
        <v>-422.46339999999998</v>
      </c>
      <c r="H4293" s="1">
        <v>-4.5318530000000004E-6</v>
      </c>
      <c r="I4293">
        <v>107.9494</v>
      </c>
      <c r="J4293">
        <v>-420.59640000000002</v>
      </c>
      <c r="K4293">
        <v>1.1157159999999999</v>
      </c>
      <c r="L4293">
        <v>124.4562</v>
      </c>
      <c r="M4293">
        <v>-0.4015011</v>
      </c>
      <c r="N4293">
        <v>0</v>
      </c>
      <c r="O4293">
        <v>-0.91575189999999995</v>
      </c>
      <c r="P4293">
        <v>-0.1723961</v>
      </c>
      <c r="Q4293">
        <v>0.1108292</v>
      </c>
      <c r="R4293">
        <v>-0.97877320000000001</v>
      </c>
      <c r="S4293">
        <v>-0.35397339999999999</v>
      </c>
      <c r="T4293">
        <v>-0.2017806</v>
      </c>
      <c r="U4293">
        <v>-3.026627</v>
      </c>
      <c r="V4293">
        <v>-0.23715</v>
      </c>
      <c r="W4293">
        <v>0.120431</v>
      </c>
      <c r="X4293">
        <v>0.96397940000000004</v>
      </c>
      <c r="Y4293">
        <v>-0.29261920000000002</v>
      </c>
      <c r="Z4293">
        <v>5.6550349999999999E-2</v>
      </c>
      <c r="AA4293">
        <v>0.9545555</v>
      </c>
      <c r="AB4293">
        <v>25</v>
      </c>
      <c r="AC4293">
        <v>-1.86699999999996</v>
      </c>
      <c r="AD4293">
        <v>-1.1157205318529999</v>
      </c>
      <c r="AE4293">
        <v>-16.506799999999998</v>
      </c>
      <c r="AF4293">
        <v>-4.8961836515293697</v>
      </c>
      <c r="AG4293">
        <v>-1.1157205318529999</v>
      </c>
      <c r="AH4293">
        <v>15.7960311952046</v>
      </c>
      <c r="AI4293">
        <v>93.859685445686694</v>
      </c>
      <c r="AJ4293">
        <v>107.22149691025901</v>
      </c>
      <c r="AK4293">
        <v>16.5750429313042</v>
      </c>
      <c r="AL4293">
        <v>83.083022653193296</v>
      </c>
      <c r="AM4293">
        <v>103.820959810115</v>
      </c>
      <c r="AN4293">
        <v>1.0000000159426701</v>
      </c>
    </row>
    <row r="4294" spans="1:40" x14ac:dyDescent="0.25">
      <c r="A4294" t="str">
        <f>"20190312164556703"</f>
        <v>20190312164556703</v>
      </c>
      <c r="B4294" t="str">
        <f>"1552380356696062"</f>
        <v>1552380356696062</v>
      </c>
      <c r="C4294" t="s">
        <v>40</v>
      </c>
      <c r="D4294">
        <v>4.5919489999999996</v>
      </c>
      <c r="E4294">
        <v>0.47794799999999998</v>
      </c>
      <c r="F4294" t="s">
        <v>42</v>
      </c>
      <c r="G4294">
        <v>-422.39600000000002</v>
      </c>
      <c r="H4294" s="1">
        <v>-4.6613889999999999E-6</v>
      </c>
      <c r="I4294">
        <v>108.31789999999999</v>
      </c>
      <c r="J4294">
        <v>-420.68459999999999</v>
      </c>
      <c r="K4294">
        <v>1.115721</v>
      </c>
      <c r="L4294">
        <v>124.22580000000001</v>
      </c>
      <c r="M4294">
        <v>-0.39189020000000002</v>
      </c>
      <c r="N4294">
        <v>0</v>
      </c>
      <c r="O4294">
        <v>-0.91990570000000005</v>
      </c>
      <c r="P4294">
        <v>-0.16759180000000001</v>
      </c>
      <c r="Q4294">
        <v>0.1108186</v>
      </c>
      <c r="R4294">
        <v>-0.97960849999999999</v>
      </c>
      <c r="S4294">
        <v>-0.33779910000000002</v>
      </c>
      <c r="T4294">
        <v>-0.20942820000000001</v>
      </c>
      <c r="U4294">
        <v>-3.0292659999999998</v>
      </c>
      <c r="V4294">
        <v>-0.2317739</v>
      </c>
      <c r="W4294">
        <v>0.1205271</v>
      </c>
      <c r="X4294">
        <v>0.96527410000000002</v>
      </c>
      <c r="Y4294">
        <v>-0.2877458</v>
      </c>
      <c r="Z4294">
        <v>5.9122090000000002E-2</v>
      </c>
      <c r="AA4294">
        <v>0.95588019999999996</v>
      </c>
      <c r="AB4294">
        <v>25</v>
      </c>
      <c r="AC4294">
        <v>-1.7113999999999601</v>
      </c>
      <c r="AD4294">
        <v>-1.1157256613890001</v>
      </c>
      <c r="AE4294">
        <v>-15.9079</v>
      </c>
      <c r="AF4294">
        <v>-4.6377266310686602</v>
      </c>
      <c r="AG4294">
        <v>-1.1157256613890001</v>
      </c>
      <c r="AH4294">
        <v>15.231875131399701</v>
      </c>
      <c r="AI4294">
        <v>94.008352210884198</v>
      </c>
      <c r="AJ4294">
        <v>106.93418663332599</v>
      </c>
      <c r="AK4294">
        <v>15.961308595305001</v>
      </c>
      <c r="AL4294">
        <v>83.077476053518694</v>
      </c>
      <c r="AM4294">
        <v>103.501801055768</v>
      </c>
      <c r="AN4294">
        <v>1.0000000053432101</v>
      </c>
    </row>
    <row r="4295" spans="1:40" x14ac:dyDescent="0.25">
      <c r="A4295" t="str">
        <f>"20190312164556726"</f>
        <v>20190312164556726</v>
      </c>
      <c r="B4295" t="str">
        <f>"1552380356715582"</f>
        <v>1552380356715582</v>
      </c>
      <c r="C4295" t="s">
        <v>40</v>
      </c>
      <c r="D4295">
        <v>4.5906169999999999</v>
      </c>
      <c r="E4295">
        <v>0.47697709999999999</v>
      </c>
      <c r="F4295" t="s">
        <v>42</v>
      </c>
      <c r="G4295">
        <v>-422.2439</v>
      </c>
      <c r="H4295" s="1">
        <v>-4.8556900000000001E-6</v>
      </c>
      <c r="I4295">
        <v>108.89409999999999</v>
      </c>
      <c r="J4295">
        <v>-420.76780000000002</v>
      </c>
      <c r="K4295">
        <v>1.115718</v>
      </c>
      <c r="L4295">
        <v>124.0018</v>
      </c>
      <c r="M4295">
        <v>-0.3825327</v>
      </c>
      <c r="N4295">
        <v>0</v>
      </c>
      <c r="O4295">
        <v>-0.92383610000000005</v>
      </c>
      <c r="P4295">
        <v>-0.16610150000000001</v>
      </c>
      <c r="Q4295">
        <v>0.1111113</v>
      </c>
      <c r="R4295">
        <v>-0.9798289</v>
      </c>
      <c r="S4295">
        <v>-0.30862430000000002</v>
      </c>
      <c r="T4295">
        <v>-0.22084029999999999</v>
      </c>
      <c r="U4295">
        <v>-3.034653</v>
      </c>
      <c r="V4295">
        <v>-0.2234139</v>
      </c>
      <c r="W4295">
        <v>0.1209872</v>
      </c>
      <c r="X4295">
        <v>0.96718579999999998</v>
      </c>
      <c r="Y4295">
        <v>-0.28731879999999999</v>
      </c>
      <c r="Z4295">
        <v>6.2671229999999994E-2</v>
      </c>
      <c r="AA4295">
        <v>0.95578249999999998</v>
      </c>
      <c r="AB4295">
        <v>25</v>
      </c>
      <c r="AC4295">
        <v>-1.47609999999997</v>
      </c>
      <c r="AD4295">
        <v>-1.1157228556899901</v>
      </c>
      <c r="AE4295">
        <v>-15.107699999999999</v>
      </c>
      <c r="AF4295">
        <v>-4.3922180101889596</v>
      </c>
      <c r="AG4295">
        <v>-1.1157228556899901</v>
      </c>
      <c r="AH4295">
        <v>14.4450769324457</v>
      </c>
      <c r="AI4295">
        <v>94.226381847437807</v>
      </c>
      <c r="AJ4295">
        <v>106.91259265898699</v>
      </c>
      <c r="AK4295">
        <v>15.1392425214742</v>
      </c>
      <c r="AL4295">
        <v>83.050920049462107</v>
      </c>
      <c r="AM4295">
        <v>103.00683118033101</v>
      </c>
      <c r="AN4295">
        <v>1.0000000224993399</v>
      </c>
    </row>
    <row r="4296" spans="1:40" x14ac:dyDescent="0.25">
      <c r="A4296" t="str">
        <f>"20190312164556758"</f>
        <v>20190312164556758</v>
      </c>
      <c r="B4296" t="str">
        <f>"1552380356745841"</f>
        <v>1552380356745841</v>
      </c>
      <c r="C4296" t="s">
        <v>40</v>
      </c>
      <c r="D4296">
        <v>4.7837529999999999</v>
      </c>
      <c r="E4296">
        <v>0.47599849999999999</v>
      </c>
      <c r="F4296" t="s">
        <v>42</v>
      </c>
      <c r="G4296">
        <v>-422.26850000000002</v>
      </c>
      <c r="H4296" s="1">
        <v>-4.732224E-6</v>
      </c>
      <c r="I4296">
        <v>108.5612</v>
      </c>
      <c r="J4296">
        <v>-420.88569999999999</v>
      </c>
      <c r="K4296">
        <v>1.1157170000000001</v>
      </c>
      <c r="L4296">
        <v>123.6708</v>
      </c>
      <c r="M4296">
        <v>-0.36868909999999999</v>
      </c>
      <c r="N4296">
        <v>0</v>
      </c>
      <c r="O4296">
        <v>-0.92944760000000004</v>
      </c>
      <c r="P4296">
        <v>-0.16147819999999999</v>
      </c>
      <c r="Q4296">
        <v>0.11238380000000001</v>
      </c>
      <c r="R4296">
        <v>-0.98045640000000001</v>
      </c>
      <c r="S4296">
        <v>-0.2951355</v>
      </c>
      <c r="T4296">
        <v>-0.21942339999999999</v>
      </c>
      <c r="U4296">
        <v>-3.0366209999999998</v>
      </c>
      <c r="V4296">
        <v>-0.2134636</v>
      </c>
      <c r="W4296">
        <v>0.1224596</v>
      </c>
      <c r="X4296">
        <v>0.96924560000000004</v>
      </c>
      <c r="Y4296">
        <v>-0.27726260000000003</v>
      </c>
      <c r="Z4296">
        <v>6.2947710000000004E-2</v>
      </c>
      <c r="AA4296">
        <v>0.95872990000000002</v>
      </c>
      <c r="AB4296">
        <v>25</v>
      </c>
      <c r="AC4296">
        <v>-1.38280000000003</v>
      </c>
      <c r="AD4296">
        <v>-1.1157217322239901</v>
      </c>
      <c r="AE4296">
        <v>-15.1096</v>
      </c>
      <c r="AF4296">
        <v>-4.2628728712113304</v>
      </c>
      <c r="AG4296">
        <v>-1.1157217322239901</v>
      </c>
      <c r="AH4296">
        <v>14.4765480012887</v>
      </c>
      <c r="AI4296">
        <v>94.228312179470095</v>
      </c>
      <c r="AJ4296">
        <v>106.40798763645699</v>
      </c>
      <c r="AK4296">
        <v>15.1323283777971</v>
      </c>
      <c r="AL4296">
        <v>82.965925902603701</v>
      </c>
      <c r="AM4296">
        <v>102.420362021811</v>
      </c>
      <c r="AN4296">
        <v>1.00000004763823</v>
      </c>
    </row>
    <row r="4297" spans="1:40" x14ac:dyDescent="0.25">
      <c r="A4297" t="str">
        <f>"20190312164556780"</f>
        <v>20190312164556780</v>
      </c>
      <c r="B4297" t="str">
        <f>"1552380356776094"</f>
        <v>1552380356776094</v>
      </c>
      <c r="C4297" t="s">
        <v>40</v>
      </c>
      <c r="D4297">
        <v>4.6289639999999999</v>
      </c>
      <c r="E4297">
        <v>0.47479779999999999</v>
      </c>
      <c r="F4297" t="s">
        <v>42</v>
      </c>
      <c r="G4297">
        <v>-422.31760000000003</v>
      </c>
      <c r="H4297" s="1">
        <v>-4.3729059999999998E-6</v>
      </c>
      <c r="I4297">
        <v>107.60290000000001</v>
      </c>
      <c r="J4297">
        <v>-420.96550000000002</v>
      </c>
      <c r="K4297">
        <v>1.1157079999999999</v>
      </c>
      <c r="L4297">
        <v>123.438</v>
      </c>
      <c r="M4297">
        <v>-0.3589465</v>
      </c>
      <c r="N4297">
        <v>0</v>
      </c>
      <c r="O4297">
        <v>-0.9332532</v>
      </c>
      <c r="P4297">
        <v>-0.15819720000000001</v>
      </c>
      <c r="Q4297">
        <v>0.1139529</v>
      </c>
      <c r="R4297">
        <v>-0.98081019999999997</v>
      </c>
      <c r="S4297">
        <v>-0.27084350000000001</v>
      </c>
      <c r="T4297">
        <v>-0.21104780000000001</v>
      </c>
      <c r="U4297">
        <v>-3.0393829999999999</v>
      </c>
      <c r="V4297">
        <v>-0.20650779999999999</v>
      </c>
      <c r="W4297">
        <v>0.124165899999999</v>
      </c>
      <c r="X4297">
        <v>0.97053460000000003</v>
      </c>
      <c r="Y4297">
        <v>-0.27488089999999998</v>
      </c>
      <c r="Z4297">
        <v>6.0934809999999999E-2</v>
      </c>
      <c r="AA4297">
        <v>0.95954539999999999</v>
      </c>
      <c r="AB4297">
        <v>24</v>
      </c>
      <c r="AC4297">
        <v>-1.3521000000000001</v>
      </c>
      <c r="AD4297">
        <v>-1.1157123729059999</v>
      </c>
      <c r="AE4297">
        <v>-15.835099999999899</v>
      </c>
      <c r="AF4297">
        <v>-4.40084599125497</v>
      </c>
      <c r="AG4297">
        <v>-1.1157123729059999</v>
      </c>
      <c r="AH4297">
        <v>15.1901210493345</v>
      </c>
      <c r="AI4297">
        <v>94.035457722250996</v>
      </c>
      <c r="AJ4297">
        <v>106.15723477175599</v>
      </c>
      <c r="AK4297">
        <v>15.854085815058401</v>
      </c>
      <c r="AL4297">
        <v>82.867410065270803</v>
      </c>
      <c r="AM4297">
        <v>102.012103974768</v>
      </c>
      <c r="AN4297">
        <v>1.0000000259904001</v>
      </c>
    </row>
    <row r="4298" spans="1:40" x14ac:dyDescent="0.25">
      <c r="A4298" t="str">
        <f>"20190312164556804"</f>
        <v>20190312164556804</v>
      </c>
      <c r="B4298" t="str">
        <f>"1552380356795618"</f>
        <v>1552380356795618</v>
      </c>
      <c r="C4298" t="s">
        <v>40</v>
      </c>
      <c r="D4298">
        <v>4.7344080000000002</v>
      </c>
      <c r="E4298">
        <v>0.47426309999999999</v>
      </c>
      <c r="F4298" t="s">
        <v>42</v>
      </c>
      <c r="G4298">
        <v>-422.40100000000001</v>
      </c>
      <c r="H4298" s="1">
        <v>-3.6825470000000001E-6</v>
      </c>
      <c r="I4298">
        <v>106.0305</v>
      </c>
      <c r="J4298">
        <v>-421.0428</v>
      </c>
      <c r="K4298">
        <v>1.1156999999999999</v>
      </c>
      <c r="L4298">
        <v>123.2042</v>
      </c>
      <c r="M4298">
        <v>-0.34916439999999999</v>
      </c>
      <c r="N4298">
        <v>0</v>
      </c>
      <c r="O4298">
        <v>-0.93695729999999999</v>
      </c>
      <c r="P4298">
        <v>-0.15553549999999999</v>
      </c>
      <c r="Q4298">
        <v>0.11662599999999999</v>
      </c>
      <c r="R4298">
        <v>-0.98092179999999995</v>
      </c>
      <c r="S4298">
        <v>-0.25076290000000001</v>
      </c>
      <c r="T4298">
        <v>-0.19490250000000001</v>
      </c>
      <c r="U4298">
        <v>-3.0408940000000002</v>
      </c>
      <c r="V4298">
        <v>-0.19890060000000001</v>
      </c>
      <c r="W4298">
        <v>0.1269873</v>
      </c>
      <c r="X4298">
        <v>0.9717576</v>
      </c>
      <c r="Y4298">
        <v>-0.27113320000000002</v>
      </c>
      <c r="Z4298">
        <v>5.6663459999999999E-2</v>
      </c>
      <c r="AA4298">
        <v>0.96087250000000002</v>
      </c>
      <c r="AB4298">
        <v>24</v>
      </c>
      <c r="AC4298">
        <v>-1.3582000000000101</v>
      </c>
      <c r="AD4298">
        <v>-1.1157036825469999</v>
      </c>
      <c r="AE4298">
        <v>-17.173699999999901</v>
      </c>
      <c r="AF4298">
        <v>-4.7045978487437097</v>
      </c>
      <c r="AG4298">
        <v>-1.1157036825469999</v>
      </c>
      <c r="AH4298">
        <v>16.497679372575</v>
      </c>
      <c r="AI4298">
        <v>93.721005176039498</v>
      </c>
      <c r="AJ4298">
        <v>105.916414345156</v>
      </c>
      <c r="AK4298">
        <v>17.191610171997802</v>
      </c>
      <c r="AL4298">
        <v>82.704465837014496</v>
      </c>
      <c r="AM4298">
        <v>101.567600895463</v>
      </c>
      <c r="AN4298">
        <v>1.0000000280996999</v>
      </c>
    </row>
    <row r="4299" spans="1:40" x14ac:dyDescent="0.25">
      <c r="A4299" t="str">
        <f>"20190312164556824"</f>
        <v>20190312164556824</v>
      </c>
      <c r="B4299" t="str">
        <f>"1552380356816110"</f>
        <v>1552380356816110</v>
      </c>
      <c r="C4299" t="s">
        <v>40</v>
      </c>
      <c r="D4299">
        <v>4.7971940000000002</v>
      </c>
      <c r="E4299">
        <v>0.47402559999999999</v>
      </c>
      <c r="F4299" t="s">
        <v>42</v>
      </c>
      <c r="G4299">
        <v>-422.51319999999998</v>
      </c>
      <c r="H4299" s="1">
        <v>-2.940912E-6</v>
      </c>
      <c r="I4299">
        <v>104.3985</v>
      </c>
      <c r="J4299">
        <v>-421.11250000000001</v>
      </c>
      <c r="K4299">
        <v>1.115693</v>
      </c>
      <c r="L4299">
        <v>122.98609999999999</v>
      </c>
      <c r="M4299">
        <v>-0.34004139999999999</v>
      </c>
      <c r="N4299">
        <v>0</v>
      </c>
      <c r="O4299">
        <v>-0.94030670000000005</v>
      </c>
      <c r="P4299">
        <v>-0.15379709999999999</v>
      </c>
      <c r="Q4299">
        <v>0.11948010000000001</v>
      </c>
      <c r="R4299">
        <v>-0.98085230000000001</v>
      </c>
      <c r="S4299">
        <v>-0.23785400000000001</v>
      </c>
      <c r="T4299">
        <v>-0.18048049999999999</v>
      </c>
      <c r="U4299">
        <v>-3.0420989999999999</v>
      </c>
      <c r="V4299">
        <v>-0.1910838</v>
      </c>
      <c r="W4299">
        <v>0.129992</v>
      </c>
      <c r="X4299">
        <v>0.97292809999999996</v>
      </c>
      <c r="Y4299">
        <v>-0.26584079999999999</v>
      </c>
      <c r="Z4299">
        <v>5.281048E-2</v>
      </c>
      <c r="AA4299">
        <v>0.96256940000000002</v>
      </c>
      <c r="AB4299">
        <v>24</v>
      </c>
      <c r="AC4299">
        <v>-1.4006999999999701</v>
      </c>
      <c r="AD4299">
        <v>-1.115695940912</v>
      </c>
      <c r="AE4299">
        <v>-18.587599999999899</v>
      </c>
      <c r="AF4299">
        <v>-4.9860915735501203</v>
      </c>
      <c r="AG4299">
        <v>-1.115695940912</v>
      </c>
      <c r="AH4299">
        <v>17.891994992769899</v>
      </c>
      <c r="AI4299">
        <v>93.437534833070899</v>
      </c>
      <c r="AJ4299">
        <v>105.571943011657</v>
      </c>
      <c r="AK4299">
        <v>18.607239758591302</v>
      </c>
      <c r="AL4299">
        <v>82.530870071929201</v>
      </c>
      <c r="AM4299">
        <v>101.111505213588</v>
      </c>
      <c r="AN4299">
        <v>1.00000001322802</v>
      </c>
    </row>
    <row r="4300" spans="1:40" x14ac:dyDescent="0.25">
      <c r="A4300" t="str">
        <f>"20190312164556847"</f>
        <v>20190312164556847</v>
      </c>
      <c r="B4300" t="str">
        <f>"1552380356835631"</f>
        <v>1552380356835631</v>
      </c>
      <c r="C4300" t="s">
        <v>40</v>
      </c>
      <c r="D4300">
        <v>4.7542299999999997</v>
      </c>
      <c r="E4300">
        <v>0.47380090000000002</v>
      </c>
      <c r="F4300" t="s">
        <v>42</v>
      </c>
      <c r="G4300">
        <v>-422.59859999999998</v>
      </c>
      <c r="H4300" s="1">
        <v>-2.4038350000000001E-6</v>
      </c>
      <c r="I4300">
        <v>103.21420000000001</v>
      </c>
      <c r="J4300">
        <v>-421.1825</v>
      </c>
      <c r="K4300">
        <v>1.1156839999999999</v>
      </c>
      <c r="L4300">
        <v>122.76</v>
      </c>
      <c r="M4300">
        <v>-0.3305941</v>
      </c>
      <c r="N4300">
        <v>0</v>
      </c>
      <c r="O4300">
        <v>-0.94366950000000005</v>
      </c>
      <c r="P4300">
        <v>-0.15126289999999901</v>
      </c>
      <c r="Q4300">
        <v>0.1223419</v>
      </c>
      <c r="R4300">
        <v>-0.98089349999999997</v>
      </c>
      <c r="S4300">
        <v>-0.22875980000000001</v>
      </c>
      <c r="T4300">
        <v>-0.17174629999999999</v>
      </c>
      <c r="U4300">
        <v>-3.043625</v>
      </c>
      <c r="V4300">
        <v>-0.18374560000000001</v>
      </c>
      <c r="W4300">
        <v>0.1329951</v>
      </c>
      <c r="X4300">
        <v>0.9739352</v>
      </c>
      <c r="Y4300">
        <v>-0.25905489999999998</v>
      </c>
      <c r="Z4300">
        <v>5.0576259999999998E-2</v>
      </c>
      <c r="AA4300">
        <v>0.96453750000000005</v>
      </c>
      <c r="AB4300">
        <v>24</v>
      </c>
      <c r="AC4300">
        <v>-1.4160999999999699</v>
      </c>
      <c r="AD4300">
        <v>-1.1156864038349901</v>
      </c>
      <c r="AE4300">
        <v>-19.5458</v>
      </c>
      <c r="AF4300">
        <v>-5.1093363459138601</v>
      </c>
      <c r="AG4300">
        <v>-1.1156864038349901</v>
      </c>
      <c r="AH4300">
        <v>18.8536696164898</v>
      </c>
      <c r="AI4300">
        <v>93.268949779161403</v>
      </c>
      <c r="AJ4300">
        <v>105.16294140376</v>
      </c>
      <c r="AK4300">
        <v>19.565554734152801</v>
      </c>
      <c r="AL4300">
        <v>82.357297502290194</v>
      </c>
      <c r="AM4300">
        <v>100.684017207401</v>
      </c>
      <c r="AN4300">
        <v>0.999999957971204</v>
      </c>
    </row>
    <row r="4301" spans="1:40" x14ac:dyDescent="0.25">
      <c r="A4301" t="str">
        <f>"20190312164556871"</f>
        <v>20190312164556871</v>
      </c>
      <c r="B4301" t="str">
        <f>"1552380356865496"</f>
        <v>1552380356865496</v>
      </c>
      <c r="C4301" t="s">
        <v>40</v>
      </c>
      <c r="D4301">
        <v>4.7828200000000001</v>
      </c>
      <c r="E4301">
        <v>0.47352230000000001</v>
      </c>
      <c r="F4301" t="s">
        <v>42</v>
      </c>
      <c r="G4301">
        <v>-422.65230000000003</v>
      </c>
      <c r="H4301" s="1">
        <v>-1.971381E-6</v>
      </c>
      <c r="I4301">
        <v>102.26909999999999</v>
      </c>
      <c r="J4301">
        <v>-421.2518</v>
      </c>
      <c r="K4301">
        <v>1.115658</v>
      </c>
      <c r="L4301">
        <v>122.527</v>
      </c>
      <c r="M4301">
        <v>-0.32088290000000003</v>
      </c>
      <c r="N4301">
        <v>0</v>
      </c>
      <c r="O4301">
        <v>-0.94701579999999996</v>
      </c>
      <c r="P4301">
        <v>-0.148895899999999</v>
      </c>
      <c r="Q4301">
        <v>0.12397619999999999</v>
      </c>
      <c r="R4301">
        <v>-0.98105030000000004</v>
      </c>
      <c r="S4301">
        <v>-0.21844479999999999</v>
      </c>
      <c r="T4301">
        <v>-0.1658181</v>
      </c>
      <c r="U4301">
        <v>-3.0454409999999998</v>
      </c>
      <c r="V4301">
        <v>-0.17602319999999999</v>
      </c>
      <c r="W4301">
        <v>0.13478080000000001</v>
      </c>
      <c r="X4301">
        <v>0.97511539999999997</v>
      </c>
      <c r="Y4301">
        <v>-0.25241459999999999</v>
      </c>
      <c r="Z4301">
        <v>4.9130229999999997E-2</v>
      </c>
      <c r="AA4301">
        <v>0.96637110000000004</v>
      </c>
      <c r="AB4301">
        <v>24</v>
      </c>
      <c r="AC4301">
        <v>-1.4005000000000201</v>
      </c>
      <c r="AD4301">
        <v>-1.115659971381</v>
      </c>
      <c r="AE4301">
        <v>-20.257899999999999</v>
      </c>
      <c r="AF4301">
        <v>-5.1590501840999199</v>
      </c>
      <c r="AG4301">
        <v>-1.115659971381</v>
      </c>
      <c r="AH4301">
        <v>19.576770571516899</v>
      </c>
      <c r="AI4301">
        <v>93.154239179886005</v>
      </c>
      <c r="AJ4301">
        <v>104.76345600077001</v>
      </c>
      <c r="AK4301">
        <v>20.275858600404899</v>
      </c>
      <c r="AL4301">
        <v>82.254055479415896</v>
      </c>
      <c r="AM4301">
        <v>100.232566305802</v>
      </c>
      <c r="AN4301">
        <v>1.0000000371520099</v>
      </c>
    </row>
    <row r="4302" spans="1:40" x14ac:dyDescent="0.25">
      <c r="A4302" t="str">
        <f>"20190312164556893"</f>
        <v>20190312164556893</v>
      </c>
      <c r="B4302" t="str">
        <f>"1552380356885992"</f>
        <v>1552380356885992</v>
      </c>
      <c r="C4302" t="s">
        <v>40</v>
      </c>
      <c r="D4302">
        <v>4.8570909999999996</v>
      </c>
      <c r="E4302">
        <v>0.47347339999999999</v>
      </c>
      <c r="F4302" t="s">
        <v>42</v>
      </c>
      <c r="G4302">
        <v>-422.66840000000002</v>
      </c>
      <c r="H4302" s="1">
        <v>-1.7767179999999999E-6</v>
      </c>
      <c r="I4302">
        <v>101.84820000000001</v>
      </c>
      <c r="J4302">
        <v>-421.31979999999999</v>
      </c>
      <c r="K4302">
        <v>1.1156200000000001</v>
      </c>
      <c r="L4302">
        <v>122.28959999999999</v>
      </c>
      <c r="M4302">
        <v>-0.311027</v>
      </c>
      <c r="N4302">
        <v>0</v>
      </c>
      <c r="O4302">
        <v>-0.95029859999999999</v>
      </c>
      <c r="P4302">
        <v>-0.14718499999999901</v>
      </c>
      <c r="Q4302">
        <v>0.12553599999999901</v>
      </c>
      <c r="R4302">
        <v>-0.98111040000000005</v>
      </c>
      <c r="S4302">
        <v>-0.20874019999999999</v>
      </c>
      <c r="T4302">
        <v>-0.1643937</v>
      </c>
      <c r="U4302">
        <v>-3.0470429999999999</v>
      </c>
      <c r="V4302">
        <v>-0.1675217</v>
      </c>
      <c r="W4302">
        <v>0.13650699999999999</v>
      </c>
      <c r="X4302">
        <v>0.97637200000000002</v>
      </c>
      <c r="Y4302">
        <v>-0.24545410000000001</v>
      </c>
      <c r="Z4302">
        <v>4.9000059999999998E-2</v>
      </c>
      <c r="AA4302">
        <v>0.96816899999999995</v>
      </c>
      <c r="AB4302">
        <v>24</v>
      </c>
      <c r="AC4302">
        <v>-1.34860000000003</v>
      </c>
      <c r="AD4302">
        <v>-1.1156217767179999</v>
      </c>
      <c r="AE4302">
        <v>-20.441399999999899</v>
      </c>
      <c r="AF4302">
        <v>-5.0617374945099796</v>
      </c>
      <c r="AG4302">
        <v>-1.1156217767179999</v>
      </c>
      <c r="AH4302">
        <v>19.788132184533399</v>
      </c>
      <c r="AI4302">
        <v>93.1263719125145</v>
      </c>
      <c r="AJ4302">
        <v>104.348400353069</v>
      </c>
      <c r="AK4302">
        <v>20.4557076085033</v>
      </c>
      <c r="AL4302">
        <v>82.154228425609901</v>
      </c>
      <c r="AM4302">
        <v>99.735767001558898</v>
      </c>
      <c r="AN4302">
        <v>0.99999998170194404</v>
      </c>
    </row>
    <row r="4303" spans="1:40" x14ac:dyDescent="0.25">
      <c r="A4303" t="str">
        <f>"20190312164556915"</f>
        <v>20190312164556915</v>
      </c>
      <c r="B4303" t="str">
        <f>"1552380356905512"</f>
        <v>1552380356905512</v>
      </c>
      <c r="C4303" t="s">
        <v>40</v>
      </c>
      <c r="D4303">
        <v>4.6854709999999997</v>
      </c>
      <c r="E4303">
        <v>0.47333249999999999</v>
      </c>
      <c r="F4303" t="s">
        <v>42</v>
      </c>
      <c r="G4303">
        <v>-422.74130000000002</v>
      </c>
      <c r="H4303" s="1">
        <v>-1.333561E-6</v>
      </c>
      <c r="I4303">
        <v>100.86969999999999</v>
      </c>
      <c r="J4303">
        <v>-421.38240000000002</v>
      </c>
      <c r="K4303">
        <v>1.115583</v>
      </c>
      <c r="L4303">
        <v>122.06229999999999</v>
      </c>
      <c r="M4303">
        <v>-0.30162430000000001</v>
      </c>
      <c r="N4303">
        <v>0</v>
      </c>
      <c r="O4303">
        <v>-0.95332479999999997</v>
      </c>
      <c r="P4303">
        <v>-0.145623</v>
      </c>
      <c r="Q4303">
        <v>0.1263302</v>
      </c>
      <c r="R4303">
        <v>-0.98124180000000005</v>
      </c>
      <c r="S4303">
        <v>-0.20227049999999999</v>
      </c>
      <c r="T4303">
        <v>-0.15873679999999901</v>
      </c>
      <c r="U4303">
        <v>-3.0477449999999999</v>
      </c>
      <c r="V4303">
        <v>-0.15937860000000001</v>
      </c>
      <c r="W4303">
        <v>0.1374602</v>
      </c>
      <c r="X4303">
        <v>0.97760069999999999</v>
      </c>
      <c r="Y4303">
        <v>-0.23792730000000001</v>
      </c>
      <c r="Z4303">
        <v>4.7593749999999997E-2</v>
      </c>
      <c r="AA4303">
        <v>0.97011619999999998</v>
      </c>
      <c r="AB4303">
        <v>24</v>
      </c>
      <c r="AC4303">
        <v>-1.3589</v>
      </c>
      <c r="AD4303">
        <v>-1.1155843335609901</v>
      </c>
      <c r="AE4303">
        <v>-21.192599999999999</v>
      </c>
      <c r="AF4303">
        <v>-5.08319821286572</v>
      </c>
      <c r="AG4303">
        <v>-1.1155843335609901</v>
      </c>
      <c r="AH4303">
        <v>20.558579929162001</v>
      </c>
      <c r="AI4303">
        <v>93.015403533895494</v>
      </c>
      <c r="AJ4303">
        <v>103.888087426685</v>
      </c>
      <c r="AK4303">
        <v>21.207042254409501</v>
      </c>
      <c r="AL4303">
        <v>82.099094393422504</v>
      </c>
      <c r="AM4303">
        <v>99.259489711024202</v>
      </c>
      <c r="AN4303">
        <v>0.99999998668124401</v>
      </c>
    </row>
    <row r="4304" spans="1:40" x14ac:dyDescent="0.25">
      <c r="A4304" t="str">
        <f>"20190312164556936"</f>
        <v>20190312164556936</v>
      </c>
      <c r="B4304" t="str">
        <f>"1552380356926008"</f>
        <v>1552380356926008</v>
      </c>
      <c r="C4304" t="s">
        <v>40</v>
      </c>
      <c r="D4304">
        <v>4.728675</v>
      </c>
      <c r="E4304">
        <v>0.47324060000000001</v>
      </c>
      <c r="F4304" t="s">
        <v>42</v>
      </c>
      <c r="G4304">
        <v>-422.76650000000001</v>
      </c>
      <c r="H4304" s="1">
        <v>-1.1342220000000001E-6</v>
      </c>
      <c r="I4304">
        <v>100.43380000000001</v>
      </c>
      <c r="J4304">
        <v>-421.44200000000001</v>
      </c>
      <c r="K4304">
        <v>1.1155310000000001</v>
      </c>
      <c r="L4304">
        <v>121.83799999999999</v>
      </c>
      <c r="M4304">
        <v>-0.29239159999999997</v>
      </c>
      <c r="N4304">
        <v>0</v>
      </c>
      <c r="O4304">
        <v>-0.95619699999999996</v>
      </c>
      <c r="P4304">
        <v>-0.14389669999999999</v>
      </c>
      <c r="Q4304">
        <v>0.12535779999999999</v>
      </c>
      <c r="R4304">
        <v>-0.98162099999999997</v>
      </c>
      <c r="S4304">
        <v>-0.19509889999999999</v>
      </c>
      <c r="T4304">
        <v>-0.1572471</v>
      </c>
      <c r="U4304">
        <v>-3.048645</v>
      </c>
      <c r="V4304">
        <v>-0.1516304</v>
      </c>
      <c r="W4304">
        <v>0.1366417</v>
      </c>
      <c r="X4304">
        <v>0.97894700000000001</v>
      </c>
      <c r="Y4304">
        <v>-0.23081960000000001</v>
      </c>
      <c r="Z4304">
        <v>4.7402149999999997E-2</v>
      </c>
      <c r="AA4304">
        <v>0.97184119999999996</v>
      </c>
      <c r="AB4304">
        <v>24</v>
      </c>
      <c r="AC4304">
        <v>-1.32450000000005</v>
      </c>
      <c r="AD4304">
        <v>-1.1155321342219999</v>
      </c>
      <c r="AE4304">
        <v>-21.4041999999999</v>
      </c>
      <c r="AF4304">
        <v>-4.9789384252619904</v>
      </c>
      <c r="AG4304">
        <v>-1.1155321342219999</v>
      </c>
      <c r="AH4304">
        <v>20.7996512345258</v>
      </c>
      <c r="AI4304">
        <v>92.985767533678001</v>
      </c>
      <c r="AJ4304">
        <v>103.461926015819</v>
      </c>
      <c r="AK4304">
        <v>21.416342621067301</v>
      </c>
      <c r="AL4304">
        <v>82.146437674587702</v>
      </c>
      <c r="AM4304">
        <v>98.804652470017203</v>
      </c>
      <c r="AN4304">
        <v>0.99999998059602402</v>
      </c>
    </row>
    <row r="4305" spans="1:40" x14ac:dyDescent="0.25">
      <c r="A4305" t="str">
        <f>"20190312164556960"</f>
        <v>20190312164556960</v>
      </c>
      <c r="B4305" t="str">
        <f>"1552380356956156"</f>
        <v>1552380356956156</v>
      </c>
      <c r="C4305" t="s">
        <v>40</v>
      </c>
      <c r="D4305">
        <v>4.8004519999999999</v>
      </c>
      <c r="E4305">
        <v>0.47294969999999997</v>
      </c>
      <c r="F4305" t="s">
        <v>42</v>
      </c>
      <c r="G4305">
        <v>-422.76620000000003</v>
      </c>
      <c r="H4305" s="1">
        <v>-1.119853E-6</v>
      </c>
      <c r="I4305">
        <v>100.4036</v>
      </c>
      <c r="J4305">
        <v>-421.50259999999997</v>
      </c>
      <c r="K4305">
        <v>1.115453</v>
      </c>
      <c r="L4305">
        <v>121.6006</v>
      </c>
      <c r="M4305">
        <v>-0.28269939999999999</v>
      </c>
      <c r="N4305">
        <v>0</v>
      </c>
      <c r="O4305">
        <v>-0.9591073</v>
      </c>
      <c r="P4305">
        <v>-0.14136370000000001</v>
      </c>
      <c r="Q4305">
        <v>0.1228889</v>
      </c>
      <c r="R4305">
        <v>-0.98230070000000003</v>
      </c>
      <c r="S4305">
        <v>-0.18835450000000001</v>
      </c>
      <c r="T4305">
        <v>-0.15867290000000001</v>
      </c>
      <c r="U4305">
        <v>-3.048813</v>
      </c>
      <c r="V4305">
        <v>-0.14425859999999999</v>
      </c>
      <c r="W4305">
        <v>0.13431960000000001</v>
      </c>
      <c r="X4305">
        <v>0.98038139999999996</v>
      </c>
      <c r="Y4305">
        <v>-0.22311210000000001</v>
      </c>
      <c r="Z4305">
        <v>4.8103350000000003E-2</v>
      </c>
      <c r="AA4305">
        <v>0.97360519999999995</v>
      </c>
      <c r="AB4305">
        <v>24</v>
      </c>
      <c r="AC4305">
        <v>-1.26360000000005</v>
      </c>
      <c r="AD4305">
        <v>-1.1154541198529999</v>
      </c>
      <c r="AE4305">
        <v>-21.196999999999999</v>
      </c>
      <c r="AF4305">
        <v>-4.7677593971765102</v>
      </c>
      <c r="AG4305">
        <v>-1.1154541198529999</v>
      </c>
      <c r="AH4305">
        <v>20.632492597202301</v>
      </c>
      <c r="AI4305">
        <v>93.015263049274907</v>
      </c>
      <c r="AJ4305">
        <v>103.011529043436</v>
      </c>
      <c r="AK4305">
        <v>21.2055539502384</v>
      </c>
      <c r="AL4305">
        <v>82.280722449079406</v>
      </c>
      <c r="AM4305">
        <v>98.370740765974503</v>
      </c>
      <c r="AN4305">
        <v>0.99999999404203999</v>
      </c>
    </row>
    <row r="4306" spans="1:40" x14ac:dyDescent="0.25">
      <c r="A4306" t="str">
        <f>"20190312164556983"</f>
        <v>20190312164556983</v>
      </c>
      <c r="B4306" t="str">
        <f>"1552380356975664"</f>
        <v>1552380356975664</v>
      </c>
      <c r="C4306" t="s">
        <v>40</v>
      </c>
      <c r="D4306">
        <v>4.58</v>
      </c>
      <c r="E4306">
        <v>0.47279749999999998</v>
      </c>
      <c r="F4306" t="s">
        <v>42</v>
      </c>
      <c r="G4306">
        <v>-422.6832</v>
      </c>
      <c r="H4306" s="1">
        <v>-1.467403E-6</v>
      </c>
      <c r="I4306">
        <v>101.18559999999999</v>
      </c>
      <c r="J4306">
        <v>-421.5607</v>
      </c>
      <c r="K4306">
        <v>1.115348</v>
      </c>
      <c r="L4306">
        <v>121.3633</v>
      </c>
      <c r="M4306">
        <v>-0.27312700000000001</v>
      </c>
      <c r="N4306">
        <v>0</v>
      </c>
      <c r="O4306">
        <v>-0.96187730000000005</v>
      </c>
      <c r="P4306">
        <v>-0.13938329999999999</v>
      </c>
      <c r="Q4306">
        <v>0.1214216</v>
      </c>
      <c r="R4306">
        <v>-0.98276600000000003</v>
      </c>
      <c r="S4306">
        <v>-0.17636109999999999</v>
      </c>
      <c r="T4306">
        <v>-0.1666214</v>
      </c>
      <c r="U4306">
        <v>-3.0495000000000001</v>
      </c>
      <c r="V4306">
        <v>-0.1364445</v>
      </c>
      <c r="W4306">
        <v>0.13300020000000001</v>
      </c>
      <c r="X4306">
        <v>0.98167910000000003</v>
      </c>
      <c r="Y4306">
        <v>-0.21722959999999999</v>
      </c>
      <c r="Z4306">
        <v>5.0761800000000003E-2</v>
      </c>
      <c r="AA4306">
        <v>0.97479979999999999</v>
      </c>
      <c r="AB4306">
        <v>24</v>
      </c>
      <c r="AC4306">
        <v>-1.1225000000000001</v>
      </c>
      <c r="AD4306">
        <v>-1.115349467403</v>
      </c>
      <c r="AE4306">
        <v>-20.177700000000002</v>
      </c>
      <c r="AF4306">
        <v>-4.4183381756070901</v>
      </c>
      <c r="AG4306">
        <v>-1.115349467403</v>
      </c>
      <c r="AH4306">
        <v>19.657089925308501</v>
      </c>
      <c r="AI4306">
        <v>93.168609786919205</v>
      </c>
      <c r="AJ4306">
        <v>102.66787888320501</v>
      </c>
      <c r="AK4306">
        <v>20.178377065565201</v>
      </c>
      <c r="AL4306">
        <v>82.357003036849804</v>
      </c>
      <c r="AM4306">
        <v>97.912899013663605</v>
      </c>
      <c r="AN4306">
        <v>1.00000000507855</v>
      </c>
    </row>
    <row r="4307" spans="1:40" x14ac:dyDescent="0.25">
      <c r="A4307" t="str">
        <f>"20190312164557003"</f>
        <v>20190312164557003</v>
      </c>
      <c r="B4307" t="str">
        <f>"1552380356996156"</f>
        <v>1552380356996156</v>
      </c>
      <c r="C4307" t="s">
        <v>40</v>
      </c>
      <c r="D4307">
        <v>4.5616479999999999</v>
      </c>
      <c r="E4307">
        <v>0.4725357</v>
      </c>
      <c r="F4307" t="s">
        <v>42</v>
      </c>
      <c r="G4307">
        <v>-422.66</v>
      </c>
      <c r="H4307" s="1">
        <v>-1.500583E-6</v>
      </c>
      <c r="I4307">
        <v>101.2688</v>
      </c>
      <c r="J4307">
        <v>-421.61259999999999</v>
      </c>
      <c r="K4307">
        <v>1.115246</v>
      </c>
      <c r="L4307">
        <v>121.143</v>
      </c>
      <c r="M4307">
        <v>-0.26438210000000001</v>
      </c>
      <c r="N4307">
        <v>0</v>
      </c>
      <c r="O4307">
        <v>-0.96431800000000001</v>
      </c>
      <c r="P4307">
        <v>-0.13857720000000001</v>
      </c>
      <c r="Q4307">
        <v>0.1213866</v>
      </c>
      <c r="R4307">
        <v>-0.9828846</v>
      </c>
      <c r="S4307">
        <v>-0.1668396</v>
      </c>
      <c r="T4307">
        <v>-0.16928289999999999</v>
      </c>
      <c r="U4307">
        <v>-3.0498500000000002</v>
      </c>
      <c r="V4307">
        <v>-0.1282836</v>
      </c>
      <c r="W4307">
        <v>0.13311700000000001</v>
      </c>
      <c r="X4307">
        <v>0.9827631</v>
      </c>
      <c r="Y4307">
        <v>-0.2114056</v>
      </c>
      <c r="Z4307">
        <v>5.1805589999999999E-2</v>
      </c>
      <c r="AA4307">
        <v>0.97602449999999996</v>
      </c>
      <c r="AB4307">
        <v>24</v>
      </c>
      <c r="AC4307">
        <v>-1.0474000000000301</v>
      </c>
      <c r="AD4307">
        <v>-1.115247500583</v>
      </c>
      <c r="AE4307">
        <v>-19.874199999999899</v>
      </c>
      <c r="AF4307">
        <v>-4.2314777587599099</v>
      </c>
      <c r="AG4307">
        <v>-1.115247500583</v>
      </c>
      <c r="AH4307">
        <v>19.3829714619899</v>
      </c>
      <c r="AI4307">
        <v>93.217412677795593</v>
      </c>
      <c r="AJ4307">
        <v>102.31497330368801</v>
      </c>
      <c r="AK4307">
        <v>19.8708017882206</v>
      </c>
      <c r="AL4307">
        <v>82.350251305678299</v>
      </c>
      <c r="AM4307">
        <v>97.436974696627502</v>
      </c>
      <c r="AN4307">
        <v>1.0000000642197799</v>
      </c>
    </row>
    <row r="4308" spans="1:40" x14ac:dyDescent="0.25">
      <c r="A4308" t="str">
        <f>"20190312164557026"</f>
        <v>20190312164557026</v>
      </c>
      <c r="B4308" t="str">
        <f>"1552380357015677"</f>
        <v>1552380357015677</v>
      </c>
      <c r="C4308" t="s">
        <v>40</v>
      </c>
      <c r="D4308">
        <v>4.7406449999999998</v>
      </c>
      <c r="E4308">
        <v>0.47232469999999999</v>
      </c>
      <c r="F4308" t="s">
        <v>42</v>
      </c>
      <c r="G4308">
        <v>-422.66840000000002</v>
      </c>
      <c r="H4308" s="1">
        <v>-1.3894669999999999E-6</v>
      </c>
      <c r="I4308">
        <v>101.029</v>
      </c>
      <c r="J4308">
        <v>-421.66550000000001</v>
      </c>
      <c r="K4308">
        <v>1.1151040000000001</v>
      </c>
      <c r="L4308">
        <v>120.9102</v>
      </c>
      <c r="M4308">
        <v>-0.25532009999999999</v>
      </c>
      <c r="N4308">
        <v>0</v>
      </c>
      <c r="O4308">
        <v>-0.96675710000000004</v>
      </c>
      <c r="P4308">
        <v>-0.13749059999999999</v>
      </c>
      <c r="Q4308">
        <v>0.121836</v>
      </c>
      <c r="R4308">
        <v>-0.98298140000000001</v>
      </c>
      <c r="S4308">
        <v>-0.16012570000000001</v>
      </c>
      <c r="T4308">
        <v>-0.16914270000000001</v>
      </c>
      <c r="U4308">
        <v>-3.0505680000000002</v>
      </c>
      <c r="V4308">
        <v>-0.1200732</v>
      </c>
      <c r="W4308">
        <v>0.13371949999999999</v>
      </c>
      <c r="X4308">
        <v>0.98371819999999999</v>
      </c>
      <c r="Y4308">
        <v>-0.20438210000000001</v>
      </c>
      <c r="Z4308">
        <v>5.199633E-2</v>
      </c>
      <c r="AA4308">
        <v>0.97750930000000003</v>
      </c>
      <c r="AB4308">
        <v>24</v>
      </c>
      <c r="AC4308">
        <v>-1.0029000000000099</v>
      </c>
      <c r="AD4308">
        <v>-1.115105389467</v>
      </c>
      <c r="AE4308">
        <v>-19.8812</v>
      </c>
      <c r="AF4308">
        <v>-4.0940574340275599</v>
      </c>
      <c r="AG4308">
        <v>-1.115105389467</v>
      </c>
      <c r="AH4308">
        <v>19.417295187438501</v>
      </c>
      <c r="AI4308">
        <v>93.216238503846299</v>
      </c>
      <c r="AJ4308">
        <v>101.90619162068499</v>
      </c>
      <c r="AK4308">
        <v>19.875515558064301</v>
      </c>
      <c r="AL4308">
        <v>82.315418602016607</v>
      </c>
      <c r="AM4308">
        <v>96.959130653749199</v>
      </c>
      <c r="AN4308">
        <v>0.99999998752486496</v>
      </c>
    </row>
    <row r="4309" spans="1:40" x14ac:dyDescent="0.25">
      <c r="A4309" t="str">
        <f>"20190312164557049"</f>
        <v>20190312164557049</v>
      </c>
      <c r="B4309" t="str">
        <f>"1552380357045933"</f>
        <v>1552380357045933</v>
      </c>
      <c r="C4309" t="s">
        <v>40</v>
      </c>
      <c r="D4309">
        <v>4.6659930000000003</v>
      </c>
      <c r="E4309">
        <v>0.47196179999999899</v>
      </c>
      <c r="F4309" t="s">
        <v>42</v>
      </c>
      <c r="G4309">
        <v>-422.70620000000002</v>
      </c>
      <c r="H4309" s="1">
        <v>-1.040152E-6</v>
      </c>
      <c r="I4309">
        <v>100.2688</v>
      </c>
      <c r="J4309">
        <v>-421.71620000000001</v>
      </c>
      <c r="K4309">
        <v>1.1149309999999999</v>
      </c>
      <c r="L4309">
        <v>120.6777</v>
      </c>
      <c r="M4309">
        <v>-0.2464993</v>
      </c>
      <c r="N4309">
        <v>0</v>
      </c>
      <c r="O4309">
        <v>-0.96904429999999997</v>
      </c>
      <c r="P4309">
        <v>-0.13707659999999999</v>
      </c>
      <c r="Q4309">
        <v>0.1225458</v>
      </c>
      <c r="R4309">
        <v>-0.98295120000000002</v>
      </c>
      <c r="S4309">
        <v>-0.15380859999999999</v>
      </c>
      <c r="T4309">
        <v>-0.164815299999999</v>
      </c>
      <c r="U4309">
        <v>-3.0508419999999998</v>
      </c>
      <c r="V4309">
        <v>-0.1114349</v>
      </c>
      <c r="W4309">
        <v>0.13458609999999999</v>
      </c>
      <c r="X4309">
        <v>0.98461609999999999</v>
      </c>
      <c r="Y4309">
        <v>-0.19747670000000001</v>
      </c>
      <c r="Z4309">
        <v>5.089018E-2</v>
      </c>
      <c r="AA4309">
        <v>0.97898580000000002</v>
      </c>
      <c r="AB4309">
        <v>24</v>
      </c>
      <c r="AC4309">
        <v>-0.99000000000000898</v>
      </c>
      <c r="AD4309">
        <v>-1.114932040152</v>
      </c>
      <c r="AE4309">
        <v>-20.408899999999999</v>
      </c>
      <c r="AF4309">
        <v>-4.0597276471606296</v>
      </c>
      <c r="AG4309">
        <v>-1.114932040152</v>
      </c>
      <c r="AH4309">
        <v>19.963637524010899</v>
      </c>
      <c r="AI4309">
        <v>93.132558482647994</v>
      </c>
      <c r="AJ4309">
        <v>101.49470765293199</v>
      </c>
      <c r="AK4309">
        <v>20.402727396438301</v>
      </c>
      <c r="AL4309">
        <v>82.265313330414301</v>
      </c>
      <c r="AM4309">
        <v>96.457031050539598</v>
      </c>
      <c r="AN4309">
        <v>1.00000000981521</v>
      </c>
    </row>
    <row r="4310" spans="1:40" x14ac:dyDescent="0.25">
      <c r="A4310" t="str">
        <f>"20190312164557073"</f>
        <v>20190312164557073</v>
      </c>
      <c r="B4310" t="str">
        <f>"1552380357066431"</f>
        <v>1552380357066431</v>
      </c>
      <c r="C4310" t="s">
        <v>40</v>
      </c>
      <c r="D4310">
        <v>4.3071919999999997</v>
      </c>
      <c r="E4310">
        <v>0.47175479999999997</v>
      </c>
      <c r="F4310" t="s">
        <v>42</v>
      </c>
      <c r="G4310">
        <v>-422.7509</v>
      </c>
      <c r="H4310" s="1">
        <v>-4.6917060000000001E-6</v>
      </c>
      <c r="I4310">
        <v>99.339699999999993</v>
      </c>
      <c r="J4310">
        <v>-421.76830000000001</v>
      </c>
      <c r="K4310">
        <v>1.1147290000000001</v>
      </c>
      <c r="L4310">
        <v>120.4282</v>
      </c>
      <c r="M4310">
        <v>-0.23734050000000001</v>
      </c>
      <c r="N4310">
        <v>0</v>
      </c>
      <c r="O4310">
        <v>-0.97132859999999999</v>
      </c>
      <c r="P4310">
        <v>-0.13604829999999901</v>
      </c>
      <c r="Q4310">
        <v>0.1225647</v>
      </c>
      <c r="R4310">
        <v>-0.98309139999999995</v>
      </c>
      <c r="S4310">
        <v>-0.1479492</v>
      </c>
      <c r="T4310">
        <v>-0.159432399999999</v>
      </c>
      <c r="U4310">
        <v>-3.0512700000000001</v>
      </c>
      <c r="V4310">
        <v>-0.1030828</v>
      </c>
      <c r="W4310">
        <v>0.13475200000000001</v>
      </c>
      <c r="X4310">
        <v>0.98550280000000001</v>
      </c>
      <c r="Y4310">
        <v>-0.19009570000000001</v>
      </c>
      <c r="Z4310">
        <v>4.9443939999999999E-2</v>
      </c>
      <c r="AA4310">
        <v>0.98051969999999999</v>
      </c>
      <c r="AB4310">
        <v>24</v>
      </c>
      <c r="AC4310">
        <v>-0.98259999999999004</v>
      </c>
      <c r="AD4310">
        <v>-1.114733691706</v>
      </c>
      <c r="AE4310">
        <v>-21.0885</v>
      </c>
      <c r="AF4310">
        <v>-4.0398494854957496</v>
      </c>
      <c r="AG4310">
        <v>-1.114733691706</v>
      </c>
      <c r="AH4310">
        <v>20.6614385750396</v>
      </c>
      <c r="AI4310">
        <v>93.030965159135405</v>
      </c>
      <c r="AJ4310">
        <v>101.06324250600299</v>
      </c>
      <c r="AK4310">
        <v>21.082173964252799</v>
      </c>
      <c r="AL4310">
        <v>82.255720243031902</v>
      </c>
      <c r="AM4310">
        <v>95.971378017724405</v>
      </c>
      <c r="AN4310">
        <v>0.99999996698383897</v>
      </c>
    </row>
    <row r="4311" spans="1:40" x14ac:dyDescent="0.25">
      <c r="A4311" t="str">
        <f>"20190312164557094"</f>
        <v>20190312164557094</v>
      </c>
      <c r="B4311" t="str">
        <f>"1552380357085949"</f>
        <v>1552380357085949</v>
      </c>
      <c r="C4311" t="s">
        <v>40</v>
      </c>
      <c r="D4311">
        <v>4.7426529999999998</v>
      </c>
      <c r="E4311">
        <v>0.47151880000000002</v>
      </c>
      <c r="F4311" t="s">
        <v>42</v>
      </c>
      <c r="G4311">
        <v>-422.78250000000003</v>
      </c>
      <c r="H4311" s="1">
        <v>-4.4655699999999997E-6</v>
      </c>
      <c r="I4311">
        <v>98.658709999999999</v>
      </c>
      <c r="J4311">
        <v>-421.81349999999998</v>
      </c>
      <c r="K4311">
        <v>1.114554</v>
      </c>
      <c r="L4311">
        <v>120.20359999999999</v>
      </c>
      <c r="M4311">
        <v>-0.22932</v>
      </c>
      <c r="N4311">
        <v>0</v>
      </c>
      <c r="O4311">
        <v>-0.97325390000000001</v>
      </c>
      <c r="P4311">
        <v>-0.13652159999999999</v>
      </c>
      <c r="Q4311">
        <v>0.12155870000000001</v>
      </c>
      <c r="R4311">
        <v>-0.98315070000000004</v>
      </c>
      <c r="S4311">
        <v>-0.1421509</v>
      </c>
      <c r="T4311">
        <v>-0.156252</v>
      </c>
      <c r="U4311">
        <v>-3.0514220000000001</v>
      </c>
      <c r="V4311">
        <v>-9.4417169999999995E-2</v>
      </c>
      <c r="W4311">
        <v>0.13388729999999999</v>
      </c>
      <c r="X4311">
        <v>0.98648849999999999</v>
      </c>
      <c r="Y4311">
        <v>-0.18385290000000001</v>
      </c>
      <c r="Z4311">
        <v>4.8637239999999998E-2</v>
      </c>
      <c r="AA4311">
        <v>0.98174969999999995</v>
      </c>
      <c r="AB4311">
        <v>24</v>
      </c>
      <c r="AC4311">
        <v>-0.96900000000005004</v>
      </c>
      <c r="AD4311">
        <v>-1.11455846557</v>
      </c>
      <c r="AE4311">
        <v>-21.544889999999899</v>
      </c>
      <c r="AF4311">
        <v>-3.9873200495993601</v>
      </c>
      <c r="AG4311">
        <v>-1.11455846557</v>
      </c>
      <c r="AH4311">
        <v>21.1364131712998</v>
      </c>
      <c r="AI4311">
        <v>92.966282490403302</v>
      </c>
      <c r="AJ4311">
        <v>100.683126062325</v>
      </c>
      <c r="AK4311">
        <v>21.538080775663499</v>
      </c>
      <c r="AL4311">
        <v>82.305717120596299</v>
      </c>
      <c r="AM4311">
        <v>95.467146416999199</v>
      </c>
      <c r="AN4311">
        <v>0.99999998586217398</v>
      </c>
    </row>
    <row r="4312" spans="1:40" x14ac:dyDescent="0.25">
      <c r="A4312" t="str">
        <f>"20190312164557116"</f>
        <v>20190312164557116</v>
      </c>
      <c r="B4312" t="str">
        <f>"1552380357106446"</f>
        <v>1552380357106446</v>
      </c>
      <c r="C4312" t="s">
        <v>40</v>
      </c>
      <c r="D4312">
        <v>4.7447229999999996</v>
      </c>
      <c r="E4312">
        <v>0.47130300000000003</v>
      </c>
      <c r="F4312" t="s">
        <v>42</v>
      </c>
      <c r="G4312">
        <v>-422.82029999999997</v>
      </c>
      <c r="H4312" s="1">
        <v>-4.3895949999999999E-6</v>
      </c>
      <c r="I4312">
        <v>98.415729999999996</v>
      </c>
      <c r="J4312">
        <v>-421.85759999999999</v>
      </c>
      <c r="K4312">
        <v>1.1143829999999999</v>
      </c>
      <c r="L4312">
        <v>119.97580000000001</v>
      </c>
      <c r="M4312">
        <v>-0.22141949999999999</v>
      </c>
      <c r="N4312">
        <v>0</v>
      </c>
      <c r="O4312">
        <v>-0.975082</v>
      </c>
      <c r="P4312">
        <v>-0.1368142</v>
      </c>
      <c r="Q4312">
        <v>0.12108869999999999</v>
      </c>
      <c r="R4312">
        <v>-0.98316809999999999</v>
      </c>
      <c r="S4312">
        <v>-0.14099120000000001</v>
      </c>
      <c r="T4312">
        <v>-0.15607960000000001</v>
      </c>
      <c r="U4312">
        <v>-3.0511170000000001</v>
      </c>
      <c r="V4312">
        <v>-8.6056679999999997E-2</v>
      </c>
      <c r="W4312">
        <v>0.1335414</v>
      </c>
      <c r="X4312">
        <v>0.98729990000000001</v>
      </c>
      <c r="Y4312">
        <v>-0.17624379999999901</v>
      </c>
      <c r="Z4312">
        <v>4.8764090000000003E-2</v>
      </c>
      <c r="AA4312">
        <v>0.98313790000000001</v>
      </c>
      <c r="AB4312">
        <v>24</v>
      </c>
      <c r="AC4312">
        <v>-0.96269999999998401</v>
      </c>
      <c r="AD4312">
        <v>-1.1143873895949901</v>
      </c>
      <c r="AE4312">
        <v>-21.56007</v>
      </c>
      <c r="AF4312">
        <v>-3.8252707124990701</v>
      </c>
      <c r="AG4312">
        <v>-1.1143873895949901</v>
      </c>
      <c r="AH4312">
        <v>21.1815224530338</v>
      </c>
      <c r="AI4312">
        <v>92.963773120901394</v>
      </c>
      <c r="AJ4312">
        <v>100.23697480324201</v>
      </c>
      <c r="AK4312">
        <v>21.552991641680901</v>
      </c>
      <c r="AL4312">
        <v>82.325716005678501</v>
      </c>
      <c r="AM4312">
        <v>94.981520013312604</v>
      </c>
      <c r="AN4312">
        <v>1.00000007511329</v>
      </c>
    </row>
    <row r="4313" spans="1:40" x14ac:dyDescent="0.25">
      <c r="A4313" t="str">
        <f>"20190312164557139"</f>
        <v>20190312164557139</v>
      </c>
      <c r="B4313" t="str">
        <f>"1552380357135726"</f>
        <v>1552380357135726</v>
      </c>
      <c r="C4313" t="s">
        <v>40</v>
      </c>
      <c r="D4313">
        <v>4.6790029999999998</v>
      </c>
      <c r="E4313">
        <v>0.47089340000000002</v>
      </c>
      <c r="F4313" t="s">
        <v>42</v>
      </c>
      <c r="G4313">
        <v>-422.85500000000002</v>
      </c>
      <c r="H4313" s="1">
        <v>-4.2790010000000003E-6</v>
      </c>
      <c r="I4313">
        <v>98.072649999999996</v>
      </c>
      <c r="J4313">
        <v>-421.90129999999999</v>
      </c>
      <c r="K4313">
        <v>1.1141989999999999</v>
      </c>
      <c r="L4313">
        <v>119.741</v>
      </c>
      <c r="M4313">
        <v>-0.2135445</v>
      </c>
      <c r="N4313">
        <v>0</v>
      </c>
      <c r="O4313">
        <v>-0.97683759999999997</v>
      </c>
      <c r="P4313">
        <v>-0.1370894</v>
      </c>
      <c r="Q4313">
        <v>0.1204866</v>
      </c>
      <c r="R4313">
        <v>-0.98320370000000001</v>
      </c>
      <c r="S4313">
        <v>-0.1389465</v>
      </c>
      <c r="T4313">
        <v>-0.15523600000000001</v>
      </c>
      <c r="U4313">
        <v>-3.0511469999999998</v>
      </c>
      <c r="V4313">
        <v>-7.7747750000000004E-2</v>
      </c>
      <c r="W4313">
        <v>0.13304939999999901</v>
      </c>
      <c r="X4313">
        <v>0.98805520000000002</v>
      </c>
      <c r="Y4313">
        <v>-0.1689542</v>
      </c>
      <c r="Z4313">
        <v>4.8667130000000003E-2</v>
      </c>
      <c r="AA4313">
        <v>0.98442169999999896</v>
      </c>
      <c r="AB4313">
        <v>24</v>
      </c>
      <c r="AC4313">
        <v>-0.95370000000002597</v>
      </c>
      <c r="AD4313">
        <v>-1.1142032790009999</v>
      </c>
      <c r="AE4313">
        <v>-21.66835</v>
      </c>
      <c r="AF4313">
        <v>-3.6861648929704098</v>
      </c>
      <c r="AG4313">
        <v>-1.1142032790009999</v>
      </c>
      <c r="AH4313">
        <v>21.315863105238801</v>
      </c>
      <c r="AI4313">
        <v>92.948505556973203</v>
      </c>
      <c r="AJ4313">
        <v>99.811160308779293</v>
      </c>
      <c r="AK4313">
        <v>21.6609159660063</v>
      </c>
      <c r="AL4313">
        <v>82.354158513044993</v>
      </c>
      <c r="AM4313">
        <v>94.499200035264494</v>
      </c>
      <c r="AN4313">
        <v>0.99999996685873005</v>
      </c>
    </row>
    <row r="4314" spans="1:40" x14ac:dyDescent="0.25">
      <c r="A4314" t="str">
        <f>"20190312164557161"</f>
        <v>20190312164557161</v>
      </c>
      <c r="B4314" t="str">
        <f>"1552380357156221"</f>
        <v>1552380357156221</v>
      </c>
      <c r="C4314" t="s">
        <v>40</v>
      </c>
      <c r="D4314">
        <v>4.7438849999999997</v>
      </c>
      <c r="E4314">
        <v>0.4706668</v>
      </c>
      <c r="F4314" t="s">
        <v>42</v>
      </c>
      <c r="G4314">
        <v>-422.85199999999998</v>
      </c>
      <c r="H4314" s="1">
        <v>-4.3358650000000004E-6</v>
      </c>
      <c r="I4314">
        <v>98.241299999999995</v>
      </c>
      <c r="J4314">
        <v>-421.9434</v>
      </c>
      <c r="K4314">
        <v>1.114015</v>
      </c>
      <c r="L4314">
        <v>119.5063</v>
      </c>
      <c r="M4314">
        <v>-0.2059396</v>
      </c>
      <c r="N4314">
        <v>0</v>
      </c>
      <c r="O4314">
        <v>-0.9784697</v>
      </c>
      <c r="P4314">
        <v>-0.137273799999999</v>
      </c>
      <c r="Q4314">
        <v>0.1204107</v>
      </c>
      <c r="R4314">
        <v>-0.98318729999999999</v>
      </c>
      <c r="S4314">
        <v>-0.1349487</v>
      </c>
      <c r="T4314">
        <v>-0.1581581</v>
      </c>
      <c r="U4314">
        <v>-3.0518190000000001</v>
      </c>
      <c r="V4314">
        <v>-6.9803619999999997E-2</v>
      </c>
      <c r="W4314">
        <v>0.13306399999999999</v>
      </c>
      <c r="X4314">
        <v>0.98864629999999998</v>
      </c>
      <c r="Y4314">
        <v>-0.1625828</v>
      </c>
      <c r="Z4314">
        <v>4.9725270000000002E-2</v>
      </c>
      <c r="AA4314">
        <v>0.98544109999999996</v>
      </c>
      <c r="AB4314">
        <v>24</v>
      </c>
      <c r="AC4314">
        <v>-0.90859999999997798</v>
      </c>
      <c r="AD4314">
        <v>-1.1140193358649999</v>
      </c>
      <c r="AE4314">
        <v>-21.265000000000001</v>
      </c>
      <c r="AF4314">
        <v>-3.4810563764170901</v>
      </c>
      <c r="AG4314">
        <v>-1.1140193358649999</v>
      </c>
      <c r="AH4314">
        <v>20.938866002009</v>
      </c>
      <c r="AI4314">
        <v>93.004302966687305</v>
      </c>
      <c r="AJ4314">
        <v>99.439012482038393</v>
      </c>
      <c r="AK4314">
        <v>21.255467579579701</v>
      </c>
      <c r="AL4314">
        <v>82.353315052440294</v>
      </c>
      <c r="AM4314">
        <v>94.038680704935601</v>
      </c>
      <c r="AN4314">
        <v>1.0000000399823901</v>
      </c>
    </row>
    <row r="4315" spans="1:40" x14ac:dyDescent="0.25">
      <c r="A4315" t="str">
        <f>"20190312164557183"</f>
        <v>20190312164557183</v>
      </c>
      <c r="B4315" t="str">
        <f>"1552380357175744"</f>
        <v>1552380357175744</v>
      </c>
      <c r="C4315" t="s">
        <v>40</v>
      </c>
      <c r="D4315">
        <v>4.516133</v>
      </c>
      <c r="E4315">
        <v>0.4703638</v>
      </c>
      <c r="F4315" t="s">
        <v>42</v>
      </c>
      <c r="G4315">
        <v>-422.89620000000002</v>
      </c>
      <c r="H4315" s="1">
        <v>-4.1889510000000002E-6</v>
      </c>
      <c r="I4315">
        <v>97.786540000000002</v>
      </c>
      <c r="J4315">
        <v>-421.98349999999999</v>
      </c>
      <c r="K4315">
        <v>1.1138349999999999</v>
      </c>
      <c r="L4315">
        <v>119.2745</v>
      </c>
      <c r="M4315">
        <v>-0.1986695</v>
      </c>
      <c r="N4315">
        <v>0</v>
      </c>
      <c r="O4315">
        <v>-0.97997239999999997</v>
      </c>
      <c r="P4315">
        <v>-0.1372497</v>
      </c>
      <c r="Q4315">
        <v>0.120381</v>
      </c>
      <c r="R4315">
        <v>-0.98319460000000003</v>
      </c>
      <c r="S4315">
        <v>-0.13388059999999999</v>
      </c>
      <c r="T4315">
        <v>-0.1565281</v>
      </c>
      <c r="U4315">
        <v>-3.0517880000000002</v>
      </c>
      <c r="V4315">
        <v>-6.2416550000000001E-2</v>
      </c>
      <c r="W4315">
        <v>0.13310520000000001</v>
      </c>
      <c r="X4315">
        <v>0.98913459999999997</v>
      </c>
      <c r="Y4315">
        <v>-0.15559629999999999</v>
      </c>
      <c r="Z4315">
        <v>4.9358859999999997E-2</v>
      </c>
      <c r="AA4315">
        <v>0.98658679999999999</v>
      </c>
      <c r="AB4315">
        <v>24</v>
      </c>
      <c r="AC4315">
        <v>-0.91270000000002904</v>
      </c>
      <c r="AD4315">
        <v>-1.113839188951</v>
      </c>
      <c r="AE4315">
        <v>-21.487960000000001</v>
      </c>
      <c r="AF4315">
        <v>-3.36586532858554</v>
      </c>
      <c r="AG4315">
        <v>-1.113839188951</v>
      </c>
      <c r="AH4315">
        <v>21.184075817823999</v>
      </c>
      <c r="AI4315">
        <v>92.972568592452404</v>
      </c>
      <c r="AJ4315">
        <v>99.028064165297707</v>
      </c>
      <c r="AK4315">
        <v>21.478704695682399</v>
      </c>
      <c r="AL4315">
        <v>82.350933267994606</v>
      </c>
      <c r="AM4315">
        <v>93.610701229111697</v>
      </c>
      <c r="AN4315">
        <v>1.0000000384490499</v>
      </c>
    </row>
    <row r="4316" spans="1:40" x14ac:dyDescent="0.25">
      <c r="A4316" t="str">
        <f>"20190312164557205"</f>
        <v>20190312164557205</v>
      </c>
      <c r="B4316" t="str">
        <f>"1552380357196238"</f>
        <v>1552380357196238</v>
      </c>
      <c r="C4316" t="s">
        <v>40</v>
      </c>
      <c r="D4316">
        <v>4.5559320000000003</v>
      </c>
      <c r="E4316">
        <v>0.47014489999999998</v>
      </c>
      <c r="F4316" t="s">
        <v>42</v>
      </c>
      <c r="G4316">
        <v>-422.90280000000001</v>
      </c>
      <c r="H4316" s="1">
        <v>-4.2288110000000002E-6</v>
      </c>
      <c r="I4316">
        <v>97.900270000000006</v>
      </c>
      <c r="J4316">
        <v>-422.02159999999998</v>
      </c>
      <c r="K4316">
        <v>1.1136629999999901</v>
      </c>
      <c r="L4316">
        <v>119.045</v>
      </c>
      <c r="M4316">
        <v>-0.19167890000000001</v>
      </c>
      <c r="N4316">
        <v>0</v>
      </c>
      <c r="O4316">
        <v>-0.98136449999999997</v>
      </c>
      <c r="P4316">
        <v>-0.13694249999999999</v>
      </c>
      <c r="Q4316">
        <v>0.1196146</v>
      </c>
      <c r="R4316">
        <v>-0.98333090000000001</v>
      </c>
      <c r="S4316">
        <v>-0.1312866</v>
      </c>
      <c r="T4316">
        <v>-0.15906579999999901</v>
      </c>
      <c r="U4316">
        <v>-3.0524290000000001</v>
      </c>
      <c r="V4316">
        <v>-5.5615879999999999E-2</v>
      </c>
      <c r="W4316">
        <v>0.13239339999999999</v>
      </c>
      <c r="X4316">
        <v>0.98963570000000001</v>
      </c>
      <c r="Y4316">
        <v>-0.14939929999999901</v>
      </c>
      <c r="Z4316">
        <v>5.0280499999999999E-2</v>
      </c>
      <c r="AA4316">
        <v>0.98749770000000003</v>
      </c>
      <c r="AB4316">
        <v>24</v>
      </c>
      <c r="AC4316">
        <v>-0.88120000000003496</v>
      </c>
      <c r="AD4316">
        <v>-1.1136672288110001</v>
      </c>
      <c r="AE4316">
        <v>-21.144729999999999</v>
      </c>
      <c r="AF4316">
        <v>-3.17970660417912</v>
      </c>
      <c r="AG4316">
        <v>-1.1136672288110001</v>
      </c>
      <c r="AH4316">
        <v>20.863732703596899</v>
      </c>
      <c r="AI4316">
        <v>93.020629656790106</v>
      </c>
      <c r="AJ4316">
        <v>98.665399920091701</v>
      </c>
      <c r="AK4316">
        <v>21.134004142904999</v>
      </c>
      <c r="AL4316">
        <v>82.392080113251893</v>
      </c>
      <c r="AM4316">
        <v>93.216544119528905</v>
      </c>
      <c r="AN4316">
        <v>0.99999997859311196</v>
      </c>
    </row>
    <row r="4317" spans="1:40" x14ac:dyDescent="0.25">
      <c r="A4317" t="str">
        <f>"20190312164557227"</f>
        <v>20190312164557227</v>
      </c>
      <c r="B4317" t="str">
        <f>"1552380357215757"</f>
        <v>1552380357215757</v>
      </c>
      <c r="C4317" t="s">
        <v>40</v>
      </c>
      <c r="D4317">
        <v>4.6836129999999896</v>
      </c>
      <c r="E4317">
        <v>0.47000350000000002</v>
      </c>
      <c r="F4317" t="s">
        <v>42</v>
      </c>
      <c r="G4317">
        <v>-422.9153</v>
      </c>
      <c r="H4317" s="1">
        <v>-4.1857740000000004E-6</v>
      </c>
      <c r="I4317">
        <v>97.76728</v>
      </c>
      <c r="J4317">
        <v>-422.05889999999999</v>
      </c>
      <c r="K4317">
        <v>1.113497</v>
      </c>
      <c r="L4317">
        <v>118.8124</v>
      </c>
      <c r="M4317">
        <v>-0.18477350000000001</v>
      </c>
      <c r="N4317">
        <v>0</v>
      </c>
      <c r="O4317">
        <v>-0.98268880000000003</v>
      </c>
      <c r="P4317">
        <v>-0.13648489999999999</v>
      </c>
      <c r="Q4317">
        <v>0.1172595</v>
      </c>
      <c r="R4317">
        <v>-0.98367789999999999</v>
      </c>
      <c r="S4317">
        <v>-0.12820429999999999</v>
      </c>
      <c r="T4317">
        <v>-0.1597625</v>
      </c>
      <c r="U4317">
        <v>-3.0524290000000001</v>
      </c>
      <c r="V4317">
        <v>-4.9084210000000003E-2</v>
      </c>
      <c r="W4317">
        <v>0.13008230000000001</v>
      </c>
      <c r="X4317">
        <v>0.99028749999999999</v>
      </c>
      <c r="Y4317">
        <v>-0.14343989999999901</v>
      </c>
      <c r="Z4317">
        <v>5.062767E-2</v>
      </c>
      <c r="AA4317">
        <v>0.9883632</v>
      </c>
      <c r="AB4317">
        <v>24</v>
      </c>
      <c r="AC4317">
        <v>-0.85640000000000704</v>
      </c>
      <c r="AD4317">
        <v>-1.113501185774</v>
      </c>
      <c r="AE4317">
        <v>-21.045120000000001</v>
      </c>
      <c r="AF4317">
        <v>-3.0387893198497302</v>
      </c>
      <c r="AG4317">
        <v>-1.113501185774</v>
      </c>
      <c r="AH4317">
        <v>20.782849750919901</v>
      </c>
      <c r="AI4317">
        <v>93.034648196877797</v>
      </c>
      <c r="AJ4317">
        <v>98.318623630537701</v>
      </c>
      <c r="AK4317">
        <v>21.033329959625199</v>
      </c>
      <c r="AL4317">
        <v>82.525651846396897</v>
      </c>
      <c r="AM4317">
        <v>92.837578388283703</v>
      </c>
      <c r="AN4317">
        <v>0.99999999855043198</v>
      </c>
    </row>
    <row r="4318" spans="1:40" x14ac:dyDescent="0.25">
      <c r="A4318" t="str">
        <f>"20190312164557250"</f>
        <v>20190312164557250</v>
      </c>
      <c r="B4318" t="str">
        <f>"1552380357246014"</f>
        <v>1552380357246014</v>
      </c>
      <c r="C4318" t="s">
        <v>40</v>
      </c>
      <c r="D4318">
        <v>4.9900479999999998</v>
      </c>
      <c r="E4318">
        <v>0.46971190000000002</v>
      </c>
      <c r="F4318" t="s">
        <v>42</v>
      </c>
      <c r="G4318">
        <v>-422.89789999999999</v>
      </c>
      <c r="H4318" s="1">
        <v>-4.3641000000000003E-6</v>
      </c>
      <c r="I4318">
        <v>98.300349999999995</v>
      </c>
      <c r="J4318">
        <v>-422.09570000000002</v>
      </c>
      <c r="K4318">
        <v>1.1133630000000001</v>
      </c>
      <c r="L4318">
        <v>118.57259999999999</v>
      </c>
      <c r="M4318">
        <v>-0.17783270000000001</v>
      </c>
      <c r="N4318">
        <v>0</v>
      </c>
      <c r="O4318">
        <v>-0.98396930000000005</v>
      </c>
      <c r="P4318">
        <v>-0.13276660000000001</v>
      </c>
      <c r="Q4318">
        <v>0.11468109999999999</v>
      </c>
      <c r="R4318">
        <v>-0.9844908</v>
      </c>
      <c r="S4318">
        <v>-0.1248474</v>
      </c>
      <c r="T4318">
        <v>-0.16569139999999999</v>
      </c>
      <c r="U4318">
        <v>-3.0522309999999999</v>
      </c>
      <c r="V4318">
        <v>-4.5817589999999998E-2</v>
      </c>
      <c r="W4318">
        <v>0.12750239999999999</v>
      </c>
      <c r="X4318">
        <v>0.99077950000000004</v>
      </c>
      <c r="Y4318">
        <v>-0.13753840000000001</v>
      </c>
      <c r="Z4318">
        <v>5.2632140000000001E-2</v>
      </c>
      <c r="AA4318">
        <v>0.98909709999999995</v>
      </c>
      <c r="AB4318">
        <v>24</v>
      </c>
      <c r="AC4318">
        <v>-0.80219999999997005</v>
      </c>
      <c r="AD4318">
        <v>-1.1133673640999999</v>
      </c>
      <c r="AE4318">
        <v>-20.27225</v>
      </c>
      <c r="AF4318">
        <v>-2.8075270803444901</v>
      </c>
      <c r="AG4318">
        <v>-1.1133673640999999</v>
      </c>
      <c r="AH4318">
        <v>20.0314107676489</v>
      </c>
      <c r="AI4318">
        <v>93.150556862650006</v>
      </c>
      <c r="AJ4318">
        <v>97.978389636265106</v>
      </c>
      <c r="AK4318">
        <v>20.257818553254701</v>
      </c>
      <c r="AL4318">
        <v>82.674711189854307</v>
      </c>
      <c r="AM4318">
        <v>92.647698735215698</v>
      </c>
      <c r="AN4318">
        <v>1.0000000655896999</v>
      </c>
    </row>
    <row r="4319" spans="1:40" x14ac:dyDescent="0.25">
      <c r="A4319" t="str">
        <f>"20190312164557273"</f>
        <v>20190312164557273</v>
      </c>
      <c r="B4319" t="str">
        <f>"1552380357265536"</f>
        <v>1552380357265536</v>
      </c>
      <c r="C4319" t="s">
        <v>40</v>
      </c>
      <c r="D4319">
        <v>4.638185</v>
      </c>
      <c r="E4319">
        <v>0.46962860000000001</v>
      </c>
      <c r="F4319" t="s">
        <v>42</v>
      </c>
      <c r="G4319">
        <v>-422.80829999999997</v>
      </c>
      <c r="H4319" s="1">
        <v>-4.4718530000000001E-6</v>
      </c>
      <c r="I4319">
        <v>98.663709999999995</v>
      </c>
      <c r="J4319">
        <v>-422.13119999999998</v>
      </c>
      <c r="K4319">
        <v>1.1132420000000001</v>
      </c>
      <c r="L4319">
        <v>118.3304</v>
      </c>
      <c r="M4319">
        <v>-0.1709888</v>
      </c>
      <c r="N4319">
        <v>0</v>
      </c>
      <c r="O4319">
        <v>-0.98518260000000002</v>
      </c>
      <c r="P4319">
        <v>-0.13330610000000001</v>
      </c>
      <c r="Q4319">
        <v>0.1120752</v>
      </c>
      <c r="R4319">
        <v>-0.98471779999999998</v>
      </c>
      <c r="S4319">
        <v>-0.1092529</v>
      </c>
      <c r="T4319">
        <v>-0.17070270000000001</v>
      </c>
      <c r="U4319">
        <v>-3.0524439999999999</v>
      </c>
      <c r="V4319">
        <v>-3.8367279999999997E-2</v>
      </c>
      <c r="W4319">
        <v>0.1249343</v>
      </c>
      <c r="X4319">
        <v>0.9914229</v>
      </c>
      <c r="Y4319">
        <v>-0.13570470000000001</v>
      </c>
      <c r="Z4319">
        <v>5.4328799999999997E-2</v>
      </c>
      <c r="AA4319">
        <v>0.98925859999999999</v>
      </c>
      <c r="AB4319">
        <v>24</v>
      </c>
      <c r="AC4319">
        <v>-0.67709999999999504</v>
      </c>
      <c r="AD4319">
        <v>-1.113246471853</v>
      </c>
      <c r="AE4319">
        <v>-19.666689999999999</v>
      </c>
      <c r="AF4319">
        <v>-2.68735599525152</v>
      </c>
      <c r="AG4319">
        <v>-1.113246471853</v>
      </c>
      <c r="AH4319">
        <v>19.430607059693301</v>
      </c>
      <c r="AI4319">
        <v>93.248235587158504</v>
      </c>
      <c r="AJ4319">
        <v>97.874355881954898</v>
      </c>
      <c r="AK4319">
        <v>19.6471293236572</v>
      </c>
      <c r="AL4319">
        <v>82.823038272310299</v>
      </c>
      <c r="AM4319">
        <v>92.216195325418099</v>
      </c>
      <c r="AN4319">
        <v>0.999999997067749</v>
      </c>
    </row>
    <row r="4320" spans="1:40" x14ac:dyDescent="0.25">
      <c r="A4320" t="str">
        <f>"20190312164557287"</f>
        <v>20190312164557287</v>
      </c>
      <c r="B4320" t="str">
        <f>"1552380357276269"</f>
        <v>1552380357276269</v>
      </c>
      <c r="C4320" t="s">
        <v>40</v>
      </c>
      <c r="D4320">
        <v>4.5414789999999998</v>
      </c>
      <c r="E4320">
        <v>0.45708130000000002</v>
      </c>
      <c r="F4320" t="s">
        <v>42</v>
      </c>
      <c r="G4320">
        <v>-422.8125</v>
      </c>
      <c r="H4320" s="1">
        <v>-4.6337150000000004E-6</v>
      </c>
      <c r="I4320">
        <v>99.137150000000005</v>
      </c>
      <c r="J4320">
        <v>-422.15289999999999</v>
      </c>
      <c r="K4320">
        <v>1.113181</v>
      </c>
      <c r="L4320">
        <v>118.17789999999999</v>
      </c>
      <c r="M4320">
        <v>-0.16672879999999901</v>
      </c>
      <c r="N4320">
        <v>0</v>
      </c>
      <c r="O4320">
        <v>-0.98591300000000004</v>
      </c>
      <c r="P4320">
        <v>-0.1327575</v>
      </c>
      <c r="Q4320">
        <v>0.11104319999999999</v>
      </c>
      <c r="R4320">
        <v>-0.98490889999999998</v>
      </c>
      <c r="S4320">
        <v>-0.1083374</v>
      </c>
      <c r="T4320">
        <v>-0.1770245</v>
      </c>
      <c r="U4320">
        <v>-3.0520480000000001</v>
      </c>
      <c r="V4320">
        <v>-3.4621180000000001E-2</v>
      </c>
      <c r="W4320">
        <v>0.1239123</v>
      </c>
      <c r="X4320">
        <v>0.99168900000000004</v>
      </c>
      <c r="Y4320">
        <v>-0.131717</v>
      </c>
      <c r="Z4320">
        <v>5.6420640000000001E-2</v>
      </c>
      <c r="AA4320">
        <v>0.98968040000000002</v>
      </c>
      <c r="AB4320">
        <v>24</v>
      </c>
      <c r="AC4320">
        <v>-0.65960000000001096</v>
      </c>
      <c r="AD4320">
        <v>-1.1131856337149999</v>
      </c>
      <c r="AE4320">
        <v>-19.0407499999999</v>
      </c>
      <c r="AF4320">
        <v>-2.5159675261298098</v>
      </c>
      <c r="AG4320">
        <v>-1.1131856337149999</v>
      </c>
      <c r="AH4320">
        <v>18.8199205443767</v>
      </c>
      <c r="AI4320">
        <v>93.355281761787595</v>
      </c>
      <c r="AJ4320">
        <v>97.614518629297706</v>
      </c>
      <c r="AK4320">
        <v>19.019954893329899</v>
      </c>
      <c r="AL4320">
        <v>82.882053019849096</v>
      </c>
      <c r="AM4320">
        <v>91.999459703778001</v>
      </c>
      <c r="AN4320">
        <v>0.99999997845844102</v>
      </c>
    </row>
    <row r="4321" spans="1:40" x14ac:dyDescent="0.25">
      <c r="A4321" t="str">
        <f>"20190312164557306"</f>
        <v>20190312164557306</v>
      </c>
      <c r="B4321" t="str">
        <f>"1552380357295790"</f>
        <v>1552380357295790</v>
      </c>
      <c r="C4321" t="s">
        <v>40</v>
      </c>
      <c r="D4321">
        <v>4.7401710000000001</v>
      </c>
      <c r="E4321">
        <v>0.45919490000000002</v>
      </c>
      <c r="F4321" t="s">
        <v>42</v>
      </c>
      <c r="G4321">
        <v>-422.13040000000001</v>
      </c>
      <c r="H4321" s="1">
        <v>-3.9311489999999901E-6</v>
      </c>
      <c r="I4321">
        <v>106.70869999999999</v>
      </c>
      <c r="J4321">
        <v>-422.17959999999999</v>
      </c>
      <c r="K4321">
        <v>1.1131219999999999</v>
      </c>
      <c r="L4321">
        <v>117.9825</v>
      </c>
      <c r="M4321">
        <v>-0.16134490000000001</v>
      </c>
      <c r="N4321">
        <v>0</v>
      </c>
      <c r="O4321">
        <v>-0.98680880000000004</v>
      </c>
      <c r="P4321">
        <v>-0.13469500000000001</v>
      </c>
      <c r="Q4321">
        <v>0.10964550000000001</v>
      </c>
      <c r="R4321">
        <v>-0.98480210000000001</v>
      </c>
      <c r="S4321">
        <v>6.0424800000000002E-3</v>
      </c>
      <c r="T4321">
        <v>-0.29898920000000001</v>
      </c>
      <c r="U4321">
        <v>-3.0804900000000002</v>
      </c>
      <c r="V4321">
        <v>-2.723766E-2</v>
      </c>
      <c r="W4321">
        <v>0.1225566</v>
      </c>
      <c r="X4321">
        <v>0.99208770000000002</v>
      </c>
      <c r="Y4321">
        <v>-0.1632807</v>
      </c>
      <c r="Z4321">
        <v>9.4060580000000005E-2</v>
      </c>
      <c r="AA4321">
        <v>0.98208549999999994</v>
      </c>
      <c r="AB4321">
        <v>24</v>
      </c>
      <c r="AC4321">
        <v>4.9199999999984798E-2</v>
      </c>
      <c r="AD4321">
        <v>-1.1131259311489901</v>
      </c>
      <c r="AE4321">
        <v>-11.2738</v>
      </c>
      <c r="AF4321">
        <v>-1.8496542587697</v>
      </c>
      <c r="AG4321">
        <v>-1.1131259311489901</v>
      </c>
      <c r="AH4321">
        <v>11.010787390814199</v>
      </c>
      <c r="AI4321">
        <v>95.693416693147498</v>
      </c>
      <c r="AJ4321">
        <v>99.5358360392473</v>
      </c>
      <c r="AK4321">
        <v>11.2204148399823</v>
      </c>
      <c r="AL4321">
        <v>82.960325746665106</v>
      </c>
      <c r="AM4321">
        <v>91.572654339536697</v>
      </c>
      <c r="AN4321">
        <v>1.00000000740856</v>
      </c>
    </row>
    <row r="4322" spans="1:40" x14ac:dyDescent="0.25">
      <c r="A4322" t="str">
        <f>"20190312164557328"</f>
        <v>20190312164557328</v>
      </c>
      <c r="B4322" t="str">
        <f>"1552380357326045"</f>
        <v>1552380357326045</v>
      </c>
      <c r="C4322" t="s">
        <v>40</v>
      </c>
      <c r="D4322">
        <v>4.6780839999999904</v>
      </c>
      <c r="E4322">
        <v>0.4611634</v>
      </c>
      <c r="F4322" t="s">
        <v>42</v>
      </c>
      <c r="G4322">
        <v>-422.26069999999999</v>
      </c>
      <c r="H4322" s="1">
        <v>-3.001217E-6</v>
      </c>
      <c r="I4322">
        <v>104.6681</v>
      </c>
      <c r="J4322">
        <v>-422.21080000000001</v>
      </c>
      <c r="K4322">
        <v>1.1130359999999999</v>
      </c>
      <c r="L4322">
        <v>117.74590000000001</v>
      </c>
      <c r="M4322">
        <v>-0.15493399999999999</v>
      </c>
      <c r="N4322">
        <v>0</v>
      </c>
      <c r="O4322">
        <v>-0.98783639999999995</v>
      </c>
      <c r="P4322">
        <v>-0.13584839999999901</v>
      </c>
      <c r="Q4322">
        <v>0.10894810000000001</v>
      </c>
      <c r="R4322">
        <v>-0.98472130000000002</v>
      </c>
      <c r="S4322">
        <v>-1.870728E-2</v>
      </c>
      <c r="T4322">
        <v>-0.25685570000000002</v>
      </c>
      <c r="U4322">
        <v>-3.072327</v>
      </c>
      <c r="V4322">
        <v>-1.9602359999999999E-2</v>
      </c>
      <c r="W4322">
        <v>0.12188930000000001</v>
      </c>
      <c r="X4322">
        <v>0.99235010000000001</v>
      </c>
      <c r="Y4322">
        <v>-0.14894669999999999</v>
      </c>
      <c r="Z4322">
        <v>8.1339699999999904E-2</v>
      </c>
      <c r="AA4322">
        <v>0.98549410000000004</v>
      </c>
      <c r="AB4322">
        <v>24</v>
      </c>
      <c r="AC4322">
        <v>-4.98999999999796E-2</v>
      </c>
      <c r="AD4322">
        <v>-1.1130390012169999</v>
      </c>
      <c r="AE4322">
        <v>-13.0778</v>
      </c>
      <c r="AF4322">
        <v>-1.96285768819798</v>
      </c>
      <c r="AG4322">
        <v>-1.1130390012169999</v>
      </c>
      <c r="AH4322">
        <v>12.8346205238017</v>
      </c>
      <c r="AI4322">
        <v>94.899696075057093</v>
      </c>
      <c r="AJ4322">
        <v>98.695135262268096</v>
      </c>
      <c r="AK4322">
        <v>13.031467688343501</v>
      </c>
      <c r="AL4322">
        <v>82.998847894813295</v>
      </c>
      <c r="AM4322">
        <v>91.131643407618597</v>
      </c>
      <c r="AN4322">
        <v>0.99999998747103402</v>
      </c>
    </row>
    <row r="4323" spans="1:40" x14ac:dyDescent="0.25">
      <c r="A4323" t="str">
        <f>"20190312164557351"</f>
        <v>20190312164557351</v>
      </c>
      <c r="B4323" t="str">
        <f>"1552380357345569"</f>
        <v>1552380357345569</v>
      </c>
      <c r="C4323" t="s">
        <v>40</v>
      </c>
      <c r="D4323">
        <v>4.8498429999999999</v>
      </c>
      <c r="E4323">
        <v>0.46169389999999999</v>
      </c>
      <c r="F4323" t="s">
        <v>42</v>
      </c>
      <c r="G4323">
        <v>-422.43669999999997</v>
      </c>
      <c r="H4323" s="1">
        <v>-1.4350269999999999E-6</v>
      </c>
      <c r="I4323">
        <v>101.25579999999999</v>
      </c>
      <c r="J4323">
        <v>-422.23970000000003</v>
      </c>
      <c r="K4323">
        <v>1.1129359999999999</v>
      </c>
      <c r="L4323">
        <v>117.5154</v>
      </c>
      <c r="M4323">
        <v>-0.14883950000000001</v>
      </c>
      <c r="N4323">
        <v>0</v>
      </c>
      <c r="O4323">
        <v>-0.98877380000000004</v>
      </c>
      <c r="P4323">
        <v>-0.13737839999999901</v>
      </c>
      <c r="Q4323">
        <v>0.10802580000000001</v>
      </c>
      <c r="R4323">
        <v>-0.9846106</v>
      </c>
      <c r="S4323">
        <v>-4.196167E-2</v>
      </c>
      <c r="T4323">
        <v>-0.20678830000000001</v>
      </c>
      <c r="U4323">
        <v>-3.063644</v>
      </c>
      <c r="V4323">
        <v>-1.1905779999999999E-2</v>
      </c>
      <c r="W4323">
        <v>0.1209943</v>
      </c>
      <c r="X4323">
        <v>0.99258179999999996</v>
      </c>
      <c r="Y4323">
        <v>-0.13532420000000001</v>
      </c>
      <c r="Z4323">
        <v>6.5907370000000007E-2</v>
      </c>
      <c r="AA4323">
        <v>0.98860689999999996</v>
      </c>
      <c r="AB4323">
        <v>24</v>
      </c>
      <c r="AC4323">
        <v>-0.196999999999945</v>
      </c>
      <c r="AD4323">
        <v>-1.112937435027</v>
      </c>
      <c r="AE4323">
        <v>-16.259599999999999</v>
      </c>
      <c r="AF4323">
        <v>-2.2150984984431599</v>
      </c>
      <c r="AG4323">
        <v>-1.112937435027</v>
      </c>
      <c r="AH4323">
        <v>16.032678476132102</v>
      </c>
      <c r="AI4323">
        <v>93.933672658473299</v>
      </c>
      <c r="AJ4323">
        <v>97.866269636465503</v>
      </c>
      <c r="AK4323">
        <v>16.223195437740301</v>
      </c>
      <c r="AL4323">
        <v>83.0505100744288</v>
      </c>
      <c r="AM4323">
        <v>90.687216140757101</v>
      </c>
      <c r="AN4323">
        <v>0.99999999896056901</v>
      </c>
    </row>
    <row r="4324" spans="1:40" x14ac:dyDescent="0.25">
      <c r="A4324" t="str">
        <f>"20190312164557373"</f>
        <v>20190312164557373</v>
      </c>
      <c r="B4324" t="str">
        <f>"1552380357366061"</f>
        <v>1552380357366061</v>
      </c>
      <c r="C4324" t="s">
        <v>40</v>
      </c>
      <c r="D4324">
        <v>4.7505259999999998</v>
      </c>
      <c r="E4324">
        <v>0.46154469999999997</v>
      </c>
      <c r="F4324" t="s">
        <v>42</v>
      </c>
      <c r="G4324">
        <v>-422.49869999999999</v>
      </c>
      <c r="H4324" s="1">
        <v>-1.5110480000000001E-6</v>
      </c>
      <c r="I4324">
        <v>101.3818</v>
      </c>
      <c r="J4324">
        <v>-422.26850000000002</v>
      </c>
      <c r="K4324">
        <v>1.1128129999999901</v>
      </c>
      <c r="L4324">
        <v>117.27589999999999</v>
      </c>
      <c r="M4324">
        <v>-0.1426605</v>
      </c>
      <c r="N4324">
        <v>0</v>
      </c>
      <c r="O4324">
        <v>-0.98968500000000004</v>
      </c>
      <c r="P4324">
        <v>-0.13896</v>
      </c>
      <c r="Q4324">
        <v>0.10775750000000001</v>
      </c>
      <c r="R4324">
        <v>-0.98441800000000002</v>
      </c>
      <c r="S4324">
        <v>-4.9163819999999997E-2</v>
      </c>
      <c r="T4324">
        <v>-0.21130760000000001</v>
      </c>
      <c r="U4324">
        <v>-3.0632169999999999</v>
      </c>
      <c r="V4324">
        <v>-4.0658780000000002E-3</v>
      </c>
      <c r="W4324">
        <v>0.1207448</v>
      </c>
      <c r="X4324">
        <v>0.99267519999999998</v>
      </c>
      <c r="Y4324">
        <v>-0.12680649999999999</v>
      </c>
      <c r="Z4324">
        <v>6.7481929999999996E-2</v>
      </c>
      <c r="AA4324">
        <v>0.98962939999999999</v>
      </c>
      <c r="AB4324">
        <v>24</v>
      </c>
      <c r="AC4324">
        <v>-0.23019999999996801</v>
      </c>
      <c r="AD4324">
        <v>-1.1128145110480001</v>
      </c>
      <c r="AE4324">
        <v>-15.8940999999999</v>
      </c>
      <c r="AF4324">
        <v>-2.0298614688095098</v>
      </c>
      <c r="AG4324">
        <v>-1.1128145110480001</v>
      </c>
      <c r="AH4324">
        <v>15.687461432702399</v>
      </c>
      <c r="AI4324">
        <v>94.024132438463099</v>
      </c>
      <c r="AJ4324">
        <v>97.372758399881505</v>
      </c>
      <c r="AK4324">
        <v>15.857337100569</v>
      </c>
      <c r="AL4324">
        <v>83.064910579635296</v>
      </c>
      <c r="AM4324">
        <v>90.234675296321697</v>
      </c>
      <c r="AN4324">
        <v>0.99999994539299297</v>
      </c>
    </row>
    <row r="4325" spans="1:40" x14ac:dyDescent="0.25">
      <c r="A4325" t="str">
        <f>"20190312164557395"</f>
        <v>20190312164557395</v>
      </c>
      <c r="B4325" t="str">
        <f>"1552380357385581"</f>
        <v>1552380357385581</v>
      </c>
      <c r="C4325" t="s">
        <v>40</v>
      </c>
      <c r="D4325">
        <v>4.9691989999999997</v>
      </c>
      <c r="E4325">
        <v>0.46107480000000001</v>
      </c>
      <c r="F4325" t="s">
        <v>42</v>
      </c>
      <c r="G4325">
        <v>-422.52760000000001</v>
      </c>
      <c r="H4325" s="1">
        <v>-1.6579029999999999E-6</v>
      </c>
      <c r="I4325">
        <v>101.67610000000001</v>
      </c>
      <c r="J4325">
        <v>-422.29500000000002</v>
      </c>
      <c r="K4325">
        <v>1.1127</v>
      </c>
      <c r="L4325">
        <v>117.04470000000001</v>
      </c>
      <c r="M4325">
        <v>-0.13682730000000001</v>
      </c>
      <c r="N4325">
        <v>0</v>
      </c>
      <c r="O4325">
        <v>-0.99050899999999997</v>
      </c>
      <c r="P4325">
        <v>-0.1413075</v>
      </c>
      <c r="Q4325">
        <v>0.107485</v>
      </c>
      <c r="R4325">
        <v>-0.98411349999999997</v>
      </c>
      <c r="S4325">
        <v>-5.0903320000000002E-2</v>
      </c>
      <c r="T4325">
        <v>-0.21858730000000001</v>
      </c>
      <c r="U4325">
        <v>-3.0642239999999998</v>
      </c>
      <c r="V4325">
        <v>4.1928060000000003E-3</v>
      </c>
      <c r="W4325">
        <v>0.120493</v>
      </c>
      <c r="X4325">
        <v>0.99270530000000001</v>
      </c>
      <c r="Y4325">
        <v>-0.1204062</v>
      </c>
      <c r="Z4325">
        <v>6.9888169999999999E-2</v>
      </c>
      <c r="AA4325">
        <v>0.99026159999999996</v>
      </c>
      <c r="AB4325">
        <v>24</v>
      </c>
      <c r="AC4325">
        <v>-0.23259999999999001</v>
      </c>
      <c r="AD4325">
        <v>-1.112701657903</v>
      </c>
      <c r="AE4325">
        <v>-15.368600000000001</v>
      </c>
      <c r="AF4325">
        <v>-1.8628483940118601</v>
      </c>
      <c r="AG4325">
        <v>-1.112701657903</v>
      </c>
      <c r="AH4325">
        <v>15.1763264693293</v>
      </c>
      <c r="AI4325">
        <v>94.162195756051304</v>
      </c>
      <c r="AJ4325">
        <v>96.997879310105205</v>
      </c>
      <c r="AK4325">
        <v>15.3306618977211</v>
      </c>
      <c r="AL4325">
        <v>83.079443990583897</v>
      </c>
      <c r="AM4325">
        <v>89.758006067208797</v>
      </c>
      <c r="AN4325">
        <v>0.99999997765962101</v>
      </c>
    </row>
    <row r="4326" spans="1:40" x14ac:dyDescent="0.25">
      <c r="A4326" t="str">
        <f>"20190312164557417"</f>
        <v>20190312164557417</v>
      </c>
      <c r="B4326" t="str">
        <f>"1552380357406078"</f>
        <v>1552380357406078</v>
      </c>
      <c r="C4326" t="s">
        <v>40</v>
      </c>
      <c r="D4326">
        <v>4.8331549999999996</v>
      </c>
      <c r="E4326">
        <v>0.46115089999999997</v>
      </c>
      <c r="F4326" t="s">
        <v>42</v>
      </c>
      <c r="G4326">
        <v>-422.55720000000002</v>
      </c>
      <c r="H4326" s="1">
        <v>-1.7491910000000001E-6</v>
      </c>
      <c r="I4326">
        <v>101.8526</v>
      </c>
      <c r="J4326">
        <v>-422.32060000000001</v>
      </c>
      <c r="K4326">
        <v>1.1125940000000001</v>
      </c>
      <c r="L4326">
        <v>116.8108</v>
      </c>
      <c r="M4326">
        <v>-0.13107579999999999</v>
      </c>
      <c r="N4326">
        <v>0</v>
      </c>
      <c r="O4326">
        <v>-0.99128729999999998</v>
      </c>
      <c r="P4326">
        <v>-0.14348369999999999</v>
      </c>
      <c r="Q4326">
        <v>0.10795639999999899</v>
      </c>
      <c r="R4326">
        <v>-0.98374709999999999</v>
      </c>
      <c r="S4326">
        <v>-5.2917480000000003E-2</v>
      </c>
      <c r="T4326">
        <v>-0.22451270000000001</v>
      </c>
      <c r="U4326">
        <v>-3.065353</v>
      </c>
      <c r="V4326">
        <v>1.2195040000000001E-2</v>
      </c>
      <c r="W4326">
        <v>0.12097629999999999</v>
      </c>
      <c r="X4326">
        <v>0.99258049999999998</v>
      </c>
      <c r="Y4326">
        <v>-0.11399960000000001</v>
      </c>
      <c r="Z4326">
        <v>7.1858759999999994E-2</v>
      </c>
      <c r="AA4326">
        <v>0.99087860000000005</v>
      </c>
      <c r="AB4326">
        <v>24</v>
      </c>
      <c r="AC4326">
        <v>-0.236600000000009</v>
      </c>
      <c r="AD4326">
        <v>-1.1125957491909999</v>
      </c>
      <c r="AE4326">
        <v>-14.9582</v>
      </c>
      <c r="AF4326">
        <v>-1.71676947148239</v>
      </c>
      <c r="AG4326">
        <v>-1.1125957491909999</v>
      </c>
      <c r="AH4326">
        <v>14.7783991178968</v>
      </c>
      <c r="AI4326">
        <v>94.276753592628296</v>
      </c>
      <c r="AJ4326">
        <v>96.626206540286901</v>
      </c>
      <c r="AK4326">
        <v>14.919324623024499</v>
      </c>
      <c r="AL4326">
        <v>83.051549153291006</v>
      </c>
      <c r="AM4326">
        <v>89.296088157537397</v>
      </c>
      <c r="AN4326">
        <v>1.0000000165712699</v>
      </c>
    </row>
    <row r="4327" spans="1:40" x14ac:dyDescent="0.25">
      <c r="A4327" t="str">
        <f>"20190312164557441"</f>
        <v>20190312164557441</v>
      </c>
      <c r="B4327" t="str">
        <f>"1552380357436334"</f>
        <v>1552380357436334</v>
      </c>
      <c r="C4327" t="s">
        <v>40</v>
      </c>
      <c r="D4327">
        <v>4.8499610000000004</v>
      </c>
      <c r="E4327">
        <v>0.4612057</v>
      </c>
      <c r="F4327" t="s">
        <v>42</v>
      </c>
      <c r="G4327">
        <v>-422.63810000000001</v>
      </c>
      <c r="H4327" s="1">
        <v>-1.184622E-6</v>
      </c>
      <c r="I4327">
        <v>100.61279999999999</v>
      </c>
      <c r="J4327">
        <v>-422.34609999999998</v>
      </c>
      <c r="K4327">
        <v>1.1124799999999999</v>
      </c>
      <c r="L4327">
        <v>116.5663</v>
      </c>
      <c r="M4327">
        <v>-0.12525359999999999</v>
      </c>
      <c r="N4327">
        <v>0</v>
      </c>
      <c r="O4327">
        <v>-0.99204060000000005</v>
      </c>
      <c r="P4327">
        <v>-0.14546899999999999</v>
      </c>
      <c r="Q4327">
        <v>0.1081199</v>
      </c>
      <c r="R4327">
        <v>-0.98343749999999996</v>
      </c>
      <c r="S4327">
        <v>-6.0058590000000002E-2</v>
      </c>
      <c r="T4327">
        <v>-0.2104492</v>
      </c>
      <c r="U4327">
        <v>-3.0638890000000001</v>
      </c>
      <c r="V4327">
        <v>2.0070290000000001E-2</v>
      </c>
      <c r="W4327">
        <v>0.121142899999999</v>
      </c>
      <c r="X4327">
        <v>0.99243219999999999</v>
      </c>
      <c r="Y4327">
        <v>-0.1058403</v>
      </c>
      <c r="Z4327">
        <v>6.7518060000000005E-2</v>
      </c>
      <c r="AA4327">
        <v>0.99208830000000003</v>
      </c>
      <c r="AB4327">
        <v>24</v>
      </c>
      <c r="AC4327">
        <v>-0.29200000000003001</v>
      </c>
      <c r="AD4327">
        <v>-1.112481184622</v>
      </c>
      <c r="AE4327">
        <v>-15.9535</v>
      </c>
      <c r="AF4327">
        <v>-1.7004342659565901</v>
      </c>
      <c r="AG4327">
        <v>-1.112481184622</v>
      </c>
      <c r="AH4327">
        <v>15.787674076343</v>
      </c>
      <c r="AI4327">
        <v>94.0075923777501</v>
      </c>
      <c r="AJ4327">
        <v>96.147426438776506</v>
      </c>
      <c r="AK4327">
        <v>15.917906389340599</v>
      </c>
      <c r="AL4327">
        <v>83.041933151760603</v>
      </c>
      <c r="AM4327">
        <v>88.841446116013401</v>
      </c>
      <c r="AN4327">
        <v>1.0000000451789599</v>
      </c>
    </row>
    <row r="4328" spans="1:40" x14ac:dyDescent="0.25">
      <c r="A4328" t="str">
        <f>"20190312164557453"</f>
        <v>20190312164557453</v>
      </c>
      <c r="B4328" t="str">
        <f>"1552380357446094"</f>
        <v>1552380357446094</v>
      </c>
      <c r="C4328" t="s">
        <v>40</v>
      </c>
      <c r="D4328">
        <v>4.7291420000000004</v>
      </c>
      <c r="E4328">
        <v>0.46109729999999999</v>
      </c>
      <c r="F4328" t="s">
        <v>42</v>
      </c>
      <c r="G4328">
        <v>-422.71809999999999</v>
      </c>
      <c r="H4328" s="1">
        <v>-4.7465280000000001E-6</v>
      </c>
      <c r="I4328">
        <v>99.517859999999999</v>
      </c>
      <c r="J4328">
        <v>-422.36079999999998</v>
      </c>
      <c r="K4328">
        <v>1.112406</v>
      </c>
      <c r="L4328">
        <v>116.4195</v>
      </c>
      <c r="M4328">
        <v>-0.12185120000000001</v>
      </c>
      <c r="N4328">
        <v>0</v>
      </c>
      <c r="O4328">
        <v>-0.99246480000000004</v>
      </c>
      <c r="P4328">
        <v>-0.14598079999999999</v>
      </c>
      <c r="Q4328">
        <v>0.1080585</v>
      </c>
      <c r="R4328">
        <v>-0.98336849999999998</v>
      </c>
      <c r="S4328">
        <v>-6.6833500000000004E-2</v>
      </c>
      <c r="T4328">
        <v>-0.1998489</v>
      </c>
      <c r="U4328">
        <v>-3.0626220000000002</v>
      </c>
      <c r="V4328">
        <v>2.4015580000000002E-2</v>
      </c>
      <c r="W4328">
        <v>0.12107329999999999</v>
      </c>
      <c r="X4328">
        <v>0.99235300000000004</v>
      </c>
      <c r="Y4328">
        <v>-0.10022250000000001</v>
      </c>
      <c r="Z4328">
        <v>6.4217140000000006E-2</v>
      </c>
      <c r="AA4328">
        <v>0.99289050000000001</v>
      </c>
      <c r="AB4328">
        <v>24</v>
      </c>
      <c r="AC4328">
        <v>-0.357300000000009</v>
      </c>
      <c r="AD4328">
        <v>-1.112410746528</v>
      </c>
      <c r="AE4328">
        <v>-16.90164</v>
      </c>
      <c r="AF4328">
        <v>-1.69766813912021</v>
      </c>
      <c r="AG4328">
        <v>-1.112410746528</v>
      </c>
      <c r="AH4328">
        <v>16.7467037790245</v>
      </c>
      <c r="AI4328">
        <v>93.781005166608793</v>
      </c>
      <c r="AJ4328">
        <v>95.788486090229199</v>
      </c>
      <c r="AK4328">
        <v>16.869250790772199</v>
      </c>
      <c r="AL4328">
        <v>83.045950083070693</v>
      </c>
      <c r="AM4328">
        <v>88.613675935082597</v>
      </c>
      <c r="AN4328">
        <v>0.99999998433231296</v>
      </c>
    </row>
    <row r="4329" spans="1:40" x14ac:dyDescent="0.25">
      <c r="A4329" t="str">
        <f>"20190312164557468"</f>
        <v>20190312164557468</v>
      </c>
      <c r="B4329" t="str">
        <f>"1552380357455855"</f>
        <v>1552380357455855</v>
      </c>
      <c r="C4329" t="s">
        <v>40</v>
      </c>
      <c r="D4329">
        <v>4.7423489999999999</v>
      </c>
      <c r="E4329">
        <v>0.46087600000000001</v>
      </c>
      <c r="F4329" t="s">
        <v>42</v>
      </c>
      <c r="G4329">
        <v>-422.74189999999999</v>
      </c>
      <c r="H4329" s="1">
        <v>-4.621717E-6</v>
      </c>
      <c r="I4329">
        <v>99.138710000000003</v>
      </c>
      <c r="J4329">
        <v>-422.37520000000001</v>
      </c>
      <c r="K4329">
        <v>1.11232999999999</v>
      </c>
      <c r="L4329">
        <v>116.2724</v>
      </c>
      <c r="M4329">
        <v>-0.1185108</v>
      </c>
      <c r="N4329">
        <v>0</v>
      </c>
      <c r="O4329">
        <v>-0.99286940000000001</v>
      </c>
      <c r="P4329">
        <v>-0.1469017</v>
      </c>
      <c r="Q4329">
        <v>0.108146699999999</v>
      </c>
      <c r="R4329">
        <v>-0.98322140000000002</v>
      </c>
      <c r="S4329">
        <v>-6.7535399999999995E-2</v>
      </c>
      <c r="T4329">
        <v>-0.1971339</v>
      </c>
      <c r="U4329">
        <v>-3.0623779999999998</v>
      </c>
      <c r="V4329">
        <v>2.8312449999999999E-2</v>
      </c>
      <c r="W4329">
        <v>0.1211547</v>
      </c>
      <c r="X4329">
        <v>0.99222980000000005</v>
      </c>
      <c r="Y4329">
        <v>-9.6643430000000002E-2</v>
      </c>
      <c r="Z4329">
        <v>6.3403490000000007E-2</v>
      </c>
      <c r="AA4329">
        <v>0.9932976</v>
      </c>
      <c r="AB4329">
        <v>24</v>
      </c>
      <c r="AC4329">
        <v>-0.36669999999997999</v>
      </c>
      <c r="AD4329">
        <v>-1.11233462171699</v>
      </c>
      <c r="AE4329">
        <v>-17.133689999999898</v>
      </c>
      <c r="AF4329">
        <v>-1.65958854791035</v>
      </c>
      <c r="AG4329">
        <v>-1.11233462171699</v>
      </c>
      <c r="AH4329">
        <v>16.984832677504901</v>
      </c>
      <c r="AI4329">
        <v>93.729233741322204</v>
      </c>
      <c r="AJ4329">
        <v>95.5806574743185</v>
      </c>
      <c r="AK4329">
        <v>17.101931573417801</v>
      </c>
      <c r="AL4329">
        <v>83.041251841327195</v>
      </c>
      <c r="AM4329">
        <v>88.365556197109896</v>
      </c>
      <c r="AN4329">
        <v>1.00000001608256</v>
      </c>
    </row>
    <row r="4330" spans="1:40" x14ac:dyDescent="0.25">
      <c r="A4330" t="str">
        <f>"20190312164557485"</f>
        <v>20190312164557485</v>
      </c>
      <c r="B4330" t="str">
        <f>"1552380357476350"</f>
        <v>1552380357476350</v>
      </c>
      <c r="C4330" t="s">
        <v>40</v>
      </c>
      <c r="D4330">
        <v>4.7318220000000002</v>
      </c>
      <c r="E4330">
        <v>0.4530517</v>
      </c>
      <c r="F4330" t="s">
        <v>42</v>
      </c>
      <c r="G4330">
        <v>-422.76900000000001</v>
      </c>
      <c r="H4330" s="1">
        <v>-4.4905270000000001E-6</v>
      </c>
      <c r="I4330">
        <v>98.739040000000003</v>
      </c>
      <c r="J4330">
        <v>-422.39170000000001</v>
      </c>
      <c r="K4330">
        <v>1.112231</v>
      </c>
      <c r="L4330">
        <v>116.0963</v>
      </c>
      <c r="M4330">
        <v>-0.11463429999999999</v>
      </c>
      <c r="N4330">
        <v>0</v>
      </c>
      <c r="O4330">
        <v>-0.99332520000000002</v>
      </c>
      <c r="P4330">
        <v>-0.15146299999999999</v>
      </c>
      <c r="Q4330">
        <v>0.10756309999999999</v>
      </c>
      <c r="R4330">
        <v>-0.98259280000000004</v>
      </c>
      <c r="S4330">
        <v>-6.8786620000000007E-2</v>
      </c>
      <c r="T4330">
        <v>-0.19427440000000001</v>
      </c>
      <c r="U4330">
        <v>-3.0622859999999998</v>
      </c>
      <c r="V4330">
        <v>3.6827150000000003E-2</v>
      </c>
      <c r="W4330">
        <v>0.12058530000000001</v>
      </c>
      <c r="X4330">
        <v>0.99201969999999995</v>
      </c>
      <c r="Y4330">
        <v>-9.2349760000000003E-2</v>
      </c>
      <c r="Z4330">
        <v>6.2545149999999994E-2</v>
      </c>
      <c r="AA4330">
        <v>0.99376030000000004</v>
      </c>
      <c r="AB4330">
        <v>24</v>
      </c>
      <c r="AC4330">
        <v>-0.37729999999999098</v>
      </c>
      <c r="AD4330">
        <v>-1.112235490527</v>
      </c>
      <c r="AE4330">
        <v>-17.357259999999901</v>
      </c>
      <c r="AF4330">
        <v>-1.6084867014811599</v>
      </c>
      <c r="AG4330">
        <v>-1.112235490527</v>
      </c>
      <c r="AH4330">
        <v>17.2154178997807</v>
      </c>
      <c r="AI4330">
        <v>93.680581592927993</v>
      </c>
      <c r="AJ4330">
        <v>95.337815245484904</v>
      </c>
      <c r="AK4330">
        <v>17.326133749897</v>
      </c>
      <c r="AL4330">
        <v>83.074117385102099</v>
      </c>
      <c r="AM4330">
        <v>87.873961825744004</v>
      </c>
      <c r="AN4330">
        <v>1.0000000693706399</v>
      </c>
    </row>
    <row r="4331" spans="1:40" x14ac:dyDescent="0.25">
      <c r="A4331" t="str">
        <f>"20190312164557507"</f>
        <v>20190312164557507</v>
      </c>
      <c r="B4331" t="str">
        <f>"1552380357495870"</f>
        <v>1552380357495870</v>
      </c>
      <c r="C4331" t="s">
        <v>40</v>
      </c>
      <c r="D4331">
        <v>4.7031869999999998</v>
      </c>
      <c r="E4331">
        <v>0.45094899999999999</v>
      </c>
      <c r="F4331" t="s">
        <v>42</v>
      </c>
      <c r="G4331">
        <v>-422.82060000000001</v>
      </c>
      <c r="H4331" s="1">
        <v>-3.2629550000000002E-6</v>
      </c>
      <c r="I4331">
        <v>75.445709999999906</v>
      </c>
      <c r="J4331">
        <v>-422.41320000000002</v>
      </c>
      <c r="K4331">
        <v>1.1120890000000001</v>
      </c>
      <c r="L4331">
        <v>115.8587</v>
      </c>
      <c r="M4331">
        <v>-0.1095627</v>
      </c>
      <c r="N4331">
        <v>0</v>
      </c>
      <c r="O4331">
        <v>-0.99389839999999996</v>
      </c>
      <c r="P4331">
        <v>-0.15502160000000001</v>
      </c>
      <c r="Q4331">
        <v>0.1071889</v>
      </c>
      <c r="R4331">
        <v>-0.98207900000000004</v>
      </c>
      <c r="S4331">
        <v>-3.225708E-2</v>
      </c>
      <c r="T4331">
        <v>-8.3651420000000004E-2</v>
      </c>
      <c r="U4331">
        <v>-3.0573429999999999</v>
      </c>
      <c r="V4331">
        <v>4.5534499999999999E-2</v>
      </c>
      <c r="W4331">
        <v>0.1201967</v>
      </c>
      <c r="X4331">
        <v>0.99170530000000001</v>
      </c>
      <c r="Y4331">
        <v>-9.9082710000000004E-2</v>
      </c>
      <c r="Z4331">
        <v>2.7035610000000002E-2</v>
      </c>
      <c r="AA4331">
        <v>0.99471189999999998</v>
      </c>
      <c r="AB4331">
        <v>24</v>
      </c>
      <c r="AC4331">
        <v>-0.40739999999999499</v>
      </c>
      <c r="AD4331">
        <v>-1.1120922629550001</v>
      </c>
      <c r="AE4331">
        <v>-40.412990000000001</v>
      </c>
      <c r="AF4331">
        <v>-4.0201240191286596</v>
      </c>
      <c r="AG4331">
        <v>-1.1120922629550001</v>
      </c>
      <c r="AH4331">
        <v>40.183872964621102</v>
      </c>
      <c r="AI4331">
        <v>91.577391047609893</v>
      </c>
      <c r="AJ4331">
        <v>95.7130448982046</v>
      </c>
      <c r="AK4331">
        <v>40.3997746623333</v>
      </c>
      <c r="AL4331">
        <v>83.096545309985402</v>
      </c>
      <c r="AM4331">
        <v>87.371090398170907</v>
      </c>
      <c r="AN4331">
        <v>1.0000000197146099</v>
      </c>
    </row>
    <row r="4332" spans="1:40" x14ac:dyDescent="0.25">
      <c r="A4332" t="str">
        <f>"20190312164557531"</f>
        <v>20190312164557531</v>
      </c>
      <c r="B4332" t="str">
        <f>"1552380357526125"</f>
        <v>1552380357526125</v>
      </c>
      <c r="C4332" t="s">
        <v>40</v>
      </c>
      <c r="D4332">
        <v>4.7960149999999997</v>
      </c>
      <c r="E4332">
        <v>0.4503009</v>
      </c>
      <c r="F4332" t="s">
        <v>42</v>
      </c>
      <c r="G4332">
        <v>-422.6223</v>
      </c>
      <c r="H4332" s="1">
        <v>-3.5186359999999998E-6</v>
      </c>
      <c r="I4332">
        <v>86.164689999999993</v>
      </c>
      <c r="J4332">
        <v>-422.4341</v>
      </c>
      <c r="K4332">
        <v>1.111934</v>
      </c>
      <c r="L4332">
        <v>115.6173</v>
      </c>
      <c r="M4332">
        <v>-0.1046261</v>
      </c>
      <c r="N4332">
        <v>0</v>
      </c>
      <c r="O4332">
        <v>-0.99443099999999995</v>
      </c>
      <c r="P4332">
        <v>-0.1590152</v>
      </c>
      <c r="Q4332">
        <v>0.107511</v>
      </c>
      <c r="R4332">
        <v>-0.98140499999999997</v>
      </c>
      <c r="S4332">
        <v>-2.157593E-2</v>
      </c>
      <c r="T4332">
        <v>-0.11474669999999999</v>
      </c>
      <c r="U4332">
        <v>-3.0638580000000002</v>
      </c>
      <c r="V4332">
        <v>5.4547470000000001E-2</v>
      </c>
      <c r="W4332">
        <v>0.1204973</v>
      </c>
      <c r="X4332">
        <v>0.99121389999999998</v>
      </c>
      <c r="Y4332">
        <v>-9.7633330000000004E-2</v>
      </c>
      <c r="Z4332">
        <v>3.7027560000000001E-2</v>
      </c>
      <c r="AA4332">
        <v>0.99453340000000001</v>
      </c>
      <c r="AB4332">
        <v>24</v>
      </c>
      <c r="AC4332">
        <v>-0.18819999999999401</v>
      </c>
      <c r="AD4332">
        <v>-1.1119375186360001</v>
      </c>
      <c r="AE4332">
        <v>-29.4526099999999</v>
      </c>
      <c r="AF4332">
        <v>-2.8904722230772699</v>
      </c>
      <c r="AG4332">
        <v>-1.1119375186360001</v>
      </c>
      <c r="AH4332">
        <v>29.268913404379202</v>
      </c>
      <c r="AI4332">
        <v>92.165120733852106</v>
      </c>
      <c r="AJ4332">
        <v>95.639997581575798</v>
      </c>
      <c r="AK4332">
        <v>29.432304133227099</v>
      </c>
      <c r="AL4332">
        <v>83.079196040054796</v>
      </c>
      <c r="AM4332">
        <v>86.850134366375002</v>
      </c>
      <c r="AN4332">
        <v>1.00000001067195</v>
      </c>
    </row>
    <row r="4333" spans="1:40" x14ac:dyDescent="0.25">
      <c r="A4333" t="str">
        <f>"20190312164557553"</f>
        <v>20190312164557553</v>
      </c>
      <c r="B4333" t="str">
        <f>"1552380357545645"</f>
        <v>1552380357545645</v>
      </c>
      <c r="C4333" t="s">
        <v>40</v>
      </c>
      <c r="D4333">
        <v>4.6939060000000001</v>
      </c>
      <c r="E4333">
        <v>0.44909019999999999</v>
      </c>
      <c r="F4333" t="s">
        <v>42</v>
      </c>
      <c r="G4333">
        <v>-422.77109999999999</v>
      </c>
      <c r="H4333" s="1">
        <v>-1.4008749999999999E-6</v>
      </c>
      <c r="I4333">
        <v>81.135850000000005</v>
      </c>
      <c r="J4333">
        <v>-422.4538</v>
      </c>
      <c r="K4333">
        <v>1.1117950000000001</v>
      </c>
      <c r="L4333">
        <v>115.3763</v>
      </c>
      <c r="M4333">
        <v>-9.9906910000000002E-2</v>
      </c>
      <c r="N4333">
        <v>0</v>
      </c>
      <c r="O4333">
        <v>-0.99491689999999999</v>
      </c>
      <c r="P4333">
        <v>-0.16301689999999999</v>
      </c>
      <c r="Q4333">
        <v>0.1078242</v>
      </c>
      <c r="R4333">
        <v>-0.98071370000000002</v>
      </c>
      <c r="S4333">
        <v>-2.9937740000000001E-2</v>
      </c>
      <c r="T4333">
        <v>-9.8767759999999996E-2</v>
      </c>
      <c r="U4333">
        <v>-3.0628199999999999</v>
      </c>
      <c r="V4333">
        <v>6.3344839999999999E-2</v>
      </c>
      <c r="W4333">
        <v>0.12078270000000001</v>
      </c>
      <c r="X4333">
        <v>0.99065579999999998</v>
      </c>
      <c r="Y4333">
        <v>-9.0189809999999995E-2</v>
      </c>
      <c r="Z4333">
        <v>3.1922300000000001E-2</v>
      </c>
      <c r="AA4333">
        <v>0.99541290000000004</v>
      </c>
      <c r="AB4333">
        <v>24</v>
      </c>
      <c r="AC4333">
        <v>-0.31729999999998798</v>
      </c>
      <c r="AD4333">
        <v>-1.1117964008750001</v>
      </c>
      <c r="AE4333">
        <v>-34.240450000000003</v>
      </c>
      <c r="AF4333">
        <v>-3.10214690193978</v>
      </c>
      <c r="AG4333">
        <v>-1.1117964008750001</v>
      </c>
      <c r="AH4333">
        <v>34.064901313422197</v>
      </c>
      <c r="AI4333">
        <v>91.861634946842997</v>
      </c>
      <c r="AJ4333">
        <v>95.203332973883306</v>
      </c>
      <c r="AK4333">
        <v>34.223923038298899</v>
      </c>
      <c r="AL4333">
        <v>83.062723243178894</v>
      </c>
      <c r="AM4333">
        <v>86.341355209797996</v>
      </c>
      <c r="AN4333">
        <v>0.99999997172377697</v>
      </c>
    </row>
    <row r="4334" spans="1:40" x14ac:dyDescent="0.25">
      <c r="A4334" t="str">
        <f>"20190312164557573"</f>
        <v>20190312164557573</v>
      </c>
      <c r="B4334" t="str">
        <f>"1552380357566141"</f>
        <v>1552380357566141</v>
      </c>
      <c r="C4334" t="s">
        <v>40</v>
      </c>
      <c r="D4334">
        <v>4.6780249999999999</v>
      </c>
      <c r="E4334">
        <v>0.44864589999999999</v>
      </c>
      <c r="F4334" t="s">
        <v>42</v>
      </c>
      <c r="G4334">
        <v>-422.76530000000002</v>
      </c>
      <c r="H4334" s="1">
        <v>-2.67786E-6</v>
      </c>
      <c r="I4334">
        <v>84.116150000000005</v>
      </c>
      <c r="J4334">
        <v>-422.47149999999999</v>
      </c>
      <c r="K4334">
        <v>1.111683</v>
      </c>
      <c r="L4334">
        <v>115.15130000000001</v>
      </c>
      <c r="M4334">
        <v>-9.56428E-2</v>
      </c>
      <c r="N4334">
        <v>0</v>
      </c>
      <c r="O4334">
        <v>-0.99533669999999996</v>
      </c>
      <c r="P4334">
        <v>-0.16721759999999999</v>
      </c>
      <c r="Q4334">
        <v>0.1079982</v>
      </c>
      <c r="R4334">
        <v>-0.97998739999999995</v>
      </c>
      <c r="S4334">
        <v>-3.0548100000000002E-2</v>
      </c>
      <c r="T4334">
        <v>-0.10904170000000001</v>
      </c>
      <c r="U4334">
        <v>-3.065903</v>
      </c>
      <c r="V4334">
        <v>7.1876060000000006E-2</v>
      </c>
      <c r="W4334">
        <v>0.12093279999999999</v>
      </c>
      <c r="X4334">
        <v>0.99005509999999997</v>
      </c>
      <c r="Y4334">
        <v>-8.5734030000000003E-2</v>
      </c>
      <c r="Z4334">
        <v>3.523279E-2</v>
      </c>
      <c r="AA4334">
        <v>0.99569490000000005</v>
      </c>
      <c r="AB4334">
        <v>24</v>
      </c>
      <c r="AC4334">
        <v>-0.29380000000003198</v>
      </c>
      <c r="AD4334">
        <v>-1.1116856778599999</v>
      </c>
      <c r="AE4334">
        <v>-31.035150000000002</v>
      </c>
      <c r="AF4334">
        <v>-2.6726402899313499</v>
      </c>
      <c r="AG4334">
        <v>-1.1116856778599999</v>
      </c>
      <c r="AH4334">
        <v>30.881335889057599</v>
      </c>
      <c r="AI4334">
        <v>92.054007679910399</v>
      </c>
      <c r="AJ4334">
        <v>94.946366150730697</v>
      </c>
      <c r="AK4334">
        <v>31.016701266551902</v>
      </c>
      <c r="AL4334">
        <v>83.054059877094105</v>
      </c>
      <c r="AM4334">
        <v>85.847723292496994</v>
      </c>
      <c r="AN4334">
        <v>1.0000000055764799</v>
      </c>
    </row>
    <row r="4335" spans="1:40" x14ac:dyDescent="0.25">
      <c r="A4335" t="str">
        <f>"20190312164557587"</f>
        <v>20190312164557587</v>
      </c>
      <c r="B4335" t="str">
        <f>"1552380357575902"</f>
        <v>1552380357575902</v>
      </c>
      <c r="C4335" t="s">
        <v>40</v>
      </c>
      <c r="D4335">
        <v>4.653969</v>
      </c>
      <c r="E4335">
        <v>0.44813310000000001</v>
      </c>
      <c r="F4335" t="s">
        <v>42</v>
      </c>
      <c r="G4335">
        <v>-422.8655</v>
      </c>
      <c r="H4335" s="1">
        <v>-2.6011010000000002E-6</v>
      </c>
      <c r="I4335">
        <v>83.875059999999905</v>
      </c>
      <c r="J4335">
        <v>-422.48289999999997</v>
      </c>
      <c r="K4335">
        <v>1.1116220000000001</v>
      </c>
      <c r="L4335">
        <v>114.9997</v>
      </c>
      <c r="M4335">
        <v>-9.2834739999999999E-2</v>
      </c>
      <c r="N4335">
        <v>0</v>
      </c>
      <c r="O4335">
        <v>-0.99560329999999997</v>
      </c>
      <c r="P4335">
        <v>-0.16886099999999901</v>
      </c>
      <c r="Q4335">
        <v>0.1079053</v>
      </c>
      <c r="R4335">
        <v>-0.97971580000000003</v>
      </c>
      <c r="S4335">
        <v>-3.8635250000000003E-2</v>
      </c>
      <c r="T4335">
        <v>-0.10900310000000001</v>
      </c>
      <c r="U4335">
        <v>-3.0666959999999999</v>
      </c>
      <c r="V4335">
        <v>7.6352569999999995E-2</v>
      </c>
      <c r="W4335">
        <v>0.1208154</v>
      </c>
      <c r="X4335">
        <v>0.98973429999999996</v>
      </c>
      <c r="Y4335">
        <v>-8.0299460000000003E-2</v>
      </c>
      <c r="Z4335">
        <v>3.5232920000000001E-2</v>
      </c>
      <c r="AA4335">
        <v>0.99614789999999998</v>
      </c>
      <c r="AB4335">
        <v>24</v>
      </c>
      <c r="AC4335">
        <v>-0.38260000000002398</v>
      </c>
      <c r="AD4335">
        <v>-1.11162460110099</v>
      </c>
      <c r="AE4335">
        <v>-31.124639999999999</v>
      </c>
      <c r="AF4335">
        <v>-2.5055299312999901</v>
      </c>
      <c r="AG4335">
        <v>-1.11162460110099</v>
      </c>
      <c r="AH4335">
        <v>30.986210144851501</v>
      </c>
      <c r="AI4335">
        <v>92.047916173770702</v>
      </c>
      <c r="AJ4335">
        <v>94.6228513264371</v>
      </c>
      <c r="AK4335">
        <v>31.107211521306699</v>
      </c>
      <c r="AL4335">
        <v>83.060836257556502</v>
      </c>
      <c r="AM4335">
        <v>85.588682170595405</v>
      </c>
      <c r="AN4335">
        <v>1.0000000302096199</v>
      </c>
    </row>
    <row r="4336" spans="1:40" x14ac:dyDescent="0.25">
      <c r="A4336" t="str">
        <f>"20190312164557608"</f>
        <v>20190312164557608</v>
      </c>
      <c r="B4336" t="str">
        <f>"1552380357596398"</f>
        <v>1552380357596398</v>
      </c>
      <c r="C4336" t="s">
        <v>40</v>
      </c>
      <c r="D4336">
        <v>4.6766529999999999</v>
      </c>
      <c r="E4336">
        <v>0.44759090000000001</v>
      </c>
      <c r="F4336" t="s">
        <v>42</v>
      </c>
      <c r="G4336">
        <v>-422.88470000000001</v>
      </c>
      <c r="H4336" s="1">
        <v>-2.6644389999999999E-6</v>
      </c>
      <c r="I4336">
        <v>84.010829999999999</v>
      </c>
      <c r="J4336">
        <v>-422.49790000000002</v>
      </c>
      <c r="K4336">
        <v>1.11154</v>
      </c>
      <c r="L4336">
        <v>114.79430000000001</v>
      </c>
      <c r="M4336">
        <v>-8.9141020000000001E-2</v>
      </c>
      <c r="N4336">
        <v>0</v>
      </c>
      <c r="O4336">
        <v>-0.99594150000000004</v>
      </c>
      <c r="P4336">
        <v>-0.17306550000000001</v>
      </c>
      <c r="Q4336">
        <v>0.10813</v>
      </c>
      <c r="R4336">
        <v>-0.97895690000000002</v>
      </c>
      <c r="S4336">
        <v>-3.9764399999999998E-2</v>
      </c>
      <c r="T4336">
        <v>-0.1100324</v>
      </c>
      <c r="U4336">
        <v>-3.067383</v>
      </c>
      <c r="V4336">
        <v>8.4303509999999998E-2</v>
      </c>
      <c r="W4336">
        <v>0.1210132</v>
      </c>
      <c r="X4336">
        <v>0.98906459999999996</v>
      </c>
      <c r="Y4336">
        <v>-7.6237650000000004E-2</v>
      </c>
      <c r="Z4336">
        <v>3.5581040000000001E-2</v>
      </c>
      <c r="AA4336">
        <v>0.99645459999999997</v>
      </c>
      <c r="AB4336">
        <v>24</v>
      </c>
      <c r="AC4336">
        <v>-0.38679999999999298</v>
      </c>
      <c r="AD4336">
        <v>-1.1115426644390001</v>
      </c>
      <c r="AE4336">
        <v>-30.783470000000001</v>
      </c>
      <c r="AF4336">
        <v>-2.3559506276383999</v>
      </c>
      <c r="AG4336">
        <v>-1.1115426644390001</v>
      </c>
      <c r="AH4336">
        <v>30.655422122237098</v>
      </c>
      <c r="AI4336">
        <v>92.070492183851599</v>
      </c>
      <c r="AJ4336">
        <v>94.394694277075104</v>
      </c>
      <c r="AK4336">
        <v>30.765905414066399</v>
      </c>
      <c r="AL4336">
        <v>83.049419382792607</v>
      </c>
      <c r="AM4336">
        <v>85.128135557557997</v>
      </c>
      <c r="AN4336">
        <v>1.00000002967285</v>
      </c>
    </row>
    <row r="4337" spans="1:40" x14ac:dyDescent="0.25">
      <c r="A4337" t="str">
        <f>"20190312164557630"</f>
        <v>20190312164557630</v>
      </c>
      <c r="B4337" t="str">
        <f>"1552380357625677"</f>
        <v>1552380357625677</v>
      </c>
      <c r="C4337" t="s">
        <v>40</v>
      </c>
      <c r="D4337">
        <v>4.6602300000000003</v>
      </c>
      <c r="E4337">
        <v>0.44696170000000002</v>
      </c>
      <c r="F4337" t="s">
        <v>42</v>
      </c>
      <c r="G4337">
        <v>-422.96519999999998</v>
      </c>
      <c r="H4337" s="1">
        <v>-3.1642999999999999E-6</v>
      </c>
      <c r="I4337">
        <v>85.126059999999995</v>
      </c>
      <c r="J4337">
        <v>-422.51409999999998</v>
      </c>
      <c r="K4337">
        <v>1.1114459999999999</v>
      </c>
      <c r="L4337">
        <v>114.5594</v>
      </c>
      <c r="M4337">
        <v>-8.5048609999999997E-2</v>
      </c>
      <c r="N4337">
        <v>0</v>
      </c>
      <c r="O4337">
        <v>-0.99630019999999997</v>
      </c>
      <c r="P4337">
        <v>-0.1766886</v>
      </c>
      <c r="Q4337">
        <v>0.10741149999999999</v>
      </c>
      <c r="R4337">
        <v>-0.97838879999999995</v>
      </c>
      <c r="S4337">
        <v>-4.8339840000000002E-2</v>
      </c>
      <c r="T4337">
        <v>-0.1149694</v>
      </c>
      <c r="U4337">
        <v>-3.0686490000000002</v>
      </c>
      <c r="V4337">
        <v>9.2059279999999993E-2</v>
      </c>
      <c r="W4337">
        <v>0.12023880000000001</v>
      </c>
      <c r="X4337">
        <v>0.98846730000000005</v>
      </c>
      <c r="Y4337">
        <v>-6.9361640000000002E-2</v>
      </c>
      <c r="Z4337">
        <v>3.7188730000000003E-2</v>
      </c>
      <c r="AA4337">
        <v>0.99689819999999996</v>
      </c>
      <c r="AB4337">
        <v>24</v>
      </c>
      <c r="AC4337">
        <v>-0.451099999999996</v>
      </c>
      <c r="AD4337">
        <v>-1.1114491643</v>
      </c>
      <c r="AE4337">
        <v>-29.433340000000001</v>
      </c>
      <c r="AF4337">
        <v>-2.0510664033971899</v>
      </c>
      <c r="AG4337">
        <v>-1.1114491643</v>
      </c>
      <c r="AH4337">
        <v>29.323246001744899</v>
      </c>
      <c r="AI4337">
        <v>92.165377107615697</v>
      </c>
      <c r="AJ4337">
        <v>94.001138062535304</v>
      </c>
      <c r="AK4337">
        <v>29.415896190917199</v>
      </c>
      <c r="AL4337">
        <v>83.094114993916094</v>
      </c>
      <c r="AM4337">
        <v>84.679200061314702</v>
      </c>
      <c r="AN4337">
        <v>0.99999994161442196</v>
      </c>
    </row>
    <row r="4338" spans="1:40" x14ac:dyDescent="0.25">
      <c r="A4338" t="str">
        <f>"20190312164557644"</f>
        <v>20190312164557644</v>
      </c>
      <c r="B4338" t="str">
        <f>"1552380357636414"</f>
        <v>1552380357636414</v>
      </c>
      <c r="C4338" t="s">
        <v>40</v>
      </c>
      <c r="D4338">
        <v>4.681063</v>
      </c>
      <c r="E4338">
        <v>0.44683800000000001</v>
      </c>
      <c r="F4338" t="s">
        <v>42</v>
      </c>
      <c r="G4338">
        <v>-423.05329999999998</v>
      </c>
      <c r="H4338" s="1">
        <v>-2.9559259999999998E-6</v>
      </c>
      <c r="I4338">
        <v>84.58569</v>
      </c>
      <c r="J4338">
        <v>-422.52440000000001</v>
      </c>
      <c r="K4338">
        <v>1.1113740000000001</v>
      </c>
      <c r="L4338">
        <v>114.4038</v>
      </c>
      <c r="M4338">
        <v>-8.2415890000000006E-2</v>
      </c>
      <c r="N4338">
        <v>0</v>
      </c>
      <c r="O4338">
        <v>-0.99652209999999997</v>
      </c>
      <c r="P4338">
        <v>-0.17801040000000001</v>
      </c>
      <c r="Q4338">
        <v>0.1070044</v>
      </c>
      <c r="R4338">
        <v>-0.97819370000000005</v>
      </c>
      <c r="S4338">
        <v>-5.52063E-2</v>
      </c>
      <c r="T4338">
        <v>-0.11379309999999999</v>
      </c>
      <c r="U4338">
        <v>-3.0687869999999999</v>
      </c>
      <c r="V4338">
        <v>9.6026879999999995E-2</v>
      </c>
      <c r="W4338">
        <v>0.1197772</v>
      </c>
      <c r="X4338">
        <v>0.98814590000000002</v>
      </c>
      <c r="Y4338">
        <v>-6.4495460000000004E-2</v>
      </c>
      <c r="Z4338">
        <v>3.6824790000000003E-2</v>
      </c>
      <c r="AA4338">
        <v>0.99723830000000002</v>
      </c>
      <c r="AB4338">
        <v>24</v>
      </c>
      <c r="AC4338">
        <v>-0.52889999999996395</v>
      </c>
      <c r="AD4338">
        <v>-1.1113769559260001</v>
      </c>
      <c r="AE4338">
        <v>-29.818110000000001</v>
      </c>
      <c r="AF4338">
        <v>-1.9278942381558499</v>
      </c>
      <c r="AG4338">
        <v>-1.1113769559260001</v>
      </c>
      <c r="AH4338">
        <v>29.7189747804698</v>
      </c>
      <c r="AI4338">
        <v>92.137158978779695</v>
      </c>
      <c r="AJ4338">
        <v>93.711623533627204</v>
      </c>
      <c r="AK4338">
        <v>29.8021710104126</v>
      </c>
      <c r="AL4338">
        <v>83.120755866295994</v>
      </c>
      <c r="AM4338">
        <v>84.4494908794602</v>
      </c>
      <c r="AN4338">
        <v>1.0000000295045901</v>
      </c>
    </row>
    <row r="4339" spans="1:40" x14ac:dyDescent="0.25">
      <c r="A4339" t="str">
        <f>"20190312164557656"</f>
        <v>20190312164557656</v>
      </c>
      <c r="B4339" t="str">
        <f>"1552380357646174"</f>
        <v>1552380357646174</v>
      </c>
      <c r="C4339" t="s">
        <v>40</v>
      </c>
      <c r="D4339">
        <v>4.7154379999999998</v>
      </c>
      <c r="E4339">
        <v>0.44658959999999998</v>
      </c>
      <c r="F4339" t="s">
        <v>42</v>
      </c>
      <c r="G4339">
        <v>-423.08089999999999</v>
      </c>
      <c r="H4339" s="1">
        <v>-2.9358759999999999E-6</v>
      </c>
      <c r="I4339">
        <v>84.521839999999997</v>
      </c>
      <c r="J4339">
        <v>-422.53300000000002</v>
      </c>
      <c r="K4339">
        <v>1.1113189999999999</v>
      </c>
      <c r="L4339">
        <v>114.2693</v>
      </c>
      <c r="M4339">
        <v>-8.0170779999999997E-2</v>
      </c>
      <c r="N4339">
        <v>0</v>
      </c>
      <c r="O4339">
        <v>-0.99670590000000003</v>
      </c>
      <c r="P4339">
        <v>-0.17938209999999999</v>
      </c>
      <c r="Q4339">
        <v>0.1066281</v>
      </c>
      <c r="R4339">
        <v>-0.97798379999999996</v>
      </c>
      <c r="S4339">
        <v>-5.7159420000000002E-2</v>
      </c>
      <c r="T4339">
        <v>-0.1141413</v>
      </c>
      <c r="U4339">
        <v>-3.0689540000000002</v>
      </c>
      <c r="V4339">
        <v>9.96557E-2</v>
      </c>
      <c r="W4339">
        <v>0.1193564</v>
      </c>
      <c r="X4339">
        <v>0.98783739999999998</v>
      </c>
      <c r="Y4339">
        <v>-6.161374E-2</v>
      </c>
      <c r="Z4339">
        <v>3.6948679999999998E-2</v>
      </c>
      <c r="AA4339">
        <v>0.99741599999999997</v>
      </c>
      <c r="AB4339">
        <v>24</v>
      </c>
      <c r="AC4339">
        <v>-0.54789999999996997</v>
      </c>
      <c r="AD4339">
        <v>-1.111321935876</v>
      </c>
      <c r="AE4339">
        <v>-29.74746</v>
      </c>
      <c r="AF4339">
        <v>-1.83635776403938</v>
      </c>
      <c r="AG4339">
        <v>-1.111321935876</v>
      </c>
      <c r="AH4339">
        <v>29.654248394755101</v>
      </c>
      <c r="AI4339">
        <v>92.142111451059506</v>
      </c>
      <c r="AJ4339">
        <v>93.543551798799896</v>
      </c>
      <c r="AK4339">
        <v>29.7318296467026</v>
      </c>
      <c r="AL4339">
        <v>83.145039723213102</v>
      </c>
      <c r="AM4339">
        <v>84.239337242857104</v>
      </c>
      <c r="AN4339">
        <v>0.99999996880110398</v>
      </c>
    </row>
    <row r="4340" spans="1:40" x14ac:dyDescent="0.25">
      <c r="A4340" t="str">
        <f>"20190312164557674"</f>
        <v>20190312164557674</v>
      </c>
      <c r="B4340" t="str">
        <f>"1552380357665693"</f>
        <v>1552380357665693</v>
      </c>
      <c r="C4340" t="s">
        <v>40</v>
      </c>
      <c r="D4340">
        <v>4.7371780000000001</v>
      </c>
      <c r="E4340">
        <v>0.44634400000000002</v>
      </c>
      <c r="F4340" t="s">
        <v>42</v>
      </c>
      <c r="G4340">
        <v>-423.10419999999999</v>
      </c>
      <c r="H4340" s="1">
        <v>-2.9985269999999999E-6</v>
      </c>
      <c r="I4340">
        <v>84.653419999999997</v>
      </c>
      <c r="J4340">
        <v>-422.54430000000002</v>
      </c>
      <c r="K4340">
        <v>1.1112519999999999</v>
      </c>
      <c r="L4340">
        <v>114.0873</v>
      </c>
      <c r="M4340">
        <v>-7.7170680000000005E-2</v>
      </c>
      <c r="N4340">
        <v>0</v>
      </c>
      <c r="O4340">
        <v>-0.99694349999999998</v>
      </c>
      <c r="P4340">
        <v>-0.18290419999999999</v>
      </c>
      <c r="Q4340">
        <v>0.10678360000000001</v>
      </c>
      <c r="R4340">
        <v>-0.97731449999999997</v>
      </c>
      <c r="S4340">
        <v>-5.9204100000000003E-2</v>
      </c>
      <c r="T4340">
        <v>-0.1151713</v>
      </c>
      <c r="U4340">
        <v>-3.069229</v>
      </c>
      <c r="V4340">
        <v>0.10621129999999999</v>
      </c>
      <c r="W4340">
        <v>0.1194577</v>
      </c>
      <c r="X4340">
        <v>0.98714179999999996</v>
      </c>
      <c r="Y4340">
        <v>-5.7946999999999999E-2</v>
      </c>
      <c r="Z4340">
        <v>3.7295479999999999E-2</v>
      </c>
      <c r="AA4340">
        <v>0.99762280000000003</v>
      </c>
      <c r="AB4340">
        <v>24</v>
      </c>
      <c r="AC4340">
        <v>-0.55989999999996998</v>
      </c>
      <c r="AD4340">
        <v>-1.1112549985269999</v>
      </c>
      <c r="AE4340">
        <v>-29.433879999999998</v>
      </c>
      <c r="AF4340">
        <v>-1.7109331002187</v>
      </c>
      <c r="AG4340">
        <v>-1.1112549985269999</v>
      </c>
      <c r="AH4340">
        <v>29.347486793603</v>
      </c>
      <c r="AI4340">
        <v>92.164820671970503</v>
      </c>
      <c r="AJ4340">
        <v>93.336517775721205</v>
      </c>
      <c r="AK4340">
        <v>29.418313358278699</v>
      </c>
      <c r="AL4340">
        <v>83.139193759792903</v>
      </c>
      <c r="AM4340">
        <v>83.858898534527498</v>
      </c>
      <c r="AN4340">
        <v>0.99999995782210904</v>
      </c>
    </row>
    <row r="4341" spans="1:40" x14ac:dyDescent="0.25">
      <c r="A4341" t="str">
        <f>"20190312164557695"</f>
        <v>20190312164557695</v>
      </c>
      <c r="B4341" t="str">
        <f>"1552380357686190"</f>
        <v>1552380357686190</v>
      </c>
      <c r="C4341" t="s">
        <v>40</v>
      </c>
      <c r="D4341">
        <v>4.7206440000000001</v>
      </c>
      <c r="E4341">
        <v>0.4457335</v>
      </c>
      <c r="F4341" t="s">
        <v>42</v>
      </c>
      <c r="G4341">
        <v>-423.20209999999997</v>
      </c>
      <c r="H4341" s="1">
        <v>-2.8707100000000002E-6</v>
      </c>
      <c r="I4341">
        <v>84.294749999999993</v>
      </c>
      <c r="J4341">
        <v>-422.5582</v>
      </c>
      <c r="K4341">
        <v>1.1111819999999999</v>
      </c>
      <c r="L4341">
        <v>113.85039999999999</v>
      </c>
      <c r="M4341">
        <v>-7.3334899999999995E-2</v>
      </c>
      <c r="N4341">
        <v>0</v>
      </c>
      <c r="O4341">
        <v>-0.99723430000000002</v>
      </c>
      <c r="P4341">
        <v>-0.1876852</v>
      </c>
      <c r="Q4341">
        <v>0.107514</v>
      </c>
      <c r="R4341">
        <v>-0.97632730000000001</v>
      </c>
      <c r="S4341">
        <v>-6.7779539999999999E-2</v>
      </c>
      <c r="T4341">
        <v>-0.1144896</v>
      </c>
      <c r="U4341">
        <v>-3.0694430000000001</v>
      </c>
      <c r="V4341">
        <v>0.1148672</v>
      </c>
      <c r="W4341">
        <v>0.120111</v>
      </c>
      <c r="X4341">
        <v>0.98609270000000004</v>
      </c>
      <c r="Y4341">
        <v>-5.1320379999999999E-2</v>
      </c>
      <c r="Z4341">
        <v>3.7094309999999998E-2</v>
      </c>
      <c r="AA4341">
        <v>0.99799309999999997</v>
      </c>
      <c r="AB4341">
        <v>24</v>
      </c>
      <c r="AC4341">
        <v>-0.64389999999997305</v>
      </c>
      <c r="AD4341">
        <v>-1.1111848707099901</v>
      </c>
      <c r="AE4341">
        <v>-29.55565</v>
      </c>
      <c r="AF4341">
        <v>-1.52330049481493</v>
      </c>
      <c r="AG4341">
        <v>-1.1111848707099901</v>
      </c>
      <c r="AH4341">
        <v>29.481627662087</v>
      </c>
      <c r="AI4341">
        <v>92.155626745182204</v>
      </c>
      <c r="AJ4341">
        <v>92.957813052933403</v>
      </c>
      <c r="AK4341">
        <v>29.5418609065227</v>
      </c>
      <c r="AL4341">
        <v>83.101491042887801</v>
      </c>
      <c r="AM4341">
        <v>83.355718480488605</v>
      </c>
      <c r="AN4341">
        <v>0.99999996947506398</v>
      </c>
    </row>
    <row r="4342" spans="1:40" x14ac:dyDescent="0.25">
      <c r="A4342" t="str">
        <f>"20190312164557711"</f>
        <v>20190312164557711</v>
      </c>
      <c r="B4342" t="str">
        <f>"1552380357705710"</f>
        <v>1552380357705710</v>
      </c>
      <c r="C4342" t="s">
        <v>40</v>
      </c>
      <c r="D4342">
        <v>4.7340269999999904</v>
      </c>
      <c r="E4342">
        <v>0.44547049999999999</v>
      </c>
      <c r="F4342" t="s">
        <v>42</v>
      </c>
      <c r="G4342">
        <v>-423.32029999999997</v>
      </c>
      <c r="H4342" s="1">
        <v>-2.5117739999999999E-6</v>
      </c>
      <c r="I4342">
        <v>83.384739999999994</v>
      </c>
      <c r="J4342">
        <v>-422.56700000000001</v>
      </c>
      <c r="K4342">
        <v>1.111154</v>
      </c>
      <c r="L4342">
        <v>113.69199999999999</v>
      </c>
      <c r="M4342">
        <v>-7.0803630000000006E-2</v>
      </c>
      <c r="N4342">
        <v>0</v>
      </c>
      <c r="O4342">
        <v>-0.99741809999999997</v>
      </c>
      <c r="P4342">
        <v>-0.1878235</v>
      </c>
      <c r="Q4342">
        <v>0.1082157</v>
      </c>
      <c r="R4342">
        <v>-0.97622350000000002</v>
      </c>
      <c r="S4342">
        <v>-7.6812740000000004E-2</v>
      </c>
      <c r="T4342">
        <v>-0.1119841</v>
      </c>
      <c r="U4342">
        <v>-3.0702970000000001</v>
      </c>
      <c r="V4342">
        <v>0.1175235</v>
      </c>
      <c r="W4342">
        <v>0.1207444</v>
      </c>
      <c r="X4342">
        <v>0.98570230000000003</v>
      </c>
      <c r="Y4342">
        <v>-4.5855649999999998E-2</v>
      </c>
      <c r="Z4342">
        <v>3.6287159999999999E-2</v>
      </c>
      <c r="AA4342">
        <v>0.99828879999999998</v>
      </c>
      <c r="AB4342">
        <v>24</v>
      </c>
      <c r="AC4342">
        <v>-0.75330000000002395</v>
      </c>
      <c r="AD4342">
        <v>-1.1111565117739901</v>
      </c>
      <c r="AE4342">
        <v>-30.307259999999999</v>
      </c>
      <c r="AF4342">
        <v>-1.3927384360291499</v>
      </c>
      <c r="AG4342">
        <v>-1.1111565117739901</v>
      </c>
      <c r="AH4342">
        <v>30.2438982033656</v>
      </c>
      <c r="AI4342">
        <v>92.101866951774198</v>
      </c>
      <c r="AJ4342">
        <v>92.636621055876006</v>
      </c>
      <c r="AK4342">
        <v>30.296332578059499</v>
      </c>
      <c r="AL4342">
        <v>83.064934073243904</v>
      </c>
      <c r="AM4342">
        <v>83.200824329238998</v>
      </c>
      <c r="AN4342">
        <v>1.0000000037044501</v>
      </c>
    </row>
    <row r="4343" spans="1:40" x14ac:dyDescent="0.25">
      <c r="A4343" t="str">
        <f>"20190312164557731"</f>
        <v>20190312164557731</v>
      </c>
      <c r="B4343" t="str">
        <f>"1552380357726205"</f>
        <v>1552380357726205</v>
      </c>
      <c r="C4343" t="s">
        <v>40</v>
      </c>
      <c r="D4343">
        <v>4.6843659999999998</v>
      </c>
      <c r="E4343">
        <v>0.43346879999999999</v>
      </c>
      <c r="F4343" t="s">
        <v>42</v>
      </c>
      <c r="G4343">
        <v>-423.3304</v>
      </c>
      <c r="H4343" s="1">
        <v>-2.1215919999999999E-6</v>
      </c>
      <c r="I4343">
        <v>82.468990000000005</v>
      </c>
      <c r="J4343">
        <v>-422.57810000000001</v>
      </c>
      <c r="K4343">
        <v>1.111129</v>
      </c>
      <c r="L4343">
        <v>113.4833</v>
      </c>
      <c r="M4343">
        <v>-6.7509280000000005E-2</v>
      </c>
      <c r="N4343">
        <v>0</v>
      </c>
      <c r="O4343">
        <v>-0.99764779999999997</v>
      </c>
      <c r="P4343">
        <v>-0.18822459999999999</v>
      </c>
      <c r="Q4343">
        <v>0.1115231</v>
      </c>
      <c r="R4343">
        <v>-0.97577380000000002</v>
      </c>
      <c r="S4343">
        <v>-7.5073239999999999E-2</v>
      </c>
      <c r="T4343">
        <v>-0.1092808</v>
      </c>
      <c r="U4343">
        <v>-3.0707399999999998</v>
      </c>
      <c r="V4343">
        <v>0.121202</v>
      </c>
      <c r="W4343">
        <v>0.1239625</v>
      </c>
      <c r="X4343">
        <v>0.98485699999999998</v>
      </c>
      <c r="Y4343">
        <v>-4.3124370000000002E-2</v>
      </c>
      <c r="Z4343">
        <v>3.5421790000000002E-2</v>
      </c>
      <c r="AA4343">
        <v>0.99844160000000004</v>
      </c>
      <c r="AB4343">
        <v>24</v>
      </c>
      <c r="AC4343">
        <v>-0.75229999999999098</v>
      </c>
      <c r="AD4343">
        <v>-1.1111311215919999</v>
      </c>
      <c r="AE4343">
        <v>-31.014309999999899</v>
      </c>
      <c r="AF4343">
        <v>-1.3415972806410199</v>
      </c>
      <c r="AG4343">
        <v>-1.1111311215919999</v>
      </c>
      <c r="AH4343">
        <v>30.9546283315605</v>
      </c>
      <c r="AI4343">
        <v>92.053850201605798</v>
      </c>
      <c r="AJ4343">
        <v>92.481689821759502</v>
      </c>
      <c r="AK4343">
        <v>31.003604802955401</v>
      </c>
      <c r="AL4343">
        <v>82.879154351089895</v>
      </c>
      <c r="AM4343">
        <v>82.984138349613502</v>
      </c>
      <c r="AN4343">
        <v>0.99999996832962401</v>
      </c>
    </row>
    <row r="4344" spans="1:40" x14ac:dyDescent="0.25">
      <c r="A4344" t="str">
        <f>"20190312164557753"</f>
        <v>20190312164557753</v>
      </c>
      <c r="B4344" t="str">
        <f>"1552380357745725"</f>
        <v>1552380357745725</v>
      </c>
      <c r="C4344" t="s">
        <v>40</v>
      </c>
      <c r="D4344">
        <v>4.6591969999999998</v>
      </c>
      <c r="E4344">
        <v>0.43760979999999999</v>
      </c>
      <c r="F4344" t="s">
        <v>42</v>
      </c>
      <c r="G4344">
        <v>-422.3931</v>
      </c>
      <c r="H4344" s="1">
        <v>-2.2373420000000001E-6</v>
      </c>
      <c r="I4344">
        <v>93.320139999999995</v>
      </c>
      <c r="J4344">
        <v>-422.59010000000001</v>
      </c>
      <c r="K4344">
        <v>1.11112099999999</v>
      </c>
      <c r="L4344">
        <v>113.24209999999999</v>
      </c>
      <c r="M4344">
        <v>-6.3739279999999995E-2</v>
      </c>
      <c r="N4344">
        <v>0</v>
      </c>
      <c r="O4344">
        <v>-0.99789700000000003</v>
      </c>
      <c r="P4344">
        <v>-0.18791079999999999</v>
      </c>
      <c r="Q4344">
        <v>0.1144527</v>
      </c>
      <c r="R4344">
        <v>-0.97549520000000001</v>
      </c>
      <c r="S4344">
        <v>2.844238E-2</v>
      </c>
      <c r="T4344">
        <v>-0.1708046</v>
      </c>
      <c r="U4344">
        <v>-3.0995029999999999</v>
      </c>
      <c r="V4344">
        <v>0.1246198</v>
      </c>
      <c r="W4344">
        <v>0.1267934</v>
      </c>
      <c r="X4344">
        <v>0.98406979999999999</v>
      </c>
      <c r="Y4344">
        <v>-7.2884489999999996E-2</v>
      </c>
      <c r="Z4344">
        <v>5.4781509999999999E-2</v>
      </c>
      <c r="AA4344">
        <v>0.99583480000000002</v>
      </c>
      <c r="AB4344">
        <v>24</v>
      </c>
      <c r="AC4344">
        <v>0.19700000000000201</v>
      </c>
      <c r="AD4344">
        <v>-1.1111232373419999</v>
      </c>
      <c r="AE4344">
        <v>-19.921959999999899</v>
      </c>
      <c r="AF4344">
        <v>-1.4619516625041</v>
      </c>
      <c r="AG4344">
        <v>-1.1111232373419999</v>
      </c>
      <c r="AH4344">
        <v>19.807278449687299</v>
      </c>
      <c r="AI4344">
        <v>93.202047972574505</v>
      </c>
      <c r="AJ4344">
        <v>94.2212789618426</v>
      </c>
      <c r="AK4344">
        <v>19.892213981744401</v>
      </c>
      <c r="AL4344">
        <v>82.715665934037801</v>
      </c>
      <c r="AM4344">
        <v>82.782643362310594</v>
      </c>
      <c r="AN4344">
        <v>1.0000000160538101</v>
      </c>
    </row>
    <row r="4345" spans="1:40" x14ac:dyDescent="0.25">
      <c r="A4345" t="str">
        <f>"20190312164557775"</f>
        <v>20190312164557775</v>
      </c>
      <c r="B4345" t="str">
        <f>"1552380357766221"</f>
        <v>1552380357766221</v>
      </c>
      <c r="C4345" t="s">
        <v>40</v>
      </c>
      <c r="D4345">
        <v>4.7753569999999996</v>
      </c>
      <c r="E4345">
        <v>0.43033189999999999</v>
      </c>
      <c r="F4345" t="s">
        <v>42</v>
      </c>
      <c r="G4345">
        <v>-422.7285</v>
      </c>
      <c r="H4345" s="1">
        <v>-3.888793E-6</v>
      </c>
      <c r="I4345">
        <v>76.991929999999996</v>
      </c>
      <c r="J4345">
        <v>-422.60079999999999</v>
      </c>
      <c r="K4345">
        <v>1.1111169999999999</v>
      </c>
      <c r="L4345">
        <v>113.01049999999999</v>
      </c>
      <c r="M4345">
        <v>-6.0136740000000001E-2</v>
      </c>
      <c r="N4345">
        <v>0</v>
      </c>
      <c r="O4345">
        <v>-0.9981217</v>
      </c>
      <c r="P4345">
        <v>-0.18644340000000001</v>
      </c>
      <c r="Q4345">
        <v>0.11705169999999999</v>
      </c>
      <c r="R4345">
        <v>-0.97546820000000001</v>
      </c>
      <c r="S4345">
        <v>-1.177979E-2</v>
      </c>
      <c r="T4345">
        <v>-9.4535590000000003E-2</v>
      </c>
      <c r="U4345">
        <v>-3.0841980000000002</v>
      </c>
      <c r="V4345">
        <v>0.12669929999999999</v>
      </c>
      <c r="W4345">
        <v>0.12929560000000001</v>
      </c>
      <c r="X4345">
        <v>0.98347850000000003</v>
      </c>
      <c r="Y4345">
        <v>-5.6329709999999998E-2</v>
      </c>
      <c r="Z4345">
        <v>3.0529609999999999E-2</v>
      </c>
      <c r="AA4345">
        <v>0.99794539999999998</v>
      </c>
      <c r="AB4345">
        <v>24</v>
      </c>
      <c r="AC4345">
        <v>-0.127700000000004</v>
      </c>
      <c r="AD4345">
        <v>-1.111120888793</v>
      </c>
      <c r="AE4345">
        <v>-36.018569999999897</v>
      </c>
      <c r="AF4345">
        <v>-2.0367802889032398</v>
      </c>
      <c r="AG4345">
        <v>-1.111120888793</v>
      </c>
      <c r="AH4345">
        <v>35.926864030274402</v>
      </c>
      <c r="AI4345">
        <v>91.768601013022206</v>
      </c>
      <c r="AJ4345">
        <v>93.244762199302002</v>
      </c>
      <c r="AK4345">
        <v>36.001703051725201</v>
      </c>
      <c r="AL4345">
        <v>82.571110450230904</v>
      </c>
      <c r="AM4345">
        <v>82.659147774950696</v>
      </c>
      <c r="AN4345">
        <v>1.00000001238105</v>
      </c>
    </row>
    <row r="4346" spans="1:40" x14ac:dyDescent="0.25">
      <c r="A4346" t="str">
        <f>"20190312164557796"</f>
        <v>20190312164557796</v>
      </c>
      <c r="B4346" t="str">
        <f>"1552380357785741"</f>
        <v>1552380357785741</v>
      </c>
      <c r="C4346" t="s">
        <v>40</v>
      </c>
      <c r="D4346">
        <v>4.7245489999999997</v>
      </c>
      <c r="E4346">
        <v>0.43203530000000001</v>
      </c>
      <c r="F4346" t="s">
        <v>42</v>
      </c>
      <c r="G4346">
        <v>-422.19029999999998</v>
      </c>
      <c r="H4346" s="1">
        <v>-1.728237E-6</v>
      </c>
      <c r="I4346">
        <v>92.259190000000004</v>
      </c>
      <c r="J4346">
        <v>-422.61079999999998</v>
      </c>
      <c r="K4346">
        <v>1.11112099999999</v>
      </c>
      <c r="L4346">
        <v>112.774</v>
      </c>
      <c r="M4346">
        <v>-5.6458210000000002E-2</v>
      </c>
      <c r="N4346">
        <v>0</v>
      </c>
      <c r="O4346">
        <v>-0.99833780000000005</v>
      </c>
      <c r="P4346">
        <v>-0.18466460000000001</v>
      </c>
      <c r="Q4346">
        <v>0.1186528</v>
      </c>
      <c r="R4346">
        <v>-0.97561319999999996</v>
      </c>
      <c r="S4346">
        <v>6.14624E-2</v>
      </c>
      <c r="T4346">
        <v>-0.1663705</v>
      </c>
      <c r="U4346">
        <v>-3.1071469999999999</v>
      </c>
      <c r="V4346">
        <v>0.12853329999999999</v>
      </c>
      <c r="W4346">
        <v>0.1308009</v>
      </c>
      <c r="X4346">
        <v>0.98304130000000001</v>
      </c>
      <c r="Y4346">
        <v>-7.616829E-2</v>
      </c>
      <c r="Z4346">
        <v>5.325709E-2</v>
      </c>
      <c r="AA4346">
        <v>0.99567169999999905</v>
      </c>
      <c r="AB4346">
        <v>24</v>
      </c>
      <c r="AC4346">
        <v>0.42050000000000398</v>
      </c>
      <c r="AD4346">
        <v>-1.11112272823699</v>
      </c>
      <c r="AE4346">
        <v>-20.514810000000001</v>
      </c>
      <c r="AF4346">
        <v>-1.57352229888437</v>
      </c>
      <c r="AG4346">
        <v>-1.11112272823699</v>
      </c>
      <c r="AH4346">
        <v>20.3985271030379</v>
      </c>
      <c r="AI4346">
        <v>93.108644956973194</v>
      </c>
      <c r="AJ4346">
        <v>94.411004743570203</v>
      </c>
      <c r="AK4346">
        <v>20.489277052049999</v>
      </c>
      <c r="AL4346">
        <v>82.484123852076493</v>
      </c>
      <c r="AM4346">
        <v>82.550797001194496</v>
      </c>
      <c r="AN4346">
        <v>0.99999994107769297</v>
      </c>
    </row>
    <row r="4347" spans="1:40" x14ac:dyDescent="0.25">
      <c r="A4347" t="str">
        <f>"20190312164557819"</f>
        <v>20190312164557819</v>
      </c>
      <c r="B4347" t="str">
        <f>"1552380357815998"</f>
        <v>1552380357815998</v>
      </c>
      <c r="C4347" t="s">
        <v>40</v>
      </c>
      <c r="D4347">
        <v>4.6696439999999999</v>
      </c>
      <c r="E4347">
        <v>0.4327841</v>
      </c>
      <c r="F4347" t="s">
        <v>42</v>
      </c>
      <c r="G4347">
        <v>-422.27890000000002</v>
      </c>
      <c r="H4347" s="1">
        <v>-3.0253390000000001E-6</v>
      </c>
      <c r="I4347">
        <v>95.22784</v>
      </c>
      <c r="J4347">
        <v>-422.62029999999999</v>
      </c>
      <c r="K4347">
        <v>1.11112099999999</v>
      </c>
      <c r="L4347">
        <v>112.5301</v>
      </c>
      <c r="M4347">
        <v>-5.2659329999999997E-2</v>
      </c>
      <c r="N4347">
        <v>0</v>
      </c>
      <c r="O4347">
        <v>-0.9985465</v>
      </c>
      <c r="P4347">
        <v>-0.1818592</v>
      </c>
      <c r="Q4347">
        <v>0.1209792</v>
      </c>
      <c r="R4347">
        <v>-0.975854</v>
      </c>
      <c r="S4347">
        <v>5.8837889999999997E-2</v>
      </c>
      <c r="T4347">
        <v>-0.19694819999999999</v>
      </c>
      <c r="U4347">
        <v>-3.110077</v>
      </c>
      <c r="V4347">
        <v>0.1294476</v>
      </c>
      <c r="W4347">
        <v>0.13302340000000001</v>
      </c>
      <c r="X4347">
        <v>0.98262309999999997</v>
      </c>
      <c r="Y4347">
        <v>-7.1504490000000004E-2</v>
      </c>
      <c r="Z4347">
        <v>6.2981209999999996E-2</v>
      </c>
      <c r="AA4347">
        <v>0.9954499</v>
      </c>
      <c r="AB4347">
        <v>24</v>
      </c>
      <c r="AC4347">
        <v>0.34139999999996401</v>
      </c>
      <c r="AD4347">
        <v>-1.11112402533899</v>
      </c>
      <c r="AE4347">
        <v>-17.30226</v>
      </c>
      <c r="AF4347">
        <v>-1.24697124564849</v>
      </c>
      <c r="AG4347">
        <v>-1.11112402533899</v>
      </c>
      <c r="AH4347">
        <v>17.189409809478899</v>
      </c>
      <c r="AI4347">
        <v>93.688789208824502</v>
      </c>
      <c r="AJ4347">
        <v>94.149139289409504</v>
      </c>
      <c r="AK4347">
        <v>17.2703602592815</v>
      </c>
      <c r="AL4347">
        <v>82.355662059871094</v>
      </c>
      <c r="AM4347">
        <v>82.495253478201505</v>
      </c>
      <c r="AN4347">
        <v>1.0000000313734601</v>
      </c>
    </row>
    <row r="4348" spans="1:40" x14ac:dyDescent="0.25">
      <c r="A4348" t="str">
        <f>"20190312164557842"</f>
        <v>20190312164557842</v>
      </c>
      <c r="B4348" t="str">
        <f>"1552380357835521"</f>
        <v>1552380357835521</v>
      </c>
      <c r="C4348" t="s">
        <v>40</v>
      </c>
      <c r="D4348">
        <v>4.6495930000000003</v>
      </c>
      <c r="E4348">
        <v>0.43365049999999999</v>
      </c>
      <c r="F4348" t="s">
        <v>42</v>
      </c>
      <c r="G4348">
        <v>-422.26429999999999</v>
      </c>
      <c r="H4348" s="1">
        <v>-2.698958E-6</v>
      </c>
      <c r="I4348">
        <v>94.476070000000007</v>
      </c>
      <c r="J4348">
        <v>-422.62880000000001</v>
      </c>
      <c r="K4348">
        <v>1.1111279999999999</v>
      </c>
      <c r="L4348">
        <v>112.2868</v>
      </c>
      <c r="M4348">
        <v>-4.8858249999999999E-2</v>
      </c>
      <c r="N4348">
        <v>0</v>
      </c>
      <c r="O4348">
        <v>-0.99874110000000005</v>
      </c>
      <c r="P4348">
        <v>-0.1789733</v>
      </c>
      <c r="Q4348">
        <v>0.1221254</v>
      </c>
      <c r="R4348">
        <v>-0.97624469999999997</v>
      </c>
      <c r="S4348">
        <v>6.1309809999999999E-2</v>
      </c>
      <c r="T4348">
        <v>-0.19136349999999999</v>
      </c>
      <c r="U4348">
        <v>-3.1093600000000001</v>
      </c>
      <c r="V4348">
        <v>0.13028029999999999</v>
      </c>
      <c r="W4348">
        <v>0.1340654</v>
      </c>
      <c r="X4348">
        <v>0.98237140000000001</v>
      </c>
      <c r="Y4348">
        <v>-6.8505200000000002E-2</v>
      </c>
      <c r="Z4348">
        <v>6.1239979999999999E-2</v>
      </c>
      <c r="AA4348">
        <v>0.99576940000000003</v>
      </c>
      <c r="AB4348">
        <v>24</v>
      </c>
      <c r="AC4348">
        <v>0.36450000000001997</v>
      </c>
      <c r="AD4348">
        <v>-1.1111306989579901</v>
      </c>
      <c r="AE4348">
        <v>-17.81073</v>
      </c>
      <c r="AF4348">
        <v>-1.2295386047208099</v>
      </c>
      <c r="AG4348">
        <v>-1.1111306989579901</v>
      </c>
      <c r="AH4348">
        <v>17.702776902292801</v>
      </c>
      <c r="AI4348">
        <v>93.582900827808899</v>
      </c>
      <c r="AJ4348">
        <v>93.973072815295396</v>
      </c>
      <c r="AK4348">
        <v>17.780176789419599</v>
      </c>
      <c r="AL4348">
        <v>82.295420232895793</v>
      </c>
      <c r="AM4348">
        <v>82.445620349409594</v>
      </c>
      <c r="AN4348">
        <v>1.0000000277915999</v>
      </c>
    </row>
    <row r="4349" spans="1:40" x14ac:dyDescent="0.25">
      <c r="A4349" t="str">
        <f>"20190312164557863"</f>
        <v>20190312164557863</v>
      </c>
      <c r="B4349" t="str">
        <f>"1552380357856014"</f>
        <v>1552380357856014</v>
      </c>
      <c r="C4349" t="s">
        <v>40</v>
      </c>
      <c r="D4349">
        <v>4.6957899999999997</v>
      </c>
      <c r="E4349">
        <v>0.43357210000000002</v>
      </c>
      <c r="F4349" t="s">
        <v>42</v>
      </c>
      <c r="G4349">
        <v>-422.24770000000001</v>
      </c>
      <c r="H4349" s="1">
        <v>-2.3031329999999999E-6</v>
      </c>
      <c r="I4349">
        <v>93.563680000000005</v>
      </c>
      <c r="J4349">
        <v>-422.6361</v>
      </c>
      <c r="K4349">
        <v>1.1111279999999999</v>
      </c>
      <c r="L4349">
        <v>112.0535</v>
      </c>
      <c r="M4349">
        <v>-4.52054E-2</v>
      </c>
      <c r="N4349">
        <v>0</v>
      </c>
      <c r="O4349">
        <v>-0.99891439999999998</v>
      </c>
      <c r="P4349">
        <v>-0.1757512</v>
      </c>
      <c r="Q4349">
        <v>0.1234138</v>
      </c>
      <c r="R4349">
        <v>-0.9766686</v>
      </c>
      <c r="S4349">
        <v>6.3262940000000004E-2</v>
      </c>
      <c r="T4349">
        <v>-0.18442500000000001</v>
      </c>
      <c r="U4349">
        <v>-3.1076510000000002</v>
      </c>
      <c r="V4349">
        <v>0.13062789999999999</v>
      </c>
      <c r="W4349">
        <v>0.13525279999999901</v>
      </c>
      <c r="X4349">
        <v>0.98216239999999999</v>
      </c>
      <c r="Y4349">
        <v>-6.5495339999999999E-2</v>
      </c>
      <c r="Z4349">
        <v>5.9080710000000002E-2</v>
      </c>
      <c r="AA4349">
        <v>0.9961023</v>
      </c>
      <c r="AB4349">
        <v>24</v>
      </c>
      <c r="AC4349">
        <v>0.38839999999998998</v>
      </c>
      <c r="AD4349">
        <v>-1.111130303133</v>
      </c>
      <c r="AE4349">
        <v>-18.489819999999899</v>
      </c>
      <c r="AF4349">
        <v>-1.2194934468182199</v>
      </c>
      <c r="AG4349">
        <v>-1.111130303133</v>
      </c>
      <c r="AH4349">
        <v>18.386985031414898</v>
      </c>
      <c r="AI4349">
        <v>93.4506307593538</v>
      </c>
      <c r="AJ4349">
        <v>93.794512557733498</v>
      </c>
      <c r="AK4349">
        <v>18.460850288186801</v>
      </c>
      <c r="AL4349">
        <v>82.226761460487097</v>
      </c>
      <c r="AM4349">
        <v>82.424105200922995</v>
      </c>
      <c r="AN4349">
        <v>0.99999997407000396</v>
      </c>
    </row>
    <row r="4350" spans="1:40" x14ac:dyDescent="0.25">
      <c r="A4350" t="str">
        <f>"20190312164557886"</f>
        <v>20190312164557886</v>
      </c>
      <c r="B4350" t="str">
        <f>"1552380357875534"</f>
        <v>1552380357875534</v>
      </c>
      <c r="C4350" t="s">
        <v>40</v>
      </c>
      <c r="D4350">
        <v>4.7407700000000004</v>
      </c>
      <c r="E4350">
        <v>0.4337609</v>
      </c>
      <c r="F4350" t="s">
        <v>42</v>
      </c>
      <c r="G4350">
        <v>-422.18369999999999</v>
      </c>
      <c r="H4350" s="1">
        <v>-1.865937E-6</v>
      </c>
      <c r="I4350">
        <v>92.584270000000004</v>
      </c>
      <c r="J4350">
        <v>-422.64280000000002</v>
      </c>
      <c r="K4350">
        <v>1.111132</v>
      </c>
      <c r="L4350">
        <v>111.8147</v>
      </c>
      <c r="M4350">
        <v>-4.1457250000000001E-2</v>
      </c>
      <c r="N4350">
        <v>0</v>
      </c>
      <c r="O4350">
        <v>-0.99907800000000002</v>
      </c>
      <c r="P4350">
        <v>-0.17270539999999901</v>
      </c>
      <c r="Q4350">
        <v>0.1241389</v>
      </c>
      <c r="R4350">
        <v>-0.97711939999999997</v>
      </c>
      <c r="S4350">
        <v>7.2204589999999999E-2</v>
      </c>
      <c r="T4350">
        <v>-0.17732410000000001</v>
      </c>
      <c r="U4350">
        <v>-3.1070709999999999</v>
      </c>
      <c r="V4350">
        <v>0.13124739999999999</v>
      </c>
      <c r="W4350">
        <v>0.13587920000000001</v>
      </c>
      <c r="X4350">
        <v>0.98199340000000002</v>
      </c>
      <c r="Y4350">
        <v>-6.4623539999999993E-2</v>
      </c>
      <c r="Z4350">
        <v>5.6837749999999999E-2</v>
      </c>
      <c r="AA4350">
        <v>0.99628969999999994</v>
      </c>
      <c r="AB4350">
        <v>24</v>
      </c>
      <c r="AC4350">
        <v>0.45910000000003398</v>
      </c>
      <c r="AD4350">
        <v>-1.111133865937</v>
      </c>
      <c r="AE4350">
        <v>-19.230429999999998</v>
      </c>
      <c r="AF4350">
        <v>-1.25181875934537</v>
      </c>
      <c r="AG4350">
        <v>-1.111133865937</v>
      </c>
      <c r="AH4350">
        <v>19.131027867707498</v>
      </c>
      <c r="AI4350">
        <v>93.316938436757994</v>
      </c>
      <c r="AJ4350">
        <v>93.743752287903803</v>
      </c>
      <c r="AK4350">
        <v>19.204111433473901</v>
      </c>
      <c r="AL4350">
        <v>82.190537466676801</v>
      </c>
      <c r="AM4350">
        <v>82.387302364683705</v>
      </c>
      <c r="AN4350">
        <v>1.0000000373214699</v>
      </c>
    </row>
    <row r="4351" spans="1:40" x14ac:dyDescent="0.25">
      <c r="A4351" t="str">
        <f>"20190312164557909"</f>
        <v>20190312164557909</v>
      </c>
      <c r="B4351" t="str">
        <f>"1552380357905789"</f>
        <v>1552380357905789</v>
      </c>
      <c r="C4351" t="s">
        <v>40</v>
      </c>
      <c r="D4351">
        <v>4.8614160000000002</v>
      </c>
      <c r="E4351">
        <v>0.43461729999999998</v>
      </c>
      <c r="F4351" t="s">
        <v>42</v>
      </c>
      <c r="G4351">
        <v>-422.13139999999999</v>
      </c>
      <c r="H4351" s="1">
        <v>-1.498128E-6</v>
      </c>
      <c r="I4351">
        <v>91.759309999999999</v>
      </c>
      <c r="J4351">
        <v>-422.64870000000002</v>
      </c>
      <c r="K4351">
        <v>1.111127</v>
      </c>
      <c r="L4351">
        <v>111.5675</v>
      </c>
      <c r="M4351">
        <v>-3.757257E-2</v>
      </c>
      <c r="N4351">
        <v>0</v>
      </c>
      <c r="O4351">
        <v>-0.99923309999999999</v>
      </c>
      <c r="P4351">
        <v>-0.16922100000000001</v>
      </c>
      <c r="Q4351">
        <v>0.1240086</v>
      </c>
      <c r="R4351">
        <v>-0.9777458</v>
      </c>
      <c r="S4351">
        <v>7.9193120000000006E-2</v>
      </c>
      <c r="T4351">
        <v>-0.17208860000000001</v>
      </c>
      <c r="U4351">
        <v>-3.1061100000000001</v>
      </c>
      <c r="V4351">
        <v>0.1315616</v>
      </c>
      <c r="W4351">
        <v>0.1356463</v>
      </c>
      <c r="X4351">
        <v>0.98198350000000001</v>
      </c>
      <c r="Y4351">
        <v>-6.2993339999999995E-2</v>
      </c>
      <c r="Z4351">
        <v>5.5195960000000002E-2</v>
      </c>
      <c r="AA4351">
        <v>0.99648639999999999</v>
      </c>
      <c r="AB4351">
        <v>24</v>
      </c>
      <c r="AC4351">
        <v>0.51730000000003395</v>
      </c>
      <c r="AD4351">
        <v>-1.1111284981280001</v>
      </c>
      <c r="AE4351">
        <v>-19.80819</v>
      </c>
      <c r="AF4351">
        <v>-1.25727110869467</v>
      </c>
      <c r="AG4351">
        <v>-1.1111284981280001</v>
      </c>
      <c r="AH4351">
        <v>19.712778709164802</v>
      </c>
      <c r="AI4351">
        <v>93.219586538994406</v>
      </c>
      <c r="AJ4351">
        <v>93.649353039581101</v>
      </c>
      <c r="AK4351">
        <v>19.7840587751</v>
      </c>
      <c r="AL4351">
        <v>82.204005936664402</v>
      </c>
      <c r="AM4351">
        <v>82.369216392148402</v>
      </c>
      <c r="AN4351">
        <v>0.99999998378524901</v>
      </c>
    </row>
    <row r="4352" spans="1:40" x14ac:dyDescent="0.25">
      <c r="A4352" t="str">
        <f>"20190312164557932"</f>
        <v>20190312164557932</v>
      </c>
      <c r="B4352" t="str">
        <f>"1552380357926286"</f>
        <v>1552380357926286</v>
      </c>
      <c r="C4352" t="s">
        <v>40</v>
      </c>
      <c r="D4352">
        <v>4.7297789999999997</v>
      </c>
      <c r="E4352">
        <v>0.43516100000000002</v>
      </c>
      <c r="F4352" t="s">
        <v>42</v>
      </c>
      <c r="G4352">
        <v>-422.0609</v>
      </c>
      <c r="H4352" s="1">
        <v>-4.51029E-6</v>
      </c>
      <c r="I4352">
        <v>89.166240000000002</v>
      </c>
      <c r="J4352">
        <v>-422.65359999999998</v>
      </c>
      <c r="K4352">
        <v>1.1111150000000001</v>
      </c>
      <c r="L4352">
        <v>111.3201</v>
      </c>
      <c r="M4352">
        <v>-3.3684560000000002E-2</v>
      </c>
      <c r="N4352">
        <v>0</v>
      </c>
      <c r="O4352">
        <v>-0.9993727</v>
      </c>
      <c r="P4352">
        <v>-0.16539419999999999</v>
      </c>
      <c r="Q4352">
        <v>0.1233093</v>
      </c>
      <c r="R4352">
        <v>-0.97848869999999999</v>
      </c>
      <c r="S4352">
        <v>8.1390379999999998E-2</v>
      </c>
      <c r="T4352">
        <v>-0.15385750000000001</v>
      </c>
      <c r="U4352">
        <v>-3.1018829999999999</v>
      </c>
      <c r="V4352">
        <v>0.1315384</v>
      </c>
      <c r="W4352">
        <v>0.13484499999999999</v>
      </c>
      <c r="X4352">
        <v>0.982097</v>
      </c>
      <c r="Y4352">
        <v>-5.985795E-2</v>
      </c>
      <c r="Z4352">
        <v>4.9445330000000003E-2</v>
      </c>
      <c r="AA4352">
        <v>0.99698160000000002</v>
      </c>
      <c r="AB4352">
        <v>24</v>
      </c>
      <c r="AC4352">
        <v>0.59269999999997902</v>
      </c>
      <c r="AD4352">
        <v>-1.11111951028999</v>
      </c>
      <c r="AE4352">
        <v>-22.153859999999899</v>
      </c>
      <c r="AF4352">
        <v>-1.3352947314591701</v>
      </c>
      <c r="AG4352">
        <v>-1.11111951028999</v>
      </c>
      <c r="AH4352">
        <v>22.065853712039299</v>
      </c>
      <c r="AI4352">
        <v>92.877422362611597</v>
      </c>
      <c r="AJ4352">
        <v>93.462978143454507</v>
      </c>
      <c r="AK4352">
        <v>22.134125205824802</v>
      </c>
      <c r="AL4352">
        <v>82.250343075873801</v>
      </c>
      <c r="AM4352">
        <v>82.371417522078403</v>
      </c>
      <c r="AN4352">
        <v>1.0000000210542701</v>
      </c>
    </row>
    <row r="4353" spans="1:40" x14ac:dyDescent="0.25">
      <c r="A4353" t="str">
        <f>"20190312164557954"</f>
        <v>20190312164557954</v>
      </c>
      <c r="B4353" t="str">
        <f>"1552380357945806"</f>
        <v>1552380357945806</v>
      </c>
      <c r="C4353" t="s">
        <v>40</v>
      </c>
      <c r="D4353">
        <v>4.8528989999999999</v>
      </c>
      <c r="E4353">
        <v>0.43562499999999998</v>
      </c>
      <c r="F4353" t="s">
        <v>42</v>
      </c>
      <c r="G4353">
        <v>-421.99239999999998</v>
      </c>
      <c r="H4353" s="1">
        <v>-4.0922390000000004E-6</v>
      </c>
      <c r="I4353">
        <v>87.973460000000003</v>
      </c>
      <c r="J4353">
        <v>-422.6574</v>
      </c>
      <c r="K4353">
        <v>1.1111070000000001</v>
      </c>
      <c r="L4353">
        <v>111.0757</v>
      </c>
      <c r="M4353">
        <v>-2.9850140000000001E-2</v>
      </c>
      <c r="N4353">
        <v>0</v>
      </c>
      <c r="O4353">
        <v>-0.99949569999999999</v>
      </c>
      <c r="P4353">
        <v>-0.16119549999999999</v>
      </c>
      <c r="Q4353">
        <v>0.1229534</v>
      </c>
      <c r="R4353">
        <v>-0.97923389999999999</v>
      </c>
      <c r="S4353">
        <v>8.7768550000000001E-2</v>
      </c>
      <c r="T4353">
        <v>-0.14750669999999999</v>
      </c>
      <c r="U4353">
        <v>-3.09938</v>
      </c>
      <c r="V4353">
        <v>0.13109170000000001</v>
      </c>
      <c r="W4353">
        <v>0.13439289999999901</v>
      </c>
      <c r="X4353">
        <v>0.9822187</v>
      </c>
      <c r="Y4353">
        <v>-5.8102139999999997E-2</v>
      </c>
      <c r="Z4353">
        <v>4.745709E-2</v>
      </c>
      <c r="AA4353">
        <v>0.99718200000000001</v>
      </c>
      <c r="AB4353">
        <v>24</v>
      </c>
      <c r="AC4353">
        <v>0.66500000000002002</v>
      </c>
      <c r="AD4353">
        <v>-1.111111092239</v>
      </c>
      <c r="AE4353">
        <v>-23.102239999999899</v>
      </c>
      <c r="AF4353">
        <v>-1.35122616114289</v>
      </c>
      <c r="AG4353">
        <v>-1.111111092239</v>
      </c>
      <c r="AH4353">
        <v>23.018890156670199</v>
      </c>
      <c r="AI4353">
        <v>92.758754035696001</v>
      </c>
      <c r="AJ4353">
        <v>93.359450239708195</v>
      </c>
      <c r="AK4353">
        <v>23.085269849900001</v>
      </c>
      <c r="AL4353">
        <v>82.276484520434295</v>
      </c>
      <c r="AM4353">
        <v>82.397951395372004</v>
      </c>
      <c r="AN4353">
        <v>1.00000003000449</v>
      </c>
    </row>
    <row r="4354" spans="1:40" x14ac:dyDescent="0.25">
      <c r="A4354" t="str">
        <f>"20190312164557975"</f>
        <v>20190312164557975</v>
      </c>
      <c r="B4354" t="str">
        <f>"1552380357966302"</f>
        <v>1552380357966302</v>
      </c>
      <c r="C4354" t="s">
        <v>40</v>
      </c>
      <c r="D4354">
        <v>4.688161</v>
      </c>
      <c r="E4354">
        <v>0.43587999999999999</v>
      </c>
      <c r="F4354" t="s">
        <v>42</v>
      </c>
      <c r="G4354">
        <v>-421.91489999999999</v>
      </c>
      <c r="H4354" s="1">
        <v>-3.713305E-6</v>
      </c>
      <c r="I4354">
        <v>87.057269999999903</v>
      </c>
      <c r="J4354">
        <v>-422.66019999999997</v>
      </c>
      <c r="K4354">
        <v>1.1111059999999999</v>
      </c>
      <c r="L4354">
        <v>110.8481</v>
      </c>
      <c r="M4354">
        <v>-2.6289989999999999E-2</v>
      </c>
      <c r="N4354">
        <v>0</v>
      </c>
      <c r="O4354">
        <v>-0.9995965</v>
      </c>
      <c r="P4354">
        <v>-0.15655179999999999</v>
      </c>
      <c r="Q4354">
        <v>0.1227936</v>
      </c>
      <c r="R4354">
        <v>-0.98000690000000001</v>
      </c>
      <c r="S4354">
        <v>9.5764160000000001E-2</v>
      </c>
      <c r="T4354">
        <v>-0.1432872</v>
      </c>
      <c r="U4354">
        <v>-3.0973820000000001</v>
      </c>
      <c r="V4354">
        <v>0.129932399999999</v>
      </c>
      <c r="W4354">
        <v>0.1341415</v>
      </c>
      <c r="X4354">
        <v>0.98240700000000003</v>
      </c>
      <c r="Y4354">
        <v>-5.7138349999999997E-2</v>
      </c>
      <c r="Z4354">
        <v>4.6138619999999998E-2</v>
      </c>
      <c r="AA4354">
        <v>0.99729959999999995</v>
      </c>
      <c r="AB4354">
        <v>24</v>
      </c>
      <c r="AC4354">
        <v>0.74529999999998597</v>
      </c>
      <c r="AD4354">
        <v>-1.1111097133050001</v>
      </c>
      <c r="AE4354">
        <v>-23.79083</v>
      </c>
      <c r="AF4354">
        <v>-1.36755923390001</v>
      </c>
      <c r="AG4354">
        <v>-1.1111097133050001</v>
      </c>
      <c r="AH4354">
        <v>23.711342507526201</v>
      </c>
      <c r="AI4354">
        <v>92.6784637716801</v>
      </c>
      <c r="AJ4354">
        <v>93.300895500160493</v>
      </c>
      <c r="AK4354">
        <v>23.776722788526701</v>
      </c>
      <c r="AL4354">
        <v>82.291019616466301</v>
      </c>
      <c r="AM4354">
        <v>82.465831363850697</v>
      </c>
      <c r="AN4354">
        <v>0.99999994212050303</v>
      </c>
    </row>
    <row r="4355" spans="1:40" x14ac:dyDescent="0.25">
      <c r="A4355" t="str">
        <f>"20190312164557998"</f>
        <v>20190312164557998</v>
      </c>
      <c r="B4355" t="str">
        <f>"1552380357985822"</f>
        <v>1552380357985822</v>
      </c>
      <c r="C4355" t="s">
        <v>40</v>
      </c>
      <c r="D4355">
        <v>4.6206930000000002</v>
      </c>
      <c r="E4355">
        <v>0.43613760000000001</v>
      </c>
      <c r="F4355" t="s">
        <v>42</v>
      </c>
      <c r="G4355">
        <v>-421.82819999999998</v>
      </c>
      <c r="H4355" s="1">
        <v>-3.6044909999999999E-6</v>
      </c>
      <c r="I4355">
        <v>86.857399999999998</v>
      </c>
      <c r="J4355">
        <v>-422.66239999999999</v>
      </c>
      <c r="K4355">
        <v>1.1110789999999999</v>
      </c>
      <c r="L4355">
        <v>110.60420000000001</v>
      </c>
      <c r="M4355">
        <v>-2.2504449999999999E-2</v>
      </c>
      <c r="N4355">
        <v>0</v>
      </c>
      <c r="O4355">
        <v>-0.99968990000000002</v>
      </c>
      <c r="P4355">
        <v>-0.151338</v>
      </c>
      <c r="Q4355">
        <v>0.121627</v>
      </c>
      <c r="R4355">
        <v>-0.98097080000000003</v>
      </c>
      <c r="S4355">
        <v>0.1073914</v>
      </c>
      <c r="T4355">
        <v>-0.143405</v>
      </c>
      <c r="U4355">
        <v>-3.0963440000000002</v>
      </c>
      <c r="V4355">
        <v>0.1284322</v>
      </c>
      <c r="W4355">
        <v>0.13287969999999999</v>
      </c>
      <c r="X4355">
        <v>0.98277570000000003</v>
      </c>
      <c r="Y4355">
        <v>-5.7108829999999999E-2</v>
      </c>
      <c r="Z4355">
        <v>4.61955E-2</v>
      </c>
      <c r="AA4355">
        <v>0.99729869999999998</v>
      </c>
      <c r="AB4355">
        <v>24</v>
      </c>
      <c r="AC4355">
        <v>0.83420000000000905</v>
      </c>
      <c r="AD4355">
        <v>-1.111082604491</v>
      </c>
      <c r="AE4355">
        <v>-23.7468</v>
      </c>
      <c r="AF4355">
        <v>-1.36544223170794</v>
      </c>
      <c r="AG4355">
        <v>-1.111082604491</v>
      </c>
      <c r="AH4355">
        <v>23.670256281362601</v>
      </c>
      <c r="AI4355">
        <v>92.683039181802698</v>
      </c>
      <c r="AJ4355">
        <v>93.301505053770796</v>
      </c>
      <c r="AK4355">
        <v>23.735626586789699</v>
      </c>
      <c r="AL4355">
        <v>82.363968665807207</v>
      </c>
      <c r="AM4355">
        <v>82.554601514868097</v>
      </c>
      <c r="AN4355">
        <v>0.99999996058970897</v>
      </c>
    </row>
    <row r="4356" spans="1:40" x14ac:dyDescent="0.25">
      <c r="A4356" t="str">
        <f>"20190312164558020"</f>
        <v>20190312164558020</v>
      </c>
      <c r="B4356" t="str">
        <f>"1552380358016077"</f>
        <v>1552380358016077</v>
      </c>
      <c r="C4356" t="s">
        <v>40</v>
      </c>
      <c r="D4356">
        <v>4.7417360000000004</v>
      </c>
      <c r="E4356">
        <v>0.436367</v>
      </c>
      <c r="F4356" t="s">
        <v>42</v>
      </c>
      <c r="G4356">
        <v>-421.74189999999999</v>
      </c>
      <c r="H4356" s="1">
        <v>-3.590165E-6</v>
      </c>
      <c r="I4356">
        <v>86.877489999999995</v>
      </c>
      <c r="J4356">
        <v>-422.66359999999997</v>
      </c>
      <c r="K4356">
        <v>1.1110439999999999</v>
      </c>
      <c r="L4356">
        <v>110.3571</v>
      </c>
      <c r="M4356">
        <v>-1.871573E-2</v>
      </c>
      <c r="N4356">
        <v>0</v>
      </c>
      <c r="O4356">
        <v>-0.99976889999999996</v>
      </c>
      <c r="P4356">
        <v>-0.1461481</v>
      </c>
      <c r="Q4356">
        <v>0.1202995</v>
      </c>
      <c r="R4356">
        <v>-0.98192109999999999</v>
      </c>
      <c r="S4356">
        <v>0.1200562</v>
      </c>
      <c r="T4356">
        <v>-0.1449193</v>
      </c>
      <c r="U4356">
        <v>-3.0946959999999999</v>
      </c>
      <c r="V4356">
        <v>0.12696879999999999</v>
      </c>
      <c r="W4356">
        <v>0.13145179999999901</v>
      </c>
      <c r="X4356">
        <v>0.98315779999999997</v>
      </c>
      <c r="Y4356">
        <v>-5.7418579999999997E-2</v>
      </c>
      <c r="Z4356">
        <v>4.6708600000000003E-2</v>
      </c>
      <c r="AA4356">
        <v>0.9972569</v>
      </c>
      <c r="AB4356">
        <v>24</v>
      </c>
      <c r="AC4356">
        <v>0.92169999999998697</v>
      </c>
      <c r="AD4356">
        <v>-1.1110475901649901</v>
      </c>
      <c r="AE4356">
        <v>-23.479609999999902</v>
      </c>
      <c r="AF4356">
        <v>-1.35796515291396</v>
      </c>
      <c r="AG4356">
        <v>-1.1110475901649901</v>
      </c>
      <c r="AH4356">
        <v>23.4059169576256</v>
      </c>
      <c r="AI4356">
        <v>92.713158338266297</v>
      </c>
      <c r="AJ4356">
        <v>93.320465832735906</v>
      </c>
      <c r="AK4356">
        <v>23.471588031733301</v>
      </c>
      <c r="AL4356">
        <v>82.446505326147403</v>
      </c>
      <c r="AM4356">
        <v>82.641330741819502</v>
      </c>
      <c r="AN4356">
        <v>0.999999955798759</v>
      </c>
    </row>
    <row r="4357" spans="1:40" x14ac:dyDescent="0.25">
      <c r="A4357" t="str">
        <f>"20190312164558043"</f>
        <v>20190312164558043</v>
      </c>
      <c r="B4357" t="str">
        <f>"1552380358035601"</f>
        <v>1552380358035601</v>
      </c>
      <c r="C4357" t="s">
        <v>40</v>
      </c>
      <c r="D4357">
        <v>4.7883889999999996</v>
      </c>
      <c r="E4357">
        <v>0.436836</v>
      </c>
      <c r="F4357" t="s">
        <v>42</v>
      </c>
      <c r="G4357">
        <v>-421.69200000000001</v>
      </c>
      <c r="H4357" s="1">
        <v>-4.0618660000000004E-6</v>
      </c>
      <c r="I4357">
        <v>88.040779999999998</v>
      </c>
      <c r="J4357">
        <v>-422.66399999999999</v>
      </c>
      <c r="K4357">
        <v>1.110997</v>
      </c>
      <c r="L4357">
        <v>110.11369999999999</v>
      </c>
      <c r="M4357">
        <v>-1.50543E-2</v>
      </c>
      <c r="N4357">
        <v>0</v>
      </c>
      <c r="O4357">
        <v>-0.99983169999999999</v>
      </c>
      <c r="P4357">
        <v>-0.14102529999999999</v>
      </c>
      <c r="Q4357">
        <v>0.1190465</v>
      </c>
      <c r="R4357">
        <v>-0.98282239999999998</v>
      </c>
      <c r="S4357">
        <v>0.13470460000000001</v>
      </c>
      <c r="T4357">
        <v>-0.15404619999999999</v>
      </c>
      <c r="U4357">
        <v>-3.094147</v>
      </c>
      <c r="V4357">
        <v>0.12545689999999901</v>
      </c>
      <c r="W4357">
        <v>0.1300936</v>
      </c>
      <c r="X4357">
        <v>0.98353250000000003</v>
      </c>
      <c r="Y4357">
        <v>-5.8476390000000003E-2</v>
      </c>
      <c r="Z4357">
        <v>4.9650270000000003E-2</v>
      </c>
      <c r="AA4357">
        <v>0.99705330000000003</v>
      </c>
      <c r="AB4357">
        <v>24</v>
      </c>
      <c r="AC4357">
        <v>0.97200000000003595</v>
      </c>
      <c r="AD4357">
        <v>-1.111001061866</v>
      </c>
      <c r="AE4357">
        <v>-22.07292</v>
      </c>
      <c r="AF4357">
        <v>-1.3009110736588501</v>
      </c>
      <c r="AG4357">
        <v>-1.111001061866</v>
      </c>
      <c r="AH4357">
        <v>22.000156740076701</v>
      </c>
      <c r="AI4357">
        <v>92.885930657216093</v>
      </c>
      <c r="AJ4357">
        <v>93.384067766346405</v>
      </c>
      <c r="AK4357">
        <v>22.0665717674717</v>
      </c>
      <c r="AL4357">
        <v>82.524998704816298</v>
      </c>
      <c r="AM4357">
        <v>82.730752455337395</v>
      </c>
      <c r="AN4357">
        <v>0.99999997853740896</v>
      </c>
    </row>
    <row r="4358" spans="1:40" x14ac:dyDescent="0.25">
      <c r="A4358" t="str">
        <f>"20190312164558064"</f>
        <v>20190312164558064</v>
      </c>
      <c r="B4358" t="str">
        <f>"1552380358056094"</f>
        <v>1552380358056094</v>
      </c>
      <c r="C4358" t="s">
        <v>40</v>
      </c>
      <c r="D4358">
        <v>4.8261580000000004</v>
      </c>
      <c r="E4358">
        <v>0.4373842</v>
      </c>
      <c r="F4358" t="s">
        <v>42</v>
      </c>
      <c r="G4358">
        <v>-421.6377</v>
      </c>
      <c r="H4358" s="1">
        <v>-4.1657020000000003E-6</v>
      </c>
      <c r="I4358">
        <v>88.374219999999994</v>
      </c>
      <c r="J4358">
        <v>-422.66370000000001</v>
      </c>
      <c r="K4358">
        <v>1.1109279999999999</v>
      </c>
      <c r="L4358">
        <v>109.8738</v>
      </c>
      <c r="M4358">
        <v>-1.1540160000000001E-2</v>
      </c>
      <c r="N4358">
        <v>0</v>
      </c>
      <c r="O4358">
        <v>-0.99987950000000003</v>
      </c>
      <c r="P4358">
        <v>-0.1353453</v>
      </c>
      <c r="Q4358">
        <v>0.1174549</v>
      </c>
      <c r="R4358">
        <v>-0.98381189999999996</v>
      </c>
      <c r="S4358">
        <v>0.14599609999999999</v>
      </c>
      <c r="T4358">
        <v>-0.1580445</v>
      </c>
      <c r="U4358">
        <v>-3.0925289999999999</v>
      </c>
      <c r="V4358">
        <v>0.1232534</v>
      </c>
      <c r="W4358">
        <v>0.12838579999999999</v>
      </c>
      <c r="X4358">
        <v>0.9840354</v>
      </c>
      <c r="Y4358">
        <v>-5.8620270000000002E-2</v>
      </c>
      <c r="Z4358">
        <v>5.0961350000000002E-2</v>
      </c>
      <c r="AA4358">
        <v>0.99697880000000005</v>
      </c>
      <c r="AB4358">
        <v>25</v>
      </c>
      <c r="AC4358">
        <v>1.02600000000001</v>
      </c>
      <c r="AD4358">
        <v>-1.1109321657019999</v>
      </c>
      <c r="AE4358">
        <v>-21.499580000000002</v>
      </c>
      <c r="AF4358">
        <v>-1.2706686334171999</v>
      </c>
      <c r="AG4358">
        <v>-1.1109321657019999</v>
      </c>
      <c r="AH4358">
        <v>21.429220827147802</v>
      </c>
      <c r="AI4358">
        <v>92.962472872801897</v>
      </c>
      <c r="AJ4358">
        <v>93.393441281874004</v>
      </c>
      <c r="AK4358">
        <v>21.495587321852899</v>
      </c>
      <c r="AL4358">
        <v>82.623676115898704</v>
      </c>
      <c r="AM4358">
        <v>82.860710471325106</v>
      </c>
      <c r="AN4358">
        <v>0.99999999135317996</v>
      </c>
    </row>
    <row r="4359" spans="1:40" x14ac:dyDescent="0.25">
      <c r="A4359" t="str">
        <f>"20190312164558087"</f>
        <v>20190312164558087</v>
      </c>
      <c r="B4359" t="str">
        <f>"1552380358075617"</f>
        <v>1552380358075617</v>
      </c>
      <c r="C4359" t="s">
        <v>40</v>
      </c>
      <c r="D4359">
        <v>4.7495710000000004</v>
      </c>
      <c r="E4359">
        <v>0.43789349999999999</v>
      </c>
      <c r="F4359" t="s">
        <v>42</v>
      </c>
      <c r="G4359">
        <v>-421.57819999999998</v>
      </c>
      <c r="H4359" s="1">
        <v>-4.2488599999999998E-6</v>
      </c>
      <c r="I4359">
        <v>88.649600000000007</v>
      </c>
      <c r="J4359">
        <v>-422.6626</v>
      </c>
      <c r="K4359">
        <v>1.110833</v>
      </c>
      <c r="L4359">
        <v>109.6272</v>
      </c>
      <c r="M4359">
        <v>-8.0496850000000009E-3</v>
      </c>
      <c r="N4359">
        <v>0</v>
      </c>
      <c r="O4359">
        <v>-0.99991479999999999</v>
      </c>
      <c r="P4359">
        <v>-0.1300405</v>
      </c>
      <c r="Q4359">
        <v>0.11676690000000001</v>
      </c>
      <c r="R4359">
        <v>-0.98460919999999996</v>
      </c>
      <c r="S4359">
        <v>0.15805050000000001</v>
      </c>
      <c r="T4359">
        <v>-0.16176189999999999</v>
      </c>
      <c r="U4359">
        <v>-3.0904389999999999</v>
      </c>
      <c r="V4359">
        <v>0.1214094</v>
      </c>
      <c r="W4359">
        <v>0.1275695</v>
      </c>
      <c r="X4359">
        <v>0.98437079999999999</v>
      </c>
      <c r="Y4359">
        <v>-5.9043369999999998E-2</v>
      </c>
      <c r="Z4359">
        <v>5.2188989999999998E-2</v>
      </c>
      <c r="AA4359">
        <v>0.99689019999999995</v>
      </c>
      <c r="AB4359">
        <v>25</v>
      </c>
      <c r="AC4359">
        <v>1.08440000000001</v>
      </c>
      <c r="AD4359">
        <v>-1.11083724886</v>
      </c>
      <c r="AE4359">
        <v>-20.977599999999899</v>
      </c>
      <c r="AF4359">
        <v>-1.2497418233492099</v>
      </c>
      <c r="AG4359">
        <v>-1.11083724886</v>
      </c>
      <c r="AH4359">
        <v>20.909714630064499</v>
      </c>
      <c r="AI4359">
        <v>93.035596285665804</v>
      </c>
      <c r="AJ4359">
        <v>93.420412542081394</v>
      </c>
      <c r="AK4359">
        <v>20.976462521817499</v>
      </c>
      <c r="AL4359">
        <v>82.670834844334294</v>
      </c>
      <c r="AM4359">
        <v>82.968816402104594</v>
      </c>
      <c r="AN4359">
        <v>1.00000004581562</v>
      </c>
    </row>
    <row r="4360" spans="1:40" x14ac:dyDescent="0.25">
      <c r="A4360" t="str">
        <f>"20190312164558110"</f>
        <v>20190312164558110</v>
      </c>
      <c r="B4360" t="str">
        <f>"1552380358105878"</f>
        <v>1552380358105878</v>
      </c>
      <c r="C4360" t="s">
        <v>40</v>
      </c>
      <c r="D4360">
        <v>4.6986520000000001</v>
      </c>
      <c r="E4360">
        <v>0.43864399999999998</v>
      </c>
      <c r="F4360" t="s">
        <v>42</v>
      </c>
      <c r="G4360">
        <v>-421.52640000000002</v>
      </c>
      <c r="H4360" s="1">
        <v>-4.3119640000000002E-6</v>
      </c>
      <c r="I4360">
        <v>88.86206</v>
      </c>
      <c r="J4360">
        <v>-422.66079999999999</v>
      </c>
      <c r="K4360">
        <v>1.1107290000000001</v>
      </c>
      <c r="L4360">
        <v>109.3792</v>
      </c>
      <c r="M4360">
        <v>-4.7000669999999996E-3</v>
      </c>
      <c r="N4360">
        <v>0</v>
      </c>
      <c r="O4360">
        <v>-0.99993710000000002</v>
      </c>
      <c r="P4360">
        <v>-0.12523310000000001</v>
      </c>
      <c r="Q4360">
        <v>0.1169265</v>
      </c>
      <c r="R4360">
        <v>-0.98521329999999996</v>
      </c>
      <c r="S4360">
        <v>0.1690063</v>
      </c>
      <c r="T4360">
        <v>-0.16523669999999999</v>
      </c>
      <c r="U4360">
        <v>-3.0888059999999999</v>
      </c>
      <c r="V4360">
        <v>0.1199291</v>
      </c>
      <c r="W4360">
        <v>0.12759599999999999</v>
      </c>
      <c r="X4360">
        <v>0.98454870000000005</v>
      </c>
      <c r="Y4360">
        <v>-5.9248960000000003E-2</v>
      </c>
      <c r="Z4360">
        <v>5.3331370000000003E-2</v>
      </c>
      <c r="AA4360">
        <v>0.99681759999999997</v>
      </c>
      <c r="AB4360">
        <v>25</v>
      </c>
      <c r="AC4360">
        <v>1.1343999999999701</v>
      </c>
      <c r="AD4360">
        <v>-1.1107333119639999</v>
      </c>
      <c r="AE4360">
        <v>-20.517140000000001</v>
      </c>
      <c r="AF4360">
        <v>-1.2272385751888</v>
      </c>
      <c r="AG4360">
        <v>-1.1107333119639999</v>
      </c>
      <c r="AH4360">
        <v>20.451823831380501</v>
      </c>
      <c r="AI4360">
        <v>93.103094331427599</v>
      </c>
      <c r="AJ4360">
        <v>93.433990865048003</v>
      </c>
      <c r="AK4360">
        <v>20.518697352428699</v>
      </c>
      <c r="AL4360">
        <v>82.669303182600501</v>
      </c>
      <c r="AM4360">
        <v>83.054945254736296</v>
      </c>
      <c r="AN4360">
        <v>0.99999993545724797</v>
      </c>
    </row>
    <row r="4361" spans="1:40" x14ac:dyDescent="0.25">
      <c r="A4361" t="str">
        <f>"20190312164558134"</f>
        <v>20190312164558134</v>
      </c>
      <c r="B4361" t="str">
        <f>"1552380358126367"</f>
        <v>1552380358126367</v>
      </c>
      <c r="C4361" t="s">
        <v>40</v>
      </c>
      <c r="D4361">
        <v>4.8377819999999998</v>
      </c>
      <c r="E4361">
        <v>0.43913609999999997</v>
      </c>
      <c r="F4361" t="s">
        <v>42</v>
      </c>
      <c r="G4361">
        <v>-421.4787</v>
      </c>
      <c r="H4361" s="1">
        <v>-4.2584770000000004E-6</v>
      </c>
      <c r="I4361">
        <v>88.729740000000007</v>
      </c>
      <c r="J4361">
        <v>-422.65820000000002</v>
      </c>
      <c r="K4361">
        <v>1.110611</v>
      </c>
      <c r="L4361">
        <v>109.1253</v>
      </c>
      <c r="M4361">
        <v>-1.447201E-3</v>
      </c>
      <c r="N4361">
        <v>0</v>
      </c>
      <c r="O4361">
        <v>-0.99994799999999995</v>
      </c>
      <c r="P4361">
        <v>-0.1202386</v>
      </c>
      <c r="Q4361">
        <v>0.1164612</v>
      </c>
      <c r="R4361">
        <v>-0.9858905</v>
      </c>
      <c r="S4361">
        <v>0.1767273</v>
      </c>
      <c r="T4361">
        <v>-0.16606099999999999</v>
      </c>
      <c r="U4361">
        <v>-3.0872190000000002</v>
      </c>
      <c r="V4361">
        <v>0.11817560000000001</v>
      </c>
      <c r="W4361">
        <v>0.127</v>
      </c>
      <c r="X4361">
        <v>0.98483779999999999</v>
      </c>
      <c r="Y4361">
        <v>-5.8513879999999997E-2</v>
      </c>
      <c r="Z4361">
        <v>5.3622330000000003E-2</v>
      </c>
      <c r="AA4361">
        <v>0.99684539999999999</v>
      </c>
      <c r="AB4361">
        <v>25</v>
      </c>
      <c r="AC4361">
        <v>1.17950000000001</v>
      </c>
      <c r="AD4361">
        <v>-1.1106152584769999</v>
      </c>
      <c r="AE4361">
        <v>-20.3955599999999</v>
      </c>
      <c r="AF4361">
        <v>-1.20545422876949</v>
      </c>
      <c r="AG4361">
        <v>-1.1106152584769999</v>
      </c>
      <c r="AH4361">
        <v>20.333738675567201</v>
      </c>
      <c r="AI4361">
        <v>93.120882309961203</v>
      </c>
      <c r="AJ4361">
        <v>93.3927207316448</v>
      </c>
      <c r="AK4361">
        <v>20.399693984868399</v>
      </c>
      <c r="AL4361">
        <v>82.703731905642002</v>
      </c>
      <c r="AM4361">
        <v>83.157509677083894</v>
      </c>
      <c r="AN4361">
        <v>0.99999998237209897</v>
      </c>
    </row>
    <row r="4362" spans="1:40" x14ac:dyDescent="0.25">
      <c r="A4362" t="str">
        <f>"20190312164558154"</f>
        <v>20190312164558154</v>
      </c>
      <c r="B4362" t="str">
        <f>"1552380358145886"</f>
        <v>1552380358145886</v>
      </c>
      <c r="C4362" t="s">
        <v>40</v>
      </c>
      <c r="D4362">
        <v>4.82552</v>
      </c>
      <c r="E4362">
        <v>0.43962800000000002</v>
      </c>
      <c r="F4362" t="s">
        <v>42</v>
      </c>
      <c r="G4362">
        <v>-421.4461</v>
      </c>
      <c r="H4362" s="1">
        <v>-4.4205539999999997E-6</v>
      </c>
      <c r="I4362">
        <v>89.223010000000002</v>
      </c>
      <c r="J4362">
        <v>-422.6551</v>
      </c>
      <c r="K4362">
        <v>1.1105050000000001</v>
      </c>
      <c r="L4362">
        <v>108.8845</v>
      </c>
      <c r="M4362">
        <v>1.4996079999999999E-3</v>
      </c>
      <c r="N4362">
        <v>0</v>
      </c>
      <c r="O4362">
        <v>-0.99994899999999998</v>
      </c>
      <c r="P4362">
        <v>-0.1157894</v>
      </c>
      <c r="Q4362">
        <v>0.11597639999999999</v>
      </c>
      <c r="R4362">
        <v>-0.98647980000000002</v>
      </c>
      <c r="S4362">
        <v>0.18795780000000001</v>
      </c>
      <c r="T4362">
        <v>-0.17222029999999999</v>
      </c>
      <c r="U4362">
        <v>-3.0861969999999999</v>
      </c>
      <c r="V4362">
        <v>0.1166639</v>
      </c>
      <c r="W4362">
        <v>0.12640080000000001</v>
      </c>
      <c r="X4362">
        <v>0.9850951</v>
      </c>
      <c r="Y4362">
        <v>-5.9199010000000003E-2</v>
      </c>
      <c r="Z4362">
        <v>5.561642E-2</v>
      </c>
      <c r="AA4362">
        <v>0.99669569999999996</v>
      </c>
      <c r="AB4362">
        <v>25</v>
      </c>
      <c r="AC4362">
        <v>1.2090000000000001</v>
      </c>
      <c r="AD4362">
        <v>-1.11050942055399</v>
      </c>
      <c r="AE4362">
        <v>-19.661490000000001</v>
      </c>
      <c r="AF4362">
        <v>-1.1757758652900601</v>
      </c>
      <c r="AG4362">
        <v>-1.11050942055399</v>
      </c>
      <c r="AH4362">
        <v>19.6009863857245</v>
      </c>
      <c r="AI4362">
        <v>93.236865325434493</v>
      </c>
      <c r="AJ4362">
        <v>93.432805164062998</v>
      </c>
      <c r="AK4362">
        <v>19.667596379626499</v>
      </c>
      <c r="AL4362">
        <v>82.738342533042001</v>
      </c>
      <c r="AM4362">
        <v>83.245972758682001</v>
      </c>
      <c r="AN4362">
        <v>0.99999999192392997</v>
      </c>
    </row>
    <row r="4363" spans="1:40" x14ac:dyDescent="0.25">
      <c r="A4363" t="str">
        <f>"20190312164558177"</f>
        <v>20190312164558177</v>
      </c>
      <c r="B4363" t="str">
        <f>"1552380358165407"</f>
        <v>1552380358165407</v>
      </c>
      <c r="C4363" t="s">
        <v>40</v>
      </c>
      <c r="D4363">
        <v>4.8062079999999998</v>
      </c>
      <c r="E4363">
        <v>0.440052</v>
      </c>
      <c r="F4363" t="s">
        <v>42</v>
      </c>
      <c r="G4363">
        <v>-421.41739999999999</v>
      </c>
      <c r="H4363" s="1">
        <v>-4.4991230000000003E-6</v>
      </c>
      <c r="I4363">
        <v>89.468819999999994</v>
      </c>
      <c r="J4363">
        <v>-422.6515</v>
      </c>
      <c r="K4363">
        <v>1.1104039999999999</v>
      </c>
      <c r="L4363">
        <v>108.6422</v>
      </c>
      <c r="M4363">
        <v>4.3197330000000001E-3</v>
      </c>
      <c r="N4363">
        <v>0</v>
      </c>
      <c r="O4363">
        <v>-0.99994179999999999</v>
      </c>
      <c r="P4363">
        <v>-0.111467899999999</v>
      </c>
      <c r="Q4363">
        <v>0.115213</v>
      </c>
      <c r="R4363">
        <v>-0.98706700000000003</v>
      </c>
      <c r="S4363">
        <v>0.19665530000000001</v>
      </c>
      <c r="T4363">
        <v>-0.17644889999999999</v>
      </c>
      <c r="U4363">
        <v>-3.0849609999999998</v>
      </c>
      <c r="V4363">
        <v>0.1151566</v>
      </c>
      <c r="W4363">
        <v>0.1255252</v>
      </c>
      <c r="X4363">
        <v>0.98538440000000005</v>
      </c>
      <c r="Y4363">
        <v>-5.9202129999999999E-2</v>
      </c>
      <c r="Z4363">
        <v>5.6994650000000001E-2</v>
      </c>
      <c r="AA4363">
        <v>0.99661759999999999</v>
      </c>
      <c r="AB4363">
        <v>25</v>
      </c>
      <c r="AC4363">
        <v>1.23410000000001</v>
      </c>
      <c r="AD4363">
        <v>-1.1104084991230001</v>
      </c>
      <c r="AE4363">
        <v>-19.173380000000002</v>
      </c>
      <c r="AF4363">
        <v>-1.14742791400981</v>
      </c>
      <c r="AG4363">
        <v>-1.1104084991230001</v>
      </c>
      <c r="AH4363">
        <v>19.114685433595699</v>
      </c>
      <c r="AI4363">
        <v>93.318723828357804</v>
      </c>
      <c r="AJ4363">
        <v>93.435263463476701</v>
      </c>
      <c r="AK4363">
        <v>19.181261613306098</v>
      </c>
      <c r="AL4363">
        <v>82.788913702870204</v>
      </c>
      <c r="AM4363">
        <v>83.334384098863893</v>
      </c>
      <c r="AN4363">
        <v>1.00000001706098</v>
      </c>
    </row>
    <row r="4364" spans="1:40" x14ac:dyDescent="0.25">
      <c r="A4364" t="str">
        <f>"20190312164558199"</f>
        <v>20190312164558199</v>
      </c>
      <c r="B4364" t="str">
        <f>"1552380358195662"</f>
        <v>1552380358195662</v>
      </c>
      <c r="C4364" t="s">
        <v>40</v>
      </c>
      <c r="D4364">
        <v>4.7273139999999998</v>
      </c>
      <c r="E4364">
        <v>0.4547658</v>
      </c>
      <c r="F4364" t="s">
        <v>42</v>
      </c>
      <c r="G4364">
        <v>-421.41059999999999</v>
      </c>
      <c r="H4364" s="1">
        <v>-5.7673290000000004E-7</v>
      </c>
      <c r="I4364">
        <v>90.058589999999995</v>
      </c>
      <c r="J4364">
        <v>-422.64729999999997</v>
      </c>
      <c r="K4364">
        <v>1.1103080000000001</v>
      </c>
      <c r="L4364">
        <v>108.39790000000001</v>
      </c>
      <c r="M4364">
        <v>7.0030140000000001E-3</v>
      </c>
      <c r="N4364">
        <v>0</v>
      </c>
      <c r="O4364">
        <v>-0.99992709999999996</v>
      </c>
      <c r="P4364">
        <v>-0.1080507</v>
      </c>
      <c r="Q4364">
        <v>0.1148821</v>
      </c>
      <c r="R4364">
        <v>-0.98748539999999996</v>
      </c>
      <c r="S4364">
        <v>0.20593259999999999</v>
      </c>
      <c r="T4364">
        <v>-0.18427869999999999</v>
      </c>
      <c r="U4364">
        <v>-3.084076</v>
      </c>
      <c r="V4364">
        <v>0.1144186</v>
      </c>
      <c r="W4364">
        <v>0.12508430000000001</v>
      </c>
      <c r="X4364">
        <v>0.98552640000000002</v>
      </c>
      <c r="Y4364">
        <v>-5.9516970000000002E-2</v>
      </c>
      <c r="Z4364">
        <v>5.9524220000000003E-2</v>
      </c>
      <c r="AA4364">
        <v>0.99645099999999998</v>
      </c>
      <c r="AB4364">
        <v>25</v>
      </c>
      <c r="AC4364">
        <v>1.2366999999999799</v>
      </c>
      <c r="AD4364">
        <v>-1.1103085767329</v>
      </c>
      <c r="AE4364">
        <v>-18.339310000000001</v>
      </c>
      <c r="AF4364">
        <v>-1.1042039853471799</v>
      </c>
      <c r="AG4364">
        <v>-1.1103085767329</v>
      </c>
      <c r="AH4364">
        <v>18.2808181077123</v>
      </c>
      <c r="AI4364">
        <v>93.469354328673006</v>
      </c>
      <c r="AJ4364">
        <v>93.456598860106197</v>
      </c>
      <c r="AK4364">
        <v>18.347761778050302</v>
      </c>
      <c r="AL4364">
        <v>82.814375915011695</v>
      </c>
      <c r="AM4364">
        <v>83.377666889195098</v>
      </c>
      <c r="AN4364">
        <v>0.99999999161470499</v>
      </c>
    </row>
    <row r="4365" spans="1:40" x14ac:dyDescent="0.25">
      <c r="A4365" t="str">
        <f>"20190312164558222"</f>
        <v>20190312164558222</v>
      </c>
      <c r="B4365" t="str">
        <f>"1552380358216158"</f>
        <v>1552380358216158</v>
      </c>
      <c r="C4365" t="s">
        <v>40</v>
      </c>
      <c r="D4365">
        <v>4.994669</v>
      </c>
      <c r="E4365">
        <v>0.46800560000000002</v>
      </c>
      <c r="F4365" t="s">
        <v>42</v>
      </c>
      <c r="G4365">
        <v>-422.11689999999999</v>
      </c>
      <c r="H4365" s="1">
        <v>-1.718625E-6</v>
      </c>
      <c r="I4365">
        <v>92.282290000000003</v>
      </c>
      <c r="J4365">
        <v>-422.64229999999998</v>
      </c>
      <c r="K4365">
        <v>1.110187</v>
      </c>
      <c r="L4365">
        <v>108.1354</v>
      </c>
      <c r="M4365">
        <v>9.7077190000000001E-3</v>
      </c>
      <c r="N4365">
        <v>0</v>
      </c>
      <c r="O4365">
        <v>-0.99990579999999996</v>
      </c>
      <c r="P4365">
        <v>-0.104204</v>
      </c>
      <c r="Q4365">
        <v>0.114366</v>
      </c>
      <c r="R4365">
        <v>-0.98795900000000003</v>
      </c>
      <c r="S4365">
        <v>0.1011658</v>
      </c>
      <c r="T4365">
        <v>-0.21176790000000001</v>
      </c>
      <c r="U4365">
        <v>-3.073715</v>
      </c>
      <c r="V4365">
        <v>0.11327959999999999</v>
      </c>
      <c r="W4365">
        <v>0.1244465</v>
      </c>
      <c r="X4365">
        <v>0.98573869999999997</v>
      </c>
      <c r="Y4365">
        <v>-2.3113189999999999E-2</v>
      </c>
      <c r="Z4365">
        <v>6.8700949999999997E-2</v>
      </c>
      <c r="AA4365">
        <v>0.99736950000000002</v>
      </c>
      <c r="AB4365">
        <v>25</v>
      </c>
      <c r="AC4365">
        <v>0.52539999999998999</v>
      </c>
      <c r="AD4365">
        <v>-1.1101887186249999</v>
      </c>
      <c r="AE4365">
        <v>-15.853109999999999</v>
      </c>
      <c r="AF4365">
        <v>-0.36965957693142898</v>
      </c>
      <c r="AG4365">
        <v>-1.1101887186249999</v>
      </c>
      <c r="AH4365">
        <v>15.7801600616964</v>
      </c>
      <c r="AI4365">
        <v>94.023224838808204</v>
      </c>
      <c r="AJ4365">
        <v>91.341942070644095</v>
      </c>
      <c r="AK4365">
        <v>15.823483142675601</v>
      </c>
      <c r="AL4365">
        <v>82.851206954030701</v>
      </c>
      <c r="AM4365">
        <v>83.444413032664102</v>
      </c>
      <c r="AN4365">
        <v>0.999999991908049</v>
      </c>
    </row>
    <row r="4366" spans="1:40" x14ac:dyDescent="0.25">
      <c r="A4366" t="str">
        <f>"20190312164558235"</f>
        <v>20190312164558235</v>
      </c>
      <c r="B4366" t="str">
        <f>"1552380358225918"</f>
        <v>1552380358225918</v>
      </c>
      <c r="C4366" t="s">
        <v>40</v>
      </c>
      <c r="D4366">
        <v>5.115259</v>
      </c>
      <c r="E4366">
        <v>0.47563680000000003</v>
      </c>
      <c r="F4366" t="s">
        <v>41</v>
      </c>
      <c r="G4366">
        <v>-422.63690000000003</v>
      </c>
      <c r="H4366">
        <v>1.0208269999999999</v>
      </c>
      <c r="I4366">
        <v>107.3519</v>
      </c>
      <c r="J4366">
        <v>-422.63929999999999</v>
      </c>
      <c r="K4366">
        <v>1.110114</v>
      </c>
      <c r="L4366">
        <v>107.98779999999999</v>
      </c>
      <c r="M4366">
        <v>1.1146440000000001E-2</v>
      </c>
      <c r="N4366">
        <v>0</v>
      </c>
      <c r="O4366">
        <v>-0.99989099999999997</v>
      </c>
      <c r="P4366">
        <v>-0.1025442</v>
      </c>
      <c r="Q4366">
        <v>0.1141062</v>
      </c>
      <c r="R4366">
        <v>-0.9881626</v>
      </c>
      <c r="S4366">
        <v>2.2521969999999999E-2</v>
      </c>
      <c r="T4366">
        <v>-0.35148740000000001</v>
      </c>
      <c r="U4366">
        <v>-3.0796359999999998</v>
      </c>
      <c r="V4366">
        <v>0.1130622</v>
      </c>
      <c r="W4366">
        <v>0.1241177</v>
      </c>
      <c r="X4366">
        <v>0.98580509999999999</v>
      </c>
      <c r="Y4366">
        <v>3.88128E-3</v>
      </c>
      <c r="Z4366">
        <v>0.1133841</v>
      </c>
      <c r="AA4366">
        <v>0.99354359999999997</v>
      </c>
      <c r="AB4366">
        <v>25</v>
      </c>
      <c r="AC4366">
        <v>2.3999999999659801E-3</v>
      </c>
      <c r="AD4366">
        <v>-8.9286999999999894E-2</v>
      </c>
      <c r="AE4366">
        <v>-0.63589999999999203</v>
      </c>
      <c r="AF4366">
        <v>4.5978566857572704E-3</v>
      </c>
      <c r="AG4366">
        <v>-8.9286999999999894E-2</v>
      </c>
      <c r="AH4366">
        <v>0.623593221937637</v>
      </c>
      <c r="AI4366">
        <v>98.148094471277005</v>
      </c>
      <c r="AJ4366">
        <v>89.577556330022901</v>
      </c>
      <c r="AK4366">
        <v>0.62996969379619105</v>
      </c>
      <c r="AL4366">
        <v>82.870192920487696</v>
      </c>
      <c r="AM4366">
        <v>83.457321851296001</v>
      </c>
      <c r="AN4366">
        <v>0.99999997985406897</v>
      </c>
    </row>
    <row r="4367" spans="1:40" x14ac:dyDescent="0.25">
      <c r="A4367" t="str">
        <f>"20190312164558255"</f>
        <v>20190312164558255</v>
      </c>
      <c r="B4367" t="str">
        <f>"1552380358245438"</f>
        <v>1552380358245438</v>
      </c>
      <c r="C4367" t="s">
        <v>40</v>
      </c>
      <c r="D4367">
        <v>4.9936170000000004</v>
      </c>
      <c r="E4367">
        <v>0.48623349999999999</v>
      </c>
      <c r="F4367" t="s">
        <v>41</v>
      </c>
      <c r="G4367">
        <v>-422.64830000000001</v>
      </c>
      <c r="H4367">
        <v>1.0085230000000001</v>
      </c>
      <c r="I4367">
        <v>107.1353</v>
      </c>
      <c r="J4367">
        <v>-422.6345</v>
      </c>
      <c r="K4367">
        <v>1.1100099999999999</v>
      </c>
      <c r="L4367">
        <v>107.77370000000001</v>
      </c>
      <c r="M4367">
        <v>1.3138179999999999E-2</v>
      </c>
      <c r="N4367">
        <v>0</v>
      </c>
      <c r="O4367">
        <v>-0.99986770000000003</v>
      </c>
      <c r="P4367">
        <v>-9.964481E-2</v>
      </c>
      <c r="Q4367">
        <v>0.11260149999999999</v>
      </c>
      <c r="R4367">
        <v>-0.9886317</v>
      </c>
      <c r="S4367">
        <v>-3.2501219999999997E-2</v>
      </c>
      <c r="T4367">
        <v>-0.36639110000000003</v>
      </c>
      <c r="U4367">
        <v>-3.074875</v>
      </c>
      <c r="V4367">
        <v>0.1121692</v>
      </c>
      <c r="W4367">
        <v>0.1225093</v>
      </c>
      <c r="X4367">
        <v>0.98610830000000005</v>
      </c>
      <c r="Y4367">
        <v>2.3632259999999999E-2</v>
      </c>
      <c r="Z4367">
        <v>0.1182843</v>
      </c>
      <c r="AA4367">
        <v>0.99269850000000004</v>
      </c>
      <c r="AB4367">
        <v>25</v>
      </c>
      <c r="AC4367">
        <v>-1.3800000000003299E-2</v>
      </c>
      <c r="AD4367">
        <v>-0.10148699999999899</v>
      </c>
      <c r="AE4367">
        <v>-0.63840000000000396</v>
      </c>
      <c r="AF4367">
        <v>2.1639984117021199E-2</v>
      </c>
      <c r="AG4367">
        <v>-0.10148699999999899</v>
      </c>
      <c r="AH4367">
        <v>0.62244076788422098</v>
      </c>
      <c r="AI4367">
        <v>99.254914461720702</v>
      </c>
      <c r="AJ4367">
        <v>88.008837727525005</v>
      </c>
      <c r="AK4367">
        <v>0.63103122712420801</v>
      </c>
      <c r="AL4367">
        <v>82.963056493769699</v>
      </c>
      <c r="AM4367">
        <v>83.510534023147301</v>
      </c>
      <c r="AN4367">
        <v>1.0000000186720099</v>
      </c>
    </row>
    <row r="4368" spans="1:40" x14ac:dyDescent="0.25">
      <c r="A4368" t="str">
        <f>"20190312164558277"</f>
        <v>20190312164558277</v>
      </c>
      <c r="B4368" t="str">
        <f>"1552380358265934"</f>
        <v>1552380358265934</v>
      </c>
      <c r="C4368" t="s">
        <v>40</v>
      </c>
      <c r="D4368">
        <v>4.8575949999999999</v>
      </c>
      <c r="E4368">
        <v>0.49223169999999999</v>
      </c>
      <c r="F4368" t="s">
        <v>41</v>
      </c>
      <c r="G4368">
        <v>-422.66399999999999</v>
      </c>
      <c r="H4368">
        <v>0.99508770000000002</v>
      </c>
      <c r="I4368">
        <v>106.91849999999999</v>
      </c>
      <c r="J4368">
        <v>-422.62880000000001</v>
      </c>
      <c r="K4368">
        <v>1.1098840000000001</v>
      </c>
      <c r="L4368">
        <v>107.52630000000001</v>
      </c>
      <c r="M4368">
        <v>1.5300619999999999E-2</v>
      </c>
      <c r="N4368">
        <v>0</v>
      </c>
      <c r="O4368">
        <v>-0.99983770000000005</v>
      </c>
      <c r="P4368">
        <v>-9.6874479999999999E-2</v>
      </c>
      <c r="Q4368">
        <v>0.11130230000000001</v>
      </c>
      <c r="R4368">
        <v>-0.98905399999999999</v>
      </c>
      <c r="S4368">
        <v>-0.1039124</v>
      </c>
      <c r="T4368">
        <v>-0.41312109999999902</v>
      </c>
      <c r="U4368">
        <v>-3.071075</v>
      </c>
      <c r="V4368">
        <v>0.1115762</v>
      </c>
      <c r="W4368">
        <v>0.1210923</v>
      </c>
      <c r="X4368">
        <v>0.98635050000000002</v>
      </c>
      <c r="Y4368">
        <v>4.8803720000000002E-2</v>
      </c>
      <c r="Z4368">
        <v>0.13317880000000001</v>
      </c>
      <c r="AA4368">
        <v>0.98988969999999998</v>
      </c>
      <c r="AB4368">
        <v>25</v>
      </c>
      <c r="AC4368">
        <v>-3.51999999999748E-2</v>
      </c>
      <c r="AD4368">
        <v>-0.1147963</v>
      </c>
      <c r="AE4368">
        <v>-0.607800000000011</v>
      </c>
      <c r="AF4368">
        <v>4.2968348983792502E-2</v>
      </c>
      <c r="AG4368">
        <v>-0.1147963</v>
      </c>
      <c r="AH4368">
        <v>0.58634376803052302</v>
      </c>
      <c r="AI4368">
        <v>101.04854167994</v>
      </c>
      <c r="AJ4368">
        <v>85.808751909448503</v>
      </c>
      <c r="AK4368">
        <v>0.59901876749924499</v>
      </c>
      <c r="AL4368">
        <v>83.044853162594094</v>
      </c>
      <c r="AM4368">
        <v>83.546123006483299</v>
      </c>
      <c r="AN4368">
        <v>0.99999995118798801</v>
      </c>
    </row>
    <row r="4369" spans="1:40" x14ac:dyDescent="0.25">
      <c r="A4369" t="str">
        <f>"20190312164558291"</f>
        <v>20190312164558291</v>
      </c>
      <c r="B4369" t="str">
        <f>"1552380358286431"</f>
        <v>1552380358286431</v>
      </c>
      <c r="C4369" t="s">
        <v>40</v>
      </c>
      <c r="D4369">
        <v>5.0234699999999997</v>
      </c>
      <c r="E4369">
        <v>0.4959848</v>
      </c>
      <c r="F4369" t="s">
        <v>41</v>
      </c>
      <c r="G4369">
        <v>-422.66820000000001</v>
      </c>
      <c r="H4369">
        <v>0.99542609999999998</v>
      </c>
      <c r="I4369">
        <v>106.6943</v>
      </c>
      <c r="J4369">
        <v>-422.62490000000003</v>
      </c>
      <c r="K4369">
        <v>1.10981</v>
      </c>
      <c r="L4369">
        <v>107.3687</v>
      </c>
      <c r="M4369">
        <v>1.6617259999999998E-2</v>
      </c>
      <c r="N4369">
        <v>0</v>
      </c>
      <c r="O4369">
        <v>-0.99981719999999996</v>
      </c>
      <c r="P4369">
        <v>-9.5148079999999996E-2</v>
      </c>
      <c r="Q4369">
        <v>0.11064350000000001</v>
      </c>
      <c r="R4369">
        <v>-0.98929529999999999</v>
      </c>
      <c r="S4369">
        <v>-0.1442871</v>
      </c>
      <c r="T4369">
        <v>-0.42203689999999999</v>
      </c>
      <c r="U4369">
        <v>-3.0665589999999998</v>
      </c>
      <c r="V4369">
        <v>0.11117440000000001</v>
      </c>
      <c r="W4369">
        <v>0.12035999999999999</v>
      </c>
      <c r="X4369">
        <v>0.98648550000000002</v>
      </c>
      <c r="Y4369">
        <v>6.3155379999999997E-2</v>
      </c>
      <c r="Z4369">
        <v>0.1361021</v>
      </c>
      <c r="AA4369">
        <v>0.9886798</v>
      </c>
      <c r="AB4369">
        <v>25</v>
      </c>
      <c r="AC4369">
        <v>-4.3299999999987897E-2</v>
      </c>
      <c r="AD4369">
        <v>-0.114383899999999</v>
      </c>
      <c r="AE4369">
        <v>-0.674400000000005</v>
      </c>
      <c r="AF4369">
        <v>5.29832887473509E-2</v>
      </c>
      <c r="AG4369">
        <v>-0.114383899999999</v>
      </c>
      <c r="AH4369">
        <v>0.65482722904864099</v>
      </c>
      <c r="AI4369">
        <v>99.876703959794398</v>
      </c>
      <c r="AJ4369">
        <v>85.374169062759705</v>
      </c>
      <c r="AK4369">
        <v>0.66685051201091305</v>
      </c>
      <c r="AL4369">
        <v>83.087120067167803</v>
      </c>
      <c r="AM4369">
        <v>83.570041872507105</v>
      </c>
      <c r="AN4369">
        <v>0.99999995926280405</v>
      </c>
    </row>
    <row r="4370" spans="1:40" x14ac:dyDescent="0.25">
      <c r="A4370" t="str">
        <f>"20190312164558312"</f>
        <v>20190312164558312</v>
      </c>
      <c r="B4370" t="str">
        <f>"1552380358305951"</f>
        <v>1552380358305951</v>
      </c>
      <c r="C4370" t="s">
        <v>40</v>
      </c>
      <c r="D4370">
        <v>5.0167769999999896</v>
      </c>
      <c r="E4370">
        <v>0.49852930000000001</v>
      </c>
      <c r="F4370" t="s">
        <v>41</v>
      </c>
      <c r="G4370">
        <v>-422.6746</v>
      </c>
      <c r="H4370">
        <v>0.98508739999999995</v>
      </c>
      <c r="I4370">
        <v>106.4747</v>
      </c>
      <c r="J4370">
        <v>-422.61900000000003</v>
      </c>
      <c r="K4370">
        <v>1.1097140000000001</v>
      </c>
      <c r="L4370">
        <v>107.1362</v>
      </c>
      <c r="M4370">
        <v>1.846035E-2</v>
      </c>
      <c r="N4370">
        <v>0</v>
      </c>
      <c r="O4370">
        <v>-0.99978560000000005</v>
      </c>
      <c r="P4370">
        <v>-9.2368409999999998E-2</v>
      </c>
      <c r="Q4370">
        <v>0.10820349999999999</v>
      </c>
      <c r="R4370">
        <v>-0.98982840000000005</v>
      </c>
      <c r="S4370">
        <v>-0.16912839999999901</v>
      </c>
      <c r="T4370">
        <v>-0.42767749999999999</v>
      </c>
      <c r="U4370">
        <v>-3.064041</v>
      </c>
      <c r="V4370">
        <v>0.1102552</v>
      </c>
      <c r="W4370">
        <v>0.117809999999999</v>
      </c>
      <c r="X4370">
        <v>0.98689649999999995</v>
      </c>
      <c r="Y4370">
        <v>7.3010640000000002E-2</v>
      </c>
      <c r="Z4370">
        <v>0.13791639999999999</v>
      </c>
      <c r="AA4370">
        <v>0.98774919999999999</v>
      </c>
      <c r="AB4370">
        <v>25</v>
      </c>
      <c r="AC4370">
        <v>-5.5599999999969799E-2</v>
      </c>
      <c r="AD4370">
        <v>-0.124626599999999</v>
      </c>
      <c r="AE4370">
        <v>-0.66150000000000297</v>
      </c>
      <c r="AF4370">
        <v>6.5494203174799898E-2</v>
      </c>
      <c r="AG4370">
        <v>-0.124626599999999</v>
      </c>
      <c r="AH4370">
        <v>0.63787844070127897</v>
      </c>
      <c r="AI4370">
        <v>100.99859984747</v>
      </c>
      <c r="AJ4370">
        <v>84.137695627685801</v>
      </c>
      <c r="AK4370">
        <v>0.65323057582185895</v>
      </c>
      <c r="AL4370">
        <v>83.234272113325304</v>
      </c>
      <c r="AM4370">
        <v>83.625399532692796</v>
      </c>
      <c r="AN4370">
        <v>1.00000005346964</v>
      </c>
    </row>
    <row r="4371" spans="1:40" x14ac:dyDescent="0.25">
      <c r="A4371" t="str">
        <f>"20190312164558335"</f>
        <v>20190312164558335</v>
      </c>
      <c r="B4371" t="str">
        <f>"1552380358326446"</f>
        <v>1552380358326446</v>
      </c>
      <c r="C4371" t="s">
        <v>40</v>
      </c>
      <c r="D4371">
        <v>4.9924770000000001</v>
      </c>
      <c r="E4371">
        <v>0.5003725</v>
      </c>
      <c r="F4371" t="s">
        <v>41</v>
      </c>
      <c r="G4371">
        <v>-422.67180000000002</v>
      </c>
      <c r="H4371">
        <v>0.98264770000000001</v>
      </c>
      <c r="I4371">
        <v>106.2508</v>
      </c>
      <c r="J4371">
        <v>-422.61189999999999</v>
      </c>
      <c r="K4371">
        <v>1.109629</v>
      </c>
      <c r="L4371">
        <v>106.8797</v>
      </c>
      <c r="M4371">
        <v>2.0383080000000001E-2</v>
      </c>
      <c r="N4371">
        <v>0</v>
      </c>
      <c r="O4371">
        <v>-0.99974940000000001</v>
      </c>
      <c r="P4371">
        <v>-8.8839399999999902E-2</v>
      </c>
      <c r="Q4371">
        <v>0.1058849</v>
      </c>
      <c r="R4371">
        <v>-0.99040220000000001</v>
      </c>
      <c r="S4371">
        <v>-0.18218989999999999</v>
      </c>
      <c r="T4371">
        <v>-0.43953880000000001</v>
      </c>
      <c r="U4371">
        <v>-3.061874</v>
      </c>
      <c r="V4371">
        <v>0.1086641</v>
      </c>
      <c r="W4371">
        <v>0.11536680000000001</v>
      </c>
      <c r="X4371">
        <v>0.98736139999999994</v>
      </c>
      <c r="Y4371">
        <v>7.9133469999999997E-2</v>
      </c>
      <c r="Z4371">
        <v>0.14170539999999901</v>
      </c>
      <c r="AA4371">
        <v>0.98674079999999997</v>
      </c>
      <c r="AB4371">
        <v>25</v>
      </c>
      <c r="AC4371">
        <v>-5.9900000000027299E-2</v>
      </c>
      <c r="AD4371">
        <v>-0.12698129999999999</v>
      </c>
      <c r="AE4371">
        <v>-0.62890000000000101</v>
      </c>
      <c r="AF4371">
        <v>6.9883639287193794E-2</v>
      </c>
      <c r="AG4371">
        <v>-0.12698129999999999</v>
      </c>
      <c r="AH4371">
        <v>0.60317916741085698</v>
      </c>
      <c r="AI4371">
        <v>101.811544119243</v>
      </c>
      <c r="AJ4371">
        <v>83.391242657910894</v>
      </c>
      <c r="AK4371">
        <v>0.62034916102801896</v>
      </c>
      <c r="AL4371">
        <v>83.3752177757368</v>
      </c>
      <c r="AM4371">
        <v>83.719585577847596</v>
      </c>
      <c r="AN4371">
        <v>0.99999995969050404</v>
      </c>
    </row>
    <row r="4372" spans="1:40" x14ac:dyDescent="0.25">
      <c r="A4372" t="str">
        <f>"20190312164558356"</f>
        <v>20190312164558356</v>
      </c>
      <c r="B4372" t="str">
        <f>"1552380358345968"</f>
        <v>1552380358345968</v>
      </c>
      <c r="C4372" t="s">
        <v>40</v>
      </c>
      <c r="D4372">
        <v>4.9620610000000003</v>
      </c>
      <c r="E4372">
        <v>0.50209459999999995</v>
      </c>
      <c r="F4372" t="s">
        <v>41</v>
      </c>
      <c r="G4372">
        <v>-422.66489999999999</v>
      </c>
      <c r="H4372">
        <v>0.98388059999999999</v>
      </c>
      <c r="I4372">
        <v>106.02460000000001</v>
      </c>
      <c r="J4372">
        <v>-422.60500000000002</v>
      </c>
      <c r="K4372">
        <v>1.109556</v>
      </c>
      <c r="L4372">
        <v>106.6361</v>
      </c>
      <c r="M4372">
        <v>2.2125990000000002E-2</v>
      </c>
      <c r="N4372">
        <v>0</v>
      </c>
      <c r="O4372">
        <v>-0.99971319999999997</v>
      </c>
      <c r="P4372">
        <v>-8.5125350000000002E-2</v>
      </c>
      <c r="Q4372">
        <v>0.1042889</v>
      </c>
      <c r="R4372">
        <v>-0.99089740000000004</v>
      </c>
      <c r="S4372">
        <v>-0.18762210000000001</v>
      </c>
      <c r="T4372">
        <v>-0.45035039999999998</v>
      </c>
      <c r="U4372">
        <v>-3.0603790000000002</v>
      </c>
      <c r="V4372">
        <v>0.10670300000000001</v>
      </c>
      <c r="W4372">
        <v>0.1136596</v>
      </c>
      <c r="X4372">
        <v>0.98777320000000002</v>
      </c>
      <c r="Y4372">
        <v>8.2613770000000003E-2</v>
      </c>
      <c r="Z4372">
        <v>0.14515120000000001</v>
      </c>
      <c r="AA4372">
        <v>0.98595440000000001</v>
      </c>
      <c r="AB4372">
        <v>25</v>
      </c>
      <c r="AC4372">
        <v>-5.9899999999970498E-2</v>
      </c>
      <c r="AD4372">
        <v>-0.12567539999999999</v>
      </c>
      <c r="AE4372">
        <v>-0.61149999999999205</v>
      </c>
      <c r="AF4372">
        <v>7.0467786458118201E-2</v>
      </c>
      <c r="AG4372">
        <v>-0.12567539999999999</v>
      </c>
      <c r="AH4372">
        <v>0.58552815627732602</v>
      </c>
      <c r="AI4372">
        <v>102.029692322298</v>
      </c>
      <c r="AJ4372">
        <v>83.137509402067593</v>
      </c>
      <c r="AK4372">
        <v>0.60299522128039396</v>
      </c>
      <c r="AL4372">
        <v>83.473680897368197</v>
      </c>
      <c r="AM4372">
        <v>83.834600480381198</v>
      </c>
      <c r="AN4372">
        <v>0.99999996475969899</v>
      </c>
    </row>
    <row r="4373" spans="1:40" x14ac:dyDescent="0.25">
      <c r="A4373" t="str">
        <f>"20190312164558378"</f>
        <v>20190312164558378</v>
      </c>
      <c r="B4373" t="str">
        <f>"1552380358366462"</f>
        <v>1552380358366462</v>
      </c>
      <c r="C4373" t="s">
        <v>40</v>
      </c>
      <c r="D4373">
        <v>4.9440869999999997</v>
      </c>
      <c r="E4373">
        <v>0.50262169999999995</v>
      </c>
      <c r="F4373" t="s">
        <v>41</v>
      </c>
      <c r="G4373">
        <v>-422.65719999999999</v>
      </c>
      <c r="H4373">
        <v>0.98238029999999998</v>
      </c>
      <c r="I4373">
        <v>105.7992</v>
      </c>
      <c r="J4373">
        <v>-422.59769999999997</v>
      </c>
      <c r="K4373">
        <v>1.109497</v>
      </c>
      <c r="L4373">
        <v>106.3931</v>
      </c>
      <c r="M4373">
        <v>2.3795319999999998E-2</v>
      </c>
      <c r="N4373">
        <v>0</v>
      </c>
      <c r="O4373">
        <v>-0.9996758</v>
      </c>
      <c r="P4373">
        <v>-8.1562060000000006E-2</v>
      </c>
      <c r="Q4373">
        <v>0.1037449</v>
      </c>
      <c r="R4373">
        <v>-0.99125439999999998</v>
      </c>
      <c r="S4373">
        <v>-0.19055179999999999</v>
      </c>
      <c r="T4373">
        <v>-0.46492670000000003</v>
      </c>
      <c r="U4373">
        <v>-3.06012</v>
      </c>
      <c r="V4373">
        <v>0.104813</v>
      </c>
      <c r="W4373">
        <v>0.1130082</v>
      </c>
      <c r="X4373">
        <v>0.98805030000000005</v>
      </c>
      <c r="Y4373">
        <v>8.5180430000000001E-2</v>
      </c>
      <c r="Z4373">
        <v>0.14972829999999901</v>
      </c>
      <c r="AA4373">
        <v>0.98505120000000002</v>
      </c>
      <c r="AB4373">
        <v>25</v>
      </c>
      <c r="AC4373">
        <v>-5.9500000000014097E-2</v>
      </c>
      <c r="AD4373">
        <v>-0.127116699999999</v>
      </c>
      <c r="AE4373">
        <v>-0.59390000000000498</v>
      </c>
      <c r="AF4373">
        <v>7.0421678323589101E-2</v>
      </c>
      <c r="AG4373">
        <v>-0.127116699999999</v>
      </c>
      <c r="AH4373">
        <v>0.56661611884630103</v>
      </c>
      <c r="AI4373">
        <v>102.55111050827701</v>
      </c>
      <c r="AJ4373">
        <v>82.915343937519694</v>
      </c>
      <c r="AK4373">
        <v>0.58495443782678203</v>
      </c>
      <c r="AL4373">
        <v>83.511245673720694</v>
      </c>
      <c r="AM4373">
        <v>83.944673485425596</v>
      </c>
      <c r="AN4373">
        <v>1.00000000678316</v>
      </c>
    </row>
    <row r="4374" spans="1:40" x14ac:dyDescent="0.25">
      <c r="A4374" t="str">
        <f>"20190312164558391"</f>
        <v>20190312164558391</v>
      </c>
      <c r="B4374" t="str">
        <f>"1552380358385982"</f>
        <v>1552380358385982</v>
      </c>
      <c r="C4374" t="s">
        <v>40</v>
      </c>
      <c r="D4374">
        <v>4.9398470000000003</v>
      </c>
      <c r="E4374">
        <v>0.50276709999999902</v>
      </c>
      <c r="F4374" t="s">
        <v>41</v>
      </c>
      <c r="G4374">
        <v>-422.64760000000001</v>
      </c>
      <c r="H4374">
        <v>0.98289479999999996</v>
      </c>
      <c r="I4374">
        <v>105.5722</v>
      </c>
      <c r="J4374">
        <v>-422.59280000000001</v>
      </c>
      <c r="K4374">
        <v>1.1094619999999999</v>
      </c>
      <c r="L4374">
        <v>106.23399999999999</v>
      </c>
      <c r="M4374">
        <v>2.4855639999999998E-2</v>
      </c>
      <c r="N4374">
        <v>0</v>
      </c>
      <c r="O4374">
        <v>-0.9996505</v>
      </c>
      <c r="P4374">
        <v>-7.9924049999999996E-2</v>
      </c>
      <c r="Q4374">
        <v>0.103826</v>
      </c>
      <c r="R4374">
        <v>-0.99137900000000001</v>
      </c>
      <c r="S4374">
        <v>-0.1847839</v>
      </c>
      <c r="T4374">
        <v>-0.47218470000000001</v>
      </c>
      <c r="U4374">
        <v>-3.0606990000000001</v>
      </c>
      <c r="V4374">
        <v>0.1042344</v>
      </c>
      <c r="W4374">
        <v>0.11301899999999999</v>
      </c>
      <c r="X4374">
        <v>0.98811020000000005</v>
      </c>
      <c r="Y4374">
        <v>8.4355340000000001E-2</v>
      </c>
      <c r="Z4374">
        <v>0.15199179999999901</v>
      </c>
      <c r="AA4374">
        <v>0.98477539999999997</v>
      </c>
      <c r="AB4374">
        <v>25</v>
      </c>
      <c r="AC4374">
        <v>-5.4800000000000099E-2</v>
      </c>
      <c r="AD4374">
        <v>-0.12656719999999999</v>
      </c>
      <c r="AE4374">
        <v>-0.66179999999999894</v>
      </c>
      <c r="AF4374">
        <v>6.8736263269629602E-2</v>
      </c>
      <c r="AG4374">
        <v>-0.12656719999999999</v>
      </c>
      <c r="AH4374">
        <v>0.63709024309370199</v>
      </c>
      <c r="AI4374">
        <v>101.173140017294</v>
      </c>
      <c r="AJ4374">
        <v>83.842124433436396</v>
      </c>
      <c r="AK4374">
        <v>0.65316759552912895</v>
      </c>
      <c r="AL4374">
        <v>83.510622427594797</v>
      </c>
      <c r="AM4374">
        <v>83.978216816641606</v>
      </c>
      <c r="AN4374">
        <v>0.999999935924198</v>
      </c>
    </row>
    <row r="4375" spans="1:40" x14ac:dyDescent="0.25">
      <c r="A4375" t="str">
        <f>"20190312164558404"</f>
        <v>20190312164558404</v>
      </c>
      <c r="B4375" t="str">
        <f>"1552380358395743"</f>
        <v>1552380358395743</v>
      </c>
      <c r="C4375" t="s">
        <v>40</v>
      </c>
      <c r="D4375">
        <v>4.8469350000000002</v>
      </c>
      <c r="E4375">
        <v>0.50276709999999902</v>
      </c>
      <c r="F4375" t="s">
        <v>41</v>
      </c>
      <c r="G4375">
        <v>-422.64510000000001</v>
      </c>
      <c r="H4375">
        <v>0.97297230000000001</v>
      </c>
      <c r="I4375">
        <v>105.3496</v>
      </c>
      <c r="J4375">
        <v>-422.58800000000002</v>
      </c>
      <c r="K4375">
        <v>1.109434</v>
      </c>
      <c r="L4375">
        <v>106.0823</v>
      </c>
      <c r="M4375">
        <v>2.5839040000000001E-2</v>
      </c>
      <c r="N4375">
        <v>0</v>
      </c>
      <c r="O4375">
        <v>-0.99962600000000001</v>
      </c>
      <c r="P4375">
        <v>-7.8351580000000004E-2</v>
      </c>
      <c r="Q4375">
        <v>0.1037178</v>
      </c>
      <c r="R4375">
        <v>-0.99151579999999995</v>
      </c>
      <c r="S4375">
        <v>-0.1812134</v>
      </c>
      <c r="T4375">
        <v>-0.4723195</v>
      </c>
      <c r="U4375">
        <v>-3.0609440000000001</v>
      </c>
      <c r="V4375">
        <v>0.103646</v>
      </c>
      <c r="W4375">
        <v>0.11284379999999999</v>
      </c>
      <c r="X4375">
        <v>0.98819219999999997</v>
      </c>
      <c r="Y4375">
        <v>8.4185819999999995E-2</v>
      </c>
      <c r="Z4375">
        <v>0.15202289999999999</v>
      </c>
      <c r="AA4375">
        <v>0.98478509999999997</v>
      </c>
      <c r="AB4375">
        <v>25</v>
      </c>
      <c r="AC4375">
        <v>-5.7099999999991199E-2</v>
      </c>
      <c r="AD4375">
        <v>-0.13646169999999999</v>
      </c>
      <c r="AE4375">
        <v>-0.73270000000000801</v>
      </c>
      <c r="AF4375">
        <v>7.3480511038554894E-2</v>
      </c>
      <c r="AG4375">
        <v>-0.13646169999999999</v>
      </c>
      <c r="AH4375">
        <v>0.70661726490344001</v>
      </c>
      <c r="AI4375">
        <v>100.873161476292</v>
      </c>
      <c r="AJ4375">
        <v>84.063200329466795</v>
      </c>
      <c r="AK4375">
        <v>0.72341491561136295</v>
      </c>
      <c r="AL4375">
        <v>83.520725828135696</v>
      </c>
      <c r="AM4375">
        <v>84.012455197102398</v>
      </c>
      <c r="AN4375">
        <v>1.00000002032763</v>
      </c>
    </row>
    <row r="4376" spans="1:40" x14ac:dyDescent="0.25">
      <c r="A4376" t="str">
        <f>"20190312164558418"</f>
        <v>20190312164558418</v>
      </c>
      <c r="B4376" t="str">
        <f>"1552380358406479"</f>
        <v>1552380358406479</v>
      </c>
      <c r="C4376" t="s">
        <v>40</v>
      </c>
      <c r="D4376">
        <v>5.0111410000000003</v>
      </c>
      <c r="E4376">
        <v>0.52599189999999996</v>
      </c>
      <c r="F4376" t="s">
        <v>41</v>
      </c>
      <c r="G4376">
        <v>-422.63080000000002</v>
      </c>
      <c r="H4376">
        <v>0.99470670000000005</v>
      </c>
      <c r="I4376">
        <v>105.33929999999999</v>
      </c>
      <c r="J4376">
        <v>-422.58330000000001</v>
      </c>
      <c r="K4376">
        <v>1.1094059999999999</v>
      </c>
      <c r="L4376">
        <v>105.941</v>
      </c>
      <c r="M4376">
        <v>2.6729619999999999E-2</v>
      </c>
      <c r="N4376">
        <v>0</v>
      </c>
      <c r="O4376">
        <v>-0.99960300000000002</v>
      </c>
      <c r="P4376">
        <v>-7.6897519999999997E-2</v>
      </c>
      <c r="Q4376">
        <v>0.1039897</v>
      </c>
      <c r="R4376">
        <v>-0.99160110000000001</v>
      </c>
      <c r="S4376">
        <v>-0.1767273</v>
      </c>
      <c r="T4376">
        <v>-0.47267219999999999</v>
      </c>
      <c r="U4376">
        <v>-3.061172</v>
      </c>
      <c r="V4376">
        <v>0.1030819</v>
      </c>
      <c r="W4376">
        <v>0.11305510000000001</v>
      </c>
      <c r="X4376">
        <v>0.98822699999999997</v>
      </c>
      <c r="Y4376">
        <v>8.362994E-2</v>
      </c>
      <c r="Z4376">
        <v>0.15212729999999999</v>
      </c>
      <c r="AA4376">
        <v>0.98481640000000004</v>
      </c>
      <c r="AB4376">
        <v>25</v>
      </c>
      <c r="AC4376">
        <v>-4.7500000000013601E-2</v>
      </c>
      <c r="AD4376">
        <v>-0.114699299999999</v>
      </c>
      <c r="AE4376">
        <v>-0.60170000000000801</v>
      </c>
      <c r="AF4376">
        <v>6.1351299001749598E-2</v>
      </c>
      <c r="AG4376">
        <v>-0.114699299999999</v>
      </c>
      <c r="AH4376">
        <v>0.57929520885312702</v>
      </c>
      <c r="AI4376">
        <v>101.138872931893</v>
      </c>
      <c r="AJ4376">
        <v>83.954522933546002</v>
      </c>
      <c r="AK4376">
        <v>0.59371950474098401</v>
      </c>
      <c r="AL4376">
        <v>83.508540920867901</v>
      </c>
      <c r="AM4376">
        <v>84.045016172445202</v>
      </c>
      <c r="AN4376">
        <v>0.99999996863630902</v>
      </c>
    </row>
    <row r="4377" spans="1:40" x14ac:dyDescent="0.25">
      <c r="A4377" t="str">
        <f>"20190312164558434"</f>
        <v>20190312164558434</v>
      </c>
      <c r="B4377" t="str">
        <f>"1552380358425998"</f>
        <v>1552380358425998</v>
      </c>
      <c r="C4377" t="s">
        <v>40</v>
      </c>
      <c r="D4377">
        <v>4.8277340000000004</v>
      </c>
      <c r="E4377">
        <v>0.52700839999999904</v>
      </c>
      <c r="F4377" t="s">
        <v>41</v>
      </c>
      <c r="G4377">
        <v>-422.68049999999999</v>
      </c>
      <c r="H4377">
        <v>0.98016579999999998</v>
      </c>
      <c r="I4377">
        <v>105.11620000000001</v>
      </c>
      <c r="J4377">
        <v>-422.577</v>
      </c>
      <c r="K4377">
        <v>1.1093710000000001</v>
      </c>
      <c r="L4377">
        <v>105.7512</v>
      </c>
      <c r="M4377">
        <v>2.789554E-2</v>
      </c>
      <c r="N4377">
        <v>0</v>
      </c>
      <c r="O4377">
        <v>-0.99957200000000002</v>
      </c>
      <c r="P4377">
        <v>-7.5163389999999997E-2</v>
      </c>
      <c r="Q4377">
        <v>0.1036311</v>
      </c>
      <c r="R4377">
        <v>-0.99177190000000004</v>
      </c>
      <c r="S4377">
        <v>-0.3579407</v>
      </c>
      <c r="T4377">
        <v>-0.47771639999999999</v>
      </c>
      <c r="U4377">
        <v>-3.0477599999999998</v>
      </c>
      <c r="V4377">
        <v>0.1025172</v>
      </c>
      <c r="W4377">
        <v>0.1126178</v>
      </c>
      <c r="X4377">
        <v>0.98833570000000004</v>
      </c>
      <c r="Y4377">
        <v>0.1429192</v>
      </c>
      <c r="Z4377">
        <v>0.15345159999999999</v>
      </c>
      <c r="AA4377">
        <v>0.97776620000000003</v>
      </c>
      <c r="AB4377">
        <v>26</v>
      </c>
      <c r="AC4377">
        <v>-0.103499999999996</v>
      </c>
      <c r="AD4377">
        <v>-0.12920519999999899</v>
      </c>
      <c r="AE4377">
        <v>-0.63499999999999002</v>
      </c>
      <c r="AF4377">
        <v>0.116476603220476</v>
      </c>
      <c r="AG4377">
        <v>-0.12920519999999899</v>
      </c>
      <c r="AH4377">
        <v>0.60737046992975496</v>
      </c>
      <c r="AI4377">
        <v>101.800599123463</v>
      </c>
      <c r="AJ4377">
        <v>79.144078414665699</v>
      </c>
      <c r="AK4377">
        <v>0.63179084398834995</v>
      </c>
      <c r="AL4377">
        <v>83.533757616615006</v>
      </c>
      <c r="AM4377">
        <v>84.078052813021699</v>
      </c>
      <c r="AN4377">
        <v>1.0000000005335801</v>
      </c>
    </row>
    <row r="4378" spans="1:40" x14ac:dyDescent="0.25">
      <c r="A4378" t="str">
        <f>"20190312164558456"</f>
        <v>20190312164558456</v>
      </c>
      <c r="B4378" t="str">
        <f>"1552380358446497"</f>
        <v>1552380358446497</v>
      </c>
      <c r="C4378" t="s">
        <v>40</v>
      </c>
      <c r="D4378">
        <v>4.997738</v>
      </c>
      <c r="E4378">
        <v>0.52707590000000004</v>
      </c>
      <c r="F4378" t="s">
        <v>41</v>
      </c>
      <c r="G4378">
        <v>-422.67790000000002</v>
      </c>
      <c r="H4378">
        <v>0.96827200000000002</v>
      </c>
      <c r="I4378">
        <v>104.893</v>
      </c>
      <c r="J4378">
        <v>-422.5684</v>
      </c>
      <c r="K4378">
        <v>1.109316</v>
      </c>
      <c r="L4378">
        <v>105.5038</v>
      </c>
      <c r="M4378">
        <v>2.934722E-2</v>
      </c>
      <c r="N4378">
        <v>0</v>
      </c>
      <c r="O4378">
        <v>-0.99953130000000001</v>
      </c>
      <c r="P4378">
        <v>-7.289147E-2</v>
      </c>
      <c r="Q4378">
        <v>0.1038501</v>
      </c>
      <c r="R4378">
        <v>-0.99191870000000004</v>
      </c>
      <c r="S4378">
        <v>-0.35821530000000001</v>
      </c>
      <c r="T4378">
        <v>-0.50154069999999995</v>
      </c>
      <c r="U4378">
        <v>-3.0501399999999999</v>
      </c>
      <c r="V4378">
        <v>0.1017002</v>
      </c>
      <c r="W4378">
        <v>0.1127367</v>
      </c>
      <c r="X4378">
        <v>0.98840649999999997</v>
      </c>
      <c r="Y4378">
        <v>0.1442186</v>
      </c>
      <c r="Z4378">
        <v>0.16076079999999901</v>
      </c>
      <c r="AA4378">
        <v>0.97640000000000005</v>
      </c>
      <c r="AB4378">
        <v>26</v>
      </c>
      <c r="AC4378">
        <v>-0.10950000000002499</v>
      </c>
      <c r="AD4378">
        <v>-0.141044</v>
      </c>
      <c r="AE4378">
        <v>-0.610800000000011</v>
      </c>
      <c r="AF4378">
        <v>0.121121394778228</v>
      </c>
      <c r="AG4378">
        <v>-0.141044</v>
      </c>
      <c r="AH4378">
        <v>0.57748889453897301</v>
      </c>
      <c r="AI4378">
        <v>103.44348158155501</v>
      </c>
      <c r="AJ4378">
        <v>78.154596327694605</v>
      </c>
      <c r="AK4378">
        <v>0.60667720043270801</v>
      </c>
      <c r="AL4378">
        <v>83.526901168831202</v>
      </c>
      <c r="AM4378">
        <v>84.125333609045796</v>
      </c>
      <c r="AN4378">
        <v>0.999999951724588</v>
      </c>
    </row>
    <row r="4379" spans="1:40" x14ac:dyDescent="0.25">
      <c r="A4379" t="str">
        <f>"20190312164558479"</f>
        <v>20190312164558479</v>
      </c>
      <c r="B4379" t="str">
        <f>"1552380358476448"</f>
        <v>1552380358476448</v>
      </c>
      <c r="C4379" t="s">
        <v>40</v>
      </c>
      <c r="D4379">
        <v>4.9512269999999896</v>
      </c>
      <c r="E4379">
        <v>0.52763090000000001</v>
      </c>
      <c r="F4379" t="s">
        <v>41</v>
      </c>
      <c r="G4379">
        <v>-422.66609999999997</v>
      </c>
      <c r="H4379">
        <v>0.97171750000000001</v>
      </c>
      <c r="I4379">
        <v>104.6623</v>
      </c>
      <c r="J4379">
        <v>-422.55900000000003</v>
      </c>
      <c r="K4379">
        <v>1.1092550000000001</v>
      </c>
      <c r="L4379">
        <v>105.24160000000001</v>
      </c>
      <c r="M4379">
        <v>3.0801789999999999E-2</v>
      </c>
      <c r="N4379">
        <v>0</v>
      </c>
      <c r="O4379">
        <v>-0.9994883</v>
      </c>
      <c r="P4379">
        <v>-7.0678550000000007E-2</v>
      </c>
      <c r="Q4379">
        <v>0.1045215</v>
      </c>
      <c r="R4379">
        <v>-0.99200820000000001</v>
      </c>
      <c r="S4379">
        <v>-0.35296630000000001</v>
      </c>
      <c r="T4379">
        <v>-0.49901630000000002</v>
      </c>
      <c r="U4379">
        <v>-3.050751</v>
      </c>
      <c r="V4379">
        <v>0.1009439</v>
      </c>
      <c r="W4379">
        <v>0.11330469999999999</v>
      </c>
      <c r="X4379">
        <v>0.98841909999999999</v>
      </c>
      <c r="Y4379">
        <v>0.14399319999999999</v>
      </c>
      <c r="Z4379">
        <v>0.15994920000000001</v>
      </c>
      <c r="AA4379">
        <v>0.97656659999999995</v>
      </c>
      <c r="AB4379">
        <v>26</v>
      </c>
      <c r="AC4379">
        <v>-0.107099999999945</v>
      </c>
      <c r="AD4379">
        <v>-0.13753749999999901</v>
      </c>
      <c r="AE4379">
        <v>-0.57930000000000303</v>
      </c>
      <c r="AF4379">
        <v>0.118437825120219</v>
      </c>
      <c r="AG4379">
        <v>-0.13753749999999901</v>
      </c>
      <c r="AH4379">
        <v>0.54596794504873403</v>
      </c>
      <c r="AI4379">
        <v>103.830540032239</v>
      </c>
      <c r="AJ4379">
        <v>77.760366647664</v>
      </c>
      <c r="AK4379">
        <v>0.575347789902938</v>
      </c>
      <c r="AL4379">
        <v>83.494147427938003</v>
      </c>
      <c r="AM4379">
        <v>84.1687925905036</v>
      </c>
      <c r="AN4379">
        <v>0.99999997161705401</v>
      </c>
    </row>
    <row r="4380" spans="1:40" x14ac:dyDescent="0.25">
      <c r="A4380" t="str">
        <f>"20190312164558501"</f>
        <v>20190312164558501</v>
      </c>
      <c r="B4380" t="str">
        <f>"1552380358495969"</f>
        <v>1552380358495969</v>
      </c>
      <c r="C4380" t="s">
        <v>40</v>
      </c>
      <c r="D4380">
        <v>4.860309</v>
      </c>
      <c r="E4380">
        <v>0.5279298</v>
      </c>
      <c r="F4380" t="s">
        <v>41</v>
      </c>
      <c r="G4380">
        <v>-422.65269999999998</v>
      </c>
      <c r="H4380">
        <v>0.97678569999999998</v>
      </c>
      <c r="I4380">
        <v>104.4303</v>
      </c>
      <c r="J4380">
        <v>-422.54939999999999</v>
      </c>
      <c r="K4380">
        <v>1.1091819999999999</v>
      </c>
      <c r="L4380">
        <v>104.9785</v>
      </c>
      <c r="M4380">
        <v>3.2167460000000002E-2</v>
      </c>
      <c r="N4380">
        <v>0</v>
      </c>
      <c r="O4380">
        <v>-0.99944580000000005</v>
      </c>
      <c r="P4380">
        <v>-6.870221E-2</v>
      </c>
      <c r="Q4380">
        <v>0.1048663</v>
      </c>
      <c r="R4380">
        <v>-0.99211070000000001</v>
      </c>
      <c r="S4380">
        <v>-0.35189819999999999</v>
      </c>
      <c r="T4380">
        <v>-0.49831940000000002</v>
      </c>
      <c r="U4380">
        <v>-3.0516049999999999</v>
      </c>
      <c r="V4380">
        <v>0.1003385</v>
      </c>
      <c r="W4380">
        <v>0.1135511</v>
      </c>
      <c r="X4380">
        <v>0.98845249999999996</v>
      </c>
      <c r="Y4380">
        <v>0.14498150000000001</v>
      </c>
      <c r="Z4380">
        <v>0.15966949999999999</v>
      </c>
      <c r="AA4380">
        <v>0.9764661</v>
      </c>
      <c r="AB4380">
        <v>26</v>
      </c>
      <c r="AC4380">
        <v>-0.10329999999999</v>
      </c>
      <c r="AD4380">
        <v>-0.132396299999999</v>
      </c>
      <c r="AE4380">
        <v>-0.54819999999999403</v>
      </c>
      <c r="AF4380">
        <v>0.11443552172223299</v>
      </c>
      <c r="AG4380">
        <v>-0.132396299999999</v>
      </c>
      <c r="AH4380">
        <v>0.515553437093623</v>
      </c>
      <c r="AI4380">
        <v>104.07412175732</v>
      </c>
      <c r="AJ4380">
        <v>77.485162797093196</v>
      </c>
      <c r="AK4380">
        <v>0.54444431798355497</v>
      </c>
      <c r="AL4380">
        <v>83.479938267329601</v>
      </c>
      <c r="AM4380">
        <v>84.203720304067602</v>
      </c>
      <c r="AN4380">
        <v>1.0000000058248499</v>
      </c>
    </row>
    <row r="4381" spans="1:40" x14ac:dyDescent="0.25">
      <c r="A4381" t="str">
        <f>"20190312164558517"</f>
        <v>20190312164558517</v>
      </c>
      <c r="B4381" t="str">
        <f>"1552380358505728"</f>
        <v>1552380358505728</v>
      </c>
      <c r="C4381" t="s">
        <v>40</v>
      </c>
      <c r="D4381">
        <v>4.9253439999999999</v>
      </c>
      <c r="E4381">
        <v>0.52787439999999997</v>
      </c>
      <c r="F4381" t="s">
        <v>41</v>
      </c>
      <c r="G4381">
        <v>-422.63839999999999</v>
      </c>
      <c r="H4381">
        <v>0.97876969999999996</v>
      </c>
      <c r="I4381">
        <v>104.1992</v>
      </c>
      <c r="J4381">
        <v>-422.54270000000002</v>
      </c>
      <c r="K4381">
        <v>1.1091329999999999</v>
      </c>
      <c r="L4381">
        <v>104.7997</v>
      </c>
      <c r="M4381">
        <v>3.3028389999999998E-2</v>
      </c>
      <c r="N4381">
        <v>0</v>
      </c>
      <c r="O4381">
        <v>-0.99941809999999998</v>
      </c>
      <c r="P4381">
        <v>-6.7146890000000001E-2</v>
      </c>
      <c r="Q4381">
        <v>0.1049677</v>
      </c>
      <c r="R4381">
        <v>-0.99220620000000004</v>
      </c>
      <c r="S4381">
        <v>-0.347412099999999</v>
      </c>
      <c r="T4381">
        <v>-0.51122520000000005</v>
      </c>
      <c r="U4381">
        <v>-3.053833</v>
      </c>
      <c r="V4381">
        <v>9.9650929999999999E-2</v>
      </c>
      <c r="W4381">
        <v>0.1135885</v>
      </c>
      <c r="X4381">
        <v>0.9885178</v>
      </c>
      <c r="Y4381">
        <v>0.1442638</v>
      </c>
      <c r="Z4381">
        <v>0.1635934</v>
      </c>
      <c r="AA4381">
        <v>0.97592270000000003</v>
      </c>
      <c r="AB4381">
        <v>26</v>
      </c>
      <c r="AC4381">
        <v>-9.5699999999965202E-2</v>
      </c>
      <c r="AD4381">
        <v>-0.13036329999999899</v>
      </c>
      <c r="AE4381">
        <v>-0.60049999999999604</v>
      </c>
      <c r="AF4381">
        <v>0.110407576641314</v>
      </c>
      <c r="AG4381">
        <v>-0.13036329999999899</v>
      </c>
      <c r="AH4381">
        <v>0.57077773699414502</v>
      </c>
      <c r="AI4381">
        <v>102.63889217245099</v>
      </c>
      <c r="AJ4381">
        <v>79.052278361985699</v>
      </c>
      <c r="AK4381">
        <v>0.59579497145818205</v>
      </c>
      <c r="AL4381">
        <v>83.477781727221299</v>
      </c>
      <c r="AM4381">
        <v>84.243549379370805</v>
      </c>
      <c r="AN4381">
        <v>1.00000004804947</v>
      </c>
    </row>
    <row r="4382" spans="1:40" x14ac:dyDescent="0.25">
      <c r="A4382" t="str">
        <f>"20190312164558535"</f>
        <v>20190312164558535</v>
      </c>
      <c r="B4382" t="str">
        <f>"1552380358526224"</f>
        <v>1552380358526224</v>
      </c>
      <c r="C4382" t="s">
        <v>40</v>
      </c>
      <c r="D4382">
        <v>4.61761</v>
      </c>
      <c r="E4382">
        <v>0.52812760000000003</v>
      </c>
      <c r="F4382" t="s">
        <v>41</v>
      </c>
      <c r="G4382">
        <v>-422.63549999999998</v>
      </c>
      <c r="H4382">
        <v>0.96890069999999995</v>
      </c>
      <c r="I4382">
        <v>103.9725</v>
      </c>
      <c r="J4382">
        <v>-422.53489999999999</v>
      </c>
      <c r="K4382">
        <v>1.109073</v>
      </c>
      <c r="L4382">
        <v>104.5946</v>
      </c>
      <c r="M4382">
        <v>3.3943420000000002E-2</v>
      </c>
      <c r="N4382">
        <v>0</v>
      </c>
      <c r="O4382">
        <v>-0.99938830000000001</v>
      </c>
      <c r="P4382">
        <v>-6.5725439999999996E-2</v>
      </c>
      <c r="Q4382">
        <v>0.10457619999999999</v>
      </c>
      <c r="R4382">
        <v>-0.99234310000000003</v>
      </c>
      <c r="S4382">
        <v>-0.3420105</v>
      </c>
      <c r="T4382">
        <v>-0.51807959999999997</v>
      </c>
      <c r="U4382">
        <v>-3.055237</v>
      </c>
      <c r="V4382">
        <v>9.9156939999999999E-2</v>
      </c>
      <c r="W4382">
        <v>0.11312750000000001</v>
      </c>
      <c r="X4382">
        <v>0.98862030000000001</v>
      </c>
      <c r="Y4382">
        <v>0.14337659999999999</v>
      </c>
      <c r="Z4382">
        <v>0.1656716</v>
      </c>
      <c r="AA4382">
        <v>0.97570290000000004</v>
      </c>
      <c r="AB4382">
        <v>26</v>
      </c>
      <c r="AC4382">
        <v>-0.10059999999998499</v>
      </c>
      <c r="AD4382">
        <v>-0.1401723</v>
      </c>
      <c r="AE4382">
        <v>-0.62210000000000298</v>
      </c>
      <c r="AF4382">
        <v>0.115923561727719</v>
      </c>
      <c r="AG4382">
        <v>-0.1401723</v>
      </c>
      <c r="AH4382">
        <v>0.58917666250467904</v>
      </c>
      <c r="AI4382">
        <v>103.13963383366401</v>
      </c>
      <c r="AJ4382">
        <v>78.868942362523995</v>
      </c>
      <c r="AK4382">
        <v>0.61661631951407403</v>
      </c>
      <c r="AL4382">
        <v>83.504366216571796</v>
      </c>
      <c r="AM4382">
        <v>84.272484990933904</v>
      </c>
      <c r="AN4382">
        <v>1.00000001378925</v>
      </c>
    </row>
    <row r="4383" spans="1:40" x14ac:dyDescent="0.25">
      <c r="A4383" t="str">
        <f>"20190312164558558"</f>
        <v>20190312164558558</v>
      </c>
      <c r="B4383" t="str">
        <f>"1552380358545745"</f>
        <v>1552380358545745</v>
      </c>
      <c r="C4383" t="s">
        <v>40</v>
      </c>
      <c r="D4383">
        <v>4.5520339999999999</v>
      </c>
      <c r="E4383">
        <v>0.52820610000000001</v>
      </c>
      <c r="F4383" t="s">
        <v>41</v>
      </c>
      <c r="G4383">
        <v>-422.62950000000001</v>
      </c>
      <c r="H4383">
        <v>0.96284749999999997</v>
      </c>
      <c r="I4383">
        <v>103.74339999999999</v>
      </c>
      <c r="J4383">
        <v>-422.5247</v>
      </c>
      <c r="K4383">
        <v>1.1089819999999999</v>
      </c>
      <c r="L4383">
        <v>104.3349</v>
      </c>
      <c r="M4383">
        <v>3.4975890000000003E-2</v>
      </c>
      <c r="N4383">
        <v>0</v>
      </c>
      <c r="O4383">
        <v>-0.99935289999999999</v>
      </c>
      <c r="P4383">
        <v>-6.3854030000000006E-2</v>
      </c>
      <c r="Q4383">
        <v>0.1044268</v>
      </c>
      <c r="R4383">
        <v>-0.99248080000000005</v>
      </c>
      <c r="S4383">
        <v>-0.338501</v>
      </c>
      <c r="T4383">
        <v>-0.5251825</v>
      </c>
      <c r="U4383">
        <v>-3.0560610000000001</v>
      </c>
      <c r="V4383">
        <v>9.8336960000000001E-2</v>
      </c>
      <c r="W4383">
        <v>0.11289399999999999</v>
      </c>
      <c r="X4383">
        <v>0.98872890000000002</v>
      </c>
      <c r="Y4383">
        <v>0.1432224</v>
      </c>
      <c r="Z4383">
        <v>0.16783809999999999</v>
      </c>
      <c r="AA4383">
        <v>0.97535510000000003</v>
      </c>
      <c r="AB4383">
        <v>26</v>
      </c>
      <c r="AC4383">
        <v>-0.104800000000011</v>
      </c>
      <c r="AD4383">
        <v>-0.146134499999999</v>
      </c>
      <c r="AE4383">
        <v>-0.59150000000001002</v>
      </c>
      <c r="AF4383">
        <v>0.118416966764661</v>
      </c>
      <c r="AG4383">
        <v>-0.146134499999999</v>
      </c>
      <c r="AH4383">
        <v>0.55464855558919601</v>
      </c>
      <c r="AI4383">
        <v>104.448844109154</v>
      </c>
      <c r="AJ4383">
        <v>77.948340936569906</v>
      </c>
      <c r="AK4383">
        <v>0.58567302338862604</v>
      </c>
      <c r="AL4383">
        <v>83.517831114793907</v>
      </c>
      <c r="AM4383">
        <v>84.320157587882093</v>
      </c>
      <c r="AN4383">
        <v>1.0000000253166199</v>
      </c>
    </row>
    <row r="4384" spans="1:40" x14ac:dyDescent="0.25">
      <c r="A4384" t="str">
        <f>"20190312164558580"</f>
        <v>20190312164558580</v>
      </c>
      <c r="B4384" t="str">
        <f>"1552380358575889"</f>
        <v>1552380358575889</v>
      </c>
      <c r="C4384" t="s">
        <v>40</v>
      </c>
      <c r="D4384">
        <v>4.5235479999999999</v>
      </c>
      <c r="E4384">
        <v>0.52763439999999995</v>
      </c>
      <c r="F4384" t="s">
        <v>41</v>
      </c>
      <c r="G4384">
        <v>-422.61509999999998</v>
      </c>
      <c r="H4384">
        <v>0.9670415</v>
      </c>
      <c r="I4384">
        <v>103.5095</v>
      </c>
      <c r="J4384">
        <v>-422.5145</v>
      </c>
      <c r="K4384">
        <v>1.1088789999999999</v>
      </c>
      <c r="L4384">
        <v>104.0731</v>
      </c>
      <c r="M4384">
        <v>3.5872040000000001E-2</v>
      </c>
      <c r="N4384">
        <v>0</v>
      </c>
      <c r="O4384">
        <v>-0.99932160000000003</v>
      </c>
      <c r="P4384">
        <v>-6.1607370000000002E-2</v>
      </c>
      <c r="Q4384">
        <v>0.1047839</v>
      </c>
      <c r="R4384">
        <v>-0.99258489999999999</v>
      </c>
      <c r="S4384">
        <v>-0.33438109999999999</v>
      </c>
      <c r="T4384">
        <v>-0.52563479999999996</v>
      </c>
      <c r="U4384">
        <v>-3.0565190000000002</v>
      </c>
      <c r="V4384">
        <v>9.7008520000000001E-2</v>
      </c>
      <c r="W4384">
        <v>0.1131692</v>
      </c>
      <c r="X4384">
        <v>0.9888287</v>
      </c>
      <c r="Y4384">
        <v>0.14279229999999901</v>
      </c>
      <c r="Z4384">
        <v>0.16796340000000001</v>
      </c>
      <c r="AA4384">
        <v>0.97539659999999995</v>
      </c>
      <c r="AB4384">
        <v>26</v>
      </c>
      <c r="AC4384">
        <v>-0.10059999999998499</v>
      </c>
      <c r="AD4384">
        <v>-0.14183750000000001</v>
      </c>
      <c r="AE4384">
        <v>-0.563599999999993</v>
      </c>
      <c r="AF4384">
        <v>0.11377033461479399</v>
      </c>
      <c r="AG4384">
        <v>-0.14183750000000001</v>
      </c>
      <c r="AH4384">
        <v>0.52726541067944699</v>
      </c>
      <c r="AI4384">
        <v>104.732644326775</v>
      </c>
      <c r="AJ4384">
        <v>77.823721577687905</v>
      </c>
      <c r="AK4384">
        <v>0.55773683645925598</v>
      </c>
      <c r="AL4384">
        <v>83.501961837431793</v>
      </c>
      <c r="AM4384">
        <v>84.396957227916801</v>
      </c>
      <c r="AN4384">
        <v>1.0000000593624501</v>
      </c>
    </row>
    <row r="4385" spans="1:40" x14ac:dyDescent="0.25">
      <c r="A4385" t="str">
        <f>"20190312164558603"</f>
        <v>20190312164558603</v>
      </c>
      <c r="B4385" t="str">
        <f>"1552380358596387"</f>
        <v>1552380358596387</v>
      </c>
      <c r="C4385" t="s">
        <v>40</v>
      </c>
      <c r="D4385">
        <v>4.585591</v>
      </c>
      <c r="E4385">
        <v>0.52757569999999998</v>
      </c>
      <c r="F4385" t="s">
        <v>41</v>
      </c>
      <c r="G4385">
        <v>-422.5926</v>
      </c>
      <c r="H4385">
        <v>0.93106409999999995</v>
      </c>
      <c r="I4385">
        <v>103.2944</v>
      </c>
      <c r="J4385">
        <v>-422.50409999999999</v>
      </c>
      <c r="K4385">
        <v>1.108768</v>
      </c>
      <c r="L4385">
        <v>103.8086</v>
      </c>
      <c r="M4385">
        <v>3.6615410000000001E-2</v>
      </c>
      <c r="N4385">
        <v>0</v>
      </c>
      <c r="O4385">
        <v>-0.99929520000000005</v>
      </c>
      <c r="P4385">
        <v>-5.9559130000000002E-2</v>
      </c>
      <c r="Q4385">
        <v>0.106264</v>
      </c>
      <c r="R4385">
        <v>-0.99255280000000001</v>
      </c>
      <c r="S4385">
        <v>-0.306610099999999</v>
      </c>
      <c r="T4385">
        <v>-0.70279879999999995</v>
      </c>
      <c r="U4385">
        <v>-3.0775760000000001</v>
      </c>
      <c r="V4385">
        <v>9.5724459999999997E-2</v>
      </c>
      <c r="W4385">
        <v>0.11457059999999999</v>
      </c>
      <c r="X4385">
        <v>0.98879240000000002</v>
      </c>
      <c r="Y4385">
        <v>0.13305139999999999</v>
      </c>
      <c r="Z4385">
        <v>0.22089339999999999</v>
      </c>
      <c r="AA4385">
        <v>0.96617980000000003</v>
      </c>
      <c r="AB4385">
        <v>26</v>
      </c>
      <c r="AC4385">
        <v>-8.8500000000010404E-2</v>
      </c>
      <c r="AD4385">
        <v>-0.1777039</v>
      </c>
      <c r="AE4385">
        <v>-0.51420000000000199</v>
      </c>
      <c r="AF4385">
        <v>9.6119264511802194E-2</v>
      </c>
      <c r="AG4385">
        <v>-0.1777039</v>
      </c>
      <c r="AH4385">
        <v>0.45754064533613897</v>
      </c>
      <c r="AI4385">
        <v>110.811426750686</v>
      </c>
      <c r="AJ4385">
        <v>78.135935741287796</v>
      </c>
      <c r="AK4385">
        <v>0.50016100529740404</v>
      </c>
      <c r="AL4385">
        <v>83.4211414740534</v>
      </c>
      <c r="AM4385">
        <v>84.470457886471493</v>
      </c>
      <c r="AN4385">
        <v>1.0000000024622</v>
      </c>
    </row>
    <row r="4386" spans="1:40" x14ac:dyDescent="0.25">
      <c r="A4386" t="str">
        <f>"20190312164558615"</f>
        <v>20190312164558615</v>
      </c>
      <c r="B4386" t="str">
        <f>"1552380358606144"</f>
        <v>1552380358606144</v>
      </c>
      <c r="C4386" t="s">
        <v>40</v>
      </c>
      <c r="D4386">
        <v>4.6591189999999996</v>
      </c>
      <c r="E4386">
        <v>0.53235749999999904</v>
      </c>
      <c r="F4386" t="s">
        <v>41</v>
      </c>
      <c r="G4386">
        <v>-422.57769999999999</v>
      </c>
      <c r="H4386">
        <v>0.93990680000000004</v>
      </c>
      <c r="I4386">
        <v>103.057</v>
      </c>
      <c r="J4386">
        <v>-422.49790000000002</v>
      </c>
      <c r="K4386">
        <v>1.1087</v>
      </c>
      <c r="L4386">
        <v>103.65260000000001</v>
      </c>
      <c r="M4386">
        <v>3.6964740000000003E-2</v>
      </c>
      <c r="N4386">
        <v>0</v>
      </c>
      <c r="O4386">
        <v>-0.99928269999999997</v>
      </c>
      <c r="P4386">
        <v>-5.86828E-2</v>
      </c>
      <c r="Q4386">
        <v>0.1072265</v>
      </c>
      <c r="R4386">
        <v>-0.99250139999999998</v>
      </c>
      <c r="S4386">
        <v>-0.30148320000000001</v>
      </c>
      <c r="T4386">
        <v>-0.69166050000000001</v>
      </c>
      <c r="U4386">
        <v>-3.0784609999999999</v>
      </c>
      <c r="V4386">
        <v>9.5211069999999995E-2</v>
      </c>
      <c r="W4386">
        <v>0.1154871</v>
      </c>
      <c r="X4386">
        <v>0.98873529999999998</v>
      </c>
      <c r="Y4386">
        <v>0.13185039999999901</v>
      </c>
      <c r="Z4386">
        <v>0.21753249999999999</v>
      </c>
      <c r="AA4386">
        <v>0.96710649999999998</v>
      </c>
      <c r="AB4386">
        <v>26</v>
      </c>
      <c r="AC4386">
        <v>-7.9799999999977403E-2</v>
      </c>
      <c r="AD4386">
        <v>-0.16879319999999901</v>
      </c>
      <c r="AE4386">
        <v>-0.59560000000000402</v>
      </c>
      <c r="AF4386">
        <v>9.4320569961137093E-2</v>
      </c>
      <c r="AG4386">
        <v>-0.16879319999999901</v>
      </c>
      <c r="AH4386">
        <v>0.54893260224712603</v>
      </c>
      <c r="AI4386">
        <v>106.85955695322301</v>
      </c>
      <c r="AJ4386">
        <v>80.250334799969806</v>
      </c>
      <c r="AK4386">
        <v>0.58199185225725902</v>
      </c>
      <c r="AL4386">
        <v>83.368278686304294</v>
      </c>
      <c r="AM4386">
        <v>84.499615940687093</v>
      </c>
      <c r="AN4386">
        <v>0.99999995579152101</v>
      </c>
    </row>
    <row r="4387" spans="1:40" x14ac:dyDescent="0.25">
      <c r="A4387" t="str">
        <f>"20190312164558635"</f>
        <v>20190312164558635</v>
      </c>
      <c r="B4387" t="str">
        <f>"1552380358625664"</f>
        <v>1552380358625664</v>
      </c>
      <c r="C4387" t="s">
        <v>40</v>
      </c>
      <c r="D4387">
        <v>4.4129009999999997</v>
      </c>
      <c r="E4387">
        <v>0.53196619999999994</v>
      </c>
      <c r="F4387" t="s">
        <v>41</v>
      </c>
      <c r="G4387">
        <v>-422.59269999999998</v>
      </c>
      <c r="H4387">
        <v>0.94552210000000003</v>
      </c>
      <c r="I4387">
        <v>102.81829999999999</v>
      </c>
      <c r="J4387">
        <v>-422.48910000000001</v>
      </c>
      <c r="K4387">
        <v>1.108598</v>
      </c>
      <c r="L4387">
        <v>103.4289</v>
      </c>
      <c r="M4387">
        <v>3.735053E-2</v>
      </c>
      <c r="N4387">
        <v>0</v>
      </c>
      <c r="O4387">
        <v>-0.99926859999999995</v>
      </c>
      <c r="P4387">
        <v>-5.6653540000000002E-2</v>
      </c>
      <c r="Q4387">
        <v>0.10923960000000001</v>
      </c>
      <c r="R4387">
        <v>-0.9923999</v>
      </c>
      <c r="S4387">
        <v>-0.34664919999999999</v>
      </c>
      <c r="T4387">
        <v>-0.59993509999999906</v>
      </c>
      <c r="U4387">
        <v>-3.066986</v>
      </c>
      <c r="V4387">
        <v>9.358967E-2</v>
      </c>
      <c r="W4387">
        <v>0.1174326</v>
      </c>
      <c r="X4387">
        <v>0.98866100000000001</v>
      </c>
      <c r="Y4387">
        <v>0.147293799999999</v>
      </c>
      <c r="Z4387">
        <v>0.1901388</v>
      </c>
      <c r="AA4387">
        <v>0.97064499999999998</v>
      </c>
      <c r="AB4387">
        <v>26</v>
      </c>
      <c r="AC4387">
        <v>-0.10359999999997099</v>
      </c>
      <c r="AD4387">
        <v>-0.1630759</v>
      </c>
      <c r="AE4387">
        <v>-0.61060000000000503</v>
      </c>
      <c r="AF4387">
        <v>0.118143460563677</v>
      </c>
      <c r="AG4387">
        <v>-0.1630759</v>
      </c>
      <c r="AH4387">
        <v>0.56699292306037496</v>
      </c>
      <c r="AI4387">
        <v>105.72551423662701</v>
      </c>
      <c r="AJ4387">
        <v>78.229780413368104</v>
      </c>
      <c r="AK4387">
        <v>0.60169145019296999</v>
      </c>
      <c r="AL4387">
        <v>83.256046375030706</v>
      </c>
      <c r="AM4387">
        <v>84.592320995705094</v>
      </c>
      <c r="AN4387">
        <v>1.0000000073972299</v>
      </c>
    </row>
    <row r="4388" spans="1:40" x14ac:dyDescent="0.25">
      <c r="A4388" t="str">
        <f>"20190312164558656"</f>
        <v>20190312164558656</v>
      </c>
      <c r="B4388" t="str">
        <f>"1552380358646161"</f>
        <v>1552380358646161</v>
      </c>
      <c r="C4388" t="s">
        <v>40</v>
      </c>
      <c r="D4388">
        <v>4.5654170000000001</v>
      </c>
      <c r="E4388">
        <v>0.53231030000000001</v>
      </c>
      <c r="F4388" t="s">
        <v>41</v>
      </c>
      <c r="G4388">
        <v>-422.58330000000001</v>
      </c>
      <c r="H4388">
        <v>0.94857449999999999</v>
      </c>
      <c r="I4388">
        <v>102.5819</v>
      </c>
      <c r="J4388">
        <v>-422.47890000000001</v>
      </c>
      <c r="K4388">
        <v>1.108473</v>
      </c>
      <c r="L4388">
        <v>103.1696</v>
      </c>
      <c r="M4388">
        <v>3.762534E-2</v>
      </c>
      <c r="N4388">
        <v>0</v>
      </c>
      <c r="O4388">
        <v>-0.99925870000000006</v>
      </c>
      <c r="P4388">
        <v>-5.3660239999999998E-2</v>
      </c>
      <c r="Q4388">
        <v>0.11165170000000001</v>
      </c>
      <c r="R4388">
        <v>-0.99229780000000001</v>
      </c>
      <c r="S4388">
        <v>-0.34042359999999999</v>
      </c>
      <c r="T4388">
        <v>-0.57954030000000001</v>
      </c>
      <c r="U4388">
        <v>-3.0673219999999999</v>
      </c>
      <c r="V4388">
        <v>9.0901750000000003E-2</v>
      </c>
      <c r="W4388">
        <v>0.11977019999999999</v>
      </c>
      <c r="X4388">
        <v>0.98863140000000005</v>
      </c>
      <c r="Y4388">
        <v>0.14573900000000001</v>
      </c>
      <c r="Z4388">
        <v>0.18391959999999999</v>
      </c>
      <c r="AA4388">
        <v>0.97207699999999997</v>
      </c>
      <c r="AB4388">
        <v>26</v>
      </c>
      <c r="AC4388">
        <v>-0.10439999999999799</v>
      </c>
      <c r="AD4388">
        <v>-0.159898499999999</v>
      </c>
      <c r="AE4388">
        <v>-0.587699999999998</v>
      </c>
      <c r="AF4388">
        <v>0.11797340818212999</v>
      </c>
      <c r="AG4388">
        <v>-0.159898499999999</v>
      </c>
      <c r="AH4388">
        <v>0.54429671065358498</v>
      </c>
      <c r="AI4388">
        <v>106.019005430063</v>
      </c>
      <c r="AJ4388">
        <v>77.770608807317799</v>
      </c>
      <c r="AK4388">
        <v>0.57943434879947397</v>
      </c>
      <c r="AL4388">
        <v>83.121159896796399</v>
      </c>
      <c r="AM4388">
        <v>84.7465928913563</v>
      </c>
      <c r="AN4388">
        <v>1.00000003701353</v>
      </c>
    </row>
    <row r="4389" spans="1:40" x14ac:dyDescent="0.25">
      <c r="A4389" t="str">
        <f>"20190312164558680"</f>
        <v>20190312164558680</v>
      </c>
      <c r="B4389" t="str">
        <f>"1552380358676417"</f>
        <v>1552380358676417</v>
      </c>
      <c r="C4389" t="s">
        <v>40</v>
      </c>
      <c r="D4389">
        <v>4.2643019999999998</v>
      </c>
      <c r="E4389">
        <v>0.53351470000000001</v>
      </c>
      <c r="F4389" t="s">
        <v>41</v>
      </c>
      <c r="G4389">
        <v>-422.56970000000001</v>
      </c>
      <c r="H4389">
        <v>0.95321820000000002</v>
      </c>
      <c r="I4389">
        <v>102.3445</v>
      </c>
      <c r="J4389">
        <v>-422.46879999999999</v>
      </c>
      <c r="K4389">
        <v>1.1083540000000001</v>
      </c>
      <c r="L4389">
        <v>102.90479999999999</v>
      </c>
      <c r="M4389">
        <v>3.7746809999999999E-2</v>
      </c>
      <c r="N4389">
        <v>0</v>
      </c>
      <c r="O4389">
        <v>-0.99925459999999999</v>
      </c>
      <c r="P4389">
        <v>-5.1230930000000001E-2</v>
      </c>
      <c r="Q4389">
        <v>0.1134404</v>
      </c>
      <c r="R4389">
        <v>-0.99222359999999998</v>
      </c>
      <c r="S4389">
        <v>-0.33651730000000002</v>
      </c>
      <c r="T4389">
        <v>-0.57771030000000001</v>
      </c>
      <c r="U4389">
        <v>-3.0700989999999999</v>
      </c>
      <c r="V4389">
        <v>8.862594E-2</v>
      </c>
      <c r="W4389">
        <v>0.1214932</v>
      </c>
      <c r="X4389">
        <v>0.98862779999999995</v>
      </c>
      <c r="Y4389">
        <v>0.14455489999999999</v>
      </c>
      <c r="Z4389">
        <v>0.18322649999999999</v>
      </c>
      <c r="AA4389">
        <v>0.97238469999999999</v>
      </c>
      <c r="AB4389">
        <v>26</v>
      </c>
      <c r="AC4389">
        <v>-0.100900000000024</v>
      </c>
      <c r="AD4389">
        <v>-0.15513579999999999</v>
      </c>
      <c r="AE4389">
        <v>-0.56029999999999702</v>
      </c>
      <c r="AF4389">
        <v>0.113546952421422</v>
      </c>
      <c r="AG4389">
        <v>-0.15513579999999999</v>
      </c>
      <c r="AH4389">
        <v>0.517653800901689</v>
      </c>
      <c r="AI4389">
        <v>106.31637626373001</v>
      </c>
      <c r="AJ4389">
        <v>77.628152431083393</v>
      </c>
      <c r="AK4389">
        <v>0.55220058351454004</v>
      </c>
      <c r="AL4389">
        <v>83.0217130593511</v>
      </c>
      <c r="AM4389">
        <v>84.877389605169896</v>
      </c>
      <c r="AN4389">
        <v>1.0000000409099801</v>
      </c>
    </row>
    <row r="4390" spans="1:40" x14ac:dyDescent="0.25">
      <c r="A4390" t="str">
        <f>"20190312164558702"</f>
        <v>20190312164558702</v>
      </c>
      <c r="B4390" t="str">
        <f>"1552380358695936"</f>
        <v>1552380358695936</v>
      </c>
      <c r="C4390" t="s">
        <v>40</v>
      </c>
      <c r="D4390">
        <v>4.5002319999999996</v>
      </c>
      <c r="E4390">
        <v>0.53269259999999996</v>
      </c>
      <c r="F4390" t="s">
        <v>41</v>
      </c>
      <c r="G4390">
        <v>-422.55869999999999</v>
      </c>
      <c r="H4390">
        <v>0.96319189999999999</v>
      </c>
      <c r="I4390">
        <v>102.1036</v>
      </c>
      <c r="J4390">
        <v>-422.45800000000003</v>
      </c>
      <c r="K4390">
        <v>1.1082430000000001</v>
      </c>
      <c r="L4390">
        <v>102.6253</v>
      </c>
      <c r="M4390">
        <v>3.771103E-2</v>
      </c>
      <c r="N4390">
        <v>0</v>
      </c>
      <c r="O4390">
        <v>-0.99925629999999999</v>
      </c>
      <c r="P4390">
        <v>-5.0107470000000001E-2</v>
      </c>
      <c r="Q4390">
        <v>0.11500489999999999</v>
      </c>
      <c r="R4390">
        <v>-0.9921008</v>
      </c>
      <c r="S4390">
        <v>-0.34313959999999999</v>
      </c>
      <c r="T4390">
        <v>-0.55612150000000005</v>
      </c>
      <c r="U4390">
        <v>-3.069366</v>
      </c>
      <c r="V4390">
        <v>8.7496550000000006E-2</v>
      </c>
      <c r="W4390">
        <v>0.1229958</v>
      </c>
      <c r="X4390">
        <v>0.98854260000000005</v>
      </c>
      <c r="Y4390">
        <v>0.14675189999999999</v>
      </c>
      <c r="Z4390">
        <v>0.17659179999999999</v>
      </c>
      <c r="AA4390">
        <v>0.97328269999999995</v>
      </c>
      <c r="AB4390">
        <v>26</v>
      </c>
      <c r="AC4390">
        <v>-0.10069999999996</v>
      </c>
      <c r="AD4390">
        <v>-0.14505109999999999</v>
      </c>
      <c r="AE4390">
        <v>-0.52169999999999495</v>
      </c>
      <c r="AF4390">
        <v>0.111958886635382</v>
      </c>
      <c r="AG4390">
        <v>-0.14505109999999999</v>
      </c>
      <c r="AH4390">
        <v>0.481636345592103</v>
      </c>
      <c r="AI4390">
        <v>106.34862592170499</v>
      </c>
      <c r="AJ4390">
        <v>76.913700912645993</v>
      </c>
      <c r="AK4390">
        <v>0.51531367467122402</v>
      </c>
      <c r="AL4390">
        <v>82.934969854947397</v>
      </c>
      <c r="AM4390">
        <v>84.941894348523903</v>
      </c>
      <c r="AN4390">
        <v>1.00000004254715</v>
      </c>
    </row>
    <row r="4391" spans="1:40" x14ac:dyDescent="0.25">
      <c r="A4391" t="str">
        <f>"20190312164558724"</f>
        <v>20190312164558724</v>
      </c>
      <c r="B4391" t="str">
        <f>"1552380358716435"</f>
        <v>1552380358716435</v>
      </c>
      <c r="C4391" t="s">
        <v>40</v>
      </c>
      <c r="D4391">
        <v>4.6829239999999999</v>
      </c>
      <c r="E4391">
        <v>0.53310749999999996</v>
      </c>
      <c r="F4391" t="s">
        <v>41</v>
      </c>
      <c r="G4391">
        <v>-422.54090000000002</v>
      </c>
      <c r="H4391">
        <v>0.96814940000000005</v>
      </c>
      <c r="I4391">
        <v>101.86490000000001</v>
      </c>
      <c r="J4391">
        <v>-422.44850000000002</v>
      </c>
      <c r="K4391">
        <v>1.1081540000000001</v>
      </c>
      <c r="L4391">
        <v>102.37179999999999</v>
      </c>
      <c r="M4391">
        <v>3.7529510000000002E-2</v>
      </c>
      <c r="N4391">
        <v>0</v>
      </c>
      <c r="O4391">
        <v>-0.99926329999999997</v>
      </c>
      <c r="P4391">
        <v>-4.9419999999999999E-2</v>
      </c>
      <c r="Q4391">
        <v>0.11642950000000001</v>
      </c>
      <c r="R4391">
        <v>-0.99196890000000004</v>
      </c>
      <c r="S4391">
        <v>-0.33334350000000001</v>
      </c>
      <c r="T4391">
        <v>-0.56611350000000005</v>
      </c>
      <c r="U4391">
        <v>-3.0726930000000001</v>
      </c>
      <c r="V4391">
        <v>8.6654060000000005E-2</v>
      </c>
      <c r="W4391">
        <v>0.12436989999999901</v>
      </c>
      <c r="X4391">
        <v>0.98844489999999996</v>
      </c>
      <c r="Y4391">
        <v>0.1433315</v>
      </c>
      <c r="Z4391">
        <v>0.17955209999999999</v>
      </c>
      <c r="AA4391">
        <v>0.97325079999999997</v>
      </c>
      <c r="AB4391">
        <v>26</v>
      </c>
      <c r="AC4391">
        <v>-9.2399999999997803E-2</v>
      </c>
      <c r="AD4391">
        <v>-0.14000460000000001</v>
      </c>
      <c r="AE4391">
        <v>-0.50689999999998703</v>
      </c>
      <c r="AF4391">
        <v>0.1037026591199</v>
      </c>
      <c r="AG4391">
        <v>-0.14000460000000001</v>
      </c>
      <c r="AH4391">
        <v>0.46848584013783401</v>
      </c>
      <c r="AI4391">
        <v>106.266287847366</v>
      </c>
      <c r="AJ4391">
        <v>77.518437097146403</v>
      </c>
      <c r="AK4391">
        <v>0.49983448454398399</v>
      </c>
      <c r="AL4391">
        <v>82.855630657776501</v>
      </c>
      <c r="AM4391">
        <v>84.989856340300904</v>
      </c>
      <c r="AN4391">
        <v>1.0000000592382501</v>
      </c>
    </row>
    <row r="4392" spans="1:40" x14ac:dyDescent="0.25">
      <c r="A4392" t="str">
        <f>"20190312164558747"</f>
        <v>20190312164558747</v>
      </c>
      <c r="B4392" t="str">
        <f>"1552380358735954"</f>
        <v>1552380358735954</v>
      </c>
      <c r="C4392" t="s">
        <v>40</v>
      </c>
      <c r="D4392">
        <v>4.4048809999999996</v>
      </c>
      <c r="E4392">
        <v>0.52802780000000005</v>
      </c>
      <c r="F4392" t="s">
        <v>41</v>
      </c>
      <c r="G4392">
        <v>-422.53030000000001</v>
      </c>
      <c r="H4392">
        <v>0.97397029999999996</v>
      </c>
      <c r="I4392">
        <v>101.6246</v>
      </c>
      <c r="J4392">
        <v>-422.43869999999998</v>
      </c>
      <c r="K4392">
        <v>1.108061</v>
      </c>
      <c r="L4392">
        <v>102.1044</v>
      </c>
      <c r="M4392">
        <v>3.7192629999999997E-2</v>
      </c>
      <c r="N4392">
        <v>0</v>
      </c>
      <c r="O4392">
        <v>-0.99927600000000005</v>
      </c>
      <c r="P4392">
        <v>-4.9158889999999997E-2</v>
      </c>
      <c r="Q4392">
        <v>0.1189093</v>
      </c>
      <c r="R4392">
        <v>-0.99168750000000006</v>
      </c>
      <c r="S4392">
        <v>-0.33551029999999998</v>
      </c>
      <c r="T4392">
        <v>-0.55171369999999997</v>
      </c>
      <c r="U4392">
        <v>-3.072327</v>
      </c>
      <c r="V4392">
        <v>8.6081359999999996E-2</v>
      </c>
      <c r="W4392">
        <v>0.12679860000000001</v>
      </c>
      <c r="X4392">
        <v>0.98818629999999996</v>
      </c>
      <c r="Y4392">
        <v>0.14377529999999999</v>
      </c>
      <c r="Z4392">
        <v>0.17513999999999999</v>
      </c>
      <c r="AA4392">
        <v>0.97398899999999999</v>
      </c>
      <c r="AB4392">
        <v>27</v>
      </c>
      <c r="AC4392">
        <v>-9.1600000000028103E-2</v>
      </c>
      <c r="AD4392">
        <v>-0.13409069999999901</v>
      </c>
      <c r="AE4392">
        <v>-0.47979999999999701</v>
      </c>
      <c r="AF4392">
        <v>0.101717023309622</v>
      </c>
      <c r="AG4392">
        <v>-0.13409069999999901</v>
      </c>
      <c r="AH4392">
        <v>0.44270006195327799</v>
      </c>
      <c r="AI4392">
        <v>106.446651778195</v>
      </c>
      <c r="AJ4392">
        <v>77.060018807920798</v>
      </c>
      <c r="AK4392">
        <v>0.473613780955428</v>
      </c>
      <c r="AL4392">
        <v>82.715365633603696</v>
      </c>
      <c r="AM4392">
        <v>85.021505748830506</v>
      </c>
      <c r="AN4392">
        <v>1.00000002450454</v>
      </c>
    </row>
    <row r="4393" spans="1:40" x14ac:dyDescent="0.25">
      <c r="A4393" t="str">
        <f>"20190312164558771"</f>
        <v>20190312164558771</v>
      </c>
      <c r="B4393" t="str">
        <f>"1552380358766208"</f>
        <v>1552380358766208</v>
      </c>
      <c r="C4393" t="s">
        <v>40</v>
      </c>
      <c r="D4393">
        <v>4.592085</v>
      </c>
      <c r="E4393">
        <v>0.46989639999999999</v>
      </c>
      <c r="F4393" t="s">
        <v>41</v>
      </c>
      <c r="G4393">
        <v>-422.50799999999998</v>
      </c>
      <c r="H4393">
        <v>0.98163900000000004</v>
      </c>
      <c r="I4393">
        <v>101.38339999999999</v>
      </c>
      <c r="J4393">
        <v>-422.42899999999997</v>
      </c>
      <c r="K4393">
        <v>1.1079730000000001</v>
      </c>
      <c r="L4393">
        <v>101.836</v>
      </c>
      <c r="M4393">
        <v>3.6713019999999999E-2</v>
      </c>
      <c r="N4393">
        <v>0</v>
      </c>
      <c r="O4393">
        <v>-0.99929389999999996</v>
      </c>
      <c r="P4393">
        <v>-4.7936039999999999E-2</v>
      </c>
      <c r="Q4393">
        <v>0.1232087</v>
      </c>
      <c r="R4393">
        <v>-0.99122239999999995</v>
      </c>
      <c r="S4393">
        <v>-0.29437259999999998</v>
      </c>
      <c r="T4393">
        <v>-0.53919399999999995</v>
      </c>
      <c r="U4393">
        <v>-3.0752259999999998</v>
      </c>
      <c r="V4393">
        <v>8.4402779999999997E-2</v>
      </c>
      <c r="W4393">
        <v>0.131051</v>
      </c>
      <c r="X4393">
        <v>0.98777619999999999</v>
      </c>
      <c r="Y4393">
        <v>0.13035759999999999</v>
      </c>
      <c r="Z4393">
        <v>0.17140720000000001</v>
      </c>
      <c r="AA4393">
        <v>0.97653800000000002</v>
      </c>
      <c r="AB4393">
        <v>27</v>
      </c>
      <c r="AC4393">
        <v>-7.9000000000007703E-2</v>
      </c>
      <c r="AD4393">
        <v>-0.126333999999999</v>
      </c>
      <c r="AE4393">
        <v>-0.452600000000003</v>
      </c>
      <c r="AF4393">
        <v>8.8845966386190897E-2</v>
      </c>
      <c r="AG4393">
        <v>-0.126333999999999</v>
      </c>
      <c r="AH4393">
        <v>0.41780438035205902</v>
      </c>
      <c r="AI4393">
        <v>106.47625276518001</v>
      </c>
      <c r="AJ4393">
        <v>77.994895622745005</v>
      </c>
      <c r="AK4393">
        <v>0.44543729697956902</v>
      </c>
      <c r="AL4393">
        <v>82.469670261736596</v>
      </c>
      <c r="AM4393">
        <v>85.116095164776794</v>
      </c>
      <c r="AN4393">
        <v>1.0000000075795801</v>
      </c>
    </row>
    <row r="4394" spans="1:40" x14ac:dyDescent="0.25">
      <c r="A4394" t="str">
        <f>"20190312164558792"</f>
        <v>20190312164558792</v>
      </c>
      <c r="B4394" t="str">
        <f>"1552380358785728"</f>
        <v>1552380358785728</v>
      </c>
      <c r="C4394" t="s">
        <v>40</v>
      </c>
      <c r="D4394">
        <v>4.5536219999999998</v>
      </c>
      <c r="E4394">
        <v>0.47038540000000001</v>
      </c>
      <c r="F4394" t="s">
        <v>41</v>
      </c>
      <c r="G4394">
        <v>-422.38220000000001</v>
      </c>
      <c r="H4394">
        <v>1.0208820000000001</v>
      </c>
      <c r="I4394">
        <v>100.88890000000001</v>
      </c>
      <c r="J4394">
        <v>-422.41969999999998</v>
      </c>
      <c r="K4394">
        <v>1.1078920000000001</v>
      </c>
      <c r="L4394">
        <v>101.56659999999999</v>
      </c>
      <c r="M4394">
        <v>3.609888E-2</v>
      </c>
      <c r="N4394">
        <v>0</v>
      </c>
      <c r="O4394">
        <v>-0.99931650000000005</v>
      </c>
      <c r="P4394">
        <v>-4.5344460000000003E-2</v>
      </c>
      <c r="Q4394">
        <v>0.12869520000000001</v>
      </c>
      <c r="R4394">
        <v>-0.99064730000000001</v>
      </c>
      <c r="S4394">
        <v>0.15270999999999901</v>
      </c>
      <c r="T4394">
        <v>-0.2821845</v>
      </c>
      <c r="U4394">
        <v>-3.0690309999999998</v>
      </c>
      <c r="V4394">
        <v>8.1222030000000001E-2</v>
      </c>
      <c r="W4394">
        <v>0.13649620000000001</v>
      </c>
      <c r="X4394">
        <v>0.98730530000000005</v>
      </c>
      <c r="Y4394">
        <v>-1.340087E-2</v>
      </c>
      <c r="Z4394">
        <v>9.1410210000000006E-2</v>
      </c>
      <c r="AA4394">
        <v>0.99572309999999997</v>
      </c>
      <c r="AB4394">
        <v>27</v>
      </c>
      <c r="AC4394">
        <v>3.7499999999965797E-2</v>
      </c>
      <c r="AD4394">
        <v>-8.7010000000000004E-2</v>
      </c>
      <c r="AE4394">
        <v>-0.67769999999998698</v>
      </c>
      <c r="AF4394">
        <v>-1.28002152038255E-2</v>
      </c>
      <c r="AG4394">
        <v>-8.7010000000000004E-2</v>
      </c>
      <c r="AH4394">
        <v>0.66764020750712805</v>
      </c>
      <c r="AI4394">
        <v>97.423856228566706</v>
      </c>
      <c r="AJ4394">
        <v>91.098358755556504</v>
      </c>
      <c r="AK4394">
        <v>0.67340777563778198</v>
      </c>
      <c r="AL4394">
        <v>82.154853156677802</v>
      </c>
      <c r="AM4394">
        <v>85.297074143295205</v>
      </c>
      <c r="AN4394">
        <v>0.99999999308992504</v>
      </c>
    </row>
    <row r="4395" spans="1:40" x14ac:dyDescent="0.25">
      <c r="A4395" t="str">
        <f>"20190312164558814"</f>
        <v>20190312164558814</v>
      </c>
      <c r="B4395" t="str">
        <f>"1552380358806224"</f>
        <v>1552380358806224</v>
      </c>
      <c r="C4395" t="s">
        <v>40</v>
      </c>
      <c r="D4395">
        <v>4.4059819999999998</v>
      </c>
      <c r="E4395">
        <v>0.4720588</v>
      </c>
      <c r="F4395" t="s">
        <v>42</v>
      </c>
      <c r="G4395">
        <v>-421.61219999999997</v>
      </c>
      <c r="H4395" s="1">
        <v>-2.785391E-6</v>
      </c>
      <c r="I4395">
        <v>85.08202</v>
      </c>
      <c r="J4395">
        <v>-422.41090000000003</v>
      </c>
      <c r="K4395">
        <v>1.1078250000000001</v>
      </c>
      <c r="L4395">
        <v>101.30410000000001</v>
      </c>
      <c r="M4395">
        <v>3.5408530000000001E-2</v>
      </c>
      <c r="N4395">
        <v>0</v>
      </c>
      <c r="O4395">
        <v>-0.99934120000000004</v>
      </c>
      <c r="P4395">
        <v>-4.2448069999999997E-2</v>
      </c>
      <c r="Q4395">
        <v>0.13403119999999999</v>
      </c>
      <c r="R4395">
        <v>-0.99006769999999999</v>
      </c>
      <c r="S4395">
        <v>0.14999390000000001</v>
      </c>
      <c r="T4395">
        <v>-0.2057852</v>
      </c>
      <c r="U4395">
        <v>-3.0619200000000002</v>
      </c>
      <c r="V4395">
        <v>7.7658099999999994E-2</v>
      </c>
      <c r="W4395">
        <v>0.14179939999999999</v>
      </c>
      <c r="X4395">
        <v>0.98684450000000001</v>
      </c>
      <c r="Y4395">
        <v>-1.3420430000000001E-2</v>
      </c>
      <c r="Z4395">
        <v>6.6950679999999999E-2</v>
      </c>
      <c r="AA4395">
        <v>0.99766600000000005</v>
      </c>
      <c r="AB4395">
        <v>27</v>
      </c>
      <c r="AC4395">
        <v>0.79870000000005303</v>
      </c>
      <c r="AD4395">
        <v>-1.1078277853909999</v>
      </c>
      <c r="AE4395">
        <v>-16.222079999999998</v>
      </c>
      <c r="AF4395">
        <v>-0.22274460045028299</v>
      </c>
      <c r="AG4395">
        <v>-1.1078277853909999</v>
      </c>
      <c r="AH4395">
        <v>16.1649820646468</v>
      </c>
      <c r="AI4395">
        <v>93.920125959071996</v>
      </c>
      <c r="AJ4395">
        <v>90.789454501987606</v>
      </c>
      <c r="AK4395">
        <v>16.204429724907499</v>
      </c>
      <c r="AL4395">
        <v>81.848016490599605</v>
      </c>
      <c r="AM4395">
        <v>85.500475842499398</v>
      </c>
      <c r="AN4395">
        <v>0.99999995875810899</v>
      </c>
    </row>
    <row r="4396" spans="1:40" x14ac:dyDescent="0.25">
      <c r="A4396" t="str">
        <f>"20190312164558835"</f>
        <v>20190312164558835</v>
      </c>
      <c r="B4396" t="str">
        <f>"1552380358825745"</f>
        <v>1552380358825745</v>
      </c>
      <c r="C4396" t="s">
        <v>40</v>
      </c>
      <c r="D4396">
        <v>4.661435</v>
      </c>
      <c r="E4396">
        <v>0.47358030000000001</v>
      </c>
      <c r="F4396" t="s">
        <v>42</v>
      </c>
      <c r="G4396">
        <v>-421.41730000000001</v>
      </c>
      <c r="H4396" s="1">
        <v>-4.8728840000000004E-7</v>
      </c>
      <c r="I4396">
        <v>79.845950000000002</v>
      </c>
      <c r="J4396">
        <v>-422.40210000000002</v>
      </c>
      <c r="K4396">
        <v>1.10775</v>
      </c>
      <c r="L4396">
        <v>101.0371</v>
      </c>
      <c r="M4396">
        <v>3.4623660000000001E-2</v>
      </c>
      <c r="N4396">
        <v>0</v>
      </c>
      <c r="O4396">
        <v>-0.9993689</v>
      </c>
      <c r="P4396">
        <v>-4.0480820000000001E-2</v>
      </c>
      <c r="Q4396">
        <v>0.1369049</v>
      </c>
      <c r="R4396">
        <v>-0.98975690000000005</v>
      </c>
      <c r="S4396">
        <v>0.141571</v>
      </c>
      <c r="T4396">
        <v>-0.1578513</v>
      </c>
      <c r="U4396">
        <v>-3.0575260000000002</v>
      </c>
      <c r="V4396">
        <v>7.493263E-2</v>
      </c>
      <c r="W4396">
        <v>0.144647</v>
      </c>
      <c r="X4396">
        <v>0.98664189999999996</v>
      </c>
      <c r="Y4396">
        <v>-1.157613E-2</v>
      </c>
      <c r="Z4396">
        <v>5.148295E-2</v>
      </c>
      <c r="AA4396">
        <v>0.99860680000000002</v>
      </c>
      <c r="AB4396">
        <v>27</v>
      </c>
      <c r="AC4396">
        <v>0.984800000000007</v>
      </c>
      <c r="AD4396">
        <v>-1.1077504872883901</v>
      </c>
      <c r="AE4396">
        <v>-21.19115</v>
      </c>
      <c r="AF4396">
        <v>-0.24979010698659601</v>
      </c>
      <c r="AG4396">
        <v>-1.1077504872883901</v>
      </c>
      <c r="AH4396">
        <v>21.154858863058301</v>
      </c>
      <c r="AI4396">
        <v>92.997283075399906</v>
      </c>
      <c r="AJ4396">
        <v>90.6764996123255</v>
      </c>
      <c r="AK4396">
        <v>21.1853147192944</v>
      </c>
      <c r="AL4396">
        <v>81.683161269289101</v>
      </c>
      <c r="AM4396">
        <v>85.656886948677695</v>
      </c>
      <c r="AN4396">
        <v>0.999999946241661</v>
      </c>
    </row>
    <row r="4397" spans="1:40" x14ac:dyDescent="0.25">
      <c r="A4397" t="str">
        <f>"20190312164558858"</f>
        <v>20190312164558858</v>
      </c>
      <c r="B4397" t="str">
        <f>"1552380358846240"</f>
        <v>1552380358846240</v>
      </c>
      <c r="C4397" t="s">
        <v>40</v>
      </c>
      <c r="D4397">
        <v>4.4853730000000001</v>
      </c>
      <c r="E4397">
        <v>0.47468060000000001</v>
      </c>
      <c r="F4397" t="s">
        <v>42</v>
      </c>
      <c r="G4397">
        <v>-421.34480000000002</v>
      </c>
      <c r="H4397" s="1">
        <v>-3.5580839999999998E-6</v>
      </c>
      <c r="I4397">
        <v>77.049030000000002</v>
      </c>
      <c r="J4397">
        <v>-422.39359999999999</v>
      </c>
      <c r="K4397">
        <v>1.107693</v>
      </c>
      <c r="L4397">
        <v>100.7668</v>
      </c>
      <c r="M4397">
        <v>3.3756729999999999E-2</v>
      </c>
      <c r="N4397">
        <v>0</v>
      </c>
      <c r="O4397">
        <v>-0.99939889999999998</v>
      </c>
      <c r="P4397">
        <v>-3.8405359999999999E-2</v>
      </c>
      <c r="Q4397">
        <v>0.13697989999999999</v>
      </c>
      <c r="R4397">
        <v>-0.98982930000000002</v>
      </c>
      <c r="S4397">
        <v>0.13470460000000001</v>
      </c>
      <c r="T4397">
        <v>-0.141127</v>
      </c>
      <c r="U4397">
        <v>-3.0560610000000001</v>
      </c>
      <c r="V4397">
        <v>7.2022849999999999E-2</v>
      </c>
      <c r="W4397">
        <v>0.144705</v>
      </c>
      <c r="X4397">
        <v>0.98685009999999995</v>
      </c>
      <c r="Y4397">
        <v>-1.0238189999999999E-2</v>
      </c>
      <c r="Z4397">
        <v>4.606731E-2</v>
      </c>
      <c r="AA4397">
        <v>0.99888589999999999</v>
      </c>
      <c r="AB4397">
        <v>27</v>
      </c>
      <c r="AC4397">
        <v>1.04879999999997</v>
      </c>
      <c r="AD4397">
        <v>-1.1076965580839999</v>
      </c>
      <c r="AE4397">
        <v>-23.717770000000002</v>
      </c>
      <c r="AF4397">
        <v>-0.24700520767192399</v>
      </c>
      <c r="AG4397">
        <v>-1.1076965580839999</v>
      </c>
      <c r="AH4397">
        <v>23.688089630845301</v>
      </c>
      <c r="AI4397">
        <v>92.677155354788198</v>
      </c>
      <c r="AJ4397">
        <v>90.597424411995505</v>
      </c>
      <c r="AK4397">
        <v>23.715260774369899</v>
      </c>
      <c r="AL4397">
        <v>81.679803011326896</v>
      </c>
      <c r="AM4397">
        <v>85.825807855925902</v>
      </c>
      <c r="AN4397">
        <v>0.99999997390856499</v>
      </c>
    </row>
    <row r="4398" spans="1:40" x14ac:dyDescent="0.25">
      <c r="A4398" t="str">
        <f>"20190312164558881"</f>
        <v>20190312164558881</v>
      </c>
      <c r="B4398" t="str">
        <f>"1552380358876499"</f>
        <v>1552380358876499</v>
      </c>
      <c r="C4398" t="s">
        <v>40</v>
      </c>
      <c r="D4398">
        <v>4.495209</v>
      </c>
      <c r="E4398">
        <v>0.47584009999999999</v>
      </c>
      <c r="F4398" t="s">
        <v>42</v>
      </c>
      <c r="G4398">
        <v>-421.33659999999998</v>
      </c>
      <c r="H4398" s="1">
        <v>-3.2789469999999999E-6</v>
      </c>
      <c r="I4398">
        <v>76.403390000000002</v>
      </c>
      <c r="J4398">
        <v>-422.38510000000002</v>
      </c>
      <c r="K4398">
        <v>1.1076349999999999</v>
      </c>
      <c r="L4398">
        <v>100.48699999999999</v>
      </c>
      <c r="M4398">
        <v>3.2799540000000002E-2</v>
      </c>
      <c r="N4398">
        <v>0</v>
      </c>
      <c r="O4398">
        <v>-0.99943059999999995</v>
      </c>
      <c r="P4398">
        <v>-3.7044000000000001E-2</v>
      </c>
      <c r="Q4398">
        <v>0.13545889999999999</v>
      </c>
      <c r="R4398">
        <v>-0.99009040000000004</v>
      </c>
      <c r="S4398">
        <v>0.13253779999999901</v>
      </c>
      <c r="T4398">
        <v>-0.13890649999999999</v>
      </c>
      <c r="U4398">
        <v>-3.0552060000000001</v>
      </c>
      <c r="V4398">
        <v>6.973741E-2</v>
      </c>
      <c r="W4398">
        <v>0.14316719999999999</v>
      </c>
      <c r="X4398">
        <v>0.98723850000000002</v>
      </c>
      <c r="Y4398">
        <v>-1.050252E-2</v>
      </c>
      <c r="Z4398">
        <v>4.5359429999999999E-2</v>
      </c>
      <c r="AA4398">
        <v>0.99891549999999996</v>
      </c>
      <c r="AB4398">
        <v>27</v>
      </c>
      <c r="AC4398">
        <v>1.04850000000004</v>
      </c>
      <c r="AD4398">
        <v>-1.1076382789470001</v>
      </c>
      <c r="AE4398">
        <v>-24.08361</v>
      </c>
      <c r="AF4398">
        <v>-0.25743623733246701</v>
      </c>
      <c r="AG4398">
        <v>-1.1076382789470001</v>
      </c>
      <c r="AH4398">
        <v>24.054258937046299</v>
      </c>
      <c r="AI4398">
        <v>92.636313768918498</v>
      </c>
      <c r="AJ4398">
        <v>90.613174025319694</v>
      </c>
      <c r="AK4398">
        <v>24.081123499200601</v>
      </c>
      <c r="AL4398">
        <v>81.768839867552003</v>
      </c>
      <c r="AM4398">
        <v>85.959402737249107</v>
      </c>
      <c r="AN4398">
        <v>1.00000000469579</v>
      </c>
    </row>
    <row r="4399" spans="1:40" x14ac:dyDescent="0.25">
      <c r="A4399" t="str">
        <f>"20190312164558902"</f>
        <v>20190312164558902</v>
      </c>
      <c r="B4399" t="str">
        <f>"1552380358896016"</f>
        <v>1552380358896016</v>
      </c>
      <c r="C4399" t="s">
        <v>40</v>
      </c>
      <c r="D4399">
        <v>4.716634</v>
      </c>
      <c r="E4399">
        <v>0.4767226</v>
      </c>
      <c r="F4399" t="s">
        <v>42</v>
      </c>
      <c r="G4399">
        <v>-421.44819999999999</v>
      </c>
      <c r="H4399" s="1">
        <v>-3.9281709999999998E-6</v>
      </c>
      <c r="I4399">
        <v>77.847569999999905</v>
      </c>
      <c r="J4399">
        <v>-422.37729999999999</v>
      </c>
      <c r="K4399">
        <v>1.10759599999999</v>
      </c>
      <c r="L4399">
        <v>100.22199999999999</v>
      </c>
      <c r="M4399">
        <v>3.185325E-2</v>
      </c>
      <c r="N4399">
        <v>0</v>
      </c>
      <c r="O4399">
        <v>-0.9994615</v>
      </c>
      <c r="P4399">
        <v>-3.6960989999999999E-2</v>
      </c>
      <c r="Q4399">
        <v>0.13351859999999999</v>
      </c>
      <c r="R4399">
        <v>-0.9903573</v>
      </c>
      <c r="S4399">
        <v>0.1264343</v>
      </c>
      <c r="T4399">
        <v>-0.1494769</v>
      </c>
      <c r="U4399">
        <v>-3.0552060000000001</v>
      </c>
      <c r="V4399">
        <v>6.8735260000000006E-2</v>
      </c>
      <c r="W4399">
        <v>0.1412089</v>
      </c>
      <c r="X4399">
        <v>0.98759070000000004</v>
      </c>
      <c r="Y4399">
        <v>-9.4505579999999995E-3</v>
      </c>
      <c r="Z4399">
        <v>4.880777E-2</v>
      </c>
      <c r="AA4399">
        <v>0.99876350000000003</v>
      </c>
      <c r="AB4399">
        <v>27</v>
      </c>
      <c r="AC4399">
        <v>0.92910000000000503</v>
      </c>
      <c r="AD4399">
        <v>-1.1075999281709901</v>
      </c>
      <c r="AE4399">
        <v>-22.37443</v>
      </c>
      <c r="AF4399">
        <v>-0.21538117744196</v>
      </c>
      <c r="AG4399">
        <v>-1.1075999281709901</v>
      </c>
      <c r="AH4399">
        <v>22.3380253018099</v>
      </c>
      <c r="AI4399">
        <v>92.838475099025203</v>
      </c>
      <c r="AJ4399">
        <v>90.552423497308297</v>
      </c>
      <c r="AK4399">
        <v>22.3665048909475</v>
      </c>
      <c r="AL4399">
        <v>81.882193398722904</v>
      </c>
      <c r="AM4399">
        <v>86.018695033115804</v>
      </c>
      <c r="AN4399">
        <v>0.99999994006648196</v>
      </c>
    </row>
    <row r="4400" spans="1:40" x14ac:dyDescent="0.25">
      <c r="A4400" t="str">
        <f>"20190312164558925"</f>
        <v>20190312164558925</v>
      </c>
      <c r="B4400" t="str">
        <f>"1552380358915536"</f>
        <v>1552380358915536</v>
      </c>
      <c r="C4400" t="s">
        <v>40</v>
      </c>
      <c r="D4400">
        <v>4.838832</v>
      </c>
      <c r="E4400">
        <v>0.47749249999999999</v>
      </c>
      <c r="F4400" t="s">
        <v>42</v>
      </c>
      <c r="G4400">
        <v>-421.51870000000002</v>
      </c>
      <c r="H4400" s="1">
        <v>-4.0030219999999998E-6</v>
      </c>
      <c r="I4400">
        <v>77.978319999999997</v>
      </c>
      <c r="J4400">
        <v>-422.36970000000002</v>
      </c>
      <c r="K4400">
        <v>1.107558</v>
      </c>
      <c r="L4400">
        <v>99.952060000000003</v>
      </c>
      <c r="M4400">
        <v>3.0859020000000001E-2</v>
      </c>
      <c r="N4400">
        <v>0</v>
      </c>
      <c r="O4400">
        <v>-0.99949279999999996</v>
      </c>
      <c r="P4400">
        <v>-3.7996780000000001E-2</v>
      </c>
      <c r="Q4400">
        <v>0.13372609999999999</v>
      </c>
      <c r="R4400">
        <v>-0.99028989999999995</v>
      </c>
      <c r="S4400">
        <v>0.11788940000000001</v>
      </c>
      <c r="T4400">
        <v>-0.15207770000000001</v>
      </c>
      <c r="U4400">
        <v>-3.054138</v>
      </c>
      <c r="V4400">
        <v>6.8795190000000006E-2</v>
      </c>
      <c r="W4400">
        <v>0.14139109999999999</v>
      </c>
      <c r="X4400">
        <v>0.98756049999999995</v>
      </c>
      <c r="Y4400">
        <v>-7.6681459999999998E-3</v>
      </c>
      <c r="Z4400">
        <v>4.9677689999999997E-2</v>
      </c>
      <c r="AA4400">
        <v>0.99873579999999995</v>
      </c>
      <c r="AB4400">
        <v>27</v>
      </c>
      <c r="AC4400">
        <v>0.85099999999999898</v>
      </c>
      <c r="AD4400">
        <v>-1.1075620030219999</v>
      </c>
      <c r="AE4400">
        <v>-21.973739999999999</v>
      </c>
      <c r="AF4400">
        <v>-0.17204918071391501</v>
      </c>
      <c r="AG4400">
        <v>-1.1075620030219999</v>
      </c>
      <c r="AH4400">
        <v>21.933895377837</v>
      </c>
      <c r="AI4400">
        <v>92.890632374862093</v>
      </c>
      <c r="AJ4400">
        <v>90.449418107734402</v>
      </c>
      <c r="AK4400">
        <v>21.962514905106399</v>
      </c>
      <c r="AL4400">
        <v>81.871648643222301</v>
      </c>
      <c r="AM4400">
        <v>86.015113463632403</v>
      </c>
      <c r="AN4400">
        <v>0.99999998124329703</v>
      </c>
    </row>
    <row r="4401" spans="1:40" x14ac:dyDescent="0.25">
      <c r="A4401" t="str">
        <f>"20190312164558948"</f>
        <v>20190312164558948</v>
      </c>
      <c r="B4401" t="str">
        <f>"1552380358936032"</f>
        <v>1552380358936032</v>
      </c>
      <c r="C4401" t="s">
        <v>40</v>
      </c>
      <c r="D4401">
        <v>4.7046010000000003</v>
      </c>
      <c r="E4401">
        <v>0.4782093</v>
      </c>
      <c r="F4401" t="s">
        <v>42</v>
      </c>
      <c r="G4401">
        <v>-421.59140000000002</v>
      </c>
      <c r="H4401" s="1">
        <v>-3.9000610000000001E-6</v>
      </c>
      <c r="I4401">
        <v>77.693190000000001</v>
      </c>
      <c r="J4401">
        <v>-422.36219999999997</v>
      </c>
      <c r="K4401">
        <v>1.107529</v>
      </c>
      <c r="L4401">
        <v>99.674989999999994</v>
      </c>
      <c r="M4401">
        <v>2.981019E-2</v>
      </c>
      <c r="N4401">
        <v>0</v>
      </c>
      <c r="O4401">
        <v>-0.99952490000000005</v>
      </c>
      <c r="P4401">
        <v>-3.942594E-2</v>
      </c>
      <c r="Q4401">
        <v>0.13433010000000001</v>
      </c>
      <c r="R4401">
        <v>-0.99015240000000004</v>
      </c>
      <c r="S4401">
        <v>0.106781</v>
      </c>
      <c r="T4401">
        <v>-0.15196390000000001</v>
      </c>
      <c r="U4401">
        <v>-3.0540470000000002</v>
      </c>
      <c r="V4401">
        <v>6.9192600000000007E-2</v>
      </c>
      <c r="W4401">
        <v>0.1419618</v>
      </c>
      <c r="X4401">
        <v>0.98745090000000002</v>
      </c>
      <c r="Y4401">
        <v>-5.0908860000000002E-3</v>
      </c>
      <c r="Z4401">
        <v>4.9648200000000003E-2</v>
      </c>
      <c r="AA4401">
        <v>0.99875380000000002</v>
      </c>
      <c r="AB4401">
        <v>27</v>
      </c>
      <c r="AC4401">
        <v>0.77079999999995097</v>
      </c>
      <c r="AD4401">
        <v>-1.1075329000609999</v>
      </c>
      <c r="AE4401">
        <v>-21.9818</v>
      </c>
      <c r="AF4401">
        <v>-0.114864457721403</v>
      </c>
      <c r="AG4401">
        <v>-1.1075329000609999</v>
      </c>
      <c r="AH4401">
        <v>21.939382636567899</v>
      </c>
      <c r="AI4401">
        <v>92.889884027560399</v>
      </c>
      <c r="AJ4401">
        <v>90.299971454117895</v>
      </c>
      <c r="AK4401">
        <v>21.967620113296402</v>
      </c>
      <c r="AL4401">
        <v>81.838617101869502</v>
      </c>
      <c r="AM4401">
        <v>85.991725332669802</v>
      </c>
      <c r="AN4401">
        <v>1.0000000242324001</v>
      </c>
    </row>
    <row r="4402" spans="1:40" x14ac:dyDescent="0.25">
      <c r="A4402" t="str">
        <f>"20190312164558972"</f>
        <v>20190312164558972</v>
      </c>
      <c r="B4402" t="str">
        <f>"1552380358966289"</f>
        <v>1552380358966289</v>
      </c>
      <c r="C4402" t="s">
        <v>40</v>
      </c>
      <c r="D4402">
        <v>4.6649479999999999</v>
      </c>
      <c r="E4402">
        <v>0.47875030000000002</v>
      </c>
      <c r="F4402" t="s">
        <v>42</v>
      </c>
      <c r="G4402">
        <v>-421.6737</v>
      </c>
      <c r="H4402" s="1">
        <v>-3.8293239999999997E-6</v>
      </c>
      <c r="I4402">
        <v>77.477260000000001</v>
      </c>
      <c r="J4402">
        <v>-422.35469999999998</v>
      </c>
      <c r="K4402">
        <v>1.1074930000000001</v>
      </c>
      <c r="L4402">
        <v>99.385739999999998</v>
      </c>
      <c r="M4402">
        <v>2.867873E-2</v>
      </c>
      <c r="N4402">
        <v>0</v>
      </c>
      <c r="O4402">
        <v>-0.99955819999999995</v>
      </c>
      <c r="P4402">
        <v>-4.1249029999999999E-2</v>
      </c>
      <c r="Q4402">
        <v>0.13555439999999999</v>
      </c>
      <c r="R4402">
        <v>-0.98991099999999999</v>
      </c>
      <c r="S4402">
        <v>9.4726560000000001E-2</v>
      </c>
      <c r="T4402">
        <v>-0.15239069999999999</v>
      </c>
      <c r="U4402">
        <v>-3.0542910000000001</v>
      </c>
      <c r="V4402">
        <v>6.9901480000000002E-2</v>
      </c>
      <c r="W4402">
        <v>0.14314830000000001</v>
      </c>
      <c r="X4402">
        <v>0.98722960000000004</v>
      </c>
      <c r="Y4402">
        <v>-2.2823230000000002E-3</v>
      </c>
      <c r="Z4402">
        <v>4.9789269999999997E-2</v>
      </c>
      <c r="AA4402">
        <v>0.99875709999999995</v>
      </c>
      <c r="AB4402">
        <v>27</v>
      </c>
      <c r="AC4402">
        <v>0.68099999999998295</v>
      </c>
      <c r="AD4402">
        <v>-1.107496829324</v>
      </c>
      <c r="AE4402">
        <v>-21.908480000000001</v>
      </c>
      <c r="AF4402">
        <v>-5.2259931283229401E-2</v>
      </c>
      <c r="AG4402">
        <v>-1.107496829324</v>
      </c>
      <c r="AH4402">
        <v>21.863183423540399</v>
      </c>
      <c r="AI4402">
        <v>92.899876026026206</v>
      </c>
      <c r="AJ4402">
        <v>90.136954794710306</v>
      </c>
      <c r="AK4402">
        <v>21.8912783943458</v>
      </c>
      <c r="AL4402">
        <v>81.769933722888894</v>
      </c>
      <c r="AM4402">
        <v>85.949891701233298</v>
      </c>
      <c r="AN4402">
        <v>0.99999996790761903</v>
      </c>
    </row>
    <row r="4403" spans="1:40" x14ac:dyDescent="0.25">
      <c r="A4403" t="str">
        <f>"20190312164558994"</f>
        <v>20190312164558994</v>
      </c>
      <c r="B4403" t="str">
        <f>"1552380358985808"</f>
        <v>1552380358985808</v>
      </c>
      <c r="C4403" t="s">
        <v>40</v>
      </c>
      <c r="D4403">
        <v>4.6893609999999999</v>
      </c>
      <c r="E4403">
        <v>0.47954289999999999</v>
      </c>
      <c r="F4403" t="s">
        <v>42</v>
      </c>
      <c r="G4403">
        <v>-421.76920000000001</v>
      </c>
      <c r="H4403" s="1">
        <v>-4.0708900000000004E-6</v>
      </c>
      <c r="I4403">
        <v>78.027079999999998</v>
      </c>
      <c r="J4403">
        <v>-422.34789999999998</v>
      </c>
      <c r="K4403">
        <v>1.107461</v>
      </c>
      <c r="L4403">
        <v>99.108180000000004</v>
      </c>
      <c r="M4403">
        <v>2.7555799999999998E-2</v>
      </c>
      <c r="N4403">
        <v>0</v>
      </c>
      <c r="O4403">
        <v>-0.99958999999999998</v>
      </c>
      <c r="P4403">
        <v>-4.3128010000000001E-2</v>
      </c>
      <c r="Q4403">
        <v>0.13640139999999901</v>
      </c>
      <c r="R4403">
        <v>-0.98971469999999995</v>
      </c>
      <c r="S4403">
        <v>8.3770750000000005E-2</v>
      </c>
      <c r="T4403">
        <v>-0.15844810000000001</v>
      </c>
      <c r="U4403">
        <v>-3.0557560000000001</v>
      </c>
      <c r="V4403">
        <v>7.0676299999999997E-2</v>
      </c>
      <c r="W4403">
        <v>0.14396239999999999</v>
      </c>
      <c r="X4403">
        <v>0.98705609999999999</v>
      </c>
      <c r="Y4403">
        <v>1.8962119999999999E-4</v>
      </c>
      <c r="Z4403">
        <v>5.1743619999999997E-2</v>
      </c>
      <c r="AA4403">
        <v>0.9986604</v>
      </c>
      <c r="AB4403">
        <v>27</v>
      </c>
      <c r="AC4403">
        <v>0.57869999999996902</v>
      </c>
      <c r="AD4403">
        <v>-1.10746507089</v>
      </c>
      <c r="AE4403">
        <v>-21.081099999999999</v>
      </c>
      <c r="AF4403">
        <v>2.4371952778517998E-3</v>
      </c>
      <c r="AG4403">
        <v>-1.10746507089</v>
      </c>
      <c r="AH4403">
        <v>21.031044120077802</v>
      </c>
      <c r="AI4403">
        <v>93.014330666436607</v>
      </c>
      <c r="AJ4403">
        <v>89.993360243939904</v>
      </c>
      <c r="AK4403">
        <v>21.060182848299799</v>
      </c>
      <c r="AL4403">
        <v>81.722801542322799</v>
      </c>
      <c r="AM4403">
        <v>85.904433003712995</v>
      </c>
      <c r="AN4403">
        <v>1.00000002827132</v>
      </c>
    </row>
    <row r="4404" spans="1:40" x14ac:dyDescent="0.25">
      <c r="A4404" t="str">
        <f>"20190312164559015"</f>
        <v>20190312164559015</v>
      </c>
      <c r="B4404" t="str">
        <f>"1552380359006304"</f>
        <v>1552380359006304</v>
      </c>
      <c r="C4404" t="s">
        <v>40</v>
      </c>
      <c r="D4404">
        <v>4.7554730000000003</v>
      </c>
      <c r="E4404">
        <v>0.47999950000000002</v>
      </c>
      <c r="F4404" t="s">
        <v>42</v>
      </c>
      <c r="G4404">
        <v>-421.84910000000002</v>
      </c>
      <c r="H4404" s="1">
        <v>-3.811062E-6</v>
      </c>
      <c r="I4404">
        <v>77.32593</v>
      </c>
      <c r="J4404">
        <v>-422.34199999999998</v>
      </c>
      <c r="K4404">
        <v>1.107437</v>
      </c>
      <c r="L4404">
        <v>98.854219999999998</v>
      </c>
      <c r="M4404">
        <v>2.650081E-2</v>
      </c>
      <c r="N4404">
        <v>0</v>
      </c>
      <c r="O4404">
        <v>-0.99961849999999997</v>
      </c>
      <c r="P4404">
        <v>-4.4896800000000001E-2</v>
      </c>
      <c r="Q4404">
        <v>0.137045</v>
      </c>
      <c r="R4404">
        <v>-0.98954699999999995</v>
      </c>
      <c r="S4404">
        <v>6.997681E-2</v>
      </c>
      <c r="T4404">
        <v>-0.15535599999999999</v>
      </c>
      <c r="U4404">
        <v>-3.055634</v>
      </c>
      <c r="V4404">
        <v>7.1408120000000005E-2</v>
      </c>
      <c r="W4404">
        <v>0.1445767</v>
      </c>
      <c r="X4404">
        <v>0.98691359999999995</v>
      </c>
      <c r="Y4404">
        <v>3.6373E-3</v>
      </c>
      <c r="Z4404">
        <v>5.0743389999999999E-2</v>
      </c>
      <c r="AA4404">
        <v>0.99870510000000001</v>
      </c>
      <c r="AB4404">
        <v>28</v>
      </c>
      <c r="AC4404">
        <v>0.49289999999996298</v>
      </c>
      <c r="AD4404">
        <v>-1.107440811062</v>
      </c>
      <c r="AE4404">
        <v>-21.528289999999998</v>
      </c>
      <c r="AF4404">
        <v>7.7602277139807094E-2</v>
      </c>
      <c r="AG4404">
        <v>-1.107440811062</v>
      </c>
      <c r="AH4404">
        <v>21.476988734470901</v>
      </c>
      <c r="AI4404">
        <v>92.951769707265399</v>
      </c>
      <c r="AJ4404">
        <v>89.792975464764993</v>
      </c>
      <c r="AK4404">
        <v>21.5056618676109</v>
      </c>
      <c r="AL4404">
        <v>81.687232383787503</v>
      </c>
      <c r="AM4404">
        <v>85.861576489712505</v>
      </c>
      <c r="AN4404">
        <v>0.99999999782489202</v>
      </c>
    </row>
    <row r="4405" spans="1:40" x14ac:dyDescent="0.25">
      <c r="A4405" t="str">
        <f>"20190312164559037"</f>
        <v>20190312164559037</v>
      </c>
      <c r="B4405" t="str">
        <f>"1552380359025824"</f>
        <v>1552380359025824</v>
      </c>
      <c r="C4405" t="s">
        <v>40</v>
      </c>
      <c r="D4405">
        <v>4.8415869999999996</v>
      </c>
      <c r="E4405">
        <v>0.47957850000000002</v>
      </c>
      <c r="F4405" t="s">
        <v>42</v>
      </c>
      <c r="G4405">
        <v>-421.90069999999997</v>
      </c>
      <c r="H4405" s="1">
        <v>-3.3567150000000002E-6</v>
      </c>
      <c r="I4405">
        <v>76.234819999999999</v>
      </c>
      <c r="J4405">
        <v>-422.33580000000001</v>
      </c>
      <c r="K4405">
        <v>1.107405</v>
      </c>
      <c r="L4405">
        <v>98.575990000000004</v>
      </c>
      <c r="M4405">
        <v>2.531007E-2</v>
      </c>
      <c r="N4405">
        <v>0</v>
      </c>
      <c r="O4405">
        <v>-0.99964969999999997</v>
      </c>
      <c r="P4405">
        <v>-4.6457690000000003E-2</v>
      </c>
      <c r="Q4405">
        <v>0.13826540000000001</v>
      </c>
      <c r="R4405">
        <v>-0.9893052</v>
      </c>
      <c r="S4405">
        <v>5.960083E-2</v>
      </c>
      <c r="T4405">
        <v>-0.14957770000000001</v>
      </c>
      <c r="U4405">
        <v>-3.0551149999999998</v>
      </c>
      <c r="V4405">
        <v>7.1798849999999997E-2</v>
      </c>
      <c r="W4405">
        <v>0.14576510000000001</v>
      </c>
      <c r="X4405">
        <v>0.98671039999999999</v>
      </c>
      <c r="Y4405">
        <v>5.8307419999999999E-3</v>
      </c>
      <c r="Z4405">
        <v>4.887267E-2</v>
      </c>
      <c r="AA4405">
        <v>0.99878800000000001</v>
      </c>
      <c r="AB4405">
        <v>28</v>
      </c>
      <c r="AC4405">
        <v>0.43510000000003302</v>
      </c>
      <c r="AD4405">
        <v>-1.1074083567149999</v>
      </c>
      <c r="AE4405">
        <v>-22.341170000000002</v>
      </c>
      <c r="AF4405">
        <v>0.130193137339606</v>
      </c>
      <c r="AG4405">
        <v>-1.1074083567149999</v>
      </c>
      <c r="AH4405">
        <v>22.2902790176034</v>
      </c>
      <c r="AI4405">
        <v>92.844137561598401</v>
      </c>
      <c r="AJ4405">
        <v>89.665350422044199</v>
      </c>
      <c r="AK4405">
        <v>22.318150510383798</v>
      </c>
      <c r="AL4405">
        <v>81.618412862492406</v>
      </c>
      <c r="AM4405">
        <v>85.838157349516095</v>
      </c>
      <c r="AN4405">
        <v>0.99999997635374505</v>
      </c>
    </row>
    <row r="4406" spans="1:40" x14ac:dyDescent="0.25">
      <c r="A4406" t="str">
        <f>"20190312164559059"</f>
        <v>20190312164559059</v>
      </c>
      <c r="B4406" t="str">
        <f>"1552380359056081"</f>
        <v>1552380359056081</v>
      </c>
      <c r="C4406" t="s">
        <v>40</v>
      </c>
      <c r="D4406">
        <v>4.9131769999999904</v>
      </c>
      <c r="E4406">
        <v>0.47931620000000003</v>
      </c>
      <c r="F4406" t="s">
        <v>42</v>
      </c>
      <c r="G4406">
        <v>-421.90179999999998</v>
      </c>
      <c r="H4406" s="1">
        <v>-2.9811679999999999E-6</v>
      </c>
      <c r="I4406">
        <v>75.358760000000004</v>
      </c>
      <c r="J4406">
        <v>-422.33010000000002</v>
      </c>
      <c r="K4406">
        <v>1.107383</v>
      </c>
      <c r="L4406">
        <v>98.300719999999998</v>
      </c>
      <c r="M4406">
        <v>2.409447E-2</v>
      </c>
      <c r="N4406">
        <v>0</v>
      </c>
      <c r="O4406">
        <v>-0.99967989999999995</v>
      </c>
      <c r="P4406">
        <v>-4.784629E-2</v>
      </c>
      <c r="Q4406">
        <v>0.140020799999999</v>
      </c>
      <c r="R4406">
        <v>-0.98899199999999998</v>
      </c>
      <c r="S4406">
        <v>5.7128909999999998E-2</v>
      </c>
      <c r="T4406">
        <v>-0.14573939999999999</v>
      </c>
      <c r="U4406">
        <v>-3.0554809999999999</v>
      </c>
      <c r="V4406">
        <v>7.199274E-2</v>
      </c>
      <c r="W4406">
        <v>0.1474868</v>
      </c>
      <c r="X4406">
        <v>0.9864404</v>
      </c>
      <c r="Y4406">
        <v>5.4236989999999997E-3</v>
      </c>
      <c r="Z4406">
        <v>4.7618309999999997E-2</v>
      </c>
      <c r="AA4406">
        <v>0.99885089999999999</v>
      </c>
      <c r="AB4406">
        <v>28</v>
      </c>
      <c r="AC4406">
        <v>0.42830000000003499</v>
      </c>
      <c r="AD4406">
        <v>-1.107385981168</v>
      </c>
      <c r="AE4406">
        <v>-22.941959999999899</v>
      </c>
      <c r="AF4406">
        <v>0.12432561137829699</v>
      </c>
      <c r="AG4406">
        <v>-1.107385981168</v>
      </c>
      <c r="AH4406">
        <v>22.892301046920899</v>
      </c>
      <c r="AI4406">
        <v>92.769410926597104</v>
      </c>
      <c r="AJ4406">
        <v>89.6888358767103</v>
      </c>
      <c r="AK4406">
        <v>22.919406794063999</v>
      </c>
      <c r="AL4406">
        <v>81.518688976420194</v>
      </c>
      <c r="AM4406">
        <v>85.825819933561107</v>
      </c>
      <c r="AN4406">
        <v>0.99999998676955304</v>
      </c>
    </row>
    <row r="4407" spans="1:40" x14ac:dyDescent="0.25">
      <c r="A4407" t="str">
        <f>"20190312164559082"</f>
        <v>20190312164559082</v>
      </c>
      <c r="B4407" t="str">
        <f>"1552380359075600"</f>
        <v>1552380359075600</v>
      </c>
      <c r="C4407" t="s">
        <v>40</v>
      </c>
      <c r="D4407">
        <v>4.6092190000000004</v>
      </c>
      <c r="E4407">
        <v>0.4789583</v>
      </c>
      <c r="F4407" t="s">
        <v>42</v>
      </c>
      <c r="G4407">
        <v>-421.90179999999998</v>
      </c>
      <c r="H4407" s="1">
        <v>-2.5710430000000002E-6</v>
      </c>
      <c r="I4407">
        <v>74.402730000000005</v>
      </c>
      <c r="J4407">
        <v>-422.3245</v>
      </c>
      <c r="K4407">
        <v>1.1073569999999999</v>
      </c>
      <c r="L4407">
        <v>98.010130000000004</v>
      </c>
      <c r="M4407">
        <v>2.2778759999999999E-2</v>
      </c>
      <c r="N4407">
        <v>0</v>
      </c>
      <c r="O4407">
        <v>-0.99971100000000002</v>
      </c>
      <c r="P4407">
        <v>-4.8404559999999999E-2</v>
      </c>
      <c r="Q4407">
        <v>0.14241229999999999</v>
      </c>
      <c r="R4407">
        <v>-0.98862340000000004</v>
      </c>
      <c r="S4407">
        <v>5.4779050000000003E-2</v>
      </c>
      <c r="T4407">
        <v>-0.14161319999999999</v>
      </c>
      <c r="U4407">
        <v>-3.0560909999999999</v>
      </c>
      <c r="V4407">
        <v>7.1258139999999998E-2</v>
      </c>
      <c r="W4407">
        <v>0.149845899999999</v>
      </c>
      <c r="X4407">
        <v>0.98613819999999996</v>
      </c>
      <c r="Y4407">
        <v>4.8779519999999996E-3</v>
      </c>
      <c r="Z4407">
        <v>4.6266380000000003E-2</v>
      </c>
      <c r="AA4407">
        <v>0.99891719999999895</v>
      </c>
      <c r="AB4407">
        <v>28</v>
      </c>
      <c r="AC4407">
        <v>0.42270000000002</v>
      </c>
      <c r="AD4407">
        <v>-1.107359571043</v>
      </c>
      <c r="AE4407">
        <v>-23.607399999999998</v>
      </c>
      <c r="AF4407">
        <v>0.114920082242018</v>
      </c>
      <c r="AG4407">
        <v>-1.107359571043</v>
      </c>
      <c r="AH4407">
        <v>23.559082771420002</v>
      </c>
      <c r="AI4407">
        <v>92.691090055380201</v>
      </c>
      <c r="AJ4407">
        <v>89.720516136637301</v>
      </c>
      <c r="AK4407">
        <v>23.585373282513501</v>
      </c>
      <c r="AL4407">
        <v>81.382003938560501</v>
      </c>
      <c r="AM4407">
        <v>85.867002422794101</v>
      </c>
      <c r="AN4407">
        <v>1.00000003288115</v>
      </c>
    </row>
    <row r="4408" spans="1:40" x14ac:dyDescent="0.25">
      <c r="A4408" t="str">
        <f>"20190312164559103"</f>
        <v>20190312164559103</v>
      </c>
      <c r="B4408" t="str">
        <f>"1552380359096096"</f>
        <v>1552380359096096</v>
      </c>
      <c r="C4408" t="s">
        <v>40</v>
      </c>
      <c r="D4408">
        <v>4.6706810000000001</v>
      </c>
      <c r="E4408">
        <v>0.4792151</v>
      </c>
      <c r="F4408" t="s">
        <v>42</v>
      </c>
      <c r="G4408">
        <v>-421.86989999999997</v>
      </c>
      <c r="H4408" s="1">
        <v>-2.067864E-6</v>
      </c>
      <c r="I4408">
        <v>73.249569999999906</v>
      </c>
      <c r="J4408">
        <v>-422.31959999999998</v>
      </c>
      <c r="K4408">
        <v>1.1073360000000001</v>
      </c>
      <c r="L4408">
        <v>97.74194</v>
      </c>
      <c r="M4408">
        <v>2.1543489999999998E-2</v>
      </c>
      <c r="N4408">
        <v>0</v>
      </c>
      <c r="O4408">
        <v>-0.99973860000000003</v>
      </c>
      <c r="P4408">
        <v>-4.7790699999999998E-2</v>
      </c>
      <c r="Q4408">
        <v>0.1438671</v>
      </c>
      <c r="R4408">
        <v>-0.98844240000000005</v>
      </c>
      <c r="S4408">
        <v>5.6121829999999998E-2</v>
      </c>
      <c r="T4408">
        <v>-0.1367148</v>
      </c>
      <c r="U4408">
        <v>-3.0569459999999999</v>
      </c>
      <c r="V4408">
        <v>6.9431359999999998E-2</v>
      </c>
      <c r="W4408">
        <v>0.15127889999999999</v>
      </c>
      <c r="X4408">
        <v>0.98604970000000003</v>
      </c>
      <c r="Y4408">
        <v>3.207372E-3</v>
      </c>
      <c r="Z4408">
        <v>4.4658610000000001E-2</v>
      </c>
      <c r="AA4408">
        <v>0.99899720000000003</v>
      </c>
      <c r="AB4408">
        <v>28</v>
      </c>
      <c r="AC4408">
        <v>0.44970000000000698</v>
      </c>
      <c r="AD4408">
        <v>-1.1073380678639999</v>
      </c>
      <c r="AE4408">
        <v>-24.492370000000001</v>
      </c>
      <c r="AF4408">
        <v>7.7911763089665395E-2</v>
      </c>
      <c r="AG4408">
        <v>-1.1073380678639999</v>
      </c>
      <c r="AH4408">
        <v>24.446419968242601</v>
      </c>
      <c r="AI4408">
        <v>92.593514202267997</v>
      </c>
      <c r="AJ4408">
        <v>89.817396572122405</v>
      </c>
      <c r="AK4408">
        <v>24.471610431335701</v>
      </c>
      <c r="AL4408">
        <v>81.298952179592106</v>
      </c>
      <c r="AM4408">
        <v>85.972242817537705</v>
      </c>
      <c r="AN4408">
        <v>1.0000000151033701</v>
      </c>
    </row>
    <row r="4409" spans="1:40" x14ac:dyDescent="0.25">
      <c r="A4409" t="str">
        <f>"20190312164559126"</f>
        <v>20190312164559126</v>
      </c>
      <c r="B4409" t="str">
        <f>"1552380359115617"</f>
        <v>1552380359115617</v>
      </c>
      <c r="C4409" t="s">
        <v>40</v>
      </c>
      <c r="D4409">
        <v>4.8309559999999996</v>
      </c>
      <c r="E4409">
        <v>0.47917409999999999</v>
      </c>
      <c r="F4409" t="s">
        <v>42</v>
      </c>
      <c r="G4409">
        <v>-421.85320000000002</v>
      </c>
      <c r="H4409" s="1">
        <v>-1.639995E-6</v>
      </c>
      <c r="I4409">
        <v>72.262590000000003</v>
      </c>
      <c r="J4409">
        <v>-422.315</v>
      </c>
      <c r="K4409">
        <v>1.107321</v>
      </c>
      <c r="L4409">
        <v>97.4649</v>
      </c>
      <c r="M4409">
        <v>2.02547E-2</v>
      </c>
      <c r="N4409">
        <v>0</v>
      </c>
      <c r="O4409">
        <v>-0.99976560000000003</v>
      </c>
      <c r="P4409">
        <v>-4.657505E-2</v>
      </c>
      <c r="Q4409">
        <v>0.14464060000000001</v>
      </c>
      <c r="R4409">
        <v>-0.98838780000000004</v>
      </c>
      <c r="S4409">
        <v>5.5969240000000003E-2</v>
      </c>
      <c r="T4409">
        <v>-0.13286339999999999</v>
      </c>
      <c r="U4409">
        <v>-3.0571290000000002</v>
      </c>
      <c r="V4409">
        <v>6.6949519999999998E-2</v>
      </c>
      <c r="W4409">
        <v>0.1520359</v>
      </c>
      <c r="X4409">
        <v>0.98610489999999995</v>
      </c>
      <c r="Y4409">
        <v>1.9681970000000001E-3</v>
      </c>
      <c r="Z4409">
        <v>4.3402179999999999E-2</v>
      </c>
      <c r="AA4409">
        <v>0.99905569999999999</v>
      </c>
      <c r="AB4409">
        <v>28</v>
      </c>
      <c r="AC4409">
        <v>0.461799999999982</v>
      </c>
      <c r="AD4409">
        <v>-1.107322639995</v>
      </c>
      <c r="AE4409">
        <v>-25.202310000000001</v>
      </c>
      <c r="AF4409">
        <v>4.86809541987102E-2</v>
      </c>
      <c r="AG4409">
        <v>-1.107322639995</v>
      </c>
      <c r="AH4409">
        <v>25.157942534460201</v>
      </c>
      <c r="AI4409">
        <v>92.520232806278997</v>
      </c>
      <c r="AJ4409">
        <v>89.889132041173497</v>
      </c>
      <c r="AK4409">
        <v>25.1823471072803</v>
      </c>
      <c r="AL4409">
        <v>81.255071699483807</v>
      </c>
      <c r="AM4409">
        <v>86.115983853128299</v>
      </c>
      <c r="AN4409">
        <v>1.00000001346052</v>
      </c>
    </row>
    <row r="4410" spans="1:40" x14ac:dyDescent="0.25">
      <c r="A4410" t="str">
        <f>"20190312164559149"</f>
        <v>20190312164559149</v>
      </c>
      <c r="B4410" t="str">
        <f>"1552380359145873"</f>
        <v>1552380359145873</v>
      </c>
      <c r="C4410" t="s">
        <v>40</v>
      </c>
      <c r="D4410">
        <v>4.7775089999999896</v>
      </c>
      <c r="E4410">
        <v>0.47923250000000001</v>
      </c>
      <c r="F4410" t="s">
        <v>42</v>
      </c>
      <c r="G4410">
        <v>-421.80919999999998</v>
      </c>
      <c r="H4410" s="1">
        <v>-1.2074310000000001E-6</v>
      </c>
      <c r="I4410">
        <v>71.281530000000004</v>
      </c>
      <c r="J4410">
        <v>-422.31049999999999</v>
      </c>
      <c r="K4410">
        <v>1.107307</v>
      </c>
      <c r="L4410">
        <v>97.174379999999999</v>
      </c>
      <c r="M4410">
        <v>1.8896240000000002E-2</v>
      </c>
      <c r="N4410">
        <v>0</v>
      </c>
      <c r="O4410">
        <v>-0.99979260000000003</v>
      </c>
      <c r="P4410">
        <v>-4.5440920000000003E-2</v>
      </c>
      <c r="Q4410">
        <v>0.14510300000000001</v>
      </c>
      <c r="R4410">
        <v>-0.9883729</v>
      </c>
      <c r="S4410">
        <v>5.9051510000000001E-2</v>
      </c>
      <c r="T4410">
        <v>-0.12928139999999999</v>
      </c>
      <c r="U4410">
        <v>-3.0569459999999999</v>
      </c>
      <c r="V4410">
        <v>6.4478690000000005E-2</v>
      </c>
      <c r="W4410">
        <v>0.1524836</v>
      </c>
      <c r="X4410">
        <v>0.98620039999999998</v>
      </c>
      <c r="Y4410">
        <v>-3.996057E-4</v>
      </c>
      <c r="Z4410">
        <v>4.2238030000000003E-2</v>
      </c>
      <c r="AA4410">
        <v>0.99910750000000004</v>
      </c>
      <c r="AB4410">
        <v>28</v>
      </c>
      <c r="AC4410">
        <v>0.50130000000001396</v>
      </c>
      <c r="AD4410">
        <v>-1.1073082074309999</v>
      </c>
      <c r="AE4410">
        <v>-25.892849999999999</v>
      </c>
      <c r="AF4410">
        <v>-1.18971164444712E-2</v>
      </c>
      <c r="AG4410">
        <v>-1.1073082074309999</v>
      </c>
      <c r="AH4410">
        <v>25.850440744471399</v>
      </c>
      <c r="AI4410">
        <v>92.452775176162802</v>
      </c>
      <c r="AJ4410">
        <v>90.026369164040702</v>
      </c>
      <c r="AK4410">
        <v>25.874148482434201</v>
      </c>
      <c r="AL4410">
        <v>81.229117556423603</v>
      </c>
      <c r="AM4410">
        <v>86.259273247067398</v>
      </c>
      <c r="AN4410">
        <v>0.99999998934661705</v>
      </c>
    </row>
    <row r="4411" spans="1:40" x14ac:dyDescent="0.25">
      <c r="A4411" t="str">
        <f>"20190312164559172"</f>
        <v>20190312164559172</v>
      </c>
      <c r="B4411" t="str">
        <f>"1552380359166368"</f>
        <v>1552380359166368</v>
      </c>
      <c r="C4411" t="s">
        <v>40</v>
      </c>
      <c r="D4411">
        <v>4.5994929999999998</v>
      </c>
      <c r="E4411">
        <v>0.47926150000000001</v>
      </c>
      <c r="F4411" t="s">
        <v>42</v>
      </c>
      <c r="G4411">
        <v>-421.76600000000002</v>
      </c>
      <c r="H4411" s="1">
        <v>-4.5885110000000003E-6</v>
      </c>
      <c r="I4411">
        <v>69.549800000000005</v>
      </c>
      <c r="J4411">
        <v>-422.30650000000003</v>
      </c>
      <c r="K4411">
        <v>1.1072979999999999</v>
      </c>
      <c r="L4411">
        <v>96.886899999999997</v>
      </c>
      <c r="M4411">
        <v>1.755872E-2</v>
      </c>
      <c r="N4411">
        <v>0</v>
      </c>
      <c r="O4411">
        <v>-0.99981690000000001</v>
      </c>
      <c r="P4411">
        <v>-4.593013E-2</v>
      </c>
      <c r="Q4411">
        <v>0.14514959999999999</v>
      </c>
      <c r="R4411">
        <v>-0.98834330000000004</v>
      </c>
      <c r="S4411">
        <v>6.0241699999999898E-2</v>
      </c>
      <c r="T4411">
        <v>-0.12249889999999999</v>
      </c>
      <c r="U4411">
        <v>-3.0560299999999998</v>
      </c>
      <c r="V4411">
        <v>6.3647869999999995E-2</v>
      </c>
      <c r="W4411">
        <v>0.15251519999999999</v>
      </c>
      <c r="X4411">
        <v>0.9862495</v>
      </c>
      <c r="Y4411">
        <v>-2.1339129999999999E-3</v>
      </c>
      <c r="Z4411">
        <v>4.0038949999999997E-2</v>
      </c>
      <c r="AA4411">
        <v>0.99919579999999997</v>
      </c>
      <c r="AB4411">
        <v>28</v>
      </c>
      <c r="AC4411">
        <v>0.54050000000006504</v>
      </c>
      <c r="AD4411">
        <v>-1.1073025885109999</v>
      </c>
      <c r="AE4411">
        <v>-27.3370999999999</v>
      </c>
      <c r="AF4411">
        <v>-6.0299402975496998E-2</v>
      </c>
      <c r="AG4411">
        <v>-1.1073025885109999</v>
      </c>
      <c r="AH4411">
        <v>27.297606527574299</v>
      </c>
      <c r="AI4411">
        <v>92.322872041239407</v>
      </c>
      <c r="AJ4411">
        <v>90.126564051495293</v>
      </c>
      <c r="AK4411">
        <v>27.320122202779199</v>
      </c>
      <c r="AL4411">
        <v>81.227285737568806</v>
      </c>
      <c r="AM4411">
        <v>86.307522313632603</v>
      </c>
      <c r="AN4411">
        <v>1.0000000069184101</v>
      </c>
    </row>
    <row r="4412" spans="1:40" x14ac:dyDescent="0.25">
      <c r="A4412" t="str">
        <f>"20190312164559194"</f>
        <v>20190312164559194</v>
      </c>
      <c r="B4412" t="str">
        <f>"1552380359185888"</f>
        <v>1552380359185888</v>
      </c>
      <c r="C4412" t="s">
        <v>40</v>
      </c>
      <c r="D4412">
        <v>4.5798139999999998</v>
      </c>
      <c r="E4412">
        <v>0.47927969999999998</v>
      </c>
      <c r="F4412" t="s">
        <v>42</v>
      </c>
      <c r="G4412">
        <v>-421.77080000000001</v>
      </c>
      <c r="H4412" s="1">
        <v>-4.259919E-6</v>
      </c>
      <c r="I4412">
        <v>68.581719999999905</v>
      </c>
      <c r="J4412">
        <v>-422.30290000000002</v>
      </c>
      <c r="K4412">
        <v>1.1073010000000001</v>
      </c>
      <c r="L4412">
        <v>96.604830000000007</v>
      </c>
      <c r="M4412">
        <v>1.6258100000000001E-2</v>
      </c>
      <c r="N4412">
        <v>0</v>
      </c>
      <c r="O4412">
        <v>-0.99983909999999998</v>
      </c>
      <c r="P4412">
        <v>-4.5501470000000002E-2</v>
      </c>
      <c r="Q4412">
        <v>0.1454664</v>
      </c>
      <c r="R4412">
        <v>-0.98831670000000005</v>
      </c>
      <c r="S4412">
        <v>5.7830810000000003E-2</v>
      </c>
      <c r="T4412">
        <v>-0.11953560000000001</v>
      </c>
      <c r="U4412">
        <v>-3.0556030000000001</v>
      </c>
      <c r="V4412">
        <v>6.1934799999999998E-2</v>
      </c>
      <c r="W4412">
        <v>0.15282200000000001</v>
      </c>
      <c r="X4412">
        <v>0.9863111</v>
      </c>
      <c r="Y4412">
        <v>-2.6501469999999998E-3</v>
      </c>
      <c r="Z4412">
        <v>3.9078910000000001E-2</v>
      </c>
      <c r="AA4412">
        <v>0.99923260000000003</v>
      </c>
      <c r="AB4412">
        <v>28</v>
      </c>
      <c r="AC4412">
        <v>0.53210000000001401</v>
      </c>
      <c r="AD4412">
        <v>-1.1073052599189901</v>
      </c>
      <c r="AE4412">
        <v>-28.023109999999999</v>
      </c>
      <c r="AF4412">
        <v>-7.6294974661487394E-2</v>
      </c>
      <c r="AG4412">
        <v>-1.1073052599189901</v>
      </c>
      <c r="AH4412">
        <v>27.984379266682101</v>
      </c>
      <c r="AI4412">
        <v>92.265928505632601</v>
      </c>
      <c r="AJ4412">
        <v>90.156207474670694</v>
      </c>
      <c r="AK4412">
        <v>28.006381929897898</v>
      </c>
      <c r="AL4412">
        <v>81.209499129918598</v>
      </c>
      <c r="AM4412">
        <v>86.406864484623</v>
      </c>
      <c r="AN4412">
        <v>1.00000003455912</v>
      </c>
    </row>
    <row r="4413" spans="1:40" x14ac:dyDescent="0.25">
      <c r="A4413" t="str">
        <f>"20190312164559208"</f>
        <v>20190312164559208</v>
      </c>
      <c r="B4413" t="str">
        <f>"1552380359196625"</f>
        <v>1552380359196625</v>
      </c>
      <c r="C4413" t="s">
        <v>40</v>
      </c>
      <c r="D4413">
        <v>4.5806690000000003</v>
      </c>
      <c r="E4413">
        <v>0.47930620000000002</v>
      </c>
      <c r="F4413" t="s">
        <v>42</v>
      </c>
      <c r="G4413">
        <v>-421.75459999999998</v>
      </c>
      <c r="H4413" s="1">
        <v>-4.0121159999999997E-6</v>
      </c>
      <c r="I4413">
        <v>67.861980000000003</v>
      </c>
      <c r="J4413">
        <v>-422.30079999999998</v>
      </c>
      <c r="K4413">
        <v>1.1073</v>
      </c>
      <c r="L4413">
        <v>96.426910000000007</v>
      </c>
      <c r="M4413">
        <v>1.544619E-2</v>
      </c>
      <c r="N4413">
        <v>0</v>
      </c>
      <c r="O4413">
        <v>-0.99985190000000002</v>
      </c>
      <c r="P4413">
        <v>-4.555497E-2</v>
      </c>
      <c r="Q4413">
        <v>0.14566460000000001</v>
      </c>
      <c r="R4413">
        <v>-0.98828470000000002</v>
      </c>
      <c r="S4413">
        <v>5.8288569999999998E-2</v>
      </c>
      <c r="T4413">
        <v>-0.1177111</v>
      </c>
      <c r="U4413">
        <v>-3.0554809999999999</v>
      </c>
      <c r="V4413">
        <v>6.1185299999999998E-2</v>
      </c>
      <c r="W4413">
        <v>0.15301419999999999</v>
      </c>
      <c r="X4413">
        <v>0.98632810000000004</v>
      </c>
      <c r="Y4413">
        <v>-3.6130210000000001E-3</v>
      </c>
      <c r="Z4413">
        <v>3.8485499999999999E-2</v>
      </c>
      <c r="AA4413">
        <v>0.99925260000000005</v>
      </c>
      <c r="AB4413">
        <v>28</v>
      </c>
      <c r="AC4413">
        <v>0.54619999999999802</v>
      </c>
      <c r="AD4413">
        <v>-1.107304012116</v>
      </c>
      <c r="AE4413">
        <v>-28.564929999999901</v>
      </c>
      <c r="AF4413">
        <v>-0.10474545085817701</v>
      </c>
      <c r="AG4413">
        <v>-1.107304012116</v>
      </c>
      <c r="AH4413">
        <v>28.527107437283998</v>
      </c>
      <c r="AI4413">
        <v>92.222853663917604</v>
      </c>
      <c r="AJ4413">
        <v>90.210376930087605</v>
      </c>
      <c r="AK4413">
        <v>28.548781979675901</v>
      </c>
      <c r="AL4413">
        <v>81.198355992404501</v>
      </c>
      <c r="AM4413">
        <v>86.450295747554605</v>
      </c>
      <c r="AN4413">
        <v>1.00000005359366</v>
      </c>
    </row>
    <row r="4414" spans="1:40" x14ac:dyDescent="0.25">
      <c r="A4414" t="str">
        <f>"20190312164559226"</f>
        <v>20190312164559226</v>
      </c>
      <c r="B4414" t="str">
        <f>"1552380359216144"</f>
        <v>1552380359216144</v>
      </c>
      <c r="C4414" t="s">
        <v>40</v>
      </c>
      <c r="D4414">
        <v>4.5661759999999996</v>
      </c>
      <c r="E4414">
        <v>0.47937689999999999</v>
      </c>
      <c r="F4414" t="s">
        <v>42</v>
      </c>
      <c r="G4414">
        <v>-421.75760000000002</v>
      </c>
      <c r="H4414" s="1">
        <v>-3.8736929999999999E-6</v>
      </c>
      <c r="I4414">
        <v>67.528669999999906</v>
      </c>
      <c r="J4414">
        <v>-422.29820000000001</v>
      </c>
      <c r="K4414">
        <v>1.107316</v>
      </c>
      <c r="L4414">
        <v>96.188509999999994</v>
      </c>
      <c r="M4414">
        <v>1.4382000000000001E-2</v>
      </c>
      <c r="N4414">
        <v>0</v>
      </c>
      <c r="O4414">
        <v>-0.99986799999999998</v>
      </c>
      <c r="P4414">
        <v>-4.5663269999999999E-2</v>
      </c>
      <c r="Q4414">
        <v>0.1460253</v>
      </c>
      <c r="R4414">
        <v>-0.98822679999999996</v>
      </c>
      <c r="S4414">
        <v>5.7434079999999998E-2</v>
      </c>
      <c r="T4414">
        <v>-0.11707679999999999</v>
      </c>
      <c r="U4414">
        <v>-3.05545</v>
      </c>
      <c r="V4414">
        <v>6.023883E-2</v>
      </c>
      <c r="W4414">
        <v>0.15336849999999999</v>
      </c>
      <c r="X4414">
        <v>0.98633130000000002</v>
      </c>
      <c r="Y4414">
        <v>-4.3983399999999997E-3</v>
      </c>
      <c r="Z4414">
        <v>3.8279750000000001E-2</v>
      </c>
      <c r="AA4414">
        <v>0.99925739999999996</v>
      </c>
      <c r="AB4414">
        <v>28</v>
      </c>
      <c r="AC4414">
        <v>0.54059999999998298</v>
      </c>
      <c r="AD4414">
        <v>-1.1073198736929999</v>
      </c>
      <c r="AE4414">
        <v>-28.659839999999999</v>
      </c>
      <c r="AF4414">
        <v>-0.128155248066427</v>
      </c>
      <c r="AG4414">
        <v>-1.1073198736929999</v>
      </c>
      <c r="AH4414">
        <v>28.621939437144</v>
      </c>
      <c r="AI4414">
        <v>92.215520555292002</v>
      </c>
      <c r="AJ4414">
        <v>90.256541167791198</v>
      </c>
      <c r="AK4414">
        <v>28.643638005913601</v>
      </c>
      <c r="AL4414">
        <v>81.1778133592952</v>
      </c>
      <c r="AM4414">
        <v>86.505079951188705</v>
      </c>
      <c r="AN4414">
        <v>1.0000000233958499</v>
      </c>
    </row>
    <row r="4415" spans="1:40" x14ac:dyDescent="0.25">
      <c r="A4415" t="str">
        <f>"20190312164559242"</f>
        <v>20190312164559242</v>
      </c>
      <c r="B4415" t="str">
        <f>"1552380359235665"</f>
        <v>1552380359235665</v>
      </c>
      <c r="C4415" t="s">
        <v>40</v>
      </c>
      <c r="D4415">
        <v>4.5661040000000002</v>
      </c>
      <c r="E4415">
        <v>0.47930509999999898</v>
      </c>
      <c r="F4415" t="s">
        <v>42</v>
      </c>
      <c r="G4415">
        <v>-421.7638</v>
      </c>
      <c r="H4415" s="1">
        <v>-3.79538E-6</v>
      </c>
      <c r="I4415">
        <v>67.342250000000007</v>
      </c>
      <c r="J4415">
        <v>-422.29640000000001</v>
      </c>
      <c r="K4415">
        <v>1.107329</v>
      </c>
      <c r="L4415">
        <v>96.000240000000005</v>
      </c>
      <c r="M4415">
        <v>1.357395E-2</v>
      </c>
      <c r="N4415">
        <v>0</v>
      </c>
      <c r="O4415">
        <v>-0.99987910000000002</v>
      </c>
      <c r="P4415">
        <v>-4.6221480000000002E-2</v>
      </c>
      <c r="Q4415">
        <v>0.14636360000000001</v>
      </c>
      <c r="R4415">
        <v>-0.98815050000000004</v>
      </c>
      <c r="S4415">
        <v>5.6610109999999998E-2</v>
      </c>
      <c r="T4415">
        <v>-0.11729879999999999</v>
      </c>
      <c r="U4415">
        <v>-3.0556950000000001</v>
      </c>
      <c r="V4415">
        <v>5.9992249999999997E-2</v>
      </c>
      <c r="W4415">
        <v>0.15370220000000001</v>
      </c>
      <c r="X4415">
        <v>0.98629440000000002</v>
      </c>
      <c r="Y4415">
        <v>-4.9355750000000002E-3</v>
      </c>
      <c r="Z4415">
        <v>3.8349899999999999E-2</v>
      </c>
      <c r="AA4415">
        <v>0.99925220000000003</v>
      </c>
      <c r="AB4415">
        <v>28</v>
      </c>
      <c r="AC4415">
        <v>0.53260000000000196</v>
      </c>
      <c r="AD4415">
        <v>-1.1073327953799901</v>
      </c>
      <c r="AE4415">
        <v>-28.657990000000002</v>
      </c>
      <c r="AF4415">
        <v>-0.14332370355127599</v>
      </c>
      <c r="AG4415">
        <v>-1.1073327953799901</v>
      </c>
      <c r="AH4415">
        <v>28.619864070708999</v>
      </c>
      <c r="AI4415">
        <v>92.215701316028401</v>
      </c>
      <c r="AJ4415">
        <v>90.286925704874506</v>
      </c>
      <c r="AK4415">
        <v>28.6416365983088</v>
      </c>
      <c r="AL4415">
        <v>81.158464486885194</v>
      </c>
      <c r="AM4415">
        <v>86.519220819211199</v>
      </c>
      <c r="AN4415">
        <v>1.0000000399081299</v>
      </c>
    </row>
    <row r="4416" spans="1:40" x14ac:dyDescent="0.25">
      <c r="A4416" t="str">
        <f>"20190312164559261"</f>
        <v>20190312164559261</v>
      </c>
      <c r="B4416" t="str">
        <f>"1552380359256160"</f>
        <v>1552380359256160</v>
      </c>
      <c r="C4416" t="s">
        <v>40</v>
      </c>
      <c r="D4416">
        <v>4.4736330000000004</v>
      </c>
      <c r="E4416">
        <v>0.4792457</v>
      </c>
      <c r="F4416" t="s">
        <v>42</v>
      </c>
      <c r="G4416">
        <v>-421.76530000000002</v>
      </c>
      <c r="H4416" s="1">
        <v>-3.569681E-6</v>
      </c>
      <c r="I4416">
        <v>66.81523</v>
      </c>
      <c r="J4416">
        <v>-422.29410000000001</v>
      </c>
      <c r="K4416">
        <v>1.1073660000000001</v>
      </c>
      <c r="L4416">
        <v>95.754059999999996</v>
      </c>
      <c r="M4416">
        <v>1.2562159999999999E-2</v>
      </c>
      <c r="N4416">
        <v>0</v>
      </c>
      <c r="O4416">
        <v>-0.99989249999999996</v>
      </c>
      <c r="P4416">
        <v>-4.7039480000000002E-2</v>
      </c>
      <c r="Q4416">
        <v>0.14765919999999999</v>
      </c>
      <c r="R4416">
        <v>-0.9879192</v>
      </c>
      <c r="S4416">
        <v>5.5603029999999998E-2</v>
      </c>
      <c r="T4416">
        <v>-0.1159409</v>
      </c>
      <c r="U4416">
        <v>-3.0557560000000001</v>
      </c>
      <c r="V4416">
        <v>5.9798209999999997E-2</v>
      </c>
      <c r="W4416">
        <v>0.15499299999999999</v>
      </c>
      <c r="X4416">
        <v>0.98610410000000004</v>
      </c>
      <c r="Y4416">
        <v>-5.6182039999999999E-3</v>
      </c>
      <c r="Z4416">
        <v>3.7906629999999997E-2</v>
      </c>
      <c r="AA4416">
        <v>0.99926550000000003</v>
      </c>
      <c r="AB4416">
        <v>28</v>
      </c>
      <c r="AC4416">
        <v>0.52879999999998895</v>
      </c>
      <c r="AD4416">
        <v>-1.107369569681</v>
      </c>
      <c r="AE4416">
        <v>-28.938829999999999</v>
      </c>
      <c r="AF4416">
        <v>-0.16497218056851101</v>
      </c>
      <c r="AG4416">
        <v>-1.107369569681</v>
      </c>
      <c r="AH4416">
        <v>28.900884677759802</v>
      </c>
      <c r="AI4416">
        <v>92.1942424578763</v>
      </c>
      <c r="AJ4416">
        <v>90.327052515128202</v>
      </c>
      <c r="AK4416">
        <v>28.922562444247401</v>
      </c>
      <c r="AL4416">
        <v>81.083609507970806</v>
      </c>
      <c r="AM4416">
        <v>86.529783643771907</v>
      </c>
      <c r="AN4416">
        <v>0.99999997600250601</v>
      </c>
    </row>
    <row r="4417" spans="1:40" x14ac:dyDescent="0.25">
      <c r="A4417" t="str">
        <f>"20190312164559283"</f>
        <v>20190312164559283</v>
      </c>
      <c r="B4417" t="str">
        <f>"1552380359275684"</f>
        <v>1552380359275684</v>
      </c>
      <c r="C4417" t="s">
        <v>40</v>
      </c>
      <c r="D4417">
        <v>4.6274329999999999</v>
      </c>
      <c r="E4417">
        <v>0.47933930000000002</v>
      </c>
      <c r="F4417" t="s">
        <v>42</v>
      </c>
      <c r="G4417">
        <v>-421.76519999999999</v>
      </c>
      <c r="H4417" s="1">
        <v>-3.1474670000000001E-6</v>
      </c>
      <c r="I4417">
        <v>65.831109999999995</v>
      </c>
      <c r="J4417">
        <v>-422.29160000000002</v>
      </c>
      <c r="K4417">
        <v>1.1074299999999999</v>
      </c>
      <c r="L4417">
        <v>95.461209999999994</v>
      </c>
      <c r="M4417">
        <v>1.143772E-2</v>
      </c>
      <c r="N4417">
        <v>0</v>
      </c>
      <c r="O4417">
        <v>-0.99990630000000003</v>
      </c>
      <c r="P4417">
        <v>-4.8332010000000002E-2</v>
      </c>
      <c r="Q4417">
        <v>0.14991489999999999</v>
      </c>
      <c r="R4417">
        <v>-0.98751719999999998</v>
      </c>
      <c r="S4417">
        <v>5.4016109999999999E-2</v>
      </c>
      <c r="T4417">
        <v>-0.1131012</v>
      </c>
      <c r="U4417">
        <v>-3.0561829999999999</v>
      </c>
      <c r="V4417">
        <v>5.9959390000000001E-2</v>
      </c>
      <c r="W4417">
        <v>0.15724389999999999</v>
      </c>
      <c r="X4417">
        <v>0.98573789999999994</v>
      </c>
      <c r="Y4417">
        <v>-6.2221159999999998E-3</v>
      </c>
      <c r="Z4417">
        <v>3.6975170000000002E-2</v>
      </c>
      <c r="AA4417">
        <v>0.99929679999999999</v>
      </c>
      <c r="AB4417">
        <v>28</v>
      </c>
      <c r="AC4417">
        <v>0.52640000000002296</v>
      </c>
      <c r="AD4417">
        <v>-1.1074331474669901</v>
      </c>
      <c r="AE4417">
        <v>-29.630099999999999</v>
      </c>
      <c r="AF4417">
        <v>-0.18719378058851599</v>
      </c>
      <c r="AG4417">
        <v>-1.1074331474669901</v>
      </c>
      <c r="AH4417">
        <v>29.592857136219401</v>
      </c>
      <c r="AI4417">
        <v>92.143097663810494</v>
      </c>
      <c r="AJ4417">
        <v>90.362427679026794</v>
      </c>
      <c r="AK4417">
        <v>29.614162881504701</v>
      </c>
      <c r="AL4417">
        <v>80.9530415511652</v>
      </c>
      <c r="AM4417">
        <v>86.519163510028704</v>
      </c>
      <c r="AN4417">
        <v>0.99999999001639595</v>
      </c>
    </row>
    <row r="4418" spans="1:40" x14ac:dyDescent="0.25">
      <c r="A4418" t="str">
        <f>"20190312164559299"</f>
        <v>20190312164559299</v>
      </c>
      <c r="B4418" t="str">
        <f>"1552380359296176"</f>
        <v>1552380359296176</v>
      </c>
      <c r="C4418" t="s">
        <v>40</v>
      </c>
      <c r="D4418">
        <v>4.9016699999999904</v>
      </c>
      <c r="E4418">
        <v>0.47934399999999999</v>
      </c>
      <c r="F4418" t="s">
        <v>42</v>
      </c>
      <c r="G4418">
        <v>-421.77010000000001</v>
      </c>
      <c r="H4418" s="1">
        <v>-2.2795899999999999E-6</v>
      </c>
      <c r="I4418">
        <v>63.805</v>
      </c>
      <c r="J4418">
        <v>-422.29020000000003</v>
      </c>
      <c r="K4418">
        <v>1.1074729999999999</v>
      </c>
      <c r="L4418">
        <v>95.273470000000003</v>
      </c>
      <c r="M4418">
        <v>1.0773420000000001E-2</v>
      </c>
      <c r="N4418">
        <v>0</v>
      </c>
      <c r="O4418">
        <v>-0.99991350000000001</v>
      </c>
      <c r="P4418">
        <v>-4.9324890000000003E-2</v>
      </c>
      <c r="Q4418">
        <v>0.15057119999999999</v>
      </c>
      <c r="R4418">
        <v>-0.98736800000000002</v>
      </c>
      <c r="S4418">
        <v>5.0354000000000003E-2</v>
      </c>
      <c r="T4418">
        <v>-0.1069297</v>
      </c>
      <c r="U4418">
        <v>-3.05661</v>
      </c>
      <c r="V4418">
        <v>6.027975E-2</v>
      </c>
      <c r="W4418">
        <v>0.15789979999999901</v>
      </c>
      <c r="X4418">
        <v>0.98561350000000003</v>
      </c>
      <c r="Y4418">
        <v>-5.6882869999999898E-3</v>
      </c>
      <c r="Z4418">
        <v>3.4956010000000003E-2</v>
      </c>
      <c r="AA4418">
        <v>0.9993727</v>
      </c>
      <c r="AB4418">
        <v>29</v>
      </c>
      <c r="AC4418">
        <v>0.520100000000013</v>
      </c>
      <c r="AD4418">
        <v>-1.10747527958999</v>
      </c>
      <c r="AE4418">
        <v>-31.4684699999999</v>
      </c>
      <c r="AF4418">
        <v>-0.180813233444865</v>
      </c>
      <c r="AG4418">
        <v>-1.10747527958999</v>
      </c>
      <c r="AH4418">
        <v>31.433325631654998</v>
      </c>
      <c r="AI4418">
        <v>92.017806693148202</v>
      </c>
      <c r="AJ4418">
        <v>90.329577627759207</v>
      </c>
      <c r="AK4418">
        <v>31.4533488707633</v>
      </c>
      <c r="AL4418">
        <v>80.914985776140597</v>
      </c>
      <c r="AM4418">
        <v>86.500171088950097</v>
      </c>
      <c r="AN4418">
        <v>0.999999983241176</v>
      </c>
    </row>
    <row r="4419" spans="1:40" x14ac:dyDescent="0.25">
      <c r="A4419" t="str">
        <f>"20190312164559315"</f>
        <v>20190312164559315</v>
      </c>
      <c r="B4419" t="str">
        <f>"1552380359305937"</f>
        <v>1552380359305937</v>
      </c>
      <c r="C4419" t="s">
        <v>40</v>
      </c>
      <c r="D4419">
        <v>4.6847320000000003</v>
      </c>
      <c r="E4419">
        <v>0.47920879999999999</v>
      </c>
      <c r="F4419" t="s">
        <v>42</v>
      </c>
      <c r="G4419">
        <v>-421.791</v>
      </c>
      <c r="H4419" s="1">
        <v>-2.027307E-6</v>
      </c>
      <c r="I4419">
        <v>63.203960000000002</v>
      </c>
      <c r="J4419">
        <v>-422.2885</v>
      </c>
      <c r="K4419">
        <v>1.1075280000000001</v>
      </c>
      <c r="L4419">
        <v>95.047939999999997</v>
      </c>
      <c r="M4419">
        <v>1.0032889999999999E-2</v>
      </c>
      <c r="N4419">
        <v>0</v>
      </c>
      <c r="O4419">
        <v>-0.99992150000000002</v>
      </c>
      <c r="P4419">
        <v>-4.9946209999999998E-2</v>
      </c>
      <c r="Q4419">
        <v>0.1507349</v>
      </c>
      <c r="R4419">
        <v>-0.98731210000000003</v>
      </c>
      <c r="S4419">
        <v>4.7576899999999998E-2</v>
      </c>
      <c r="T4419">
        <v>-0.10556409999999999</v>
      </c>
      <c r="U4419">
        <v>-3.056854</v>
      </c>
      <c r="V4419">
        <v>6.0148069999999998E-2</v>
      </c>
      <c r="W4419">
        <v>0.15806600000000001</v>
      </c>
      <c r="X4419">
        <v>0.98559490000000005</v>
      </c>
      <c r="Y4419">
        <v>-5.5201139999999996E-3</v>
      </c>
      <c r="Z4419">
        <v>3.4508049999999998E-2</v>
      </c>
      <c r="AA4419">
        <v>0.99938919999999998</v>
      </c>
      <c r="AB4419">
        <v>29</v>
      </c>
      <c r="AC4419">
        <v>0.497500000000002</v>
      </c>
      <c r="AD4419">
        <v>-1.1075300273069999</v>
      </c>
      <c r="AE4419">
        <v>-31.843979999999998</v>
      </c>
      <c r="AF4419">
        <v>-0.17776383316477501</v>
      </c>
      <c r="AG4419">
        <v>-1.1075300273069999</v>
      </c>
      <c r="AH4419">
        <v>31.808900736333399</v>
      </c>
      <c r="AI4419">
        <v>91.994101670236503</v>
      </c>
      <c r="AJ4419">
        <v>90.320193754744096</v>
      </c>
      <c r="AK4419">
        <v>31.828672432190402</v>
      </c>
      <c r="AL4419">
        <v>80.9053420700006</v>
      </c>
      <c r="AM4419">
        <v>86.507731718087896</v>
      </c>
      <c r="AN4419">
        <v>0.99999997879336699</v>
      </c>
    </row>
    <row r="4420" spans="1:40" x14ac:dyDescent="0.25">
      <c r="A4420" t="str">
        <f>"20190312164559339"</f>
        <v>20190312164559339</v>
      </c>
      <c r="B4420" t="str">
        <f>"1552380359326433"</f>
        <v>1552380359326433</v>
      </c>
      <c r="C4420" t="s">
        <v>40</v>
      </c>
      <c r="D4420">
        <v>4.854946</v>
      </c>
      <c r="E4420">
        <v>0.47922150000000002</v>
      </c>
      <c r="F4420" t="s">
        <v>42</v>
      </c>
      <c r="G4420">
        <v>-421.79739999999998</v>
      </c>
      <c r="H4420" s="1">
        <v>-2.0628930000000002E-6</v>
      </c>
      <c r="I4420">
        <v>63.282989999999998</v>
      </c>
      <c r="J4420">
        <v>-422.28649999999999</v>
      </c>
      <c r="K4420">
        <v>1.1076029999999999</v>
      </c>
      <c r="L4420">
        <v>94.755279999999999</v>
      </c>
      <c r="M4420">
        <v>9.1788259999999993E-3</v>
      </c>
      <c r="N4420">
        <v>0</v>
      </c>
      <c r="O4420">
        <v>-0.99992970000000003</v>
      </c>
      <c r="P4420">
        <v>-5.0339420000000003E-2</v>
      </c>
      <c r="Q4420">
        <v>0.150439299999999</v>
      </c>
      <c r="R4420">
        <v>-0.98733700000000002</v>
      </c>
      <c r="S4420">
        <v>4.7271729999999998E-2</v>
      </c>
      <c r="T4420">
        <v>-0.1065943</v>
      </c>
      <c r="U4420">
        <v>-3.05722</v>
      </c>
      <c r="V4420">
        <v>5.9667690000000002E-2</v>
      </c>
      <c r="W4420">
        <v>0.1577769</v>
      </c>
      <c r="X4420">
        <v>0.98567039999999995</v>
      </c>
      <c r="Y4420">
        <v>-6.2724510000000001E-3</v>
      </c>
      <c r="Z4420">
        <v>3.4840620000000003E-2</v>
      </c>
      <c r="AA4420">
        <v>0.99937319999999996</v>
      </c>
      <c r="AB4420">
        <v>29</v>
      </c>
      <c r="AC4420">
        <v>0.48910000000000697</v>
      </c>
      <c r="AD4420">
        <v>-1.1076050628929901</v>
      </c>
      <c r="AE4420">
        <v>-31.472289999999902</v>
      </c>
      <c r="AF4420">
        <v>-0.199945000587779</v>
      </c>
      <c r="AG4420">
        <v>-1.1076050628929901</v>
      </c>
      <c r="AH4420">
        <v>31.436527327327099</v>
      </c>
      <c r="AI4420">
        <v>92.017830177200395</v>
      </c>
      <c r="AJ4420">
        <v>90.364412076304205</v>
      </c>
      <c r="AK4420">
        <v>31.456668885633601</v>
      </c>
      <c r="AL4420">
        <v>80.922116606481595</v>
      </c>
      <c r="AM4420">
        <v>86.535819666685796</v>
      </c>
      <c r="AN4420">
        <v>0.99999996041985195</v>
      </c>
    </row>
    <row r="4421" spans="1:40" x14ac:dyDescent="0.25">
      <c r="A4421" t="str">
        <f>"20190312164559362"</f>
        <v>20190312164559362</v>
      </c>
      <c r="B4421" t="str">
        <f>"1552380359355713"</f>
        <v>1552380359355713</v>
      </c>
      <c r="C4421" t="s">
        <v>40</v>
      </c>
      <c r="D4421">
        <v>4.7521699999999996</v>
      </c>
      <c r="E4421">
        <v>0.47943750000000002</v>
      </c>
      <c r="F4421" t="s">
        <v>42</v>
      </c>
      <c r="G4421">
        <v>-421.82339999999999</v>
      </c>
      <c r="H4421" s="1">
        <v>-2.302523E-6</v>
      </c>
      <c r="I4421">
        <v>63.825409999999998</v>
      </c>
      <c r="J4421">
        <v>-422.28460000000001</v>
      </c>
      <c r="K4421">
        <v>1.1076779999999999</v>
      </c>
      <c r="L4421">
        <v>94.455749999999995</v>
      </c>
      <c r="M4421">
        <v>8.4219859999999994E-3</v>
      </c>
      <c r="N4421">
        <v>0</v>
      </c>
      <c r="O4421">
        <v>-0.9999363</v>
      </c>
      <c r="P4421">
        <v>-5.1175020000000002E-2</v>
      </c>
      <c r="Q4421">
        <v>0.14987320000000001</v>
      </c>
      <c r="R4421">
        <v>-0.98738029999999999</v>
      </c>
      <c r="S4421">
        <v>4.5776369999999997E-2</v>
      </c>
      <c r="T4421">
        <v>-0.10948960000000001</v>
      </c>
      <c r="U4421">
        <v>-3.0574949999999999</v>
      </c>
      <c r="V4421">
        <v>5.9724930000000002E-2</v>
      </c>
      <c r="W4421">
        <v>0.1572171</v>
      </c>
      <c r="X4421">
        <v>0.98575639999999998</v>
      </c>
      <c r="Y4421">
        <v>-6.5387759999999996E-3</v>
      </c>
      <c r="Z4421">
        <v>3.5782990000000001E-2</v>
      </c>
      <c r="AA4421">
        <v>0.99933819999999995</v>
      </c>
      <c r="AB4421">
        <v>29</v>
      </c>
      <c r="AC4421">
        <v>0.46120000000001898</v>
      </c>
      <c r="AD4421">
        <v>-1.107680302523</v>
      </c>
      <c r="AE4421">
        <v>-30.63034</v>
      </c>
      <c r="AF4421">
        <v>-0.20294272566785099</v>
      </c>
      <c r="AG4421">
        <v>-1.107680302523</v>
      </c>
      <c r="AH4421">
        <v>30.5931387911216</v>
      </c>
      <c r="AI4421">
        <v>92.073546657413203</v>
      </c>
      <c r="AJ4421">
        <v>90.3800718582321</v>
      </c>
      <c r="AK4421">
        <v>30.6138576872521</v>
      </c>
      <c r="AL4421">
        <v>80.954596344198293</v>
      </c>
      <c r="AM4421">
        <v>86.532806312976703</v>
      </c>
      <c r="AN4421">
        <v>0.99999998196843698</v>
      </c>
    </row>
    <row r="4422" spans="1:40" x14ac:dyDescent="0.25">
      <c r="A4422" t="str">
        <f>"20190312164559384"</f>
        <v>20190312164559384</v>
      </c>
      <c r="B4422" t="str">
        <f>"1552380359376208"</f>
        <v>1552380359376208</v>
      </c>
      <c r="C4422" t="s">
        <v>40</v>
      </c>
      <c r="D4422">
        <v>4.7529919999999999</v>
      </c>
      <c r="E4422">
        <v>0.47972740000000003</v>
      </c>
      <c r="F4422" t="s">
        <v>42</v>
      </c>
      <c r="G4422">
        <v>-421.87490000000003</v>
      </c>
      <c r="H4422" s="1">
        <v>-2.5654480000000001E-6</v>
      </c>
      <c r="I4422">
        <v>64.406359999999907</v>
      </c>
      <c r="J4422">
        <v>-422.28289999999998</v>
      </c>
      <c r="K4422">
        <v>1.10775</v>
      </c>
      <c r="L4422">
        <v>94.166349999999994</v>
      </c>
      <c r="M4422">
        <v>7.7993180000000004E-3</v>
      </c>
      <c r="N4422">
        <v>0</v>
      </c>
      <c r="O4422">
        <v>-0.99994130000000003</v>
      </c>
      <c r="P4422">
        <v>-5.1408040000000002E-2</v>
      </c>
      <c r="Q4422">
        <v>0.14918329999999999</v>
      </c>
      <c r="R4422">
        <v>-0.98747249999999998</v>
      </c>
      <c r="S4422">
        <v>4.1687009999999997E-2</v>
      </c>
      <c r="T4422">
        <v>-0.1127099</v>
      </c>
      <c r="U4422">
        <v>-3.057617</v>
      </c>
      <c r="V4422">
        <v>5.9314699999999901E-2</v>
      </c>
      <c r="W4422">
        <v>0.1565356</v>
      </c>
      <c r="X4422">
        <v>0.98588960000000003</v>
      </c>
      <c r="Y4422">
        <v>-5.8240760000000001E-3</v>
      </c>
      <c r="Z4422">
        <v>3.6833280000000003E-2</v>
      </c>
      <c r="AA4422">
        <v>0.99930450000000004</v>
      </c>
      <c r="AB4422">
        <v>29</v>
      </c>
      <c r="AC4422">
        <v>0.40799999999995801</v>
      </c>
      <c r="AD4422">
        <v>-1.107752565448</v>
      </c>
      <c r="AE4422">
        <v>-29.759989999999998</v>
      </c>
      <c r="AF4422">
        <v>-0.17563010180986199</v>
      </c>
      <c r="AG4422">
        <v>-1.107752565448</v>
      </c>
      <c r="AH4422">
        <v>29.7210948936563</v>
      </c>
      <c r="AI4422">
        <v>92.134479729472204</v>
      </c>
      <c r="AJ4422">
        <v>90.338572535685003</v>
      </c>
      <c r="AK4422">
        <v>29.742250139433601</v>
      </c>
      <c r="AL4422">
        <v>80.994132802691198</v>
      </c>
      <c r="AM4422">
        <v>86.557027883612406</v>
      </c>
      <c r="AN4422">
        <v>0.99999996554580395</v>
      </c>
    </row>
    <row r="4423" spans="1:40" x14ac:dyDescent="0.25">
      <c r="A4423" t="str">
        <f>"20190312164559405"</f>
        <v>20190312164559405</v>
      </c>
      <c r="B4423" t="str">
        <f>"1552380359395729"</f>
        <v>1552380359395729</v>
      </c>
      <c r="C4423" t="s">
        <v>40</v>
      </c>
      <c r="D4423">
        <v>4.7625609999999998</v>
      </c>
      <c r="E4423">
        <v>0.50350439999999996</v>
      </c>
      <c r="F4423" t="s">
        <v>42</v>
      </c>
      <c r="G4423">
        <v>-421.92020000000002</v>
      </c>
      <c r="H4423" s="1">
        <v>-2.7028019999999998E-6</v>
      </c>
      <c r="I4423">
        <v>64.698440000000005</v>
      </c>
      <c r="J4423">
        <v>-422.28129999999999</v>
      </c>
      <c r="K4423">
        <v>1.1078110000000001</v>
      </c>
      <c r="L4423">
        <v>93.88937</v>
      </c>
      <c r="M4423">
        <v>7.2967219999999899E-3</v>
      </c>
      <c r="N4423">
        <v>0</v>
      </c>
      <c r="O4423">
        <v>-0.99994539999999998</v>
      </c>
      <c r="P4423">
        <v>-5.1938230000000002E-2</v>
      </c>
      <c r="Q4423">
        <v>0.1485494</v>
      </c>
      <c r="R4423">
        <v>-0.9875408</v>
      </c>
      <c r="S4423">
        <v>3.7628170000000002E-2</v>
      </c>
      <c r="T4423">
        <v>-0.11493339999999901</v>
      </c>
      <c r="U4423">
        <v>-3.057404</v>
      </c>
      <c r="V4423">
        <v>5.9323239999999999E-2</v>
      </c>
      <c r="W4423">
        <v>0.15590780000000001</v>
      </c>
      <c r="X4423">
        <v>0.98598859999999999</v>
      </c>
      <c r="Y4423">
        <v>-5.0009140000000004E-3</v>
      </c>
      <c r="Z4423">
        <v>3.7562140000000001E-2</v>
      </c>
      <c r="AA4423">
        <v>0.9992818</v>
      </c>
      <c r="AB4423">
        <v>29</v>
      </c>
      <c r="AC4423">
        <v>0.36109999999996401</v>
      </c>
      <c r="AD4423">
        <v>-1.1078137028020001</v>
      </c>
      <c r="AE4423">
        <v>-29.190929999999899</v>
      </c>
      <c r="AF4423">
        <v>-0.147873384023644</v>
      </c>
      <c r="AG4423">
        <v>-1.1078137028020001</v>
      </c>
      <c r="AH4423">
        <v>29.150809769308601</v>
      </c>
      <c r="AI4423">
        <v>92.176327343220905</v>
      </c>
      <c r="AJ4423">
        <v>90.290641947943499</v>
      </c>
      <c r="AK4423">
        <v>29.1722269966528</v>
      </c>
      <c r="AL4423">
        <v>81.030550576379397</v>
      </c>
      <c r="AM4423">
        <v>86.556878280557996</v>
      </c>
      <c r="AN4423">
        <v>1.0000000041174399</v>
      </c>
    </row>
    <row r="4424" spans="1:40" x14ac:dyDescent="0.25">
      <c r="A4424" t="str">
        <f>"20190312164559427"</f>
        <v>20190312164559427</v>
      </c>
      <c r="B4424" t="str">
        <f>"1552380359416224"</f>
        <v>1552380359416224</v>
      </c>
      <c r="C4424" t="s">
        <v>40</v>
      </c>
      <c r="D4424">
        <v>4.833793</v>
      </c>
      <c r="E4424">
        <v>0.50048239999999999</v>
      </c>
      <c r="F4424" t="s">
        <v>52</v>
      </c>
      <c r="G4424">
        <v>-425.2011</v>
      </c>
      <c r="H4424" s="1">
        <v>-2.1964010000000001E-6</v>
      </c>
      <c r="I4424">
        <v>37.514360000000003</v>
      </c>
      <c r="J4424">
        <v>-422.27969999999999</v>
      </c>
      <c r="K4424">
        <v>1.1078650000000001</v>
      </c>
      <c r="L4424">
        <v>93.600099999999998</v>
      </c>
      <c r="M4424">
        <v>6.8506510000000001E-3</v>
      </c>
      <c r="N4424">
        <v>0</v>
      </c>
      <c r="O4424">
        <v>-0.99994859999999997</v>
      </c>
      <c r="P4424">
        <v>-5.2573189999999999E-2</v>
      </c>
      <c r="Q4424">
        <v>0.14781240000000001</v>
      </c>
      <c r="R4424">
        <v>-0.98761730000000003</v>
      </c>
      <c r="S4424">
        <v>-0.1573792</v>
      </c>
      <c r="T4424">
        <v>-5.9709789999999999E-2</v>
      </c>
      <c r="U4424">
        <v>-3.0385439999999999</v>
      </c>
      <c r="V4424">
        <v>5.949405E-2</v>
      </c>
      <c r="W4424">
        <v>0.15517719999999999</v>
      </c>
      <c r="X4424">
        <v>0.98609349999999996</v>
      </c>
      <c r="Y4424">
        <v>5.855544E-2</v>
      </c>
      <c r="Z4424">
        <v>1.9616310000000001E-2</v>
      </c>
      <c r="AA4424">
        <v>0.99809139999999996</v>
      </c>
      <c r="AB4424">
        <v>29</v>
      </c>
      <c r="AC4424">
        <v>-2.9214000000000002</v>
      </c>
      <c r="AD4424">
        <v>-1.1078671964009901</v>
      </c>
      <c r="AE4424">
        <v>-56.085740000000001</v>
      </c>
      <c r="AF4424">
        <v>3.3042802146314201</v>
      </c>
      <c r="AG4424">
        <v>-1.1078671964009901</v>
      </c>
      <c r="AH4424">
        <v>56.042601957743599</v>
      </c>
      <c r="AI4424">
        <v>91.130530071245502</v>
      </c>
      <c r="AJ4424">
        <v>86.625738611595196</v>
      </c>
      <c r="AK4424">
        <v>56.150858156004603</v>
      </c>
      <c r="AL4424">
        <v>81.072926119607303</v>
      </c>
      <c r="AM4424">
        <v>86.547354859374195</v>
      </c>
      <c r="AN4424">
        <v>0.99999994806374404</v>
      </c>
    </row>
    <row r="4425" spans="1:40" x14ac:dyDescent="0.25">
      <c r="A4425" t="str">
        <f>"20190312164559450"</f>
        <v>20190312164559450</v>
      </c>
      <c r="B4425" t="str">
        <f>"1552380359446481"</f>
        <v>1552380359446481</v>
      </c>
      <c r="C4425" t="s">
        <v>40</v>
      </c>
      <c r="D4425">
        <v>4.5951389999999996</v>
      </c>
      <c r="E4425">
        <v>0.49970629999999999</v>
      </c>
      <c r="F4425" t="s">
        <v>42</v>
      </c>
      <c r="G4425">
        <v>-424.17910000000001</v>
      </c>
      <c r="H4425" s="1">
        <v>-1.59016699999999E-6</v>
      </c>
      <c r="I4425">
        <v>50.703850000000003</v>
      </c>
      <c r="J4425">
        <v>-422.27809999999999</v>
      </c>
      <c r="K4425">
        <v>1.1079049999999999</v>
      </c>
      <c r="L4425">
        <v>93.304500000000004</v>
      </c>
      <c r="M4425">
        <v>6.458989E-3</v>
      </c>
      <c r="N4425">
        <v>0</v>
      </c>
      <c r="O4425">
        <v>-0.99995109999999998</v>
      </c>
      <c r="P4425">
        <v>-5.2920509999999997E-2</v>
      </c>
      <c r="Q4425">
        <v>0.14565919999999999</v>
      </c>
      <c r="R4425">
        <v>-0.98791899999999999</v>
      </c>
      <c r="S4425">
        <v>-0.13470460000000001</v>
      </c>
      <c r="T4425">
        <v>-7.8570009999999996E-2</v>
      </c>
      <c r="U4425">
        <v>-3.0422060000000002</v>
      </c>
      <c r="V4425">
        <v>5.9435429999999997E-2</v>
      </c>
      <c r="W4425">
        <v>0.15303120000000001</v>
      </c>
      <c r="X4425">
        <v>0.98643239999999999</v>
      </c>
      <c r="Y4425">
        <v>5.0672460000000003E-2</v>
      </c>
      <c r="Z4425">
        <v>2.578803E-2</v>
      </c>
      <c r="AA4425">
        <v>0.99838229999999994</v>
      </c>
      <c r="AB4425">
        <v>29</v>
      </c>
      <c r="AC4425">
        <v>-1.90100000000001</v>
      </c>
      <c r="AD4425">
        <v>-1.107906590167</v>
      </c>
      <c r="AE4425">
        <v>-42.600650000000002</v>
      </c>
      <c r="AF4425">
        <v>2.1746572748689998</v>
      </c>
      <c r="AG4425">
        <v>-1.107906590167</v>
      </c>
      <c r="AH4425">
        <v>42.558754875284798</v>
      </c>
      <c r="AI4425">
        <v>91.489267853212496</v>
      </c>
      <c r="AJ4425">
        <v>87.074857757363901</v>
      </c>
      <c r="AK4425">
        <v>42.6286782320336</v>
      </c>
      <c r="AL4425">
        <v>81.197369872913598</v>
      </c>
      <c r="AM4425">
        <v>86.551930732669803</v>
      </c>
      <c r="AN4425">
        <v>0.99999999914124205</v>
      </c>
    </row>
    <row r="4426" spans="1:40" x14ac:dyDescent="0.25">
      <c r="A4426" t="str">
        <f>"20190312164559464"</f>
        <v>20190312164559464</v>
      </c>
      <c r="B4426" t="str">
        <f>"1552380359456241"</f>
        <v>1552380359456241</v>
      </c>
      <c r="C4426" t="s">
        <v>40</v>
      </c>
      <c r="D4426">
        <v>4.6101330000000003</v>
      </c>
      <c r="E4426">
        <v>0.49954189999999998</v>
      </c>
      <c r="F4426" t="s">
        <v>42</v>
      </c>
      <c r="G4426">
        <v>-423.54199999999997</v>
      </c>
      <c r="H4426" s="1">
        <v>-2.5795E-6</v>
      </c>
      <c r="I4426">
        <v>63.405119999999997</v>
      </c>
      <c r="J4426">
        <v>-422.27710000000002</v>
      </c>
      <c r="K4426">
        <v>1.1079239999999999</v>
      </c>
      <c r="L4426">
        <v>93.113280000000003</v>
      </c>
      <c r="M4426">
        <v>6.2299159999999899E-3</v>
      </c>
      <c r="N4426">
        <v>0</v>
      </c>
      <c r="O4426">
        <v>-0.99995239999999996</v>
      </c>
      <c r="P4426">
        <v>-5.2983820000000001E-2</v>
      </c>
      <c r="Q4426">
        <v>0.14497669999999999</v>
      </c>
      <c r="R4426">
        <v>-0.98801570000000005</v>
      </c>
      <c r="S4426">
        <v>-0.12878419999999999</v>
      </c>
      <c r="T4426">
        <v>-0.1128846</v>
      </c>
      <c r="U4426">
        <v>-3.0464479999999998</v>
      </c>
      <c r="V4426">
        <v>5.9263250000000003E-2</v>
      </c>
      <c r="W4426">
        <v>0.15235209999999999</v>
      </c>
      <c r="X4426">
        <v>0.98654790000000003</v>
      </c>
      <c r="Y4426">
        <v>4.8430639999999997E-2</v>
      </c>
      <c r="Z4426">
        <v>3.6989809999999998E-2</v>
      </c>
      <c r="AA4426">
        <v>0.99814139999999996</v>
      </c>
      <c r="AB4426">
        <v>29</v>
      </c>
      <c r="AC4426">
        <v>-1.26489999999995</v>
      </c>
      <c r="AD4426">
        <v>-1.1079265795</v>
      </c>
      <c r="AE4426">
        <v>-29.708159999999999</v>
      </c>
      <c r="AF4426">
        <v>1.4479498200782901</v>
      </c>
      <c r="AG4426">
        <v>-1.1079265795</v>
      </c>
      <c r="AH4426">
        <v>29.6585280194825</v>
      </c>
      <c r="AI4426">
        <v>92.136808786701707</v>
      </c>
      <c r="AJ4426">
        <v>87.204999656454106</v>
      </c>
      <c r="AK4426">
        <v>29.7145140338767</v>
      </c>
      <c r="AL4426">
        <v>81.236741356320906</v>
      </c>
      <c r="AM4426">
        <v>86.562297086570595</v>
      </c>
      <c r="AN4426">
        <v>1.00000002708469</v>
      </c>
    </row>
    <row r="4427" spans="1:40" x14ac:dyDescent="0.25">
      <c r="A4427" t="str">
        <f>"20190312164559484"</f>
        <v>20190312164559484</v>
      </c>
      <c r="B4427" t="str">
        <f>"1552380359475761"</f>
        <v>1552380359475761</v>
      </c>
      <c r="C4427" t="s">
        <v>40</v>
      </c>
      <c r="D4427">
        <v>4.6390659999999997</v>
      </c>
      <c r="E4427">
        <v>0.49950889999999998</v>
      </c>
      <c r="F4427" t="s">
        <v>42</v>
      </c>
      <c r="G4427">
        <v>-423.36810000000003</v>
      </c>
      <c r="H4427" s="1">
        <v>-3.9870659999999998E-6</v>
      </c>
      <c r="I4427">
        <v>66.947329999999994</v>
      </c>
      <c r="J4427">
        <v>-422.2758</v>
      </c>
      <c r="K4427">
        <v>1.1079410000000001</v>
      </c>
      <c r="L4427">
        <v>92.855320000000006</v>
      </c>
      <c r="M4427">
        <v>5.9369799999999997E-3</v>
      </c>
      <c r="N4427">
        <v>0</v>
      </c>
      <c r="O4427">
        <v>-0.99995429999999996</v>
      </c>
      <c r="P4427">
        <v>-5.3076360000000003E-2</v>
      </c>
      <c r="Q4427">
        <v>0.14283379999999901</v>
      </c>
      <c r="R4427">
        <v>-0.98832260000000005</v>
      </c>
      <c r="S4427">
        <v>-0.12710569999999999</v>
      </c>
      <c r="T4427">
        <v>-0.12908169999999999</v>
      </c>
      <c r="U4427">
        <v>-3.0485229999999999</v>
      </c>
      <c r="V4427">
        <v>5.9057419999999999E-2</v>
      </c>
      <c r="W4427">
        <v>0.1502136</v>
      </c>
      <c r="X4427">
        <v>0.98688810000000005</v>
      </c>
      <c r="Y4427">
        <v>4.7552049999999998E-2</v>
      </c>
      <c r="Z4427">
        <v>4.2261109999999998E-2</v>
      </c>
      <c r="AA4427">
        <v>0.99797429999999998</v>
      </c>
      <c r="AB4427">
        <v>29</v>
      </c>
      <c r="AC4427">
        <v>-1.09230000000002</v>
      </c>
      <c r="AD4427">
        <v>-1.1079449870659901</v>
      </c>
      <c r="AE4427">
        <v>-25.907989999999899</v>
      </c>
      <c r="AF4427">
        <v>1.2438295915464099</v>
      </c>
      <c r="AG4427">
        <v>-1.1079449870659901</v>
      </c>
      <c r="AH4427">
        <v>25.853850302054699</v>
      </c>
      <c r="AI4427">
        <v>92.451029527833498</v>
      </c>
      <c r="AJ4427">
        <v>87.245621917871404</v>
      </c>
      <c r="AK4427">
        <v>25.907455096713502</v>
      </c>
      <c r="AL4427">
        <v>81.360694925197706</v>
      </c>
      <c r="AM4427">
        <v>86.575386377716001</v>
      </c>
      <c r="AN4427">
        <v>1.0000000132018101</v>
      </c>
    </row>
    <row r="4428" spans="1:40" x14ac:dyDescent="0.25">
      <c r="A4428" t="str">
        <f>"20190312164559506"</f>
        <v>20190312164559506</v>
      </c>
      <c r="B4428" t="str">
        <f>"1552380359496257"</f>
        <v>1552380359496257</v>
      </c>
      <c r="C4428" t="s">
        <v>40</v>
      </c>
      <c r="D4428">
        <v>4.792109</v>
      </c>
      <c r="E4428">
        <v>0.49962649999999997</v>
      </c>
      <c r="F4428" t="s">
        <v>42</v>
      </c>
      <c r="G4428">
        <v>-423.37459999999999</v>
      </c>
      <c r="H4428" s="1">
        <v>-3.8726040000000001E-6</v>
      </c>
      <c r="I4428">
        <v>66.607590000000002</v>
      </c>
      <c r="J4428">
        <v>-422.27449999999999</v>
      </c>
      <c r="K4428">
        <v>1.1079490000000001</v>
      </c>
      <c r="L4428">
        <v>92.570589999999996</v>
      </c>
      <c r="M4428">
        <v>5.6274039999999999E-3</v>
      </c>
      <c r="N4428">
        <v>0</v>
      </c>
      <c r="O4428">
        <v>-0.99995619999999996</v>
      </c>
      <c r="P4428">
        <v>-5.3372330000000003E-2</v>
      </c>
      <c r="Q4428">
        <v>0.14109940000000001</v>
      </c>
      <c r="R4428">
        <v>-0.98855599999999999</v>
      </c>
      <c r="S4428">
        <v>-0.1275635</v>
      </c>
      <c r="T4428">
        <v>-0.12862480000000001</v>
      </c>
      <c r="U4428">
        <v>-3.04718</v>
      </c>
      <c r="V4428">
        <v>5.9041240000000002E-2</v>
      </c>
      <c r="W4428">
        <v>0.14848229999999901</v>
      </c>
      <c r="X4428">
        <v>0.987151</v>
      </c>
      <c r="Y4428">
        <v>4.7411000000000002E-2</v>
      </c>
      <c r="Z4428">
        <v>4.2130399999999998E-2</v>
      </c>
      <c r="AA4428">
        <v>0.99798659999999995</v>
      </c>
      <c r="AB4428">
        <v>29</v>
      </c>
      <c r="AC4428">
        <v>-1.1000999999999901</v>
      </c>
      <c r="AD4428">
        <v>-1.107952872604</v>
      </c>
      <c r="AE4428">
        <v>-25.962999999999901</v>
      </c>
      <c r="AF4428">
        <v>1.24392970059625</v>
      </c>
      <c r="AG4428">
        <v>-1.107952872604</v>
      </c>
      <c r="AH4428">
        <v>25.9092992394074</v>
      </c>
      <c r="AI4428">
        <v>92.445819407849697</v>
      </c>
      <c r="AJ4428">
        <v>87.251286689392003</v>
      </c>
      <c r="AK4428">
        <v>25.962794682874499</v>
      </c>
      <c r="AL4428">
        <v>81.461015960697594</v>
      </c>
      <c r="AM4428">
        <v>86.577232021785605</v>
      </c>
      <c r="AN4428">
        <v>0.99999997911751304</v>
      </c>
    </row>
    <row r="4429" spans="1:40" x14ac:dyDescent="0.25">
      <c r="A4429" t="str">
        <f>"20190312164559530"</f>
        <v>20190312164559530</v>
      </c>
      <c r="B4429" t="str">
        <f>"1552380359526514"</f>
        <v>1552380359526514</v>
      </c>
      <c r="C4429" t="s">
        <v>40</v>
      </c>
      <c r="D4429">
        <v>4.8605999999999998</v>
      </c>
      <c r="E4429">
        <v>0.49951760000000001</v>
      </c>
      <c r="F4429" t="s">
        <v>42</v>
      </c>
      <c r="G4429">
        <v>-423.40140000000002</v>
      </c>
      <c r="H4429" s="1">
        <v>-3.6577160000000002E-6</v>
      </c>
      <c r="I4429">
        <v>66.005669999999995</v>
      </c>
      <c r="J4429">
        <v>-422.2731</v>
      </c>
      <c r="K4429">
        <v>1.1079559999999999</v>
      </c>
      <c r="L4429">
        <v>92.262020000000007</v>
      </c>
      <c r="M4429">
        <v>5.2977040000000003E-3</v>
      </c>
      <c r="N4429">
        <v>0</v>
      </c>
      <c r="O4429">
        <v>-0.99995780000000001</v>
      </c>
      <c r="P4429">
        <v>-5.3995639999999998E-2</v>
      </c>
      <c r="Q4429">
        <v>0.140204</v>
      </c>
      <c r="R4429">
        <v>-0.98864960000000002</v>
      </c>
      <c r="S4429">
        <v>-0.1292114</v>
      </c>
      <c r="T4429">
        <v>-0.12703510000000001</v>
      </c>
      <c r="U4429">
        <v>-3.045868</v>
      </c>
      <c r="V4429">
        <v>5.933505E-2</v>
      </c>
      <c r="W4429">
        <v>0.1475882</v>
      </c>
      <c r="X4429">
        <v>0.98726749999999996</v>
      </c>
      <c r="Y4429">
        <v>4.7639519999999998E-2</v>
      </c>
      <c r="Z4429">
        <v>4.1627919999999999E-2</v>
      </c>
      <c r="AA4429">
        <v>0.99799680000000002</v>
      </c>
      <c r="AB4429">
        <v>29</v>
      </c>
      <c r="AC4429">
        <v>-1.1283000000000201</v>
      </c>
      <c r="AD4429">
        <v>-1.107959657716</v>
      </c>
      <c r="AE4429">
        <v>-26.256350000000001</v>
      </c>
      <c r="AF4429">
        <v>1.2651378356627201</v>
      </c>
      <c r="AG4429">
        <v>-1.107959657716</v>
      </c>
      <c r="AH4429">
        <v>26.203430755339799</v>
      </c>
      <c r="AI4429">
        <v>92.418381465465899</v>
      </c>
      <c r="AJ4429">
        <v>87.2358271270854</v>
      </c>
      <c r="AK4429">
        <v>26.257340529768801</v>
      </c>
      <c r="AL4429">
        <v>81.512815191634004</v>
      </c>
      <c r="AM4429">
        <v>86.560644845329506</v>
      </c>
      <c r="AN4429">
        <v>1.0000000207469899</v>
      </c>
    </row>
    <row r="4430" spans="1:40" x14ac:dyDescent="0.25">
      <c r="A4430" t="str">
        <f>"20190312164559552"</f>
        <v>20190312164559552</v>
      </c>
      <c r="B4430" t="str">
        <f>"1552380359546033"</f>
        <v>1552380359546033</v>
      </c>
      <c r="C4430" t="s">
        <v>40</v>
      </c>
      <c r="D4430">
        <v>4.6339870000000003</v>
      </c>
      <c r="E4430">
        <v>0.4993763</v>
      </c>
      <c r="F4430" t="s">
        <v>42</v>
      </c>
      <c r="G4430">
        <v>-423.32569999999998</v>
      </c>
      <c r="H4430" s="1">
        <v>-4.1935429999999999E-6</v>
      </c>
      <c r="I4430">
        <v>67.576160000000002</v>
      </c>
      <c r="J4430">
        <v>-422.27190000000002</v>
      </c>
      <c r="K4430">
        <v>1.1079559999999999</v>
      </c>
      <c r="L4430">
        <v>91.962770000000006</v>
      </c>
      <c r="M4430">
        <v>4.9757569999999999E-3</v>
      </c>
      <c r="N4430">
        <v>0</v>
      </c>
      <c r="O4430">
        <v>-0.9999595</v>
      </c>
      <c r="P4430">
        <v>-5.4575329999999998E-2</v>
      </c>
      <c r="Q4430">
        <v>0.1387264</v>
      </c>
      <c r="R4430">
        <v>-0.98882599999999998</v>
      </c>
      <c r="S4430">
        <v>-0.12991330000000001</v>
      </c>
      <c r="T4430">
        <v>-0.13674559999999999</v>
      </c>
      <c r="U4430">
        <v>-3.0467529999999998</v>
      </c>
      <c r="V4430">
        <v>5.9595040000000002E-2</v>
      </c>
      <c r="W4430">
        <v>0.14611179999999999</v>
      </c>
      <c r="X4430">
        <v>0.9874714</v>
      </c>
      <c r="Y4430">
        <v>4.752932E-2</v>
      </c>
      <c r="Z4430">
        <v>4.4790780000000002E-2</v>
      </c>
      <c r="AA4430">
        <v>0.99786509999999995</v>
      </c>
      <c r="AB4430">
        <v>30</v>
      </c>
      <c r="AC4430">
        <v>-1.0537999999999601</v>
      </c>
      <c r="AD4430">
        <v>-1.1079601935429999</v>
      </c>
      <c r="AE4430">
        <v>-24.386609999999902</v>
      </c>
      <c r="AF4430">
        <v>1.1727160383359201</v>
      </c>
      <c r="AG4430">
        <v>-1.1079601935429999</v>
      </c>
      <c r="AH4430">
        <v>24.330934919584301</v>
      </c>
      <c r="AI4430">
        <v>92.604263345763599</v>
      </c>
      <c r="AJ4430">
        <v>87.240561401968705</v>
      </c>
      <c r="AK4430">
        <v>24.384364514132699</v>
      </c>
      <c r="AL4430">
        <v>81.598333607496201</v>
      </c>
      <c r="AM4430">
        <v>86.5463225030974</v>
      </c>
      <c r="AN4430">
        <v>0.9999999963549</v>
      </c>
    </row>
    <row r="4431" spans="1:40" x14ac:dyDescent="0.25">
      <c r="A4431" t="str">
        <f>"20190312164559574"</f>
        <v>20190312164559574</v>
      </c>
      <c r="B4431" t="str">
        <f>"1552380359565553"</f>
        <v>1552380359565553</v>
      </c>
      <c r="C4431" t="s">
        <v>40</v>
      </c>
      <c r="D4431">
        <v>4.8064019999999896</v>
      </c>
      <c r="E4431">
        <v>0.4993512</v>
      </c>
      <c r="F4431" t="s">
        <v>42</v>
      </c>
      <c r="G4431">
        <v>-423.35660000000001</v>
      </c>
      <c r="H4431" s="1">
        <v>-3.9387150000000003E-6</v>
      </c>
      <c r="I4431">
        <v>66.811250000000001</v>
      </c>
      <c r="J4431">
        <v>-422.27080000000001</v>
      </c>
      <c r="K4431">
        <v>1.1079460000000001</v>
      </c>
      <c r="L4431">
        <v>91.672300000000007</v>
      </c>
      <c r="M4431">
        <v>4.6578050000000001E-3</v>
      </c>
      <c r="N4431">
        <v>0</v>
      </c>
      <c r="O4431">
        <v>-0.99996090000000004</v>
      </c>
      <c r="P4431">
        <v>-5.5061810000000003E-2</v>
      </c>
      <c r="Q4431">
        <v>0.13687349999999901</v>
      </c>
      <c r="R4431">
        <v>-0.98905719999999997</v>
      </c>
      <c r="S4431">
        <v>-0.13134770000000001</v>
      </c>
      <c r="T4431">
        <v>-0.13415729999999901</v>
      </c>
      <c r="U4431">
        <v>-3.045471</v>
      </c>
      <c r="V4431">
        <v>5.9766560000000003E-2</v>
      </c>
      <c r="W4431">
        <v>0.14426059999999999</v>
      </c>
      <c r="X4431">
        <v>0.98773319999999998</v>
      </c>
      <c r="Y4431">
        <v>4.7700270000000003E-2</v>
      </c>
      <c r="Z4431">
        <v>4.3962580000000001E-2</v>
      </c>
      <c r="AA4431">
        <v>0.99789380000000005</v>
      </c>
      <c r="AB4431">
        <v>30</v>
      </c>
      <c r="AC4431">
        <v>-1.0858000000000001</v>
      </c>
      <c r="AD4431">
        <v>-1.10794993871499</v>
      </c>
      <c r="AE4431">
        <v>-24.861049999999999</v>
      </c>
      <c r="AF4431">
        <v>1.1992121935042199</v>
      </c>
      <c r="AG4431">
        <v>-1.10794993871499</v>
      </c>
      <c r="AH4431">
        <v>24.806548201733101</v>
      </c>
      <c r="AI4431">
        <v>92.554357563621195</v>
      </c>
      <c r="AJ4431">
        <v>87.232329674354901</v>
      </c>
      <c r="AK4431">
        <v>24.860219159063298</v>
      </c>
      <c r="AL4431">
        <v>81.705535628660598</v>
      </c>
      <c r="AM4431">
        <v>86.537322461788804</v>
      </c>
      <c r="AN4431">
        <v>1.00000001839441</v>
      </c>
    </row>
    <row r="4432" spans="1:40" x14ac:dyDescent="0.25">
      <c r="A4432" t="str">
        <f>"20190312164559595"</f>
        <v>20190312164559595</v>
      </c>
      <c r="B4432" t="str">
        <f>"1552380359586049"</f>
        <v>1552380359586049</v>
      </c>
      <c r="C4432" t="s">
        <v>40</v>
      </c>
      <c r="D4432">
        <v>4.8782610000000002</v>
      </c>
      <c r="E4432">
        <v>0.4993438</v>
      </c>
      <c r="F4432" t="s">
        <v>42</v>
      </c>
      <c r="G4432">
        <v>-423.4008</v>
      </c>
      <c r="H4432" s="1">
        <v>-3.5430330000000001E-6</v>
      </c>
      <c r="I4432">
        <v>65.738730000000004</v>
      </c>
      <c r="J4432">
        <v>-422.26979999999998</v>
      </c>
      <c r="K4432">
        <v>1.107936</v>
      </c>
      <c r="L4432">
        <v>91.383240000000001</v>
      </c>
      <c r="M4432">
        <v>4.3351730000000003E-3</v>
      </c>
      <c r="N4432">
        <v>0</v>
      </c>
      <c r="O4432">
        <v>-0.99996229999999997</v>
      </c>
      <c r="P4432">
        <v>-5.5039390000000001E-2</v>
      </c>
      <c r="Q4432">
        <v>0.13496429999999901</v>
      </c>
      <c r="R4432">
        <v>-0.9893208</v>
      </c>
      <c r="S4432">
        <v>-0.13262939999999901</v>
      </c>
      <c r="T4432">
        <v>-0.13003870000000001</v>
      </c>
      <c r="U4432">
        <v>-3.043793</v>
      </c>
      <c r="V4432">
        <v>5.9425079999999998E-2</v>
      </c>
      <c r="W4432">
        <v>0.14235400000000001</v>
      </c>
      <c r="X4432">
        <v>0.98803039999999998</v>
      </c>
      <c r="Y4432">
        <v>4.7823600000000001E-2</v>
      </c>
      <c r="Z4432">
        <v>4.2638450000000001E-2</v>
      </c>
      <c r="AA4432">
        <v>0.99794530000000004</v>
      </c>
      <c r="AB4432">
        <v>30</v>
      </c>
      <c r="AC4432">
        <v>-1.13100000000002</v>
      </c>
      <c r="AD4432">
        <v>-1.1079395430329999</v>
      </c>
      <c r="AE4432">
        <v>-25.64451</v>
      </c>
      <c r="AF4432">
        <v>1.2398561250553299</v>
      </c>
      <c r="AG4432">
        <v>-1.1079395430329999</v>
      </c>
      <c r="AH4432">
        <v>25.591689946519502</v>
      </c>
      <c r="AI4432">
        <v>92.476054332439702</v>
      </c>
      <c r="AJ4432">
        <v>87.226325357338993</v>
      </c>
      <c r="AK4432">
        <v>25.645650070930898</v>
      </c>
      <c r="AL4432">
        <v>81.815915236386402</v>
      </c>
      <c r="AM4432">
        <v>86.558092108272504</v>
      </c>
      <c r="AN4432">
        <v>1.00000003638658</v>
      </c>
    </row>
    <row r="4433" spans="1:40" x14ac:dyDescent="0.25">
      <c r="A4433" t="str">
        <f>"20190312164559618"</f>
        <v>20190312164559618</v>
      </c>
      <c r="B4433" t="str">
        <f>"1552380359605569"</f>
        <v>1552380359605569</v>
      </c>
      <c r="C4433" t="s">
        <v>40</v>
      </c>
      <c r="D4433">
        <v>4.6250289999999996</v>
      </c>
      <c r="E4433">
        <v>0.4991874</v>
      </c>
      <c r="F4433" t="s">
        <v>42</v>
      </c>
      <c r="G4433">
        <v>-423.42189999999999</v>
      </c>
      <c r="H4433" s="1">
        <v>-3.309835E-6</v>
      </c>
      <c r="I4433">
        <v>65.182040000000001</v>
      </c>
      <c r="J4433">
        <v>-422.2688</v>
      </c>
      <c r="K4433">
        <v>1.1079239999999999</v>
      </c>
      <c r="L4433">
        <v>91.086730000000003</v>
      </c>
      <c r="M4433">
        <v>3.9964429999999997E-3</v>
      </c>
      <c r="N4433">
        <v>0</v>
      </c>
      <c r="O4433">
        <v>-0.99996379999999996</v>
      </c>
      <c r="P4433">
        <v>-5.3913679999999999E-2</v>
      </c>
      <c r="Q4433">
        <v>0.1334515</v>
      </c>
      <c r="R4433">
        <v>-0.98958780000000002</v>
      </c>
      <c r="S4433">
        <v>-0.13378909999999999</v>
      </c>
      <c r="T4433">
        <v>-0.12865380000000001</v>
      </c>
      <c r="U4433">
        <v>-3.0424799999999999</v>
      </c>
      <c r="V4433">
        <v>5.7965259999999998E-2</v>
      </c>
      <c r="W4433">
        <v>0.14084449999999901</v>
      </c>
      <c r="X4433">
        <v>0.98833340000000003</v>
      </c>
      <c r="Y4433">
        <v>4.788444E-2</v>
      </c>
      <c r="Z4433">
        <v>4.2202980000000001E-2</v>
      </c>
      <c r="AA4433">
        <v>0.99796090000000004</v>
      </c>
      <c r="AB4433">
        <v>30</v>
      </c>
      <c r="AC4433">
        <v>-1.15309999999999</v>
      </c>
      <c r="AD4433">
        <v>-1.107927309835</v>
      </c>
      <c r="AE4433">
        <v>-25.904689999999999</v>
      </c>
      <c r="AF4433">
        <v>1.2543304211038799</v>
      </c>
      <c r="AG4433">
        <v>-1.107927309835</v>
      </c>
      <c r="AH4433">
        <v>25.852677993216101</v>
      </c>
      <c r="AI4433">
        <v>92.451053288416603</v>
      </c>
      <c r="AJ4433">
        <v>87.222279036081801</v>
      </c>
      <c r="AK4433">
        <v>25.9067907535863</v>
      </c>
      <c r="AL4433">
        <v>81.903283462577704</v>
      </c>
      <c r="AM4433">
        <v>86.6434761905399</v>
      </c>
      <c r="AN4433">
        <v>1.0000000270513301</v>
      </c>
    </row>
    <row r="4434" spans="1:40" x14ac:dyDescent="0.25">
      <c r="A4434" t="str">
        <f>"20190312164559640"</f>
        <v>20190312164559640</v>
      </c>
      <c r="B4434" t="str">
        <f>"1552380359635832"</f>
        <v>1552380359635832</v>
      </c>
      <c r="C4434" t="s">
        <v>40</v>
      </c>
      <c r="D4434">
        <v>4.7495820000000002</v>
      </c>
      <c r="E4434">
        <v>0.46916259999999999</v>
      </c>
      <c r="F4434" t="s">
        <v>42</v>
      </c>
      <c r="G4434">
        <v>-423.31420000000003</v>
      </c>
      <c r="H4434" s="1">
        <v>-3.8259309999999999E-6</v>
      </c>
      <c r="I4434">
        <v>66.501940000000005</v>
      </c>
      <c r="J4434">
        <v>-422.2679</v>
      </c>
      <c r="K4434">
        <v>1.1079079999999999</v>
      </c>
      <c r="L4434">
        <v>90.788730000000001</v>
      </c>
      <c r="M4434">
        <v>3.643753E-3</v>
      </c>
      <c r="N4434">
        <v>0</v>
      </c>
      <c r="O4434">
        <v>-0.9999652</v>
      </c>
      <c r="P4434">
        <v>-5.0974850000000002E-2</v>
      </c>
      <c r="Q4434">
        <v>0.13199859999999999</v>
      </c>
      <c r="R4434">
        <v>-0.9899384</v>
      </c>
      <c r="S4434">
        <v>-0.1293945</v>
      </c>
      <c r="T4434">
        <v>-0.13713590000000001</v>
      </c>
      <c r="U4434">
        <v>-3.0430299999999999</v>
      </c>
      <c r="V4434">
        <v>5.4680100000000002E-2</v>
      </c>
      <c r="W4434">
        <v>0.13939689999999999</v>
      </c>
      <c r="X4434">
        <v>0.98872570000000004</v>
      </c>
      <c r="Y4434">
        <v>4.608052E-2</v>
      </c>
      <c r="Z4434">
        <v>4.497524E-2</v>
      </c>
      <c r="AA4434">
        <v>0.9979247</v>
      </c>
      <c r="AB4434">
        <v>30</v>
      </c>
      <c r="AC4434">
        <v>-1.04630000000003</v>
      </c>
      <c r="AD4434">
        <v>-1.1079118259309999</v>
      </c>
      <c r="AE4434">
        <v>-24.28679</v>
      </c>
      <c r="AF4434">
        <v>1.1324383817077801</v>
      </c>
      <c r="AG4434">
        <v>-1.1079118259309999</v>
      </c>
      <c r="AH4434">
        <v>24.232482043849899</v>
      </c>
      <c r="AI4434">
        <v>92.614896750352401</v>
      </c>
      <c r="AJ4434">
        <v>87.324385999891703</v>
      </c>
      <c r="AK4434">
        <v>24.284214447000501</v>
      </c>
      <c r="AL4434">
        <v>81.987050710349394</v>
      </c>
      <c r="AM4434">
        <v>86.8345611104303</v>
      </c>
      <c r="AN4434">
        <v>0.99999995945305398</v>
      </c>
    </row>
    <row r="4435" spans="1:40" x14ac:dyDescent="0.25">
      <c r="A4435" t="str">
        <f>"20190312164559655"</f>
        <v>20190312164559655</v>
      </c>
      <c r="B4435" t="str">
        <f>"1552380359645585"</f>
        <v>1552380359645585</v>
      </c>
      <c r="C4435" t="s">
        <v>40</v>
      </c>
      <c r="D4435">
        <v>4.4878479999999996</v>
      </c>
      <c r="E4435">
        <v>0.42372339999999997</v>
      </c>
      <c r="F4435" t="s">
        <v>77</v>
      </c>
      <c r="G4435">
        <v>-418.97199999999998</v>
      </c>
      <c r="H4435">
        <v>1.3535549999999901</v>
      </c>
      <c r="I4435">
        <v>0.48784450000000001</v>
      </c>
      <c r="J4435">
        <v>-422.26740000000001</v>
      </c>
      <c r="K4435">
        <v>1.1078969999999999</v>
      </c>
      <c r="L4435">
        <v>90.577179999999998</v>
      </c>
      <c r="M4435">
        <v>3.3812439999999998E-3</v>
      </c>
      <c r="N4435">
        <v>0</v>
      </c>
      <c r="O4435">
        <v>-0.99996620000000003</v>
      </c>
      <c r="P4435">
        <v>-4.9373889999999997E-2</v>
      </c>
      <c r="Q4435">
        <v>0.13169420000000001</v>
      </c>
      <c r="R4435">
        <v>-0.9900603</v>
      </c>
      <c r="S4435">
        <v>0.1107788</v>
      </c>
      <c r="T4435">
        <v>8.2556009999999996E-3</v>
      </c>
      <c r="U4435">
        <v>-3.0350950000000001</v>
      </c>
      <c r="V4435">
        <v>5.2822620000000001E-2</v>
      </c>
      <c r="W4435">
        <v>0.1390942</v>
      </c>
      <c r="X4435">
        <v>0.98886929999999995</v>
      </c>
      <c r="Y4435">
        <v>-3.3095560000000003E-2</v>
      </c>
      <c r="Z4435">
        <v>-2.7183630000000001E-3</v>
      </c>
      <c r="AA4435">
        <v>0.99944849999999996</v>
      </c>
      <c r="AB4435">
        <v>30</v>
      </c>
      <c r="AC4435">
        <v>3.2954000000000199</v>
      </c>
      <c r="AD4435">
        <v>0.24565799999999999</v>
      </c>
      <c r="AE4435">
        <v>-90.089335500000004</v>
      </c>
      <c r="AF4435">
        <v>-2.99073637292424</v>
      </c>
      <c r="AG4435">
        <v>0.24565799999999999</v>
      </c>
      <c r="AH4435">
        <v>90.099294301218805</v>
      </c>
      <c r="AI4435">
        <v>89.843867989269199</v>
      </c>
      <c r="AJ4435">
        <v>91.901165592878598</v>
      </c>
      <c r="AK4435">
        <v>90.149252273565395</v>
      </c>
      <c r="AL4435">
        <v>82.004564764490397</v>
      </c>
      <c r="AM4435">
        <v>86.942326459839506</v>
      </c>
      <c r="AN4435">
        <v>0.99999995906989603</v>
      </c>
    </row>
    <row r="4436" spans="1:40" x14ac:dyDescent="0.25">
      <c r="A4436" t="str">
        <f>"20190312164559673"</f>
        <v>20190312164559673</v>
      </c>
      <c r="B4436" t="str">
        <f>"1552380359666081"</f>
        <v>1552380359666081</v>
      </c>
      <c r="C4436" t="s">
        <v>40</v>
      </c>
      <c r="D4436">
        <v>4.6243559999999997</v>
      </c>
      <c r="E4436">
        <v>0.41843140000000001</v>
      </c>
      <c r="F4436" t="s">
        <v>77</v>
      </c>
      <c r="G4436">
        <v>-408.20819999999998</v>
      </c>
      <c r="H4436">
        <v>2.1329220000000002</v>
      </c>
      <c r="I4436">
        <v>0.59731480000000003</v>
      </c>
      <c r="J4436">
        <v>-422.26679999999999</v>
      </c>
      <c r="K4436">
        <v>1.10788</v>
      </c>
      <c r="L4436">
        <v>90.333340000000007</v>
      </c>
      <c r="M4436">
        <v>3.060732E-3</v>
      </c>
      <c r="N4436">
        <v>0</v>
      </c>
      <c r="O4436">
        <v>-0.99996719999999895</v>
      </c>
      <c r="P4436">
        <v>-4.5527640000000001E-2</v>
      </c>
      <c r="Q4436">
        <v>0.1316601</v>
      </c>
      <c r="R4436">
        <v>-0.99024900000000005</v>
      </c>
      <c r="S4436">
        <v>0.47644039999999999</v>
      </c>
      <c r="T4436">
        <v>3.473532E-2</v>
      </c>
      <c r="U4436">
        <v>-3.049255</v>
      </c>
      <c r="V4436">
        <v>4.8665140000000003E-2</v>
      </c>
      <c r="W4436">
        <v>0.13906399999999999</v>
      </c>
      <c r="X4436">
        <v>0.98908689999999999</v>
      </c>
      <c r="Y4436">
        <v>-0.15134049999999999</v>
      </c>
      <c r="Z4436">
        <v>-1.125671E-2</v>
      </c>
      <c r="AA4436">
        <v>0.98841760000000001</v>
      </c>
      <c r="AB4436">
        <v>30</v>
      </c>
      <c r="AC4436">
        <v>14.0586</v>
      </c>
      <c r="AD4436">
        <v>1.025042</v>
      </c>
      <c r="AE4436">
        <v>-89.7360252</v>
      </c>
      <c r="AF4436">
        <v>-13.7821132659051</v>
      </c>
      <c r="AG4436">
        <v>1.025042</v>
      </c>
      <c r="AH4436">
        <v>89.767203285786593</v>
      </c>
      <c r="AI4436">
        <v>89.353350477295194</v>
      </c>
      <c r="AJ4436">
        <v>98.728562338753804</v>
      </c>
      <c r="AK4436">
        <v>90.824821183021001</v>
      </c>
      <c r="AL4436">
        <v>82.0063123586053</v>
      </c>
      <c r="AM4436">
        <v>87.183199601790307</v>
      </c>
      <c r="AN4436">
        <v>0.99999999384941396</v>
      </c>
    </row>
    <row r="4437" spans="1:40" x14ac:dyDescent="0.25">
      <c r="A4437" t="str">
        <f>"20190312164559696"</f>
        <v>20190312164559696</v>
      </c>
      <c r="B4437" t="str">
        <f>"1552380359685601"</f>
        <v>1552380359685601</v>
      </c>
      <c r="C4437" t="s">
        <v>40</v>
      </c>
      <c r="D4437">
        <v>4.5370049999999997</v>
      </c>
      <c r="E4437">
        <v>0.41770220000000002</v>
      </c>
      <c r="F4437" t="s">
        <v>77</v>
      </c>
      <c r="G4437">
        <v>-406.6533</v>
      </c>
      <c r="H4437">
        <v>0.99977229999999995</v>
      </c>
      <c r="I4437">
        <v>0.61312679999999997</v>
      </c>
      <c r="J4437">
        <v>-422.2663</v>
      </c>
      <c r="K4437">
        <v>1.1078440000000001</v>
      </c>
      <c r="L4437">
        <v>90.035060000000001</v>
      </c>
      <c r="M4437">
        <v>2.632101E-3</v>
      </c>
      <c r="N4437">
        <v>0</v>
      </c>
      <c r="O4437">
        <v>-0.99996839999999998</v>
      </c>
      <c r="P4437">
        <v>-4.2877390000000001E-2</v>
      </c>
      <c r="Q4437">
        <v>0.13166820000000001</v>
      </c>
      <c r="R4437">
        <v>-0.99036619999999997</v>
      </c>
      <c r="S4437">
        <v>0.53155520000000001</v>
      </c>
      <c r="T4437">
        <v>-3.681302E-3</v>
      </c>
      <c r="U4437">
        <v>-3.0544739999999999</v>
      </c>
      <c r="V4437">
        <v>4.5600719999999997E-2</v>
      </c>
      <c r="W4437">
        <v>0.13907340000000001</v>
      </c>
      <c r="X4437">
        <v>0.98923159999999999</v>
      </c>
      <c r="Y4437">
        <v>-0.16885439999999999</v>
      </c>
      <c r="Z4437">
        <v>1.1876320000000001E-3</v>
      </c>
      <c r="AA4437">
        <v>0.98564030000000002</v>
      </c>
      <c r="AB4437">
        <v>30</v>
      </c>
      <c r="AC4437">
        <v>15.613</v>
      </c>
      <c r="AD4437">
        <v>-0.10807170000000001</v>
      </c>
      <c r="AE4437">
        <v>-89.421933199999998</v>
      </c>
      <c r="AF4437">
        <v>-15.3775499352806</v>
      </c>
      <c r="AG4437">
        <v>-0.10807170000000001</v>
      </c>
      <c r="AH4437">
        <v>89.462592770823406</v>
      </c>
      <c r="AI4437">
        <v>90.068213472364206</v>
      </c>
      <c r="AJ4437">
        <v>99.753150770148906</v>
      </c>
      <c r="AK4437">
        <v>90.774645285908903</v>
      </c>
      <c r="AL4437">
        <v>82.005768521522398</v>
      </c>
      <c r="AM4437">
        <v>87.360698424140907</v>
      </c>
      <c r="AN4437">
        <v>0.99999999734531897</v>
      </c>
    </row>
    <row r="4438" spans="1:40" x14ac:dyDescent="0.25">
      <c r="A4438" t="str">
        <f>"20190312164559718"</f>
        <v>20190312164559718</v>
      </c>
      <c r="B4438" t="str">
        <f>"1552380359706097"</f>
        <v>1552380359706097</v>
      </c>
      <c r="C4438" t="s">
        <v>40</v>
      </c>
      <c r="D4438">
        <v>4.5058699999999998</v>
      </c>
      <c r="E4438">
        <v>0.41769659999999897</v>
      </c>
      <c r="F4438" t="s">
        <v>77</v>
      </c>
      <c r="G4438">
        <v>-406.28789999999998</v>
      </c>
      <c r="H4438">
        <v>0.74597550000000001</v>
      </c>
      <c r="I4438">
        <v>0.61684039999999996</v>
      </c>
      <c r="J4438">
        <v>-422.26600000000002</v>
      </c>
      <c r="K4438">
        <v>1.1077999999999999</v>
      </c>
      <c r="L4438">
        <v>89.735900000000001</v>
      </c>
      <c r="M4438">
        <v>2.1575370000000002E-3</v>
      </c>
      <c r="N4438">
        <v>0</v>
      </c>
      <c r="O4438">
        <v>-0.99996940000000001</v>
      </c>
      <c r="P4438">
        <v>-4.0210219999999998E-2</v>
      </c>
      <c r="Q4438">
        <v>0.1313502</v>
      </c>
      <c r="R4438">
        <v>-0.99052030000000002</v>
      </c>
      <c r="S4438">
        <v>0.54580689999999998</v>
      </c>
      <c r="T4438">
        <v>-1.236188E-2</v>
      </c>
      <c r="U4438">
        <v>-3.054443</v>
      </c>
      <c r="V4438">
        <v>4.2476100000000003E-2</v>
      </c>
      <c r="W4438">
        <v>0.13875799999999999</v>
      </c>
      <c r="X4438">
        <v>0.98941500000000004</v>
      </c>
      <c r="Y4438">
        <v>-0.17378060000000001</v>
      </c>
      <c r="Z4438">
        <v>3.9847850000000002E-3</v>
      </c>
      <c r="AA4438">
        <v>0.98477630000000005</v>
      </c>
      <c r="AB4438">
        <v>30</v>
      </c>
      <c r="AC4438">
        <v>15.9780999999999</v>
      </c>
      <c r="AD4438">
        <v>-0.36182449999999899</v>
      </c>
      <c r="AE4438">
        <v>-89.1190595999999</v>
      </c>
      <c r="AF4438">
        <v>-15.7855276040425</v>
      </c>
      <c r="AG4438">
        <v>-0.36182449999999899</v>
      </c>
      <c r="AH4438">
        <v>89.1519026953154</v>
      </c>
      <c r="AI4438">
        <v>90.228973036186602</v>
      </c>
      <c r="AJ4438">
        <v>100.040909155278</v>
      </c>
      <c r="AK4438">
        <v>90.539359136796307</v>
      </c>
      <c r="AL4438">
        <v>82.024016736825303</v>
      </c>
      <c r="AM4438">
        <v>87.541771871666597</v>
      </c>
      <c r="AN4438">
        <v>1.0000000219301</v>
      </c>
    </row>
    <row r="4439" spans="1:40" x14ac:dyDescent="0.25">
      <c r="A4439" t="str">
        <f>"20190312164559741"</f>
        <v>20190312164559741</v>
      </c>
      <c r="B4439" t="str">
        <f>"1552380359736356"</f>
        <v>1552380359736356</v>
      </c>
      <c r="C4439" t="s">
        <v>40</v>
      </c>
      <c r="D4439">
        <v>4.577216</v>
      </c>
      <c r="E4439">
        <v>0.41760599999999998</v>
      </c>
      <c r="F4439" t="s">
        <v>43</v>
      </c>
      <c r="G4439">
        <v>-404.80169999999998</v>
      </c>
      <c r="H4439">
        <v>-0.05</v>
      </c>
      <c r="I4439">
        <v>-6.4124910000000002</v>
      </c>
      <c r="J4439">
        <v>-422.26589999999999</v>
      </c>
      <c r="K4439">
        <v>1.1077629999999901</v>
      </c>
      <c r="L4439">
        <v>89.425989999999999</v>
      </c>
      <c r="M4439">
        <v>1.6138729999999901E-3</v>
      </c>
      <c r="N4439">
        <v>0</v>
      </c>
      <c r="O4439">
        <v>-0.99997049999999998</v>
      </c>
      <c r="P4439">
        <v>-3.809042E-2</v>
      </c>
      <c r="Q4439">
        <v>0.1308241</v>
      </c>
      <c r="R4439">
        <v>-0.99067369999999999</v>
      </c>
      <c r="S4439">
        <v>0.55511469999999996</v>
      </c>
      <c r="T4439">
        <v>-3.680158E-2</v>
      </c>
      <c r="U4439">
        <v>-3.056152</v>
      </c>
      <c r="V4439">
        <v>3.9831770000000002E-2</v>
      </c>
      <c r="W4439">
        <v>0.13823339999999901</v>
      </c>
      <c r="X4439">
        <v>0.98959839999999999</v>
      </c>
      <c r="Y4439">
        <v>-0.17711350000000001</v>
      </c>
      <c r="Z4439">
        <v>1.18488E-2</v>
      </c>
      <c r="AA4439">
        <v>0.98411910000000002</v>
      </c>
      <c r="AB4439">
        <v>30</v>
      </c>
      <c r="AC4439">
        <v>17.464200000000002</v>
      </c>
      <c r="AD4439">
        <v>-1.1577630000000001</v>
      </c>
      <c r="AE4439">
        <v>-95.838481000000002</v>
      </c>
      <c r="AF4439">
        <v>-17.307057224632199</v>
      </c>
      <c r="AG4439">
        <v>-1.1577630000000001</v>
      </c>
      <c r="AH4439">
        <v>95.8530032382683</v>
      </c>
      <c r="AI4439">
        <v>90.681004194701103</v>
      </c>
      <c r="AJ4439">
        <v>100.234956149707</v>
      </c>
      <c r="AK4439">
        <v>97.409819190553605</v>
      </c>
      <c r="AL4439">
        <v>82.054366551670796</v>
      </c>
      <c r="AM4439">
        <v>87.695063927046306</v>
      </c>
      <c r="AN4439">
        <v>1.0000000180297199</v>
      </c>
    </row>
    <row r="4440" spans="1:40" x14ac:dyDescent="0.25">
      <c r="A4440" t="str">
        <f>"20190312164559764"</f>
        <v>20190312164559764</v>
      </c>
      <c r="B4440" t="str">
        <f>"1552380359755872"</f>
        <v>1552380359755872</v>
      </c>
      <c r="C4440" t="s">
        <v>40</v>
      </c>
      <c r="D4440">
        <v>4.5646199999999997</v>
      </c>
      <c r="E4440">
        <v>0.41743799999999998</v>
      </c>
      <c r="F4440" t="s">
        <v>42</v>
      </c>
      <c r="G4440">
        <v>-415.1241</v>
      </c>
      <c r="H4440" s="1">
        <v>-1.6485519999999999E-6</v>
      </c>
      <c r="I4440">
        <v>50.680120000000002</v>
      </c>
      <c r="J4440">
        <v>-422.26589999999999</v>
      </c>
      <c r="K4440">
        <v>1.107723</v>
      </c>
      <c r="L4440">
        <v>89.114719999999906</v>
      </c>
      <c r="M4440">
        <v>1.0118270000000001E-3</v>
      </c>
      <c r="N4440">
        <v>0</v>
      </c>
      <c r="O4440">
        <v>-0.9999711</v>
      </c>
      <c r="P4440">
        <v>-3.5987810000000002E-2</v>
      </c>
      <c r="Q4440">
        <v>0.13066939999999999</v>
      </c>
      <c r="R4440">
        <v>-0.9907724</v>
      </c>
      <c r="S4440">
        <v>0.56430049999999998</v>
      </c>
      <c r="T4440">
        <v>-8.7529659999999995E-2</v>
      </c>
      <c r="U4440">
        <v>-3.061493</v>
      </c>
      <c r="V4440">
        <v>3.7147189999999997E-2</v>
      </c>
      <c r="W4440">
        <v>0.1380808</v>
      </c>
      <c r="X4440">
        <v>0.9897241</v>
      </c>
      <c r="Y4440">
        <v>-0.18020169999999999</v>
      </c>
      <c r="Z4440">
        <v>2.8108339999999999E-2</v>
      </c>
      <c r="AA4440">
        <v>0.98322799999999999</v>
      </c>
      <c r="AB4440">
        <v>30</v>
      </c>
      <c r="AC4440">
        <v>7.1417999999999804</v>
      </c>
      <c r="AD4440">
        <v>-1.107724648552</v>
      </c>
      <c r="AE4440">
        <v>-38.434599999999897</v>
      </c>
      <c r="AF4440">
        <v>-7.0972075261774101</v>
      </c>
      <c r="AG4440">
        <v>-1.107724648552</v>
      </c>
      <c r="AH4440">
        <v>38.410965550003702</v>
      </c>
      <c r="AI4440">
        <v>91.624400670553001</v>
      </c>
      <c r="AJ4440">
        <v>100.46849504286099</v>
      </c>
      <c r="AK4440">
        <v>39.076843309691903</v>
      </c>
      <c r="AL4440">
        <v>82.063194461628399</v>
      </c>
      <c r="AM4440">
        <v>87.850533674107595</v>
      </c>
      <c r="AN4440">
        <v>1.00000000758717</v>
      </c>
    </row>
    <row r="4441" spans="1:40" x14ac:dyDescent="0.25">
      <c r="A4441" t="str">
        <f>"20190312164559786"</f>
        <v>20190312164559786</v>
      </c>
      <c r="B4441" t="str">
        <f>"1552380359776369"</f>
        <v>1552380359776369</v>
      </c>
      <c r="C4441" t="s">
        <v>40</v>
      </c>
      <c r="D4441">
        <v>4.5598260000000002</v>
      </c>
      <c r="E4441">
        <v>0.41798839999999998</v>
      </c>
      <c r="F4441" t="s">
        <v>42</v>
      </c>
      <c r="G4441">
        <v>-416.1859</v>
      </c>
      <c r="H4441" s="1">
        <v>-3.6727680000000002E-6</v>
      </c>
      <c r="I4441">
        <v>56.61703</v>
      </c>
      <c r="J4441">
        <v>-422.26620000000003</v>
      </c>
      <c r="K4441">
        <v>1.107688</v>
      </c>
      <c r="L4441">
        <v>88.8172</v>
      </c>
      <c r="M4441">
        <v>3.8867269999999998E-4</v>
      </c>
      <c r="N4441">
        <v>0</v>
      </c>
      <c r="O4441">
        <v>-0.99997139999999995</v>
      </c>
      <c r="P4441">
        <v>-3.4001110000000001E-2</v>
      </c>
      <c r="Q4441">
        <v>0.13072300000000001</v>
      </c>
      <c r="R4441">
        <v>-0.99083560000000004</v>
      </c>
      <c r="S4441">
        <v>0.57296749999999996</v>
      </c>
      <c r="T4441">
        <v>-0.10439039999999999</v>
      </c>
      <c r="U4441">
        <v>-3.0625309999999999</v>
      </c>
      <c r="V4441">
        <v>3.4556280000000002E-2</v>
      </c>
      <c r="W4441">
        <v>0.13813699999999901</v>
      </c>
      <c r="X4441">
        <v>0.98981010000000003</v>
      </c>
      <c r="Y4441">
        <v>-0.18341360000000001</v>
      </c>
      <c r="Z4441">
        <v>3.3487389999999999E-2</v>
      </c>
      <c r="AA4441">
        <v>0.98246529999999999</v>
      </c>
      <c r="AB4441">
        <v>30</v>
      </c>
      <c r="AC4441">
        <v>6.0803000000000198</v>
      </c>
      <c r="AD4441">
        <v>-1.107691672768</v>
      </c>
      <c r="AE4441">
        <v>-32.2001699999999</v>
      </c>
      <c r="AF4441">
        <v>-6.0608585336318903</v>
      </c>
      <c r="AG4441">
        <v>-1.107691672768</v>
      </c>
      <c r="AH4441">
        <v>32.165777276938996</v>
      </c>
      <c r="AI4441">
        <v>91.938232287024704</v>
      </c>
      <c r="AJ4441">
        <v>100.67088308810099</v>
      </c>
      <c r="AK4441">
        <v>32.750545260136697</v>
      </c>
      <c r="AL4441">
        <v>82.059943227596506</v>
      </c>
      <c r="AM4441">
        <v>88.000500120797398</v>
      </c>
      <c r="AN4441">
        <v>1.00000000065922</v>
      </c>
    </row>
    <row r="4442" spans="1:40" x14ac:dyDescent="0.25">
      <c r="A4442" t="str">
        <f>"20190312164559807"</f>
        <v>20190312164559807</v>
      </c>
      <c r="B4442" t="str">
        <f>"1552380359795889"</f>
        <v>1552380359795889</v>
      </c>
      <c r="C4442" t="s">
        <v>40</v>
      </c>
      <c r="D4442">
        <v>4.5911080000000002</v>
      </c>
      <c r="E4442">
        <v>0.41805920000000002</v>
      </c>
      <c r="F4442" t="s">
        <v>42</v>
      </c>
      <c r="G4442">
        <v>-415.78969999999998</v>
      </c>
      <c r="H4442" s="1">
        <v>-2.7533540000000002E-6</v>
      </c>
      <c r="I4442">
        <v>54.310009999999998</v>
      </c>
      <c r="J4442">
        <v>-422.26679999999999</v>
      </c>
      <c r="K4442">
        <v>1.107658</v>
      </c>
      <c r="L4442">
        <v>88.519440000000003</v>
      </c>
      <c r="M4442">
        <v>-2.7081060000000001E-4</v>
      </c>
      <c r="N4442">
        <v>0</v>
      </c>
      <c r="O4442">
        <v>-0.99997170000000002</v>
      </c>
      <c r="P4442">
        <v>-3.2397629999999997E-2</v>
      </c>
      <c r="Q4442">
        <v>0.13048319999999999</v>
      </c>
      <c r="R4442">
        <v>-0.9909213</v>
      </c>
      <c r="S4442">
        <v>0.57440190000000002</v>
      </c>
      <c r="T4442">
        <v>-9.824049E-2</v>
      </c>
      <c r="U4442">
        <v>-3.060425</v>
      </c>
      <c r="V4442">
        <v>3.2309890000000001E-2</v>
      </c>
      <c r="W4442">
        <v>0.13790089999999999</v>
      </c>
      <c r="X4442">
        <v>0.98991890000000005</v>
      </c>
      <c r="Y4442">
        <v>-0.18464050000000001</v>
      </c>
      <c r="Z4442">
        <v>3.1532919999999999E-2</v>
      </c>
      <c r="AA4442">
        <v>0.98230019999999996</v>
      </c>
      <c r="AB4442">
        <v>30</v>
      </c>
      <c r="AC4442">
        <v>6.4771000000000001</v>
      </c>
      <c r="AD4442">
        <v>-1.1076607533539999</v>
      </c>
      <c r="AE4442">
        <v>-34.209429999999998</v>
      </c>
      <c r="AF4442">
        <v>-6.4798060549880496</v>
      </c>
      <c r="AG4442">
        <v>-1.1076607533539999</v>
      </c>
      <c r="AH4442">
        <v>34.173087867618399</v>
      </c>
      <c r="AI4442">
        <v>91.824013494106296</v>
      </c>
      <c r="AJ4442">
        <v>100.736798290812</v>
      </c>
      <c r="AK4442">
        <v>34.799636970272303</v>
      </c>
      <c r="AL4442">
        <v>82.073601533947993</v>
      </c>
      <c r="AM4442">
        <v>88.130590914718795</v>
      </c>
      <c r="AN4442">
        <v>1.0000000078949101</v>
      </c>
    </row>
    <row r="4443" spans="1:40" x14ac:dyDescent="0.25">
      <c r="A4443" t="str">
        <f>"20190312164559831"</f>
        <v>20190312164559831</v>
      </c>
      <c r="B4443" t="str">
        <f>"1552380359826145"</f>
        <v>1552380359826145</v>
      </c>
      <c r="C4443" t="s">
        <v>40</v>
      </c>
      <c r="D4443">
        <v>4.5950670000000002</v>
      </c>
      <c r="E4443">
        <v>0.4186318</v>
      </c>
      <c r="F4443" t="s">
        <v>42</v>
      </c>
      <c r="G4443">
        <v>-416.81389999999999</v>
      </c>
      <c r="H4443" s="1">
        <v>-8.8384499999999998E-7</v>
      </c>
      <c r="I4443">
        <v>59.754119999999901</v>
      </c>
      <c r="J4443">
        <v>-422.26749999999998</v>
      </c>
      <c r="K4443">
        <v>1.1076319999999999</v>
      </c>
      <c r="L4443">
        <v>88.204279999999997</v>
      </c>
      <c r="M4443">
        <v>-9.9553670000000001E-4</v>
      </c>
      <c r="N4443">
        <v>0</v>
      </c>
      <c r="O4443">
        <v>-0.99997119999999995</v>
      </c>
      <c r="P4443">
        <v>-3.0966069999999998E-2</v>
      </c>
      <c r="Q4443">
        <v>0.1300829</v>
      </c>
      <c r="R4443">
        <v>-0.99101950000000005</v>
      </c>
      <c r="S4443">
        <v>0.58044430000000002</v>
      </c>
      <c r="T4443">
        <v>-0.1179069</v>
      </c>
      <c r="U4443">
        <v>-3.0619809999999998</v>
      </c>
      <c r="V4443">
        <v>3.0167869999999999E-2</v>
      </c>
      <c r="W4443">
        <v>0.13750509999999999</v>
      </c>
      <c r="X4443">
        <v>0.99004159999999997</v>
      </c>
      <c r="Y4443">
        <v>-0.18709300000000001</v>
      </c>
      <c r="Z4443">
        <v>3.780236E-2</v>
      </c>
      <c r="AA4443">
        <v>0.9816146</v>
      </c>
      <c r="AB4443">
        <v>31</v>
      </c>
      <c r="AC4443">
        <v>5.45359999999999</v>
      </c>
      <c r="AD4443">
        <v>-1.107632883845</v>
      </c>
      <c r="AE4443">
        <v>-28.45016</v>
      </c>
      <c r="AF4443">
        <v>-5.4739183540168801</v>
      </c>
      <c r="AG4443">
        <v>-1.107632883845</v>
      </c>
      <c r="AH4443">
        <v>28.403190739099799</v>
      </c>
      <c r="AI4443">
        <v>92.192906687751304</v>
      </c>
      <c r="AJ4443">
        <v>100.90841412993301</v>
      </c>
      <c r="AK4443">
        <v>28.947052991859199</v>
      </c>
      <c r="AL4443">
        <v>82.096497743583299</v>
      </c>
      <c r="AM4443">
        <v>88.254662271810304</v>
      </c>
      <c r="AN4443">
        <v>1.0000000613184501</v>
      </c>
    </row>
    <row r="4444" spans="1:40" x14ac:dyDescent="0.25">
      <c r="A4444" t="str">
        <f>"20190312164559853"</f>
        <v>20190312164559853</v>
      </c>
      <c r="B4444" t="str">
        <f>"1552380359845665"</f>
        <v>1552380359845665</v>
      </c>
      <c r="C4444" t="s">
        <v>40</v>
      </c>
      <c r="D4444">
        <v>4.5853900000000003</v>
      </c>
      <c r="E4444">
        <v>0.41899219999999998</v>
      </c>
      <c r="F4444" t="s">
        <v>42</v>
      </c>
      <c r="G4444">
        <v>-416.81509999999997</v>
      </c>
      <c r="H4444" s="1">
        <v>-4.7659499999999997E-6</v>
      </c>
      <c r="I4444">
        <v>59.425400000000003</v>
      </c>
      <c r="J4444">
        <v>-422.26859999999999</v>
      </c>
      <c r="K4444">
        <v>1.107612</v>
      </c>
      <c r="L4444">
        <v>87.883330000000001</v>
      </c>
      <c r="M4444">
        <v>-1.749755E-3</v>
      </c>
      <c r="N4444">
        <v>0</v>
      </c>
      <c r="O4444">
        <v>-0.99997029999999998</v>
      </c>
      <c r="P4444">
        <v>-2.895679E-2</v>
      </c>
      <c r="Q4444">
        <v>0.12931199999999901</v>
      </c>
      <c r="R4444">
        <v>-0.99118139999999999</v>
      </c>
      <c r="S4444">
        <v>0.57989499999999905</v>
      </c>
      <c r="T4444">
        <v>-0.117802</v>
      </c>
      <c r="U4444">
        <v>-3.0607600000000001</v>
      </c>
      <c r="V4444">
        <v>2.7415330000000002E-2</v>
      </c>
      <c r="W4444">
        <v>0.1367409</v>
      </c>
      <c r="X4444">
        <v>0.99022739999999998</v>
      </c>
      <c r="Y4444">
        <v>-0.1877356</v>
      </c>
      <c r="Z4444">
        <v>3.7781790000000003E-2</v>
      </c>
      <c r="AA4444">
        <v>0.9814927</v>
      </c>
      <c r="AB4444">
        <v>31</v>
      </c>
      <c r="AC4444">
        <v>5.4535000000000098</v>
      </c>
      <c r="AD4444">
        <v>-1.10761676595</v>
      </c>
      <c r="AE4444">
        <v>-28.457930000000001</v>
      </c>
      <c r="AF4444">
        <v>-5.4952577917796601</v>
      </c>
      <c r="AG4444">
        <v>-1.10761676595</v>
      </c>
      <c r="AH4444">
        <v>28.4068358241738</v>
      </c>
      <c r="AI4444">
        <v>92.192297503355903</v>
      </c>
      <c r="AJ4444">
        <v>100.948542218028</v>
      </c>
      <c r="AK4444">
        <v>28.9546713785512</v>
      </c>
      <c r="AL4444">
        <v>82.140700143832106</v>
      </c>
      <c r="AM4444">
        <v>88.414120283977098</v>
      </c>
      <c r="AN4444">
        <v>0.99999998888128905</v>
      </c>
    </row>
    <row r="4445" spans="1:40" x14ac:dyDescent="0.25">
      <c r="A4445" t="str">
        <f>"20190312164559873"</f>
        <v>20190312164559873</v>
      </c>
      <c r="B4445" t="str">
        <f>"1552380359866161"</f>
        <v>1552380359866161</v>
      </c>
      <c r="C4445" t="s">
        <v>40</v>
      </c>
      <c r="D4445">
        <v>4.5816549999999996</v>
      </c>
      <c r="E4445">
        <v>0.41948469999999999</v>
      </c>
      <c r="F4445" t="s">
        <v>42</v>
      </c>
      <c r="G4445">
        <v>-416.9221</v>
      </c>
      <c r="H4445" s="1">
        <v>-8.8300899999999999E-7</v>
      </c>
      <c r="I4445">
        <v>59.836300000000001</v>
      </c>
      <c r="J4445">
        <v>-422.26979999999998</v>
      </c>
      <c r="K4445">
        <v>1.1075900000000001</v>
      </c>
      <c r="L4445">
        <v>87.598050000000001</v>
      </c>
      <c r="M4445">
        <v>-2.4254929999999999E-3</v>
      </c>
      <c r="N4445">
        <v>0</v>
      </c>
      <c r="O4445">
        <v>-0.99996859999999999</v>
      </c>
      <c r="P4445">
        <v>-2.733296E-2</v>
      </c>
      <c r="Q4445">
        <v>0.12863720000000001</v>
      </c>
      <c r="R4445">
        <v>-0.99131480000000005</v>
      </c>
      <c r="S4445">
        <v>0.5832214</v>
      </c>
      <c r="T4445">
        <v>-0.12082270000000001</v>
      </c>
      <c r="U4445">
        <v>-3.0594790000000001</v>
      </c>
      <c r="V4445">
        <v>2.5123659999999999E-2</v>
      </c>
      <c r="W4445">
        <v>0.136072</v>
      </c>
      <c r="X4445">
        <v>0.99038029999999999</v>
      </c>
      <c r="Y4445">
        <v>-0.1894971</v>
      </c>
      <c r="Z4445">
        <v>3.8754450000000003E-2</v>
      </c>
      <c r="AA4445">
        <v>0.98111619999999999</v>
      </c>
      <c r="AB4445">
        <v>31</v>
      </c>
      <c r="AC4445">
        <v>5.3476999999999704</v>
      </c>
      <c r="AD4445">
        <v>-1.107590883009</v>
      </c>
      <c r="AE4445">
        <v>-27.761749999999999</v>
      </c>
      <c r="AF4445">
        <v>-5.4067240613518202</v>
      </c>
      <c r="AG4445">
        <v>-1.107590883009</v>
      </c>
      <c r="AH4445">
        <v>27.706174672230301</v>
      </c>
      <c r="AI4445">
        <v>92.246916712316505</v>
      </c>
      <c r="AJ4445">
        <v>101.042217527463</v>
      </c>
      <c r="AK4445">
        <v>28.250513935287302</v>
      </c>
      <c r="AL4445">
        <v>82.179386695464203</v>
      </c>
      <c r="AM4445">
        <v>88.546850108733494</v>
      </c>
      <c r="AN4445">
        <v>0.99999996305194205</v>
      </c>
    </row>
    <row r="4446" spans="1:40" x14ac:dyDescent="0.25">
      <c r="A4446" t="str">
        <f>"20190312164559902"</f>
        <v>20190312164559902</v>
      </c>
      <c r="B4446" t="str">
        <f>"1552380359896417"</f>
        <v>1552380359896417</v>
      </c>
      <c r="C4446" t="s">
        <v>40</v>
      </c>
      <c r="D4446">
        <v>4.5888619999999998</v>
      </c>
      <c r="E4446">
        <v>0.41984579999999999</v>
      </c>
      <c r="F4446" t="s">
        <v>42</v>
      </c>
      <c r="G4446">
        <v>-417.03219999999999</v>
      </c>
      <c r="H4446" s="1">
        <v>-9.5302479999999999E-7</v>
      </c>
      <c r="I4446">
        <v>60.128120000000003</v>
      </c>
      <c r="J4446">
        <v>-422.27159999999998</v>
      </c>
      <c r="K4446">
        <v>1.1075729999999999</v>
      </c>
      <c r="L4446">
        <v>87.21396</v>
      </c>
      <c r="M4446">
        <v>-3.33527E-3</v>
      </c>
      <c r="N4446">
        <v>0</v>
      </c>
      <c r="O4446">
        <v>-0.99996629999999997</v>
      </c>
      <c r="P4446">
        <v>-2.5784979999999999E-2</v>
      </c>
      <c r="Q4446">
        <v>0.12758949999999999</v>
      </c>
      <c r="R4446">
        <v>-0.99149200000000004</v>
      </c>
      <c r="S4446">
        <v>0.58312989999999998</v>
      </c>
      <c r="T4446">
        <v>-0.1233143</v>
      </c>
      <c r="U4446">
        <v>-3.0583800000000001</v>
      </c>
      <c r="V4446">
        <v>2.2674779999999999E-2</v>
      </c>
      <c r="W4446">
        <v>0.13503219999999999</v>
      </c>
      <c r="X4446">
        <v>0.99058179999999996</v>
      </c>
      <c r="Y4446">
        <v>-0.1904209</v>
      </c>
      <c r="Z4446">
        <v>3.9562689999999998E-2</v>
      </c>
      <c r="AA4446">
        <v>0.98090500000000003</v>
      </c>
      <c r="AB4446">
        <v>31</v>
      </c>
      <c r="AC4446">
        <v>5.2393999999999803</v>
      </c>
      <c r="AD4446">
        <v>-1.1075739530248001</v>
      </c>
      <c r="AE4446">
        <v>-27.085840000000001</v>
      </c>
      <c r="AF4446">
        <v>-5.32113546120911</v>
      </c>
      <c r="AG4446">
        <v>-1.1075739530248001</v>
      </c>
      <c r="AH4446">
        <v>27.024656094980902</v>
      </c>
      <c r="AI4446">
        <v>92.302723073387298</v>
      </c>
      <c r="AJ4446">
        <v>101.13900616885201</v>
      </c>
      <c r="AK4446">
        <v>27.565798368810999</v>
      </c>
      <c r="AL4446">
        <v>82.239518696955898</v>
      </c>
      <c r="AM4446">
        <v>88.688707627547501</v>
      </c>
      <c r="AN4446">
        <v>1.0000000715880599</v>
      </c>
    </row>
    <row r="4447" spans="1:40" x14ac:dyDescent="0.25">
      <c r="A4447" t="str">
        <f>"20190312164559919"</f>
        <v>20190312164559919</v>
      </c>
      <c r="B4447" t="str">
        <f>"1552380359915938"</f>
        <v>1552380359915938</v>
      </c>
      <c r="C4447" t="s">
        <v>40</v>
      </c>
      <c r="D4447">
        <v>4.5958110000000003</v>
      </c>
      <c r="E4447">
        <v>0.4199425</v>
      </c>
      <c r="F4447" t="s">
        <v>42</v>
      </c>
      <c r="G4447">
        <v>-417.58080000000001</v>
      </c>
      <c r="H4447" s="1">
        <v>-1.754682E-6</v>
      </c>
      <c r="I4447">
        <v>62.72269</v>
      </c>
      <c r="J4447">
        <v>-422.27300000000002</v>
      </c>
      <c r="K4447">
        <v>1.1075630000000001</v>
      </c>
      <c r="L4447">
        <v>86.97681</v>
      </c>
      <c r="M4447">
        <v>-3.8947180000000001E-3</v>
      </c>
      <c r="N4447">
        <v>0</v>
      </c>
      <c r="O4447">
        <v>-0.99996410000000002</v>
      </c>
      <c r="P4447">
        <v>-2.434542E-2</v>
      </c>
      <c r="Q4447">
        <v>0.12612209999999999</v>
      </c>
      <c r="R4447">
        <v>-0.99171620000000005</v>
      </c>
      <c r="S4447">
        <v>0.58584590000000003</v>
      </c>
      <c r="T4447">
        <v>-0.138327799999999</v>
      </c>
      <c r="U4447">
        <v>-3.0587770000000001</v>
      </c>
      <c r="V4447">
        <v>2.0678999999999999E-2</v>
      </c>
      <c r="W4447">
        <v>0.13357160000000001</v>
      </c>
      <c r="X4447">
        <v>0.99082340000000002</v>
      </c>
      <c r="Y4447">
        <v>-0.191749</v>
      </c>
      <c r="Z4447">
        <v>4.4355110000000003E-2</v>
      </c>
      <c r="AA4447">
        <v>0.98044120000000001</v>
      </c>
      <c r="AB4447">
        <v>31</v>
      </c>
      <c r="AC4447">
        <v>4.6922000000000104</v>
      </c>
      <c r="AD4447">
        <v>-1.10756475468199</v>
      </c>
      <c r="AE4447">
        <v>-24.25412</v>
      </c>
      <c r="AF4447">
        <v>-4.7770279134832601</v>
      </c>
      <c r="AG4447">
        <v>-1.10756475468199</v>
      </c>
      <c r="AH4447">
        <v>24.187043230080199</v>
      </c>
      <c r="AI4447">
        <v>92.572217566211606</v>
      </c>
      <c r="AJ4447">
        <v>101.172334322268</v>
      </c>
      <c r="AK4447">
        <v>24.679136038074301</v>
      </c>
      <c r="AL4447">
        <v>82.3239694643447</v>
      </c>
      <c r="AM4447">
        <v>88.804380839049301</v>
      </c>
      <c r="AN4447">
        <v>1.0000000016775501</v>
      </c>
    </row>
    <row r="4448" spans="1:40" x14ac:dyDescent="0.25">
      <c r="A4448" t="str">
        <f>"20190312164559942"</f>
        <v>20190312164559942</v>
      </c>
      <c r="B4448" t="str">
        <f>"1552380359936436"</f>
        <v>1552380359936436</v>
      </c>
      <c r="C4448" t="s">
        <v>40</v>
      </c>
      <c r="D4448">
        <v>4.5239419999999999</v>
      </c>
      <c r="E4448">
        <v>0.41983979999999999</v>
      </c>
      <c r="F4448" t="s">
        <v>42</v>
      </c>
      <c r="G4448">
        <v>-417.7747</v>
      </c>
      <c r="H4448" s="1">
        <v>-2.1073499999999998E-6</v>
      </c>
      <c r="I4448">
        <v>63.624940000000002</v>
      </c>
      <c r="J4448">
        <v>-422.27499999999998</v>
      </c>
      <c r="K4448">
        <v>1.1075410000000001</v>
      </c>
      <c r="L4448">
        <v>86.654750000000007</v>
      </c>
      <c r="M4448">
        <v>-4.6504939999999998E-3</v>
      </c>
      <c r="N4448">
        <v>0</v>
      </c>
      <c r="O4448">
        <v>-0.99996099999999999</v>
      </c>
      <c r="P4448">
        <v>-2.3022540000000001E-2</v>
      </c>
      <c r="Q4448">
        <v>0.1249445</v>
      </c>
      <c r="R4448">
        <v>-0.99189700000000003</v>
      </c>
      <c r="S4448">
        <v>0.58905030000000003</v>
      </c>
      <c r="T4448">
        <v>-0.14503679999999999</v>
      </c>
      <c r="U4448">
        <v>-3.0579529999999999</v>
      </c>
      <c r="V4448">
        <v>1.8605859999999998E-2</v>
      </c>
      <c r="W4448">
        <v>0.1324014</v>
      </c>
      <c r="X4448">
        <v>0.9910215</v>
      </c>
      <c r="Y4448">
        <v>-0.19351160000000001</v>
      </c>
      <c r="Z4448">
        <v>4.6501109999999998E-2</v>
      </c>
      <c r="AA4448">
        <v>0.97999539999999996</v>
      </c>
      <c r="AB4448">
        <v>31</v>
      </c>
      <c r="AC4448">
        <v>4.5002999999999798</v>
      </c>
      <c r="AD4448">
        <v>-1.1075431073499999</v>
      </c>
      <c r="AE4448">
        <v>-23.029810000000001</v>
      </c>
      <c r="AF4448">
        <v>-4.5971131491541204</v>
      </c>
      <c r="AG4448">
        <v>-1.1075431073499999</v>
      </c>
      <c r="AH4448">
        <v>22.9574883136039</v>
      </c>
      <c r="AI4448">
        <v>92.708308702232202</v>
      </c>
      <c r="AJ4448">
        <v>101.323407569997</v>
      </c>
      <c r="AK4448">
        <v>23.439419163239201</v>
      </c>
      <c r="AL4448">
        <v>82.391617542197594</v>
      </c>
      <c r="AM4448">
        <v>88.924430976773905</v>
      </c>
      <c r="AN4448">
        <v>0.999999961105274</v>
      </c>
    </row>
    <row r="4449" spans="1:40" x14ac:dyDescent="0.25">
      <c r="A4449" t="str">
        <f>"20190312164559964"</f>
        <v>20190312164559964</v>
      </c>
      <c r="B4449" t="str">
        <f>"1552380359955953"</f>
        <v>1552380359955953</v>
      </c>
      <c r="C4449" t="s">
        <v>40</v>
      </c>
      <c r="D4449">
        <v>4.4046139999999996</v>
      </c>
      <c r="E4449">
        <v>0.41977510000000001</v>
      </c>
      <c r="F4449" t="s">
        <v>42</v>
      </c>
      <c r="G4449">
        <v>-417.53910000000002</v>
      </c>
      <c r="H4449" s="1">
        <v>-1.56464499999999E-6</v>
      </c>
      <c r="I4449">
        <v>62.262430000000002</v>
      </c>
      <c r="J4449">
        <v>-422.27710000000002</v>
      </c>
      <c r="K4449">
        <v>1.1075250000000001</v>
      </c>
      <c r="L4449">
        <v>86.346369999999993</v>
      </c>
      <c r="M4449">
        <v>-5.3707099999999999E-3</v>
      </c>
      <c r="N4449">
        <v>0</v>
      </c>
      <c r="O4449">
        <v>-0.9999574</v>
      </c>
      <c r="P4449">
        <v>-2.1853649999999999E-2</v>
      </c>
      <c r="Q4449">
        <v>0.12381060000000001</v>
      </c>
      <c r="R4449">
        <v>-0.99206550000000004</v>
      </c>
      <c r="S4449">
        <v>0.59329219999999905</v>
      </c>
      <c r="T4449">
        <v>-0.1387477</v>
      </c>
      <c r="U4449">
        <v>-3.0557560000000001</v>
      </c>
      <c r="V4449">
        <v>1.672154E-2</v>
      </c>
      <c r="W4449">
        <v>0.13127459999999999</v>
      </c>
      <c r="X4449">
        <v>0.991205</v>
      </c>
      <c r="Y4449">
        <v>-0.1956773</v>
      </c>
      <c r="Z4449">
        <v>4.450453E-2</v>
      </c>
      <c r="AA4449">
        <v>0.97965800000000003</v>
      </c>
      <c r="AB4449">
        <v>31</v>
      </c>
      <c r="AC4449">
        <v>4.7380000000000004</v>
      </c>
      <c r="AD4449">
        <v>-1.1075265646449901</v>
      </c>
      <c r="AE4449">
        <v>-24.083939999999899</v>
      </c>
      <c r="AF4449">
        <v>-4.8573938658189997</v>
      </c>
      <c r="AG4449">
        <v>-1.1075265646449901</v>
      </c>
      <c r="AH4449">
        <v>24.009264382396601</v>
      </c>
      <c r="AI4449">
        <v>92.588757417128605</v>
      </c>
      <c r="AJ4449">
        <v>101.437320959451</v>
      </c>
      <c r="AK4449">
        <v>24.5207191257294</v>
      </c>
      <c r="AL4449">
        <v>82.4567471580676</v>
      </c>
      <c r="AM4449">
        <v>89.033516984709806</v>
      </c>
      <c r="AN4449">
        <v>0.999999991265065</v>
      </c>
    </row>
    <row r="4450" spans="1:40" x14ac:dyDescent="0.25">
      <c r="A4450" t="str">
        <f>"20190312164559988"</f>
        <v>20190312164559988</v>
      </c>
      <c r="B4450" t="str">
        <f>"1552380359976450"</f>
        <v>1552380359976450</v>
      </c>
      <c r="C4450" t="s">
        <v>40</v>
      </c>
      <c r="D4450">
        <v>4.5452979999999998</v>
      </c>
      <c r="E4450">
        <v>0.41969849999999997</v>
      </c>
      <c r="F4450" t="s">
        <v>42</v>
      </c>
      <c r="G4450">
        <v>-417.63139999999999</v>
      </c>
      <c r="H4450" s="1">
        <v>-1.6837000000000001E-6</v>
      </c>
      <c r="I4450">
        <v>62.578159999999997</v>
      </c>
      <c r="J4450">
        <v>-422.27960000000002</v>
      </c>
      <c r="K4450">
        <v>1.1075140000000001</v>
      </c>
      <c r="L4450">
        <v>86.029420000000002</v>
      </c>
      <c r="M4450">
        <v>-6.109204E-3</v>
      </c>
      <c r="N4450">
        <v>0</v>
      </c>
      <c r="O4450">
        <v>-0.99995290000000003</v>
      </c>
      <c r="P4450">
        <v>-2.0463450000000001E-2</v>
      </c>
      <c r="Q4450">
        <v>0.12300229999999999</v>
      </c>
      <c r="R4450">
        <v>-0.99219539999999995</v>
      </c>
      <c r="S4450">
        <v>0.5971069</v>
      </c>
      <c r="T4450">
        <v>-0.14235059999999999</v>
      </c>
      <c r="U4450">
        <v>-3.054932</v>
      </c>
      <c r="V4450">
        <v>1.459797E-2</v>
      </c>
      <c r="W4450">
        <v>0.13047329999999999</v>
      </c>
      <c r="X4450">
        <v>0.99134429999999996</v>
      </c>
      <c r="Y4450">
        <v>-0.19761909999999999</v>
      </c>
      <c r="Z4450">
        <v>4.5655149999999999E-2</v>
      </c>
      <c r="AA4450">
        <v>0.9792151</v>
      </c>
      <c r="AB4450">
        <v>31</v>
      </c>
      <c r="AC4450">
        <v>4.6482000000000303</v>
      </c>
      <c r="AD4450">
        <v>-1.1075156837</v>
      </c>
      <c r="AE4450">
        <v>-23.451260000000001</v>
      </c>
      <c r="AF4450">
        <v>-4.7811255015860796</v>
      </c>
      <c r="AG4450">
        <v>-1.1075156837</v>
      </c>
      <c r="AH4450">
        <v>23.3722675427931</v>
      </c>
      <c r="AI4450">
        <v>92.658019115488401</v>
      </c>
      <c r="AJ4450">
        <v>101.561152963331</v>
      </c>
      <c r="AK4450">
        <v>23.881973162690301</v>
      </c>
      <c r="AL4450">
        <v>82.503056277958507</v>
      </c>
      <c r="AM4450">
        <v>89.156356047372</v>
      </c>
      <c r="AN4450">
        <v>0.99999995194174895</v>
      </c>
    </row>
    <row r="4451" spans="1:40" x14ac:dyDescent="0.25">
      <c r="A4451" t="str">
        <f>"20190312164600011"</f>
        <v>20190312164600011</v>
      </c>
      <c r="B4451" t="str">
        <f>"1552380360005729"</f>
        <v>1552380360005729</v>
      </c>
      <c r="C4451" t="s">
        <v>40</v>
      </c>
      <c r="D4451">
        <v>4.6749839999999896</v>
      </c>
      <c r="E4451">
        <v>0.41956019999999999</v>
      </c>
      <c r="F4451" t="s">
        <v>42</v>
      </c>
      <c r="G4451">
        <v>-417.4239</v>
      </c>
      <c r="H4451" s="1">
        <v>-1.2735880000000001E-6</v>
      </c>
      <c r="I4451">
        <v>61.376399999999997</v>
      </c>
      <c r="J4451">
        <v>-422.28230000000002</v>
      </c>
      <c r="K4451">
        <v>1.10751</v>
      </c>
      <c r="L4451">
        <v>85.702510000000004</v>
      </c>
      <c r="M4451">
        <v>-6.869521E-3</v>
      </c>
      <c r="N4451">
        <v>0</v>
      </c>
      <c r="O4451">
        <v>-0.99994819999999995</v>
      </c>
      <c r="P4451">
        <v>-1.934073E-2</v>
      </c>
      <c r="Q4451">
        <v>0.1228625</v>
      </c>
      <c r="R4451">
        <v>-0.99223570000000005</v>
      </c>
      <c r="S4451">
        <v>0.60131840000000003</v>
      </c>
      <c r="T4451">
        <v>-0.13715369999999999</v>
      </c>
      <c r="U4451">
        <v>-3.0530089999999999</v>
      </c>
      <c r="V4451">
        <v>1.272149E-2</v>
      </c>
      <c r="W4451">
        <v>0.13034000000000001</v>
      </c>
      <c r="X4451">
        <v>0.99138769999999998</v>
      </c>
      <c r="Y4451">
        <v>-0.199795</v>
      </c>
      <c r="Z4451">
        <v>4.4002979999999997E-2</v>
      </c>
      <c r="AA4451">
        <v>0.97884919999999997</v>
      </c>
      <c r="AB4451">
        <v>31</v>
      </c>
      <c r="AC4451">
        <v>4.8584000000000103</v>
      </c>
      <c r="AD4451">
        <v>-1.1075112735879999</v>
      </c>
      <c r="AE4451">
        <v>-24.32611</v>
      </c>
      <c r="AF4451">
        <v>-5.01540178290547</v>
      </c>
      <c r="AG4451">
        <v>-1.1075112735879999</v>
      </c>
      <c r="AH4451">
        <v>24.243835836256601</v>
      </c>
      <c r="AI4451">
        <v>92.561416514244598</v>
      </c>
      <c r="AJ4451">
        <v>101.688090403926</v>
      </c>
      <c r="AK4451">
        <v>24.781937218878902</v>
      </c>
      <c r="AL4451">
        <v>82.510759661775296</v>
      </c>
      <c r="AM4451">
        <v>89.264820731807603</v>
      </c>
      <c r="AN4451">
        <v>0.99999996180955397</v>
      </c>
    </row>
    <row r="4452" spans="1:40" x14ac:dyDescent="0.25">
      <c r="A4452" t="str">
        <f>"20190312164600032"</f>
        <v>20190312164600032</v>
      </c>
      <c r="B4452" t="str">
        <f>"1552380360026226"</f>
        <v>1552380360026226</v>
      </c>
      <c r="C4452" t="s">
        <v>40</v>
      </c>
      <c r="D4452">
        <v>4.4406780000000001</v>
      </c>
      <c r="E4452">
        <v>0.4193306</v>
      </c>
      <c r="F4452" t="s">
        <v>42</v>
      </c>
      <c r="G4452">
        <v>-417.19389999999999</v>
      </c>
      <c r="H4452" s="1">
        <v>-8.9141120000000002E-7</v>
      </c>
      <c r="I4452">
        <v>60.073509999999999</v>
      </c>
      <c r="J4452">
        <v>-422.28500000000003</v>
      </c>
      <c r="K4452">
        <v>1.1075170000000001</v>
      </c>
      <c r="L4452">
        <v>85.402469999999994</v>
      </c>
      <c r="M4452">
        <v>-7.5671089999999998E-3</v>
      </c>
      <c r="N4452">
        <v>0</v>
      </c>
      <c r="O4452">
        <v>-0.99994269999999996</v>
      </c>
      <c r="P4452">
        <v>-1.8882320000000001E-2</v>
      </c>
      <c r="Q4452">
        <v>0.1231304</v>
      </c>
      <c r="R4452">
        <v>-0.99221119999999996</v>
      </c>
      <c r="S4452">
        <v>0.60586549999999995</v>
      </c>
      <c r="T4452">
        <v>-0.1318696</v>
      </c>
      <c r="U4452">
        <v>-3.0516049999999999</v>
      </c>
      <c r="V4452">
        <v>1.1572270000000001E-2</v>
      </c>
      <c r="W4452">
        <v>0.13061229999999999</v>
      </c>
      <c r="X4452">
        <v>0.99136599999999997</v>
      </c>
      <c r="Y4452">
        <v>-0.2019813</v>
      </c>
      <c r="Z4452">
        <v>4.2313919999999998E-2</v>
      </c>
      <c r="AA4452">
        <v>0.97847490000000004</v>
      </c>
      <c r="AB4452">
        <v>31</v>
      </c>
      <c r="AC4452">
        <v>5.0911000000000399</v>
      </c>
      <c r="AD4452">
        <v>-1.1075178914112001</v>
      </c>
      <c r="AE4452">
        <v>-25.328959999999899</v>
      </c>
      <c r="AF4452">
        <v>-5.2729368371056502</v>
      </c>
      <c r="AG4452">
        <v>-1.1075178914112001</v>
      </c>
      <c r="AH4452">
        <v>25.2433200060354</v>
      </c>
      <c r="AI4452">
        <v>92.459157102446696</v>
      </c>
      <c r="AJ4452">
        <v>101.79854836521299</v>
      </c>
      <c r="AK4452">
        <v>25.811928709319901</v>
      </c>
      <c r="AL4452">
        <v>82.495023924223901</v>
      </c>
      <c r="AM4452">
        <v>89.331213580633403</v>
      </c>
      <c r="AN4452">
        <v>1.0000000181501201</v>
      </c>
    </row>
    <row r="4453" spans="1:40" x14ac:dyDescent="0.25">
      <c r="A4453" t="str">
        <f>"20190312164600054"</f>
        <v>20190312164600054</v>
      </c>
      <c r="B4453" t="str">
        <f>"1552380360045745"</f>
        <v>1552380360045745</v>
      </c>
      <c r="C4453" t="s">
        <v>40</v>
      </c>
      <c r="D4453">
        <v>4.4940740000000003</v>
      </c>
      <c r="E4453">
        <v>0.4193344</v>
      </c>
      <c r="F4453" t="s">
        <v>42</v>
      </c>
      <c r="G4453">
        <v>-416.99489999999997</v>
      </c>
      <c r="H4453" s="1">
        <v>-4.5314039999999996E-6</v>
      </c>
      <c r="I4453">
        <v>58.953040000000001</v>
      </c>
      <c r="J4453">
        <v>-422.28809999999999</v>
      </c>
      <c r="K4453">
        <v>1.1075109999999999</v>
      </c>
      <c r="L4453">
        <v>85.091250000000002</v>
      </c>
      <c r="M4453">
        <v>-8.2898959999999997E-3</v>
      </c>
      <c r="N4453">
        <v>0</v>
      </c>
      <c r="O4453">
        <v>-0.99993699999999996</v>
      </c>
      <c r="P4453">
        <v>-1.794159E-2</v>
      </c>
      <c r="Q4453">
        <v>0.1230808</v>
      </c>
      <c r="R4453">
        <v>-0.99223470000000002</v>
      </c>
      <c r="S4453">
        <v>0.61022949999999998</v>
      </c>
      <c r="T4453">
        <v>-0.12775610000000001</v>
      </c>
      <c r="U4453">
        <v>-3.0510250000000001</v>
      </c>
      <c r="V4453">
        <v>9.9149359999999992E-3</v>
      </c>
      <c r="W4453">
        <v>0.13056880000000001</v>
      </c>
      <c r="X4453">
        <v>0.99138970000000004</v>
      </c>
      <c r="Y4453">
        <v>-0.20408119999999999</v>
      </c>
      <c r="Z4453">
        <v>4.0988900000000002E-2</v>
      </c>
      <c r="AA4453">
        <v>0.97809550000000001</v>
      </c>
      <c r="AB4453">
        <v>31</v>
      </c>
      <c r="AC4453">
        <v>5.2932000000000103</v>
      </c>
      <c r="AD4453">
        <v>-1.1075155314039999</v>
      </c>
      <c r="AE4453">
        <v>-26.138210000000001</v>
      </c>
      <c r="AF4453">
        <v>-5.5002215651847797</v>
      </c>
      <c r="AG4453">
        <v>-1.1075155314039999</v>
      </c>
      <c r="AH4453">
        <v>26.048506700339502</v>
      </c>
      <c r="AI4453">
        <v>92.3821399291798</v>
      </c>
      <c r="AJ4453">
        <v>101.92303876512599</v>
      </c>
      <c r="AK4453">
        <v>26.645895166724198</v>
      </c>
      <c r="AL4453">
        <v>82.497537888235101</v>
      </c>
      <c r="AM4453">
        <v>89.427001260980703</v>
      </c>
      <c r="AN4453">
        <v>1.0000000273777001</v>
      </c>
    </row>
    <row r="4454" spans="1:40" x14ac:dyDescent="0.25">
      <c r="A4454" t="str">
        <f>"20190312164600075"</f>
        <v>20190312164600075</v>
      </c>
      <c r="B4454" t="str">
        <f>"1552380360066242"</f>
        <v>1552380360066242</v>
      </c>
      <c r="C4454" t="s">
        <v>40</v>
      </c>
      <c r="D4454">
        <v>4.3444539999999998</v>
      </c>
      <c r="E4454">
        <v>0.41924509999999998</v>
      </c>
      <c r="F4454" t="s">
        <v>42</v>
      </c>
      <c r="G4454">
        <v>-416.95859999999999</v>
      </c>
      <c r="H4454" s="1">
        <v>-4.3847550000000002E-6</v>
      </c>
      <c r="I4454">
        <v>58.59619</v>
      </c>
      <c r="J4454">
        <v>-422.29140000000001</v>
      </c>
      <c r="K4454">
        <v>1.1075109999999999</v>
      </c>
      <c r="L4454">
        <v>84.784909999999996</v>
      </c>
      <c r="M4454">
        <v>-8.9991380000000003E-3</v>
      </c>
      <c r="N4454">
        <v>0</v>
      </c>
      <c r="O4454">
        <v>-0.99993100000000001</v>
      </c>
      <c r="P4454">
        <v>-1.7968120000000001E-2</v>
      </c>
      <c r="Q4454">
        <v>0.1235391</v>
      </c>
      <c r="R4454">
        <v>-0.99217719999999998</v>
      </c>
      <c r="S4454">
        <v>0.61358639999999998</v>
      </c>
      <c r="T4454">
        <v>-0.1275086</v>
      </c>
      <c r="U4454">
        <v>-3.0503849999999999</v>
      </c>
      <c r="V4454">
        <v>9.2395259999999996E-3</v>
      </c>
      <c r="W4454">
        <v>0.13103110000000001</v>
      </c>
      <c r="X4454">
        <v>0.99133519999999997</v>
      </c>
      <c r="Y4454">
        <v>-0.20585010000000001</v>
      </c>
      <c r="Z4454">
        <v>4.0905629999999998E-2</v>
      </c>
      <c r="AA4454">
        <v>0.97772820000000005</v>
      </c>
      <c r="AB4454">
        <v>31</v>
      </c>
      <c r="AC4454">
        <v>5.3328000000000104</v>
      </c>
      <c r="AD4454">
        <v>-1.1075153847550001</v>
      </c>
      <c r="AE4454">
        <v>-26.18872</v>
      </c>
      <c r="AF4454">
        <v>-5.5587211149743396</v>
      </c>
      <c r="AG4454">
        <v>-1.1075153847550001</v>
      </c>
      <c r="AH4454">
        <v>26.0948568598069</v>
      </c>
      <c r="AI4454">
        <v>92.377013559337001</v>
      </c>
      <c r="AJ4454">
        <v>102.02539173032</v>
      </c>
      <c r="AK4454">
        <v>26.7033242367939</v>
      </c>
      <c r="AL4454">
        <v>82.470820295506897</v>
      </c>
      <c r="AM4454">
        <v>89.466002502023002</v>
      </c>
      <c r="AN4454">
        <v>0.99999999838347697</v>
      </c>
    </row>
    <row r="4455" spans="1:40" x14ac:dyDescent="0.25">
      <c r="A4455" t="str">
        <f>"20190312164600098"</f>
        <v>20190312164600098</v>
      </c>
      <c r="B4455" t="str">
        <f>"1552380360086382"</f>
        <v>1552380360086382</v>
      </c>
      <c r="C4455" t="s">
        <v>40</v>
      </c>
      <c r="D4455">
        <v>4.4209050000000003</v>
      </c>
      <c r="E4455">
        <v>0.419234</v>
      </c>
      <c r="F4455" t="s">
        <v>42</v>
      </c>
      <c r="G4455">
        <v>-416.72789999999998</v>
      </c>
      <c r="H4455" s="1">
        <v>-3.8003529999999998E-6</v>
      </c>
      <c r="I4455">
        <v>57.138539999999999</v>
      </c>
      <c r="J4455">
        <v>-422.29500000000002</v>
      </c>
      <c r="K4455">
        <v>1.1075029999999999</v>
      </c>
      <c r="L4455">
        <v>84.465580000000003</v>
      </c>
      <c r="M4455">
        <v>-9.7346389999999998E-3</v>
      </c>
      <c r="N4455">
        <v>0</v>
      </c>
      <c r="O4455">
        <v>-0.99992409999999998</v>
      </c>
      <c r="P4455">
        <v>-1.814137E-2</v>
      </c>
      <c r="Q4455">
        <v>0.1235803</v>
      </c>
      <c r="R4455">
        <v>-0.99216899999999997</v>
      </c>
      <c r="S4455">
        <v>0.61376949999999997</v>
      </c>
      <c r="T4455">
        <v>-0.1221826</v>
      </c>
      <c r="U4455">
        <v>-3.0499879999999999</v>
      </c>
      <c r="V4455">
        <v>8.6831789999999992E-3</v>
      </c>
      <c r="W4455">
        <v>0.131077</v>
      </c>
      <c r="X4455">
        <v>0.9913341</v>
      </c>
      <c r="Y4455">
        <v>-0.2066643</v>
      </c>
      <c r="Z4455">
        <v>3.9200690000000003E-2</v>
      </c>
      <c r="AA4455">
        <v>0.97762629999999995</v>
      </c>
      <c r="AB4455">
        <v>32</v>
      </c>
      <c r="AC4455">
        <v>5.5671000000000301</v>
      </c>
      <c r="AD4455">
        <v>-1.107506800353</v>
      </c>
      <c r="AE4455">
        <v>-27.32704</v>
      </c>
      <c r="AF4455">
        <v>-5.82367838388324</v>
      </c>
      <c r="AG4455">
        <v>-1.107506800353</v>
      </c>
      <c r="AH4455">
        <v>27.228608777658099</v>
      </c>
      <c r="AI4455">
        <v>92.277727747248903</v>
      </c>
      <c r="AJ4455">
        <v>102.07257742219301</v>
      </c>
      <c r="AK4455">
        <v>27.8664482343641</v>
      </c>
      <c r="AL4455">
        <v>82.468167079899899</v>
      </c>
      <c r="AM4455">
        <v>89.498154268266006</v>
      </c>
      <c r="AN4455">
        <v>0.99999993767467599</v>
      </c>
    </row>
    <row r="4456" spans="1:40" x14ac:dyDescent="0.25">
      <c r="A4456" t="str">
        <f>"20190312164600120"</f>
        <v>20190312164600120</v>
      </c>
      <c r="B4456" t="str">
        <f>"1552380360115665"</f>
        <v>1552380360115665</v>
      </c>
      <c r="C4456" t="s">
        <v>40</v>
      </c>
      <c r="D4456">
        <v>4.5826510000000003</v>
      </c>
      <c r="E4456">
        <v>0.419817</v>
      </c>
      <c r="F4456" t="s">
        <v>42</v>
      </c>
      <c r="G4456">
        <v>-416.45760000000001</v>
      </c>
      <c r="H4456" s="1">
        <v>-3.1210350000000002E-6</v>
      </c>
      <c r="I4456">
        <v>55.443240000000003</v>
      </c>
      <c r="J4456">
        <v>-422.2989</v>
      </c>
      <c r="K4456">
        <v>1.107497</v>
      </c>
      <c r="L4456">
        <v>84.143249999999995</v>
      </c>
      <c r="M4456">
        <v>-1.046994E-2</v>
      </c>
      <c r="N4456">
        <v>0</v>
      </c>
      <c r="O4456">
        <v>-0.99991669999999999</v>
      </c>
      <c r="P4456">
        <v>-1.898942E-2</v>
      </c>
      <c r="Q4456">
        <v>0.1233664</v>
      </c>
      <c r="R4456">
        <v>-0.9921799</v>
      </c>
      <c r="S4456">
        <v>0.61334230000000001</v>
      </c>
      <c r="T4456">
        <v>-0.1163657</v>
      </c>
      <c r="U4456">
        <v>-3.0493769999999998</v>
      </c>
      <c r="V4456">
        <v>8.8005080000000003E-3</v>
      </c>
      <c r="W4456">
        <v>0.13086989999999901</v>
      </c>
      <c r="X4456">
        <v>0.99136049999999998</v>
      </c>
      <c r="Y4456">
        <v>-0.20730399999999999</v>
      </c>
      <c r="Z4456">
        <v>3.7341989999999999E-2</v>
      </c>
      <c r="AA4456">
        <v>0.97756359999999998</v>
      </c>
      <c r="AB4456">
        <v>32</v>
      </c>
      <c r="AC4456">
        <v>5.8412999999999897</v>
      </c>
      <c r="AD4456">
        <v>-1.107500121035</v>
      </c>
      <c r="AE4456">
        <v>-28.700009999999899</v>
      </c>
      <c r="AF4456">
        <v>-6.1327067976691803</v>
      </c>
      <c r="AG4456">
        <v>-1.107500121035</v>
      </c>
      <c r="AH4456">
        <v>28.596387978455802</v>
      </c>
      <c r="AI4456">
        <v>92.168620706382598</v>
      </c>
      <c r="AJ4456">
        <v>102.104161333728</v>
      </c>
      <c r="AK4456">
        <v>29.267559765013601</v>
      </c>
      <c r="AL4456">
        <v>82.480136688968201</v>
      </c>
      <c r="AM4456">
        <v>89.491387117693193</v>
      </c>
      <c r="AN4456">
        <v>1.0000000103136499</v>
      </c>
    </row>
    <row r="4457" spans="1:40" x14ac:dyDescent="0.25">
      <c r="A4457" t="str">
        <f>"20190312164600142"</f>
        <v>20190312164600142</v>
      </c>
      <c r="B4457" t="str">
        <f>"1552380360136157"</f>
        <v>1552380360136157</v>
      </c>
      <c r="C4457" t="s">
        <v>40</v>
      </c>
      <c r="D4457">
        <v>4.6831319999999996</v>
      </c>
      <c r="E4457">
        <v>0.46291480000000002</v>
      </c>
      <c r="F4457" t="s">
        <v>42</v>
      </c>
      <c r="G4457">
        <v>-416.40940000000001</v>
      </c>
      <c r="H4457" s="1">
        <v>-2.7276130000000001E-6</v>
      </c>
      <c r="I4457">
        <v>54.506230000000002</v>
      </c>
      <c r="J4457">
        <v>-422.303</v>
      </c>
      <c r="K4457">
        <v>1.107505</v>
      </c>
      <c r="L4457">
        <v>83.822630000000004</v>
      </c>
      <c r="M4457">
        <v>-1.11904E-2</v>
      </c>
      <c r="N4457">
        <v>0</v>
      </c>
      <c r="O4457">
        <v>-0.99990860000000004</v>
      </c>
      <c r="P4457">
        <v>-2.0345470000000001E-2</v>
      </c>
      <c r="Q4457">
        <v>0.12331259999999999</v>
      </c>
      <c r="R4457">
        <v>-0.99215949999999997</v>
      </c>
      <c r="S4457">
        <v>0.60598750000000001</v>
      </c>
      <c r="T4457">
        <v>-0.11395379999999999</v>
      </c>
      <c r="U4457">
        <v>-3.0494379999999999</v>
      </c>
      <c r="V4457">
        <v>9.4402900000000005E-3</v>
      </c>
      <c r="W4457">
        <v>0.13082969999999999</v>
      </c>
      <c r="X4457">
        <v>0.99135989999999996</v>
      </c>
      <c r="Y4457">
        <v>-0.20574310000000001</v>
      </c>
      <c r="Z4457">
        <v>3.6582580000000003E-2</v>
      </c>
      <c r="AA4457">
        <v>0.97792199999999996</v>
      </c>
      <c r="AB4457">
        <v>32</v>
      </c>
      <c r="AC4457">
        <v>5.8936000000000401</v>
      </c>
      <c r="AD4457">
        <v>-1.1075077276130001</v>
      </c>
      <c r="AE4457">
        <v>-29.316400000000002</v>
      </c>
      <c r="AF4457">
        <v>-6.2127804390943897</v>
      </c>
      <c r="AG4457">
        <v>-1.1075077276130001</v>
      </c>
      <c r="AH4457">
        <v>29.2085446528076</v>
      </c>
      <c r="AI4457">
        <v>92.123986856742505</v>
      </c>
      <c r="AJ4457">
        <v>102.00809374056701</v>
      </c>
      <c r="AK4457">
        <v>29.8825081759576</v>
      </c>
      <c r="AL4457">
        <v>82.482459803695406</v>
      </c>
      <c r="AM4457">
        <v>89.454413653268105</v>
      </c>
      <c r="AN4457">
        <v>0.99999999040269105</v>
      </c>
    </row>
    <row r="4458" spans="1:40" x14ac:dyDescent="0.25">
      <c r="A4458" t="str">
        <f>"20190312164600165"</f>
        <v>20190312164600165</v>
      </c>
      <c r="B4458" t="str">
        <f>"1552380360155678"</f>
        <v>1552380360155678</v>
      </c>
      <c r="C4458" t="s">
        <v>40</v>
      </c>
      <c r="D4458">
        <v>4.7416140000000002</v>
      </c>
      <c r="E4458">
        <v>0.4743811</v>
      </c>
      <c r="F4458" t="s">
        <v>42</v>
      </c>
      <c r="G4458">
        <v>-421.05529999999999</v>
      </c>
      <c r="H4458" s="1">
        <v>-4.3888339999999999E-6</v>
      </c>
      <c r="I4458">
        <v>69.333489999999998</v>
      </c>
      <c r="J4458">
        <v>-422.30720000000002</v>
      </c>
      <c r="K4458">
        <v>1.1075159999999999</v>
      </c>
      <c r="L4458">
        <v>83.510469999999998</v>
      </c>
      <c r="M4458">
        <v>-1.187938E-2</v>
      </c>
      <c r="N4458">
        <v>0</v>
      </c>
      <c r="O4458">
        <v>-0.99990069999999998</v>
      </c>
      <c r="P4458">
        <v>-2.149794E-2</v>
      </c>
      <c r="Q4458">
        <v>0.12374259999999999</v>
      </c>
      <c r="R4458">
        <v>-0.99208169999999996</v>
      </c>
      <c r="S4458">
        <v>0.26333620000000002</v>
      </c>
      <c r="T4458">
        <v>-0.2337554</v>
      </c>
      <c r="U4458">
        <v>-3.0581360000000002</v>
      </c>
      <c r="V4458">
        <v>9.908376E-3</v>
      </c>
      <c r="W4458">
        <v>0.1312807</v>
      </c>
      <c r="X4458">
        <v>0.9912957</v>
      </c>
      <c r="Y4458">
        <v>-9.7374950000000002E-2</v>
      </c>
      <c r="Z4458">
        <v>7.5886079999999995E-2</v>
      </c>
      <c r="AA4458">
        <v>0.99235050000000002</v>
      </c>
      <c r="AB4458">
        <v>32</v>
      </c>
      <c r="AC4458">
        <v>1.25190000000003</v>
      </c>
      <c r="AD4458">
        <v>-1.1075203888339999</v>
      </c>
      <c r="AE4458">
        <v>-14.176979999999901</v>
      </c>
      <c r="AF4458">
        <v>-1.411681544738</v>
      </c>
      <c r="AG4458">
        <v>-1.1075203888339999</v>
      </c>
      <c r="AH4458">
        <v>14.075868465297001</v>
      </c>
      <c r="AI4458">
        <v>94.476524840726896</v>
      </c>
      <c r="AJ4458">
        <v>95.727095093955299</v>
      </c>
      <c r="AK4458">
        <v>14.189768118182201</v>
      </c>
      <c r="AL4458">
        <v>82.456394528370694</v>
      </c>
      <c r="AM4458">
        <v>89.427326052515099</v>
      </c>
      <c r="AN4458">
        <v>0.99999998147296798</v>
      </c>
    </row>
    <row r="4459" spans="1:40" x14ac:dyDescent="0.25">
      <c r="A4459" t="str">
        <f>"20190312164600188"</f>
        <v>20190312164600188</v>
      </c>
      <c r="B4459" t="str">
        <f>"1552380360175879"</f>
        <v>1552380360175879</v>
      </c>
      <c r="C4459" t="s">
        <v>40</v>
      </c>
      <c r="D4459">
        <v>4.763992</v>
      </c>
      <c r="E4459">
        <v>0.48015479999999999</v>
      </c>
      <c r="F4459" t="s">
        <v>42</v>
      </c>
      <c r="G4459">
        <v>-421.38819999999998</v>
      </c>
      <c r="H4459" s="1">
        <v>-3.4140689999999998E-6</v>
      </c>
      <c r="I4459">
        <v>66.686419999999998</v>
      </c>
      <c r="J4459">
        <v>-422.31169999999997</v>
      </c>
      <c r="K4459">
        <v>1.107529</v>
      </c>
      <c r="L4459">
        <v>83.18262</v>
      </c>
      <c r="M4459">
        <v>-1.258537E-2</v>
      </c>
      <c r="N4459">
        <v>0</v>
      </c>
      <c r="O4459">
        <v>-0.99989159999999999</v>
      </c>
      <c r="P4459">
        <v>-2.269388E-2</v>
      </c>
      <c r="Q4459">
        <v>0.1244098</v>
      </c>
      <c r="R4459">
        <v>-0.99197139999999995</v>
      </c>
      <c r="S4459">
        <v>0.16674800000000001</v>
      </c>
      <c r="T4459">
        <v>-0.20095209999999999</v>
      </c>
      <c r="U4459">
        <v>-3.0526119999999999</v>
      </c>
      <c r="V4459">
        <v>1.0403249999999999E-2</v>
      </c>
      <c r="W4459">
        <v>0.13198309999999999</v>
      </c>
      <c r="X4459">
        <v>0.99119729999999995</v>
      </c>
      <c r="Y4459">
        <v>-6.6988699999999998E-2</v>
      </c>
      <c r="Z4459">
        <v>6.5557099999999993E-2</v>
      </c>
      <c r="AA4459">
        <v>0.99559770000000003</v>
      </c>
      <c r="AB4459">
        <v>32</v>
      </c>
      <c r="AC4459">
        <v>0.92349999999999</v>
      </c>
      <c r="AD4459">
        <v>-1.1075324140689999</v>
      </c>
      <c r="AE4459">
        <v>-16.496200000000002</v>
      </c>
      <c r="AF4459">
        <v>-1.1259840731784201</v>
      </c>
      <c r="AG4459">
        <v>-1.1075324140689999</v>
      </c>
      <c r="AH4459">
        <v>16.40953404439</v>
      </c>
      <c r="AI4459">
        <v>93.852190352574695</v>
      </c>
      <c r="AJ4459">
        <v>93.925350203838093</v>
      </c>
      <c r="AK4459">
        <v>16.485365502022098</v>
      </c>
      <c r="AL4459">
        <v>82.415796299785896</v>
      </c>
      <c r="AM4459">
        <v>89.398666206451495</v>
      </c>
      <c r="AN4459">
        <v>0.99999992691172801</v>
      </c>
    </row>
    <row r="4460" spans="1:40" x14ac:dyDescent="0.25">
      <c r="A4460" t="str">
        <f>"20190312164600211"</f>
        <v>20190312164600211</v>
      </c>
      <c r="B4460" t="str">
        <f>"1552380360206122"</f>
        <v>1552380360206122</v>
      </c>
      <c r="C4460" t="s">
        <v>40</v>
      </c>
      <c r="D4460">
        <v>4.6751760000000004</v>
      </c>
      <c r="E4460">
        <v>0.48268359999999899</v>
      </c>
      <c r="F4460" t="s">
        <v>42</v>
      </c>
      <c r="G4460">
        <v>-421.60070000000002</v>
      </c>
      <c r="H4460" s="1">
        <v>-2.5192860000000002E-6</v>
      </c>
      <c r="I4460">
        <v>64.468850000000003</v>
      </c>
      <c r="J4460">
        <v>-422.31639999999999</v>
      </c>
      <c r="K4460">
        <v>1.1075440000000001</v>
      </c>
      <c r="L4460">
        <v>82.866550000000004</v>
      </c>
      <c r="M4460">
        <v>-1.324523E-2</v>
      </c>
      <c r="N4460">
        <v>0</v>
      </c>
      <c r="O4460">
        <v>-0.99988279999999996</v>
      </c>
      <c r="P4460">
        <v>-2.371914E-2</v>
      </c>
      <c r="Q4460">
        <v>0.12479469999999999</v>
      </c>
      <c r="R4460">
        <v>-0.99189910000000003</v>
      </c>
      <c r="S4460">
        <v>0.1158752</v>
      </c>
      <c r="T4460">
        <v>-0.18048130000000001</v>
      </c>
      <c r="U4460">
        <v>-3.0495610000000002</v>
      </c>
      <c r="V4460">
        <v>1.0771670000000001E-2</v>
      </c>
      <c r="W4460">
        <v>0.13241320000000001</v>
      </c>
      <c r="X4460">
        <v>0.99113609999999996</v>
      </c>
      <c r="Y4460">
        <v>-5.1136510000000003E-2</v>
      </c>
      <c r="Z4460">
        <v>5.9011710000000002E-2</v>
      </c>
      <c r="AA4460">
        <v>0.99694669999999996</v>
      </c>
      <c r="AB4460">
        <v>32</v>
      </c>
      <c r="AC4460">
        <v>0.71569999999996903</v>
      </c>
      <c r="AD4460">
        <v>-1.1075465192859999</v>
      </c>
      <c r="AE4460">
        <v>-18.3977</v>
      </c>
      <c r="AF4460">
        <v>-0.955867266669578</v>
      </c>
      <c r="AG4460">
        <v>-1.1075465192859999</v>
      </c>
      <c r="AH4460">
        <v>18.3203123160948</v>
      </c>
      <c r="AI4460">
        <v>93.454892956118002</v>
      </c>
      <c r="AJ4460">
        <v>92.986714605551001</v>
      </c>
      <c r="AK4460">
        <v>18.378633923203498</v>
      </c>
      <c r="AL4460">
        <v>82.390935947431103</v>
      </c>
      <c r="AM4460">
        <v>89.377333816939</v>
      </c>
      <c r="AN4460">
        <v>1.0000000265660101</v>
      </c>
    </row>
    <row r="4461" spans="1:40" x14ac:dyDescent="0.25">
      <c r="A4461" t="str">
        <f>"20190312164600233"</f>
        <v>20190312164600233</v>
      </c>
      <c r="B4461" t="str">
        <f>"1552380360225658"</f>
        <v>1552380360225658</v>
      </c>
      <c r="C4461" t="s">
        <v>40</v>
      </c>
      <c r="D4461">
        <v>4.7187330000000003</v>
      </c>
      <c r="E4461">
        <v>0.48478179999999998</v>
      </c>
      <c r="F4461" t="s">
        <v>42</v>
      </c>
      <c r="G4461">
        <v>-421.70119999999997</v>
      </c>
      <c r="H4461" s="1">
        <v>-1.7176699999999999E-6</v>
      </c>
      <c r="I4461">
        <v>62.537880000000001</v>
      </c>
      <c r="J4461">
        <v>-422.32139999999998</v>
      </c>
      <c r="K4461">
        <v>1.1075710000000001</v>
      </c>
      <c r="L4461">
        <v>82.53622</v>
      </c>
      <c r="M4461">
        <v>-1.3913150000000001E-2</v>
      </c>
      <c r="N4461">
        <v>0</v>
      </c>
      <c r="O4461">
        <v>-0.99987340000000002</v>
      </c>
      <c r="P4461">
        <v>-2.4612439999999999E-2</v>
      </c>
      <c r="Q4461">
        <v>0.125281</v>
      </c>
      <c r="R4461">
        <v>-0.99181640000000004</v>
      </c>
      <c r="S4461">
        <v>9.2224120000000007E-2</v>
      </c>
      <c r="T4461">
        <v>-0.16603970000000001</v>
      </c>
      <c r="U4461">
        <v>-3.0476070000000002</v>
      </c>
      <c r="V4461">
        <v>1.1000060000000001E-2</v>
      </c>
      <c r="W4461">
        <v>0.1329534</v>
      </c>
      <c r="X4461">
        <v>0.99106130000000003</v>
      </c>
      <c r="Y4461">
        <v>-4.4106850000000003E-2</v>
      </c>
      <c r="Z4461">
        <v>5.4354529999999998E-2</v>
      </c>
      <c r="AA4461">
        <v>0.99754710000000002</v>
      </c>
      <c r="AB4461">
        <v>32</v>
      </c>
      <c r="AC4461">
        <v>0.62020000000001096</v>
      </c>
      <c r="AD4461">
        <v>-1.1075727176700001</v>
      </c>
      <c r="AE4461">
        <v>-19.998339999999999</v>
      </c>
      <c r="AF4461">
        <v>-0.895643592787426</v>
      </c>
      <c r="AG4461">
        <v>-1.1075727176700001</v>
      </c>
      <c r="AH4461">
        <v>19.926712475779699</v>
      </c>
      <c r="AI4461">
        <v>93.178156255797902</v>
      </c>
      <c r="AJ4461">
        <v>92.573534531984507</v>
      </c>
      <c r="AK4461">
        <v>19.977556528830601</v>
      </c>
      <c r="AL4461">
        <v>82.359708883146396</v>
      </c>
      <c r="AM4461">
        <v>89.364084610065703</v>
      </c>
      <c r="AN4461">
        <v>1.0000000541246199</v>
      </c>
    </row>
    <row r="4462" spans="1:40" x14ac:dyDescent="0.25">
      <c r="A4462" t="str">
        <f>"20190312164600254"</f>
        <v>20190312164600254</v>
      </c>
      <c r="B4462" t="str">
        <f>"1552380360246138"</f>
        <v>1552380360246138</v>
      </c>
      <c r="C4462" t="s">
        <v>40</v>
      </c>
      <c r="D4462">
        <v>4.5097740000000002</v>
      </c>
      <c r="E4462">
        <v>0.48564849999999998</v>
      </c>
      <c r="F4462" t="s">
        <v>42</v>
      </c>
      <c r="G4462">
        <v>-421.81830000000002</v>
      </c>
      <c r="H4462" s="1">
        <v>-1.2742959999999999E-6</v>
      </c>
      <c r="I4462">
        <v>61.431739999999998</v>
      </c>
      <c r="J4462">
        <v>-422.32639999999998</v>
      </c>
      <c r="K4462">
        <v>1.1075900000000001</v>
      </c>
      <c r="L4462">
        <v>82.223389999999995</v>
      </c>
      <c r="M4462">
        <v>-1.4529790000000001E-2</v>
      </c>
      <c r="N4462">
        <v>0</v>
      </c>
      <c r="O4462">
        <v>-0.99986399999999998</v>
      </c>
      <c r="P4462">
        <v>-2.549448E-2</v>
      </c>
      <c r="Q4462">
        <v>0.1252733</v>
      </c>
      <c r="R4462">
        <v>-0.99179450000000002</v>
      </c>
      <c r="S4462">
        <v>7.2631840000000003E-2</v>
      </c>
      <c r="T4462">
        <v>-0.15989489999999901</v>
      </c>
      <c r="U4462">
        <v>-3.0467529999999998</v>
      </c>
      <c r="V4462">
        <v>1.126708E-2</v>
      </c>
      <c r="W4462">
        <v>0.132996</v>
      </c>
      <c r="X4462">
        <v>0.9910525</v>
      </c>
      <c r="Y4462">
        <v>-3.8323200000000002E-2</v>
      </c>
      <c r="Z4462">
        <v>5.2373349999999999E-2</v>
      </c>
      <c r="AA4462">
        <v>0.997892</v>
      </c>
      <c r="AB4462">
        <v>32</v>
      </c>
      <c r="AC4462">
        <v>0.50809999999995603</v>
      </c>
      <c r="AD4462">
        <v>-1.1075912742959999</v>
      </c>
      <c r="AE4462">
        <v>-20.791650000000001</v>
      </c>
      <c r="AF4462">
        <v>-0.80786268170725495</v>
      </c>
      <c r="AG4462">
        <v>-1.1075912742959999</v>
      </c>
      <c r="AH4462">
        <v>20.723298836440499</v>
      </c>
      <c r="AI4462">
        <v>93.057040061969005</v>
      </c>
      <c r="AJ4462">
        <v>92.2324484304485</v>
      </c>
      <c r="AK4462">
        <v>20.768594444685199</v>
      </c>
      <c r="AL4462">
        <v>82.357245569702897</v>
      </c>
      <c r="AM4462">
        <v>89.348643668267201</v>
      </c>
      <c r="AN4462">
        <v>0.99999997043198696</v>
      </c>
    </row>
    <row r="4463" spans="1:40" x14ac:dyDescent="0.25">
      <c r="A4463" t="str">
        <f>"20190312164600276"</f>
        <v>20190312164600276</v>
      </c>
      <c r="B4463" t="str">
        <f>"1552380360265658"</f>
        <v>1552380360265658</v>
      </c>
      <c r="C4463" t="s">
        <v>40</v>
      </c>
      <c r="D4463">
        <v>4.729444</v>
      </c>
      <c r="E4463">
        <v>0.48640159999999999</v>
      </c>
      <c r="F4463" t="s">
        <v>42</v>
      </c>
      <c r="G4463">
        <v>-421.84230000000002</v>
      </c>
      <c r="H4463" s="1">
        <v>-4.4263159999999999E-6</v>
      </c>
      <c r="I4463">
        <v>59.033430000000003</v>
      </c>
      <c r="J4463">
        <v>-422.33159999999998</v>
      </c>
      <c r="K4463">
        <v>1.107604</v>
      </c>
      <c r="L4463">
        <v>81.909090000000006</v>
      </c>
      <c r="M4463">
        <v>-1.513312E-2</v>
      </c>
      <c r="N4463">
        <v>0</v>
      </c>
      <c r="O4463">
        <v>-0.99985469999999999</v>
      </c>
      <c r="P4463">
        <v>-2.6048780000000001E-2</v>
      </c>
      <c r="Q4463">
        <v>0.12566140000000001</v>
      </c>
      <c r="R4463">
        <v>-0.99173149999999999</v>
      </c>
      <c r="S4463">
        <v>6.3568120000000006E-2</v>
      </c>
      <c r="T4463">
        <v>-0.14542659999999999</v>
      </c>
      <c r="U4463">
        <v>-3.0448300000000001</v>
      </c>
      <c r="V4463">
        <v>1.1220910000000001E-2</v>
      </c>
      <c r="W4463">
        <v>0.133435</v>
      </c>
      <c r="X4463">
        <v>0.99099400000000004</v>
      </c>
      <c r="Y4463">
        <v>-3.5976999999999898E-2</v>
      </c>
      <c r="Z4463">
        <v>4.7678610000000003E-2</v>
      </c>
      <c r="AA4463">
        <v>0.99821459999999995</v>
      </c>
      <c r="AB4463">
        <v>32</v>
      </c>
      <c r="AC4463">
        <v>0.48929999999995699</v>
      </c>
      <c r="AD4463">
        <v>-1.107608426316</v>
      </c>
      <c r="AE4463">
        <v>-22.87566</v>
      </c>
      <c r="AF4463">
        <v>-0.83348163915635498</v>
      </c>
      <c r="AG4463">
        <v>-1.107608426316</v>
      </c>
      <c r="AH4463">
        <v>22.812179812420201</v>
      </c>
      <c r="AI4463">
        <v>92.777870164949405</v>
      </c>
      <c r="AJ4463">
        <v>92.092467610262801</v>
      </c>
      <c r="AK4463">
        <v>22.854256405821801</v>
      </c>
      <c r="AL4463">
        <v>82.331866424890507</v>
      </c>
      <c r="AM4463">
        <v>89.351274263982901</v>
      </c>
      <c r="AN4463">
        <v>0.99999995804111297</v>
      </c>
    </row>
    <row r="4464" spans="1:40" x14ac:dyDescent="0.25">
      <c r="A4464" t="str">
        <f>"20190312164600299"</f>
        <v>20190312164600299</v>
      </c>
      <c r="B4464" t="str">
        <f>"1552380360296492"</f>
        <v>1552380360296492</v>
      </c>
      <c r="C4464" t="s">
        <v>40</v>
      </c>
      <c r="D4464">
        <v>4.8938670000000002</v>
      </c>
      <c r="E4464">
        <v>0.48698900000000001</v>
      </c>
      <c r="F4464" t="s">
        <v>42</v>
      </c>
      <c r="G4464">
        <v>-421.89370000000002</v>
      </c>
      <c r="H4464" s="1">
        <v>-4.0122579999999998E-6</v>
      </c>
      <c r="I4464">
        <v>57.789909999999999</v>
      </c>
      <c r="J4464">
        <v>-422.3372</v>
      </c>
      <c r="K4464">
        <v>1.10761</v>
      </c>
      <c r="L4464">
        <v>81.583469999999906</v>
      </c>
      <c r="M4464">
        <v>-1.5741740000000001E-2</v>
      </c>
      <c r="N4464">
        <v>0</v>
      </c>
      <c r="O4464">
        <v>-0.99984510000000004</v>
      </c>
      <c r="P4464">
        <v>-2.6409990000000001E-2</v>
      </c>
      <c r="Q4464">
        <v>0.12585099999999999</v>
      </c>
      <c r="R4464">
        <v>-0.99169810000000003</v>
      </c>
      <c r="S4464">
        <v>5.5267330000000003E-2</v>
      </c>
      <c r="T4464">
        <v>-0.13979469999999999</v>
      </c>
      <c r="U4464">
        <v>-3.0441590000000001</v>
      </c>
      <c r="V4464">
        <v>1.097563E-2</v>
      </c>
      <c r="W4464">
        <v>0.13367879999999999</v>
      </c>
      <c r="X4464">
        <v>0.99096390000000001</v>
      </c>
      <c r="Y4464">
        <v>-3.3870499999999998E-2</v>
      </c>
      <c r="Z4464">
        <v>4.5848470000000002E-2</v>
      </c>
      <c r="AA4464">
        <v>0.99837399999999998</v>
      </c>
      <c r="AB4464">
        <v>32</v>
      </c>
      <c r="AC4464">
        <v>0.44349999999997097</v>
      </c>
      <c r="AD4464">
        <v>-1.1076140122579901</v>
      </c>
      <c r="AE4464">
        <v>-23.7935599999999</v>
      </c>
      <c r="AF4464">
        <v>-0.81624050964265604</v>
      </c>
      <c r="AG4464">
        <v>-1.1076140122579901</v>
      </c>
      <c r="AH4464">
        <v>23.732220150800099</v>
      </c>
      <c r="AI4464">
        <v>92.6705537750003</v>
      </c>
      <c r="AJ4464">
        <v>91.969841349840195</v>
      </c>
      <c r="AK4464">
        <v>23.772070390602799</v>
      </c>
      <c r="AL4464">
        <v>82.317771519615704</v>
      </c>
      <c r="AM4464">
        <v>89.365434437998701</v>
      </c>
      <c r="AN4464">
        <v>0.999999968563272</v>
      </c>
    </row>
    <row r="4465" spans="1:40" x14ac:dyDescent="0.25">
      <c r="A4465" t="str">
        <f>"20190312164600314"</f>
        <v>20190312164600314</v>
      </c>
      <c r="B4465" t="str">
        <f>"1552380360306252"</f>
        <v>1552380360306252</v>
      </c>
      <c r="C4465" t="s">
        <v>40</v>
      </c>
      <c r="D4465">
        <v>4.6672659999999997</v>
      </c>
      <c r="E4465">
        <v>0.48697770000000001</v>
      </c>
      <c r="F4465" t="s">
        <v>42</v>
      </c>
      <c r="G4465">
        <v>-421.95699999999999</v>
      </c>
      <c r="H4465" s="1">
        <v>-4.3396610000000001E-6</v>
      </c>
      <c r="I4465">
        <v>58.718980000000002</v>
      </c>
      <c r="J4465">
        <v>-422.34100000000001</v>
      </c>
      <c r="K4465">
        <v>1.10762</v>
      </c>
      <c r="L4465">
        <v>81.362819999999999</v>
      </c>
      <c r="M4465">
        <v>-1.61456E-2</v>
      </c>
      <c r="N4465">
        <v>0</v>
      </c>
      <c r="O4465">
        <v>-0.99983820000000001</v>
      </c>
      <c r="P4465">
        <v>-2.6929640000000001E-2</v>
      </c>
      <c r="Q4465">
        <v>0.12559139999999999</v>
      </c>
      <c r="R4465">
        <v>-0.99171670000000001</v>
      </c>
      <c r="S4465">
        <v>5.0628659999999999E-2</v>
      </c>
      <c r="T4465">
        <v>-0.14751710000000001</v>
      </c>
      <c r="U4465">
        <v>-3.0451969999999999</v>
      </c>
      <c r="V4465">
        <v>1.109161E-2</v>
      </c>
      <c r="W4465">
        <v>0.13345489999999999</v>
      </c>
      <c r="X4465">
        <v>0.99099280000000001</v>
      </c>
      <c r="Y4465">
        <v>-3.2745700000000003E-2</v>
      </c>
      <c r="Z4465">
        <v>4.836004E-2</v>
      </c>
      <c r="AA4465">
        <v>0.99829299999999999</v>
      </c>
      <c r="AB4465">
        <v>32</v>
      </c>
      <c r="AC4465">
        <v>0.384000000000014</v>
      </c>
      <c r="AD4465">
        <v>-1.1076243396609999</v>
      </c>
      <c r="AE4465">
        <v>-22.643840000000001</v>
      </c>
      <c r="AF4465">
        <v>-0.74777115990273002</v>
      </c>
      <c r="AG4465">
        <v>-1.1076243396609999</v>
      </c>
      <c r="AH4465">
        <v>22.580675291218601</v>
      </c>
      <c r="AI4465">
        <v>92.806678207602701</v>
      </c>
      <c r="AJ4465">
        <v>91.896687310614695</v>
      </c>
      <c r="AK4465">
        <v>22.620187664845801</v>
      </c>
      <c r="AL4465">
        <v>82.330716133311</v>
      </c>
      <c r="AM4465">
        <v>89.3587482104125</v>
      </c>
      <c r="AN4465">
        <v>0.99999998189911998</v>
      </c>
    </row>
    <row r="4466" spans="1:40" x14ac:dyDescent="0.25">
      <c r="A4466" t="str">
        <f>"20190312164600328"</f>
        <v>20190312164600328</v>
      </c>
      <c r="B4466" t="str">
        <f>"1552380360316012"</f>
        <v>1552380360316012</v>
      </c>
      <c r="C4466" t="s">
        <v>40</v>
      </c>
      <c r="D4466">
        <v>4.6689889999999998</v>
      </c>
      <c r="E4466">
        <v>0.48681479999999999</v>
      </c>
      <c r="F4466" t="s">
        <v>42</v>
      </c>
      <c r="G4466">
        <v>-421.9735</v>
      </c>
      <c r="H4466" s="1">
        <v>-4.2874459999999998E-6</v>
      </c>
      <c r="I4466">
        <v>58.556959999999997</v>
      </c>
      <c r="J4466">
        <v>-422.34469999999999</v>
      </c>
      <c r="K4466">
        <v>1.1076269999999999</v>
      </c>
      <c r="L4466">
        <v>81.154269999999997</v>
      </c>
      <c r="M4466">
        <v>-1.6521979999999999E-2</v>
      </c>
      <c r="N4466">
        <v>0</v>
      </c>
      <c r="O4466">
        <v>-0.99983169999999999</v>
      </c>
      <c r="P4466">
        <v>-2.7132819999999998E-2</v>
      </c>
      <c r="Q4466">
        <v>0.12618689999999999</v>
      </c>
      <c r="R4466">
        <v>-0.99163559999999995</v>
      </c>
      <c r="S4466">
        <v>4.9072270000000001E-2</v>
      </c>
      <c r="T4466">
        <v>-0.14789459999999999</v>
      </c>
      <c r="U4466">
        <v>-3.0451350000000001</v>
      </c>
      <c r="V4466">
        <v>1.092131E-2</v>
      </c>
      <c r="W4466">
        <v>0.1340819</v>
      </c>
      <c r="X4466">
        <v>0.99091010000000002</v>
      </c>
      <c r="Y4466">
        <v>-3.2612080000000002E-2</v>
      </c>
      <c r="Z4466">
        <v>4.8484350000000002E-2</v>
      </c>
      <c r="AA4466">
        <v>0.99829140000000005</v>
      </c>
      <c r="AB4466">
        <v>32</v>
      </c>
      <c r="AC4466">
        <v>0.37119999999998698</v>
      </c>
      <c r="AD4466">
        <v>-1.1076312874459999</v>
      </c>
      <c r="AE4466">
        <v>-22.59731</v>
      </c>
      <c r="AF4466">
        <v>-0.74272952332176101</v>
      </c>
      <c r="AG4466">
        <v>-1.1076312874459999</v>
      </c>
      <c r="AH4466">
        <v>22.533967239632201</v>
      </c>
      <c r="AI4466">
        <v>92.812518500732295</v>
      </c>
      <c r="AJ4466">
        <v>91.887810789890494</v>
      </c>
      <c r="AK4466">
        <v>22.573395264571101</v>
      </c>
      <c r="AL4466">
        <v>82.294466245579201</v>
      </c>
      <c r="AM4466">
        <v>89.368540461449697</v>
      </c>
      <c r="AN4466">
        <v>1.0000000286008599</v>
      </c>
    </row>
    <row r="4467" spans="1:40" x14ac:dyDescent="0.25">
      <c r="A4467" t="str">
        <f>"20190312164600344"</f>
        <v>20190312164600344</v>
      </c>
      <c r="B4467" t="str">
        <f>"1552380360335533"</f>
        <v>1552380360335533</v>
      </c>
      <c r="C4467" t="s">
        <v>40</v>
      </c>
      <c r="D4467">
        <v>4.8390469999999999</v>
      </c>
      <c r="E4467">
        <v>0.48660110000000001</v>
      </c>
      <c r="F4467" t="s">
        <v>42</v>
      </c>
      <c r="G4467">
        <v>-421.96629999999999</v>
      </c>
      <c r="H4467" s="1">
        <v>-4.1060829999999997E-6</v>
      </c>
      <c r="I4467">
        <v>58.02778</v>
      </c>
      <c r="J4467">
        <v>-422.34879999999998</v>
      </c>
      <c r="K4467">
        <v>1.107648</v>
      </c>
      <c r="L4467">
        <v>80.927520000000001</v>
      </c>
      <c r="M4467">
        <v>-1.69242E-2</v>
      </c>
      <c r="N4467">
        <v>0</v>
      </c>
      <c r="O4467">
        <v>-0.99982479999999996</v>
      </c>
      <c r="P4467">
        <v>-2.7748579999999998E-2</v>
      </c>
      <c r="Q4467">
        <v>0.12679460000000001</v>
      </c>
      <c r="R4467">
        <v>-0.9915408</v>
      </c>
      <c r="S4467">
        <v>4.9835209999999998E-2</v>
      </c>
      <c r="T4467">
        <v>-0.1458496</v>
      </c>
      <c r="U4467">
        <v>-3.0452270000000001</v>
      </c>
      <c r="V4467">
        <v>1.1138220000000001E-2</v>
      </c>
      <c r="W4467">
        <v>0.13472500000000001</v>
      </c>
      <c r="X4467">
        <v>0.99082040000000005</v>
      </c>
      <c r="Y4467">
        <v>-3.3264250000000002E-2</v>
      </c>
      <c r="Z4467">
        <v>4.781295E-2</v>
      </c>
      <c r="AA4467">
        <v>0.99830229999999998</v>
      </c>
      <c r="AB4467">
        <v>32</v>
      </c>
      <c r="AC4467">
        <v>0.38249999999999301</v>
      </c>
      <c r="AD4467">
        <v>-1.107652106083</v>
      </c>
      <c r="AE4467">
        <v>-22.899739999999898</v>
      </c>
      <c r="AF4467">
        <v>-0.76822053967378101</v>
      </c>
      <c r="AG4467">
        <v>-1.107652106083</v>
      </c>
      <c r="AH4467">
        <v>22.8365722333706</v>
      </c>
      <c r="AI4467">
        <v>92.775298226812694</v>
      </c>
      <c r="AJ4467">
        <v>91.926699071275095</v>
      </c>
      <c r="AK4467">
        <v>22.876321543369698</v>
      </c>
      <c r="AL4467">
        <v>82.257281530505395</v>
      </c>
      <c r="AM4467">
        <v>89.355941684796093</v>
      </c>
      <c r="AN4467">
        <v>0.99999997531296303</v>
      </c>
    </row>
    <row r="4468" spans="1:40" x14ac:dyDescent="0.25">
      <c r="A4468" t="str">
        <f>"20190312164600365"</f>
        <v>20190312164600365</v>
      </c>
      <c r="B4468" t="str">
        <f>"1552380360356028"</f>
        <v>1552380360356028</v>
      </c>
      <c r="C4468" t="s">
        <v>40</v>
      </c>
      <c r="D4468">
        <v>4.7633739999999998</v>
      </c>
      <c r="E4468">
        <v>0.48671449999999999</v>
      </c>
      <c r="F4468" t="s">
        <v>42</v>
      </c>
      <c r="G4468">
        <v>-421.96449999999999</v>
      </c>
      <c r="H4468" s="1">
        <v>-3.8288819999999998E-6</v>
      </c>
      <c r="I4468">
        <v>57.295900000000003</v>
      </c>
      <c r="J4468">
        <v>-422.35480000000001</v>
      </c>
      <c r="K4468">
        <v>1.107667</v>
      </c>
      <c r="L4468">
        <v>80.609250000000003</v>
      </c>
      <c r="M4468">
        <v>-1.7483169999999999E-2</v>
      </c>
      <c r="N4468">
        <v>0</v>
      </c>
      <c r="O4468">
        <v>-0.99981500000000001</v>
      </c>
      <c r="P4468">
        <v>-2.8025999999999999E-2</v>
      </c>
      <c r="Q4468">
        <v>0.12694179999999999</v>
      </c>
      <c r="R4468">
        <v>-0.99151440000000002</v>
      </c>
      <c r="S4468">
        <v>4.9530030000000003E-2</v>
      </c>
      <c r="T4468">
        <v>-0.14273459999999999</v>
      </c>
      <c r="U4468">
        <v>-3.0452270000000001</v>
      </c>
      <c r="V4468">
        <v>1.0859250000000001E-2</v>
      </c>
      <c r="W4468">
        <v>0.1349216</v>
      </c>
      <c r="X4468">
        <v>0.99079669999999997</v>
      </c>
      <c r="Y4468">
        <v>-3.372377E-2</v>
      </c>
      <c r="Z4468">
        <v>4.6793050000000003E-2</v>
      </c>
      <c r="AA4468">
        <v>0.99833519999999998</v>
      </c>
      <c r="AB4468">
        <v>32</v>
      </c>
      <c r="AC4468">
        <v>0.39030000000002402</v>
      </c>
      <c r="AD4468">
        <v>-1.1076708288820001</v>
      </c>
      <c r="AE4468">
        <v>-23.31335</v>
      </c>
      <c r="AF4468">
        <v>-0.79604819838489904</v>
      </c>
      <c r="AG4468">
        <v>-1.1076708288820001</v>
      </c>
      <c r="AH4468">
        <v>23.250491222971402</v>
      </c>
      <c r="AI4468">
        <v>92.725956756712705</v>
      </c>
      <c r="AJ4468">
        <v>91.960921693840902</v>
      </c>
      <c r="AK4468">
        <v>23.290469499535199</v>
      </c>
      <c r="AL4468">
        <v>82.245913039898696</v>
      </c>
      <c r="AM4468">
        <v>89.372056566050702</v>
      </c>
      <c r="AN4468">
        <v>0.99999993109400298</v>
      </c>
    </row>
    <row r="4469" spans="1:40" x14ac:dyDescent="0.25">
      <c r="A4469" t="str">
        <f>"20190312164600389"</f>
        <v>20190312164600389</v>
      </c>
      <c r="B4469" t="str">
        <f>"1552380360385845"</f>
        <v>1552380360385845</v>
      </c>
      <c r="C4469" t="s">
        <v>40</v>
      </c>
      <c r="D4469">
        <v>4.79758</v>
      </c>
      <c r="E4469">
        <v>0.48674729999999999</v>
      </c>
      <c r="F4469" t="s">
        <v>42</v>
      </c>
      <c r="G4469">
        <v>-421.98630000000003</v>
      </c>
      <c r="H4469" s="1">
        <v>-3.717369E-6</v>
      </c>
      <c r="I4469">
        <v>57.02243</v>
      </c>
      <c r="J4469">
        <v>-422.36130000000003</v>
      </c>
      <c r="K4469">
        <v>1.1076760000000001</v>
      </c>
      <c r="L4469">
        <v>80.274569999999997</v>
      </c>
      <c r="M4469">
        <v>-1.8065009999999999E-2</v>
      </c>
      <c r="N4469">
        <v>0</v>
      </c>
      <c r="O4469">
        <v>-0.99980400000000003</v>
      </c>
      <c r="P4469">
        <v>-2.8448060000000001E-2</v>
      </c>
      <c r="Q4469">
        <v>0.12750449999999999</v>
      </c>
      <c r="R4469">
        <v>-0.99143000000000003</v>
      </c>
      <c r="S4469">
        <v>4.7576899999999998E-2</v>
      </c>
      <c r="T4469">
        <v>-0.14301249999999999</v>
      </c>
      <c r="U4469">
        <v>-3.0453190000000001</v>
      </c>
      <c r="V4469">
        <v>1.0704389999999999E-2</v>
      </c>
      <c r="W4469">
        <v>0.1355325</v>
      </c>
      <c r="X4469">
        <v>0.99071509999999996</v>
      </c>
      <c r="Y4469">
        <v>-3.3664720000000002E-2</v>
      </c>
      <c r="Z4469">
        <v>4.6882100000000003E-2</v>
      </c>
      <c r="AA4469">
        <v>0.99833300000000003</v>
      </c>
      <c r="AB4469">
        <v>33</v>
      </c>
      <c r="AC4469">
        <v>0.375</v>
      </c>
      <c r="AD4469">
        <v>-1.1076797173690001</v>
      </c>
      <c r="AE4469">
        <v>-23.252139999999901</v>
      </c>
      <c r="AF4469">
        <v>-0.793203133014179</v>
      </c>
      <c r="AG4469">
        <v>-1.1076797173690001</v>
      </c>
      <c r="AH4469">
        <v>23.188960422609</v>
      </c>
      <c r="AI4469">
        <v>92.733203868741398</v>
      </c>
      <c r="AJ4469">
        <v>91.959099424268203</v>
      </c>
      <c r="AK4469">
        <v>23.228947695662399</v>
      </c>
      <c r="AL4469">
        <v>82.210587302016194</v>
      </c>
      <c r="AM4469">
        <v>89.380959768971906</v>
      </c>
      <c r="AN4469">
        <v>1.0000000259447599</v>
      </c>
    </row>
    <row r="4470" spans="1:40" x14ac:dyDescent="0.25">
      <c r="A4470" t="str">
        <f>"20190312164600412"</f>
        <v>20190312164600412</v>
      </c>
      <c r="B4470" t="str">
        <f>"1552380360406340"</f>
        <v>1552380360406340</v>
      </c>
      <c r="C4470" t="s">
        <v>40</v>
      </c>
      <c r="D4470">
        <v>4.6676739999999999</v>
      </c>
      <c r="E4470">
        <v>0.4866413</v>
      </c>
      <c r="F4470" t="s">
        <v>42</v>
      </c>
      <c r="G4470">
        <v>-421.97730000000001</v>
      </c>
      <c r="H4470" s="1">
        <v>-2.7345030000000001E-6</v>
      </c>
      <c r="I4470">
        <v>54.73695</v>
      </c>
      <c r="J4470">
        <v>-422.36779999999999</v>
      </c>
      <c r="K4470">
        <v>1.107683</v>
      </c>
      <c r="L4470">
        <v>79.942629999999994</v>
      </c>
      <c r="M4470">
        <v>-1.86378E-2</v>
      </c>
      <c r="N4470">
        <v>0</v>
      </c>
      <c r="O4470">
        <v>-0.99979309999999999</v>
      </c>
      <c r="P4470">
        <v>-2.8700460000000001E-2</v>
      </c>
      <c r="Q4470">
        <v>0.12838079999999999</v>
      </c>
      <c r="R4470">
        <v>-0.99130949999999995</v>
      </c>
      <c r="S4470">
        <v>4.5776369999999997E-2</v>
      </c>
      <c r="T4470">
        <v>-0.1320412</v>
      </c>
      <c r="U4470">
        <v>-3.0442200000000001</v>
      </c>
      <c r="V4470">
        <v>1.03909E-2</v>
      </c>
      <c r="W4470">
        <v>0.13645750000000001</v>
      </c>
      <c r="X4470">
        <v>0.99059140000000001</v>
      </c>
      <c r="Y4470">
        <v>-3.3655030000000002E-2</v>
      </c>
      <c r="Z4470">
        <v>4.3307650000000003E-2</v>
      </c>
      <c r="AA4470">
        <v>0.99849469999999996</v>
      </c>
      <c r="AB4470">
        <v>33</v>
      </c>
      <c r="AC4470">
        <v>0.39049999999997398</v>
      </c>
      <c r="AD4470">
        <v>-1.107685734503</v>
      </c>
      <c r="AE4470">
        <v>-25.205680000000001</v>
      </c>
      <c r="AF4470">
        <v>-0.85856847970012895</v>
      </c>
      <c r="AG4470">
        <v>-1.107685734503</v>
      </c>
      <c r="AH4470">
        <v>25.145472913733499</v>
      </c>
      <c r="AI4470">
        <v>92.520844328410206</v>
      </c>
      <c r="AJ4470">
        <v>91.955550703629498</v>
      </c>
      <c r="AK4470">
        <v>25.1844975247881</v>
      </c>
      <c r="AL4470">
        <v>82.157091271575197</v>
      </c>
      <c r="AM4470">
        <v>89.399012669754299</v>
      </c>
      <c r="AN4470">
        <v>0.99999997093150905</v>
      </c>
    </row>
    <row r="4471" spans="1:40" x14ac:dyDescent="0.25">
      <c r="A4471" t="str">
        <f>"20190312164600433"</f>
        <v>20190312164600433</v>
      </c>
      <c r="B4471" t="str">
        <f>"1552380360425861"</f>
        <v>1552380360425861</v>
      </c>
      <c r="C4471" t="s">
        <v>40</v>
      </c>
      <c r="D4471">
        <v>4.6370300000000002</v>
      </c>
      <c r="E4471">
        <v>0.48663499999999998</v>
      </c>
      <c r="F4471" t="s">
        <v>42</v>
      </c>
      <c r="G4471">
        <v>-421.96969999999999</v>
      </c>
      <c r="H4471" s="1">
        <v>-2.1520400000000002E-6</v>
      </c>
      <c r="I4471">
        <v>53.383879999999998</v>
      </c>
      <c r="J4471">
        <v>-422.37439999999998</v>
      </c>
      <c r="K4471">
        <v>1.1076870000000001</v>
      </c>
      <c r="L4471">
        <v>79.617279999999994</v>
      </c>
      <c r="M4471">
        <v>-1.9197019999999999E-2</v>
      </c>
      <c r="N4471">
        <v>0</v>
      </c>
      <c r="O4471">
        <v>-0.99978230000000001</v>
      </c>
      <c r="P4471">
        <v>-2.9158770000000001E-2</v>
      </c>
      <c r="Q4471">
        <v>0.12910289999999999</v>
      </c>
      <c r="R4471">
        <v>-0.9912029</v>
      </c>
      <c r="S4471">
        <v>4.5623780000000003E-2</v>
      </c>
      <c r="T4471">
        <v>-0.12695879999999901</v>
      </c>
      <c r="U4471">
        <v>-3.0440670000000001</v>
      </c>
      <c r="V4471">
        <v>1.029704E-2</v>
      </c>
      <c r="W4471">
        <v>0.1372246</v>
      </c>
      <c r="X4471">
        <v>0.99048639999999999</v>
      </c>
      <c r="Y4471">
        <v>-3.4165830000000001E-2</v>
      </c>
      <c r="Z4471">
        <v>4.164474E-2</v>
      </c>
      <c r="AA4471">
        <v>0.9985482</v>
      </c>
      <c r="AB4471">
        <v>33</v>
      </c>
      <c r="AC4471">
        <v>0.40469999999999101</v>
      </c>
      <c r="AD4471">
        <v>-1.1076891520400001</v>
      </c>
      <c r="AE4471">
        <v>-26.2334</v>
      </c>
      <c r="AF4471">
        <v>-0.90662930594067803</v>
      </c>
      <c r="AG4471">
        <v>-1.1076891520400001</v>
      </c>
      <c r="AH4471">
        <v>26.174141361917201</v>
      </c>
      <c r="AI4471">
        <v>92.421859535078596</v>
      </c>
      <c r="AJ4471">
        <v>91.983838621970193</v>
      </c>
      <c r="AK4471">
        <v>26.2132529074429</v>
      </c>
      <c r="AL4471">
        <v>82.112722245328897</v>
      </c>
      <c r="AM4471">
        <v>89.404377807900104</v>
      </c>
      <c r="AN4471">
        <v>0.99999996423144</v>
      </c>
    </row>
    <row r="4472" spans="1:40" x14ac:dyDescent="0.25">
      <c r="A4472" t="str">
        <f>"20190312164600455"</f>
        <v>20190312164600455</v>
      </c>
      <c r="B4472" t="str">
        <f>"1552380360446356"</f>
        <v>1552380360446356</v>
      </c>
      <c r="C4472" t="s">
        <v>40</v>
      </c>
      <c r="D4472">
        <v>4.6270220000000002</v>
      </c>
      <c r="E4472">
        <v>0.48683320000000002</v>
      </c>
      <c r="F4472" t="s">
        <v>42</v>
      </c>
      <c r="G4472">
        <v>-421.97859999999997</v>
      </c>
      <c r="H4472" s="1">
        <v>-1.923166E-6</v>
      </c>
      <c r="I4472">
        <v>52.844889999999999</v>
      </c>
      <c r="J4472">
        <v>-422.38099999999997</v>
      </c>
      <c r="K4472">
        <v>1.1076900000000001</v>
      </c>
      <c r="L4472">
        <v>79.304599999999994</v>
      </c>
      <c r="M4472">
        <v>-1.9733779999999999E-2</v>
      </c>
      <c r="N4472">
        <v>0</v>
      </c>
      <c r="O4472">
        <v>-0.99977139999999998</v>
      </c>
      <c r="P4472">
        <v>-2.940309E-2</v>
      </c>
      <c r="Q4472">
        <v>0.12970400000000001</v>
      </c>
      <c r="R4472">
        <v>-0.99111720000000003</v>
      </c>
      <c r="S4472">
        <v>4.501343E-2</v>
      </c>
      <c r="T4472">
        <v>-0.1259575</v>
      </c>
      <c r="U4472">
        <v>-3.0443419999999999</v>
      </c>
      <c r="V4472">
        <v>1.001138E-2</v>
      </c>
      <c r="W4472">
        <v>0.13786779999999901</v>
      </c>
      <c r="X4472">
        <v>0.99039999999999995</v>
      </c>
      <c r="Y4472">
        <v>-3.45011E-2</v>
      </c>
      <c r="Z4472">
        <v>4.1312290000000002E-2</v>
      </c>
      <c r="AA4472">
        <v>0.99855039999999995</v>
      </c>
      <c r="AB4472">
        <v>33</v>
      </c>
      <c r="AC4472">
        <v>0.40239999999999998</v>
      </c>
      <c r="AD4472">
        <v>-1.1076919231659901</v>
      </c>
      <c r="AE4472">
        <v>-26.459709999999902</v>
      </c>
      <c r="AF4472">
        <v>-0.92287241733580405</v>
      </c>
      <c r="AG4472">
        <v>-1.1076919231659901</v>
      </c>
      <c r="AH4472">
        <v>26.400359035935701</v>
      </c>
      <c r="AI4472">
        <v>92.401111112118599</v>
      </c>
      <c r="AJ4472">
        <v>92.002062630352697</v>
      </c>
      <c r="AK4472">
        <v>26.4396980338588</v>
      </c>
      <c r="AL4472">
        <v>82.075515923635194</v>
      </c>
      <c r="AM4472">
        <v>89.420849873671202</v>
      </c>
      <c r="AN4472">
        <v>0.99999995900317096</v>
      </c>
    </row>
    <row r="4473" spans="1:40" x14ac:dyDescent="0.25">
      <c r="A4473" t="str">
        <f>"20190312164600478"</f>
        <v>20190312164600478</v>
      </c>
      <c r="B4473" t="str">
        <f>"1552380360465877"</f>
        <v>1552380360465877</v>
      </c>
      <c r="C4473" t="s">
        <v>40</v>
      </c>
      <c r="D4473">
        <v>4.4784220000000001</v>
      </c>
      <c r="E4473">
        <v>0.48675380000000001</v>
      </c>
      <c r="F4473" t="s">
        <v>42</v>
      </c>
      <c r="G4473">
        <v>-422.01190000000003</v>
      </c>
      <c r="H4473" s="1">
        <v>-1.829837E-6</v>
      </c>
      <c r="I4473">
        <v>52.606650000000002</v>
      </c>
      <c r="J4473">
        <v>-422.38819999999998</v>
      </c>
      <c r="K4473">
        <v>1.107688</v>
      </c>
      <c r="L4473">
        <v>78.967100000000002</v>
      </c>
      <c r="M4473">
        <v>-2.0312810000000001E-2</v>
      </c>
      <c r="N4473">
        <v>0</v>
      </c>
      <c r="O4473">
        <v>-0.99975939999999996</v>
      </c>
      <c r="P4473">
        <v>-2.9550739999999999E-2</v>
      </c>
      <c r="Q4473">
        <v>0.13070609999999999</v>
      </c>
      <c r="R4473">
        <v>-0.99098090000000005</v>
      </c>
      <c r="S4473">
        <v>4.2083740000000001E-2</v>
      </c>
      <c r="T4473">
        <v>-0.12632299999999999</v>
      </c>
      <c r="U4473">
        <v>-3.0446780000000002</v>
      </c>
      <c r="V4473">
        <v>9.5889909999999998E-3</v>
      </c>
      <c r="W4473">
        <v>0.1389205</v>
      </c>
      <c r="X4473">
        <v>0.9902571</v>
      </c>
      <c r="Y4473">
        <v>-3.4117599999999998E-2</v>
      </c>
      <c r="Z4473">
        <v>4.1427249999999999E-2</v>
      </c>
      <c r="AA4473">
        <v>0.99855879999999997</v>
      </c>
      <c r="AB4473">
        <v>33</v>
      </c>
      <c r="AC4473">
        <v>0.376299999999957</v>
      </c>
      <c r="AD4473">
        <v>-1.1076898298369999</v>
      </c>
      <c r="AE4473">
        <v>-26.36045</v>
      </c>
      <c r="AF4473">
        <v>-0.91008884775614296</v>
      </c>
      <c r="AG4473">
        <v>-1.1076898298369999</v>
      </c>
      <c r="AH4473">
        <v>26.300935224847201</v>
      </c>
      <c r="AI4473">
        <v>92.410202247595805</v>
      </c>
      <c r="AJ4473">
        <v>91.981809871650597</v>
      </c>
      <c r="AK4473">
        <v>26.339977831644902</v>
      </c>
      <c r="AL4473">
        <v>82.014614853524193</v>
      </c>
      <c r="AM4473">
        <v>89.445203126617798</v>
      </c>
      <c r="AN4473">
        <v>0.99999998908452903</v>
      </c>
    </row>
    <row r="4474" spans="1:40" x14ac:dyDescent="0.25">
      <c r="A4474" t="str">
        <f>"20190312164600501"</f>
        <v>20190312164600501</v>
      </c>
      <c r="B4474" t="str">
        <f>"1552380360495844"</f>
        <v>1552380360495844</v>
      </c>
      <c r="C4474" t="s">
        <v>40</v>
      </c>
      <c r="D4474">
        <v>4.7263460000000004</v>
      </c>
      <c r="E4474">
        <v>0.4867631</v>
      </c>
      <c r="F4474" t="s">
        <v>42</v>
      </c>
      <c r="G4474">
        <v>-422.02069999999998</v>
      </c>
      <c r="H4474" s="1">
        <v>-1.7067060000000001E-6</v>
      </c>
      <c r="I4474">
        <v>52.314210000000003</v>
      </c>
      <c r="J4474">
        <v>-422.3956</v>
      </c>
      <c r="K4474">
        <v>1.1077049999999999</v>
      </c>
      <c r="L4474">
        <v>78.630219999999994</v>
      </c>
      <c r="M4474">
        <v>-2.0890550000000001E-2</v>
      </c>
      <c r="N4474">
        <v>0</v>
      </c>
      <c r="O4474">
        <v>-0.99974669999999999</v>
      </c>
      <c r="P4474">
        <v>-2.9591590000000001E-2</v>
      </c>
      <c r="Q4474">
        <v>0.13166729999999999</v>
      </c>
      <c r="R4474">
        <v>-0.99085250000000002</v>
      </c>
      <c r="S4474">
        <v>4.1992189999999999E-2</v>
      </c>
      <c r="T4474">
        <v>-0.12656039999999999</v>
      </c>
      <c r="U4474">
        <v>-3.045258</v>
      </c>
      <c r="V4474">
        <v>9.0609939999999993E-3</v>
      </c>
      <c r="W4474">
        <v>0.13994509999999999</v>
      </c>
      <c r="X4474">
        <v>0.99011780000000005</v>
      </c>
      <c r="Y4474">
        <v>-3.4662459999999999E-2</v>
      </c>
      <c r="Z4474">
        <v>4.149597E-2</v>
      </c>
      <c r="AA4474">
        <v>0.99853720000000001</v>
      </c>
      <c r="AB4474">
        <v>33</v>
      </c>
      <c r="AC4474">
        <v>0.37490000000002499</v>
      </c>
      <c r="AD4474">
        <v>-1.107706706706</v>
      </c>
      <c r="AE4474">
        <v>-26.316009999999999</v>
      </c>
      <c r="AF4474">
        <v>-0.92295843139083</v>
      </c>
      <c r="AG4474">
        <v>-1.107706706706</v>
      </c>
      <c r="AH4474">
        <v>26.2559242280694</v>
      </c>
      <c r="AI4474">
        <v>92.414319797465296</v>
      </c>
      <c r="AJ4474">
        <v>92.013254482681305</v>
      </c>
      <c r="AK4474">
        <v>26.295482948298901</v>
      </c>
      <c r="AL4474">
        <v>81.955330527032302</v>
      </c>
      <c r="AM4474">
        <v>89.475676306167003</v>
      </c>
      <c r="AN4474">
        <v>0.99999999525155903</v>
      </c>
    </row>
    <row r="4475" spans="1:40" x14ac:dyDescent="0.25">
      <c r="A4475" t="str">
        <f>"20190312164600524"</f>
        <v>20190312164600524</v>
      </c>
      <c r="B4475" t="str">
        <f>"1552380360516339"</f>
        <v>1552380360516339</v>
      </c>
      <c r="C4475" t="s">
        <v>40</v>
      </c>
      <c r="D4475">
        <v>4.5304270000000004</v>
      </c>
      <c r="E4475">
        <v>0.48687150000000001</v>
      </c>
      <c r="F4475" t="s">
        <v>42</v>
      </c>
      <c r="G4475">
        <v>-422.03530000000001</v>
      </c>
      <c r="H4475" s="1">
        <v>-1.546648E-6</v>
      </c>
      <c r="I4475">
        <v>51.932040000000001</v>
      </c>
      <c r="J4475">
        <v>-422.40309999999999</v>
      </c>
      <c r="K4475">
        <v>1.1077189999999999</v>
      </c>
      <c r="L4475">
        <v>78.29898</v>
      </c>
      <c r="M4475">
        <v>-2.145565E-2</v>
      </c>
      <c r="N4475">
        <v>0</v>
      </c>
      <c r="O4475">
        <v>-0.99973429999999996</v>
      </c>
      <c r="P4475">
        <v>-2.9458979999999999E-2</v>
      </c>
      <c r="Q4475">
        <v>0.13180339999999999</v>
      </c>
      <c r="R4475">
        <v>-0.9908382</v>
      </c>
      <c r="S4475">
        <v>4.110718E-2</v>
      </c>
      <c r="T4475">
        <v>-0.1263666</v>
      </c>
      <c r="U4475">
        <v>-3.045715</v>
      </c>
      <c r="V4475">
        <v>8.3682500000000007E-3</v>
      </c>
      <c r="W4475">
        <v>0.14016229999999999</v>
      </c>
      <c r="X4475">
        <v>0.99009320000000001</v>
      </c>
      <c r="Y4475">
        <v>-3.4935250000000001E-2</v>
      </c>
      <c r="Z4475">
        <v>4.1425459999999997E-2</v>
      </c>
      <c r="AA4475">
        <v>0.99853060000000005</v>
      </c>
      <c r="AB4475">
        <v>33</v>
      </c>
      <c r="AC4475">
        <v>0.36779999999998803</v>
      </c>
      <c r="AD4475">
        <v>-1.107720546648</v>
      </c>
      <c r="AE4475">
        <v>-26.36694</v>
      </c>
      <c r="AF4475">
        <v>-0.93181093061829601</v>
      </c>
      <c r="AG4475">
        <v>-1.107720546648</v>
      </c>
      <c r="AH4475">
        <v>26.306556620094</v>
      </c>
      <c r="AI4475">
        <v>92.409685690114998</v>
      </c>
      <c r="AJ4475">
        <v>92.028639583502994</v>
      </c>
      <c r="AK4475">
        <v>26.3463515050206</v>
      </c>
      <c r="AL4475">
        <v>81.942762218580896</v>
      </c>
      <c r="AM4475">
        <v>89.515748628140003</v>
      </c>
      <c r="AN4475">
        <v>1.00000002131779</v>
      </c>
    </row>
    <row r="4476" spans="1:40" x14ac:dyDescent="0.25">
      <c r="A4476" t="str">
        <f>"20190312164600544"</f>
        <v>20190312164600544</v>
      </c>
      <c r="B4476" t="str">
        <f>"1552380360535859"</f>
        <v>1552380360535859</v>
      </c>
      <c r="C4476" t="s">
        <v>40</v>
      </c>
      <c r="D4476">
        <v>4.4592530000000004</v>
      </c>
      <c r="E4476">
        <v>0.4868209</v>
      </c>
      <c r="F4476" t="s">
        <v>42</v>
      </c>
      <c r="G4476">
        <v>-422.03899999999999</v>
      </c>
      <c r="H4476" s="1">
        <v>-1.1381590000000001E-6</v>
      </c>
      <c r="I4476">
        <v>50.977550000000001</v>
      </c>
      <c r="J4476">
        <v>-422.41030000000001</v>
      </c>
      <c r="K4476">
        <v>1.107747</v>
      </c>
      <c r="L4476">
        <v>77.986269999999905</v>
      </c>
      <c r="M4476">
        <v>-2.197928E-2</v>
      </c>
      <c r="N4476">
        <v>0</v>
      </c>
      <c r="O4476">
        <v>-0.99972190000000005</v>
      </c>
      <c r="P4476">
        <v>-2.9666979999999999E-2</v>
      </c>
      <c r="Q4476">
        <v>0.13112109999999999</v>
      </c>
      <c r="R4476">
        <v>-0.99092250000000004</v>
      </c>
      <c r="S4476">
        <v>4.058838E-2</v>
      </c>
      <c r="T4476">
        <v>-0.1234719</v>
      </c>
      <c r="U4476">
        <v>-3.0453800000000002</v>
      </c>
      <c r="V4476">
        <v>8.0528930000000002E-3</v>
      </c>
      <c r="W4476">
        <v>0.13958770000000001</v>
      </c>
      <c r="X4476">
        <v>0.99017699999999997</v>
      </c>
      <c r="Y4476">
        <v>-3.5290660000000001E-2</v>
      </c>
      <c r="Z4476">
        <v>4.0481620000000003E-2</v>
      </c>
      <c r="AA4476">
        <v>0.99855689999999997</v>
      </c>
      <c r="AB4476">
        <v>33</v>
      </c>
      <c r="AC4476">
        <v>0.371300000000019</v>
      </c>
      <c r="AD4476">
        <v>-1.107748138159</v>
      </c>
      <c r="AE4476">
        <v>-27.008719999999901</v>
      </c>
      <c r="AF4476">
        <v>-0.96324414555448501</v>
      </c>
      <c r="AG4476">
        <v>-1.107748138159</v>
      </c>
      <c r="AH4476">
        <v>26.948709546204999</v>
      </c>
      <c r="AI4476">
        <v>92.352362890103507</v>
      </c>
      <c r="AJ4476">
        <v>92.047086465396305</v>
      </c>
      <c r="AK4476">
        <v>26.9886622756161</v>
      </c>
      <c r="AL4476">
        <v>81.976011334736796</v>
      </c>
      <c r="AM4476">
        <v>89.534036228285203</v>
      </c>
      <c r="AN4476">
        <v>1.0000000332029699</v>
      </c>
    </row>
    <row r="4477" spans="1:40" x14ac:dyDescent="0.25">
      <c r="A4477" t="str">
        <f>"20190312164600562"</f>
        <v>20190312164600562</v>
      </c>
      <c r="B4477" t="str">
        <f>"1552380360556355"</f>
        <v>1552380360556355</v>
      </c>
      <c r="C4477" t="s">
        <v>40</v>
      </c>
      <c r="D4477">
        <v>4.5169540000000001</v>
      </c>
      <c r="E4477">
        <v>0.48676540000000001</v>
      </c>
      <c r="F4477" t="s">
        <v>42</v>
      </c>
      <c r="G4477">
        <v>-422.04629999999997</v>
      </c>
      <c r="H4477" s="1">
        <v>-9.2211539999999999E-7</v>
      </c>
      <c r="I4477">
        <v>50.469410000000003</v>
      </c>
      <c r="J4477">
        <v>-422.41640000000001</v>
      </c>
      <c r="K4477">
        <v>1.107777</v>
      </c>
      <c r="L4477">
        <v>77.72672</v>
      </c>
      <c r="M4477">
        <v>-2.2398169999999998E-2</v>
      </c>
      <c r="N4477">
        <v>0</v>
      </c>
      <c r="O4477">
        <v>-0.99971149999999998</v>
      </c>
      <c r="P4477">
        <v>-2.9809550000000001E-2</v>
      </c>
      <c r="Q4477">
        <v>0.130947699999999</v>
      </c>
      <c r="R4477">
        <v>-0.99094090000000001</v>
      </c>
      <c r="S4477">
        <v>4.0283199999999998E-2</v>
      </c>
      <c r="T4477">
        <v>-0.1225796</v>
      </c>
      <c r="U4477">
        <v>-3.0449220000000001</v>
      </c>
      <c r="V4477">
        <v>7.7768079999999996E-3</v>
      </c>
      <c r="W4477">
        <v>0.13953289999999999</v>
      </c>
      <c r="X4477">
        <v>0.99018689999999998</v>
      </c>
      <c r="Y4477">
        <v>-3.5611520000000001E-2</v>
      </c>
      <c r="Z4477">
        <v>4.0194830000000001E-2</v>
      </c>
      <c r="AA4477">
        <v>0.99855700000000003</v>
      </c>
      <c r="AB4477">
        <v>33</v>
      </c>
      <c r="AC4477">
        <v>0.37010000000003601</v>
      </c>
      <c r="AD4477">
        <v>-1.1077779221153901</v>
      </c>
      <c r="AE4477">
        <v>-27.25731</v>
      </c>
      <c r="AF4477">
        <v>-0.97892735042317502</v>
      </c>
      <c r="AG4477">
        <v>-1.1077779221153901</v>
      </c>
      <c r="AH4477">
        <v>27.197267256732001</v>
      </c>
      <c r="AI4477">
        <v>92.330930054535301</v>
      </c>
      <c r="AJ4477">
        <v>92.061391034033505</v>
      </c>
      <c r="AK4477">
        <v>27.237415753265498</v>
      </c>
      <c r="AL4477">
        <v>81.9791819301104</v>
      </c>
      <c r="AM4477">
        <v>89.550015138327694</v>
      </c>
      <c r="AN4477">
        <v>1.00000000292834</v>
      </c>
    </row>
    <row r="4478" spans="1:40" x14ac:dyDescent="0.25">
      <c r="A4478" t="str">
        <f>"20190312164600578"</f>
        <v>20190312164600578</v>
      </c>
      <c r="B4478" t="str">
        <f>"1552380360575875"</f>
        <v>1552380360575875</v>
      </c>
      <c r="C4478" t="s">
        <v>40</v>
      </c>
      <c r="D4478">
        <v>4.5888869999999997</v>
      </c>
      <c r="E4478">
        <v>0.4864134</v>
      </c>
      <c r="F4478" t="s">
        <v>42</v>
      </c>
      <c r="G4478">
        <v>-422.03930000000003</v>
      </c>
      <c r="H4478" s="1">
        <v>-5.9577669999999899E-7</v>
      </c>
      <c r="I4478">
        <v>49.713030000000003</v>
      </c>
      <c r="J4478">
        <v>-422.42230000000001</v>
      </c>
      <c r="K4478">
        <v>1.1078059999999901</v>
      </c>
      <c r="L4478">
        <v>77.482240000000004</v>
      </c>
      <c r="M4478">
        <v>-2.2774059999999999E-2</v>
      </c>
      <c r="N4478">
        <v>0</v>
      </c>
      <c r="O4478">
        <v>-0.99970190000000003</v>
      </c>
      <c r="P4478">
        <v>-2.9659970000000001E-2</v>
      </c>
      <c r="Q4478">
        <v>0.1312972</v>
      </c>
      <c r="R4478">
        <v>-0.99089930000000004</v>
      </c>
      <c r="S4478">
        <v>4.0985109999999998E-2</v>
      </c>
      <c r="T4478">
        <v>-0.1203943</v>
      </c>
      <c r="U4478">
        <v>-3.044556</v>
      </c>
      <c r="V4478">
        <v>7.2517819999999896E-3</v>
      </c>
      <c r="W4478">
        <v>0.14001449999999999</v>
      </c>
      <c r="X4478">
        <v>0.99012290000000003</v>
      </c>
      <c r="Y4478">
        <v>-3.6219439999999999E-2</v>
      </c>
      <c r="Z4478">
        <v>3.948314E-2</v>
      </c>
      <c r="AA4478">
        <v>0.9985636</v>
      </c>
      <c r="AB4478">
        <v>33</v>
      </c>
      <c r="AC4478">
        <v>0.38299999999998102</v>
      </c>
      <c r="AD4478">
        <v>-1.1078065957766901</v>
      </c>
      <c r="AE4478">
        <v>-27.769210000000001</v>
      </c>
      <c r="AF4478">
        <v>-1.01372978142933</v>
      </c>
      <c r="AG4478">
        <v>-1.1078065957766901</v>
      </c>
      <c r="AH4478">
        <v>27.709194139961902</v>
      </c>
      <c r="AI4478">
        <v>92.287922559225905</v>
      </c>
      <c r="AJ4478">
        <v>92.095208737925105</v>
      </c>
      <c r="AK4478">
        <v>27.749852673654001</v>
      </c>
      <c r="AL4478">
        <v>81.9513147225301</v>
      </c>
      <c r="AM4478">
        <v>89.580366161285895</v>
      </c>
      <c r="AN4478">
        <v>1.00000000282841</v>
      </c>
    </row>
    <row r="4479" spans="1:40" x14ac:dyDescent="0.25">
      <c r="A4479" t="str">
        <f>"20190312164600601"</f>
        <v>20190312164600601</v>
      </c>
      <c r="B4479" t="str">
        <f>"1552380360596371"</f>
        <v>1552380360596371</v>
      </c>
      <c r="C4479" t="s">
        <v>40</v>
      </c>
      <c r="D4479">
        <v>4.7361659999999999</v>
      </c>
      <c r="E4479">
        <v>0.48586489999999999</v>
      </c>
      <c r="F4479" t="s">
        <v>42</v>
      </c>
      <c r="G4479">
        <v>-422.00540000000001</v>
      </c>
      <c r="H4479" s="1">
        <v>-4.5397360000000001E-6</v>
      </c>
      <c r="I4479">
        <v>49.281700000000001</v>
      </c>
      <c r="J4479">
        <v>-422.43040000000002</v>
      </c>
      <c r="K4479">
        <v>1.107872</v>
      </c>
      <c r="L4479">
        <v>77.148319999999998</v>
      </c>
      <c r="M4479">
        <v>-2.324973E-2</v>
      </c>
      <c r="N4479">
        <v>0</v>
      </c>
      <c r="O4479">
        <v>-0.99968889999999999</v>
      </c>
      <c r="P4479">
        <v>-2.977146E-2</v>
      </c>
      <c r="Q4479">
        <v>0.13103329999999999</v>
      </c>
      <c r="R4479">
        <v>-0.99093070000000005</v>
      </c>
      <c r="S4479">
        <v>4.501343E-2</v>
      </c>
      <c r="T4479">
        <v>-0.1196074</v>
      </c>
      <c r="U4479">
        <v>-3.0447389999999999</v>
      </c>
      <c r="V4479">
        <v>6.8817189999999997E-3</v>
      </c>
      <c r="W4479">
        <v>0.139955</v>
      </c>
      <c r="X4479">
        <v>0.99013390000000001</v>
      </c>
      <c r="Y4479">
        <v>-3.8015149999999998E-2</v>
      </c>
      <c r="Z4479">
        <v>3.9220810000000002E-2</v>
      </c>
      <c r="AA4479">
        <v>0.99850720000000004</v>
      </c>
      <c r="AB4479">
        <v>33</v>
      </c>
      <c r="AC4479">
        <v>0.42500000000001098</v>
      </c>
      <c r="AD4479">
        <v>-1.107876539736</v>
      </c>
      <c r="AE4479">
        <v>-27.866620000000001</v>
      </c>
      <c r="AF4479">
        <v>-1.07111034692539</v>
      </c>
      <c r="AG4479">
        <v>-1.107876539736</v>
      </c>
      <c r="AH4479">
        <v>27.805267187006098</v>
      </c>
      <c r="AI4479">
        <v>92.280003997986896</v>
      </c>
      <c r="AJ4479">
        <v>92.206048677247097</v>
      </c>
      <c r="AK4479">
        <v>27.847936209769401</v>
      </c>
      <c r="AL4479">
        <v>81.954757294559798</v>
      </c>
      <c r="AM4479">
        <v>89.601784055981</v>
      </c>
      <c r="AN4479">
        <v>0.99999995000530095</v>
      </c>
    </row>
    <row r="4480" spans="1:40" x14ac:dyDescent="0.25">
      <c r="A4480" t="str">
        <f>"20190312164600623"</f>
        <v>20190312164600623</v>
      </c>
      <c r="B4480" t="str">
        <f>"1552380360615891"</f>
        <v>1552380360615891</v>
      </c>
      <c r="C4480" t="s">
        <v>40</v>
      </c>
      <c r="D4480">
        <v>4.7319000000000004</v>
      </c>
      <c r="E4480">
        <v>0.48531639999999998</v>
      </c>
      <c r="F4480" t="s">
        <v>42</v>
      </c>
      <c r="G4480">
        <v>-421.96690000000001</v>
      </c>
      <c r="H4480" s="1">
        <v>-4.2833449999999999E-6</v>
      </c>
      <c r="I4480">
        <v>48.548360000000002</v>
      </c>
      <c r="J4480">
        <v>-422.43849999999998</v>
      </c>
      <c r="K4480">
        <v>1.1079429999999999</v>
      </c>
      <c r="L4480">
        <v>76.819000000000003</v>
      </c>
      <c r="M4480">
        <v>-2.3664640000000001E-2</v>
      </c>
      <c r="N4480">
        <v>0</v>
      </c>
      <c r="O4480">
        <v>-0.99967740000000005</v>
      </c>
      <c r="P4480">
        <v>-2.9243160000000001E-2</v>
      </c>
      <c r="Q4480">
        <v>0.13045909999999999</v>
      </c>
      <c r="R4480">
        <v>-0.99102270000000003</v>
      </c>
      <c r="S4480">
        <v>4.9346920000000002E-2</v>
      </c>
      <c r="T4480">
        <v>-0.11793579999999999</v>
      </c>
      <c r="U4480">
        <v>-3.0445250000000001</v>
      </c>
      <c r="V4480">
        <v>5.9271069999999896E-3</v>
      </c>
      <c r="W4480">
        <v>0.1396</v>
      </c>
      <c r="X4480">
        <v>0.99019029999999997</v>
      </c>
      <c r="Y4480">
        <v>-3.9852150000000003E-2</v>
      </c>
      <c r="Z4480">
        <v>3.8673800000000001E-2</v>
      </c>
      <c r="AA4480">
        <v>0.99845689999999998</v>
      </c>
      <c r="AB4480">
        <v>33</v>
      </c>
      <c r="AC4480">
        <v>0.47159999999996599</v>
      </c>
      <c r="AD4480">
        <v>-1.1079472833449999</v>
      </c>
      <c r="AE4480">
        <v>-28.27064</v>
      </c>
      <c r="AF4480">
        <v>-1.1387623442956101</v>
      </c>
      <c r="AG4480">
        <v>-1.1079472833449999</v>
      </c>
      <c r="AH4480">
        <v>28.208248113276099</v>
      </c>
      <c r="AI4480">
        <v>92.247445626998896</v>
      </c>
      <c r="AJ4480">
        <v>92.311765909280297</v>
      </c>
      <c r="AK4480">
        <v>28.252957163447501</v>
      </c>
      <c r="AL4480">
        <v>81.9752998479768</v>
      </c>
      <c r="AM4480">
        <v>89.657041520239105</v>
      </c>
      <c r="AN4480">
        <v>1.00000006040573</v>
      </c>
    </row>
    <row r="4481" spans="1:40" x14ac:dyDescent="0.25">
      <c r="A4481" t="str">
        <f>"20190312164600656"</f>
        <v>20190312164600656</v>
      </c>
      <c r="B4481" t="str">
        <f>"1552380360646147"</f>
        <v>1552380360646147</v>
      </c>
      <c r="C4481" t="s">
        <v>40</v>
      </c>
      <c r="D4481">
        <v>4.6759409999999999</v>
      </c>
      <c r="E4481">
        <v>0.4847301</v>
      </c>
      <c r="F4481" t="s">
        <v>42</v>
      </c>
      <c r="G4481">
        <v>-421.91699999999997</v>
      </c>
      <c r="H4481" s="1">
        <v>-4.1774320000000001E-6</v>
      </c>
      <c r="I4481">
        <v>48.263150000000003</v>
      </c>
      <c r="J4481">
        <v>-422.45069999999998</v>
      </c>
      <c r="K4481">
        <v>1.1080730000000001</v>
      </c>
      <c r="L4481">
        <v>76.327969999999993</v>
      </c>
      <c r="M4481">
        <v>-2.4142919999999998E-2</v>
      </c>
      <c r="N4481">
        <v>0</v>
      </c>
      <c r="O4481">
        <v>-0.99966250000000001</v>
      </c>
      <c r="P4481">
        <v>-2.8692369999999998E-2</v>
      </c>
      <c r="Q4481">
        <v>0.13004859999999999</v>
      </c>
      <c r="R4481">
        <v>-0.99109259999999999</v>
      </c>
      <c r="S4481">
        <v>5.5603029999999998E-2</v>
      </c>
      <c r="T4481">
        <v>-0.1181195</v>
      </c>
      <c r="U4481">
        <v>-3.0443730000000002</v>
      </c>
      <c r="V4481">
        <v>4.8740550000000004E-3</v>
      </c>
      <c r="W4481">
        <v>0.1395622</v>
      </c>
      <c r="X4481">
        <v>0.99020129999999995</v>
      </c>
      <c r="Y4481">
        <v>-4.2382120000000002E-2</v>
      </c>
      <c r="Z4481">
        <v>3.8732509999999998E-2</v>
      </c>
      <c r="AA4481">
        <v>0.99835039999999997</v>
      </c>
      <c r="AB4481">
        <v>33</v>
      </c>
      <c r="AC4481">
        <v>0.53370000000001006</v>
      </c>
      <c r="AD4481">
        <v>-1.108077177432</v>
      </c>
      <c r="AE4481">
        <v>-28.064819999999902</v>
      </c>
      <c r="AF4481">
        <v>-1.2092578788274999</v>
      </c>
      <c r="AG4481">
        <v>-1.108077177432</v>
      </c>
      <c r="AH4481">
        <v>28.0001198362251</v>
      </c>
      <c r="AI4481">
        <v>92.264133194877999</v>
      </c>
      <c r="AJ4481">
        <v>92.472930296340706</v>
      </c>
      <c r="AK4481">
        <v>28.048116701333399</v>
      </c>
      <c r="AL4481">
        <v>81.977486465315593</v>
      </c>
      <c r="AM4481">
        <v>89.717976006255896</v>
      </c>
      <c r="AN4481">
        <v>0.99999998930133605</v>
      </c>
    </row>
    <row r="4482" spans="1:40" x14ac:dyDescent="0.25">
      <c r="A4482" t="str">
        <f>"20190312164600679"</f>
        <v>20190312164600679</v>
      </c>
      <c r="B4482" t="str">
        <f>"1552380360676403"</f>
        <v>1552380360676403</v>
      </c>
      <c r="C4482" t="s">
        <v>40</v>
      </c>
      <c r="D4482">
        <v>4.7311829999999997</v>
      </c>
      <c r="E4482">
        <v>0.48423250000000001</v>
      </c>
      <c r="F4482" t="s">
        <v>42</v>
      </c>
      <c r="G4482">
        <v>-421.87209999999999</v>
      </c>
      <c r="H4482" s="1">
        <v>-3.9700339999999998E-6</v>
      </c>
      <c r="I4482">
        <v>47.68224</v>
      </c>
      <c r="J4482">
        <v>-422.459</v>
      </c>
      <c r="K4482">
        <v>1.108179</v>
      </c>
      <c r="L4482">
        <v>75.996549999999999</v>
      </c>
      <c r="M4482">
        <v>-2.4360099999999999E-2</v>
      </c>
      <c r="N4482">
        <v>0</v>
      </c>
      <c r="O4482">
        <v>-0.99965470000000001</v>
      </c>
      <c r="P4482">
        <v>-2.8408300000000001E-2</v>
      </c>
      <c r="Q4482">
        <v>0.13021720000000001</v>
      </c>
      <c r="R4482">
        <v>-0.99107869999999998</v>
      </c>
      <c r="S4482">
        <v>6.149292E-2</v>
      </c>
      <c r="T4482">
        <v>-0.1177557</v>
      </c>
      <c r="U4482">
        <v>-3.0441889999999998</v>
      </c>
      <c r="V4482">
        <v>4.3539130000000001E-3</v>
      </c>
      <c r="W4482">
        <v>0.14000370000000001</v>
      </c>
      <c r="X4482">
        <v>0.99014139999999995</v>
      </c>
      <c r="Y4482">
        <v>-4.4531220000000003E-2</v>
      </c>
      <c r="Z4482">
        <v>3.8612880000000002E-2</v>
      </c>
      <c r="AA4482">
        <v>0.99826150000000002</v>
      </c>
      <c r="AB4482">
        <v>33</v>
      </c>
      <c r="AC4482">
        <v>0.58690000000001397</v>
      </c>
      <c r="AD4482">
        <v>-1.108182970034</v>
      </c>
      <c r="AE4482">
        <v>-28.314309999999999</v>
      </c>
      <c r="AF4482">
        <v>-1.2745471675323501</v>
      </c>
      <c r="AG4482">
        <v>-1.108182970034</v>
      </c>
      <c r="AH4482">
        <v>28.248356104055699</v>
      </c>
      <c r="AI4482">
        <v>92.244280438737405</v>
      </c>
      <c r="AJ4482">
        <v>92.5833956213541</v>
      </c>
      <c r="AK4482">
        <v>28.298801433256401</v>
      </c>
      <c r="AL4482">
        <v>81.951939587136906</v>
      </c>
      <c r="AM4482">
        <v>89.748056962941405</v>
      </c>
      <c r="AN4482">
        <v>0.99999999228303005</v>
      </c>
    </row>
    <row r="4483" spans="1:40" x14ac:dyDescent="0.25">
      <c r="A4483" t="str">
        <f>"20190312164600701"</f>
        <v>20190312164600701</v>
      </c>
      <c r="B4483" t="str">
        <f>"1552380360695923"</f>
        <v>1552380360695923</v>
      </c>
      <c r="C4483" t="s">
        <v>40</v>
      </c>
      <c r="D4483">
        <v>4.5231539999999999</v>
      </c>
      <c r="E4483">
        <v>0.483931</v>
      </c>
      <c r="F4483" t="s">
        <v>42</v>
      </c>
      <c r="G4483">
        <v>-421.8218</v>
      </c>
      <c r="H4483" s="1">
        <v>-3.5558439999999998E-6</v>
      </c>
      <c r="I4483">
        <v>46.747929999999997</v>
      </c>
      <c r="J4483">
        <v>-422.4674</v>
      </c>
      <c r="K4483">
        <v>1.108285</v>
      </c>
      <c r="L4483">
        <v>75.66037</v>
      </c>
      <c r="M4483">
        <v>-2.4508760000000001E-2</v>
      </c>
      <c r="N4483">
        <v>0</v>
      </c>
      <c r="O4483">
        <v>-0.99964799999999998</v>
      </c>
      <c r="P4483">
        <v>-2.8504789999999999E-2</v>
      </c>
      <c r="Q4483">
        <v>0.1299477</v>
      </c>
      <c r="R4483">
        <v>-0.99111119999999997</v>
      </c>
      <c r="S4483">
        <v>6.6314699999999893E-2</v>
      </c>
      <c r="T4483">
        <v>-0.1153347</v>
      </c>
      <c r="U4483">
        <v>-3.0440670000000001</v>
      </c>
      <c r="V4483">
        <v>4.2809939999999998E-3</v>
      </c>
      <c r="W4483">
        <v>0.1400315</v>
      </c>
      <c r="X4483">
        <v>0.99013779999999996</v>
      </c>
      <c r="Y4483">
        <v>-4.626181E-2</v>
      </c>
      <c r="Z4483">
        <v>3.7819400000000003E-2</v>
      </c>
      <c r="AA4483">
        <v>0.99821320000000002</v>
      </c>
      <c r="AB4483">
        <v>33</v>
      </c>
      <c r="AC4483">
        <v>0.64560000000000095</v>
      </c>
      <c r="AD4483">
        <v>-1.1082885558440001</v>
      </c>
      <c r="AE4483">
        <v>-28.91244</v>
      </c>
      <c r="AF4483">
        <v>-1.35206495376553</v>
      </c>
      <c r="AG4483">
        <v>-1.1082885558440001</v>
      </c>
      <c r="AH4483">
        <v>28.845566396098601</v>
      </c>
      <c r="AI4483">
        <v>92.197894057997104</v>
      </c>
      <c r="AJ4483">
        <v>92.6836344991369</v>
      </c>
      <c r="AK4483">
        <v>28.898496221671301</v>
      </c>
      <c r="AL4483">
        <v>81.950331024128005</v>
      </c>
      <c r="AM4483">
        <v>89.752275531836403</v>
      </c>
      <c r="AN4483">
        <v>1.0000000054453499</v>
      </c>
    </row>
    <row r="4484" spans="1:40" x14ac:dyDescent="0.25">
      <c r="A4484" t="str">
        <f>"20190312164600724"</f>
        <v>20190312164600724</v>
      </c>
      <c r="B4484" t="str">
        <f>"1552380360716422"</f>
        <v>1552380360716422</v>
      </c>
      <c r="C4484" t="s">
        <v>40</v>
      </c>
      <c r="D4484">
        <v>4.6680650000000004</v>
      </c>
      <c r="E4484">
        <v>0.48364190000000001</v>
      </c>
      <c r="F4484" t="s">
        <v>42</v>
      </c>
      <c r="G4484">
        <v>-421.80169999999998</v>
      </c>
      <c r="H4484" s="1">
        <v>-3.3776979999999998E-6</v>
      </c>
      <c r="I4484">
        <v>46.345149999999997</v>
      </c>
      <c r="J4484">
        <v>-422.47559999999999</v>
      </c>
      <c r="K4484">
        <v>1.1083909999999999</v>
      </c>
      <c r="L4484">
        <v>75.33032</v>
      </c>
      <c r="M4484">
        <v>-2.459182E-2</v>
      </c>
      <c r="N4484">
        <v>0</v>
      </c>
      <c r="O4484">
        <v>-0.99964219999999904</v>
      </c>
      <c r="P4484">
        <v>-2.8079260000000002E-2</v>
      </c>
      <c r="Q4484">
        <v>0.13001889999999999</v>
      </c>
      <c r="R4484">
        <v>-0.99111380000000004</v>
      </c>
      <c r="S4484">
        <v>6.9122310000000006E-2</v>
      </c>
      <c r="T4484">
        <v>-0.11508019999999999</v>
      </c>
      <c r="U4484">
        <v>-3.0439759999999998</v>
      </c>
      <c r="V4484">
        <v>3.7545080000000002E-3</v>
      </c>
      <c r="W4484">
        <v>0.14043939999999999</v>
      </c>
      <c r="X4484">
        <v>0.99008209999999996</v>
      </c>
      <c r="Y4484">
        <v>-4.7265849999999998E-2</v>
      </c>
      <c r="Z4484">
        <v>3.77358E-2</v>
      </c>
      <c r="AA4484">
        <v>0.99816930000000004</v>
      </c>
      <c r="AB4484">
        <v>33</v>
      </c>
      <c r="AC4484">
        <v>0.67390000000000305</v>
      </c>
      <c r="AD4484">
        <v>-1.1083943776980001</v>
      </c>
      <c r="AE4484">
        <v>-28.98517</v>
      </c>
      <c r="AF4484">
        <v>-1.38451024101759</v>
      </c>
      <c r="AG4484">
        <v>-1.1083943776980001</v>
      </c>
      <c r="AH4484">
        <v>28.917566502532399</v>
      </c>
      <c r="AI4484">
        <v>92.192532046728303</v>
      </c>
      <c r="AJ4484">
        <v>92.741104222494698</v>
      </c>
      <c r="AK4484">
        <v>28.971901199824298</v>
      </c>
      <c r="AL4484">
        <v>81.926726316332505</v>
      </c>
      <c r="AM4484">
        <v>89.782728693493198</v>
      </c>
      <c r="AN4484">
        <v>0.99999994307154405</v>
      </c>
    </row>
    <row r="4485" spans="1:40" x14ac:dyDescent="0.25">
      <c r="A4485" t="str">
        <f>"20190312164600745"</f>
        <v>20190312164600745</v>
      </c>
      <c r="B4485" t="str">
        <f>"1552380360735939"</f>
        <v>1552380360735939</v>
      </c>
      <c r="C4485" t="s">
        <v>40</v>
      </c>
      <c r="D4485">
        <v>4.57775</v>
      </c>
      <c r="E4485">
        <v>0.48349779999999998</v>
      </c>
      <c r="F4485" t="s">
        <v>42</v>
      </c>
      <c r="G4485">
        <v>-421.77140000000003</v>
      </c>
      <c r="H4485" s="1">
        <v>-3.116903E-6</v>
      </c>
      <c r="I4485">
        <v>45.756</v>
      </c>
      <c r="J4485">
        <v>-422.48360000000002</v>
      </c>
      <c r="K4485">
        <v>1.10849</v>
      </c>
      <c r="L4485">
        <v>75.007930000000002</v>
      </c>
      <c r="M4485">
        <v>-2.4629990000000001E-2</v>
      </c>
      <c r="N4485">
        <v>0</v>
      </c>
      <c r="O4485">
        <v>-0.99963780000000002</v>
      </c>
      <c r="P4485">
        <v>-2.7591729999999998E-2</v>
      </c>
      <c r="Q4485">
        <v>0.1297693</v>
      </c>
      <c r="R4485">
        <v>-0.99116040000000005</v>
      </c>
      <c r="S4485">
        <v>7.2479249999999995E-2</v>
      </c>
      <c r="T4485">
        <v>-0.11408069999999999</v>
      </c>
      <c r="U4485">
        <v>-3.0439150000000001</v>
      </c>
      <c r="V4485">
        <v>3.2120209999999998E-3</v>
      </c>
      <c r="W4485">
        <v>0.1405296</v>
      </c>
      <c r="X4485">
        <v>0.99007129999999999</v>
      </c>
      <c r="Y4485">
        <v>-4.8405009999999998E-2</v>
      </c>
      <c r="Z4485">
        <v>3.740769E-2</v>
      </c>
      <c r="AA4485">
        <v>0.99812699999999999</v>
      </c>
      <c r="AB4485">
        <v>33</v>
      </c>
      <c r="AC4485">
        <v>0.71219999999999495</v>
      </c>
      <c r="AD4485">
        <v>-1.1084931169029999</v>
      </c>
      <c r="AE4485">
        <v>-29.251929999999899</v>
      </c>
      <c r="AF4485">
        <v>-1.43044812284269</v>
      </c>
      <c r="AG4485">
        <v>-1.1084931169029999</v>
      </c>
      <c r="AH4485">
        <v>29.183629349804001</v>
      </c>
      <c r="AI4485">
        <v>92.172636302051203</v>
      </c>
      <c r="AJ4485">
        <v>92.806131416152795</v>
      </c>
      <c r="AK4485">
        <v>29.239684691342099</v>
      </c>
      <c r="AL4485">
        <v>81.921507196677993</v>
      </c>
      <c r="AM4485">
        <v>89.814119850406797</v>
      </c>
      <c r="AN4485">
        <v>1.0000000323193701</v>
      </c>
    </row>
    <row r="4486" spans="1:40" x14ac:dyDescent="0.25">
      <c r="A4486" t="str">
        <f>"20190312164600769"</f>
        <v>20190312164600769</v>
      </c>
      <c r="B4486" t="str">
        <f>"1552380360756436"</f>
        <v>1552380360756436</v>
      </c>
      <c r="C4486" t="s">
        <v>40</v>
      </c>
      <c r="D4486">
        <v>4.766788</v>
      </c>
      <c r="E4486">
        <v>0.47085959999999899</v>
      </c>
      <c r="F4486" t="s">
        <v>42</v>
      </c>
      <c r="G4486">
        <v>-421.76220000000001</v>
      </c>
      <c r="H4486" s="1">
        <v>-3.0273939999999999E-6</v>
      </c>
      <c r="I4486">
        <v>45.553080000000001</v>
      </c>
      <c r="J4486">
        <v>-422.49180000000001</v>
      </c>
      <c r="K4486">
        <v>1.108573</v>
      </c>
      <c r="L4486">
        <v>74.680390000000003</v>
      </c>
      <c r="M4486">
        <v>-2.464262E-2</v>
      </c>
      <c r="N4486">
        <v>0</v>
      </c>
      <c r="O4486">
        <v>-0.99963380000000002</v>
      </c>
      <c r="P4486">
        <v>-2.6865179999999999E-2</v>
      </c>
      <c r="Q4486">
        <v>0.1292452</v>
      </c>
      <c r="R4486">
        <v>-0.99124889999999999</v>
      </c>
      <c r="S4486">
        <v>7.455444E-2</v>
      </c>
      <c r="T4486">
        <v>-0.1145501</v>
      </c>
      <c r="U4486">
        <v>-3.0438230000000002</v>
      </c>
      <c r="V4486">
        <v>2.4577269999999998E-3</v>
      </c>
      <c r="W4486">
        <v>0.14033039999999999</v>
      </c>
      <c r="X4486">
        <v>0.99010169999999997</v>
      </c>
      <c r="Y4486">
        <v>-4.9098389999999999E-2</v>
      </c>
      <c r="Z4486">
        <v>3.7561570000000002E-2</v>
      </c>
      <c r="AA4486">
        <v>0.99808739999999996</v>
      </c>
      <c r="AB4486">
        <v>33</v>
      </c>
      <c r="AC4486">
        <v>0.72960000000000402</v>
      </c>
      <c r="AD4486">
        <v>-1.108576027394</v>
      </c>
      <c r="AE4486">
        <v>-29.127309999999898</v>
      </c>
      <c r="AF4486">
        <v>-1.44510453245751</v>
      </c>
      <c r="AG4486">
        <v>-1.108576027394</v>
      </c>
      <c r="AH4486">
        <v>29.058417406043802</v>
      </c>
      <c r="AI4486">
        <v>92.182075315998503</v>
      </c>
      <c r="AJ4486">
        <v>92.8470316312535</v>
      </c>
      <c r="AK4486">
        <v>29.115440749920101</v>
      </c>
      <c r="AL4486">
        <v>81.933034638143695</v>
      </c>
      <c r="AM4486">
        <v>89.857775120407396</v>
      </c>
      <c r="AN4486">
        <v>1.00000001896452</v>
      </c>
    </row>
    <row r="4487" spans="1:40" x14ac:dyDescent="0.25">
      <c r="A4487" t="str">
        <f>"20190312164600791"</f>
        <v>20190312164600791</v>
      </c>
      <c r="B4487" t="str">
        <f>"1552380360786692"</f>
        <v>1552380360786692</v>
      </c>
      <c r="C4487" t="s">
        <v>40</v>
      </c>
      <c r="D4487">
        <v>4.754677</v>
      </c>
      <c r="E4487">
        <v>0.47350710000000001</v>
      </c>
      <c r="F4487" t="s">
        <v>42</v>
      </c>
      <c r="G4487">
        <v>-421.78919999999999</v>
      </c>
      <c r="H4487" s="1">
        <v>-1.9795030000000001E-6</v>
      </c>
      <c r="I4487">
        <v>63.093690000000002</v>
      </c>
      <c r="J4487">
        <v>-422.50020000000001</v>
      </c>
      <c r="K4487">
        <v>1.108638</v>
      </c>
      <c r="L4487">
        <v>74.339569999999995</v>
      </c>
      <c r="M4487">
        <v>-2.4638690000000001E-2</v>
      </c>
      <c r="N4487">
        <v>0</v>
      </c>
      <c r="O4487">
        <v>-0.99963020000000002</v>
      </c>
      <c r="P4487">
        <v>-2.569579E-2</v>
      </c>
      <c r="Q4487">
        <v>0.1317333</v>
      </c>
      <c r="R4487">
        <v>-0.99095180000000005</v>
      </c>
      <c r="S4487">
        <v>0.18615719999999999</v>
      </c>
      <c r="T4487">
        <v>-0.2937129</v>
      </c>
      <c r="U4487">
        <v>-3.069855</v>
      </c>
      <c r="V4487">
        <v>1.290771E-3</v>
      </c>
      <c r="W4487">
        <v>0.1431229</v>
      </c>
      <c r="X4487">
        <v>0.98970409999999998</v>
      </c>
      <c r="Y4487">
        <v>-8.4832290000000005E-2</v>
      </c>
      <c r="Z4487">
        <v>9.4939990000000002E-2</v>
      </c>
      <c r="AA4487">
        <v>0.99186180000000002</v>
      </c>
      <c r="AB4487">
        <v>33</v>
      </c>
      <c r="AC4487">
        <v>0.71100000000001196</v>
      </c>
      <c r="AD4487">
        <v>-1.108639979503</v>
      </c>
      <c r="AE4487">
        <v>-11.2458799999999</v>
      </c>
      <c r="AF4487">
        <v>-0.97841545895373205</v>
      </c>
      <c r="AG4487">
        <v>-1.108639979503</v>
      </c>
      <c r="AH4487">
        <v>11.1173338646612</v>
      </c>
      <c r="AI4487">
        <v>95.673024192958195</v>
      </c>
      <c r="AJ4487">
        <v>95.029534256477504</v>
      </c>
      <c r="AK4487">
        <v>11.2152348023934</v>
      </c>
      <c r="AL4487">
        <v>81.771404592546205</v>
      </c>
      <c r="AM4487">
        <v>89.925274949667596</v>
      </c>
      <c r="AN4487">
        <v>1.00000001807549</v>
      </c>
    </row>
    <row r="4488" spans="1:40" x14ac:dyDescent="0.25">
      <c r="A4488" t="str">
        <f>"20190312164600814"</f>
        <v>20190312164600814</v>
      </c>
      <c r="B4488" t="str">
        <f>"1552380360806211"</f>
        <v>1552380360806211</v>
      </c>
      <c r="C4488" t="s">
        <v>40</v>
      </c>
      <c r="D4488">
        <v>4.7664109999999997</v>
      </c>
      <c r="E4488">
        <v>0.47483710000000001</v>
      </c>
      <c r="F4488" t="s">
        <v>42</v>
      </c>
      <c r="G4488">
        <v>-421.43329999999997</v>
      </c>
      <c r="H4488" s="1">
        <v>-2.316908E-6</v>
      </c>
      <c r="I4488">
        <v>54.100900000000003</v>
      </c>
      <c r="J4488">
        <v>-422.5086</v>
      </c>
      <c r="K4488">
        <v>1.1086940000000001</v>
      </c>
      <c r="L4488">
        <v>73.997739999999993</v>
      </c>
      <c r="M4488">
        <v>-2.4626269999999999E-2</v>
      </c>
      <c r="N4488">
        <v>0</v>
      </c>
      <c r="O4488">
        <v>-0.99962759999999995</v>
      </c>
      <c r="P4488">
        <v>-2.4440859999999998E-2</v>
      </c>
      <c r="Q4488">
        <v>0.13515279999999999</v>
      </c>
      <c r="R4488">
        <v>-0.99052370000000001</v>
      </c>
      <c r="S4488">
        <v>0.16098019999999999</v>
      </c>
      <c r="T4488">
        <v>-0.16728209999999999</v>
      </c>
      <c r="U4488">
        <v>-3.0538020000000001</v>
      </c>
      <c r="V4488" s="1">
        <v>5.3328459999999898E-5</v>
      </c>
      <c r="W4488">
        <v>0.14681839999999999</v>
      </c>
      <c r="X4488">
        <v>0.98916349999999997</v>
      </c>
      <c r="Y4488">
        <v>-7.7140990000000006E-2</v>
      </c>
      <c r="Z4488">
        <v>5.4552150000000001E-2</v>
      </c>
      <c r="AA4488">
        <v>0.99552669999999999</v>
      </c>
      <c r="AB4488">
        <v>33</v>
      </c>
      <c r="AC4488">
        <v>1.0753000000000199</v>
      </c>
      <c r="AD4488">
        <v>-1.108696316908</v>
      </c>
      <c r="AE4488">
        <v>-19.896840000000001</v>
      </c>
      <c r="AF4488">
        <v>-1.56016251771505</v>
      </c>
      <c r="AG4488">
        <v>-1.108696316908</v>
      </c>
      <c r="AH4488">
        <v>19.803013902043499</v>
      </c>
      <c r="AI4488">
        <v>93.194551833906203</v>
      </c>
      <c r="AJ4488">
        <v>94.504691374786105</v>
      </c>
      <c r="AK4488">
        <v>19.895292765107499</v>
      </c>
      <c r="AL4488">
        <v>81.557407400570298</v>
      </c>
      <c r="AM4488">
        <v>89.996911030701199</v>
      </c>
      <c r="AN4488">
        <v>1.0000000375773599</v>
      </c>
    </row>
    <row r="4489" spans="1:40" x14ac:dyDescent="0.25">
      <c r="A4489" t="str">
        <f>"20190312164600835"</f>
        <v>20190312164600835</v>
      </c>
      <c r="B4489" t="str">
        <f>"1552380360825732"</f>
        <v>1552380360825732</v>
      </c>
      <c r="C4489" t="s">
        <v>40</v>
      </c>
      <c r="D4489">
        <v>4.9245330000000003</v>
      </c>
      <c r="E4489">
        <v>0.4757478</v>
      </c>
      <c r="F4489" t="s">
        <v>42</v>
      </c>
      <c r="G4489">
        <v>-421.3098</v>
      </c>
      <c r="H4489" s="1">
        <v>-5.5862090000000004E-7</v>
      </c>
      <c r="I4489">
        <v>50.078879999999998</v>
      </c>
      <c r="J4489">
        <v>-422.51609999999999</v>
      </c>
      <c r="K4489">
        <v>1.108733</v>
      </c>
      <c r="L4489">
        <v>73.693879999999993</v>
      </c>
      <c r="M4489">
        <v>-2.4613920000000001E-2</v>
      </c>
      <c r="N4489">
        <v>0</v>
      </c>
      <c r="O4489">
        <v>-0.99962499999999999</v>
      </c>
      <c r="P4489">
        <v>-2.2892940000000001E-2</v>
      </c>
      <c r="Q4489">
        <v>0.13820760000000001</v>
      </c>
      <c r="R4489">
        <v>-0.99013899999999999</v>
      </c>
      <c r="S4489">
        <v>0.15295410000000001</v>
      </c>
      <c r="T4489">
        <v>-0.141456</v>
      </c>
      <c r="U4489">
        <v>-3.051758</v>
      </c>
      <c r="V4489">
        <v>-1.4754189999999999E-3</v>
      </c>
      <c r="W4489">
        <v>0.15009529999999999</v>
      </c>
      <c r="X4489">
        <v>0.98867039999999995</v>
      </c>
      <c r="Y4489">
        <v>-7.4573379999999995E-2</v>
      </c>
      <c r="Z4489">
        <v>4.6188149999999997E-2</v>
      </c>
      <c r="AA4489">
        <v>0.99614530000000001</v>
      </c>
      <c r="AB4489">
        <v>33</v>
      </c>
      <c r="AC4489">
        <v>1.2062999999999899</v>
      </c>
      <c r="AD4489">
        <v>-1.1087335586209</v>
      </c>
      <c r="AE4489">
        <v>-23.614999999999998</v>
      </c>
      <c r="AF4489">
        <v>-1.78331325948532</v>
      </c>
      <c r="AG4489">
        <v>-1.1087335586209</v>
      </c>
      <c r="AH4489">
        <v>23.526425201418501</v>
      </c>
      <c r="AI4489">
        <v>92.690484000898493</v>
      </c>
      <c r="AJ4489">
        <v>94.334755604351798</v>
      </c>
      <c r="AK4489">
        <v>23.6199529856308</v>
      </c>
      <c r="AL4489">
        <v>81.367550349169207</v>
      </c>
      <c r="AM4489">
        <v>90.085503944448007</v>
      </c>
      <c r="AN4489">
        <v>0.999999967889737</v>
      </c>
    </row>
    <row r="4490" spans="1:40" x14ac:dyDescent="0.25">
      <c r="A4490" t="str">
        <f>"20190312164600856"</f>
        <v>20190312164600856</v>
      </c>
      <c r="B4490" t="str">
        <f>"1552380360846227"</f>
        <v>1552380360846227</v>
      </c>
      <c r="C4490" t="s">
        <v>40</v>
      </c>
      <c r="D4490">
        <v>4.9450750000000001</v>
      </c>
      <c r="E4490">
        <v>0.47612660000000001</v>
      </c>
      <c r="F4490" t="s">
        <v>42</v>
      </c>
      <c r="G4490">
        <v>-421.17919999999998</v>
      </c>
      <c r="H4490" s="1">
        <v>-3.368447E-6</v>
      </c>
      <c r="I4490">
        <v>46.709650000000003</v>
      </c>
      <c r="J4490">
        <v>-422.52420000000001</v>
      </c>
      <c r="K4490">
        <v>1.108762</v>
      </c>
      <c r="L4490">
        <v>73.366029999999995</v>
      </c>
      <c r="M4490">
        <v>-2.4602789999999999E-2</v>
      </c>
      <c r="N4490">
        <v>0</v>
      </c>
      <c r="O4490">
        <v>-0.99962260000000003</v>
      </c>
      <c r="P4490">
        <v>-2.1180580000000001E-2</v>
      </c>
      <c r="Q4490">
        <v>0.13976469999999999</v>
      </c>
      <c r="R4490">
        <v>-0.98995820000000001</v>
      </c>
      <c r="S4490">
        <v>0.1511536</v>
      </c>
      <c r="T4490">
        <v>-0.1253552</v>
      </c>
      <c r="U4490">
        <v>-3.0508730000000002</v>
      </c>
      <c r="V4490">
        <v>-3.1745409999999999E-3</v>
      </c>
      <c r="W4490">
        <v>0.15186859999999999</v>
      </c>
      <c r="X4490">
        <v>0.98839560000000004</v>
      </c>
      <c r="Y4490">
        <v>-7.4001639999999994E-2</v>
      </c>
      <c r="Z4490">
        <v>4.0953679999999999E-2</v>
      </c>
      <c r="AA4490">
        <v>0.99641690000000005</v>
      </c>
      <c r="AB4490">
        <v>33</v>
      </c>
      <c r="AC4490">
        <v>1.34500000000002</v>
      </c>
      <c r="AD4490">
        <v>-1.108765368447</v>
      </c>
      <c r="AE4490">
        <v>-26.656379999999999</v>
      </c>
      <c r="AF4490">
        <v>-1.9970168061591</v>
      </c>
      <c r="AG4490">
        <v>-1.108765368447</v>
      </c>
      <c r="AH4490">
        <v>26.569365297534802</v>
      </c>
      <c r="AI4490">
        <v>92.382908185881405</v>
      </c>
      <c r="AJ4490">
        <v>94.298405026339594</v>
      </c>
      <c r="AK4490">
        <v>26.667369744318599</v>
      </c>
      <c r="AL4490">
        <v>81.264769832392801</v>
      </c>
      <c r="AM4490">
        <v>90.184022648178001</v>
      </c>
      <c r="AN4490">
        <v>1.0000000057379399</v>
      </c>
    </row>
    <row r="4491" spans="1:40" x14ac:dyDescent="0.25">
      <c r="A4491" t="str">
        <f>"20190312164600881"</f>
        <v>20190312164600881</v>
      </c>
      <c r="B4491" t="str">
        <f>"1552380360876483"</f>
        <v>1552380360876483</v>
      </c>
      <c r="C4491" t="s">
        <v>40</v>
      </c>
      <c r="D4491">
        <v>4.5967140000000004</v>
      </c>
      <c r="E4491">
        <v>0.47384159999999997</v>
      </c>
      <c r="F4491" t="s">
        <v>42</v>
      </c>
      <c r="G4491">
        <v>-421.05380000000002</v>
      </c>
      <c r="H4491" s="1">
        <v>-2.239366E-6</v>
      </c>
      <c r="I4491">
        <v>44.155529999999999</v>
      </c>
      <c r="J4491">
        <v>-422.53269999999998</v>
      </c>
      <c r="K4491">
        <v>1.1087769999999999</v>
      </c>
      <c r="L4491">
        <v>73.023349999999994</v>
      </c>
      <c r="M4491">
        <v>-2.4595309999999999E-2</v>
      </c>
      <c r="N4491">
        <v>0</v>
      </c>
      <c r="O4491">
        <v>-0.99962019999999996</v>
      </c>
      <c r="P4491">
        <v>-1.8699299999999999E-2</v>
      </c>
      <c r="Q4491">
        <v>0.14089299999999999</v>
      </c>
      <c r="R4491">
        <v>-0.98984839999999996</v>
      </c>
      <c r="S4491">
        <v>0.1535339</v>
      </c>
      <c r="T4491">
        <v>-0.115773</v>
      </c>
      <c r="U4491">
        <v>-3.050049</v>
      </c>
      <c r="V4491">
        <v>-5.6462860000000004E-3</v>
      </c>
      <c r="W4491">
        <v>0.153198</v>
      </c>
      <c r="X4491">
        <v>0.98817940000000004</v>
      </c>
      <c r="Y4491">
        <v>-7.4789399999999895E-2</v>
      </c>
      <c r="Z4491">
        <v>3.7836179999999997E-2</v>
      </c>
      <c r="AA4491">
        <v>0.99648130000000001</v>
      </c>
      <c r="AB4491">
        <v>33</v>
      </c>
      <c r="AC4491">
        <v>1.4788999999999499</v>
      </c>
      <c r="AD4491">
        <v>-1.1087792393660001</v>
      </c>
      <c r="AE4491">
        <v>-28.867819999999899</v>
      </c>
      <c r="AF4491">
        <v>-2.1853049875794999</v>
      </c>
      <c r="AG4491">
        <v>-1.1087792393660001</v>
      </c>
      <c r="AH4491">
        <v>28.780362265565699</v>
      </c>
      <c r="AI4491">
        <v>92.199933817480797</v>
      </c>
      <c r="AJ4491">
        <v>94.342160574175495</v>
      </c>
      <c r="AK4491">
        <v>28.884497596939202</v>
      </c>
      <c r="AL4491">
        <v>81.187699061129706</v>
      </c>
      <c r="AM4491">
        <v>90.327374601391995</v>
      </c>
      <c r="AN4491">
        <v>1.0000000171669701</v>
      </c>
    </row>
    <row r="4492" spans="1:40" x14ac:dyDescent="0.25">
      <c r="A4492" t="str">
        <f>"20190312164600902"</f>
        <v>20190312164600902</v>
      </c>
      <c r="B4492" t="str">
        <f>"1552380360896003"</f>
        <v>1552380360896003</v>
      </c>
      <c r="C4492" t="s">
        <v>40</v>
      </c>
      <c r="D4492">
        <v>4.6020000000000003</v>
      </c>
      <c r="E4492">
        <v>0.47211229999999998</v>
      </c>
      <c r="F4492" t="s">
        <v>42</v>
      </c>
      <c r="G4492">
        <v>-420.82440000000003</v>
      </c>
      <c r="H4492" s="1">
        <v>-2.0699669999999998E-6</v>
      </c>
      <c r="I4492">
        <v>43.902909999999999</v>
      </c>
      <c r="J4492">
        <v>-422.54059999999998</v>
      </c>
      <c r="K4492">
        <v>1.1087959999999999</v>
      </c>
      <c r="L4492">
        <v>72.699039999999997</v>
      </c>
      <c r="M4492">
        <v>-2.4591849999999998E-2</v>
      </c>
      <c r="N4492">
        <v>0</v>
      </c>
      <c r="O4492">
        <v>-0.99961809999999995</v>
      </c>
      <c r="P4492">
        <v>-1.6316540000000001E-2</v>
      </c>
      <c r="Q4492">
        <v>0.14228399999999999</v>
      </c>
      <c r="R4492">
        <v>-0.9896916</v>
      </c>
      <c r="S4492">
        <v>0.17895510000000001</v>
      </c>
      <c r="T4492">
        <v>-0.11615689999999999</v>
      </c>
      <c r="U4492">
        <v>-3.0506899999999999</v>
      </c>
      <c r="V4492">
        <v>-8.0219750000000006E-3</v>
      </c>
      <c r="W4492">
        <v>0.15475559999999999</v>
      </c>
      <c r="X4492">
        <v>0.98792020000000003</v>
      </c>
      <c r="Y4492">
        <v>-8.3051550000000002E-2</v>
      </c>
      <c r="Z4492">
        <v>3.7932510000000003E-2</v>
      </c>
      <c r="AA4492">
        <v>0.99582309999999996</v>
      </c>
      <c r="AB4492">
        <v>33</v>
      </c>
      <c r="AC4492">
        <v>1.71619999999995</v>
      </c>
      <c r="AD4492">
        <v>-1.1087980699669999</v>
      </c>
      <c r="AE4492">
        <v>-28.796130000000002</v>
      </c>
      <c r="AF4492">
        <v>-2.4203115146208201</v>
      </c>
      <c r="AG4492">
        <v>-1.1087980699669999</v>
      </c>
      <c r="AH4492">
        <v>28.702806650788698</v>
      </c>
      <c r="AI4492">
        <v>92.2044376454825</v>
      </c>
      <c r="AJ4492">
        <v>94.819959137443803</v>
      </c>
      <c r="AK4492">
        <v>28.826003028868399</v>
      </c>
      <c r="AL4492">
        <v>81.097377728253704</v>
      </c>
      <c r="AM4492">
        <v>90.465235157044106</v>
      </c>
      <c r="AN4492">
        <v>0.99999998469115003</v>
      </c>
    </row>
    <row r="4493" spans="1:40" x14ac:dyDescent="0.25">
      <c r="A4493" t="str">
        <f>"20190312164600924"</f>
        <v>20190312164600924</v>
      </c>
      <c r="B4493" t="str">
        <f>"1552380360916503"</f>
        <v>1552380360916503</v>
      </c>
      <c r="C4493" t="s">
        <v>40</v>
      </c>
      <c r="D4493">
        <v>4.6709420000000001</v>
      </c>
      <c r="E4493">
        <v>0.4710241</v>
      </c>
      <c r="F4493" t="s">
        <v>42</v>
      </c>
      <c r="G4493">
        <v>-420.72789999999998</v>
      </c>
      <c r="H4493" s="1">
        <v>-2.529029E-6</v>
      </c>
      <c r="I4493">
        <v>45.032890000000002</v>
      </c>
      <c r="J4493">
        <v>-422.54840000000002</v>
      </c>
      <c r="K4493">
        <v>1.10880499999999</v>
      </c>
      <c r="L4493">
        <v>72.381010000000003</v>
      </c>
      <c r="M4493">
        <v>-2.459068E-2</v>
      </c>
      <c r="N4493">
        <v>0</v>
      </c>
      <c r="O4493">
        <v>-0.99961639999999996</v>
      </c>
      <c r="P4493">
        <v>-1.4274999999999999E-2</v>
      </c>
      <c r="Q4493">
        <v>0.14300760000000001</v>
      </c>
      <c r="R4493">
        <v>-0.98961880000000002</v>
      </c>
      <c r="S4493">
        <v>0.19998170000000001</v>
      </c>
      <c r="T4493">
        <v>-0.1223224</v>
      </c>
      <c r="U4493">
        <v>-3.0521240000000001</v>
      </c>
      <c r="V4493">
        <v>-1.0060329999999999E-2</v>
      </c>
      <c r="W4493">
        <v>0.15562329999999999</v>
      </c>
      <c r="X4493">
        <v>0.98776529999999996</v>
      </c>
      <c r="Y4493">
        <v>-8.9850109999999997E-2</v>
      </c>
      <c r="Z4493">
        <v>3.9903790000000001E-2</v>
      </c>
      <c r="AA4493">
        <v>0.99515560000000003</v>
      </c>
      <c r="AB4493">
        <v>33</v>
      </c>
      <c r="AC4493">
        <v>1.82050000000003</v>
      </c>
      <c r="AD4493">
        <v>-1.10880752902899</v>
      </c>
      <c r="AE4493">
        <v>-27.348120000000002</v>
      </c>
      <c r="AF4493">
        <v>-2.48844033234493</v>
      </c>
      <c r="AG4493">
        <v>-1.10880752902899</v>
      </c>
      <c r="AH4493">
        <v>27.250480131146599</v>
      </c>
      <c r="AI4493">
        <v>92.320405379336194</v>
      </c>
      <c r="AJ4493">
        <v>95.217625131975396</v>
      </c>
      <c r="AK4493">
        <v>27.3863187888056</v>
      </c>
      <c r="AL4493">
        <v>81.047053106655994</v>
      </c>
      <c r="AM4493">
        <v>90.583533881665204</v>
      </c>
      <c r="AN4493">
        <v>1.0000000548133401</v>
      </c>
    </row>
    <row r="4494" spans="1:40" x14ac:dyDescent="0.25">
      <c r="A4494" t="str">
        <f>"20190312164600946"</f>
        <v>20190312164600946</v>
      </c>
      <c r="B4494" t="str">
        <f>"1552380360936020"</f>
        <v>1552380360936020</v>
      </c>
      <c r="C4494" t="s">
        <v>40</v>
      </c>
      <c r="D4494">
        <v>4.7697029999999998</v>
      </c>
      <c r="E4494">
        <v>0.47085630000000001</v>
      </c>
      <c r="F4494" t="s">
        <v>42</v>
      </c>
      <c r="G4494">
        <v>-420.6694</v>
      </c>
      <c r="H4494" s="1">
        <v>-2.7993480000000001E-6</v>
      </c>
      <c r="I4494">
        <v>45.699280000000002</v>
      </c>
      <c r="J4494">
        <v>-422.5564</v>
      </c>
      <c r="K4494">
        <v>1.108819</v>
      </c>
      <c r="L4494">
        <v>72.05771</v>
      </c>
      <c r="M4494">
        <v>-2.4590600000000001E-2</v>
      </c>
      <c r="N4494">
        <v>0</v>
      </c>
      <c r="O4494">
        <v>-0.99961449999999996</v>
      </c>
      <c r="P4494">
        <v>-1.2278610000000001E-2</v>
      </c>
      <c r="Q4494">
        <v>0.1429908</v>
      </c>
      <c r="R4494">
        <v>-0.98964779999999997</v>
      </c>
      <c r="S4494">
        <v>0.2149963</v>
      </c>
      <c r="T4494">
        <v>-0.1268696</v>
      </c>
      <c r="U4494">
        <v>-3.0529169999999999</v>
      </c>
      <c r="V4494">
        <v>-1.2057150000000001E-2</v>
      </c>
      <c r="W4494">
        <v>0.15573629999999999</v>
      </c>
      <c r="X4494">
        <v>0.98772510000000002</v>
      </c>
      <c r="Y4494">
        <v>-9.4699740000000004E-2</v>
      </c>
      <c r="Z4494">
        <v>4.1357720000000001E-2</v>
      </c>
      <c r="AA4494">
        <v>0.99464640000000004</v>
      </c>
      <c r="AB4494">
        <v>33</v>
      </c>
      <c r="AC4494">
        <v>1.887</v>
      </c>
      <c r="AD4494">
        <v>-1.1088217993480001</v>
      </c>
      <c r="AE4494">
        <v>-26.358429999999998</v>
      </c>
      <c r="AF4494">
        <v>-2.5301980464075999</v>
      </c>
      <c r="AG4494">
        <v>-1.1088217993480001</v>
      </c>
      <c r="AH4494">
        <v>26.257821807727598</v>
      </c>
      <c r="AI4494">
        <v>92.406928333440405</v>
      </c>
      <c r="AJ4494">
        <v>95.504015623400704</v>
      </c>
      <c r="AK4494">
        <v>26.402738381143902</v>
      </c>
      <c r="AL4494">
        <v>81.040498470520504</v>
      </c>
      <c r="AM4494">
        <v>90.699374246607903</v>
      </c>
      <c r="AN4494">
        <v>1.00000002158691</v>
      </c>
    </row>
    <row r="4495" spans="1:40" x14ac:dyDescent="0.25">
      <c r="A4495" t="str">
        <f>"20190312164600970"</f>
        <v>20190312164600970</v>
      </c>
      <c r="B4495" t="str">
        <f>"1552380360966276"</f>
        <v>1552380360966276</v>
      </c>
      <c r="C4495" t="s">
        <v>40</v>
      </c>
      <c r="D4495">
        <v>4.6295010000000003</v>
      </c>
      <c r="E4495">
        <v>0.47105819999999998</v>
      </c>
      <c r="F4495" t="s">
        <v>42</v>
      </c>
      <c r="G4495">
        <v>-420.73739999999998</v>
      </c>
      <c r="H4495" s="1">
        <v>-3.4340800000000002E-6</v>
      </c>
      <c r="I4495">
        <v>47.136699999999998</v>
      </c>
      <c r="J4495">
        <v>-422.56450000000001</v>
      </c>
      <c r="K4495">
        <v>1.1088249999999999</v>
      </c>
      <c r="L4495">
        <v>71.725980000000007</v>
      </c>
      <c r="M4495">
        <v>-2.4590870000000001E-2</v>
      </c>
      <c r="N4495">
        <v>0</v>
      </c>
      <c r="O4495">
        <v>-0.99961299999999997</v>
      </c>
      <c r="P4495">
        <v>-9.9882909999999998E-3</v>
      </c>
      <c r="Q4495">
        <v>0.14305309999999999</v>
      </c>
      <c r="R4495">
        <v>-0.98966489999999996</v>
      </c>
      <c r="S4495">
        <v>0.2229004</v>
      </c>
      <c r="T4495">
        <v>-0.1358743</v>
      </c>
      <c r="U4495">
        <v>-3.0538020000000001</v>
      </c>
      <c r="V4495">
        <v>-1.43471E-2</v>
      </c>
      <c r="W4495">
        <v>0.1559149</v>
      </c>
      <c r="X4495">
        <v>0.9876663</v>
      </c>
      <c r="Y4495">
        <v>-9.7231680000000001E-2</v>
      </c>
      <c r="Z4495">
        <v>4.4265239999999997E-2</v>
      </c>
      <c r="AA4495">
        <v>0.99427690000000002</v>
      </c>
      <c r="AB4495">
        <v>33</v>
      </c>
      <c r="AC4495">
        <v>1.8271000000000299</v>
      </c>
      <c r="AD4495">
        <v>-1.1088284340800001</v>
      </c>
      <c r="AE4495">
        <v>-24.589279999999999</v>
      </c>
      <c r="AF4495">
        <v>-2.4263634826474201</v>
      </c>
      <c r="AG4495">
        <v>-1.1088284340800001</v>
      </c>
      <c r="AH4495">
        <v>24.487388259772199</v>
      </c>
      <c r="AI4495">
        <v>92.580056770662694</v>
      </c>
      <c r="AJ4495">
        <v>95.658752817546898</v>
      </c>
      <c r="AK4495">
        <v>24.6322740328817</v>
      </c>
      <c r="AL4495">
        <v>81.030138772765397</v>
      </c>
      <c r="AM4495">
        <v>90.832235003068405</v>
      </c>
      <c r="AN4495">
        <v>1.00000000773805</v>
      </c>
    </row>
    <row r="4496" spans="1:40" x14ac:dyDescent="0.25">
      <c r="A4496" t="str">
        <f>"20190312164600992"</f>
        <v>20190312164600992</v>
      </c>
      <c r="B4496" t="str">
        <f>"1552380360985795"</f>
        <v>1552380360985795</v>
      </c>
      <c r="C4496" t="s">
        <v>40</v>
      </c>
      <c r="D4496">
        <v>4.7983580000000003</v>
      </c>
      <c r="E4496">
        <v>0.4714293</v>
      </c>
      <c r="F4496" t="s">
        <v>42</v>
      </c>
      <c r="G4496">
        <v>-420.76710000000003</v>
      </c>
      <c r="H4496" s="1">
        <v>-3.6716149999999999E-6</v>
      </c>
      <c r="I4496">
        <v>47.671970000000002</v>
      </c>
      <c r="J4496">
        <v>-422.57279999999997</v>
      </c>
      <c r="K4496">
        <v>1.1088309999999999</v>
      </c>
      <c r="L4496">
        <v>71.387730000000005</v>
      </c>
      <c r="M4496">
        <v>-2.4591149999999999E-2</v>
      </c>
      <c r="N4496">
        <v>0</v>
      </c>
      <c r="O4496">
        <v>-0.9996119</v>
      </c>
      <c r="P4496">
        <v>-7.4290700000000003E-3</v>
      </c>
      <c r="Q4496">
        <v>0.14332710000000001</v>
      </c>
      <c r="R4496">
        <v>-0.98964799999999997</v>
      </c>
      <c r="S4496">
        <v>0.22821040000000001</v>
      </c>
      <c r="T4496">
        <v>-0.14078089999999999</v>
      </c>
      <c r="U4496">
        <v>-3.0539860000000001</v>
      </c>
      <c r="V4496">
        <v>-1.6905679999999999E-2</v>
      </c>
      <c r="W4496">
        <v>0.15628929999999999</v>
      </c>
      <c r="X4496">
        <v>0.98756659999999996</v>
      </c>
      <c r="Y4496">
        <v>-9.8941589999999996E-2</v>
      </c>
      <c r="Z4496">
        <v>4.5850879999999997E-2</v>
      </c>
      <c r="AA4496">
        <v>0.99403640000000004</v>
      </c>
      <c r="AB4496">
        <v>33</v>
      </c>
      <c r="AC4496">
        <v>1.8056999999999399</v>
      </c>
      <c r="AD4496">
        <v>-1.1088346716149999</v>
      </c>
      <c r="AE4496">
        <v>-23.71576</v>
      </c>
      <c r="AF4496">
        <v>-2.3832218175546198</v>
      </c>
      <c r="AG4496">
        <v>-1.1088346716149999</v>
      </c>
      <c r="AH4496">
        <v>23.612857592039202</v>
      </c>
      <c r="AI4496">
        <v>92.675003518816794</v>
      </c>
      <c r="AJ4496">
        <v>95.763288359295601</v>
      </c>
      <c r="AK4496">
        <v>23.7587100706786</v>
      </c>
      <c r="AL4496">
        <v>81.008420636164203</v>
      </c>
      <c r="AM4496">
        <v>90.980723238320095</v>
      </c>
      <c r="AN4496">
        <v>0.99999996837315497</v>
      </c>
    </row>
    <row r="4497" spans="1:40" x14ac:dyDescent="0.25">
      <c r="A4497" t="str">
        <f>"20190312164601015"</f>
        <v>20190312164601015</v>
      </c>
      <c r="B4497" t="str">
        <f>"1552380361006291"</f>
        <v>1552380361006291</v>
      </c>
      <c r="C4497" t="s">
        <v>40</v>
      </c>
      <c r="D4497">
        <v>4.82667</v>
      </c>
      <c r="E4497">
        <v>0.4719643</v>
      </c>
      <c r="F4497" t="s">
        <v>42</v>
      </c>
      <c r="G4497">
        <v>-420.76639999999998</v>
      </c>
      <c r="H4497" s="1">
        <v>-3.680227E-6</v>
      </c>
      <c r="I4497">
        <v>47.692480000000003</v>
      </c>
      <c r="J4497">
        <v>-422.58080000000001</v>
      </c>
      <c r="K4497">
        <v>1.1088359999999999</v>
      </c>
      <c r="L4497">
        <v>71.063419999999994</v>
      </c>
      <c r="M4497">
        <v>-2.4591399999999999E-2</v>
      </c>
      <c r="N4497">
        <v>0</v>
      </c>
      <c r="O4497">
        <v>-0.99961069999999996</v>
      </c>
      <c r="P4497">
        <v>-5.5811019999999897E-3</v>
      </c>
      <c r="Q4497">
        <v>0.144032299999999</v>
      </c>
      <c r="R4497">
        <v>-0.98955769999999998</v>
      </c>
      <c r="S4497">
        <v>0.23281859999999999</v>
      </c>
      <c r="T4497">
        <v>-0.14290620000000001</v>
      </c>
      <c r="U4497">
        <v>-3.053833</v>
      </c>
      <c r="V4497">
        <v>-1.875112E-2</v>
      </c>
      <c r="W4497">
        <v>0.1570772</v>
      </c>
      <c r="X4497">
        <v>0.98740830000000002</v>
      </c>
      <c r="Y4497">
        <v>-0.1004345</v>
      </c>
      <c r="Z4497">
        <v>4.6537740000000001E-2</v>
      </c>
      <c r="AA4497">
        <v>0.99385469999999998</v>
      </c>
      <c r="AB4497">
        <v>33</v>
      </c>
      <c r="AC4497">
        <v>1.81440000000003</v>
      </c>
      <c r="AD4497">
        <v>-1.108839680227</v>
      </c>
      <c r="AE4497">
        <v>-23.370940000000001</v>
      </c>
      <c r="AF4497">
        <v>-2.3832924936046198</v>
      </c>
      <c r="AG4497">
        <v>-1.108839680227</v>
      </c>
      <c r="AH4497">
        <v>23.267186738646899</v>
      </c>
      <c r="AI4497">
        <v>92.714288307563606</v>
      </c>
      <c r="AJ4497">
        <v>95.848494166545706</v>
      </c>
      <c r="AK4497">
        <v>23.415199919658701</v>
      </c>
      <c r="AL4497">
        <v>80.962713044337704</v>
      </c>
      <c r="AM4497">
        <v>91.087929802241007</v>
      </c>
      <c r="AN4497">
        <v>1.0000000010849901</v>
      </c>
    </row>
    <row r="4498" spans="1:40" x14ac:dyDescent="0.25">
      <c r="A4498" t="str">
        <f>"20190312164601035"</f>
        <v>20190312164601035</v>
      </c>
      <c r="B4498" t="str">
        <f>"1552380361025812"</f>
        <v>1552380361025812</v>
      </c>
      <c r="C4498" t="s">
        <v>40</v>
      </c>
      <c r="D4498">
        <v>4.6934699999999996</v>
      </c>
      <c r="E4498">
        <v>0.47185589999999999</v>
      </c>
      <c r="F4498" t="s">
        <v>42</v>
      </c>
      <c r="G4498">
        <v>-420.75779999999997</v>
      </c>
      <c r="H4498" s="1">
        <v>-3.518329E-6</v>
      </c>
      <c r="I4498">
        <v>47.320399999999999</v>
      </c>
      <c r="J4498">
        <v>-422.58839999999998</v>
      </c>
      <c r="K4498">
        <v>1.1088499999999999</v>
      </c>
      <c r="L4498">
        <v>70.752229999999997</v>
      </c>
      <c r="M4498">
        <v>-2.4591640000000001E-2</v>
      </c>
      <c r="N4498">
        <v>0</v>
      </c>
      <c r="O4498">
        <v>-0.99960970000000005</v>
      </c>
      <c r="P4498">
        <v>-3.7872470000000001E-3</v>
      </c>
      <c r="Q4498">
        <v>0.144403</v>
      </c>
      <c r="R4498">
        <v>-0.98951219999999995</v>
      </c>
      <c r="S4498">
        <v>0.2344666</v>
      </c>
      <c r="T4498">
        <v>-0.14261499999999999</v>
      </c>
      <c r="U4498">
        <v>-3.053741</v>
      </c>
      <c r="V4498">
        <v>-2.0543499999999999E-2</v>
      </c>
      <c r="W4498">
        <v>0.1575175</v>
      </c>
      <c r="X4498">
        <v>0.98730249999999997</v>
      </c>
      <c r="Y4498">
        <v>-0.10097059999999999</v>
      </c>
      <c r="Z4498">
        <v>4.6442289999999997E-2</v>
      </c>
      <c r="AA4498">
        <v>0.99380480000000004</v>
      </c>
      <c r="AB4498">
        <v>33</v>
      </c>
      <c r="AC4498">
        <v>1.8306</v>
      </c>
      <c r="AD4498">
        <v>-1.10885351832899</v>
      </c>
      <c r="AE4498">
        <v>-23.431830000000001</v>
      </c>
      <c r="AF4498">
        <v>-2.4009798590489599</v>
      </c>
      <c r="AG4498">
        <v>-1.10885351832899</v>
      </c>
      <c r="AH4498">
        <v>23.327797218120899</v>
      </c>
      <c r="AI4498">
        <v>92.707145109298807</v>
      </c>
      <c r="AJ4498">
        <v>95.876393650649206</v>
      </c>
      <c r="AK4498">
        <v>23.477231171039701</v>
      </c>
      <c r="AL4498">
        <v>80.937167808798307</v>
      </c>
      <c r="AM4498">
        <v>91.192021713303006</v>
      </c>
      <c r="AN4498">
        <v>1.00000001235237</v>
      </c>
    </row>
    <row r="4499" spans="1:40" x14ac:dyDescent="0.25">
      <c r="A4499" t="str">
        <f>"20190312164601058"</f>
        <v>20190312164601058</v>
      </c>
      <c r="B4499" t="str">
        <f>"1552380361056068"</f>
        <v>1552380361056068</v>
      </c>
      <c r="C4499" t="s">
        <v>40</v>
      </c>
      <c r="D4499">
        <v>4.7938669999999997</v>
      </c>
      <c r="E4499">
        <v>0.47186650000000002</v>
      </c>
      <c r="F4499" t="s">
        <v>42</v>
      </c>
      <c r="G4499">
        <v>-420.74619999999999</v>
      </c>
      <c r="H4499" s="1">
        <v>-3.5272100000000001E-6</v>
      </c>
      <c r="I4499">
        <v>47.348320000000001</v>
      </c>
      <c r="J4499">
        <v>-422.5967</v>
      </c>
      <c r="K4499">
        <v>1.108854</v>
      </c>
      <c r="L4499">
        <v>70.417419999999893</v>
      </c>
      <c r="M4499">
        <v>-2.4591829999999999E-2</v>
      </c>
      <c r="N4499">
        <v>0</v>
      </c>
      <c r="O4499">
        <v>-0.99960879999999996</v>
      </c>
      <c r="P4499">
        <v>-2.0560959999999999E-3</v>
      </c>
      <c r="Q4499">
        <v>0.14558789999999999</v>
      </c>
      <c r="R4499">
        <v>-0.98934350000000004</v>
      </c>
      <c r="S4499">
        <v>0.24038699999999999</v>
      </c>
      <c r="T4499">
        <v>-0.1446875</v>
      </c>
      <c r="U4499">
        <v>-3.053833</v>
      </c>
      <c r="V4499">
        <v>-2.227003E-2</v>
      </c>
      <c r="W4499">
        <v>0.1587652</v>
      </c>
      <c r="X4499">
        <v>0.98706519999999998</v>
      </c>
      <c r="Y4499">
        <v>-0.102881</v>
      </c>
      <c r="Z4499">
        <v>4.7106160000000001E-2</v>
      </c>
      <c r="AA4499">
        <v>0.99357770000000001</v>
      </c>
      <c r="AB4499">
        <v>33</v>
      </c>
      <c r="AC4499">
        <v>1.85050000000001</v>
      </c>
      <c r="AD4499">
        <v>-1.1088575272100001</v>
      </c>
      <c r="AE4499">
        <v>-23.069099999999899</v>
      </c>
      <c r="AF4499">
        <v>-2.4117654449878101</v>
      </c>
      <c r="AG4499">
        <v>-1.1088575272100001</v>
      </c>
      <c r="AH4499">
        <v>22.963893932762701</v>
      </c>
      <c r="AI4499">
        <v>92.749395929928696</v>
      </c>
      <c r="AJ4499">
        <v>95.995466495418299</v>
      </c>
      <c r="AK4499">
        <v>23.116803458360401</v>
      </c>
      <c r="AL4499">
        <v>80.864768952580405</v>
      </c>
      <c r="AM4499">
        <v>91.292480261336294</v>
      </c>
      <c r="AN4499">
        <v>1.00000002600914</v>
      </c>
    </row>
    <row r="4500" spans="1:40" x14ac:dyDescent="0.25">
      <c r="A4500" t="str">
        <f>"20190312164601081"</f>
        <v>20190312164601081</v>
      </c>
      <c r="B4500" t="str">
        <f>"1552380361076567"</f>
        <v>1552380361076567</v>
      </c>
      <c r="C4500" t="s">
        <v>40</v>
      </c>
      <c r="D4500">
        <v>4.7252739999999998</v>
      </c>
      <c r="E4500">
        <v>0.472196</v>
      </c>
      <c r="F4500" t="s">
        <v>42</v>
      </c>
      <c r="G4500">
        <v>-420.709</v>
      </c>
      <c r="H4500" s="1">
        <v>-3.3294080000000001E-6</v>
      </c>
      <c r="I4500">
        <v>46.910269999999997</v>
      </c>
      <c r="J4500">
        <v>-422.60480000000001</v>
      </c>
      <c r="K4500">
        <v>1.1088639999999901</v>
      </c>
      <c r="L4500">
        <v>70.08466</v>
      </c>
      <c r="M4500">
        <v>-2.4591930000000001E-2</v>
      </c>
      <c r="N4500">
        <v>0</v>
      </c>
      <c r="O4500">
        <v>-0.99960800000000005</v>
      </c>
      <c r="P4500">
        <v>-5.4697320000000004E-4</v>
      </c>
      <c r="Q4500">
        <v>0.146056399999999</v>
      </c>
      <c r="R4500">
        <v>-0.98927659999999995</v>
      </c>
      <c r="S4500">
        <v>0.24523929999999999</v>
      </c>
      <c r="T4500">
        <v>-0.1440612</v>
      </c>
      <c r="U4500">
        <v>-3.0540159999999998</v>
      </c>
      <c r="V4500">
        <v>-2.3777409999999999E-2</v>
      </c>
      <c r="W4500">
        <v>0.15928819999999999</v>
      </c>
      <c r="X4500">
        <v>0.98694570000000004</v>
      </c>
      <c r="Y4500">
        <v>-0.10444580000000001</v>
      </c>
      <c r="Z4500">
        <v>4.6893110000000002E-2</v>
      </c>
      <c r="AA4500">
        <v>0.99342439999999999</v>
      </c>
      <c r="AB4500">
        <v>33</v>
      </c>
      <c r="AC4500">
        <v>1.8957999999999999</v>
      </c>
      <c r="AD4500">
        <v>-1.10886732940799</v>
      </c>
      <c r="AE4500">
        <v>-23.174389999999899</v>
      </c>
      <c r="AF4500">
        <v>-2.4595867556043101</v>
      </c>
      <c r="AG4500">
        <v>-1.10886732940799</v>
      </c>
      <c r="AH4500">
        <v>23.068290637552199</v>
      </c>
      <c r="AI4500">
        <v>92.736539615113003</v>
      </c>
      <c r="AJ4500">
        <v>96.085996422832494</v>
      </c>
      <c r="AK4500">
        <v>23.2255287711852</v>
      </c>
      <c r="AL4500">
        <v>80.834416356549298</v>
      </c>
      <c r="AM4500">
        <v>91.380097967807004</v>
      </c>
      <c r="AN4500">
        <v>0.99999995531701802</v>
      </c>
    </row>
    <row r="4501" spans="1:40" x14ac:dyDescent="0.25">
      <c r="A4501" t="str">
        <f>"20190312164601103"</f>
        <v>20190312164601103</v>
      </c>
      <c r="B4501" t="str">
        <f>"1552380361096083"</f>
        <v>1552380361096083</v>
      </c>
      <c r="C4501" t="s">
        <v>40</v>
      </c>
      <c r="D4501">
        <v>4.7966759999999997</v>
      </c>
      <c r="E4501">
        <v>0.47202630000000001</v>
      </c>
      <c r="F4501" t="s">
        <v>42</v>
      </c>
      <c r="G4501">
        <v>-420.71769999999998</v>
      </c>
      <c r="H4501" s="1">
        <v>-3.2640130000000002E-6</v>
      </c>
      <c r="I4501">
        <v>46.752429999999997</v>
      </c>
      <c r="J4501">
        <v>-422.61259999999999</v>
      </c>
      <c r="K4501">
        <v>1.1088690000000001</v>
      </c>
      <c r="L4501">
        <v>69.768280000000004</v>
      </c>
      <c r="M4501">
        <v>-2.459192E-2</v>
      </c>
      <c r="N4501">
        <v>0</v>
      </c>
      <c r="O4501">
        <v>-0.99960729999999998</v>
      </c>
      <c r="P4501">
        <v>7.5899649999999904E-4</v>
      </c>
      <c r="Q4501">
        <v>0.14713619999999999</v>
      </c>
      <c r="R4501">
        <v>-0.98911610000000005</v>
      </c>
      <c r="S4501">
        <v>0.24700929999999999</v>
      </c>
      <c r="T4501">
        <v>-0.14514540000000001</v>
      </c>
      <c r="U4501">
        <v>-3.0540769999999999</v>
      </c>
      <c r="V4501">
        <v>-2.5079190000000001E-2</v>
      </c>
      <c r="W4501">
        <v>0.16041129999999901</v>
      </c>
      <c r="X4501">
        <v>0.98673160000000004</v>
      </c>
      <c r="Y4501">
        <v>-0.10501489999999999</v>
      </c>
      <c r="Z4501">
        <v>4.72418E-2</v>
      </c>
      <c r="AA4501">
        <v>0.99334789999999995</v>
      </c>
      <c r="AB4501">
        <v>33</v>
      </c>
      <c r="AC4501">
        <v>1.8949</v>
      </c>
      <c r="AD4501">
        <v>-1.108872264013</v>
      </c>
      <c r="AE4501">
        <v>-23.01585</v>
      </c>
      <c r="AF4501">
        <v>-2.4547223602641299</v>
      </c>
      <c r="AG4501">
        <v>-1.108872264013</v>
      </c>
      <c r="AH4501">
        <v>22.909465698941901</v>
      </c>
      <c r="AI4501">
        <v>92.755341210699896</v>
      </c>
      <c r="AJ4501">
        <v>96.115841690705807</v>
      </c>
      <c r="AK4501">
        <v>23.067268546034501</v>
      </c>
      <c r="AL4501">
        <v>80.7692296644843</v>
      </c>
      <c r="AM4501">
        <v>91.455940443915495</v>
      </c>
      <c r="AN4501">
        <v>1.00000000068865</v>
      </c>
    </row>
    <row r="4502" spans="1:40" x14ac:dyDescent="0.25">
      <c r="A4502" t="str">
        <f>"20190312164601125"</f>
        <v>20190312164601125</v>
      </c>
      <c r="B4502" t="str">
        <f>"1552380361116580"</f>
        <v>1552380361116580</v>
      </c>
      <c r="C4502" t="s">
        <v>40</v>
      </c>
      <c r="D4502">
        <v>4.6947960000000002</v>
      </c>
      <c r="E4502">
        <v>0.47199390000000002</v>
      </c>
      <c r="F4502" t="s">
        <v>42</v>
      </c>
      <c r="G4502">
        <v>-420.61959999999999</v>
      </c>
      <c r="H4502" s="1">
        <v>-2.7785970000000001E-6</v>
      </c>
      <c r="I4502">
        <v>45.681800000000003</v>
      </c>
      <c r="J4502">
        <v>-422.62049999999999</v>
      </c>
      <c r="K4502">
        <v>1.108884</v>
      </c>
      <c r="L4502">
        <v>69.447329999999994</v>
      </c>
      <c r="M4502">
        <v>-2.459184E-2</v>
      </c>
      <c r="N4502">
        <v>0</v>
      </c>
      <c r="O4502">
        <v>-0.99960680000000002</v>
      </c>
      <c r="P4502">
        <v>2.2553339999999999E-3</v>
      </c>
      <c r="Q4502">
        <v>0.14912220000000001</v>
      </c>
      <c r="R4502">
        <v>-0.98881660000000005</v>
      </c>
      <c r="S4502">
        <v>0.25268550000000001</v>
      </c>
      <c r="T4502">
        <v>-0.1405854</v>
      </c>
      <c r="U4502">
        <v>-3.053741</v>
      </c>
      <c r="V4502">
        <v>-2.6567420000000001E-2</v>
      </c>
      <c r="W4502">
        <v>0.16243289999999999</v>
      </c>
      <c r="X4502">
        <v>0.98636190000000001</v>
      </c>
      <c r="Y4502">
        <v>-0.10686329999999999</v>
      </c>
      <c r="Z4502">
        <v>4.5757819999999998E-2</v>
      </c>
      <c r="AA4502">
        <v>0.99322029999999994</v>
      </c>
      <c r="AB4502">
        <v>33</v>
      </c>
      <c r="AC4502">
        <v>2.0009000000000001</v>
      </c>
      <c r="AD4502">
        <v>-1.108886778597</v>
      </c>
      <c r="AE4502">
        <v>-23.765529999999998</v>
      </c>
      <c r="AF4502">
        <v>-2.57921023184978</v>
      </c>
      <c r="AG4502">
        <v>-1.108886778597</v>
      </c>
      <c r="AH4502">
        <v>23.657987730241601</v>
      </c>
      <c r="AI4502">
        <v>92.667794283499106</v>
      </c>
      <c r="AJ4502">
        <v>96.221853298366199</v>
      </c>
      <c r="AK4502">
        <v>23.823986625921499</v>
      </c>
      <c r="AL4502">
        <v>80.651861597674696</v>
      </c>
      <c r="AM4502">
        <v>91.542874972432102</v>
      </c>
      <c r="AN4502">
        <v>1.0000000362897301</v>
      </c>
    </row>
    <row r="4503" spans="1:40" x14ac:dyDescent="0.25">
      <c r="A4503" t="str">
        <f>"20190312164601147"</f>
        <v>20190312164601147</v>
      </c>
      <c r="B4503" t="str">
        <f>"1552380361136101"</f>
        <v>1552380361136101</v>
      </c>
      <c r="C4503" t="s">
        <v>40</v>
      </c>
      <c r="D4503">
        <v>4.6462479999999999</v>
      </c>
      <c r="E4503">
        <v>0.47195039999999999</v>
      </c>
      <c r="F4503" t="s">
        <v>42</v>
      </c>
      <c r="G4503">
        <v>-420.46480000000003</v>
      </c>
      <c r="H4503" s="1">
        <v>-1.9426170000000001E-6</v>
      </c>
      <c r="I4503">
        <v>43.829129999999999</v>
      </c>
      <c r="J4503">
        <v>-422.6284</v>
      </c>
      <c r="K4503">
        <v>1.1089</v>
      </c>
      <c r="L4503">
        <v>69.126459999999994</v>
      </c>
      <c r="M4503">
        <v>-2.4591720000000001E-2</v>
      </c>
      <c r="N4503">
        <v>0</v>
      </c>
      <c r="O4503">
        <v>-0.99960640000000001</v>
      </c>
      <c r="P4503">
        <v>2.838826E-3</v>
      </c>
      <c r="Q4503">
        <v>0.1499462</v>
      </c>
      <c r="R4503">
        <v>-0.98869030000000002</v>
      </c>
      <c r="S4503">
        <v>0.25692749999999998</v>
      </c>
      <c r="T4503">
        <v>-0.13216169999999999</v>
      </c>
      <c r="U4503">
        <v>-3.0532840000000001</v>
      </c>
      <c r="V4503">
        <v>-2.7147210000000001E-2</v>
      </c>
      <c r="W4503">
        <v>0.16328970000000001</v>
      </c>
      <c r="X4503">
        <v>0.98620459999999999</v>
      </c>
      <c r="Y4503">
        <v>-0.1082558</v>
      </c>
      <c r="Z4503">
        <v>4.3022030000000003E-2</v>
      </c>
      <c r="AA4503">
        <v>0.99319170000000001</v>
      </c>
      <c r="AB4503">
        <v>33</v>
      </c>
      <c r="AC4503">
        <v>2.16359999999997</v>
      </c>
      <c r="AD4503">
        <v>-1.1089019426169999</v>
      </c>
      <c r="AE4503">
        <v>-25.297329999999899</v>
      </c>
      <c r="AF4503">
        <v>-2.7798045622575498</v>
      </c>
      <c r="AG4503">
        <v>-1.1089019426169999</v>
      </c>
      <c r="AH4503">
        <v>25.188418939231202</v>
      </c>
      <c r="AI4503">
        <v>92.505585046397599</v>
      </c>
      <c r="AJ4503">
        <v>96.297701505107099</v>
      </c>
      <c r="AK4503">
        <v>25.365595312960998</v>
      </c>
      <c r="AL4503">
        <v>80.6021059937285</v>
      </c>
      <c r="AM4503">
        <v>91.576780185809895</v>
      </c>
      <c r="AN4503">
        <v>1.0000000050990101</v>
      </c>
    </row>
    <row r="4504" spans="1:40" x14ac:dyDescent="0.25">
      <c r="A4504" t="str">
        <f>"20190312164601171"</f>
        <v>20190312164601171</v>
      </c>
      <c r="B4504" t="str">
        <f>"1552380361166355"</f>
        <v>1552380361166355</v>
      </c>
      <c r="C4504" t="s">
        <v>40</v>
      </c>
      <c r="D4504">
        <v>4.5658029999999998</v>
      </c>
      <c r="E4504">
        <v>0.47194839999999999</v>
      </c>
      <c r="F4504" t="s">
        <v>42</v>
      </c>
      <c r="G4504">
        <v>-420.37700000000001</v>
      </c>
      <c r="H4504" s="1">
        <v>-1.3659919999999999E-6</v>
      </c>
      <c r="I4504">
        <v>42.539439999999999</v>
      </c>
      <c r="J4504">
        <v>-422.63650000000001</v>
      </c>
      <c r="K4504">
        <v>1.1089100000000001</v>
      </c>
      <c r="L4504">
        <v>68.795779999999993</v>
      </c>
      <c r="M4504">
        <v>-2.4591579999999998E-2</v>
      </c>
      <c r="N4504">
        <v>0</v>
      </c>
      <c r="O4504">
        <v>-0.99960610000000005</v>
      </c>
      <c r="P4504">
        <v>4.5740499999999996E-3</v>
      </c>
      <c r="Q4504">
        <v>0.15119630000000001</v>
      </c>
      <c r="R4504">
        <v>-0.98849339999999997</v>
      </c>
      <c r="S4504">
        <v>0.25851439999999998</v>
      </c>
      <c r="T4504">
        <v>-0.1273309</v>
      </c>
      <c r="U4504">
        <v>-3.0528870000000001</v>
      </c>
      <c r="V4504">
        <v>-2.8877150000000001E-2</v>
      </c>
      <c r="W4504">
        <v>0.16456680000000001</v>
      </c>
      <c r="X4504">
        <v>0.98594309999999996</v>
      </c>
      <c r="Y4504">
        <v>-0.1087847</v>
      </c>
      <c r="Z4504">
        <v>4.1455499999999999E-2</v>
      </c>
      <c r="AA4504">
        <v>0.99320050000000004</v>
      </c>
      <c r="AB4504">
        <v>33</v>
      </c>
      <c r="AC4504">
        <v>2.25950000000006</v>
      </c>
      <c r="AD4504">
        <v>-1.108911365992</v>
      </c>
      <c r="AE4504">
        <v>-26.256340000000002</v>
      </c>
      <c r="AF4504">
        <v>-2.8994267703856398</v>
      </c>
      <c r="AG4504">
        <v>-1.108911365992</v>
      </c>
      <c r="AH4504">
        <v>26.146533278284299</v>
      </c>
      <c r="AI4504">
        <v>92.413761550797304</v>
      </c>
      <c r="AJ4504">
        <v>96.327758804943201</v>
      </c>
      <c r="AK4504">
        <v>26.330164497907798</v>
      </c>
      <c r="AL4504">
        <v>80.527929675737695</v>
      </c>
      <c r="AM4504">
        <v>91.677648491404796</v>
      </c>
      <c r="AN4504">
        <v>0.99999995894598503</v>
      </c>
    </row>
    <row r="4505" spans="1:40" x14ac:dyDescent="0.25">
      <c r="A4505" t="str">
        <f>"20190312164601193"</f>
        <v>20190312164601193</v>
      </c>
      <c r="B4505" t="str">
        <f>"1552380361185876"</f>
        <v>1552380361185876</v>
      </c>
      <c r="C4505" t="s">
        <v>40</v>
      </c>
      <c r="D4505">
        <v>4.6164129999999997</v>
      </c>
      <c r="E4505">
        <v>0.47199540000000001</v>
      </c>
      <c r="F4505" t="s">
        <v>42</v>
      </c>
      <c r="G4505">
        <v>-420.23570000000001</v>
      </c>
      <c r="H4505" s="1">
        <v>-6.3795390000000003E-7</v>
      </c>
      <c r="I4505">
        <v>40.92998</v>
      </c>
      <c r="J4505">
        <v>-422.64479999999998</v>
      </c>
      <c r="K4505">
        <v>1.10891299999999</v>
      </c>
      <c r="L4505">
        <v>68.460569999999905</v>
      </c>
      <c r="M4505">
        <v>-2.4591410000000001E-2</v>
      </c>
      <c r="N4505">
        <v>0</v>
      </c>
      <c r="O4505">
        <v>-0.99960570000000004</v>
      </c>
      <c r="P4505">
        <v>6.4565530000000003E-3</v>
      </c>
      <c r="Q4505">
        <v>0.1514971</v>
      </c>
      <c r="R4505">
        <v>-0.98843689999999995</v>
      </c>
      <c r="S4505">
        <v>0.26296999999999998</v>
      </c>
      <c r="T4505">
        <v>-0.12146560000000001</v>
      </c>
      <c r="U4505">
        <v>-3.0523069999999999</v>
      </c>
      <c r="V4505">
        <v>-3.0757349999999999E-2</v>
      </c>
      <c r="W4505">
        <v>0.1648927</v>
      </c>
      <c r="X4505">
        <v>0.98583180000000004</v>
      </c>
      <c r="Y4505">
        <v>-0.1102462</v>
      </c>
      <c r="Z4505">
        <v>3.9550809999999999E-2</v>
      </c>
      <c r="AA4505">
        <v>0.99311709999999997</v>
      </c>
      <c r="AB4505">
        <v>32</v>
      </c>
      <c r="AC4505">
        <v>2.4090999999999601</v>
      </c>
      <c r="AD4505">
        <v>-1.10891363795389</v>
      </c>
      <c r="AE4505">
        <v>-27.530589999999901</v>
      </c>
      <c r="AF4505">
        <v>-3.0804896592147202</v>
      </c>
      <c r="AG4505">
        <v>-1.10891363795389</v>
      </c>
      <c r="AH4505">
        <v>27.418867229151999</v>
      </c>
      <c r="AI4505">
        <v>92.301512932821296</v>
      </c>
      <c r="AJ4505">
        <v>96.410258210282905</v>
      </c>
      <c r="AK4505">
        <v>27.613644926500299</v>
      </c>
      <c r="AL4505">
        <v>80.508998532254793</v>
      </c>
      <c r="AM4505">
        <v>91.787013646682993</v>
      </c>
      <c r="AN4505">
        <v>0.99999997749177605</v>
      </c>
    </row>
    <row r="4506" spans="1:40" x14ac:dyDescent="0.25">
      <c r="A4506" t="str">
        <f>"20190312164601216"</f>
        <v>20190312164601216</v>
      </c>
      <c r="B4506" t="str">
        <f>"1552380361206372"</f>
        <v>1552380361206372</v>
      </c>
      <c r="C4506" t="s">
        <v>40</v>
      </c>
      <c r="D4506">
        <v>4.4489429999999999</v>
      </c>
      <c r="E4506">
        <v>0.47211069999999999</v>
      </c>
      <c r="F4506" t="s">
        <v>42</v>
      </c>
      <c r="G4506">
        <v>-420.15839999999997</v>
      </c>
      <c r="H4506" s="1">
        <v>-3.0865089999999998E-7</v>
      </c>
      <c r="I4506">
        <v>40.210320000000003</v>
      </c>
      <c r="J4506">
        <v>-422.65260000000001</v>
      </c>
      <c r="K4506">
        <v>1.1089150000000001</v>
      </c>
      <c r="L4506">
        <v>68.140259999999998</v>
      </c>
      <c r="M4506">
        <v>-2.4591269999999998E-2</v>
      </c>
      <c r="N4506">
        <v>0</v>
      </c>
      <c r="O4506">
        <v>-0.99960519999999997</v>
      </c>
      <c r="P4506">
        <v>8.3347059999999903E-3</v>
      </c>
      <c r="Q4506">
        <v>0.15136669999999999</v>
      </c>
      <c r="R4506">
        <v>-0.98844240000000005</v>
      </c>
      <c r="S4506">
        <v>0.26858520000000002</v>
      </c>
      <c r="T4506">
        <v>-0.1197889</v>
      </c>
      <c r="U4506">
        <v>-3.0516969999999999</v>
      </c>
      <c r="V4506">
        <v>-3.2635409999999997E-2</v>
      </c>
      <c r="W4506">
        <v>0.1647827</v>
      </c>
      <c r="X4506">
        <v>0.98578980000000005</v>
      </c>
      <c r="Y4506">
        <v>-0.11207839999999999</v>
      </c>
      <c r="Z4506">
        <v>3.9006350000000002E-2</v>
      </c>
      <c r="AA4506">
        <v>0.99293350000000002</v>
      </c>
      <c r="AB4506">
        <v>32</v>
      </c>
      <c r="AC4506">
        <v>2.4942000000000299</v>
      </c>
      <c r="AD4506">
        <v>-1.1089153086508901</v>
      </c>
      <c r="AE4506">
        <v>-27.929939999999899</v>
      </c>
      <c r="AF4506">
        <v>-3.1753757769866899</v>
      </c>
      <c r="AG4506">
        <v>-1.1089153086508901</v>
      </c>
      <c r="AH4506">
        <v>27.816648642749598</v>
      </c>
      <c r="AI4506">
        <v>92.268181839805905</v>
      </c>
      <c r="AJ4506">
        <v>96.512340204570805</v>
      </c>
      <c r="AK4506">
        <v>28.019254918734401</v>
      </c>
      <c r="AL4506">
        <v>80.515388396769694</v>
      </c>
      <c r="AM4506">
        <v>91.896133009186599</v>
      </c>
      <c r="AN4506">
        <v>0.99999996899459798</v>
      </c>
    </row>
    <row r="4507" spans="1:40" x14ac:dyDescent="0.25">
      <c r="A4507" t="str">
        <f>"20190312164601237"</f>
        <v>20190312164601237</v>
      </c>
      <c r="B4507" t="str">
        <f>"1552380361225892"</f>
        <v>1552380361225892</v>
      </c>
      <c r="C4507" t="s">
        <v>40</v>
      </c>
      <c r="D4507">
        <v>4.6678750000000004</v>
      </c>
      <c r="E4507">
        <v>0.4721902</v>
      </c>
      <c r="F4507" t="s">
        <v>42</v>
      </c>
      <c r="G4507">
        <v>-420.11270000000002</v>
      </c>
      <c r="H4507" s="1">
        <v>-1.162234E-7</v>
      </c>
      <c r="I4507">
        <v>39.790100000000002</v>
      </c>
      <c r="J4507">
        <v>-422.66030000000001</v>
      </c>
      <c r="K4507">
        <v>1.1089180000000001</v>
      </c>
      <c r="L4507">
        <v>67.829530000000005</v>
      </c>
      <c r="M4507">
        <v>-2.4591140000000001E-2</v>
      </c>
      <c r="N4507">
        <v>0</v>
      </c>
      <c r="O4507">
        <v>-0.99960519999999997</v>
      </c>
      <c r="P4507">
        <v>9.7785960000000005E-3</v>
      </c>
      <c r="Q4507">
        <v>0.15168570000000001</v>
      </c>
      <c r="R4507">
        <v>-0.98838060000000005</v>
      </c>
      <c r="S4507">
        <v>0.27334589999999998</v>
      </c>
      <c r="T4507">
        <v>-0.1193419</v>
      </c>
      <c r="U4507">
        <v>-3.051056</v>
      </c>
      <c r="V4507">
        <v>-3.407698E-2</v>
      </c>
      <c r="W4507">
        <v>0.1651184</v>
      </c>
      <c r="X4507">
        <v>0.98568489999999997</v>
      </c>
      <c r="Y4507">
        <v>-0.113634</v>
      </c>
      <c r="Z4507">
        <v>3.8863010000000003E-2</v>
      </c>
      <c r="AA4507">
        <v>0.99276229999999999</v>
      </c>
      <c r="AB4507">
        <v>32</v>
      </c>
      <c r="AC4507">
        <v>2.5475999999999801</v>
      </c>
      <c r="AD4507">
        <v>-1.1089181162233901</v>
      </c>
      <c r="AE4507">
        <v>-28.039429999999999</v>
      </c>
      <c r="AF4507">
        <v>-3.23140187653956</v>
      </c>
      <c r="AG4507">
        <v>-1.1089181162233901</v>
      </c>
      <c r="AH4507">
        <v>27.924975463370899</v>
      </c>
      <c r="AI4507">
        <v>92.258997670545398</v>
      </c>
      <c r="AJ4507">
        <v>96.6007531290592</v>
      </c>
      <c r="AK4507">
        <v>28.133181691839599</v>
      </c>
      <c r="AL4507">
        <v>80.495887601402899</v>
      </c>
      <c r="AM4507">
        <v>91.980034204967794</v>
      </c>
      <c r="AN4507">
        <v>1.0000000243362399</v>
      </c>
    </row>
    <row r="4508" spans="1:40" x14ac:dyDescent="0.25">
      <c r="A4508" t="str">
        <f>"20190312164601260"</f>
        <v>20190312164601260</v>
      </c>
      <c r="B4508" t="str">
        <f>"1552380361256148"</f>
        <v>1552380361256148</v>
      </c>
      <c r="C4508" t="s">
        <v>40</v>
      </c>
      <c r="D4508">
        <v>4.6885870000000001</v>
      </c>
      <c r="E4508">
        <v>0.47267769999999998</v>
      </c>
      <c r="F4508" t="s">
        <v>52</v>
      </c>
      <c r="G4508">
        <v>-420.05470000000003</v>
      </c>
      <c r="H4508" s="1">
        <v>-3.1217239999999999E-7</v>
      </c>
      <c r="I4508">
        <v>39.143940000000001</v>
      </c>
      <c r="J4508">
        <v>-422.66820000000001</v>
      </c>
      <c r="K4508">
        <v>1.108922</v>
      </c>
      <c r="L4508">
        <v>67.507080000000002</v>
      </c>
      <c r="M4508">
        <v>-2.4591020000000002E-2</v>
      </c>
      <c r="N4508">
        <v>0</v>
      </c>
      <c r="O4508">
        <v>-0.99960470000000001</v>
      </c>
      <c r="P4508">
        <v>1.1356430000000001E-2</v>
      </c>
      <c r="Q4508">
        <v>0.15140399999999901</v>
      </c>
      <c r="R4508">
        <v>-0.98840680000000003</v>
      </c>
      <c r="S4508">
        <v>0.277099599999999</v>
      </c>
      <c r="T4508">
        <v>-0.1179302</v>
      </c>
      <c r="U4508">
        <v>-3.0506289999999998</v>
      </c>
      <c r="V4508">
        <v>-3.5654970000000001E-2</v>
      </c>
      <c r="W4508">
        <v>0.16485229999999901</v>
      </c>
      <c r="X4508">
        <v>0.98567360000000004</v>
      </c>
      <c r="Y4508">
        <v>-0.1148595</v>
      </c>
      <c r="Z4508">
        <v>3.8404510000000003E-2</v>
      </c>
      <c r="AA4508">
        <v>0.9926391</v>
      </c>
      <c r="AB4508">
        <v>32</v>
      </c>
      <c r="AC4508">
        <v>2.6134999999999802</v>
      </c>
      <c r="AD4508">
        <v>-1.1089223121723999</v>
      </c>
      <c r="AE4508">
        <v>-28.363140000000001</v>
      </c>
      <c r="AF4508">
        <v>-3.30524298458357</v>
      </c>
      <c r="AG4508">
        <v>-1.1089223121723999</v>
      </c>
      <c r="AH4508">
        <v>28.247471121723201</v>
      </c>
      <c r="AI4508">
        <v>92.2329107070844</v>
      </c>
      <c r="AJ4508">
        <v>96.673844456481604</v>
      </c>
      <c r="AK4508">
        <v>28.461798338371999</v>
      </c>
      <c r="AL4508">
        <v>80.511345630942202</v>
      </c>
      <c r="AM4508">
        <v>92.071668514153998</v>
      </c>
      <c r="AN4508">
        <v>1.0000000017189701</v>
      </c>
    </row>
    <row r="4509" spans="1:40" x14ac:dyDescent="0.25">
      <c r="A4509" t="str">
        <f>"20190312164601283"</f>
        <v>20190312164601283</v>
      </c>
      <c r="B4509" t="str">
        <f>"1552380361276644"</f>
        <v>1552380361276644</v>
      </c>
      <c r="C4509" t="s">
        <v>40</v>
      </c>
      <c r="D4509">
        <v>4.5422919999999998</v>
      </c>
      <c r="E4509">
        <v>0.47327740000000001</v>
      </c>
      <c r="F4509" t="s">
        <v>52</v>
      </c>
      <c r="G4509">
        <v>-420.0668</v>
      </c>
      <c r="H4509" s="1">
        <v>-4.1836279999999999E-7</v>
      </c>
      <c r="I4509">
        <v>38.97954</v>
      </c>
      <c r="J4509">
        <v>-422.67660000000001</v>
      </c>
      <c r="K4509">
        <v>1.108932</v>
      </c>
      <c r="L4509">
        <v>67.164029999999997</v>
      </c>
      <c r="M4509">
        <v>-2.4589079999999999E-2</v>
      </c>
      <c r="N4509">
        <v>0</v>
      </c>
      <c r="O4509">
        <v>-0.99960490000000002</v>
      </c>
      <c r="P4509">
        <v>1.292712E-2</v>
      </c>
      <c r="Q4509">
        <v>0.15151429999999999</v>
      </c>
      <c r="R4509">
        <v>-0.988371</v>
      </c>
      <c r="S4509">
        <v>0.27813719999999997</v>
      </c>
      <c r="T4509">
        <v>-0.11856510000000001</v>
      </c>
      <c r="U4509">
        <v>-3.0501399999999999</v>
      </c>
      <c r="V4509">
        <v>-3.722255E-2</v>
      </c>
      <c r="W4509">
        <v>0.1649755</v>
      </c>
      <c r="X4509">
        <v>0.985595</v>
      </c>
      <c r="Y4509">
        <v>-0.115206</v>
      </c>
      <c r="Z4509">
        <v>3.8615730000000001E-2</v>
      </c>
      <c r="AA4509">
        <v>0.99259070000000005</v>
      </c>
      <c r="AB4509">
        <v>32</v>
      </c>
      <c r="AC4509">
        <v>2.6097999999999999</v>
      </c>
      <c r="AD4509">
        <v>-1.1089324183628</v>
      </c>
      <c r="AE4509">
        <v>-28.18449</v>
      </c>
      <c r="AF4509">
        <v>-3.29704504547996</v>
      </c>
      <c r="AG4509">
        <v>-1.1089324183628</v>
      </c>
      <c r="AH4509">
        <v>28.0687052667503</v>
      </c>
      <c r="AI4509">
        <v>92.247020104175405</v>
      </c>
      <c r="AJ4509">
        <v>96.699456343845895</v>
      </c>
      <c r="AK4509">
        <v>28.283430705841099</v>
      </c>
      <c r="AL4509">
        <v>80.504188485068198</v>
      </c>
      <c r="AM4509">
        <v>92.162837595611805</v>
      </c>
      <c r="AN4509">
        <v>0.99999996892687504</v>
      </c>
    </row>
    <row r="4510" spans="1:40" x14ac:dyDescent="0.25">
      <c r="A4510" t="str">
        <f>"20190312164601303"</f>
        <v>20190312164601303</v>
      </c>
      <c r="B4510" t="str">
        <f>"1552380361296164"</f>
        <v>1552380361296164</v>
      </c>
      <c r="C4510" t="s">
        <v>40</v>
      </c>
      <c r="D4510">
        <v>4.420903</v>
      </c>
      <c r="E4510">
        <v>0.47351880000000002</v>
      </c>
      <c r="F4510" t="s">
        <v>42</v>
      </c>
      <c r="G4510">
        <v>-420.17</v>
      </c>
      <c r="H4510" s="1">
        <v>-5.8931940000000002E-8</v>
      </c>
      <c r="I4510">
        <v>39.621029999999998</v>
      </c>
      <c r="J4510">
        <v>-422.6841</v>
      </c>
      <c r="K4510">
        <v>1.108946</v>
      </c>
      <c r="L4510">
        <v>66.860169999999997</v>
      </c>
      <c r="M4510">
        <v>-2.458082E-2</v>
      </c>
      <c r="N4510">
        <v>0</v>
      </c>
      <c r="O4510">
        <v>-0.99960470000000001</v>
      </c>
      <c r="P4510">
        <v>1.446804E-2</v>
      </c>
      <c r="Q4510">
        <v>0.15142600000000001</v>
      </c>
      <c r="R4510">
        <v>-0.98836259999999998</v>
      </c>
      <c r="S4510">
        <v>0.27761839999999999</v>
      </c>
      <c r="T4510">
        <v>-0.122818899999999</v>
      </c>
      <c r="U4510">
        <v>-3.0505070000000001</v>
      </c>
      <c r="V4510">
        <v>-3.8756060000000002E-2</v>
      </c>
      <c r="W4510">
        <v>0.16489699999999999</v>
      </c>
      <c r="X4510">
        <v>0.98554909999999996</v>
      </c>
      <c r="Y4510">
        <v>-0.1150147</v>
      </c>
      <c r="Z4510">
        <v>3.9994979999999999E-2</v>
      </c>
      <c r="AA4510">
        <v>0.9925583</v>
      </c>
      <c r="AB4510">
        <v>32</v>
      </c>
      <c r="AC4510">
        <v>2.51409999999998</v>
      </c>
      <c r="AD4510">
        <v>-1.10894605893194</v>
      </c>
      <c r="AE4510">
        <v>-27.239139999999999</v>
      </c>
      <c r="AF4510">
        <v>-3.1777405838248098</v>
      </c>
      <c r="AG4510">
        <v>-1.10894605893194</v>
      </c>
      <c r="AH4510">
        <v>27.124526514098498</v>
      </c>
      <c r="AI4510">
        <v>92.325264097405906</v>
      </c>
      <c r="AJ4510">
        <v>96.6819577845487</v>
      </c>
      <c r="AK4510">
        <v>27.332539859913101</v>
      </c>
      <c r="AL4510">
        <v>80.508749346069195</v>
      </c>
      <c r="AM4510">
        <v>92.251957921890096</v>
      </c>
      <c r="AN4510">
        <v>1.0000000406532601</v>
      </c>
    </row>
    <row r="4511" spans="1:40" x14ac:dyDescent="0.25">
      <c r="A4511" t="str">
        <f>"20190312164601326"</f>
        <v>20190312164601326</v>
      </c>
      <c r="B4511" t="str">
        <f>"1552380361315684"</f>
        <v>1552380361315684</v>
      </c>
      <c r="C4511" t="s">
        <v>40</v>
      </c>
      <c r="D4511">
        <v>4.5113110000000001</v>
      </c>
      <c r="E4511">
        <v>0.47369549999999999</v>
      </c>
      <c r="F4511" t="s">
        <v>42</v>
      </c>
      <c r="G4511">
        <v>-420.20650000000001</v>
      </c>
      <c r="H4511" s="1">
        <v>-2.0344549999999999E-7</v>
      </c>
      <c r="I4511">
        <v>39.935270000000003</v>
      </c>
      <c r="J4511">
        <v>-422.69200000000001</v>
      </c>
      <c r="K4511">
        <v>1.1089610000000001</v>
      </c>
      <c r="L4511">
        <v>66.539150000000006</v>
      </c>
      <c r="M4511">
        <v>-2.4558139999999999E-2</v>
      </c>
      <c r="N4511">
        <v>0</v>
      </c>
      <c r="O4511">
        <v>-0.99960519999999997</v>
      </c>
      <c r="P4511">
        <v>1.583623E-2</v>
      </c>
      <c r="Q4511">
        <v>0.15052170000000001</v>
      </c>
      <c r="R4511">
        <v>-0.98848020000000003</v>
      </c>
      <c r="S4511">
        <v>0.28070070000000003</v>
      </c>
      <c r="T4511">
        <v>-0.12563879999999999</v>
      </c>
      <c r="U4511">
        <v>-3.0504760000000002</v>
      </c>
      <c r="V4511">
        <v>-4.0108009999999999E-2</v>
      </c>
      <c r="W4511">
        <v>0.164002799999999</v>
      </c>
      <c r="X4511">
        <v>0.98564419999999997</v>
      </c>
      <c r="Y4511">
        <v>-0.115984199999999</v>
      </c>
      <c r="Z4511">
        <v>4.0907970000000002E-2</v>
      </c>
      <c r="AA4511">
        <v>0.99240830000000002</v>
      </c>
      <c r="AB4511">
        <v>32</v>
      </c>
      <c r="AC4511">
        <v>2.4854999999999401</v>
      </c>
      <c r="AD4511">
        <v>-1.1089612034455001</v>
      </c>
      <c r="AE4511">
        <v>-26.60388</v>
      </c>
      <c r="AF4511">
        <v>-3.13275664434269</v>
      </c>
      <c r="AG4511">
        <v>-1.1089612034455001</v>
      </c>
      <c r="AH4511">
        <v>26.489181334015701</v>
      </c>
      <c r="AI4511">
        <v>92.380697837464098</v>
      </c>
      <c r="AJ4511">
        <v>96.744785410878805</v>
      </c>
      <c r="AK4511">
        <v>26.696829154223298</v>
      </c>
      <c r="AL4511">
        <v>80.560690284324707</v>
      </c>
      <c r="AM4511">
        <v>92.330204511686901</v>
      </c>
      <c r="AN4511">
        <v>1.0000000299338101</v>
      </c>
    </row>
    <row r="4512" spans="1:40" x14ac:dyDescent="0.25">
      <c r="A4512" t="str">
        <f>"20190312164601349"</f>
        <v>20190312164601349</v>
      </c>
      <c r="B4512" t="str">
        <f>"1552380361345940"</f>
        <v>1552380361345940</v>
      </c>
      <c r="C4512" t="s">
        <v>40</v>
      </c>
      <c r="D4512">
        <v>4.5757309999999896</v>
      </c>
      <c r="E4512">
        <v>0.47427439999999998</v>
      </c>
      <c r="F4512" t="s">
        <v>42</v>
      </c>
      <c r="G4512">
        <v>-420.24360000000001</v>
      </c>
      <c r="H4512" s="1">
        <v>-3.410094E-7</v>
      </c>
      <c r="I4512">
        <v>40.232939999999999</v>
      </c>
      <c r="J4512">
        <v>-422.69990000000001</v>
      </c>
      <c r="K4512">
        <v>1.1089739999999999</v>
      </c>
      <c r="L4512">
        <v>66.216189999999997</v>
      </c>
      <c r="M4512">
        <v>-2.45125E-2</v>
      </c>
      <c r="N4512">
        <v>0</v>
      </c>
      <c r="O4512">
        <v>-0.99960590000000005</v>
      </c>
      <c r="P4512">
        <v>1.7419359999999998E-2</v>
      </c>
      <c r="Q4512">
        <v>0.14976220000000001</v>
      </c>
      <c r="R4512">
        <v>-0.98856860000000002</v>
      </c>
      <c r="S4512">
        <v>0.28387449999999997</v>
      </c>
      <c r="T4512">
        <v>-0.12857479999999999</v>
      </c>
      <c r="U4512">
        <v>-3.0499879999999999</v>
      </c>
      <c r="V4512">
        <v>-4.1653879999999997E-2</v>
      </c>
      <c r="W4512">
        <v>0.16325020000000001</v>
      </c>
      <c r="X4512">
        <v>0.98570500000000005</v>
      </c>
      <c r="Y4512">
        <v>-0.11697349999999999</v>
      </c>
      <c r="Z4512">
        <v>4.1864560000000002E-2</v>
      </c>
      <c r="AA4512">
        <v>0.99225229999999998</v>
      </c>
      <c r="AB4512">
        <v>32</v>
      </c>
      <c r="AC4512">
        <v>2.4563000000000001</v>
      </c>
      <c r="AD4512">
        <v>-1.1089743410094</v>
      </c>
      <c r="AE4512">
        <v>-25.983250000000002</v>
      </c>
      <c r="AF4512">
        <v>-3.0869623929563499</v>
      </c>
      <c r="AG4512">
        <v>-1.1089743410094</v>
      </c>
      <c r="AH4512">
        <v>25.868520454782502</v>
      </c>
      <c r="AI4512">
        <v>92.437474031986</v>
      </c>
      <c r="AJ4512">
        <v>96.805084087477397</v>
      </c>
      <c r="AK4512">
        <v>26.075649779517398</v>
      </c>
      <c r="AL4512">
        <v>80.604400007775396</v>
      </c>
      <c r="AM4512">
        <v>92.419762949210906</v>
      </c>
      <c r="AN4512">
        <v>1.0000000102720401</v>
      </c>
    </row>
    <row r="4513" spans="1:40" x14ac:dyDescent="0.25">
      <c r="A4513" t="str">
        <f>"20190312164601372"</f>
        <v>20190312164601372</v>
      </c>
      <c r="B4513" t="str">
        <f>"1552380361366439"</f>
        <v>1552380361366439</v>
      </c>
      <c r="C4513" t="s">
        <v>40</v>
      </c>
      <c r="D4513">
        <v>4.5193110000000001</v>
      </c>
      <c r="E4513">
        <v>0.47454000000000002</v>
      </c>
      <c r="F4513" t="s">
        <v>42</v>
      </c>
      <c r="G4513">
        <v>-420.33929999999998</v>
      </c>
      <c r="H4513" s="1">
        <v>-6.5757349999999997E-7</v>
      </c>
      <c r="I4513">
        <v>40.911490000000001</v>
      </c>
      <c r="J4513">
        <v>-422.7081</v>
      </c>
      <c r="K4513">
        <v>1.1089979999999999</v>
      </c>
      <c r="L4513">
        <v>65.877719999999997</v>
      </c>
      <c r="M4513">
        <v>-2.4428600000000002E-2</v>
      </c>
      <c r="N4513">
        <v>0</v>
      </c>
      <c r="O4513">
        <v>-0.9996081</v>
      </c>
      <c r="P4513">
        <v>1.8847610000000001E-2</v>
      </c>
      <c r="Q4513">
        <v>0.14943419999999999</v>
      </c>
      <c r="R4513">
        <v>-0.98859200000000003</v>
      </c>
      <c r="S4513">
        <v>0.28451539999999997</v>
      </c>
      <c r="T4513">
        <v>-0.13366259999999999</v>
      </c>
      <c r="U4513">
        <v>-3.0499269999999998</v>
      </c>
      <c r="V4513">
        <v>-4.3009350000000002E-2</v>
      </c>
      <c r="W4513">
        <v>0.1629265</v>
      </c>
      <c r="X4513">
        <v>0.98570029999999997</v>
      </c>
      <c r="Y4513">
        <v>-0.11709219999999999</v>
      </c>
      <c r="Z4513">
        <v>4.3518330000000001E-2</v>
      </c>
      <c r="AA4513">
        <v>0.99216709999999997</v>
      </c>
      <c r="AB4513">
        <v>32</v>
      </c>
      <c r="AC4513">
        <v>2.3688000000000198</v>
      </c>
      <c r="AD4513">
        <v>-1.1089986575735</v>
      </c>
      <c r="AE4513">
        <v>-24.966229999999999</v>
      </c>
      <c r="AF4513">
        <v>-2.9722277355937599</v>
      </c>
      <c r="AG4513">
        <v>-1.1089986575735</v>
      </c>
      <c r="AH4513">
        <v>24.852306864968199</v>
      </c>
      <c r="AI4513">
        <v>92.5369920512899</v>
      </c>
      <c r="AJ4513">
        <v>96.819933518113899</v>
      </c>
      <c r="AK4513">
        <v>25.053965200049198</v>
      </c>
      <c r="AL4513">
        <v>80.623197905178898</v>
      </c>
      <c r="AM4513">
        <v>92.4984187892519</v>
      </c>
      <c r="AN4513">
        <v>0.99999996500487998</v>
      </c>
    </row>
    <row r="4514" spans="1:40" x14ac:dyDescent="0.25">
      <c r="A4514" t="str">
        <f>"20190312164601394"</f>
        <v>20190312164601394</v>
      </c>
      <c r="B4514" t="str">
        <f>"1552380361385956"</f>
        <v>1552380361385956</v>
      </c>
      <c r="C4514" t="s">
        <v>40</v>
      </c>
      <c r="D4514">
        <v>4.5031089999999896</v>
      </c>
      <c r="E4514">
        <v>0.47505239999999999</v>
      </c>
      <c r="F4514" t="s">
        <v>42</v>
      </c>
      <c r="G4514">
        <v>-420.3553</v>
      </c>
      <c r="H4514" s="1">
        <v>-6.2520679999999996E-7</v>
      </c>
      <c r="I4514">
        <v>40.826120000000003</v>
      </c>
      <c r="J4514">
        <v>-422.71570000000003</v>
      </c>
      <c r="K4514">
        <v>1.109024</v>
      </c>
      <c r="L4514">
        <v>65.562989999999999</v>
      </c>
      <c r="M4514">
        <v>-2.4320660000000001E-2</v>
      </c>
      <c r="N4514">
        <v>0</v>
      </c>
      <c r="O4514">
        <v>-0.99961049999999996</v>
      </c>
      <c r="P4514">
        <v>2.013272E-2</v>
      </c>
      <c r="Q4514">
        <v>0.14995</v>
      </c>
      <c r="R4514">
        <v>-0.98848860000000005</v>
      </c>
      <c r="S4514">
        <v>0.28640749999999998</v>
      </c>
      <c r="T4514">
        <v>-0.134999799999999</v>
      </c>
      <c r="U4514">
        <v>-3.0495610000000002</v>
      </c>
      <c r="V4514">
        <v>-4.419464E-2</v>
      </c>
      <c r="W4514">
        <v>0.163443</v>
      </c>
      <c r="X4514">
        <v>0.98556239999999995</v>
      </c>
      <c r="Y4514">
        <v>-0.117604399999999</v>
      </c>
      <c r="Z4514">
        <v>4.3955649999999999E-2</v>
      </c>
      <c r="AA4514">
        <v>0.99208719999999995</v>
      </c>
      <c r="AB4514">
        <v>32</v>
      </c>
      <c r="AC4514">
        <v>2.3604000000000198</v>
      </c>
      <c r="AD4514">
        <v>-1.1090246252067999</v>
      </c>
      <c r="AE4514">
        <v>-24.73687</v>
      </c>
      <c r="AF4514">
        <v>-2.9554881668444799</v>
      </c>
      <c r="AG4514">
        <v>-1.1090246252067999</v>
      </c>
      <c r="AH4514">
        <v>24.623094323891898</v>
      </c>
      <c r="AI4514">
        <v>92.560506177813707</v>
      </c>
      <c r="AJ4514">
        <v>96.844417770464304</v>
      </c>
      <c r="AK4514">
        <v>24.824617217732701</v>
      </c>
      <c r="AL4514">
        <v>80.593203011551196</v>
      </c>
      <c r="AM4514">
        <v>92.567540278584701</v>
      </c>
      <c r="AN4514">
        <v>1.00000001237374</v>
      </c>
    </row>
    <row r="4515" spans="1:40" x14ac:dyDescent="0.25">
      <c r="A4515" t="str">
        <f>"20190312164601417"</f>
        <v>20190312164601417</v>
      </c>
      <c r="B4515" t="str">
        <f>"1552380361406452"</f>
        <v>1552380361406452</v>
      </c>
      <c r="C4515" t="s">
        <v>40</v>
      </c>
      <c r="D4515">
        <v>4.5329800000000002</v>
      </c>
      <c r="E4515">
        <v>0.4752574</v>
      </c>
      <c r="F4515" t="s">
        <v>42</v>
      </c>
      <c r="G4515">
        <v>-420.43869999999998</v>
      </c>
      <c r="H4515" s="1">
        <v>-8.4406539999999995E-7</v>
      </c>
      <c r="I4515">
        <v>41.284550000000003</v>
      </c>
      <c r="J4515">
        <v>-422.72329999999999</v>
      </c>
      <c r="K4515">
        <v>1.1090500000000001</v>
      </c>
      <c r="L4515">
        <v>65.246250000000003</v>
      </c>
      <c r="M4515">
        <v>-2.4175519999999999E-2</v>
      </c>
      <c r="N4515">
        <v>0</v>
      </c>
      <c r="O4515">
        <v>-0.99961429999999996</v>
      </c>
      <c r="P4515">
        <v>2.1443009999999998E-2</v>
      </c>
      <c r="Q4515">
        <v>0.14965539999999999</v>
      </c>
      <c r="R4515">
        <v>-0.98850579999999999</v>
      </c>
      <c r="S4515">
        <v>0.28607179999999999</v>
      </c>
      <c r="T4515">
        <v>-0.13933280000000001</v>
      </c>
      <c r="U4515">
        <v>-3.0502319999999998</v>
      </c>
      <c r="V4515">
        <v>-4.537219E-2</v>
      </c>
      <c r="W4515">
        <v>0.1631495</v>
      </c>
      <c r="X4515">
        <v>0.98555749999999998</v>
      </c>
      <c r="Y4515">
        <v>-0.11732579999999999</v>
      </c>
      <c r="Z4515">
        <v>4.5354899999999997E-2</v>
      </c>
      <c r="AA4515">
        <v>0.99205730000000003</v>
      </c>
      <c r="AB4515">
        <v>32</v>
      </c>
      <c r="AC4515">
        <v>2.28460000000001</v>
      </c>
      <c r="AD4515">
        <v>-1.1090508440653899</v>
      </c>
      <c r="AE4515">
        <v>-23.9617</v>
      </c>
      <c r="AF4515">
        <v>-2.8572071458470001</v>
      </c>
      <c r="AG4515">
        <v>-1.1090508440653899</v>
      </c>
      <c r="AH4515">
        <v>23.848829223202198</v>
      </c>
      <c r="AI4515">
        <v>92.643650692628199</v>
      </c>
      <c r="AJ4515">
        <v>96.831754728188997</v>
      </c>
      <c r="AK4515">
        <v>24.044963750575</v>
      </c>
      <c r="AL4515">
        <v>80.610247909508502</v>
      </c>
      <c r="AM4515">
        <v>92.635869302049201</v>
      </c>
      <c r="AN4515">
        <v>0.999999990390948</v>
      </c>
    </row>
    <row r="4516" spans="1:40" x14ac:dyDescent="0.25">
      <c r="A4516" t="str">
        <f>"20190312164601438"</f>
        <v>20190312164601438</v>
      </c>
      <c r="B4516" t="str">
        <f>"1552380361425973"</f>
        <v>1552380361425973</v>
      </c>
      <c r="C4516" t="s">
        <v>40</v>
      </c>
      <c r="D4516">
        <v>4.5295829999999997</v>
      </c>
      <c r="E4516">
        <v>0.47544120000000001</v>
      </c>
      <c r="F4516" t="s">
        <v>42</v>
      </c>
      <c r="G4516">
        <v>-420.4545</v>
      </c>
      <c r="H4516" s="1">
        <v>-7.9285099999999998E-7</v>
      </c>
      <c r="I4516">
        <v>41.155380000000001</v>
      </c>
      <c r="J4516">
        <v>-422.73079999999999</v>
      </c>
      <c r="K4516">
        <v>1.109078</v>
      </c>
      <c r="L4516">
        <v>64.927729999999997</v>
      </c>
      <c r="M4516">
        <v>-2.3985989999999999E-2</v>
      </c>
      <c r="N4516">
        <v>0</v>
      </c>
      <c r="O4516">
        <v>-0.99961860000000002</v>
      </c>
      <c r="P4516">
        <v>2.2233340000000001E-2</v>
      </c>
      <c r="Q4516">
        <v>0.1488196</v>
      </c>
      <c r="R4516">
        <v>-0.98861449999999995</v>
      </c>
      <c r="S4516">
        <v>0.28723140000000003</v>
      </c>
      <c r="T4516">
        <v>-0.1404068</v>
      </c>
      <c r="U4516">
        <v>-3.0499269999999998</v>
      </c>
      <c r="V4516">
        <v>-4.5990009999999998E-2</v>
      </c>
      <c r="W4516">
        <v>0.16231489999999901</v>
      </c>
      <c r="X4516">
        <v>0.98566670000000001</v>
      </c>
      <c r="Y4516">
        <v>-0.1175191</v>
      </c>
      <c r="Z4516">
        <v>4.5707320000000003E-2</v>
      </c>
      <c r="AA4516">
        <v>0.99201819999999996</v>
      </c>
      <c r="AB4516">
        <v>32</v>
      </c>
      <c r="AC4516">
        <v>2.2762999999999902</v>
      </c>
      <c r="AD4516">
        <v>-1.109078792851</v>
      </c>
      <c r="AE4516">
        <v>-23.772349999999999</v>
      </c>
      <c r="AF4516">
        <v>-2.8397768105272498</v>
      </c>
      <c r="AG4516">
        <v>-1.109078792851</v>
      </c>
      <c r="AH4516">
        <v>23.659874441614299</v>
      </c>
      <c r="AI4516">
        <v>92.664731183394494</v>
      </c>
      <c r="AJ4516">
        <v>96.844186378028098</v>
      </c>
      <c r="AK4516">
        <v>23.855482529081499</v>
      </c>
      <c r="AL4516">
        <v>80.658713327559198</v>
      </c>
      <c r="AM4516">
        <v>92.671413951243693</v>
      </c>
      <c r="AN4516">
        <v>1.0000000256353401</v>
      </c>
    </row>
    <row r="4517" spans="1:40" x14ac:dyDescent="0.25">
      <c r="A4517" t="str">
        <f>"20190312164601461"</f>
        <v>20190312164601461</v>
      </c>
      <c r="B4517" t="str">
        <f>"1552380361456228"</f>
        <v>1552380361456228</v>
      </c>
      <c r="C4517" t="s">
        <v>40</v>
      </c>
      <c r="D4517">
        <v>4.4816909999999996</v>
      </c>
      <c r="E4517">
        <v>0.47575820000000002</v>
      </c>
      <c r="F4517" t="s">
        <v>42</v>
      </c>
      <c r="G4517">
        <v>-420.48840000000001</v>
      </c>
      <c r="H4517" s="1">
        <v>-8.3860069999999905E-7</v>
      </c>
      <c r="I4517">
        <v>41.240989999999996</v>
      </c>
      <c r="J4517">
        <v>-422.73820000000001</v>
      </c>
      <c r="K4517">
        <v>1.1091139999999999</v>
      </c>
      <c r="L4517">
        <v>64.608090000000004</v>
      </c>
      <c r="M4517">
        <v>-2.3748350000000001E-2</v>
      </c>
      <c r="N4517">
        <v>0</v>
      </c>
      <c r="O4517">
        <v>-0.99962419999999996</v>
      </c>
      <c r="P4517">
        <v>2.3347030000000001E-2</v>
      </c>
      <c r="Q4517">
        <v>0.14718110000000001</v>
      </c>
      <c r="R4517">
        <v>-0.98883379999999998</v>
      </c>
      <c r="S4517">
        <v>0.28869630000000002</v>
      </c>
      <c r="T4517">
        <v>-0.1427889</v>
      </c>
      <c r="U4517">
        <v>-3.0495610000000002</v>
      </c>
      <c r="V4517">
        <v>-4.688726E-2</v>
      </c>
      <c r="W4517">
        <v>0.16067719999999999</v>
      </c>
      <c r="X4517">
        <v>0.98589269999999996</v>
      </c>
      <c r="Y4517">
        <v>-0.1177631</v>
      </c>
      <c r="Z4517">
        <v>4.64853E-2</v>
      </c>
      <c r="AA4517">
        <v>0.99195310000000003</v>
      </c>
      <c r="AB4517">
        <v>32</v>
      </c>
      <c r="AC4517">
        <v>2.2497999999999898</v>
      </c>
      <c r="AD4517">
        <v>-1.1091148386006999</v>
      </c>
      <c r="AE4517">
        <v>-23.367100000000001</v>
      </c>
      <c r="AF4517">
        <v>-2.7979019410052701</v>
      </c>
      <c r="AG4517">
        <v>-1.1091148386006999</v>
      </c>
      <c r="AH4517">
        <v>23.255163922472299</v>
      </c>
      <c r="AI4517">
        <v>92.711032591651303</v>
      </c>
      <c r="AJ4517">
        <v>96.860460025931602</v>
      </c>
      <c r="AK4517">
        <v>23.449115976039302</v>
      </c>
      <c r="AL4517">
        <v>80.753794465704104</v>
      </c>
      <c r="AM4517">
        <v>92.722831272119194</v>
      </c>
      <c r="AN4517">
        <v>0.99999999683171803</v>
      </c>
    </row>
    <row r="4518" spans="1:40" x14ac:dyDescent="0.25">
      <c r="A4518" t="str">
        <f>"20190312164601483"</f>
        <v>20190312164601483</v>
      </c>
      <c r="B4518" t="str">
        <f>"1552380361475748"</f>
        <v>1552380361475748</v>
      </c>
      <c r="C4518" t="s">
        <v>40</v>
      </c>
      <c r="D4518">
        <v>4.5488530000000003</v>
      </c>
      <c r="E4518">
        <v>0.4760836</v>
      </c>
      <c r="F4518" t="s">
        <v>42</v>
      </c>
      <c r="G4518">
        <v>-420.54910000000001</v>
      </c>
      <c r="H4518" s="1">
        <v>-1.0257040000000001E-6</v>
      </c>
      <c r="I4518">
        <v>41.639490000000002</v>
      </c>
      <c r="J4518">
        <v>-422.7457</v>
      </c>
      <c r="K4518">
        <v>1.1091580000000001</v>
      </c>
      <c r="L4518">
        <v>64.28058</v>
      </c>
      <c r="M4518">
        <v>-2.3453120000000001E-2</v>
      </c>
      <c r="N4518">
        <v>0</v>
      </c>
      <c r="O4518">
        <v>-0.99963139999999995</v>
      </c>
      <c r="P4518">
        <v>2.4290949999999999E-2</v>
      </c>
      <c r="Q4518">
        <v>0.14660689999999901</v>
      </c>
      <c r="R4518">
        <v>-0.98889700000000003</v>
      </c>
      <c r="S4518">
        <v>0.29058840000000002</v>
      </c>
      <c r="T4518">
        <v>-0.1472272</v>
      </c>
      <c r="U4518">
        <v>-3.0489199999999999</v>
      </c>
      <c r="V4518">
        <v>-4.7556969999999997E-2</v>
      </c>
      <c r="W4518">
        <v>0.1601012</v>
      </c>
      <c r="X4518">
        <v>0.98595429999999995</v>
      </c>
      <c r="Y4518">
        <v>-0.1180929</v>
      </c>
      <c r="Z4518">
        <v>4.7935060000000002E-2</v>
      </c>
      <c r="AA4518">
        <v>0.99184490000000003</v>
      </c>
      <c r="AB4518">
        <v>32</v>
      </c>
      <c r="AC4518">
        <v>2.1965999999999801</v>
      </c>
      <c r="AD4518">
        <v>-1.109159025704</v>
      </c>
      <c r="AE4518">
        <v>-22.641089999999998</v>
      </c>
      <c r="AF4518">
        <v>-2.7205813079808898</v>
      </c>
      <c r="AG4518">
        <v>-1.109159025704</v>
      </c>
      <c r="AH4518">
        <v>22.529774184185499</v>
      </c>
      <c r="AI4518">
        <v>92.798147636078298</v>
      </c>
      <c r="AJ4518">
        <v>96.885409888498103</v>
      </c>
      <c r="AK4518">
        <v>22.720530829803</v>
      </c>
      <c r="AL4518">
        <v>80.787229449563696</v>
      </c>
      <c r="AM4518">
        <v>92.761490529846597</v>
      </c>
      <c r="AN4518">
        <v>0.99999997066275503</v>
      </c>
    </row>
    <row r="4519" spans="1:40" x14ac:dyDescent="0.25">
      <c r="A4519" t="str">
        <f>"20190312164601506"</f>
        <v>20190312164601506</v>
      </c>
      <c r="B4519" t="str">
        <f>"1552380361496245"</f>
        <v>1552380361496245</v>
      </c>
      <c r="C4519" t="s">
        <v>40</v>
      </c>
      <c r="D4519">
        <v>4.3995569999999997</v>
      </c>
      <c r="E4519">
        <v>0.47639910000000002</v>
      </c>
      <c r="F4519" t="s">
        <v>42</v>
      </c>
      <c r="G4519">
        <v>-420.55630000000002</v>
      </c>
      <c r="H4519" s="1">
        <v>-8.9077129999999998E-7</v>
      </c>
      <c r="I4519">
        <v>41.320459999999997</v>
      </c>
      <c r="J4519">
        <v>-422.7527</v>
      </c>
      <c r="K4519">
        <v>1.1091949999999999</v>
      </c>
      <c r="L4519">
        <v>63.968380000000003</v>
      </c>
      <c r="M4519">
        <v>-2.311947E-2</v>
      </c>
      <c r="N4519">
        <v>0</v>
      </c>
      <c r="O4519">
        <v>-0.9996389</v>
      </c>
      <c r="P4519">
        <v>2.5751639999999999E-2</v>
      </c>
      <c r="Q4519">
        <v>0.14712549999999999</v>
      </c>
      <c r="R4519">
        <v>-0.98878259999999996</v>
      </c>
      <c r="S4519">
        <v>0.29067989999999999</v>
      </c>
      <c r="T4519">
        <v>-0.14726229999999901</v>
      </c>
      <c r="U4519">
        <v>-3.0484010000000001</v>
      </c>
      <c r="V4519">
        <v>-4.8702309999999999E-2</v>
      </c>
      <c r="W4519">
        <v>0.16061420000000001</v>
      </c>
      <c r="X4519">
        <v>0.985815</v>
      </c>
      <c r="Y4519">
        <v>-0.11780690000000001</v>
      </c>
      <c r="Z4519">
        <v>4.7955909999999997E-2</v>
      </c>
      <c r="AA4519">
        <v>0.99187789999999998</v>
      </c>
      <c r="AB4519">
        <v>32</v>
      </c>
      <c r="AC4519">
        <v>2.1963999999999801</v>
      </c>
      <c r="AD4519">
        <v>-1.1091958907713</v>
      </c>
      <c r="AE4519">
        <v>-22.647919999999999</v>
      </c>
      <c r="AF4519">
        <v>-2.7130229767781699</v>
      </c>
      <c r="AG4519">
        <v>-1.1091958907713</v>
      </c>
      <c r="AH4519">
        <v>22.5375258516959</v>
      </c>
      <c r="AI4519">
        <v>92.797404673425206</v>
      </c>
      <c r="AJ4519">
        <v>96.864124545055006</v>
      </c>
      <c r="AK4519">
        <v>22.727315739270502</v>
      </c>
      <c r="AL4519">
        <v>80.757451862961204</v>
      </c>
      <c r="AM4519">
        <v>92.828289242735295</v>
      </c>
      <c r="AN4519">
        <v>1.0000000252329799</v>
      </c>
    </row>
    <row r="4520" spans="1:40" x14ac:dyDescent="0.25">
      <c r="A4520" t="str">
        <f>"20190312164601528"</f>
        <v>20190312164601528</v>
      </c>
      <c r="B4520" t="str">
        <f>"1552380361516740"</f>
        <v>1552380361516740</v>
      </c>
      <c r="C4520" t="s">
        <v>40</v>
      </c>
      <c r="D4520">
        <v>4.4651610000000002</v>
      </c>
      <c r="E4520">
        <v>0.4766532</v>
      </c>
      <c r="F4520" t="s">
        <v>42</v>
      </c>
      <c r="G4520">
        <v>-420.50450000000001</v>
      </c>
      <c r="H4520" s="1">
        <v>-5.3486319999999902E-7</v>
      </c>
      <c r="I4520">
        <v>40.523000000000003</v>
      </c>
      <c r="J4520">
        <v>-422.75970000000001</v>
      </c>
      <c r="K4520">
        <v>1.1092409999999999</v>
      </c>
      <c r="L4520">
        <v>63.649290000000001</v>
      </c>
      <c r="M4520">
        <v>-2.2724290000000001E-2</v>
      </c>
      <c r="N4520">
        <v>0</v>
      </c>
      <c r="O4520">
        <v>-0.99964799999999998</v>
      </c>
      <c r="P4520">
        <v>2.6802940000000001E-2</v>
      </c>
      <c r="Q4520">
        <v>0.14740739999999999</v>
      </c>
      <c r="R4520">
        <v>-0.98871290000000001</v>
      </c>
      <c r="S4520">
        <v>0.29226679999999999</v>
      </c>
      <c r="T4520">
        <v>-0.14419460000000001</v>
      </c>
      <c r="U4520">
        <v>-3.047882</v>
      </c>
      <c r="V4520">
        <v>-4.937884E-2</v>
      </c>
      <c r="W4520">
        <v>0.160890899999999</v>
      </c>
      <c r="X4520">
        <v>0.98573619999999995</v>
      </c>
      <c r="Y4520">
        <v>-0.1179465</v>
      </c>
      <c r="Z4520">
        <v>4.6966180000000003E-2</v>
      </c>
      <c r="AA4520">
        <v>0.99190869999999998</v>
      </c>
      <c r="AB4520">
        <v>32</v>
      </c>
      <c r="AC4520">
        <v>2.2551999999999999</v>
      </c>
      <c r="AD4520">
        <v>-1.1092415348632001</v>
      </c>
      <c r="AE4520">
        <v>-23.126290000000001</v>
      </c>
      <c r="AF4520">
        <v>-2.7738738731842298</v>
      </c>
      <c r="AG4520">
        <v>-1.1092415348632001</v>
      </c>
      <c r="AH4520">
        <v>23.0166112398514</v>
      </c>
      <c r="AI4520">
        <v>92.739334667477607</v>
      </c>
      <c r="AJ4520">
        <v>96.871926265776196</v>
      </c>
      <c r="AK4520">
        <v>23.2096787141367</v>
      </c>
      <c r="AL4520">
        <v>80.741389021815706</v>
      </c>
      <c r="AM4520">
        <v>92.867741092471107</v>
      </c>
      <c r="AN4520">
        <v>1.00000000376649</v>
      </c>
    </row>
    <row r="4521" spans="1:40" x14ac:dyDescent="0.25">
      <c r="A4521" t="str">
        <f>"20190312164601550"</f>
        <v>20190312164601550</v>
      </c>
      <c r="B4521" t="str">
        <f>"1552380361546020"</f>
        <v>1552380361546020</v>
      </c>
      <c r="C4521" t="s">
        <v>40</v>
      </c>
      <c r="D4521">
        <v>4.4033800000000003</v>
      </c>
      <c r="E4521">
        <v>0.47696379999999999</v>
      </c>
      <c r="F4521" t="s">
        <v>42</v>
      </c>
      <c r="G4521">
        <v>-420.48340000000002</v>
      </c>
      <c r="H4521" s="1">
        <v>-2.9535390000000002E-7</v>
      </c>
      <c r="I4521">
        <v>39.97775</v>
      </c>
      <c r="J4521">
        <v>-422.76659999999998</v>
      </c>
      <c r="K4521">
        <v>1.1092879999999901</v>
      </c>
      <c r="L4521">
        <v>63.326929999999997</v>
      </c>
      <c r="M4521">
        <v>-2.2265130000000001E-2</v>
      </c>
      <c r="N4521">
        <v>0</v>
      </c>
      <c r="O4521">
        <v>-0.99965859999999995</v>
      </c>
      <c r="P4521">
        <v>2.7984869999999998E-2</v>
      </c>
      <c r="Q4521">
        <v>0.14704519999999999</v>
      </c>
      <c r="R4521">
        <v>-0.988734</v>
      </c>
      <c r="S4521">
        <v>0.2930603</v>
      </c>
      <c r="T4521">
        <v>-0.14280989999999999</v>
      </c>
      <c r="U4521">
        <v>-3.0476070000000002</v>
      </c>
      <c r="V4521">
        <v>-5.0125450000000002E-2</v>
      </c>
      <c r="W4521">
        <v>0.16052339999999901</v>
      </c>
      <c r="X4521">
        <v>0.98575840000000003</v>
      </c>
      <c r="Y4521">
        <v>-0.11775670000000001</v>
      </c>
      <c r="Z4521">
        <v>4.6520970000000002E-2</v>
      </c>
      <c r="AA4521">
        <v>0.99195219999999995</v>
      </c>
      <c r="AB4521">
        <v>32</v>
      </c>
      <c r="AC4521">
        <v>2.2831999999999599</v>
      </c>
      <c r="AD4521">
        <v>-1.1092882953538901</v>
      </c>
      <c r="AE4521">
        <v>-23.34918</v>
      </c>
      <c r="AF4521">
        <v>-2.7963033385078302</v>
      </c>
      <c r="AG4521">
        <v>-1.1092882953538901</v>
      </c>
      <c r="AH4521">
        <v>23.2405913044547</v>
      </c>
      <c r="AI4521">
        <v>92.713151437308895</v>
      </c>
      <c r="AJ4521">
        <v>96.860835909948804</v>
      </c>
      <c r="AK4521">
        <v>23.434481369636799</v>
      </c>
      <c r="AL4521">
        <v>80.762722223313801</v>
      </c>
      <c r="AM4521">
        <v>92.910961978227405</v>
      </c>
      <c r="AN4521">
        <v>0.99999997292790999</v>
      </c>
    </row>
    <row r="4522" spans="1:40" x14ac:dyDescent="0.25">
      <c r="A4522" t="str">
        <f>"20190312164601573"</f>
        <v>20190312164601573</v>
      </c>
      <c r="B4522" t="str">
        <f>"1552380361566519"</f>
        <v>1552380361566519</v>
      </c>
      <c r="C4522" t="s">
        <v>40</v>
      </c>
      <c r="D4522">
        <v>4.5073080000000001</v>
      </c>
      <c r="E4522">
        <v>0.47716199999999998</v>
      </c>
      <c r="F4522" t="s">
        <v>42</v>
      </c>
      <c r="G4522">
        <v>-420.51960000000003</v>
      </c>
      <c r="H4522" s="1">
        <v>-3.6813689999999999E-7</v>
      </c>
      <c r="I4522">
        <v>40.124969999999998</v>
      </c>
      <c r="J4522">
        <v>-422.77319999999997</v>
      </c>
      <c r="K4522">
        <v>1.1093390000000001</v>
      </c>
      <c r="L4522">
        <v>63.004669999999997</v>
      </c>
      <c r="M4522">
        <v>-2.174713E-2</v>
      </c>
      <c r="N4522">
        <v>0</v>
      </c>
      <c r="O4522">
        <v>-0.99966969999999999</v>
      </c>
      <c r="P4522">
        <v>2.9234710000000001E-2</v>
      </c>
      <c r="Q4522">
        <v>0.1462947</v>
      </c>
      <c r="R4522">
        <v>-0.98880919999999894</v>
      </c>
      <c r="S4522">
        <v>0.2951355</v>
      </c>
      <c r="T4522">
        <v>-0.14570060000000001</v>
      </c>
      <c r="U4522">
        <v>-3.047485</v>
      </c>
      <c r="V4522">
        <v>-5.0881940000000001E-2</v>
      </c>
      <c r="W4522">
        <v>0.1597684</v>
      </c>
      <c r="X4522">
        <v>0.98584229999999995</v>
      </c>
      <c r="Y4522">
        <v>-0.117911</v>
      </c>
      <c r="Z4522">
        <v>4.7461250000000003E-2</v>
      </c>
      <c r="AA4522">
        <v>0.99188929999999997</v>
      </c>
      <c r="AB4522">
        <v>32</v>
      </c>
      <c r="AC4522">
        <v>2.2535999999999401</v>
      </c>
      <c r="AD4522">
        <v>-1.1093393681368999</v>
      </c>
      <c r="AE4522">
        <v>-22.8797</v>
      </c>
      <c r="AF4522">
        <v>-2.74429193000103</v>
      </c>
      <c r="AG4522">
        <v>-1.1093393681368999</v>
      </c>
      <c r="AH4522">
        <v>22.772253914710301</v>
      </c>
      <c r="AI4522">
        <v>92.768929291706897</v>
      </c>
      <c r="AJ4522">
        <v>96.871596587743696</v>
      </c>
      <c r="AK4522">
        <v>22.963826344640498</v>
      </c>
      <c r="AL4522">
        <v>80.806546196604003</v>
      </c>
      <c r="AM4522">
        <v>92.954565725671401</v>
      </c>
      <c r="AN4522">
        <v>0.99999997696300602</v>
      </c>
    </row>
    <row r="4523" spans="1:40" x14ac:dyDescent="0.25">
      <c r="A4523" t="str">
        <f>"20190312164601594"</f>
        <v>20190312164601594</v>
      </c>
      <c r="B4523" t="str">
        <f>"1552380361586036"</f>
        <v>1552380361586036</v>
      </c>
      <c r="C4523" t="s">
        <v>40</v>
      </c>
      <c r="D4523">
        <v>4.4071049999999996</v>
      </c>
      <c r="E4523">
        <v>0.47734320000000002</v>
      </c>
      <c r="F4523" t="s">
        <v>42</v>
      </c>
      <c r="G4523">
        <v>-420.54969999999997</v>
      </c>
      <c r="H4523" s="1">
        <v>-4.1198530000000002E-7</v>
      </c>
      <c r="I4523">
        <v>40.20852</v>
      </c>
      <c r="J4523">
        <v>-422.77940000000001</v>
      </c>
      <c r="K4523">
        <v>1.109381</v>
      </c>
      <c r="L4523">
        <v>62.6928699999999</v>
      </c>
      <c r="M4523">
        <v>-2.120174E-2</v>
      </c>
      <c r="N4523">
        <v>0</v>
      </c>
      <c r="O4523">
        <v>-0.99968140000000005</v>
      </c>
      <c r="P4523">
        <v>3.0967100000000001E-2</v>
      </c>
      <c r="Q4523">
        <v>0.14689720000000001</v>
      </c>
      <c r="R4523">
        <v>-0.98866699999999996</v>
      </c>
      <c r="S4523">
        <v>0.29721069999999999</v>
      </c>
      <c r="T4523">
        <v>-0.14828339999999901</v>
      </c>
      <c r="U4523">
        <v>-3.0471189999999999</v>
      </c>
      <c r="V4523">
        <v>-5.2088229999999999E-2</v>
      </c>
      <c r="W4523">
        <v>0.1603629</v>
      </c>
      <c r="X4523">
        <v>0.98568279999999997</v>
      </c>
      <c r="Y4523">
        <v>-0.118045899999999</v>
      </c>
      <c r="Z4523">
        <v>4.8305250000000001E-2</v>
      </c>
      <c r="AA4523">
        <v>0.99183259999999995</v>
      </c>
      <c r="AB4523">
        <v>32</v>
      </c>
      <c r="AC4523">
        <v>2.22970000000003</v>
      </c>
      <c r="AD4523">
        <v>-1.1093814119853</v>
      </c>
      <c r="AE4523">
        <v>-22.4843499999999</v>
      </c>
      <c r="AF4523">
        <v>-2.6994431035957702</v>
      </c>
      <c r="AG4523">
        <v>-1.1093814119853</v>
      </c>
      <c r="AH4523">
        <v>22.378069221626099</v>
      </c>
      <c r="AI4523">
        <v>92.817692401954702</v>
      </c>
      <c r="AJ4523">
        <v>96.878295669580694</v>
      </c>
      <c r="AK4523">
        <v>22.567580780285201</v>
      </c>
      <c r="AL4523">
        <v>80.772039264105203</v>
      </c>
      <c r="AM4523">
        <v>93.024971420811795</v>
      </c>
      <c r="AN4523">
        <v>1.0000000128083899</v>
      </c>
    </row>
    <row r="4524" spans="1:40" x14ac:dyDescent="0.25">
      <c r="A4524" t="str">
        <f>"20190312164601617"</f>
        <v>20190312164601617</v>
      </c>
      <c r="B4524" t="str">
        <f>"1552380361606532"</f>
        <v>1552380361606532</v>
      </c>
      <c r="C4524" t="s">
        <v>40</v>
      </c>
      <c r="D4524">
        <v>4.6743139999999999</v>
      </c>
      <c r="E4524">
        <v>0.47753469999999998</v>
      </c>
      <c r="F4524" t="s">
        <v>42</v>
      </c>
      <c r="G4524">
        <v>-420.5308</v>
      </c>
      <c r="H4524" s="1">
        <v>-2.7570369999999999E-7</v>
      </c>
      <c r="I4524">
        <v>39.902540000000002</v>
      </c>
      <c r="J4524">
        <v>-422.78559999999999</v>
      </c>
      <c r="K4524">
        <v>1.109424</v>
      </c>
      <c r="L4524">
        <v>62.372770000000003</v>
      </c>
      <c r="M4524">
        <v>-2.0593690000000001E-2</v>
      </c>
      <c r="N4524">
        <v>0</v>
      </c>
      <c r="O4524">
        <v>-0.99969419999999998</v>
      </c>
      <c r="P4524">
        <v>3.321607E-2</v>
      </c>
      <c r="Q4524">
        <v>0.1478497</v>
      </c>
      <c r="R4524">
        <v>-0.988452</v>
      </c>
      <c r="S4524">
        <v>0.30062870000000003</v>
      </c>
      <c r="T4524">
        <v>-0.148320799999999</v>
      </c>
      <c r="U4524">
        <v>-3.0469970000000002</v>
      </c>
      <c r="V4524">
        <v>-5.3748339999999999E-2</v>
      </c>
      <c r="W4524">
        <v>0.16130510000000001</v>
      </c>
      <c r="X4524">
        <v>0.98543990000000004</v>
      </c>
      <c r="Y4524">
        <v>-0.11854770000000001</v>
      </c>
      <c r="Z4524">
        <v>4.8316190000000002E-2</v>
      </c>
      <c r="AA4524">
        <v>0.99177219999999999</v>
      </c>
      <c r="AB4524">
        <v>32</v>
      </c>
      <c r="AC4524">
        <v>2.2547999999999799</v>
      </c>
      <c r="AD4524">
        <v>-1.1094242757036901</v>
      </c>
      <c r="AE4524">
        <v>-22.470229999999901</v>
      </c>
      <c r="AF4524">
        <v>-2.71056836424393</v>
      </c>
      <c r="AG4524">
        <v>-1.1094242757036901</v>
      </c>
      <c r="AH4524">
        <v>22.365049000485001</v>
      </c>
      <c r="AI4524">
        <v>92.819248465060696</v>
      </c>
      <c r="AJ4524">
        <v>96.910351872124494</v>
      </c>
      <c r="AK4524">
        <v>22.556006292667501</v>
      </c>
      <c r="AL4524">
        <v>80.717343070032797</v>
      </c>
      <c r="AM4524">
        <v>93.121960768482197</v>
      </c>
      <c r="AN4524">
        <v>1.0000000079253799</v>
      </c>
    </row>
    <row r="4525" spans="1:40" x14ac:dyDescent="0.25">
      <c r="A4525" t="str">
        <f>"20190312164601639"</f>
        <v>20190312164601639</v>
      </c>
      <c r="B4525" t="str">
        <f>"1552380361635812"</f>
        <v>1552380361635812</v>
      </c>
      <c r="C4525" t="s">
        <v>40</v>
      </c>
      <c r="D4525">
        <v>4.536486</v>
      </c>
      <c r="E4525">
        <v>0.47785</v>
      </c>
      <c r="F4525" t="s">
        <v>52</v>
      </c>
      <c r="G4525">
        <v>-420.45569999999998</v>
      </c>
      <c r="H4525" s="1">
        <v>-3.8158860000000002E-7</v>
      </c>
      <c r="I4525">
        <v>39.122570000000003</v>
      </c>
      <c r="J4525">
        <v>-422.79140000000001</v>
      </c>
      <c r="K4525">
        <v>1.1094649999999999</v>
      </c>
      <c r="L4525">
        <v>62.059840000000001</v>
      </c>
      <c r="M4525">
        <v>-1.9947220000000002E-2</v>
      </c>
      <c r="N4525">
        <v>0</v>
      </c>
      <c r="O4525">
        <v>-0.99970749999999997</v>
      </c>
      <c r="P4525">
        <v>3.5256259999999998E-2</v>
      </c>
      <c r="Q4525">
        <v>0.14915220000000001</v>
      </c>
      <c r="R4525">
        <v>-0.9881858</v>
      </c>
      <c r="S4525">
        <v>0.30529790000000001</v>
      </c>
      <c r="T4525">
        <v>-0.145371</v>
      </c>
      <c r="U4525">
        <v>-3.0465390000000001</v>
      </c>
      <c r="V4525">
        <v>-5.516161E-2</v>
      </c>
      <c r="W4525">
        <v>0.16259670000000001</v>
      </c>
      <c r="X4525">
        <v>0.98514950000000001</v>
      </c>
      <c r="Y4525">
        <v>-0.1194298</v>
      </c>
      <c r="Z4525">
        <v>4.7359360000000003E-2</v>
      </c>
      <c r="AA4525">
        <v>0.9917125</v>
      </c>
      <c r="AB4525">
        <v>32</v>
      </c>
      <c r="AC4525">
        <v>2.3357000000000299</v>
      </c>
      <c r="AD4525">
        <v>-1.1094653815886</v>
      </c>
      <c r="AE4525">
        <v>-22.937270000000002</v>
      </c>
      <c r="AF4525">
        <v>-2.7863606486615899</v>
      </c>
      <c r="AG4525">
        <v>-1.1094653815886</v>
      </c>
      <c r="AH4525">
        <v>22.833237650510402</v>
      </c>
      <c r="AI4525">
        <v>92.761357533693698</v>
      </c>
      <c r="AJ4525">
        <v>96.957456146956105</v>
      </c>
      <c r="AK4525">
        <v>23.0293608400676</v>
      </c>
      <c r="AL4525">
        <v>80.642349891350705</v>
      </c>
      <c r="AM4525">
        <v>93.204823885933905</v>
      </c>
      <c r="AN4525">
        <v>1.00000001370946</v>
      </c>
    </row>
    <row r="4526" spans="1:40" x14ac:dyDescent="0.25">
      <c r="A4526" t="str">
        <f>"20190312164601662"</f>
        <v>20190312164601662</v>
      </c>
      <c r="B4526" t="str">
        <f>"1552380361656308"</f>
        <v>1552380361656308</v>
      </c>
      <c r="C4526" t="s">
        <v>40</v>
      </c>
      <c r="D4526">
        <v>4.5346409999999997</v>
      </c>
      <c r="E4526">
        <v>0.47800280000000001</v>
      </c>
      <c r="F4526" t="s">
        <v>52</v>
      </c>
      <c r="G4526">
        <v>-420.3383</v>
      </c>
      <c r="H4526" s="1">
        <v>-1.14104E-6</v>
      </c>
      <c r="I4526">
        <v>37.902059999999999</v>
      </c>
      <c r="J4526">
        <v>-422.79719999999998</v>
      </c>
      <c r="K4526">
        <v>1.10951</v>
      </c>
      <c r="L4526">
        <v>61.731810000000003</v>
      </c>
      <c r="M4526">
        <v>-1.921045E-2</v>
      </c>
      <c r="N4526">
        <v>0</v>
      </c>
      <c r="O4526">
        <v>-0.99972159999999999</v>
      </c>
      <c r="P4526">
        <v>3.7692679999999999E-2</v>
      </c>
      <c r="Q4526">
        <v>0.1486645</v>
      </c>
      <c r="R4526">
        <v>-0.98816939999999998</v>
      </c>
      <c r="S4526">
        <v>0.30929570000000001</v>
      </c>
      <c r="T4526">
        <v>-0.1398867</v>
      </c>
      <c r="U4526">
        <v>-3.0459290000000001</v>
      </c>
      <c r="V4526">
        <v>-5.6887899999999998E-2</v>
      </c>
      <c r="W4526">
        <v>0.16209979999999999</v>
      </c>
      <c r="X4526">
        <v>0.98513320000000004</v>
      </c>
      <c r="Y4526">
        <v>-0.1200147</v>
      </c>
      <c r="Z4526">
        <v>4.5581969999999999E-2</v>
      </c>
      <c r="AA4526">
        <v>0.99172510000000003</v>
      </c>
      <c r="AB4526">
        <v>32</v>
      </c>
      <c r="AC4526">
        <v>2.4588999999999701</v>
      </c>
      <c r="AD4526">
        <v>-1.10951114104</v>
      </c>
      <c r="AE4526">
        <v>-23.829750000000001</v>
      </c>
      <c r="AF4526">
        <v>-2.9100273687895499</v>
      </c>
      <c r="AG4526">
        <v>-1.10951114104</v>
      </c>
      <c r="AH4526">
        <v>23.727216102621</v>
      </c>
      <c r="AI4526">
        <v>92.657381966200404</v>
      </c>
      <c r="AJ4526">
        <v>96.992129395484994</v>
      </c>
      <c r="AK4526">
        <v>23.930734594652002</v>
      </c>
      <c r="AL4526">
        <v>80.671202813737594</v>
      </c>
      <c r="AM4526">
        <v>93.304954886667005</v>
      </c>
      <c r="AN4526">
        <v>1.0000000000343401</v>
      </c>
    </row>
    <row r="4527" spans="1:40" x14ac:dyDescent="0.25">
      <c r="A4527" t="str">
        <f>"20190312164601695"</f>
        <v>20190312164601695</v>
      </c>
      <c r="B4527" t="str">
        <f>"1552380361686564"</f>
        <v>1552380361686564</v>
      </c>
      <c r="C4527" t="s">
        <v>40</v>
      </c>
      <c r="D4527">
        <v>4.7251310000000002</v>
      </c>
      <c r="E4527">
        <v>0.47830889999999998</v>
      </c>
      <c r="F4527" t="s">
        <v>52</v>
      </c>
      <c r="G4527">
        <v>-420.32260000000002</v>
      </c>
      <c r="H4527" s="1">
        <v>-1.177194E-6</v>
      </c>
      <c r="I4527">
        <v>37.841729999999998</v>
      </c>
      <c r="J4527">
        <v>-422.80489999999998</v>
      </c>
      <c r="K4527">
        <v>1.109586</v>
      </c>
      <c r="L4527">
        <v>61.264800000000001</v>
      </c>
      <c r="M4527">
        <v>-1.8046079999999999E-2</v>
      </c>
      <c r="N4527">
        <v>0</v>
      </c>
      <c r="O4527">
        <v>-0.99974320000000005</v>
      </c>
      <c r="P4527">
        <v>4.0101949999999997E-2</v>
      </c>
      <c r="Q4527">
        <v>0.14612929999999999</v>
      </c>
      <c r="R4527">
        <v>-0.98845229999999995</v>
      </c>
      <c r="S4527">
        <v>0.31542969999999998</v>
      </c>
      <c r="T4527">
        <v>-0.14142469999999999</v>
      </c>
      <c r="U4527">
        <v>-3.045166</v>
      </c>
      <c r="V4527">
        <v>-5.8179189999999999E-2</v>
      </c>
      <c r="W4527">
        <v>0.15955610000000001</v>
      </c>
      <c r="X4527">
        <v>0.98547300000000004</v>
      </c>
      <c r="Y4527">
        <v>-0.1208579</v>
      </c>
      <c r="Z4527">
        <v>4.6087919999999998E-2</v>
      </c>
      <c r="AA4527">
        <v>0.99159940000000002</v>
      </c>
      <c r="AB4527">
        <v>32</v>
      </c>
      <c r="AC4527">
        <v>2.4822999999999502</v>
      </c>
      <c r="AD4527">
        <v>-1.109587177194</v>
      </c>
      <c r="AE4527">
        <v>-23.423069999999999</v>
      </c>
      <c r="AF4527">
        <v>-2.89819849407926</v>
      </c>
      <c r="AG4527">
        <v>-1.109587177194</v>
      </c>
      <c r="AH4527">
        <v>23.322698641460001</v>
      </c>
      <c r="AI4527">
        <v>92.703058017301601</v>
      </c>
      <c r="AJ4527">
        <v>97.083556188305593</v>
      </c>
      <c r="AK4527">
        <v>23.5282598195285</v>
      </c>
      <c r="AL4527">
        <v>80.8188683783751</v>
      </c>
      <c r="AM4527">
        <v>93.378638898729307</v>
      </c>
      <c r="AN4527">
        <v>1.0000000004626299</v>
      </c>
    </row>
    <row r="4528" spans="1:40" x14ac:dyDescent="0.25">
      <c r="A4528" t="str">
        <f>"20190312164601717"</f>
        <v>20190312164601717</v>
      </c>
      <c r="B4528" t="str">
        <f>"1552380361706085"</f>
        <v>1552380361706085</v>
      </c>
      <c r="C4528" t="s">
        <v>40</v>
      </c>
      <c r="D4528">
        <v>4.7371109999999996</v>
      </c>
      <c r="E4528">
        <v>0.47844059999999999</v>
      </c>
      <c r="F4528" t="s">
        <v>52</v>
      </c>
      <c r="G4528">
        <v>-420.40960000000001</v>
      </c>
      <c r="H4528" s="1">
        <v>-7.2470129999999998E-7</v>
      </c>
      <c r="I4528">
        <v>38.572670000000002</v>
      </c>
      <c r="J4528">
        <v>-422.80959999999999</v>
      </c>
      <c r="K4528">
        <v>1.1096299999999999</v>
      </c>
      <c r="L4528">
        <v>60.952390000000001</v>
      </c>
      <c r="M4528">
        <v>-1.7190879999999999E-2</v>
      </c>
      <c r="N4528">
        <v>0</v>
      </c>
      <c r="O4528">
        <v>-0.99975860000000005</v>
      </c>
      <c r="P4528">
        <v>4.2426989999999998E-2</v>
      </c>
      <c r="Q4528">
        <v>0.1447474</v>
      </c>
      <c r="R4528">
        <v>-0.98855910000000002</v>
      </c>
      <c r="S4528">
        <v>0.32131959999999998</v>
      </c>
      <c r="T4528">
        <v>-0.14884410000000001</v>
      </c>
      <c r="U4528">
        <v>-3.044006</v>
      </c>
      <c r="V4528">
        <v>-5.9678969999999998E-2</v>
      </c>
      <c r="W4528">
        <v>0.15816629999999901</v>
      </c>
      <c r="X4528">
        <v>0.98560729999999996</v>
      </c>
      <c r="Y4528">
        <v>-0.12193320000000001</v>
      </c>
      <c r="Z4528">
        <v>4.851159E-2</v>
      </c>
      <c r="AA4528">
        <v>0.99135209999999996</v>
      </c>
      <c r="AB4528">
        <v>32</v>
      </c>
      <c r="AC4528">
        <v>2.3999999999999702</v>
      </c>
      <c r="AD4528">
        <v>-1.1096307247013</v>
      </c>
      <c r="AE4528">
        <v>-22.379719999999999</v>
      </c>
      <c r="AF4528">
        <v>-2.7776574968371399</v>
      </c>
      <c r="AG4528">
        <v>-1.1096307247013</v>
      </c>
      <c r="AH4528">
        <v>22.280998047762701</v>
      </c>
      <c r="AI4528">
        <v>92.829205451433694</v>
      </c>
      <c r="AJ4528">
        <v>97.106108865392002</v>
      </c>
      <c r="AK4528">
        <v>22.4808704350909</v>
      </c>
      <c r="AL4528">
        <v>80.899521862085393</v>
      </c>
      <c r="AM4528">
        <v>93.465054914237896</v>
      </c>
      <c r="AN4528">
        <v>0.99999995386461904</v>
      </c>
    </row>
    <row r="4529" spans="1:40" x14ac:dyDescent="0.25">
      <c r="A4529" t="str">
        <f>"20190312164601740"</f>
        <v>20190312164601740</v>
      </c>
      <c r="B4529" t="str">
        <f>"1552380361736342"</f>
        <v>1552380361736342</v>
      </c>
      <c r="C4529" t="s">
        <v>40</v>
      </c>
      <c r="D4529">
        <v>4.7199809999999998</v>
      </c>
      <c r="E4529">
        <v>0.47845009999999999</v>
      </c>
      <c r="F4529" t="s">
        <v>52</v>
      </c>
      <c r="G4529">
        <v>-420.43099999999998</v>
      </c>
      <c r="H4529" s="1">
        <v>-5.4481019999999905E-7</v>
      </c>
      <c r="I4529">
        <v>38.860390000000002</v>
      </c>
      <c r="J4529">
        <v>-422.8141</v>
      </c>
      <c r="K4529">
        <v>1.1096760000000001</v>
      </c>
      <c r="L4529">
        <v>60.634740000000001</v>
      </c>
      <c r="M4529">
        <v>-1.6265760000000001E-2</v>
      </c>
      <c r="N4529">
        <v>0</v>
      </c>
      <c r="O4529">
        <v>-0.9997741</v>
      </c>
      <c r="P4529">
        <v>4.4950339999999998E-2</v>
      </c>
      <c r="Q4529">
        <v>0.144818899999999</v>
      </c>
      <c r="R4529">
        <v>-0.98843689999999995</v>
      </c>
      <c r="S4529">
        <v>0.3276367</v>
      </c>
      <c r="T4529">
        <v>-0.15284439999999999</v>
      </c>
      <c r="U4529">
        <v>-3.0430299999999999</v>
      </c>
      <c r="V4529">
        <v>-6.1304860000000003E-2</v>
      </c>
      <c r="W4529">
        <v>0.1582257</v>
      </c>
      <c r="X4529">
        <v>0.98549799999999999</v>
      </c>
      <c r="Y4529">
        <v>-0.1230758</v>
      </c>
      <c r="Z4529">
        <v>4.982019E-2</v>
      </c>
      <c r="AA4529">
        <v>0.99114599999999997</v>
      </c>
      <c r="AB4529">
        <v>32</v>
      </c>
      <c r="AC4529">
        <v>2.38310000000001</v>
      </c>
      <c r="AD4529">
        <v>-1.1096765448101999</v>
      </c>
      <c r="AE4529">
        <v>-21.774349999999998</v>
      </c>
      <c r="AF4529">
        <v>-2.7299878163328701</v>
      </c>
      <c r="AG4529">
        <v>-1.1096765448101999</v>
      </c>
      <c r="AH4529">
        <v>21.677069323478701</v>
      </c>
      <c r="AI4529">
        <v>92.907557993436697</v>
      </c>
      <c r="AJ4529">
        <v>97.177981639910897</v>
      </c>
      <c r="AK4529">
        <v>21.8764610932922</v>
      </c>
      <c r="AL4529">
        <v>80.896075357455999</v>
      </c>
      <c r="AM4529">
        <v>93.559610912892595</v>
      </c>
      <c r="AN4529">
        <v>0.99999998300205395</v>
      </c>
    </row>
    <row r="4530" spans="1:40" x14ac:dyDescent="0.25">
      <c r="A4530" t="str">
        <f>"20190312164601763"</f>
        <v>20190312164601763</v>
      </c>
      <c r="B4530" t="str">
        <f>"1552380361755860"</f>
        <v>1552380361755860</v>
      </c>
      <c r="C4530" t="s">
        <v>40</v>
      </c>
      <c r="D4530">
        <v>4.725212</v>
      </c>
      <c r="E4530">
        <v>0.47840579999999999</v>
      </c>
      <c r="F4530" t="s">
        <v>52</v>
      </c>
      <c r="G4530">
        <v>-420.38290000000001</v>
      </c>
      <c r="H4530" s="1">
        <v>-7.6152149999999999E-7</v>
      </c>
      <c r="I4530">
        <v>38.50891</v>
      </c>
      <c r="J4530">
        <v>-422.81849999999997</v>
      </c>
      <c r="K4530">
        <v>1.1097239999999999</v>
      </c>
      <c r="L4530">
        <v>60.297699999999999</v>
      </c>
      <c r="M4530">
        <v>-1.5222050000000001E-2</v>
      </c>
      <c r="N4530">
        <v>0</v>
      </c>
      <c r="O4530">
        <v>-0.99979050000000003</v>
      </c>
      <c r="P4530">
        <v>4.7598349999999998E-2</v>
      </c>
      <c r="Q4530">
        <v>0.14425739999999901</v>
      </c>
      <c r="R4530">
        <v>-0.98839500000000002</v>
      </c>
      <c r="S4530">
        <v>0.33428960000000002</v>
      </c>
      <c r="T4530">
        <v>-0.15257879999999999</v>
      </c>
      <c r="U4530">
        <v>-3.0422669999999998</v>
      </c>
      <c r="V4530">
        <v>-6.2938439999999998E-2</v>
      </c>
      <c r="W4530">
        <v>0.15765309999999999</v>
      </c>
      <c r="X4530">
        <v>0.9854868</v>
      </c>
      <c r="Y4530">
        <v>-0.12420879999999999</v>
      </c>
      <c r="Z4530">
        <v>4.9738060000000001E-2</v>
      </c>
      <c r="AA4530">
        <v>0.99100880000000002</v>
      </c>
      <c r="AB4530">
        <v>32</v>
      </c>
      <c r="AC4530">
        <v>2.43559999999996</v>
      </c>
      <c r="AD4530">
        <v>-1.1097247615215</v>
      </c>
      <c r="AE4530">
        <v>-21.788789999999999</v>
      </c>
      <c r="AF4530">
        <v>-2.7599480006442301</v>
      </c>
      <c r="AG4530">
        <v>-1.1097247615215</v>
      </c>
      <c r="AH4530">
        <v>21.693608708352599</v>
      </c>
      <c r="AI4530">
        <v>92.905006746610596</v>
      </c>
      <c r="AJ4530">
        <v>97.250448079808095</v>
      </c>
      <c r="AK4530">
        <v>21.896608431529</v>
      </c>
      <c r="AL4530">
        <v>80.929299994570002</v>
      </c>
      <c r="AM4530">
        <v>93.654250980676593</v>
      </c>
      <c r="AN4530">
        <v>0.99999999007174101</v>
      </c>
    </row>
    <row r="4531" spans="1:40" x14ac:dyDescent="0.25">
      <c r="A4531" t="str">
        <f>"20190312164601784"</f>
        <v>20190312164601784</v>
      </c>
      <c r="B4531" t="str">
        <f>"1552380361776360"</f>
        <v>1552380361776360</v>
      </c>
      <c r="C4531" t="s">
        <v>40</v>
      </c>
      <c r="D4531">
        <v>4.7349240000000004</v>
      </c>
      <c r="E4531">
        <v>0.47833609999999999</v>
      </c>
      <c r="F4531" t="s">
        <v>52</v>
      </c>
      <c r="G4531">
        <v>-420.37689999999998</v>
      </c>
      <c r="H4531" s="1">
        <v>-7.0517259999999996E-7</v>
      </c>
      <c r="I4531">
        <v>38.596240000000002</v>
      </c>
      <c r="J4531">
        <v>-422.822</v>
      </c>
      <c r="K4531">
        <v>1.109761</v>
      </c>
      <c r="L4531">
        <v>60.0032</v>
      </c>
      <c r="M4531">
        <v>-1.426055E-2</v>
      </c>
      <c r="N4531">
        <v>0</v>
      </c>
      <c r="O4531">
        <v>-0.99980449999999998</v>
      </c>
      <c r="P4531">
        <v>5.0208849999999999E-2</v>
      </c>
      <c r="Q4531">
        <v>0.14266709999999999</v>
      </c>
      <c r="R4531">
        <v>-0.9884965</v>
      </c>
      <c r="S4531">
        <v>0.34219359999999999</v>
      </c>
      <c r="T4531">
        <v>-0.1555271</v>
      </c>
      <c r="U4531">
        <v>-3.0414430000000001</v>
      </c>
      <c r="V4531">
        <v>-6.4611399999999999E-2</v>
      </c>
      <c r="W4531">
        <v>0.15605520000000001</v>
      </c>
      <c r="X4531">
        <v>0.98563279999999998</v>
      </c>
      <c r="Y4531">
        <v>-0.12582209999999999</v>
      </c>
      <c r="Z4531">
        <v>5.0698970000000003E-2</v>
      </c>
      <c r="AA4531">
        <v>0.99075650000000004</v>
      </c>
      <c r="AB4531">
        <v>32</v>
      </c>
      <c r="AC4531">
        <v>2.4450999999999601</v>
      </c>
      <c r="AD4531">
        <v>-1.1097617051726001</v>
      </c>
      <c r="AE4531">
        <v>-21.406960000000002</v>
      </c>
      <c r="AF4531">
        <v>-2.7428784096644998</v>
      </c>
      <c r="AG4531">
        <v>-1.1097617051726001</v>
      </c>
      <c r="AH4531">
        <v>21.313368892101799</v>
      </c>
      <c r="AI4531">
        <v>92.956294667279394</v>
      </c>
      <c r="AJ4531">
        <v>97.333250950110497</v>
      </c>
      <c r="AK4531">
        <v>21.517775129954401</v>
      </c>
      <c r="AL4531">
        <v>81.021999922166899</v>
      </c>
      <c r="AM4531">
        <v>93.750556435139501</v>
      </c>
      <c r="AN4531">
        <v>0.99999993744641802</v>
      </c>
    </row>
    <row r="4532" spans="1:40" x14ac:dyDescent="0.25">
      <c r="A4532" t="str">
        <f>"20190312164601807"</f>
        <v>20190312164601807</v>
      </c>
      <c r="B4532" t="str">
        <f>"1552380361795876"</f>
        <v>1552380361795876</v>
      </c>
      <c r="C4532" t="s">
        <v>40</v>
      </c>
      <c r="D4532">
        <v>4.7159269999999998</v>
      </c>
      <c r="E4532">
        <v>0.47832049999999998</v>
      </c>
      <c r="F4532" t="s">
        <v>52</v>
      </c>
      <c r="G4532">
        <v>-420.3877</v>
      </c>
      <c r="H4532" s="1">
        <v>-4.8772059999999998E-7</v>
      </c>
      <c r="I4532">
        <v>38.9407</v>
      </c>
      <c r="J4532">
        <v>-422.82549999999998</v>
      </c>
      <c r="K4532">
        <v>1.1098049999999999</v>
      </c>
      <c r="L4532">
        <v>59.68045</v>
      </c>
      <c r="M4532">
        <v>-1.3164220000000001E-2</v>
      </c>
      <c r="N4532">
        <v>0</v>
      </c>
      <c r="O4532">
        <v>-0.99981980000000004</v>
      </c>
      <c r="P4532">
        <v>5.2899809999999998E-2</v>
      </c>
      <c r="Q4532">
        <v>0.14128479999999999</v>
      </c>
      <c r="R4532">
        <v>-0.98855499999999996</v>
      </c>
      <c r="S4532">
        <v>0.35137940000000001</v>
      </c>
      <c r="T4532">
        <v>-0.16018450000000001</v>
      </c>
      <c r="U4532">
        <v>-3.0401919999999998</v>
      </c>
      <c r="V4532">
        <v>-6.6231910000000005E-2</v>
      </c>
      <c r="W4532">
        <v>0.1546642</v>
      </c>
      <c r="X4532">
        <v>0.98574450000000002</v>
      </c>
      <c r="Y4532">
        <v>-0.12772539999999999</v>
      </c>
      <c r="Z4532">
        <v>5.2220280000000001E-2</v>
      </c>
      <c r="AA4532">
        <v>0.99043389999999998</v>
      </c>
      <c r="AB4532">
        <v>32</v>
      </c>
      <c r="AC4532">
        <v>2.4377999999999802</v>
      </c>
      <c r="AD4532">
        <v>-1.1098054877205901</v>
      </c>
      <c r="AE4532">
        <v>-20.739750000000001</v>
      </c>
      <c r="AF4532">
        <v>-2.7030025100664998</v>
      </c>
      <c r="AG4532">
        <v>-1.1098054877205901</v>
      </c>
      <c r="AH4532">
        <v>20.6475406993261</v>
      </c>
      <c r="AI4532">
        <v>93.050707571112497</v>
      </c>
      <c r="AJ4532">
        <v>97.458268715574306</v>
      </c>
      <c r="AK4532">
        <v>20.853268993621299</v>
      </c>
      <c r="AL4532">
        <v>81.102678071359605</v>
      </c>
      <c r="AM4532">
        <v>93.843910694533093</v>
      </c>
      <c r="AN4532">
        <v>0.99999994997206698</v>
      </c>
    </row>
    <row r="4533" spans="1:40" x14ac:dyDescent="0.25">
      <c r="A4533" t="str">
        <f>"20190312164601831"</f>
        <v>20190312164601831</v>
      </c>
      <c r="B4533" t="str">
        <f>"1552380361826132"</f>
        <v>1552380361826132</v>
      </c>
      <c r="C4533" t="s">
        <v>40</v>
      </c>
      <c r="D4533">
        <v>4.7571099999999999</v>
      </c>
      <c r="E4533">
        <v>0.47830529999999999</v>
      </c>
      <c r="F4533" t="s">
        <v>52</v>
      </c>
      <c r="G4533">
        <v>-420.3809</v>
      </c>
      <c r="H4533" s="1">
        <v>-4.000667E-7</v>
      </c>
      <c r="I4533">
        <v>39.077120000000001</v>
      </c>
      <c r="J4533">
        <v>-422.82859999999999</v>
      </c>
      <c r="K4533">
        <v>1.109839</v>
      </c>
      <c r="L4533">
        <v>59.360199999999999</v>
      </c>
      <c r="M4533">
        <v>-1.203371E-2</v>
      </c>
      <c r="N4533">
        <v>0</v>
      </c>
      <c r="O4533">
        <v>-0.999834</v>
      </c>
      <c r="P4533">
        <v>5.5461999999999997E-2</v>
      </c>
      <c r="Q4533">
        <v>0.14051040000000001</v>
      </c>
      <c r="R4533">
        <v>-0.98852470000000003</v>
      </c>
      <c r="S4533">
        <v>0.36056519999999997</v>
      </c>
      <c r="T4533">
        <v>-0.16368849999999999</v>
      </c>
      <c r="U4533">
        <v>-3.0388489999999999</v>
      </c>
      <c r="V4533">
        <v>-6.7688899999999996E-2</v>
      </c>
      <c r="W4533">
        <v>0.1538803</v>
      </c>
      <c r="X4533">
        <v>0.98576830000000004</v>
      </c>
      <c r="Y4533">
        <v>-0.12959989999999999</v>
      </c>
      <c r="Z4533">
        <v>5.3368020000000002E-2</v>
      </c>
      <c r="AA4533">
        <v>0.99012920000000004</v>
      </c>
      <c r="AB4533">
        <v>32</v>
      </c>
      <c r="AC4533">
        <v>2.44769999999999</v>
      </c>
      <c r="AD4533">
        <v>-1.1098394000667</v>
      </c>
      <c r="AE4533">
        <v>-20.283080000000002</v>
      </c>
      <c r="AF4533">
        <v>-2.6837065855970499</v>
      </c>
      <c r="AG4533">
        <v>-1.1098394000667</v>
      </c>
      <c r="AH4533">
        <v>20.192564560604701</v>
      </c>
      <c r="AI4533">
        <v>93.118601787152997</v>
      </c>
      <c r="AJ4533">
        <v>97.570567457472706</v>
      </c>
      <c r="AK4533">
        <v>20.400335489047901</v>
      </c>
      <c r="AL4533">
        <v>81.148137228926103</v>
      </c>
      <c r="AM4533">
        <v>93.928113787276899</v>
      </c>
      <c r="AN4533">
        <v>1.00000003759809</v>
      </c>
    </row>
    <row r="4534" spans="1:40" x14ac:dyDescent="0.25">
      <c r="A4534" t="str">
        <f>"20190312164601852"</f>
        <v>20190312164601852</v>
      </c>
      <c r="B4534" t="str">
        <f>"1552380361846632"</f>
        <v>1552380361846632</v>
      </c>
      <c r="C4534" t="s">
        <v>40</v>
      </c>
      <c r="D4534">
        <v>4.6182129999999999</v>
      </c>
      <c r="E4534">
        <v>0.47825050000000002</v>
      </c>
      <c r="F4534" t="s">
        <v>52</v>
      </c>
      <c r="G4534">
        <v>-420.35579999999999</v>
      </c>
      <c r="H4534" s="1">
        <v>-4.6383640000000002E-7</v>
      </c>
      <c r="I4534">
        <v>38.971290000000003</v>
      </c>
      <c r="J4534">
        <v>-422.83109999999999</v>
      </c>
      <c r="K4534">
        <v>1.1098669999999999</v>
      </c>
      <c r="L4534">
        <v>59.047550000000001</v>
      </c>
      <c r="M4534">
        <v>-1.089264E-2</v>
      </c>
      <c r="N4534">
        <v>0</v>
      </c>
      <c r="O4534">
        <v>-0.99984700000000004</v>
      </c>
      <c r="P4534">
        <v>5.8306860000000002E-2</v>
      </c>
      <c r="Q4534">
        <v>0.14044379999999901</v>
      </c>
      <c r="R4534">
        <v>-0.98837039999999998</v>
      </c>
      <c r="S4534">
        <v>0.36840820000000002</v>
      </c>
      <c r="T4534">
        <v>-0.16535039999999901</v>
      </c>
      <c r="U4534">
        <v>-3.0376590000000001</v>
      </c>
      <c r="V4534">
        <v>-6.9416149999999996E-2</v>
      </c>
      <c r="W4534">
        <v>0.15380250000000001</v>
      </c>
      <c r="X4534">
        <v>0.98566030000000004</v>
      </c>
      <c r="Y4534">
        <v>-0.13103020000000001</v>
      </c>
      <c r="Z4534">
        <v>5.3916930000000002E-2</v>
      </c>
      <c r="AA4534">
        <v>0.98991110000000004</v>
      </c>
      <c r="AB4534">
        <v>32</v>
      </c>
      <c r="AC4534">
        <v>2.4752999999999998</v>
      </c>
      <c r="AD4534">
        <v>-1.1098674638363999</v>
      </c>
      <c r="AE4534">
        <v>-20.076260000000001</v>
      </c>
      <c r="AF4534">
        <v>-2.68577183019528</v>
      </c>
      <c r="AG4534">
        <v>-1.1098674638363999</v>
      </c>
      <c r="AH4534">
        <v>19.9879319585778</v>
      </c>
      <c r="AI4534">
        <v>93.149940652687206</v>
      </c>
      <c r="AJ4534">
        <v>97.652976005886998</v>
      </c>
      <c r="AK4534">
        <v>20.1980840698292</v>
      </c>
      <c r="AL4534">
        <v>81.152648378736998</v>
      </c>
      <c r="AM4534">
        <v>94.028463385916993</v>
      </c>
      <c r="AN4534">
        <v>1.0000000189415801</v>
      </c>
    </row>
    <row r="4535" spans="1:40" x14ac:dyDescent="0.25">
      <c r="A4535" t="str">
        <f>"20190312164601873"</f>
        <v>20190312164601873</v>
      </c>
      <c r="B4535" t="str">
        <f>"1552380361866148"</f>
        <v>1552380361866148</v>
      </c>
      <c r="C4535" t="s">
        <v>40</v>
      </c>
      <c r="D4535">
        <v>4.7938299999999998</v>
      </c>
      <c r="E4535">
        <v>0.4782151</v>
      </c>
      <c r="F4535" t="s">
        <v>52</v>
      </c>
      <c r="G4535">
        <v>-420.30459999999999</v>
      </c>
      <c r="H4535" s="1">
        <v>-6.2509200000000005E-7</v>
      </c>
      <c r="I4535">
        <v>38.706389999999999</v>
      </c>
      <c r="J4535">
        <v>-422.83319999999998</v>
      </c>
      <c r="K4535">
        <v>1.1098980000000001</v>
      </c>
      <c r="L4535">
        <v>58.740299999999998</v>
      </c>
      <c r="M4535">
        <v>-9.7442599999999994E-3</v>
      </c>
      <c r="N4535">
        <v>0</v>
      </c>
      <c r="O4535">
        <v>-0.99985889999999999</v>
      </c>
      <c r="P4535">
        <v>6.1027530000000003E-2</v>
      </c>
      <c r="Q4535">
        <v>0.14019489999999901</v>
      </c>
      <c r="R4535">
        <v>-0.9882417</v>
      </c>
      <c r="S4535">
        <v>0.37716670000000002</v>
      </c>
      <c r="T4535">
        <v>-0.16568450000000001</v>
      </c>
      <c r="U4535">
        <v>-3.036591</v>
      </c>
      <c r="V4535">
        <v>-7.1011299999999999E-2</v>
      </c>
      <c r="W4535">
        <v>0.1535434</v>
      </c>
      <c r="X4535">
        <v>0.98558710000000005</v>
      </c>
      <c r="Y4535">
        <v>-0.1327451</v>
      </c>
      <c r="Z4535">
        <v>5.4029679999999997E-2</v>
      </c>
      <c r="AA4535">
        <v>0.98967649999999996</v>
      </c>
      <c r="AB4535">
        <v>32</v>
      </c>
      <c r="AC4535">
        <v>2.52859999999998</v>
      </c>
      <c r="AD4535">
        <v>-1.109898625092</v>
      </c>
      <c r="AE4535">
        <v>-20.033909999999999</v>
      </c>
      <c r="AF4535">
        <v>-2.7155098919541598</v>
      </c>
      <c r="AG4535">
        <v>-1.109898625092</v>
      </c>
      <c r="AH4535">
        <v>19.9480511369506</v>
      </c>
      <c r="AI4535">
        <v>93.155577833486802</v>
      </c>
      <c r="AJ4535">
        <v>97.751971973948997</v>
      </c>
      <c r="AK4535">
        <v>20.162604323194</v>
      </c>
      <c r="AL4535">
        <v>81.167672501452003</v>
      </c>
      <c r="AM4535">
        <v>94.121025217824695</v>
      </c>
      <c r="AN4535">
        <v>1.00000005604882</v>
      </c>
    </row>
    <row r="4536" spans="1:40" x14ac:dyDescent="0.25">
      <c r="A4536" t="str">
        <f>"20190312164601896"</f>
        <v>20190312164601896</v>
      </c>
      <c r="B4536" t="str">
        <f>"1552380361886645"</f>
        <v>1552380361886645</v>
      </c>
      <c r="C4536" t="s">
        <v>40</v>
      </c>
      <c r="D4536">
        <v>4.7017419999999897</v>
      </c>
      <c r="E4536">
        <v>0.47822759999999997</v>
      </c>
      <c r="F4536" t="s">
        <v>52</v>
      </c>
      <c r="G4536">
        <v>-420.26769999999999</v>
      </c>
      <c r="H4536" s="1">
        <v>-7.4082089999999997E-7</v>
      </c>
      <c r="I4536">
        <v>38.516240000000003</v>
      </c>
      <c r="J4536">
        <v>-422.83499999999998</v>
      </c>
      <c r="K4536">
        <v>1.10992</v>
      </c>
      <c r="L4536">
        <v>58.425719999999998</v>
      </c>
      <c r="M4536">
        <v>-8.5397059999999993E-3</v>
      </c>
      <c r="N4536">
        <v>0</v>
      </c>
      <c r="O4536">
        <v>-0.99986969999999997</v>
      </c>
      <c r="P4536">
        <v>6.3321600000000006E-2</v>
      </c>
      <c r="Q4536">
        <v>0.1391637</v>
      </c>
      <c r="R4536">
        <v>-0.98824270000000003</v>
      </c>
      <c r="S4536">
        <v>0.38507079999999999</v>
      </c>
      <c r="T4536">
        <v>-0.1665914</v>
      </c>
      <c r="U4536">
        <v>-3.0355530000000002</v>
      </c>
      <c r="V4536">
        <v>-7.2122240000000004E-2</v>
      </c>
      <c r="W4536">
        <v>0.1525058</v>
      </c>
      <c r="X4536">
        <v>0.98566750000000003</v>
      </c>
      <c r="Y4536">
        <v>-0.1341272</v>
      </c>
      <c r="Z4536">
        <v>5.4330000000000003E-2</v>
      </c>
      <c r="AA4536">
        <v>0.98947370000000001</v>
      </c>
      <c r="AB4536">
        <v>32</v>
      </c>
      <c r="AC4536">
        <v>2.5672999999999799</v>
      </c>
      <c r="AD4536">
        <v>-1.1099207408209</v>
      </c>
      <c r="AE4536">
        <v>-19.909479999999899</v>
      </c>
      <c r="AF4536">
        <v>-2.7289010501047701</v>
      </c>
      <c r="AG4536">
        <v>-1.1099207408209</v>
      </c>
      <c r="AH4536">
        <v>19.826218156534999</v>
      </c>
      <c r="AI4536">
        <v>93.174348947433003</v>
      </c>
      <c r="AJ4536">
        <v>97.837006739400096</v>
      </c>
      <c r="AK4536">
        <v>20.043895613944098</v>
      </c>
      <c r="AL4536">
        <v>81.227830884080504</v>
      </c>
      <c r="AM4536">
        <v>94.184929296648093</v>
      </c>
      <c r="AN4536">
        <v>1.00000002854625</v>
      </c>
    </row>
    <row r="4537" spans="1:40" x14ac:dyDescent="0.25">
      <c r="A4537" t="str">
        <f>"20190312164601918"</f>
        <v>20190312164601918</v>
      </c>
      <c r="B4537" t="str">
        <f>"1552380361906165"</f>
        <v>1552380361906165</v>
      </c>
      <c r="C4537" t="s">
        <v>40</v>
      </c>
      <c r="D4537">
        <v>4.5118280000000004</v>
      </c>
      <c r="E4537">
        <v>0.47823199999999999</v>
      </c>
      <c r="F4537" t="s">
        <v>52</v>
      </c>
      <c r="G4537">
        <v>-420.25880000000001</v>
      </c>
      <c r="H4537" s="1">
        <v>-7.2544190000000003E-7</v>
      </c>
      <c r="I4537">
        <v>38.53848</v>
      </c>
      <c r="J4537">
        <v>-422.83640000000003</v>
      </c>
      <c r="K4537">
        <v>1.1099319999999999</v>
      </c>
      <c r="L4537">
        <v>58.110500000000002</v>
      </c>
      <c r="M4537">
        <v>-7.3014489999999998E-3</v>
      </c>
      <c r="N4537">
        <v>0</v>
      </c>
      <c r="O4537">
        <v>-0.99987979999999999</v>
      </c>
      <c r="P4537">
        <v>6.5718319999999997E-2</v>
      </c>
      <c r="Q4537">
        <v>0.13832030000000001</v>
      </c>
      <c r="R4537">
        <v>-0.988205</v>
      </c>
      <c r="S4537">
        <v>0.39306639999999998</v>
      </c>
      <c r="T4537">
        <v>-0.1693499</v>
      </c>
      <c r="U4537">
        <v>-3.0343629999999999</v>
      </c>
      <c r="V4537">
        <v>-7.3303149999999997E-2</v>
      </c>
      <c r="W4537">
        <v>0.1516546</v>
      </c>
      <c r="X4537">
        <v>0.98571169999999997</v>
      </c>
      <c r="Y4537">
        <v>-0.13550709999999999</v>
      </c>
      <c r="Z4537">
        <v>5.5234720000000001E-2</v>
      </c>
      <c r="AA4537">
        <v>0.98923550000000005</v>
      </c>
      <c r="AB4537">
        <v>32</v>
      </c>
      <c r="AC4537">
        <v>2.5776000000000101</v>
      </c>
      <c r="AD4537">
        <v>-1.10993272544189</v>
      </c>
      <c r="AE4537">
        <v>-19.572019999999998</v>
      </c>
      <c r="AF4537">
        <v>-2.7118759311056801</v>
      </c>
      <c r="AG4537">
        <v>-1.10993272544189</v>
      </c>
      <c r="AH4537">
        <v>19.491060786819599</v>
      </c>
      <c r="AI4537">
        <v>93.2282002753782</v>
      </c>
      <c r="AJ4537">
        <v>97.920959556786201</v>
      </c>
      <c r="AK4537">
        <v>19.710090621714901</v>
      </c>
      <c r="AL4537">
        <v>81.277174874018797</v>
      </c>
      <c r="AM4537">
        <v>94.253012740438294</v>
      </c>
      <c r="AN4537">
        <v>1.0000000125089801</v>
      </c>
    </row>
    <row r="4538" spans="1:40" x14ac:dyDescent="0.25">
      <c r="A4538" t="str">
        <f>"20190312164601942"</f>
        <v>20190312164601942</v>
      </c>
      <c r="B4538" t="str">
        <f>"1552380361936424"</f>
        <v>1552380361936424</v>
      </c>
      <c r="C4538" t="s">
        <v>40</v>
      </c>
      <c r="D4538">
        <v>4.6483460000000001</v>
      </c>
      <c r="E4538">
        <v>0.47825329999999999</v>
      </c>
      <c r="F4538" t="s">
        <v>52</v>
      </c>
      <c r="G4538">
        <v>-420.26330000000002</v>
      </c>
      <c r="H4538" s="1">
        <v>-6.5663650000000004E-7</v>
      </c>
      <c r="I4538">
        <v>38.647709999999996</v>
      </c>
      <c r="J4538">
        <v>-422.8374</v>
      </c>
      <c r="K4538">
        <v>1.1099669999999999</v>
      </c>
      <c r="L4538">
        <v>57.78839</v>
      </c>
      <c r="M4538">
        <v>-6.0011179999999997E-3</v>
      </c>
      <c r="N4538">
        <v>0</v>
      </c>
      <c r="O4538">
        <v>-0.99988840000000001</v>
      </c>
      <c r="P4538">
        <v>6.8747249999999996E-2</v>
      </c>
      <c r="Q4538">
        <v>0.13710899999999901</v>
      </c>
      <c r="R4538">
        <v>-0.98816769999999998</v>
      </c>
      <c r="S4538">
        <v>0.40103149999999999</v>
      </c>
      <c r="T4538">
        <v>-0.17298749999999999</v>
      </c>
      <c r="U4538">
        <v>-3.0333559999999999</v>
      </c>
      <c r="V4538">
        <v>-7.5054880000000004E-2</v>
      </c>
      <c r="W4538">
        <v>0.15043329999999999</v>
      </c>
      <c r="X4538">
        <v>0.98576699999999995</v>
      </c>
      <c r="Y4538">
        <v>-0.1368055</v>
      </c>
      <c r="Z4538">
        <v>5.6422010000000002E-2</v>
      </c>
      <c r="AA4538">
        <v>0.98898980000000003</v>
      </c>
      <c r="AB4538">
        <v>32</v>
      </c>
      <c r="AC4538">
        <v>2.5740999999999801</v>
      </c>
      <c r="AD4538">
        <v>-1.1099676566365</v>
      </c>
      <c r="AE4538">
        <v>-19.14068</v>
      </c>
      <c r="AF4538">
        <v>-2.6800773102519901</v>
      </c>
      <c r="AG4538">
        <v>-1.1099676566365</v>
      </c>
      <c r="AH4538">
        <v>19.0619229321664</v>
      </c>
      <c r="AI4538">
        <v>93.300159477162893</v>
      </c>
      <c r="AJ4538">
        <v>98.003238597997296</v>
      </c>
      <c r="AK4538">
        <v>19.281383468505499</v>
      </c>
      <c r="AL4538">
        <v>81.347962206679298</v>
      </c>
      <c r="AM4538">
        <v>94.354017590545595</v>
      </c>
      <c r="AN4538">
        <v>0.99999999552485197</v>
      </c>
    </row>
    <row r="4539" spans="1:40" x14ac:dyDescent="0.25">
      <c r="A4539" t="str">
        <f>"20190312164601963"</f>
        <v>20190312164601963</v>
      </c>
      <c r="B4539" t="str">
        <f>"1552380361955940"</f>
        <v>1552380361955940</v>
      </c>
      <c r="C4539" t="s">
        <v>40</v>
      </c>
      <c r="D4539">
        <v>4.6233000000000004</v>
      </c>
      <c r="E4539">
        <v>0.47821989999999998</v>
      </c>
      <c r="F4539" t="s">
        <v>52</v>
      </c>
      <c r="G4539">
        <v>-420.2604</v>
      </c>
      <c r="H4539" s="1">
        <v>-6.0652219999999904E-7</v>
      </c>
      <c r="I4539">
        <v>38.725909999999999</v>
      </c>
      <c r="J4539">
        <v>-422.83789999999999</v>
      </c>
      <c r="K4539">
        <v>1.1099950000000001</v>
      </c>
      <c r="L4539">
        <v>57.476930000000003</v>
      </c>
      <c r="M4539">
        <v>-4.7067410000000004E-3</v>
      </c>
      <c r="N4539">
        <v>0</v>
      </c>
      <c r="O4539">
        <v>-0.99989519999999998</v>
      </c>
      <c r="P4539">
        <v>7.0965760000000003E-2</v>
      </c>
      <c r="Q4539">
        <v>0.13695829999999901</v>
      </c>
      <c r="R4539">
        <v>-0.98803169999999996</v>
      </c>
      <c r="S4539">
        <v>0.40988160000000001</v>
      </c>
      <c r="T4539">
        <v>-0.17654230000000001</v>
      </c>
      <c r="U4539">
        <v>-3.0319210000000001</v>
      </c>
      <c r="V4539">
        <v>-7.6004799999999997E-2</v>
      </c>
      <c r="W4539">
        <v>0.15027349999999901</v>
      </c>
      <c r="X4539">
        <v>0.9857186</v>
      </c>
      <c r="Y4539">
        <v>-0.13841099999999901</v>
      </c>
      <c r="Z4539">
        <v>5.7587630000000001E-2</v>
      </c>
      <c r="AA4539">
        <v>0.9886992</v>
      </c>
      <c r="AB4539">
        <v>31</v>
      </c>
      <c r="AC4539">
        <v>2.5774999999999801</v>
      </c>
      <c r="AD4539">
        <v>-1.1099956065221901</v>
      </c>
      <c r="AE4539">
        <v>-18.75102</v>
      </c>
      <c r="AF4539">
        <v>-2.6565992121606299</v>
      </c>
      <c r="AG4539">
        <v>-1.1099956065221901</v>
      </c>
      <c r="AH4539">
        <v>18.674453452880499</v>
      </c>
      <c r="AI4539">
        <v>93.367788385394405</v>
      </c>
      <c r="AJ4539">
        <v>98.096484248731002</v>
      </c>
      <c r="AK4539">
        <v>18.895100459758101</v>
      </c>
      <c r="AL4539">
        <v>81.357223444814593</v>
      </c>
      <c r="AM4539">
        <v>94.409123216571302</v>
      </c>
      <c r="AN4539">
        <v>1.00000000640562</v>
      </c>
    </row>
    <row r="4540" spans="1:40" x14ac:dyDescent="0.25">
      <c r="A4540" t="str">
        <f>"20190312164601986"</f>
        <v>20190312164601986</v>
      </c>
      <c r="B4540" t="str">
        <f>"1552380361976437"</f>
        <v>1552380361976437</v>
      </c>
      <c r="C4540" t="s">
        <v>40</v>
      </c>
      <c r="D4540">
        <v>4.6799650000000002</v>
      </c>
      <c r="E4540">
        <v>0.47824070000000002</v>
      </c>
      <c r="F4540" t="s">
        <v>52</v>
      </c>
      <c r="G4540">
        <v>-420.22269999999997</v>
      </c>
      <c r="H4540" s="1">
        <v>-7.5961099999999999E-7</v>
      </c>
      <c r="I4540">
        <v>38.47683</v>
      </c>
      <c r="J4540">
        <v>-422.83800000000002</v>
      </c>
      <c r="K4540">
        <v>1.110039</v>
      </c>
      <c r="L4540">
        <v>57.164369999999998</v>
      </c>
      <c r="M4540">
        <v>-3.363244E-3</v>
      </c>
      <c r="N4540">
        <v>0</v>
      </c>
      <c r="O4540">
        <v>-0.99990060000000003</v>
      </c>
      <c r="P4540">
        <v>7.3779259999999999E-2</v>
      </c>
      <c r="Q4540">
        <v>0.1368905</v>
      </c>
      <c r="R4540">
        <v>-0.98783500000000002</v>
      </c>
      <c r="S4540">
        <v>0.41717530000000003</v>
      </c>
      <c r="T4540">
        <v>-0.17706759999999999</v>
      </c>
      <c r="U4540">
        <v>-3.0309140000000001</v>
      </c>
      <c r="V4540">
        <v>-7.750319E-2</v>
      </c>
      <c r="W4540">
        <v>0.1501933</v>
      </c>
      <c r="X4540">
        <v>0.98561410000000005</v>
      </c>
      <c r="Y4540">
        <v>-0.1394582</v>
      </c>
      <c r="Z4540">
        <v>5.7764259999999998E-2</v>
      </c>
      <c r="AA4540">
        <v>0.98854169999999997</v>
      </c>
      <c r="AB4540">
        <v>31</v>
      </c>
      <c r="AC4540">
        <v>2.6153000000000399</v>
      </c>
      <c r="AD4540">
        <v>-1.1100397596109901</v>
      </c>
      <c r="AE4540">
        <v>-18.687539999999998</v>
      </c>
      <c r="AF4540">
        <v>-2.66890588892824</v>
      </c>
      <c r="AG4540">
        <v>-1.1100397596109901</v>
      </c>
      <c r="AH4540">
        <v>18.614221543073</v>
      </c>
      <c r="AI4540">
        <v>93.378265674576696</v>
      </c>
      <c r="AJ4540">
        <v>98.159454953174603</v>
      </c>
      <c r="AK4540">
        <v>18.837316437499201</v>
      </c>
      <c r="AL4540">
        <v>81.361870939005499</v>
      </c>
      <c r="AM4540">
        <v>94.4961682820947</v>
      </c>
      <c r="AN4540">
        <v>0.99999996297193705</v>
      </c>
    </row>
    <row r="4541" spans="1:40" x14ac:dyDescent="0.25">
      <c r="A4541" t="str">
        <f>"20190312164602008"</f>
        <v>20190312164602008</v>
      </c>
      <c r="B4541" t="str">
        <f>"1552380361996585"</f>
        <v>1552380361996585</v>
      </c>
      <c r="C4541" t="s">
        <v>40</v>
      </c>
      <c r="D4541">
        <v>4.6379229999999998</v>
      </c>
      <c r="E4541">
        <v>0.47823389999999999</v>
      </c>
      <c r="F4541" t="s">
        <v>52</v>
      </c>
      <c r="G4541">
        <v>-420.18049999999999</v>
      </c>
      <c r="H4541" s="1">
        <v>-9.0029780000000005E-7</v>
      </c>
      <c r="I4541">
        <v>38.246229999999997</v>
      </c>
      <c r="J4541">
        <v>-422.83749999999998</v>
      </c>
      <c r="K4541">
        <v>1.110085</v>
      </c>
      <c r="L4541">
        <v>56.853209999999997</v>
      </c>
      <c r="M4541">
        <v>-1.9685169999999999E-3</v>
      </c>
      <c r="N4541">
        <v>0</v>
      </c>
      <c r="O4541">
        <v>-0.99990449999999997</v>
      </c>
      <c r="P4541">
        <v>7.6447379999999995E-2</v>
      </c>
      <c r="Q4541">
        <v>0.1366117</v>
      </c>
      <c r="R4541">
        <v>-0.98767090000000002</v>
      </c>
      <c r="S4541">
        <v>0.42559809999999998</v>
      </c>
      <c r="T4541">
        <v>-0.17777560000000001</v>
      </c>
      <c r="U4541">
        <v>-3.029785</v>
      </c>
      <c r="V4541">
        <v>-7.8807530000000001E-2</v>
      </c>
      <c r="W4541">
        <v>0.14990149999999999</v>
      </c>
      <c r="X4541">
        <v>0.98555510000000002</v>
      </c>
      <c r="Y4541">
        <v>-0.1408208</v>
      </c>
      <c r="Z4541">
        <v>5.7999469999999997E-2</v>
      </c>
      <c r="AA4541">
        <v>0.98833479999999996</v>
      </c>
      <c r="AB4541">
        <v>31</v>
      </c>
      <c r="AC4541">
        <v>2.65699999999998</v>
      </c>
      <c r="AD4541">
        <v>-1.1100859002978001</v>
      </c>
      <c r="AE4541">
        <v>-18.60698</v>
      </c>
      <c r="AF4541">
        <v>-2.6842633267787401</v>
      </c>
      <c r="AG4541">
        <v>-1.1100859002978001</v>
      </c>
      <c r="AH4541">
        <v>18.537053115980701</v>
      </c>
      <c r="AI4541">
        <v>93.391756141776597</v>
      </c>
      <c r="AJ4541">
        <v>98.239460514888904</v>
      </c>
      <c r="AK4541">
        <v>18.763259272797399</v>
      </c>
      <c r="AL4541">
        <v>81.378781361703204</v>
      </c>
      <c r="AM4541">
        <v>94.571790964909695</v>
      </c>
      <c r="AN4541">
        <v>0.99999997081147995</v>
      </c>
    </row>
    <row r="4542" spans="1:40" x14ac:dyDescent="0.25">
      <c r="A4542" t="str">
        <f>"20190312164602032"</f>
        <v>20190312164602032</v>
      </c>
      <c r="B4542" t="str">
        <f>"1552380362025865"</f>
        <v>1552380362025865</v>
      </c>
      <c r="C4542" t="s">
        <v>40</v>
      </c>
      <c r="D4542">
        <v>4.7191619999999999</v>
      </c>
      <c r="E4542">
        <v>0.47831770000000001</v>
      </c>
      <c r="F4542" t="s">
        <v>52</v>
      </c>
      <c r="G4542">
        <v>-420.1583</v>
      </c>
      <c r="H4542" s="1">
        <v>-9.6596320000000007E-7</v>
      </c>
      <c r="I4542">
        <v>38.138060000000003</v>
      </c>
      <c r="J4542">
        <v>-422.8365</v>
      </c>
      <c r="K4542">
        <v>1.110133</v>
      </c>
      <c r="L4542">
        <v>56.529510000000002</v>
      </c>
      <c r="M4542">
        <v>-4.318522E-4</v>
      </c>
      <c r="N4542">
        <v>0</v>
      </c>
      <c r="O4542">
        <v>-0.99990619999999997</v>
      </c>
      <c r="P4542">
        <v>7.9546679999999995E-2</v>
      </c>
      <c r="Q4542">
        <v>0.13657639999999999</v>
      </c>
      <c r="R4542">
        <v>-0.9874309</v>
      </c>
      <c r="S4542">
        <v>0.43359379999999997</v>
      </c>
      <c r="T4542">
        <v>-0.17964959999999999</v>
      </c>
      <c r="U4542">
        <v>-3.0287480000000002</v>
      </c>
      <c r="V4542">
        <v>-8.0409679999999997E-2</v>
      </c>
      <c r="W4542">
        <v>0.14984829999999999</v>
      </c>
      <c r="X4542">
        <v>0.98543380000000003</v>
      </c>
      <c r="Y4542">
        <v>-0.14189849999999901</v>
      </c>
      <c r="Z4542">
        <v>5.8613409999999998E-2</v>
      </c>
      <c r="AA4542">
        <v>0.98814440000000003</v>
      </c>
      <c r="AB4542">
        <v>31</v>
      </c>
      <c r="AC4542">
        <v>2.6781999999999999</v>
      </c>
      <c r="AD4542">
        <v>-1.1101339659631999</v>
      </c>
      <c r="AE4542">
        <v>-18.391449999999999</v>
      </c>
      <c r="AF4542">
        <v>-2.6765932217272002</v>
      </c>
      <c r="AG4542">
        <v>-1.1101339659631999</v>
      </c>
      <c r="AH4542">
        <v>18.324911207081499</v>
      </c>
      <c r="AI4542">
        <v>93.430463291974803</v>
      </c>
      <c r="AJ4542">
        <v>98.310034703420797</v>
      </c>
      <c r="AK4542">
        <v>18.5525987248256</v>
      </c>
      <c r="AL4542">
        <v>81.381864589476805</v>
      </c>
      <c r="AM4542">
        <v>94.664900635676105</v>
      </c>
      <c r="AN4542">
        <v>1.0000000019165101</v>
      </c>
    </row>
    <row r="4543" spans="1:40" x14ac:dyDescent="0.25">
      <c r="A4543" t="str">
        <f>"20190312164602053"</f>
        <v>20190312164602053</v>
      </c>
      <c r="B4543" t="str">
        <f>"1552380362046364"</f>
        <v>1552380362046364</v>
      </c>
      <c r="C4543" t="s">
        <v>40</v>
      </c>
      <c r="D4543">
        <v>4.5824490000000004</v>
      </c>
      <c r="E4543">
        <v>0.47831960000000001</v>
      </c>
      <c r="F4543" t="s">
        <v>52</v>
      </c>
      <c r="G4543">
        <v>-420.10079999999999</v>
      </c>
      <c r="H4543" s="1">
        <v>-1.179268E-6</v>
      </c>
      <c r="I4543">
        <v>37.78989</v>
      </c>
      <c r="J4543">
        <v>-422.83499999999998</v>
      </c>
      <c r="K4543">
        <v>1.110198</v>
      </c>
      <c r="L4543">
        <v>56.224330000000002</v>
      </c>
      <c r="M4543">
        <v>1.1097959999999999E-3</v>
      </c>
      <c r="N4543">
        <v>0</v>
      </c>
      <c r="O4543">
        <v>-0.99990579999999996</v>
      </c>
      <c r="P4543">
        <v>8.2011650000000005E-2</v>
      </c>
      <c r="Q4543">
        <v>0.13697889999999999</v>
      </c>
      <c r="R4543">
        <v>-0.98717339999999998</v>
      </c>
      <c r="S4543">
        <v>0.4419556</v>
      </c>
      <c r="T4543">
        <v>-0.17934159999999999</v>
      </c>
      <c r="U4543">
        <v>-3.027374</v>
      </c>
      <c r="V4543">
        <v>-8.1377959999999999E-2</v>
      </c>
      <c r="W4543">
        <v>0.15023339999999999</v>
      </c>
      <c r="X4543">
        <v>0.9852957</v>
      </c>
      <c r="Y4543">
        <v>-0.14310929999999999</v>
      </c>
      <c r="Z4543">
        <v>5.8522810000000001E-2</v>
      </c>
      <c r="AA4543">
        <v>0.98797509999999999</v>
      </c>
      <c r="AB4543">
        <v>31</v>
      </c>
      <c r="AC4543">
        <v>2.73419999999998</v>
      </c>
      <c r="AD4543">
        <v>-1.1101991792679999</v>
      </c>
      <c r="AE4543">
        <v>-18.434439999999999</v>
      </c>
      <c r="AF4543">
        <v>-2.70414125679696</v>
      </c>
      <c r="AG4543">
        <v>-1.1101991792679999</v>
      </c>
      <c r="AH4543">
        <v>18.372262353911701</v>
      </c>
      <c r="AI4543">
        <v>93.421293236933394</v>
      </c>
      <c r="AJ4543">
        <v>98.373022846465602</v>
      </c>
      <c r="AK4543">
        <v>18.603358464409599</v>
      </c>
      <c r="AL4543">
        <v>81.359547607837499</v>
      </c>
      <c r="AM4543">
        <v>94.721480888046202</v>
      </c>
      <c r="AN4543">
        <v>1.0000000316438999</v>
      </c>
    </row>
    <row r="4544" spans="1:40" x14ac:dyDescent="0.25">
      <c r="A4544" t="str">
        <f>"20190312164602075"</f>
        <v>20190312164602075</v>
      </c>
      <c r="B4544" t="str">
        <f>"1552380362065881"</f>
        <v>1552380362065881</v>
      </c>
      <c r="C4544" t="s">
        <v>40</v>
      </c>
      <c r="D4544">
        <v>4.7312620000000001</v>
      </c>
      <c r="E4544">
        <v>0.47833249999999999</v>
      </c>
      <c r="F4544" t="s">
        <v>52</v>
      </c>
      <c r="G4544">
        <v>-420.02100000000002</v>
      </c>
      <c r="H4544" s="1">
        <v>-1.4858659999999999E-6</v>
      </c>
      <c r="I4544">
        <v>37.290050000000001</v>
      </c>
      <c r="J4544">
        <v>-422.8329</v>
      </c>
      <c r="K4544">
        <v>1.1102719999999999</v>
      </c>
      <c r="L4544">
        <v>55.916350000000001</v>
      </c>
      <c r="M4544">
        <v>2.7538969999999999E-3</v>
      </c>
      <c r="N4544">
        <v>0</v>
      </c>
      <c r="O4544">
        <v>-0.99990270000000003</v>
      </c>
      <c r="P4544">
        <v>8.4697939999999999E-2</v>
      </c>
      <c r="Q4544">
        <v>0.1370323</v>
      </c>
      <c r="R4544">
        <v>-0.98693929999999996</v>
      </c>
      <c r="S4544">
        <v>0.4497681</v>
      </c>
      <c r="T4544">
        <v>-0.17744179999999901</v>
      </c>
      <c r="U4544">
        <v>-3.0262449999999999</v>
      </c>
      <c r="V4544">
        <v>-8.2468420000000001E-2</v>
      </c>
      <c r="W4544">
        <v>0.1502674</v>
      </c>
      <c r="X4544">
        <v>0.98519979999999996</v>
      </c>
      <c r="Y4544">
        <v>-0.14403629999999901</v>
      </c>
      <c r="Z4544">
        <v>5.7911329999999997E-2</v>
      </c>
      <c r="AA4544">
        <v>0.98787639999999999</v>
      </c>
      <c r="AB4544">
        <v>31</v>
      </c>
      <c r="AC4544">
        <v>2.8119000000000298</v>
      </c>
      <c r="AD4544">
        <v>-1.1102734858659999</v>
      </c>
      <c r="AE4544">
        <v>-18.626300000000001</v>
      </c>
      <c r="AF4544">
        <v>-2.7510327499164098</v>
      </c>
      <c r="AG4544">
        <v>-1.1102734858659999</v>
      </c>
      <c r="AH4544">
        <v>18.5694648663987</v>
      </c>
      <c r="AI4544">
        <v>93.384801472262595</v>
      </c>
      <c r="AJ4544">
        <v>98.4269717926922</v>
      </c>
      <c r="AK4544">
        <v>18.804943866678901</v>
      </c>
      <c r="AL4544">
        <v>81.3575768104986</v>
      </c>
      <c r="AM4544">
        <v>94.784920248598397</v>
      </c>
      <c r="AN4544">
        <v>0.99999998886004804</v>
      </c>
    </row>
    <row r="4545" spans="1:40" x14ac:dyDescent="0.25">
      <c r="A4545" t="str">
        <f>"20190312164602096"</f>
        <v>20190312164602096</v>
      </c>
      <c r="B4545" t="str">
        <f>"1552380362085935"</f>
        <v>1552380362085935</v>
      </c>
      <c r="C4545" t="s">
        <v>40</v>
      </c>
      <c r="D4545">
        <v>4.4892329999999996</v>
      </c>
      <c r="E4545">
        <v>0.47837000000000002</v>
      </c>
      <c r="F4545" t="s">
        <v>52</v>
      </c>
      <c r="G4545">
        <v>-419.94920000000002</v>
      </c>
      <c r="H4545" s="1">
        <v>-1.7351140000000001E-6</v>
      </c>
      <c r="I4545">
        <v>36.887639999999998</v>
      </c>
      <c r="J4545">
        <v>-422.83030000000002</v>
      </c>
      <c r="K4545">
        <v>1.110355</v>
      </c>
      <c r="L4545">
        <v>55.614750000000001</v>
      </c>
      <c r="M4545">
        <v>4.4783840000000002E-3</v>
      </c>
      <c r="N4545">
        <v>0</v>
      </c>
      <c r="O4545">
        <v>-0.99989640000000002</v>
      </c>
      <c r="P4545">
        <v>8.8026579999999993E-2</v>
      </c>
      <c r="Q4545">
        <v>0.13698669999999999</v>
      </c>
      <c r="R4545">
        <v>-0.98665409999999998</v>
      </c>
      <c r="S4545">
        <v>0.45840449999999999</v>
      </c>
      <c r="T4545">
        <v>-0.17649319999999999</v>
      </c>
      <c r="U4545">
        <v>-3.0248719999999998</v>
      </c>
      <c r="V4545">
        <v>-8.4125160000000004E-2</v>
      </c>
      <c r="W4545">
        <v>0.15019849999999901</v>
      </c>
      <c r="X4545">
        <v>0.98507020000000001</v>
      </c>
      <c r="Y4545">
        <v>-0.1451558</v>
      </c>
      <c r="Z4545">
        <v>5.7611160000000002E-2</v>
      </c>
      <c r="AA4545">
        <v>0.98773010000000006</v>
      </c>
      <c r="AB4545">
        <v>31</v>
      </c>
      <c r="AC4545">
        <v>2.8811</v>
      </c>
      <c r="AD4545">
        <v>-1.110356735114</v>
      </c>
      <c r="AE4545">
        <v>-18.72711</v>
      </c>
      <c r="AF4545">
        <v>-2.7876228432052401</v>
      </c>
      <c r="AG4545">
        <v>-1.110356735114</v>
      </c>
      <c r="AH4545">
        <v>18.675690212831601</v>
      </c>
      <c r="AI4545">
        <v>93.365299753264793</v>
      </c>
      <c r="AJ4545">
        <v>98.489563282920102</v>
      </c>
      <c r="AK4545">
        <v>18.915209174651601</v>
      </c>
      <c r="AL4545">
        <v>81.361569603891596</v>
      </c>
      <c r="AM4545">
        <v>94.881225587531702</v>
      </c>
      <c r="AN4545">
        <v>0.99999996543765701</v>
      </c>
    </row>
    <row r="4546" spans="1:40" x14ac:dyDescent="0.25">
      <c r="A4546" t="str">
        <f>"20190312164602120"</f>
        <v>20190312164602120</v>
      </c>
      <c r="B4546" t="str">
        <f>"1552380362116176"</f>
        <v>1552380362116176</v>
      </c>
      <c r="C4546" t="s">
        <v>40</v>
      </c>
      <c r="D4546">
        <v>4.6174970000000002</v>
      </c>
      <c r="E4546">
        <v>0.47840739999999998</v>
      </c>
      <c r="F4546" t="s">
        <v>52</v>
      </c>
      <c r="G4546">
        <v>-419.8877</v>
      </c>
      <c r="H4546" s="1">
        <v>-1.9371000000000001E-6</v>
      </c>
      <c r="I4546">
        <v>36.595640000000003</v>
      </c>
      <c r="J4546">
        <v>-422.82690000000002</v>
      </c>
      <c r="K4546">
        <v>1.110463</v>
      </c>
      <c r="L4546">
        <v>55.300199999999997</v>
      </c>
      <c r="M4546">
        <v>6.4316549999999997E-3</v>
      </c>
      <c r="N4546">
        <v>0</v>
      </c>
      <c r="O4546">
        <v>-0.99988560000000004</v>
      </c>
      <c r="P4546">
        <v>9.1170009999999996E-2</v>
      </c>
      <c r="Q4546">
        <v>0.13685</v>
      </c>
      <c r="R4546">
        <v>-0.98638760000000003</v>
      </c>
      <c r="S4546">
        <v>0.46777340000000001</v>
      </c>
      <c r="T4546">
        <v>-0.17650639999999901</v>
      </c>
      <c r="U4546">
        <v>-3.0233460000000001</v>
      </c>
      <c r="V4546">
        <v>-8.5380929999999994E-2</v>
      </c>
      <c r="W4546">
        <v>0.15003540000000001</v>
      </c>
      <c r="X4546">
        <v>0.98498699999999995</v>
      </c>
      <c r="Y4546">
        <v>-0.14628729999999901</v>
      </c>
      <c r="Z4546">
        <v>5.7624960000000003E-2</v>
      </c>
      <c r="AA4546">
        <v>0.98756239999999995</v>
      </c>
      <c r="AB4546">
        <v>31</v>
      </c>
      <c r="AC4546">
        <v>2.93920000000002</v>
      </c>
      <c r="AD4546">
        <v>-1.1104649370999999</v>
      </c>
      <c r="AE4546">
        <v>-18.704559999999901</v>
      </c>
      <c r="AF4546">
        <v>-2.8091639491440499</v>
      </c>
      <c r="AG4546">
        <v>-1.1104649370999999</v>
      </c>
      <c r="AH4546">
        <v>18.658897644618801</v>
      </c>
      <c r="AI4546">
        <v>93.368013949400094</v>
      </c>
      <c r="AJ4546">
        <v>98.561783268952297</v>
      </c>
      <c r="AK4546">
        <v>18.901825197108799</v>
      </c>
      <c r="AL4546">
        <v>81.371021583551496</v>
      </c>
      <c r="AM4546">
        <v>94.954146024679503</v>
      </c>
      <c r="AN4546">
        <v>0.99999995731491098</v>
      </c>
    </row>
    <row r="4547" spans="1:40" x14ac:dyDescent="0.25">
      <c r="A4547" t="str">
        <f>"20190312164602142"</f>
        <v>20190312164602142</v>
      </c>
      <c r="B4547" t="str">
        <f>"1552380362136673"</f>
        <v>1552380362136673</v>
      </c>
      <c r="C4547" t="s">
        <v>40</v>
      </c>
      <c r="D4547">
        <v>4.6114119999999996</v>
      </c>
      <c r="E4547">
        <v>0.47844300000000001</v>
      </c>
      <c r="F4547" t="s">
        <v>52</v>
      </c>
      <c r="G4547">
        <v>-419.82100000000003</v>
      </c>
      <c r="H4547" s="1">
        <v>-2.1712020000000001E-6</v>
      </c>
      <c r="I4547">
        <v>36.255249999999997</v>
      </c>
      <c r="J4547">
        <v>-422.82260000000002</v>
      </c>
      <c r="K4547">
        <v>1.1106009999999999</v>
      </c>
      <c r="L4547">
        <v>54.975949999999997</v>
      </c>
      <c r="M4547">
        <v>8.6385690000000005E-3</v>
      </c>
      <c r="N4547">
        <v>0</v>
      </c>
      <c r="O4547">
        <v>-0.99986889999999995</v>
      </c>
      <c r="P4547">
        <v>9.5019220000000001E-2</v>
      </c>
      <c r="Q4547">
        <v>0.136729399999999</v>
      </c>
      <c r="R4547">
        <v>-0.98604080000000005</v>
      </c>
      <c r="S4547">
        <v>0.47692869999999998</v>
      </c>
      <c r="T4547">
        <v>-0.1761914</v>
      </c>
      <c r="U4547">
        <v>-3.0217589999999999</v>
      </c>
      <c r="V4547">
        <v>-8.7104239999999999E-2</v>
      </c>
      <c r="W4547">
        <v>0.14987979999999901</v>
      </c>
      <c r="X4547">
        <v>0.98485979999999995</v>
      </c>
      <c r="Y4547">
        <v>-0.14710390000000001</v>
      </c>
      <c r="Z4547">
        <v>5.7533969999999997E-2</v>
      </c>
      <c r="AA4547">
        <v>0.98744639999999995</v>
      </c>
      <c r="AB4547">
        <v>31</v>
      </c>
      <c r="AC4547">
        <v>3.00160000000005</v>
      </c>
      <c r="AD4547">
        <v>-1.1106031712019999</v>
      </c>
      <c r="AE4547">
        <v>-18.720700000000001</v>
      </c>
      <c r="AF4547">
        <v>-2.8300422217996402</v>
      </c>
      <c r="AG4547">
        <v>-1.1106031712019999</v>
      </c>
      <c r="AH4547">
        <v>18.681831603898999</v>
      </c>
      <c r="AI4547">
        <v>93.363844389783296</v>
      </c>
      <c r="AJ4547">
        <v>98.61403422827</v>
      </c>
      <c r="AK4547">
        <v>18.927583323221501</v>
      </c>
      <c r="AL4547">
        <v>81.380038830954504</v>
      </c>
      <c r="AM4547">
        <v>95.054276023007702</v>
      </c>
      <c r="AN4547">
        <v>0.99999996436502803</v>
      </c>
    </row>
    <row r="4548" spans="1:40" x14ac:dyDescent="0.25">
      <c r="A4548" t="str">
        <f>"20190312164602164"</f>
        <v>20190312164602164</v>
      </c>
      <c r="B4548" t="str">
        <f>"1552380362156192"</f>
        <v>1552380362156192</v>
      </c>
      <c r="C4548" t="s">
        <v>40</v>
      </c>
      <c r="D4548">
        <v>4.5828730000000002</v>
      </c>
      <c r="E4548">
        <v>0.4784795</v>
      </c>
      <c r="F4548" t="s">
        <v>52</v>
      </c>
      <c r="G4548">
        <v>-419.74849999999998</v>
      </c>
      <c r="H4548" s="1">
        <v>-2.3888439999999998E-6</v>
      </c>
      <c r="I4548">
        <v>35.943210000000001</v>
      </c>
      <c r="J4548">
        <v>-422.81779999999998</v>
      </c>
      <c r="K4548">
        <v>1.110746</v>
      </c>
      <c r="L4548">
        <v>54.68045</v>
      </c>
      <c r="M4548">
        <v>1.084448E-2</v>
      </c>
      <c r="N4548">
        <v>0</v>
      </c>
      <c r="O4548">
        <v>-0.9998475</v>
      </c>
      <c r="P4548">
        <v>9.8146620000000004E-2</v>
      </c>
      <c r="Q4548">
        <v>0.13646440000000001</v>
      </c>
      <c r="R4548">
        <v>-0.98577119999999996</v>
      </c>
      <c r="S4548">
        <v>0.48776249999999999</v>
      </c>
      <c r="T4548">
        <v>-0.17621779999999901</v>
      </c>
      <c r="U4548">
        <v>-3.0198969999999998</v>
      </c>
      <c r="V4548">
        <v>-8.810896E-2</v>
      </c>
      <c r="W4548">
        <v>0.149582299999999</v>
      </c>
      <c r="X4548">
        <v>0.98481569999999996</v>
      </c>
      <c r="Y4548">
        <v>-0.1484695</v>
      </c>
      <c r="Z4548">
        <v>5.755358E-2</v>
      </c>
      <c r="AA4548">
        <v>0.98724080000000003</v>
      </c>
      <c r="AB4548">
        <v>31</v>
      </c>
      <c r="AC4548">
        <v>3.0692999999999899</v>
      </c>
      <c r="AD4548">
        <v>-1.110748388844</v>
      </c>
      <c r="AE4548">
        <v>-18.73724</v>
      </c>
      <c r="AF4548">
        <v>-2.85613023172716</v>
      </c>
      <c r="AG4548">
        <v>-1.110748388844</v>
      </c>
      <c r="AH4548">
        <v>18.705410203039001</v>
      </c>
      <c r="AI4548">
        <v>93.359452392387198</v>
      </c>
      <c r="AJ4548">
        <v>98.681443367959503</v>
      </c>
      <c r="AK4548">
        <v>18.954778098090699</v>
      </c>
      <c r="AL4548">
        <v>81.397279054294501</v>
      </c>
      <c r="AM4548">
        <v>95.112496034416907</v>
      </c>
      <c r="AN4548">
        <v>1.0000000081360301</v>
      </c>
    </row>
    <row r="4549" spans="1:40" x14ac:dyDescent="0.25">
      <c r="A4549" t="str">
        <f>"20190312164602186"</f>
        <v>20190312164602186</v>
      </c>
      <c r="B4549" t="str">
        <f>"1552380362175712"</f>
        <v>1552380362175712</v>
      </c>
      <c r="C4549" t="s">
        <v>40</v>
      </c>
      <c r="D4549">
        <v>4.4553120000000002</v>
      </c>
      <c r="E4549">
        <v>0.4784486</v>
      </c>
      <c r="F4549" t="s">
        <v>52</v>
      </c>
      <c r="G4549">
        <v>-419.70839999999998</v>
      </c>
      <c r="H4549" s="1">
        <v>-2.5096309999999999E-6</v>
      </c>
      <c r="I4549">
        <v>35.769950000000001</v>
      </c>
      <c r="J4549">
        <v>-422.81189999999998</v>
      </c>
      <c r="K4549">
        <v>1.1109119999999999</v>
      </c>
      <c r="L4549">
        <v>54.372799999999998</v>
      </c>
      <c r="M4549">
        <v>1.334805E-2</v>
      </c>
      <c r="N4549">
        <v>0</v>
      </c>
      <c r="O4549">
        <v>-0.99981730000000002</v>
      </c>
      <c r="P4549">
        <v>0.10104589999999999</v>
      </c>
      <c r="Q4549">
        <v>0.13601849999999999</v>
      </c>
      <c r="R4549">
        <v>-0.98553990000000002</v>
      </c>
      <c r="S4549">
        <v>0.49630740000000001</v>
      </c>
      <c r="T4549">
        <v>-0.17729410000000001</v>
      </c>
      <c r="U4549">
        <v>-3.0184329999999999</v>
      </c>
      <c r="V4549">
        <v>-8.8598650000000001E-2</v>
      </c>
      <c r="W4549">
        <v>0.14910329999999999</v>
      </c>
      <c r="X4549">
        <v>0.98484439999999995</v>
      </c>
      <c r="Y4549">
        <v>-0.1487878</v>
      </c>
      <c r="Z4549">
        <v>5.7914479999999997E-2</v>
      </c>
      <c r="AA4549">
        <v>0.98717180000000004</v>
      </c>
      <c r="AB4549">
        <v>31</v>
      </c>
      <c r="AC4549">
        <v>3.1034999999999902</v>
      </c>
      <c r="AD4549">
        <v>-1.110914509631</v>
      </c>
      <c r="AE4549">
        <v>-18.60285</v>
      </c>
      <c r="AF4549">
        <v>-2.8450173536735401</v>
      </c>
      <c r="AG4549">
        <v>-1.110914509631</v>
      </c>
      <c r="AH4549">
        <v>18.5781630203353</v>
      </c>
      <c r="AI4549">
        <v>93.382687953819399</v>
      </c>
      <c r="AJ4549">
        <v>98.706505759151497</v>
      </c>
      <c r="AK4549">
        <v>18.827543546638498</v>
      </c>
      <c r="AL4549">
        <v>81.425034962560602</v>
      </c>
      <c r="AM4549">
        <v>95.140609311322905</v>
      </c>
      <c r="AN4549">
        <v>1.00000000353203</v>
      </c>
    </row>
    <row r="4550" spans="1:40" x14ac:dyDescent="0.25">
      <c r="A4550" t="str">
        <f>"20190312164602209"</f>
        <v>20190312164602209</v>
      </c>
      <c r="B4550" t="str">
        <f>"1552380362206564"</f>
        <v>1552380362206564</v>
      </c>
      <c r="C4550" t="s">
        <v>40</v>
      </c>
      <c r="D4550">
        <v>4.6284179999999999</v>
      </c>
      <c r="E4550">
        <v>0.47849819999999998</v>
      </c>
      <c r="F4550" t="s">
        <v>52</v>
      </c>
      <c r="G4550">
        <v>-419.685</v>
      </c>
      <c r="H4550" s="1">
        <v>-2.54085E-6</v>
      </c>
      <c r="I4550">
        <v>35.730649999999997</v>
      </c>
      <c r="J4550">
        <v>-422.80470000000003</v>
      </c>
      <c r="K4550">
        <v>1.1110819999999999</v>
      </c>
      <c r="L4550">
        <v>54.054319999999997</v>
      </c>
      <c r="M4550">
        <v>1.6160899999999999E-2</v>
      </c>
      <c r="N4550">
        <v>0</v>
      </c>
      <c r="O4550">
        <v>-0.99977539999999998</v>
      </c>
      <c r="P4550">
        <v>0.1054785</v>
      </c>
      <c r="Q4550">
        <v>0.135825</v>
      </c>
      <c r="R4550">
        <v>-0.98510200000000003</v>
      </c>
      <c r="S4550">
        <v>0.50604249999999995</v>
      </c>
      <c r="T4550">
        <v>-0.1797839</v>
      </c>
      <c r="U4550">
        <v>-3.016937</v>
      </c>
      <c r="V4550">
        <v>-9.032242E-2</v>
      </c>
      <c r="W4550">
        <v>0.14886659999999999</v>
      </c>
      <c r="X4550">
        <v>0.98472360000000003</v>
      </c>
      <c r="Y4550">
        <v>-0.14917610000000001</v>
      </c>
      <c r="Z4550">
        <v>5.8732840000000001E-2</v>
      </c>
      <c r="AA4550">
        <v>0.98706479999999996</v>
      </c>
      <c r="AB4550">
        <v>31</v>
      </c>
      <c r="AC4550">
        <v>3.1197000000000199</v>
      </c>
      <c r="AD4550">
        <v>-1.1110845408500001</v>
      </c>
      <c r="AE4550">
        <v>-18.32367</v>
      </c>
      <c r="AF4550">
        <v>-2.8130859006357301</v>
      </c>
      <c r="AG4550">
        <v>-1.1110845408500001</v>
      </c>
      <c r="AH4550">
        <v>18.306286108857201</v>
      </c>
      <c r="AI4550">
        <v>93.433058952854793</v>
      </c>
      <c r="AJ4550">
        <v>98.7361768656463</v>
      </c>
      <c r="AK4550">
        <v>18.554462326907</v>
      </c>
      <c r="AL4550">
        <v>81.438749791199797</v>
      </c>
      <c r="AM4550">
        <v>95.240712431422907</v>
      </c>
      <c r="AN4550">
        <v>0.99999998627358799</v>
      </c>
    </row>
    <row r="4551" spans="1:40" x14ac:dyDescent="0.25">
      <c r="A4551" t="str">
        <f>"20190312164602232"</f>
        <v>20190312164602232</v>
      </c>
      <c r="B4551" t="str">
        <f>"1552380362226083"</f>
        <v>1552380362226083</v>
      </c>
      <c r="C4551" t="s">
        <v>40</v>
      </c>
      <c r="D4551">
        <v>4.6066469999999997</v>
      </c>
      <c r="E4551">
        <v>0.47856379999999998</v>
      </c>
      <c r="F4551" t="s">
        <v>52</v>
      </c>
      <c r="G4551">
        <v>-419.63010000000003</v>
      </c>
      <c r="H4551" s="1">
        <v>-2.650092E-6</v>
      </c>
      <c r="I4551">
        <v>35.581740000000003</v>
      </c>
      <c r="J4551">
        <v>-422.7962</v>
      </c>
      <c r="K4551">
        <v>1.1112409999999999</v>
      </c>
      <c r="L4551">
        <v>53.727020000000003</v>
      </c>
      <c r="M4551">
        <v>1.9281840000000001E-2</v>
      </c>
      <c r="N4551">
        <v>0</v>
      </c>
      <c r="O4551">
        <v>-0.99972019999999995</v>
      </c>
      <c r="P4551">
        <v>0.11083419999999999</v>
      </c>
      <c r="Q4551">
        <v>0.13553180000000001</v>
      </c>
      <c r="R4551">
        <v>-0.98455440000000005</v>
      </c>
      <c r="S4551">
        <v>0.51812740000000002</v>
      </c>
      <c r="T4551">
        <v>-0.1813391</v>
      </c>
      <c r="U4551">
        <v>-3.0148929999999998</v>
      </c>
      <c r="V4551">
        <v>-9.2664369999999996E-2</v>
      </c>
      <c r="W4551">
        <v>0.14852850000000001</v>
      </c>
      <c r="X4551">
        <v>0.98455700000000002</v>
      </c>
      <c r="Y4551">
        <v>-0.15003910000000001</v>
      </c>
      <c r="Z4551">
        <v>5.9250089999999998E-2</v>
      </c>
      <c r="AA4551">
        <v>0.98690310000000003</v>
      </c>
      <c r="AB4551">
        <v>31</v>
      </c>
      <c r="AC4551">
        <v>3.1660999999999699</v>
      </c>
      <c r="AD4551">
        <v>-1.111243650092</v>
      </c>
      <c r="AE4551">
        <v>-18.14528</v>
      </c>
      <c r="AF4551">
        <v>-2.8053932367123502</v>
      </c>
      <c r="AG4551">
        <v>-1.111243650092</v>
      </c>
      <c r="AH4551">
        <v>18.1369467619079</v>
      </c>
      <c r="AI4551">
        <v>93.465003571646704</v>
      </c>
      <c r="AJ4551">
        <v>98.792736029194501</v>
      </c>
      <c r="AK4551">
        <v>18.386242995966899</v>
      </c>
      <c r="AL4551">
        <v>81.458338908406105</v>
      </c>
      <c r="AM4551">
        <v>95.376715912876506</v>
      </c>
      <c r="AN4551">
        <v>0.99999994351437105</v>
      </c>
    </row>
    <row r="4552" spans="1:40" x14ac:dyDescent="0.25">
      <c r="A4552" t="str">
        <f>"20190312164602253"</f>
        <v>20190312164602253</v>
      </c>
      <c r="B4552" t="str">
        <f>"1552380362246579"</f>
        <v>1552380362246579</v>
      </c>
      <c r="C4552" t="s">
        <v>40</v>
      </c>
      <c r="D4552">
        <v>4.5228460000000004</v>
      </c>
      <c r="E4552">
        <v>0.48525590000000002</v>
      </c>
      <c r="F4552" t="s">
        <v>52</v>
      </c>
      <c r="G4552">
        <v>-419.5566</v>
      </c>
      <c r="H4552" s="1">
        <v>-2.773701E-6</v>
      </c>
      <c r="I4552">
        <v>35.418050000000001</v>
      </c>
      <c r="J4552">
        <v>-422.78769999999997</v>
      </c>
      <c r="K4552">
        <v>1.1113599999999999</v>
      </c>
      <c r="L4552">
        <v>53.439419999999998</v>
      </c>
      <c r="M4552">
        <v>2.2154190000000001E-2</v>
      </c>
      <c r="N4552">
        <v>0</v>
      </c>
      <c r="O4552">
        <v>-0.99966060000000001</v>
      </c>
      <c r="P4552">
        <v>0.11640490000000001</v>
      </c>
      <c r="Q4552">
        <v>0.13587929999999901</v>
      </c>
      <c r="R4552">
        <v>-0.9838633</v>
      </c>
      <c r="S4552">
        <v>0.5329895</v>
      </c>
      <c r="T4552">
        <v>-0.1828246</v>
      </c>
      <c r="U4552">
        <v>-3.012238</v>
      </c>
      <c r="V4552">
        <v>-9.5458089999999995E-2</v>
      </c>
      <c r="W4552">
        <v>0.1488331</v>
      </c>
      <c r="X4552">
        <v>0.98424409999999896</v>
      </c>
      <c r="Y4552">
        <v>-0.1520637</v>
      </c>
      <c r="Z4552">
        <v>5.9745699999999999E-2</v>
      </c>
      <c r="AA4552">
        <v>0.98656330000000003</v>
      </c>
      <c r="AB4552">
        <v>31</v>
      </c>
      <c r="AC4552">
        <v>3.2310999999999601</v>
      </c>
      <c r="AD4552">
        <v>-1.1113627737009999</v>
      </c>
      <c r="AE4552">
        <v>-18.021370000000001</v>
      </c>
      <c r="AF4552">
        <v>-2.8206274680454402</v>
      </c>
      <c r="AG4552">
        <v>-1.1113627737009999</v>
      </c>
      <c r="AH4552">
        <v>18.022130184079298</v>
      </c>
      <c r="AI4552">
        <v>93.486429845643002</v>
      </c>
      <c r="AJ4552">
        <v>98.895150404801996</v>
      </c>
      <c r="AK4552">
        <v>18.275345219726098</v>
      </c>
      <c r="AL4552">
        <v>81.440690885569396</v>
      </c>
      <c r="AM4552">
        <v>95.539573981025498</v>
      </c>
      <c r="AN4552">
        <v>0.99999999349343305</v>
      </c>
    </row>
    <row r="4553" spans="1:40" x14ac:dyDescent="0.25">
      <c r="A4553" t="str">
        <f>"20190312164602276"</f>
        <v>20190312164602276</v>
      </c>
      <c r="B4553" t="str">
        <f>"1552380362266101"</f>
        <v>1552380362266101</v>
      </c>
      <c r="C4553" t="s">
        <v>40</v>
      </c>
      <c r="D4553">
        <v>4.4429259999999999</v>
      </c>
      <c r="E4553">
        <v>0.48390149999999998</v>
      </c>
      <c r="F4553" t="s">
        <v>42</v>
      </c>
      <c r="G4553">
        <v>-421.12130000000002</v>
      </c>
      <c r="H4553" s="1">
        <v>-1.9325510000000001E-6</v>
      </c>
      <c r="I4553">
        <v>43.398449999999997</v>
      </c>
      <c r="J4553">
        <v>-422.77730000000003</v>
      </c>
      <c r="K4553">
        <v>1.111469</v>
      </c>
      <c r="L4553">
        <v>53.126040000000003</v>
      </c>
      <c r="M4553">
        <v>2.540218E-2</v>
      </c>
      <c r="N4553">
        <v>0</v>
      </c>
      <c r="O4553">
        <v>-0.99958320000000001</v>
      </c>
      <c r="P4553">
        <v>0.1223595</v>
      </c>
      <c r="Q4553">
        <v>0.1364891</v>
      </c>
      <c r="R4553">
        <v>-0.98305629999999999</v>
      </c>
      <c r="S4553">
        <v>0.50384519999999999</v>
      </c>
      <c r="T4553">
        <v>-0.3360339</v>
      </c>
      <c r="U4553">
        <v>-3.0360109999999998</v>
      </c>
      <c r="V4553">
        <v>-9.8266560000000003E-2</v>
      </c>
      <c r="W4553">
        <v>0.14940039999999999</v>
      </c>
      <c r="X4553">
        <v>0.98388169999999997</v>
      </c>
      <c r="Y4553">
        <v>-0.1376328</v>
      </c>
      <c r="Z4553">
        <v>0.10870059999999999</v>
      </c>
      <c r="AA4553">
        <v>0.98450059999999995</v>
      </c>
      <c r="AB4553">
        <v>31</v>
      </c>
      <c r="AC4553">
        <v>1.6559999999999999</v>
      </c>
      <c r="AD4553">
        <v>-1.1114709325509999</v>
      </c>
      <c r="AE4553">
        <v>-9.7275899999999993</v>
      </c>
      <c r="AF4553">
        <v>-1.3906957377895801</v>
      </c>
      <c r="AG4553">
        <v>-1.1114709325509999</v>
      </c>
      <c r="AH4553">
        <v>9.6441594615378694</v>
      </c>
      <c r="AI4553">
        <v>96.507501113493007</v>
      </c>
      <c r="AJ4553">
        <v>98.205535614226704</v>
      </c>
      <c r="AK4553">
        <v>9.8071001824485506</v>
      </c>
      <c r="AL4553">
        <v>81.407819512224293</v>
      </c>
      <c r="AM4553">
        <v>95.703581281687207</v>
      </c>
      <c r="AN4553">
        <v>0.99999999796464101</v>
      </c>
    </row>
    <row r="4554" spans="1:40" x14ac:dyDescent="0.25">
      <c r="A4554" t="str">
        <f>"20190312164602299"</f>
        <v>20190312164602299</v>
      </c>
      <c r="B4554" t="str">
        <f>"1552380362286388"</f>
        <v>1552380362286388</v>
      </c>
      <c r="C4554" t="s">
        <v>40</v>
      </c>
      <c r="D4554">
        <v>4.543107</v>
      </c>
      <c r="E4554">
        <v>0.48562159999999899</v>
      </c>
      <c r="F4554" t="s">
        <v>42</v>
      </c>
      <c r="G4554">
        <v>-420.8836</v>
      </c>
      <c r="H4554" s="1">
        <v>-1.408263E-6</v>
      </c>
      <c r="I4554">
        <v>42.323790000000002</v>
      </c>
      <c r="J4554">
        <v>-422.76639999999998</v>
      </c>
      <c r="K4554">
        <v>1.11154</v>
      </c>
      <c r="L4554">
        <v>52.825069999999997</v>
      </c>
      <c r="M4554">
        <v>2.8601290000000001E-2</v>
      </c>
      <c r="N4554">
        <v>0</v>
      </c>
      <c r="O4554">
        <v>-0.99949670000000002</v>
      </c>
      <c r="P4554">
        <v>0.1283387</v>
      </c>
      <c r="Q4554">
        <v>0.13755439999999999</v>
      </c>
      <c r="R4554">
        <v>-0.98214449999999998</v>
      </c>
      <c r="S4554">
        <v>0.53100590000000003</v>
      </c>
      <c r="T4554">
        <v>-0.31165100000000001</v>
      </c>
      <c r="U4554">
        <v>-3.0289000000000001</v>
      </c>
      <c r="V4554">
        <v>-0.10114769999999999</v>
      </c>
      <c r="W4554">
        <v>0.15042620000000001</v>
      </c>
      <c r="X4554">
        <v>0.98343329999999995</v>
      </c>
      <c r="Y4554">
        <v>-0.14355200000000001</v>
      </c>
      <c r="Z4554">
        <v>0.1009979</v>
      </c>
      <c r="AA4554">
        <v>0.98447560000000001</v>
      </c>
      <c r="AB4554">
        <v>31</v>
      </c>
      <c r="AC4554">
        <v>1.8827999999999701</v>
      </c>
      <c r="AD4554">
        <v>-1.111541408263</v>
      </c>
      <c r="AE4554">
        <v>-10.5012799999999</v>
      </c>
      <c r="AF4554">
        <v>-1.56466686144734</v>
      </c>
      <c r="AG4554">
        <v>-1.111541408263</v>
      </c>
      <c r="AH4554">
        <v>10.43754024846</v>
      </c>
      <c r="AI4554">
        <v>96.012101425999703</v>
      </c>
      <c r="AJ4554">
        <v>98.525589264241702</v>
      </c>
      <c r="AK4554">
        <v>10.6125375442359</v>
      </c>
      <c r="AL4554">
        <v>81.348373529387601</v>
      </c>
      <c r="AM4554">
        <v>95.872314692138005</v>
      </c>
      <c r="AN4554">
        <v>0.99999997720530898</v>
      </c>
    </row>
    <row r="4555" spans="1:40" x14ac:dyDescent="0.25">
      <c r="A4555" t="str">
        <f>"20190312164602321"</f>
        <v>20190312164602321</v>
      </c>
      <c r="B4555" t="str">
        <f>"1552380362316633"</f>
        <v>1552380362316633</v>
      </c>
      <c r="C4555" t="s">
        <v>40</v>
      </c>
      <c r="D4555">
        <v>4.5038309999999999</v>
      </c>
      <c r="E4555">
        <v>0.48539159999999998</v>
      </c>
      <c r="F4555" t="s">
        <v>42</v>
      </c>
      <c r="G4555">
        <v>-420.77780000000001</v>
      </c>
      <c r="H4555" s="1">
        <v>-1.055396E-6</v>
      </c>
      <c r="I4555">
        <v>41.566859999999998</v>
      </c>
      <c r="J4555">
        <v>-422.75409999999999</v>
      </c>
      <c r="K4555">
        <v>1.1115969999999999</v>
      </c>
      <c r="L4555">
        <v>52.513849999999998</v>
      </c>
      <c r="M4555">
        <v>3.19587E-2</v>
      </c>
      <c r="N4555">
        <v>0</v>
      </c>
      <c r="O4555">
        <v>-0.99939509999999998</v>
      </c>
      <c r="P4555">
        <v>0.13505739999999999</v>
      </c>
      <c r="Q4555">
        <v>0.1385593</v>
      </c>
      <c r="R4555">
        <v>-0.98110229999999998</v>
      </c>
      <c r="S4555">
        <v>0.5346069</v>
      </c>
      <c r="T4555">
        <v>-0.29881609999999997</v>
      </c>
      <c r="U4555">
        <v>-3.0265499999999999</v>
      </c>
      <c r="V4555">
        <v>-0.10461239999999999</v>
      </c>
      <c r="W4555">
        <v>0.1513902</v>
      </c>
      <c r="X4555">
        <v>0.98292279999999999</v>
      </c>
      <c r="Y4555">
        <v>-0.14156389999999999</v>
      </c>
      <c r="Z4555">
        <v>9.6941479999999997E-2</v>
      </c>
      <c r="AA4555">
        <v>0.98517109999999997</v>
      </c>
      <c r="AB4555">
        <v>31</v>
      </c>
      <c r="AC4555">
        <v>1.97629999999998</v>
      </c>
      <c r="AD4555">
        <v>-1.1115980553960001</v>
      </c>
      <c r="AE4555">
        <v>-10.94699</v>
      </c>
      <c r="AF4555">
        <v>-1.6093355307422901</v>
      </c>
      <c r="AG4555">
        <v>-1.1115980553960001</v>
      </c>
      <c r="AH4555">
        <v>10.8957615633479</v>
      </c>
      <c r="AI4555">
        <v>95.763128726947002</v>
      </c>
      <c r="AJ4555">
        <v>98.402004199119403</v>
      </c>
      <c r="AK4555">
        <v>11.069924621812</v>
      </c>
      <c r="AL4555">
        <v>81.292500626376906</v>
      </c>
      <c r="AM4555">
        <v>96.075116123244996</v>
      </c>
      <c r="AN4555">
        <v>0.999999988824819</v>
      </c>
    </row>
    <row r="4556" spans="1:40" x14ac:dyDescent="0.25">
      <c r="A4556" t="str">
        <f>"20190312164602343"</f>
        <v>20190312164602343</v>
      </c>
      <c r="B4556" t="str">
        <f>"1552380362336150"</f>
        <v>1552380362336150</v>
      </c>
      <c r="C4556" t="s">
        <v>40</v>
      </c>
      <c r="D4556">
        <v>4.5697939999999999</v>
      </c>
      <c r="E4556">
        <v>0.48373300000000002</v>
      </c>
      <c r="F4556" t="s">
        <v>42</v>
      </c>
      <c r="G4556">
        <v>-420.46719999999999</v>
      </c>
      <c r="H4556" s="1">
        <v>-3.3985589999999998E-7</v>
      </c>
      <c r="I4556">
        <v>40.091520000000003</v>
      </c>
      <c r="J4556">
        <v>-422.7407</v>
      </c>
      <c r="K4556">
        <v>1.1116379999999999</v>
      </c>
      <c r="L4556">
        <v>52.203090000000003</v>
      </c>
      <c r="M4556">
        <v>3.5334900000000002E-2</v>
      </c>
      <c r="N4556">
        <v>0</v>
      </c>
      <c r="O4556">
        <v>-0.99928150000000004</v>
      </c>
      <c r="P4556">
        <v>0.1421713</v>
      </c>
      <c r="Q4556">
        <v>0.1388925</v>
      </c>
      <c r="R4556">
        <v>-0.98004919999999995</v>
      </c>
      <c r="S4556">
        <v>0.55584719999999999</v>
      </c>
      <c r="T4556">
        <v>-0.27019100000000001</v>
      </c>
      <c r="U4556">
        <v>-3.0194399999999999</v>
      </c>
      <c r="V4556">
        <v>-0.1084471</v>
      </c>
      <c r="W4556">
        <v>0.15168289999999901</v>
      </c>
      <c r="X4556">
        <v>0.98246199999999995</v>
      </c>
      <c r="Y4556">
        <v>-0.14548050000000001</v>
      </c>
      <c r="Z4556">
        <v>8.7838659999999999E-2</v>
      </c>
      <c r="AA4556">
        <v>0.9854541</v>
      </c>
      <c r="AB4556">
        <v>31</v>
      </c>
      <c r="AC4556">
        <v>2.2735000000000101</v>
      </c>
      <c r="AD4556">
        <v>-1.1116383398559</v>
      </c>
      <c r="AE4556">
        <v>-12.11157</v>
      </c>
      <c r="AF4556">
        <v>-1.8291937445600399</v>
      </c>
      <c r="AG4556">
        <v>-1.1116383398559</v>
      </c>
      <c r="AH4556">
        <v>12.0859978465847</v>
      </c>
      <c r="AI4556">
        <v>95.196282136729295</v>
      </c>
      <c r="AJ4556">
        <v>98.606295730844593</v>
      </c>
      <c r="AK4556">
        <v>12.2740797415295</v>
      </c>
      <c r="AL4556">
        <v>81.275534566772706</v>
      </c>
      <c r="AM4556">
        <v>96.298979348496999</v>
      </c>
      <c r="AN4556">
        <v>1.0000000285474</v>
      </c>
    </row>
    <row r="4557" spans="1:40" x14ac:dyDescent="0.25">
      <c r="A4557" t="str">
        <f>"20190312164602365"</f>
        <v>20190312164602365</v>
      </c>
      <c r="B4557" t="str">
        <f>"1552380362356647"</f>
        <v>1552380362356647</v>
      </c>
      <c r="C4557" t="s">
        <v>40</v>
      </c>
      <c r="D4557">
        <v>4.5745259999999996</v>
      </c>
      <c r="E4557">
        <v>0.42035470000000003</v>
      </c>
      <c r="F4557" t="s">
        <v>42</v>
      </c>
      <c r="G4557">
        <v>-420.31229999999999</v>
      </c>
      <c r="H4557" s="1">
        <v>-1.7625189999999999E-7</v>
      </c>
      <c r="I4557">
        <v>39.806289999999997</v>
      </c>
      <c r="J4557">
        <v>-422.72649999999999</v>
      </c>
      <c r="K4557">
        <v>1.1116629999999901</v>
      </c>
      <c r="L4557">
        <v>51.900759999999998</v>
      </c>
      <c r="M4557">
        <v>3.862699E-2</v>
      </c>
      <c r="N4557">
        <v>0</v>
      </c>
      <c r="O4557">
        <v>-0.99915940000000003</v>
      </c>
      <c r="P4557">
        <v>0.14954919999999999</v>
      </c>
      <c r="Q4557">
        <v>0.1388218</v>
      </c>
      <c r="R4557">
        <v>-0.97896030000000001</v>
      </c>
      <c r="S4557">
        <v>0.59036250000000001</v>
      </c>
      <c r="T4557">
        <v>-0.27024540000000002</v>
      </c>
      <c r="U4557">
        <v>-3.0137330000000002</v>
      </c>
      <c r="V4557">
        <v>-0.1126259</v>
      </c>
      <c r="W4557">
        <v>0.1515726</v>
      </c>
      <c r="X4557">
        <v>0.98200880000000002</v>
      </c>
      <c r="Y4557">
        <v>-0.15344050000000001</v>
      </c>
      <c r="Z4557">
        <v>8.7856749999999997E-2</v>
      </c>
      <c r="AA4557">
        <v>0.98424449999999997</v>
      </c>
      <c r="AB4557">
        <v>31</v>
      </c>
      <c r="AC4557">
        <v>2.4141999999999899</v>
      </c>
      <c r="AD4557">
        <v>-1.11166317625189</v>
      </c>
      <c r="AE4557">
        <v>-12.0944699999999</v>
      </c>
      <c r="AF4557">
        <v>-1.9295044131571599</v>
      </c>
      <c r="AG4557">
        <v>-1.11166317625189</v>
      </c>
      <c r="AH4557">
        <v>12.080554087553301</v>
      </c>
      <c r="AI4557">
        <v>95.1921575292955</v>
      </c>
      <c r="AJ4557">
        <v>99.074626068286804</v>
      </c>
      <c r="AK4557">
        <v>12.2840778799277</v>
      </c>
      <c r="AL4557">
        <v>81.281928535516897</v>
      </c>
      <c r="AM4557">
        <v>96.542626231265501</v>
      </c>
      <c r="AN4557">
        <v>1.0000000648495</v>
      </c>
    </row>
    <row r="4558" spans="1:40" x14ac:dyDescent="0.25">
      <c r="A4558" t="str">
        <f>"20190312164602387"</f>
        <v>20190312164602387</v>
      </c>
      <c r="B4558" t="str">
        <f>"1552380362376167"</f>
        <v>1552380362376167</v>
      </c>
      <c r="C4558" t="s">
        <v>40</v>
      </c>
      <c r="D4558">
        <v>4.4931769999999904</v>
      </c>
      <c r="E4558">
        <v>0.41440379999999899</v>
      </c>
      <c r="F4558" t="s">
        <v>42</v>
      </c>
      <c r="G4558">
        <v>-418.47379999999998</v>
      </c>
      <c r="H4558" s="1">
        <v>-7.6063909999999897E-7</v>
      </c>
      <c r="I4558">
        <v>40.689909999999998</v>
      </c>
      <c r="J4558">
        <v>-422.71140000000003</v>
      </c>
      <c r="K4558">
        <v>1.1116779999999999</v>
      </c>
      <c r="L4558">
        <v>51.596530000000001</v>
      </c>
      <c r="M4558">
        <v>4.1939299999999999E-2</v>
      </c>
      <c r="N4558">
        <v>0</v>
      </c>
      <c r="O4558">
        <v>-0.99902590000000002</v>
      </c>
      <c r="P4558">
        <v>0.15712219999999999</v>
      </c>
      <c r="Q4558">
        <v>0.138524799999999</v>
      </c>
      <c r="R4558">
        <v>-0.97781580000000001</v>
      </c>
      <c r="S4558">
        <v>1.1136170000000001</v>
      </c>
      <c r="T4558">
        <v>-0.2910972</v>
      </c>
      <c r="U4558">
        <v>-2.935638</v>
      </c>
      <c r="V4558">
        <v>-0.1169805</v>
      </c>
      <c r="W4558">
        <v>0.15123699999999901</v>
      </c>
      <c r="X4558">
        <v>0.98155130000000002</v>
      </c>
      <c r="Y4558">
        <v>-0.31362390000000001</v>
      </c>
      <c r="Z4558">
        <v>9.2860650000000003E-2</v>
      </c>
      <c r="AA4558">
        <v>0.94499580000000005</v>
      </c>
      <c r="AB4558">
        <v>31</v>
      </c>
      <c r="AC4558">
        <v>4.2376000000000396</v>
      </c>
      <c r="AD4558">
        <v>-1.1116787606391001</v>
      </c>
      <c r="AE4558">
        <v>-10.90662</v>
      </c>
      <c r="AF4558">
        <v>-3.7426290402480298</v>
      </c>
      <c r="AG4558">
        <v>-1.1116787606391001</v>
      </c>
      <c r="AH4558">
        <v>10.975689017694</v>
      </c>
      <c r="AI4558">
        <v>95.475946727601695</v>
      </c>
      <c r="AJ4558">
        <v>108.828997877623</v>
      </c>
      <c r="AK4558">
        <v>11.649414200417599</v>
      </c>
      <c r="AL4558">
        <v>81.301380780197604</v>
      </c>
      <c r="AM4558">
        <v>96.796408215428102</v>
      </c>
      <c r="AN4558">
        <v>1.0000000110404701</v>
      </c>
    </row>
    <row r="4559" spans="1:40" x14ac:dyDescent="0.25">
      <c r="A4559" t="str">
        <f>"20190312164602412"</f>
        <v>20190312164602412</v>
      </c>
      <c r="B4559" t="str">
        <f>"1552380362406422"</f>
        <v>1552380362406422</v>
      </c>
      <c r="C4559" t="s">
        <v>40</v>
      </c>
      <c r="D4559">
        <v>4.4673980000000002</v>
      </c>
      <c r="E4559">
        <v>0.40870770000000001</v>
      </c>
      <c r="F4559" t="s">
        <v>52</v>
      </c>
      <c r="G4559">
        <v>-416.24119999999999</v>
      </c>
      <c r="H4559" s="1">
        <v>-3.448475E-6</v>
      </c>
      <c r="I4559">
        <v>35.625839999999997</v>
      </c>
      <c r="J4559">
        <v>-422.69389999999999</v>
      </c>
      <c r="K4559">
        <v>1.1116900000000001</v>
      </c>
      <c r="L4559">
        <v>51.27084</v>
      </c>
      <c r="M4559">
        <v>4.5480609999999998E-2</v>
      </c>
      <c r="N4559">
        <v>0</v>
      </c>
      <c r="O4559">
        <v>-0.99887099999999995</v>
      </c>
      <c r="P4559">
        <v>0.16535999999999901</v>
      </c>
      <c r="Q4559">
        <v>0.13879810000000001</v>
      </c>
      <c r="R4559">
        <v>-0.97641770000000006</v>
      </c>
      <c r="S4559">
        <v>1.1778869999999999</v>
      </c>
      <c r="T4559">
        <v>-0.20238210000000001</v>
      </c>
      <c r="U4559">
        <v>-2.9074710000000001</v>
      </c>
      <c r="V4559">
        <v>-0.12179089999999999</v>
      </c>
      <c r="W4559">
        <v>0.1514675</v>
      </c>
      <c r="X4559">
        <v>0.98093039999999998</v>
      </c>
      <c r="Y4559">
        <v>-0.3321482</v>
      </c>
      <c r="Z4559">
        <v>6.4815199999999906E-2</v>
      </c>
      <c r="AA4559">
        <v>0.94099770000000005</v>
      </c>
      <c r="AB4559">
        <v>31</v>
      </c>
      <c r="AC4559">
        <v>6.4526999999999903</v>
      </c>
      <c r="AD4559">
        <v>-1.1116934484750001</v>
      </c>
      <c r="AE4559">
        <v>-15.6449999999999</v>
      </c>
      <c r="AF4559">
        <v>-5.7097722035294201</v>
      </c>
      <c r="AG4559">
        <v>-1.1116934484750001</v>
      </c>
      <c r="AH4559">
        <v>15.8538968749855</v>
      </c>
      <c r="AI4559">
        <v>93.774502574679403</v>
      </c>
      <c r="AJ4559">
        <v>109.806456307612</v>
      </c>
      <c r="AK4559">
        <v>16.887374190863799</v>
      </c>
      <c r="AL4559">
        <v>81.288019548685</v>
      </c>
      <c r="AM4559">
        <v>97.077541848849407</v>
      </c>
      <c r="AN4559">
        <v>0.99999993826160805</v>
      </c>
    </row>
    <row r="4560" spans="1:40" x14ac:dyDescent="0.25">
      <c r="A4560" t="str">
        <f>"20190312164602433"</f>
        <v>20190312164602433</v>
      </c>
      <c r="B4560" t="str">
        <f>"1552380362425943"</f>
        <v>1552380362425943</v>
      </c>
      <c r="C4560" t="s">
        <v>40</v>
      </c>
      <c r="D4560">
        <v>4.4848350000000003</v>
      </c>
      <c r="E4560">
        <v>0.40754210000000002</v>
      </c>
      <c r="F4560" t="s">
        <v>52</v>
      </c>
      <c r="G4560">
        <v>-417.32409999999999</v>
      </c>
      <c r="H4560" s="1">
        <v>-1.2077159999999999E-6</v>
      </c>
      <c r="I4560">
        <v>38.816270000000003</v>
      </c>
      <c r="J4560">
        <v>-422.67669999999998</v>
      </c>
      <c r="K4560">
        <v>1.1116950000000001</v>
      </c>
      <c r="L4560">
        <v>50.969090000000001</v>
      </c>
      <c r="M4560">
        <v>4.8756140000000003E-2</v>
      </c>
      <c r="N4560">
        <v>0</v>
      </c>
      <c r="O4560">
        <v>-0.99871650000000001</v>
      </c>
      <c r="P4560">
        <v>0.17366010000000001</v>
      </c>
      <c r="Q4560">
        <v>0.1398681</v>
      </c>
      <c r="R4560">
        <v>-0.974823</v>
      </c>
      <c r="S4560">
        <v>1.2493289999999999</v>
      </c>
      <c r="T4560">
        <v>-0.25864280000000001</v>
      </c>
      <c r="U4560">
        <v>-2.8976440000000001</v>
      </c>
      <c r="V4560">
        <v>-0.12694269999999999</v>
      </c>
      <c r="W4560">
        <v>0.1524916</v>
      </c>
      <c r="X4560">
        <v>0.9801183</v>
      </c>
      <c r="Y4560">
        <v>-0.34933399999999998</v>
      </c>
      <c r="Z4560">
        <v>8.2314730000000003E-2</v>
      </c>
      <c r="AA4560">
        <v>0.93337570000000003</v>
      </c>
      <c r="AB4560">
        <v>31</v>
      </c>
      <c r="AC4560">
        <v>5.35259999999999</v>
      </c>
      <c r="AD4560">
        <v>-1.111696207716</v>
      </c>
      <c r="AE4560">
        <v>-12.152819999999901</v>
      </c>
      <c r="AF4560">
        <v>-4.7205690900753501</v>
      </c>
      <c r="AG4560">
        <v>-1.111696207716</v>
      </c>
      <c r="AH4560">
        <v>12.313066023235301</v>
      </c>
      <c r="AI4560">
        <v>94.818801827480399</v>
      </c>
      <c r="AJ4560">
        <v>110.975767170897</v>
      </c>
      <c r="AK4560">
        <v>13.233715875935101</v>
      </c>
      <c r="AL4560">
        <v>81.228653945159294</v>
      </c>
      <c r="AM4560">
        <v>97.379737792631502</v>
      </c>
      <c r="AN4560">
        <v>1.00000000957437</v>
      </c>
    </row>
    <row r="4561" spans="1:40" x14ac:dyDescent="0.25">
      <c r="A4561" t="str">
        <f>"20190312164602454"</f>
        <v>20190312164602454</v>
      </c>
      <c r="B4561" t="str">
        <f>"1552380362446438"</f>
        <v>1552380362446438</v>
      </c>
      <c r="C4561" t="s">
        <v>40</v>
      </c>
      <c r="D4561">
        <v>4.4529230000000002</v>
      </c>
      <c r="E4561">
        <v>0.4071863</v>
      </c>
      <c r="F4561" t="s">
        <v>52</v>
      </c>
      <c r="G4561">
        <v>-417.56990000000002</v>
      </c>
      <c r="H4561" s="1">
        <v>-7.2701110000000002E-7</v>
      </c>
      <c r="I4561">
        <v>39.469610000000003</v>
      </c>
      <c r="J4561">
        <v>-422.65910000000002</v>
      </c>
      <c r="K4561">
        <v>1.111704</v>
      </c>
      <c r="L4561">
        <v>50.677860000000003</v>
      </c>
      <c r="M4561">
        <v>5.191341E-2</v>
      </c>
      <c r="N4561">
        <v>0</v>
      </c>
      <c r="O4561">
        <v>-0.99855760000000005</v>
      </c>
      <c r="P4561">
        <v>0.1811536</v>
      </c>
      <c r="Q4561">
        <v>0.14052329999999999</v>
      </c>
      <c r="R4561">
        <v>-0.9733638</v>
      </c>
      <c r="S4561">
        <v>1.282959</v>
      </c>
      <c r="T4561">
        <v>-0.27929080000000001</v>
      </c>
      <c r="U4561">
        <v>-2.889008</v>
      </c>
      <c r="V4561">
        <v>-0.1314004</v>
      </c>
      <c r="W4561">
        <v>0.15310660000000001</v>
      </c>
      <c r="X4561">
        <v>0.97943469999999999</v>
      </c>
      <c r="Y4561">
        <v>-0.35626859999999999</v>
      </c>
      <c r="Z4561">
        <v>8.8735679999999997E-2</v>
      </c>
      <c r="AA4561">
        <v>0.9301606</v>
      </c>
      <c r="AB4561">
        <v>31</v>
      </c>
      <c r="AC4561">
        <v>5.0891999999999999</v>
      </c>
      <c r="AD4561">
        <v>-1.1117047270111</v>
      </c>
      <c r="AE4561">
        <v>-11.20825</v>
      </c>
      <c r="AF4561">
        <v>-4.4640132910421597</v>
      </c>
      <c r="AG4561">
        <v>-1.1117047270111</v>
      </c>
      <c r="AH4561">
        <v>11.364662363031201</v>
      </c>
      <c r="AI4561">
        <v>95.202382408925402</v>
      </c>
      <c r="AJ4561">
        <v>111.44478604097</v>
      </c>
      <c r="AK4561">
        <v>12.2604589101859</v>
      </c>
      <c r="AL4561">
        <v>81.192998384209901</v>
      </c>
      <c r="AM4561">
        <v>97.641143359531597</v>
      </c>
      <c r="AN4561">
        <v>1.0000000138239</v>
      </c>
    </row>
    <row r="4562" spans="1:40" x14ac:dyDescent="0.25">
      <c r="A4562" t="str">
        <f>"20190312164602477"</f>
        <v>20190312164602477</v>
      </c>
      <c r="B4562" t="str">
        <f>"1552380362465959"</f>
        <v>1552380362465959</v>
      </c>
      <c r="C4562" t="s">
        <v>40</v>
      </c>
      <c r="D4562">
        <v>4.4455109999999998</v>
      </c>
      <c r="E4562">
        <v>0.40688980000000002</v>
      </c>
      <c r="F4562" t="s">
        <v>42</v>
      </c>
      <c r="G4562">
        <v>-417.70159999999998</v>
      </c>
      <c r="H4562" s="1">
        <v>-6.5107509999999904E-7</v>
      </c>
      <c r="I4562">
        <v>39.764189999999999</v>
      </c>
      <c r="J4562">
        <v>-422.63920000000002</v>
      </c>
      <c r="K4562">
        <v>1.1117090000000001</v>
      </c>
      <c r="L4562">
        <v>50.364780000000003</v>
      </c>
      <c r="M4562">
        <v>5.5304409999999998E-2</v>
      </c>
      <c r="N4562">
        <v>0</v>
      </c>
      <c r="O4562">
        <v>-0.99837540000000002</v>
      </c>
      <c r="P4562">
        <v>0.18943779999999999</v>
      </c>
      <c r="Q4562">
        <v>0.14088399999999901</v>
      </c>
      <c r="R4562">
        <v>-0.97173319999999996</v>
      </c>
      <c r="S4562">
        <v>1.3086549999999999</v>
      </c>
      <c r="T4562">
        <v>-0.29346080000000002</v>
      </c>
      <c r="U4562">
        <v>-2.8809200000000001</v>
      </c>
      <c r="V4562">
        <v>-0.13642969999999999</v>
      </c>
      <c r="W4562">
        <v>0.15342420000000001</v>
      </c>
      <c r="X4562">
        <v>0.97869709999999999</v>
      </c>
      <c r="Y4562">
        <v>-0.36079480000000003</v>
      </c>
      <c r="Z4562">
        <v>9.3162369999999994E-2</v>
      </c>
      <c r="AA4562">
        <v>0.92798049999999999</v>
      </c>
      <c r="AB4562">
        <v>31</v>
      </c>
      <c r="AC4562">
        <v>4.93760000000003</v>
      </c>
      <c r="AD4562">
        <v>-1.1117096510750999</v>
      </c>
      <c r="AE4562">
        <v>-10.600589999999899</v>
      </c>
      <c r="AF4562">
        <v>-4.3048225052528899</v>
      </c>
      <c r="AG4562">
        <v>-1.1117096510750999</v>
      </c>
      <c r="AH4562">
        <v>10.760214570440599</v>
      </c>
      <c r="AI4562">
        <v>95.479324800837105</v>
      </c>
      <c r="AJ4562">
        <v>111.80479099586999</v>
      </c>
      <c r="AK4562">
        <v>11.6425775819595</v>
      </c>
      <c r="AL4562">
        <v>81.174583827803204</v>
      </c>
      <c r="AM4562">
        <v>97.935852192609204</v>
      </c>
      <c r="AN4562">
        <v>1.0000000308680601</v>
      </c>
    </row>
    <row r="4563" spans="1:40" x14ac:dyDescent="0.25">
      <c r="A4563" t="str">
        <f>"20190312164602500"</f>
        <v>20190312164602500</v>
      </c>
      <c r="B4563" t="str">
        <f>"1552380362496215"</f>
        <v>1552380362496215</v>
      </c>
      <c r="C4563" t="s">
        <v>40</v>
      </c>
      <c r="D4563">
        <v>4.3600770000000004</v>
      </c>
      <c r="E4563">
        <v>0.40710380000000002</v>
      </c>
      <c r="F4563" t="s">
        <v>42</v>
      </c>
      <c r="G4563">
        <v>-417.64339999999999</v>
      </c>
      <c r="H4563" s="1">
        <v>-6.1824849999999897E-7</v>
      </c>
      <c r="I4563">
        <v>39.622230000000002</v>
      </c>
      <c r="J4563">
        <v>-422.6189</v>
      </c>
      <c r="K4563">
        <v>1.1117090000000001</v>
      </c>
      <c r="L4563">
        <v>50.061889999999998</v>
      </c>
      <c r="M4563">
        <v>5.8585480000000002E-2</v>
      </c>
      <c r="N4563">
        <v>0</v>
      </c>
      <c r="O4563">
        <v>-0.99818810000000002</v>
      </c>
      <c r="P4563">
        <v>0.19751389999999999</v>
      </c>
      <c r="Q4563">
        <v>0.14142449999999901</v>
      </c>
      <c r="R4563">
        <v>-0.9700453</v>
      </c>
      <c r="S4563">
        <v>1.3347469999999999</v>
      </c>
      <c r="T4563">
        <v>-0.29701860000000002</v>
      </c>
      <c r="U4563">
        <v>-2.870117</v>
      </c>
      <c r="V4563">
        <v>-0.14136969999999999</v>
      </c>
      <c r="W4563">
        <v>0.1539208</v>
      </c>
      <c r="X4563">
        <v>0.9779177</v>
      </c>
      <c r="Y4563">
        <v>-0.3659558</v>
      </c>
      <c r="Z4563">
        <v>9.4305879999999995E-2</v>
      </c>
      <c r="AA4563">
        <v>0.92584160000000004</v>
      </c>
      <c r="AB4563">
        <v>31</v>
      </c>
      <c r="AC4563">
        <v>4.97550000000001</v>
      </c>
      <c r="AD4563">
        <v>-1.1117096182485</v>
      </c>
      <c r="AE4563">
        <v>-10.43966</v>
      </c>
      <c r="AF4563">
        <v>-4.3154041314448097</v>
      </c>
      <c r="AG4563">
        <v>-1.1117096182485</v>
      </c>
      <c r="AH4563">
        <v>10.615151290823899</v>
      </c>
      <c r="AI4563">
        <v>95.541377012134603</v>
      </c>
      <c r="AJ4563">
        <v>112.123340766238</v>
      </c>
      <c r="AK4563">
        <v>11.5126038766248</v>
      </c>
      <c r="AL4563">
        <v>81.145788581684897</v>
      </c>
      <c r="AM4563">
        <v>98.225804706695996</v>
      </c>
      <c r="AN4563">
        <v>1.00000001636201</v>
      </c>
    </row>
    <row r="4564" spans="1:40" x14ac:dyDescent="0.25">
      <c r="A4564" t="str">
        <f>"20190312164602523"</f>
        <v>20190312164602523</v>
      </c>
      <c r="B4564" t="str">
        <f>"1552380362515735"</f>
        <v>1552380362515735</v>
      </c>
      <c r="C4564" t="s">
        <v>40</v>
      </c>
      <c r="D4564">
        <v>4.7053330000000004</v>
      </c>
      <c r="E4564">
        <v>0.4081323</v>
      </c>
      <c r="F4564" t="s">
        <v>52</v>
      </c>
      <c r="G4564">
        <v>-417.48820000000001</v>
      </c>
      <c r="H4564" s="1">
        <v>-8.9512549999999998E-7</v>
      </c>
      <c r="I4564">
        <v>39.239330000000002</v>
      </c>
      <c r="J4564">
        <v>-422.59660000000002</v>
      </c>
      <c r="K4564">
        <v>1.111713</v>
      </c>
      <c r="L4564">
        <v>49.743839999999999</v>
      </c>
      <c r="M4564">
        <v>6.2042390000000003E-2</v>
      </c>
      <c r="N4564">
        <v>0</v>
      </c>
      <c r="O4564">
        <v>-0.99797919999999996</v>
      </c>
      <c r="P4564">
        <v>0.20601249999999999</v>
      </c>
      <c r="Q4564">
        <v>0.14139499999999999</v>
      </c>
      <c r="R4564">
        <v>-0.96828060000000005</v>
      </c>
      <c r="S4564">
        <v>1.355591</v>
      </c>
      <c r="T4564">
        <v>-0.29372880000000001</v>
      </c>
      <c r="U4564">
        <v>-2.859467</v>
      </c>
      <c r="V4564">
        <v>-0.14656739999999999</v>
      </c>
      <c r="W4564">
        <v>0.15384539999999999</v>
      </c>
      <c r="X4564">
        <v>0.97716409999999998</v>
      </c>
      <c r="Y4564">
        <v>-0.36961480000000002</v>
      </c>
      <c r="Z4564">
        <v>9.3346310000000002E-2</v>
      </c>
      <c r="AA4564">
        <v>0.92448439999999998</v>
      </c>
      <c r="AB4564">
        <v>31</v>
      </c>
      <c r="AC4564">
        <v>5.1084000000000103</v>
      </c>
      <c r="AD4564">
        <v>-1.1117138951254999</v>
      </c>
      <c r="AE4564">
        <v>-10.50451</v>
      </c>
      <c r="AF4564">
        <v>-4.4068523943451998</v>
      </c>
      <c r="AG4564">
        <v>-1.1117138951254999</v>
      </c>
      <c r="AH4564">
        <v>10.704274921177801</v>
      </c>
      <c r="AI4564">
        <v>95.485679124070899</v>
      </c>
      <c r="AJ4564">
        <v>112.376518406256</v>
      </c>
      <c r="AK4564">
        <v>11.6291769871439</v>
      </c>
      <c r="AL4564">
        <v>81.150161007468</v>
      </c>
      <c r="AM4564">
        <v>98.530351868892197</v>
      </c>
      <c r="AN4564">
        <v>1.0000000440863599</v>
      </c>
    </row>
    <row r="4565" spans="1:40" x14ac:dyDescent="0.25">
      <c r="A4565" t="str">
        <f>"20190312164602544"</f>
        <v>20190312164602544</v>
      </c>
      <c r="B4565" t="str">
        <f>"1552380362536230"</f>
        <v>1552380362536230</v>
      </c>
      <c r="C4565" t="s">
        <v>40</v>
      </c>
      <c r="D4565">
        <v>4.5216349999999998</v>
      </c>
      <c r="E4565">
        <v>0.40916010000000003</v>
      </c>
      <c r="F4565" t="s">
        <v>52</v>
      </c>
      <c r="G4565">
        <v>-417.05169999999998</v>
      </c>
      <c r="H4565" s="1">
        <v>-1.6507689999999999E-6</v>
      </c>
      <c r="I4565">
        <v>38.233260000000001</v>
      </c>
      <c r="J4565">
        <v>-422.57499999999999</v>
      </c>
      <c r="K4565">
        <v>1.1117159999999999</v>
      </c>
      <c r="L4565">
        <v>49.450560000000003</v>
      </c>
      <c r="M4565">
        <v>6.5253060000000002E-2</v>
      </c>
      <c r="N4565">
        <v>0</v>
      </c>
      <c r="O4565">
        <v>-0.99777450000000001</v>
      </c>
      <c r="P4565">
        <v>0.214424</v>
      </c>
      <c r="Q4565">
        <v>0.14082939999999999</v>
      </c>
      <c r="R4565">
        <v>-0.96653500000000003</v>
      </c>
      <c r="S4565">
        <v>1.3713070000000001</v>
      </c>
      <c r="T4565">
        <v>-0.27493820000000002</v>
      </c>
      <c r="U4565">
        <v>-2.8466800000000001</v>
      </c>
      <c r="V4565">
        <v>-0.1519229</v>
      </c>
      <c r="W4565">
        <v>0.15323049999999999</v>
      </c>
      <c r="X4565">
        <v>0.97644249999999999</v>
      </c>
      <c r="Y4565">
        <v>-0.37260989999999999</v>
      </c>
      <c r="Z4565">
        <v>8.7596530000000006E-2</v>
      </c>
      <c r="AA4565">
        <v>0.92384449999999996</v>
      </c>
      <c r="AB4565">
        <v>31</v>
      </c>
      <c r="AC4565">
        <v>5.5232999999999999</v>
      </c>
      <c r="AD4565">
        <v>-1.1117176507690001</v>
      </c>
      <c r="AE4565">
        <v>-11.2173</v>
      </c>
      <c r="AF4565">
        <v>-4.7420059374021504</v>
      </c>
      <c r="AG4565">
        <v>-1.1117176507690001</v>
      </c>
      <c r="AH4565">
        <v>11.463211397973399</v>
      </c>
      <c r="AI4565">
        <v>95.120952563364895</v>
      </c>
      <c r="AJ4565">
        <v>112.47349424885</v>
      </c>
      <c r="AK4565">
        <v>12.4550291850326</v>
      </c>
      <c r="AL4565">
        <v>81.185815033478306</v>
      </c>
      <c r="AM4565">
        <v>98.843638975716701</v>
      </c>
      <c r="AN4565">
        <v>1.00000005474045</v>
      </c>
    </row>
    <row r="4566" spans="1:40" x14ac:dyDescent="0.25">
      <c r="A4566" t="str">
        <f>"20190312164602566"</f>
        <v>20190312164602566</v>
      </c>
      <c r="B4566" t="str">
        <f>"1552380362555754"</f>
        <v>1552380362555754</v>
      </c>
      <c r="C4566" t="s">
        <v>40</v>
      </c>
      <c r="D4566">
        <v>4.4865909999999998</v>
      </c>
      <c r="E4566">
        <v>0.41004429999999997</v>
      </c>
      <c r="F4566" t="s">
        <v>52</v>
      </c>
      <c r="G4566">
        <v>-416.65679999999998</v>
      </c>
      <c r="H4566" s="1">
        <v>-2.3107589999999999E-6</v>
      </c>
      <c r="I4566">
        <v>37.360230000000001</v>
      </c>
      <c r="J4566">
        <v>-422.55169999999998</v>
      </c>
      <c r="K4566">
        <v>1.1117319999999999</v>
      </c>
      <c r="L4566">
        <v>49.149259999999998</v>
      </c>
      <c r="M4566">
        <v>6.8590129999999999E-2</v>
      </c>
      <c r="N4566">
        <v>0</v>
      </c>
      <c r="O4566">
        <v>-0.99755070000000001</v>
      </c>
      <c r="P4566">
        <v>0.22314800000000001</v>
      </c>
      <c r="Q4566">
        <v>0.14080399999999901</v>
      </c>
      <c r="R4566">
        <v>-0.96456189999999997</v>
      </c>
      <c r="S4566">
        <v>1.3872679999999999</v>
      </c>
      <c r="T4566">
        <v>-0.2605962</v>
      </c>
      <c r="U4566">
        <v>-2.834076</v>
      </c>
      <c r="V4566">
        <v>-0.15749569999999999</v>
      </c>
      <c r="W4566">
        <v>0.15314759999999999</v>
      </c>
      <c r="X4566">
        <v>0.97557210000000005</v>
      </c>
      <c r="Y4566">
        <v>-0.37548280000000001</v>
      </c>
      <c r="Z4566">
        <v>8.3216589999999993E-2</v>
      </c>
      <c r="AA4566">
        <v>0.92308590000000001</v>
      </c>
      <c r="AB4566">
        <v>31</v>
      </c>
      <c r="AC4566">
        <v>5.8948999999999998</v>
      </c>
      <c r="AD4566">
        <v>-1.1117343107590001</v>
      </c>
      <c r="AE4566">
        <v>-11.789029999999901</v>
      </c>
      <c r="AF4566">
        <v>-5.0364968124893599</v>
      </c>
      <c r="AG4566">
        <v>-1.1117343107590001</v>
      </c>
      <c r="AH4566">
        <v>12.0796936304497</v>
      </c>
      <c r="AI4566">
        <v>94.855369226097494</v>
      </c>
      <c r="AJ4566">
        <v>112.633164773356</v>
      </c>
      <c r="AK4566">
        <v>13.1347345433953</v>
      </c>
      <c r="AL4566">
        <v>81.190621122578307</v>
      </c>
      <c r="AM4566">
        <v>99.170667524696</v>
      </c>
      <c r="AN4566">
        <v>1.00000000260133</v>
      </c>
    </row>
    <row r="4567" spans="1:40" x14ac:dyDescent="0.25">
      <c r="A4567" t="str">
        <f>"20190312164602583"</f>
        <v>20190312164602583</v>
      </c>
      <c r="B4567" t="str">
        <f>"1552380362576247"</f>
        <v>1552380362576247</v>
      </c>
      <c r="C4567" t="s">
        <v>40</v>
      </c>
      <c r="D4567">
        <v>4.4783920000000004</v>
      </c>
      <c r="E4567">
        <v>0.4108367</v>
      </c>
      <c r="F4567" t="s">
        <v>52</v>
      </c>
      <c r="G4567">
        <v>-416.24779999999998</v>
      </c>
      <c r="H4567" s="1">
        <v>-2.9778870000000002E-6</v>
      </c>
      <c r="I4567">
        <v>36.481879999999997</v>
      </c>
      <c r="J4567">
        <v>-422.5342</v>
      </c>
      <c r="K4567">
        <v>1.111756</v>
      </c>
      <c r="L4567">
        <v>48.931640000000002</v>
      </c>
      <c r="M4567">
        <v>7.1037920000000004E-2</v>
      </c>
      <c r="N4567">
        <v>0</v>
      </c>
      <c r="O4567">
        <v>-0.99737920000000002</v>
      </c>
      <c r="P4567">
        <v>0.22826389999999999</v>
      </c>
      <c r="Q4567">
        <v>0.14103479999999999</v>
      </c>
      <c r="R4567">
        <v>-0.96333029999999997</v>
      </c>
      <c r="S4567">
        <v>1.4041140000000001</v>
      </c>
      <c r="T4567">
        <v>-0.24762509999999999</v>
      </c>
      <c r="U4567">
        <v>-2.8215029999999999</v>
      </c>
      <c r="V4567">
        <v>-0.160297</v>
      </c>
      <c r="W4567">
        <v>0.15334410000000001</v>
      </c>
      <c r="X4567">
        <v>0.97508479999999997</v>
      </c>
      <c r="Y4567">
        <v>-0.37940190000000001</v>
      </c>
      <c r="Z4567">
        <v>7.9231850000000006E-2</v>
      </c>
      <c r="AA4567">
        <v>0.92183320000000002</v>
      </c>
      <c r="AB4567">
        <v>31</v>
      </c>
      <c r="AC4567">
        <v>6.2864000000000102</v>
      </c>
      <c r="AD4567">
        <v>-1.1117589778870001</v>
      </c>
      <c r="AE4567">
        <v>-12.449759999999999</v>
      </c>
      <c r="AF4567">
        <v>-5.3520184809172999</v>
      </c>
      <c r="AG4567">
        <v>-1.1117589778870001</v>
      </c>
      <c r="AH4567">
        <v>12.7836847182956</v>
      </c>
      <c r="AI4567">
        <v>94.586466499353406</v>
      </c>
      <c r="AJ4567">
        <v>112.717114666029</v>
      </c>
      <c r="AK4567">
        <v>13.903334305905799</v>
      </c>
      <c r="AL4567">
        <v>81.179227496234702</v>
      </c>
      <c r="AM4567">
        <v>99.335518402237099</v>
      </c>
      <c r="AN4567">
        <v>0.99999995420242305</v>
      </c>
    </row>
    <row r="4568" spans="1:40" x14ac:dyDescent="0.25">
      <c r="A4568" t="str">
        <f>"20190312164602600"</f>
        <v>20190312164602600</v>
      </c>
      <c r="B4568" t="str">
        <f>"1552380362595784"</f>
        <v>1552380362595784</v>
      </c>
      <c r="C4568" t="s">
        <v>40</v>
      </c>
      <c r="D4568">
        <v>4.4632209999999999</v>
      </c>
      <c r="E4568">
        <v>0.41152440000000001</v>
      </c>
      <c r="F4568" t="s">
        <v>52</v>
      </c>
      <c r="G4568">
        <v>-415.90359999999998</v>
      </c>
      <c r="H4568" s="1">
        <v>-3.4772459999999999E-6</v>
      </c>
      <c r="I4568">
        <v>35.71011</v>
      </c>
      <c r="J4568">
        <v>-422.5145</v>
      </c>
      <c r="K4568">
        <v>1.111796</v>
      </c>
      <c r="L4568">
        <v>48.694429999999997</v>
      </c>
      <c r="M4568">
        <v>7.3744569999999995E-2</v>
      </c>
      <c r="N4568">
        <v>0</v>
      </c>
      <c r="O4568">
        <v>-0.99718269999999998</v>
      </c>
      <c r="P4568">
        <v>0.23613590000000001</v>
      </c>
      <c r="Q4568">
        <v>0.14144370000000001</v>
      </c>
      <c r="R4568">
        <v>-0.96137090000000003</v>
      </c>
      <c r="S4568">
        <v>1.411438</v>
      </c>
      <c r="T4568">
        <v>-0.23665649999999999</v>
      </c>
      <c r="U4568">
        <v>-2.8144230000000001</v>
      </c>
      <c r="V4568">
        <v>-0.16565439999999901</v>
      </c>
      <c r="W4568">
        <v>0.153691299999999</v>
      </c>
      <c r="X4568">
        <v>0.97413430000000001</v>
      </c>
      <c r="Y4568">
        <v>-0.37985360000000001</v>
      </c>
      <c r="Z4568">
        <v>7.5842190000000004E-2</v>
      </c>
      <c r="AA4568">
        <v>0.92193230000000004</v>
      </c>
      <c r="AB4568">
        <v>31</v>
      </c>
      <c r="AC4568">
        <v>6.6109000000000098</v>
      </c>
      <c r="AD4568">
        <v>-1.111799477246</v>
      </c>
      <c r="AE4568">
        <v>-12.984319999999901</v>
      </c>
      <c r="AF4568">
        <v>-5.6026613575194597</v>
      </c>
      <c r="AG4568">
        <v>-1.111799477246</v>
      </c>
      <c r="AH4568">
        <v>13.3587416842064</v>
      </c>
      <c r="AI4568">
        <v>94.388826316535102</v>
      </c>
      <c r="AJ4568">
        <v>112.753195455206</v>
      </c>
      <c r="AK4568">
        <v>14.528657603164801</v>
      </c>
      <c r="AL4568">
        <v>81.159096300321494</v>
      </c>
      <c r="AM4568">
        <v>99.650993235059701</v>
      </c>
      <c r="AN4568">
        <v>1.00000001518577</v>
      </c>
    </row>
    <row r="4569" spans="1:40" x14ac:dyDescent="0.25">
      <c r="A4569" t="str">
        <f>"20190312164602624"</f>
        <v>20190312164602624</v>
      </c>
      <c r="B4569" t="str">
        <f>"1552380362616262"</f>
        <v>1552380362616262</v>
      </c>
      <c r="C4569" t="s">
        <v>40</v>
      </c>
      <c r="D4569">
        <v>4.4249049999999999</v>
      </c>
      <c r="E4569">
        <v>0.41194960000000003</v>
      </c>
      <c r="F4569" t="s">
        <v>52</v>
      </c>
      <c r="G4569">
        <v>-415.57299999999998</v>
      </c>
      <c r="H4569" s="1">
        <v>-3.9087310000000002E-6</v>
      </c>
      <c r="I4569">
        <v>35.055230000000002</v>
      </c>
      <c r="J4569">
        <v>-422.48689999999999</v>
      </c>
      <c r="K4569">
        <v>1.1118570000000001</v>
      </c>
      <c r="L4569">
        <v>48.374760000000002</v>
      </c>
      <c r="M4569">
        <v>7.7465729999999997E-2</v>
      </c>
      <c r="N4569">
        <v>0</v>
      </c>
      <c r="O4569">
        <v>-0.99690069999999997</v>
      </c>
      <c r="P4569">
        <v>0.24464340000000001</v>
      </c>
      <c r="Q4569">
        <v>0.14118039999999901</v>
      </c>
      <c r="R4569">
        <v>-0.95928009999999997</v>
      </c>
      <c r="S4569">
        <v>1.4269099999999999</v>
      </c>
      <c r="T4569">
        <v>-0.22854459999999999</v>
      </c>
      <c r="U4569">
        <v>-2.8037109999999998</v>
      </c>
      <c r="V4569">
        <v>-0.17067209999999999</v>
      </c>
      <c r="W4569">
        <v>0.15336150000000001</v>
      </c>
      <c r="X4569">
        <v>0.97331970000000001</v>
      </c>
      <c r="Y4569">
        <v>-0.38194679999999998</v>
      </c>
      <c r="Z4569">
        <v>7.3355600000000007E-2</v>
      </c>
      <c r="AA4569">
        <v>0.92126850000000005</v>
      </c>
      <c r="AB4569">
        <v>31</v>
      </c>
      <c r="AC4569">
        <v>6.9138999999999502</v>
      </c>
      <c r="AD4569">
        <v>-1.1118609087310001</v>
      </c>
      <c r="AE4569">
        <v>-13.319529999999901</v>
      </c>
      <c r="AF4569">
        <v>-5.8292179926800198</v>
      </c>
      <c r="AG4569">
        <v>-1.1118609087310001</v>
      </c>
      <c r="AH4569">
        <v>13.7397180002231</v>
      </c>
      <c r="AI4569">
        <v>94.260429472295002</v>
      </c>
      <c r="AJ4569">
        <v>112.989588710493</v>
      </c>
      <c r="AK4569">
        <v>14.966491499753801</v>
      </c>
      <c r="AL4569">
        <v>81.178218817957699</v>
      </c>
      <c r="AM4569">
        <v>99.945730001048503</v>
      </c>
      <c r="AN4569">
        <v>0.99999997690437403</v>
      </c>
    </row>
    <row r="4570" spans="1:40" x14ac:dyDescent="0.25">
      <c r="A4570" t="str">
        <f>"20190312164602645"</f>
        <v>20190312164602645</v>
      </c>
      <c r="B4570" t="str">
        <f>"1552380362635783"</f>
        <v>1552380362635783</v>
      </c>
      <c r="C4570" t="s">
        <v>40</v>
      </c>
      <c r="D4570">
        <v>4.360862</v>
      </c>
      <c r="E4570">
        <v>0.41142289999999998</v>
      </c>
      <c r="F4570" t="s">
        <v>52</v>
      </c>
      <c r="G4570">
        <v>-415.16120000000001</v>
      </c>
      <c r="H4570" s="1">
        <v>-4.4206039999999998E-6</v>
      </c>
      <c r="I4570">
        <v>34.262079999999997</v>
      </c>
      <c r="J4570">
        <v>-422.4606</v>
      </c>
      <c r="K4570">
        <v>1.111928</v>
      </c>
      <c r="L4570">
        <v>48.083069999999999</v>
      </c>
      <c r="M4570">
        <v>8.0945920000000005E-2</v>
      </c>
      <c r="N4570">
        <v>0</v>
      </c>
      <c r="O4570">
        <v>-0.99662410000000001</v>
      </c>
      <c r="P4570">
        <v>0.2533724</v>
      </c>
      <c r="Q4570">
        <v>0.14069489999999901</v>
      </c>
      <c r="R4570">
        <v>-0.95708300000000002</v>
      </c>
      <c r="S4570">
        <v>1.4484250000000001</v>
      </c>
      <c r="T4570">
        <v>-0.2198339</v>
      </c>
      <c r="U4570">
        <v>-2.790314</v>
      </c>
      <c r="V4570">
        <v>-0.17616180000000001</v>
      </c>
      <c r="W4570">
        <v>0.15280260000000001</v>
      </c>
      <c r="X4570">
        <v>0.97242910000000005</v>
      </c>
      <c r="Y4570">
        <v>-0.38620700000000002</v>
      </c>
      <c r="Z4570">
        <v>7.0662459999999996E-2</v>
      </c>
      <c r="AA4570">
        <v>0.91970160000000001</v>
      </c>
      <c r="AB4570">
        <v>31</v>
      </c>
      <c r="AC4570">
        <v>7.2993999999999897</v>
      </c>
      <c r="AD4570">
        <v>-1.111932420604</v>
      </c>
      <c r="AE4570">
        <v>-13.82099</v>
      </c>
      <c r="AF4570">
        <v>-6.1255832138173796</v>
      </c>
      <c r="AG4570">
        <v>-1.111932420604</v>
      </c>
      <c r="AH4570">
        <v>14.294197910252</v>
      </c>
      <c r="AI4570">
        <v>94.089708450986606</v>
      </c>
      <c r="AJ4570">
        <v>113.19689188602</v>
      </c>
      <c r="AK4570">
        <v>15.5911275190361</v>
      </c>
      <c r="AL4570">
        <v>81.210623433871405</v>
      </c>
      <c r="AM4570">
        <v>100.26814081339499</v>
      </c>
      <c r="AN4570">
        <v>0.99999998443640403</v>
      </c>
    </row>
    <row r="4571" spans="1:40" x14ac:dyDescent="0.25">
      <c r="A4571" t="str">
        <f>"20190312164602667"</f>
        <v>20190312164602667</v>
      </c>
      <c r="B4571" t="str">
        <f>"1552380362656279"</f>
        <v>1552380362656279</v>
      </c>
      <c r="C4571" t="s">
        <v>40</v>
      </c>
      <c r="D4571">
        <v>4.3490659999999997</v>
      </c>
      <c r="E4571">
        <v>0.41095799999999999</v>
      </c>
      <c r="F4571" t="s">
        <v>52</v>
      </c>
      <c r="G4571">
        <v>-415.16640000000001</v>
      </c>
      <c r="H4571" s="1">
        <v>-4.3562319999999999E-6</v>
      </c>
      <c r="I4571">
        <v>34.386150000000001</v>
      </c>
      <c r="J4571">
        <v>-422.43290000000002</v>
      </c>
      <c r="K4571">
        <v>1.111996</v>
      </c>
      <c r="L4571">
        <v>47.788020000000003</v>
      </c>
      <c r="M4571">
        <v>8.456379E-2</v>
      </c>
      <c r="N4571">
        <v>0</v>
      </c>
      <c r="O4571">
        <v>-0.99632359999999998</v>
      </c>
      <c r="P4571">
        <v>0.26202900000000001</v>
      </c>
      <c r="Q4571">
        <v>0.1402157</v>
      </c>
      <c r="R4571">
        <v>-0.95482</v>
      </c>
      <c r="S4571">
        <v>1.478485</v>
      </c>
      <c r="T4571">
        <v>-0.225379</v>
      </c>
      <c r="U4571">
        <v>-2.7762449999999999</v>
      </c>
      <c r="V4571">
        <v>-0.18146010000000001</v>
      </c>
      <c r="W4571">
        <v>0.15224660000000001</v>
      </c>
      <c r="X4571">
        <v>0.97154169999999995</v>
      </c>
      <c r="Y4571">
        <v>-0.39248690000000003</v>
      </c>
      <c r="Z4571">
        <v>7.2452859999999994E-2</v>
      </c>
      <c r="AA4571">
        <v>0.91689940000000003</v>
      </c>
      <c r="AB4571">
        <v>31</v>
      </c>
      <c r="AC4571">
        <v>7.2664999999999997</v>
      </c>
      <c r="AD4571">
        <v>-1.112000356232</v>
      </c>
      <c r="AE4571">
        <v>-13.401870000000001</v>
      </c>
      <c r="AF4571">
        <v>-6.0747268908215899</v>
      </c>
      <c r="AG4571">
        <v>-1.112000356232</v>
      </c>
      <c r="AH4571">
        <v>13.8944716819733</v>
      </c>
      <c r="AI4571">
        <v>94.193977101365206</v>
      </c>
      <c r="AJ4571">
        <v>113.61516999348</v>
      </c>
      <c r="AK4571">
        <v>15.2051042387578</v>
      </c>
      <c r="AL4571">
        <v>81.242857477849398</v>
      </c>
      <c r="AM4571">
        <v>100.579544082057</v>
      </c>
      <c r="AN4571">
        <v>1.0000000349712199</v>
      </c>
    </row>
    <row r="4572" spans="1:40" x14ac:dyDescent="0.25">
      <c r="A4572" t="str">
        <f>"20190312164602691"</f>
        <v>20190312164602691</v>
      </c>
      <c r="B4572" t="str">
        <f>"1552380362686535"</f>
        <v>1552380362686535</v>
      </c>
      <c r="C4572" t="s">
        <v>40</v>
      </c>
      <c r="D4572">
        <v>4.3275959999999998</v>
      </c>
      <c r="E4572">
        <v>0.41053729999999999</v>
      </c>
      <c r="F4572" t="s">
        <v>52</v>
      </c>
      <c r="G4572">
        <v>-415.209</v>
      </c>
      <c r="H4572" s="1">
        <v>-4.2613329999999996E-6</v>
      </c>
      <c r="I4572">
        <v>34.553840000000001</v>
      </c>
      <c r="J4572">
        <v>-422.40269999999998</v>
      </c>
      <c r="K4572">
        <v>1.1120779999999999</v>
      </c>
      <c r="L4572">
        <v>47.480800000000002</v>
      </c>
      <c r="M4572">
        <v>8.8455329999999999E-2</v>
      </c>
      <c r="N4572">
        <v>0</v>
      </c>
      <c r="O4572">
        <v>-0.99598540000000002</v>
      </c>
      <c r="P4572">
        <v>0.27285710000000002</v>
      </c>
      <c r="Q4572">
        <v>0.1409822</v>
      </c>
      <c r="R4572">
        <v>-0.95166859999999998</v>
      </c>
      <c r="S4572">
        <v>1.507782</v>
      </c>
      <c r="T4572">
        <v>-0.23209930000000001</v>
      </c>
      <c r="U4572">
        <v>-2.7622680000000002</v>
      </c>
      <c r="V4572">
        <v>-0.18875510000000001</v>
      </c>
      <c r="W4572">
        <v>0.15290580000000001</v>
      </c>
      <c r="X4572">
        <v>0.97004710000000005</v>
      </c>
      <c r="Y4572">
        <v>-0.39826040000000001</v>
      </c>
      <c r="Z4572">
        <v>7.4619309999999994E-2</v>
      </c>
      <c r="AA4572">
        <v>0.9142323</v>
      </c>
      <c r="AB4572">
        <v>31</v>
      </c>
      <c r="AC4572">
        <v>7.1936999999999696</v>
      </c>
      <c r="AD4572">
        <v>-1.1120822613329999</v>
      </c>
      <c r="AE4572">
        <v>-12.926959999999999</v>
      </c>
      <c r="AF4572">
        <v>-5.9880919753113</v>
      </c>
      <c r="AG4572">
        <v>-1.1120822613329999</v>
      </c>
      <c r="AH4572">
        <v>13.436730407562701</v>
      </c>
      <c r="AI4572">
        <v>94.323173440485306</v>
      </c>
      <c r="AJ4572">
        <v>114.02018937424501</v>
      </c>
      <c r="AK4572">
        <v>14.752616598633599</v>
      </c>
      <c r="AL4572">
        <v>81.204640548106994</v>
      </c>
      <c r="AM4572">
        <v>101.01121428181899</v>
      </c>
      <c r="AN4572">
        <v>1.0000000238340201</v>
      </c>
    </row>
    <row r="4573" spans="1:40" x14ac:dyDescent="0.25">
      <c r="A4573" t="str">
        <f>"20190312164602724"</f>
        <v>20190312164602724</v>
      </c>
      <c r="B4573" t="str">
        <f>"1552380362715814"</f>
        <v>1552380362715814</v>
      </c>
      <c r="C4573" t="s">
        <v>40</v>
      </c>
      <c r="D4573">
        <v>4.2520709999999999</v>
      </c>
      <c r="E4573">
        <v>0.41043619999999997</v>
      </c>
      <c r="F4573" t="s">
        <v>41</v>
      </c>
      <c r="G4573">
        <v>-421.87569999999999</v>
      </c>
      <c r="H4573">
        <v>1.03165</v>
      </c>
      <c r="I4573">
        <v>46.54251</v>
      </c>
      <c r="J4573">
        <v>-422.3546</v>
      </c>
      <c r="K4573">
        <v>1.1122160000000001</v>
      </c>
      <c r="L4573">
        <v>47.017879999999998</v>
      </c>
      <c r="M4573">
        <v>9.4577460000000002E-2</v>
      </c>
      <c r="N4573">
        <v>0</v>
      </c>
      <c r="O4573">
        <v>-0.99542280000000005</v>
      </c>
      <c r="P4573">
        <v>0.28482200000000002</v>
      </c>
      <c r="Q4573">
        <v>0.14218329999999901</v>
      </c>
      <c r="R4573">
        <v>-0.94797739999999997</v>
      </c>
      <c r="S4573">
        <v>1.5421450000000001</v>
      </c>
      <c r="T4573">
        <v>-0.2353007</v>
      </c>
      <c r="U4573">
        <v>-2.7450559999999999</v>
      </c>
      <c r="V4573">
        <v>-0.19509570000000001</v>
      </c>
      <c r="W4573">
        <v>0.1539806</v>
      </c>
      <c r="X4573">
        <v>0.96862150000000002</v>
      </c>
      <c r="Y4573">
        <v>-0.4037307</v>
      </c>
      <c r="Z4573">
        <v>7.5680090000000005E-2</v>
      </c>
      <c r="AA4573">
        <v>0.91174230000000001</v>
      </c>
      <c r="AB4573">
        <v>30</v>
      </c>
      <c r="AC4573">
        <v>0.47890000000000998</v>
      </c>
      <c r="AD4573">
        <v>-8.0566000000000096E-2</v>
      </c>
      <c r="AE4573">
        <v>-0.47536999999999802</v>
      </c>
      <c r="AF4573">
        <v>-0.42572050548901502</v>
      </c>
      <c r="AG4573">
        <v>-8.0566000000000096E-2</v>
      </c>
      <c r="AH4573">
        <v>0.51124802925455803</v>
      </c>
      <c r="AI4573">
        <v>96.904830215796494</v>
      </c>
      <c r="AJ4573">
        <v>129.78443164254199</v>
      </c>
      <c r="AK4573">
        <v>0.67015175637052005</v>
      </c>
      <c r="AL4573">
        <v>81.142320664162597</v>
      </c>
      <c r="AM4573">
        <v>101.38791204370899</v>
      </c>
      <c r="AN4573">
        <v>0.99999998379854904</v>
      </c>
    </row>
    <row r="4574" spans="1:40" x14ac:dyDescent="0.25">
      <c r="A4574" t="str">
        <f>"20190312164602745"</f>
        <v>20190312164602745</v>
      </c>
      <c r="B4574" t="str">
        <f>"1552380362736311"</f>
        <v>1552380362736311</v>
      </c>
      <c r="C4574" t="s">
        <v>40</v>
      </c>
      <c r="D4574">
        <v>4.2326699999999997</v>
      </c>
      <c r="E4574">
        <v>0.41040969999999999</v>
      </c>
      <c r="F4574" t="s">
        <v>52</v>
      </c>
      <c r="G4574">
        <v>-414.82870000000003</v>
      </c>
      <c r="H4574" s="1">
        <v>-4.6152600000000003E-6</v>
      </c>
      <c r="I4574">
        <v>34.024709999999999</v>
      </c>
      <c r="J4574">
        <v>-422.32389999999998</v>
      </c>
      <c r="K4574">
        <v>1.112295</v>
      </c>
      <c r="L4574">
        <v>46.736939999999997</v>
      </c>
      <c r="M4574">
        <v>9.8422709999999997E-2</v>
      </c>
      <c r="N4574">
        <v>0</v>
      </c>
      <c r="O4574">
        <v>-0.99504970000000004</v>
      </c>
      <c r="P4574">
        <v>0.29193570000000002</v>
      </c>
      <c r="Q4574">
        <v>0.14169289999999901</v>
      </c>
      <c r="R4574">
        <v>-0.94588419999999895</v>
      </c>
      <c r="S4574">
        <v>1.578552</v>
      </c>
      <c r="T4574">
        <v>-0.23329030000000001</v>
      </c>
      <c r="U4574">
        <v>-2.7253419999999999</v>
      </c>
      <c r="V4574">
        <v>-0.1986559</v>
      </c>
      <c r="W4574">
        <v>0.1534171</v>
      </c>
      <c r="X4574">
        <v>0.96798709999999999</v>
      </c>
      <c r="Y4574">
        <v>-0.4121881</v>
      </c>
      <c r="Z4574">
        <v>7.5083090000000005E-2</v>
      </c>
      <c r="AA4574">
        <v>0.90799969999999997</v>
      </c>
      <c r="AB4574">
        <v>30</v>
      </c>
      <c r="AC4574">
        <v>7.4951999999999499</v>
      </c>
      <c r="AD4574">
        <v>-1.11229961526</v>
      </c>
      <c r="AE4574">
        <v>-12.71223</v>
      </c>
      <c r="AF4574">
        <v>-6.1724453064773996</v>
      </c>
      <c r="AG4574">
        <v>-1.11229961526</v>
      </c>
      <c r="AH4574">
        <v>13.312634601021999</v>
      </c>
      <c r="AI4574">
        <v>94.334780844720299</v>
      </c>
      <c r="AJ4574">
        <v>114.874946731422</v>
      </c>
      <c r="AK4574">
        <v>14.716063723560399</v>
      </c>
      <c r="AL4574">
        <v>81.174995222359399</v>
      </c>
      <c r="AM4574">
        <v>101.597539760887</v>
      </c>
      <c r="AN4574">
        <v>0.99999999947181495</v>
      </c>
    </row>
    <row r="4575" spans="1:40" x14ac:dyDescent="0.25">
      <c r="A4575" t="str">
        <f>"20190312164602767"</f>
        <v>20190312164602767</v>
      </c>
      <c r="B4575" t="str">
        <f>"1552380362755831"</f>
        <v>1552380362755831</v>
      </c>
      <c r="C4575" t="s">
        <v>40</v>
      </c>
      <c r="D4575">
        <v>4.2779959999999999</v>
      </c>
      <c r="E4575">
        <v>0.41042610000000002</v>
      </c>
      <c r="F4575" t="s">
        <v>52</v>
      </c>
      <c r="G4575">
        <v>-414.78739999999999</v>
      </c>
      <c r="H4575" s="1">
        <v>-4.6604819999999996E-6</v>
      </c>
      <c r="I4575">
        <v>33.953940000000003</v>
      </c>
      <c r="J4575">
        <v>-422.28969999999998</v>
      </c>
      <c r="K4575">
        <v>1.1123829999999999</v>
      </c>
      <c r="L4575">
        <v>46.436860000000003</v>
      </c>
      <c r="M4575">
        <v>0.1026653</v>
      </c>
      <c r="N4575">
        <v>0</v>
      </c>
      <c r="O4575">
        <v>-0.99462099999999998</v>
      </c>
      <c r="P4575">
        <v>0.2989598</v>
      </c>
      <c r="Q4575">
        <v>0.14039489999999999</v>
      </c>
      <c r="R4575">
        <v>-0.94388190000000005</v>
      </c>
      <c r="S4575">
        <v>1.5996699999999999</v>
      </c>
      <c r="T4575">
        <v>-0.2360939</v>
      </c>
      <c r="U4575">
        <v>-2.7132869999999998</v>
      </c>
      <c r="V4575">
        <v>-0.20173489999999999</v>
      </c>
      <c r="W4575">
        <v>0.15204619999999999</v>
      </c>
      <c r="X4575">
        <v>0.9675665</v>
      </c>
      <c r="Y4575">
        <v>-0.4152768</v>
      </c>
      <c r="Z4575">
        <v>7.602478E-2</v>
      </c>
      <c r="AA4575">
        <v>0.90651280000000001</v>
      </c>
      <c r="AB4575">
        <v>30</v>
      </c>
      <c r="AC4575">
        <v>7.5022999999999902</v>
      </c>
      <c r="AD4575">
        <v>-1.112387660482</v>
      </c>
      <c r="AE4575">
        <v>-12.482919999999901</v>
      </c>
      <c r="AF4575">
        <v>-6.1451165055688799</v>
      </c>
      <c r="AG4575">
        <v>-1.112387660482</v>
      </c>
      <c r="AH4575">
        <v>13.110759583256201</v>
      </c>
      <c r="AI4575">
        <v>94.393134357748593</v>
      </c>
      <c r="AJ4575">
        <v>115.11285692836501</v>
      </c>
      <c r="AK4575">
        <v>14.522116926403999</v>
      </c>
      <c r="AL4575">
        <v>81.254474266752794</v>
      </c>
      <c r="AM4575">
        <v>101.777286609897</v>
      </c>
      <c r="AN4575">
        <v>0.999999974367349</v>
      </c>
    </row>
    <row r="4576" spans="1:40" x14ac:dyDescent="0.25">
      <c r="A4576" t="str">
        <f>"20190312164602790"</f>
        <v>20190312164602790</v>
      </c>
      <c r="B4576" t="str">
        <f>"1552380362786087"</f>
        <v>1552380362786087</v>
      </c>
      <c r="C4576" t="s">
        <v>40</v>
      </c>
      <c r="D4576">
        <v>4.3335379999999999</v>
      </c>
      <c r="E4576">
        <v>0.41061009999999998</v>
      </c>
      <c r="F4576" t="s">
        <v>52</v>
      </c>
      <c r="G4576">
        <v>-414.81599999999997</v>
      </c>
      <c r="H4576" s="1">
        <v>-4.6451709999999998E-6</v>
      </c>
      <c r="I4576">
        <v>33.97157</v>
      </c>
      <c r="J4576">
        <v>-422.25409999999999</v>
      </c>
      <c r="K4576">
        <v>1.11249</v>
      </c>
      <c r="L4576">
        <v>46.136380000000003</v>
      </c>
      <c r="M4576">
        <v>0.10707999999999999</v>
      </c>
      <c r="N4576">
        <v>0</v>
      </c>
      <c r="O4576">
        <v>-0.99415540000000002</v>
      </c>
      <c r="P4576">
        <v>0.30517820000000001</v>
      </c>
      <c r="Q4576">
        <v>0.13860239999999999</v>
      </c>
      <c r="R4576">
        <v>-0.94215510000000002</v>
      </c>
      <c r="S4576">
        <v>1.6195679999999999</v>
      </c>
      <c r="T4576">
        <v>-0.24105470000000001</v>
      </c>
      <c r="U4576">
        <v>-2.7012330000000002</v>
      </c>
      <c r="V4576">
        <v>-0.20382169999999999</v>
      </c>
      <c r="W4576">
        <v>0.15018529999999999</v>
      </c>
      <c r="X4576">
        <v>0.96741980000000005</v>
      </c>
      <c r="Y4576">
        <v>-0.41786990000000002</v>
      </c>
      <c r="Z4576">
        <v>7.7668119999999993E-2</v>
      </c>
      <c r="AA4576">
        <v>0.90518089999999995</v>
      </c>
      <c r="AB4576">
        <v>30</v>
      </c>
      <c r="AC4576">
        <v>7.4381000000000101</v>
      </c>
      <c r="AD4576">
        <v>-1.1124946451710001</v>
      </c>
      <c r="AE4576">
        <v>-12.1648099999999</v>
      </c>
      <c r="AF4576">
        <v>-6.0557304658462696</v>
      </c>
      <c r="AG4576">
        <v>-1.1124946451710001</v>
      </c>
      <c r="AH4576">
        <v>12.813399015864499</v>
      </c>
      <c r="AI4576">
        <v>94.488378946342095</v>
      </c>
      <c r="AJ4576">
        <v>115.295849725728</v>
      </c>
      <c r="AK4576">
        <v>14.215931561113701</v>
      </c>
      <c r="AL4576">
        <v>81.362334795622402</v>
      </c>
      <c r="AM4576">
        <v>101.897412569068</v>
      </c>
      <c r="AN4576">
        <v>0.99999998957950997</v>
      </c>
    </row>
    <row r="4577" spans="1:40" x14ac:dyDescent="0.25">
      <c r="A4577" t="str">
        <f>"20190312164602813"</f>
        <v>20190312164602813</v>
      </c>
      <c r="B4577" t="str">
        <f>"1552380362806582"</f>
        <v>1552380362806582</v>
      </c>
      <c r="C4577" t="s">
        <v>40</v>
      </c>
      <c r="D4577">
        <v>4.3002129999999896</v>
      </c>
      <c r="E4577">
        <v>0.41106690000000001</v>
      </c>
      <c r="F4577" t="s">
        <v>41</v>
      </c>
      <c r="G4577">
        <v>-421.69409999999999</v>
      </c>
      <c r="H4577">
        <v>1.0264279999999999</v>
      </c>
      <c r="I4577">
        <v>45.214959999999998</v>
      </c>
      <c r="J4577">
        <v>-422.21519999999998</v>
      </c>
      <c r="K4577">
        <v>1.1126199999999999</v>
      </c>
      <c r="L4577">
        <v>45.822539999999996</v>
      </c>
      <c r="M4577">
        <v>0.1118726</v>
      </c>
      <c r="N4577">
        <v>0</v>
      </c>
      <c r="O4577">
        <v>-0.99362729999999999</v>
      </c>
      <c r="P4577">
        <v>0.31136029999999998</v>
      </c>
      <c r="Q4577">
        <v>0.13734839999999901</v>
      </c>
      <c r="R4577">
        <v>-0.94031379999999998</v>
      </c>
      <c r="S4577">
        <v>1.6357120000000001</v>
      </c>
      <c r="T4577">
        <v>-0.25137359999999997</v>
      </c>
      <c r="U4577">
        <v>-2.6913450000000001</v>
      </c>
      <c r="V4577">
        <v>-0.2055294</v>
      </c>
      <c r="W4577">
        <v>0.14885860000000001</v>
      </c>
      <c r="X4577">
        <v>0.9672636</v>
      </c>
      <c r="Y4577">
        <v>-0.41879460000000002</v>
      </c>
      <c r="Z4577">
        <v>8.1022369999999996E-2</v>
      </c>
      <c r="AA4577">
        <v>0.90445920000000002</v>
      </c>
      <c r="AB4577">
        <v>30</v>
      </c>
      <c r="AC4577">
        <v>0.52109999999998902</v>
      </c>
      <c r="AD4577">
        <v>-8.6192000000000005E-2</v>
      </c>
      <c r="AE4577">
        <v>-0.607580000000005</v>
      </c>
      <c r="AF4577">
        <v>-0.44469387787761699</v>
      </c>
      <c r="AG4577">
        <v>-8.6192000000000005E-2</v>
      </c>
      <c r="AH4577">
        <v>0.65447871383451905</v>
      </c>
      <c r="AI4577">
        <v>96.216708346918494</v>
      </c>
      <c r="AJ4577">
        <v>124.194646077976</v>
      </c>
      <c r="AK4577">
        <v>0.79594226722063199</v>
      </c>
      <c r="AL4577">
        <v>81.439213824117303</v>
      </c>
      <c r="AM4577">
        <v>101.99609932864701</v>
      </c>
      <c r="AN4577">
        <v>1.0000000444716299</v>
      </c>
    </row>
    <row r="4578" spans="1:40" x14ac:dyDescent="0.25">
      <c r="A4578" t="str">
        <f>"20190312164602834"</f>
        <v>20190312164602834</v>
      </c>
      <c r="B4578" t="str">
        <f>"1552380362826103"</f>
        <v>1552380362826103</v>
      </c>
      <c r="C4578" t="s">
        <v>40</v>
      </c>
      <c r="D4578">
        <v>4.3942750000000004</v>
      </c>
      <c r="E4578">
        <v>0.4114969</v>
      </c>
      <c r="F4578" t="s">
        <v>41</v>
      </c>
      <c r="G4578">
        <v>-421.6746</v>
      </c>
      <c r="H4578">
        <v>1.0308010000000001</v>
      </c>
      <c r="I4578">
        <v>44.944049999999997</v>
      </c>
      <c r="J4578">
        <v>-422.17790000000002</v>
      </c>
      <c r="K4578">
        <v>1.1127279999999999</v>
      </c>
      <c r="L4578">
        <v>45.533909999999999</v>
      </c>
      <c r="M4578">
        <v>0.1164095</v>
      </c>
      <c r="N4578">
        <v>0</v>
      </c>
      <c r="O4578">
        <v>-0.99310580000000004</v>
      </c>
      <c r="P4578">
        <v>0.31660650000000001</v>
      </c>
      <c r="Q4578">
        <v>0.13594329999999999</v>
      </c>
      <c r="R4578">
        <v>-0.93876519999999997</v>
      </c>
      <c r="S4578">
        <v>1.6501159999999999</v>
      </c>
      <c r="T4578">
        <v>-0.249662</v>
      </c>
      <c r="U4578">
        <v>-2.6805110000000001</v>
      </c>
      <c r="V4578">
        <v>-0.2065187</v>
      </c>
      <c r="W4578">
        <v>0.14739579999999999</v>
      </c>
      <c r="X4578">
        <v>0.9672769</v>
      </c>
      <c r="Y4578">
        <v>-0.41982370000000002</v>
      </c>
      <c r="Z4578">
        <v>8.0561229999999998E-2</v>
      </c>
      <c r="AA4578">
        <v>0.90402320000000003</v>
      </c>
      <c r="AB4578">
        <v>30</v>
      </c>
      <c r="AC4578">
        <v>0.50330000000002395</v>
      </c>
      <c r="AD4578">
        <v>-8.1927E-2</v>
      </c>
      <c r="AE4578">
        <v>-0.58986000000000105</v>
      </c>
      <c r="AF4578">
        <v>-0.42644510394977497</v>
      </c>
      <c r="AG4578">
        <v>-8.1927E-2</v>
      </c>
      <c r="AH4578">
        <v>0.637328570395709</v>
      </c>
      <c r="AI4578">
        <v>96.098188387962097</v>
      </c>
      <c r="AJ4578">
        <v>123.787011913184</v>
      </c>
      <c r="AK4578">
        <v>0.77120371281158495</v>
      </c>
      <c r="AL4578">
        <v>81.523961031278802</v>
      </c>
      <c r="AM4578">
        <v>102.05199634337001</v>
      </c>
      <c r="AN4578">
        <v>1.0000000482904601</v>
      </c>
    </row>
    <row r="4579" spans="1:40" x14ac:dyDescent="0.25">
      <c r="A4579" t="str">
        <f>"20190312164602857"</f>
        <v>20190312164602857</v>
      </c>
      <c r="B4579" t="str">
        <f>"1552380362846599"</f>
        <v>1552380362846599</v>
      </c>
      <c r="C4579" t="s">
        <v>40</v>
      </c>
      <c r="D4579">
        <v>4.4929750000000004</v>
      </c>
      <c r="E4579">
        <v>0.41181269999999998</v>
      </c>
      <c r="F4579" t="s">
        <v>41</v>
      </c>
      <c r="G4579">
        <v>-421.64389999999997</v>
      </c>
      <c r="H4579">
        <v>1.0326799999999901</v>
      </c>
      <c r="I4579">
        <v>44.675870000000003</v>
      </c>
      <c r="J4579">
        <v>-422.13830000000002</v>
      </c>
      <c r="K4579">
        <v>1.1128359999999999</v>
      </c>
      <c r="L4579">
        <v>45.238799999999998</v>
      </c>
      <c r="M4579">
        <v>0.12119240000000001</v>
      </c>
      <c r="N4579">
        <v>0</v>
      </c>
      <c r="O4579">
        <v>-0.99253349999999996</v>
      </c>
      <c r="P4579">
        <v>0.32207180000000002</v>
      </c>
      <c r="Q4579">
        <v>0.13452990000000001</v>
      </c>
      <c r="R4579">
        <v>-0.93710839999999995</v>
      </c>
      <c r="S4579">
        <v>1.6621090000000001</v>
      </c>
      <c r="T4579">
        <v>-0.24919759999999999</v>
      </c>
      <c r="U4579">
        <v>-2.6712039999999999</v>
      </c>
      <c r="V4579">
        <v>-0.20749919999999999</v>
      </c>
      <c r="W4579">
        <v>0.145925</v>
      </c>
      <c r="X4579">
        <v>0.96728999999999998</v>
      </c>
      <c r="Y4579">
        <v>-0.41979460000000002</v>
      </c>
      <c r="Z4579">
        <v>8.0491080000000007E-2</v>
      </c>
      <c r="AA4579">
        <v>0.90404300000000004</v>
      </c>
      <c r="AB4579">
        <v>30</v>
      </c>
      <c r="AC4579">
        <v>0.49440000000004097</v>
      </c>
      <c r="AD4579">
        <v>-8.0156000000000296E-2</v>
      </c>
      <c r="AE4579">
        <v>-0.56292999999999405</v>
      </c>
      <c r="AF4579">
        <v>-0.41774422010176698</v>
      </c>
      <c r="AG4579">
        <v>-8.0156000000000296E-2</v>
      </c>
      <c r="AH4579">
        <v>0.61170143674982902</v>
      </c>
      <c r="AI4579">
        <v>96.176024018343497</v>
      </c>
      <c r="AJ4579">
        <v>124.330019017856</v>
      </c>
      <c r="AK4579">
        <v>0.74505963887882098</v>
      </c>
      <c r="AL4579">
        <v>81.609152310945902</v>
      </c>
      <c r="AM4579">
        <v>102.107372654519</v>
      </c>
      <c r="AN4579">
        <v>0.99999998386281896</v>
      </c>
    </row>
    <row r="4580" spans="1:40" x14ac:dyDescent="0.25">
      <c r="A4580" t="str">
        <f>"20190312164602879"</f>
        <v>20190312164602879</v>
      </c>
      <c r="B4580" t="str">
        <f>"1552380362875878"</f>
        <v>1552380362875878</v>
      </c>
      <c r="C4580" t="s">
        <v>40</v>
      </c>
      <c r="D4580">
        <v>4.5412980000000003</v>
      </c>
      <c r="E4580">
        <v>0.46752290000000002</v>
      </c>
      <c r="F4580" t="s">
        <v>41</v>
      </c>
      <c r="G4580">
        <v>-421.59660000000002</v>
      </c>
      <c r="H4580">
        <v>1.0308280000000001</v>
      </c>
      <c r="I4580">
        <v>44.377600000000001</v>
      </c>
      <c r="J4580">
        <v>-422.09640000000002</v>
      </c>
      <c r="K4580">
        <v>1.1129500000000001</v>
      </c>
      <c r="L4580">
        <v>44.939149999999998</v>
      </c>
      <c r="M4580">
        <v>0.12621269999999901</v>
      </c>
      <c r="N4580">
        <v>0</v>
      </c>
      <c r="O4580">
        <v>-0.9919076</v>
      </c>
      <c r="P4580">
        <v>0.32754149999999999</v>
      </c>
      <c r="Q4580">
        <v>0.13426629999999901</v>
      </c>
      <c r="R4580">
        <v>-0.93524839999999998</v>
      </c>
      <c r="S4580">
        <v>1.6752009999999999</v>
      </c>
      <c r="T4580">
        <v>-0.2534921</v>
      </c>
      <c r="U4580">
        <v>-2.6619869999999999</v>
      </c>
      <c r="V4580">
        <v>-0.20829149999999999</v>
      </c>
      <c r="W4580">
        <v>0.14560190000000001</v>
      </c>
      <c r="X4580">
        <v>0.96716840000000004</v>
      </c>
      <c r="Y4580">
        <v>-0.41973850000000001</v>
      </c>
      <c r="Z4580">
        <v>8.1930499999999906E-2</v>
      </c>
      <c r="AA4580">
        <v>0.90393970000000001</v>
      </c>
      <c r="AB4580">
        <v>30</v>
      </c>
      <c r="AC4580">
        <v>0.49979999999999303</v>
      </c>
      <c r="AD4580">
        <v>-8.2122000000000001E-2</v>
      </c>
      <c r="AE4580">
        <v>-0.561549999999996</v>
      </c>
      <c r="AF4580">
        <v>-0.41991002144168199</v>
      </c>
      <c r="AG4580">
        <v>-8.2122000000000001E-2</v>
      </c>
      <c r="AH4580">
        <v>0.61283245909607598</v>
      </c>
      <c r="AI4580">
        <v>96.308076329755195</v>
      </c>
      <c r="AJ4580">
        <v>124.418765271374</v>
      </c>
      <c r="AK4580">
        <v>0.74741693311892399</v>
      </c>
      <c r="AL4580">
        <v>81.627864468843001</v>
      </c>
      <c r="AM4580">
        <v>102.15371350796801</v>
      </c>
      <c r="AN4580">
        <v>0.99999998810721002</v>
      </c>
    </row>
    <row r="4581" spans="1:40" x14ac:dyDescent="0.25">
      <c r="A4581" t="str">
        <f>"20190312164602902"</f>
        <v>20190312164602902</v>
      </c>
      <c r="B4581" t="str">
        <f>"1552380362896378"</f>
        <v>1552380362896378</v>
      </c>
      <c r="C4581" t="s">
        <v>40</v>
      </c>
      <c r="D4581">
        <v>4.7588330000000001</v>
      </c>
      <c r="E4581">
        <v>0.47099279999999999</v>
      </c>
      <c r="F4581" t="s">
        <v>52</v>
      </c>
      <c r="G4581">
        <v>-414.29379999999998</v>
      </c>
      <c r="H4581" s="1">
        <v>-9.0649789999999997E-6</v>
      </c>
      <c r="I4581">
        <v>27.74877</v>
      </c>
      <c r="J4581">
        <v>-422.05220000000003</v>
      </c>
      <c r="K4581">
        <v>1.11307</v>
      </c>
      <c r="L4581">
        <v>44.634520000000002</v>
      </c>
      <c r="M4581">
        <v>0.13149040000000001</v>
      </c>
      <c r="N4581">
        <v>0</v>
      </c>
      <c r="O4581">
        <v>-0.99122149999999998</v>
      </c>
      <c r="P4581">
        <v>0.33330850000000001</v>
      </c>
      <c r="Q4581">
        <v>0.13420000000000001</v>
      </c>
      <c r="R4581">
        <v>-0.93321810000000005</v>
      </c>
      <c r="S4581">
        <v>1.266418</v>
      </c>
      <c r="T4581">
        <v>-0.18063989999999999</v>
      </c>
      <c r="U4581">
        <v>-2.7900999999999998</v>
      </c>
      <c r="V4581">
        <v>-0.20915790000000001</v>
      </c>
      <c r="W4581">
        <v>0.14547079999999901</v>
      </c>
      <c r="X4581">
        <v>0.96700109999999995</v>
      </c>
      <c r="Y4581">
        <v>-0.2892458</v>
      </c>
      <c r="Z4581">
        <v>5.9486850000000001E-2</v>
      </c>
      <c r="AA4581">
        <v>0.95540480000000005</v>
      </c>
      <c r="AB4581">
        <v>30</v>
      </c>
      <c r="AC4581">
        <v>7.7584000000000497</v>
      </c>
      <c r="AD4581">
        <v>-1.1130790649789899</v>
      </c>
      <c r="AE4581">
        <v>-16.885750000000002</v>
      </c>
      <c r="AF4581">
        <v>-5.4509422586566103</v>
      </c>
      <c r="AG4581">
        <v>-1.1130790649789899</v>
      </c>
      <c r="AH4581">
        <v>17.695873357115499</v>
      </c>
      <c r="AI4581">
        <v>93.440091698163698</v>
      </c>
      <c r="AJ4581">
        <v>107.12064590488301</v>
      </c>
      <c r="AK4581">
        <v>18.549815373290699</v>
      </c>
      <c r="AL4581">
        <v>81.635456495159005</v>
      </c>
      <c r="AM4581">
        <v>102.204803509865</v>
      </c>
      <c r="AN4581">
        <v>0.99999995409312803</v>
      </c>
    </row>
    <row r="4582" spans="1:40" x14ac:dyDescent="0.25">
      <c r="A4582" t="str">
        <f>"20190312164602924"</f>
        <v>20190312164602924</v>
      </c>
      <c r="B4582" t="str">
        <f>"1552380362915895"</f>
        <v>1552380362915895</v>
      </c>
      <c r="C4582" t="s">
        <v>40</v>
      </c>
      <c r="D4582">
        <v>4.4609040000000002</v>
      </c>
      <c r="E4582">
        <v>0.4719293</v>
      </c>
      <c r="F4582" t="s">
        <v>52</v>
      </c>
      <c r="G4582">
        <v>-414.32240000000002</v>
      </c>
      <c r="H4582" s="1">
        <v>-9.0238509999999994E-6</v>
      </c>
      <c r="I4582">
        <v>27.4724</v>
      </c>
      <c r="J4582">
        <v>-422.00790000000001</v>
      </c>
      <c r="K4582">
        <v>1.1131960000000001</v>
      </c>
      <c r="L4582">
        <v>44.342739999999999</v>
      </c>
      <c r="M4582">
        <v>0.136716</v>
      </c>
      <c r="N4582">
        <v>0</v>
      </c>
      <c r="O4582">
        <v>-0.99051420000000001</v>
      </c>
      <c r="P4582">
        <v>0.3388987</v>
      </c>
      <c r="Q4582">
        <v>0.1342816</v>
      </c>
      <c r="R4582">
        <v>-0.93119099999999999</v>
      </c>
      <c r="S4582">
        <v>1.257355</v>
      </c>
      <c r="T4582">
        <v>-0.18105769999999999</v>
      </c>
      <c r="U4582">
        <v>-2.7916560000000001</v>
      </c>
      <c r="V4582">
        <v>-0.20990610000000001</v>
      </c>
      <c r="W4582">
        <v>0.1454868</v>
      </c>
      <c r="X4582">
        <v>0.96683660000000005</v>
      </c>
      <c r="Y4582">
        <v>-0.28140850000000001</v>
      </c>
      <c r="Z4582">
        <v>5.9639129999999999E-2</v>
      </c>
      <c r="AA4582">
        <v>0.95773299999999995</v>
      </c>
      <c r="AB4582">
        <v>30</v>
      </c>
      <c r="AC4582">
        <v>7.6854999999999896</v>
      </c>
      <c r="AD4582">
        <v>-1.1132050238509901</v>
      </c>
      <c r="AE4582">
        <v>-16.870339999999999</v>
      </c>
      <c r="AF4582">
        <v>-5.2875905679591</v>
      </c>
      <c r="AG4582">
        <v>-1.1132050238509901</v>
      </c>
      <c r="AH4582">
        <v>17.698914038731999</v>
      </c>
      <c r="AI4582">
        <v>93.448751211325202</v>
      </c>
      <c r="AJ4582">
        <v>106.63363435689899</v>
      </c>
      <c r="AK4582">
        <v>18.505388339343799</v>
      </c>
      <c r="AL4582">
        <v>81.634530253404407</v>
      </c>
      <c r="AM4582">
        <v>102.249167875477</v>
      </c>
      <c r="AN4582">
        <v>0.999999995445505</v>
      </c>
    </row>
    <row r="4583" spans="1:40" x14ac:dyDescent="0.25">
      <c r="A4583" t="str">
        <f>"20190312164602946"</f>
        <v>20190312164602946</v>
      </c>
      <c r="B4583" t="str">
        <f>"1552380362936391"</f>
        <v>1552380362936391</v>
      </c>
      <c r="C4583" t="s">
        <v>40</v>
      </c>
      <c r="D4583">
        <v>4.4648899999999996</v>
      </c>
      <c r="E4583">
        <v>0.4725279</v>
      </c>
      <c r="F4583" t="s">
        <v>52</v>
      </c>
      <c r="G4583">
        <v>-414.71440000000001</v>
      </c>
      <c r="H4583" s="1">
        <v>-8.9800640000000005E-6</v>
      </c>
      <c r="I4583">
        <v>28.306619999999999</v>
      </c>
      <c r="J4583">
        <v>-421.96289999999999</v>
      </c>
      <c r="K4583">
        <v>1.1133329999999999</v>
      </c>
      <c r="L4583">
        <v>44.056150000000002</v>
      </c>
      <c r="M4583">
        <v>0.142019799999999</v>
      </c>
      <c r="N4583">
        <v>0</v>
      </c>
      <c r="O4583">
        <v>-0.98976750000000002</v>
      </c>
      <c r="P4583">
        <v>0.34470509999999999</v>
      </c>
      <c r="Q4583">
        <v>0.13416439999999999</v>
      </c>
      <c r="R4583">
        <v>-0.92907419999999996</v>
      </c>
      <c r="S4583">
        <v>1.2680659999999999</v>
      </c>
      <c r="T4583">
        <v>-0.1935451</v>
      </c>
      <c r="U4583">
        <v>-2.7880859999999998</v>
      </c>
      <c r="V4583">
        <v>-0.2108081</v>
      </c>
      <c r="W4583">
        <v>0.1453004</v>
      </c>
      <c r="X4583">
        <v>0.96666839999999998</v>
      </c>
      <c r="Y4583">
        <v>-0.2796767</v>
      </c>
      <c r="Z4583">
        <v>6.3705590000000006E-2</v>
      </c>
      <c r="AA4583">
        <v>0.95797840000000001</v>
      </c>
      <c r="AB4583">
        <v>30</v>
      </c>
      <c r="AC4583">
        <v>7.2484999999999697</v>
      </c>
      <c r="AD4583">
        <v>-1.1133419800640001</v>
      </c>
      <c r="AE4583">
        <v>-15.749529999999901</v>
      </c>
      <c r="AF4583">
        <v>-4.9177760892609204</v>
      </c>
      <c r="AG4583">
        <v>-1.1133419800640001</v>
      </c>
      <c r="AH4583">
        <v>16.551136380193601</v>
      </c>
      <c r="AI4583">
        <v>93.689363679605606</v>
      </c>
      <c r="AJ4583">
        <v>106.548063358902</v>
      </c>
      <c r="AK4583">
        <v>17.3021434367088</v>
      </c>
      <c r="AL4583">
        <v>81.645325169143703</v>
      </c>
      <c r="AM4583">
        <v>102.302280423059</v>
      </c>
      <c r="AN4583">
        <v>1.00000002841216</v>
      </c>
    </row>
    <row r="4584" spans="1:40" x14ac:dyDescent="0.25">
      <c r="A4584" t="str">
        <f>"20190312164602970"</f>
        <v>20190312164602970</v>
      </c>
      <c r="B4584" t="str">
        <f>"1552380362966646"</f>
        <v>1552380362966646</v>
      </c>
      <c r="C4584" t="s">
        <v>40</v>
      </c>
      <c r="D4584">
        <v>4.7348850000000002</v>
      </c>
      <c r="E4584">
        <v>0.47377609999999998</v>
      </c>
      <c r="F4584" t="s">
        <v>52</v>
      </c>
      <c r="G4584">
        <v>-415.18669999999997</v>
      </c>
      <c r="H4584" s="1">
        <v>-8.9318460000000006E-6</v>
      </c>
      <c r="I4584">
        <v>29.351559999999999</v>
      </c>
      <c r="J4584">
        <v>-421.91410000000002</v>
      </c>
      <c r="K4584">
        <v>1.11348</v>
      </c>
      <c r="L4584">
        <v>43.757420000000003</v>
      </c>
      <c r="M4584">
        <v>0.14773439999999999</v>
      </c>
      <c r="N4584">
        <v>0</v>
      </c>
      <c r="O4584">
        <v>-0.98893070000000005</v>
      </c>
      <c r="P4584">
        <v>0.3511841</v>
      </c>
      <c r="Q4584">
        <v>0.1337575</v>
      </c>
      <c r="R4584">
        <v>-0.92670370000000002</v>
      </c>
      <c r="S4584">
        <v>1.282715</v>
      </c>
      <c r="T4584">
        <v>-0.21075250000000001</v>
      </c>
      <c r="U4584">
        <v>-2.7835390000000002</v>
      </c>
      <c r="V4584">
        <v>-0.21201519999999999</v>
      </c>
      <c r="W4584">
        <v>0.144815</v>
      </c>
      <c r="X4584">
        <v>0.96647720000000004</v>
      </c>
      <c r="Y4584">
        <v>-0.27873170000000003</v>
      </c>
      <c r="Z4584">
        <v>6.9293809999999997E-2</v>
      </c>
      <c r="AA4584">
        <v>0.95786590000000005</v>
      </c>
      <c r="AB4584">
        <v>30</v>
      </c>
      <c r="AC4584">
        <v>6.7274000000000402</v>
      </c>
      <c r="AD4584">
        <v>-1.113488931846</v>
      </c>
      <c r="AE4584">
        <v>-14.405860000000001</v>
      </c>
      <c r="AF4584">
        <v>-4.5030363098409198</v>
      </c>
      <c r="AG4584">
        <v>-1.113488931846</v>
      </c>
      <c r="AH4584">
        <v>15.1673262941356</v>
      </c>
      <c r="AI4584">
        <v>94.025694678315602</v>
      </c>
      <c r="AJ4584">
        <v>106.535658251754</v>
      </c>
      <c r="AK4584">
        <v>15.860800122373</v>
      </c>
      <c r="AL4584">
        <v>81.673433632539499</v>
      </c>
      <c r="AM4584">
        <v>102.37293295152</v>
      </c>
      <c r="AN4584">
        <v>1.00000000368794</v>
      </c>
    </row>
    <row r="4585" spans="1:40" x14ac:dyDescent="0.25">
      <c r="A4585" t="str">
        <f>"20190312164602992"</f>
        <v>20190312164602992</v>
      </c>
      <c r="B4585" t="str">
        <f>"1552380362986167"</f>
        <v>1552380362986167</v>
      </c>
      <c r="C4585" t="s">
        <v>40</v>
      </c>
      <c r="D4585">
        <v>4.90517</v>
      </c>
      <c r="E4585">
        <v>0.47517779999999998</v>
      </c>
      <c r="F4585" t="s">
        <v>52</v>
      </c>
      <c r="G4585">
        <v>-415.09629999999999</v>
      </c>
      <c r="H4585" s="1">
        <v>-8.9360749999999905E-6</v>
      </c>
      <c r="I4585">
        <v>29.10699</v>
      </c>
      <c r="J4585">
        <v>-421.86239999999998</v>
      </c>
      <c r="K4585">
        <v>1.113629</v>
      </c>
      <c r="L4585">
        <v>43.454680000000003</v>
      </c>
      <c r="M4585">
        <v>0.15375</v>
      </c>
      <c r="N4585">
        <v>0</v>
      </c>
      <c r="O4585">
        <v>-0.98801289999999997</v>
      </c>
      <c r="P4585">
        <v>0.35766409999999998</v>
      </c>
      <c r="Q4585">
        <v>0.13351399999999999</v>
      </c>
      <c r="R4585">
        <v>-0.92425690000000005</v>
      </c>
      <c r="S4585">
        <v>1.2927249999999999</v>
      </c>
      <c r="T4585">
        <v>-0.21112819999999999</v>
      </c>
      <c r="U4585">
        <v>-2.777863</v>
      </c>
      <c r="V4585">
        <v>-0.21294689999999999</v>
      </c>
      <c r="W4585">
        <v>0.1444946</v>
      </c>
      <c r="X4585">
        <v>0.96632030000000002</v>
      </c>
      <c r="Y4585">
        <v>-0.2764682</v>
      </c>
      <c r="Z4585">
        <v>6.942131E-2</v>
      </c>
      <c r="AA4585">
        <v>0.95851240000000004</v>
      </c>
      <c r="AB4585">
        <v>30</v>
      </c>
      <c r="AC4585">
        <v>6.76609999999999</v>
      </c>
      <c r="AD4585">
        <v>-1.1136379360749999</v>
      </c>
      <c r="AE4585">
        <v>-14.347689999999901</v>
      </c>
      <c r="AF4585">
        <v>-4.4574967852318803</v>
      </c>
      <c r="AG4585">
        <v>-1.1136379360749999</v>
      </c>
      <c r="AH4585">
        <v>15.1428160561422</v>
      </c>
      <c r="AI4585">
        <v>94.0354890884919</v>
      </c>
      <c r="AJ4585">
        <v>106.402519781987</v>
      </c>
      <c r="AK4585">
        <v>15.824485620492601</v>
      </c>
      <c r="AL4585">
        <v>81.691986277626498</v>
      </c>
      <c r="AM4585">
        <v>102.427575254197</v>
      </c>
      <c r="AN4585">
        <v>0.99999999692042996</v>
      </c>
    </row>
    <row r="4586" spans="1:40" x14ac:dyDescent="0.25">
      <c r="A4586" t="str">
        <f>"20190312164603014"</f>
        <v>20190312164603014</v>
      </c>
      <c r="B4586" t="str">
        <f>"1552380363006663"</f>
        <v>1552380363006663</v>
      </c>
      <c r="C4586" t="s">
        <v>40</v>
      </c>
      <c r="D4586">
        <v>4.5886950000000004</v>
      </c>
      <c r="E4586">
        <v>0.47601680000000002</v>
      </c>
      <c r="F4586" t="s">
        <v>52</v>
      </c>
      <c r="G4586">
        <v>-414.87430000000001</v>
      </c>
      <c r="H4586" s="1">
        <v>-8.9539999999999993E-6</v>
      </c>
      <c r="I4586">
        <v>28.573789999999999</v>
      </c>
      <c r="J4586">
        <v>-421.81009999999998</v>
      </c>
      <c r="K4586">
        <v>1.1137600000000001</v>
      </c>
      <c r="L4586">
        <v>43.16037</v>
      </c>
      <c r="M4586">
        <v>0.15976279999999901</v>
      </c>
      <c r="N4586">
        <v>0</v>
      </c>
      <c r="O4586">
        <v>-0.98705830000000006</v>
      </c>
      <c r="P4586">
        <v>0.3642474</v>
      </c>
      <c r="Q4586">
        <v>0.13380590000000001</v>
      </c>
      <c r="R4586">
        <v>-0.92163969999999995</v>
      </c>
      <c r="S4586">
        <v>1.301758</v>
      </c>
      <c r="T4586">
        <v>-0.20745240000000001</v>
      </c>
      <c r="U4586">
        <v>-2.7720639999999999</v>
      </c>
      <c r="V4586">
        <v>-0.21401519999999999</v>
      </c>
      <c r="W4586">
        <v>0.14471489999999901</v>
      </c>
      <c r="X4586">
        <v>0.96605129999999995</v>
      </c>
      <c r="Y4586">
        <v>-0.27398109999999998</v>
      </c>
      <c r="Z4586">
        <v>6.8228479999999994E-2</v>
      </c>
      <c r="AA4586">
        <v>0.95931180000000005</v>
      </c>
      <c r="AB4586">
        <v>30</v>
      </c>
      <c r="AC4586">
        <v>6.9357999999999702</v>
      </c>
      <c r="AD4586">
        <v>-1.113768954</v>
      </c>
      <c r="AE4586">
        <v>-14.5865799999999</v>
      </c>
      <c r="AF4586">
        <v>-4.4947063205687501</v>
      </c>
      <c r="AG4586">
        <v>-1.113768954</v>
      </c>
      <c r="AH4586">
        <v>15.4339844040342</v>
      </c>
      <c r="AI4586">
        <v>93.9634133841477</v>
      </c>
      <c r="AJ4586">
        <v>106.236689356997</v>
      </c>
      <c r="AK4586">
        <v>16.1136817883135</v>
      </c>
      <c r="AL4586">
        <v>81.679230061264903</v>
      </c>
      <c r="AM4586">
        <v>102.491338220667</v>
      </c>
      <c r="AN4586">
        <v>1.0000000111723699</v>
      </c>
    </row>
    <row r="4587" spans="1:40" x14ac:dyDescent="0.25">
      <c r="A4587" t="str">
        <f>"20190312164603036"</f>
        <v>20190312164603036</v>
      </c>
      <c r="B4587" t="str">
        <f>"1552380363026183"</f>
        <v>1552380363026183</v>
      </c>
      <c r="C4587" t="s">
        <v>40</v>
      </c>
      <c r="D4587">
        <v>4.7698019999999897</v>
      </c>
      <c r="E4587">
        <v>0.47632970000000002</v>
      </c>
      <c r="F4587" t="s">
        <v>52</v>
      </c>
      <c r="G4587">
        <v>-414.47699999999998</v>
      </c>
      <c r="H4587" s="1">
        <v>-9.0001919999999903E-6</v>
      </c>
      <c r="I4587">
        <v>27.744589999999999</v>
      </c>
      <c r="J4587">
        <v>-421.75659999999999</v>
      </c>
      <c r="K4587">
        <v>1.1138840000000001</v>
      </c>
      <c r="L4587">
        <v>42.87</v>
      </c>
      <c r="M4587">
        <v>0.16586400000000001</v>
      </c>
      <c r="N4587">
        <v>0</v>
      </c>
      <c r="O4587">
        <v>-0.98605109999999996</v>
      </c>
      <c r="P4587">
        <v>0.37010490000000001</v>
      </c>
      <c r="Q4587">
        <v>0.1340547</v>
      </c>
      <c r="R4587">
        <v>-0.9192669</v>
      </c>
      <c r="S4587">
        <v>1.314972</v>
      </c>
      <c r="T4587">
        <v>-0.19972229999999999</v>
      </c>
      <c r="U4587">
        <v>-2.7643740000000001</v>
      </c>
      <c r="V4587">
        <v>-0.21424179999999901</v>
      </c>
      <c r="W4587">
        <v>0.14490749999999999</v>
      </c>
      <c r="X4587">
        <v>0.96597219999999995</v>
      </c>
      <c r="Y4587">
        <v>-0.27288000000000001</v>
      </c>
      <c r="Z4587">
        <v>6.5708589999999997E-2</v>
      </c>
      <c r="AA4587">
        <v>0.95980149999999997</v>
      </c>
      <c r="AB4587">
        <v>30</v>
      </c>
      <c r="AC4587">
        <v>7.2796000000000101</v>
      </c>
      <c r="AD4587">
        <v>-1.113893000192</v>
      </c>
      <c r="AE4587">
        <v>-15.125409999999899</v>
      </c>
      <c r="AF4587">
        <v>-4.6492729888455404</v>
      </c>
      <c r="AG4587">
        <v>-1.113893000192</v>
      </c>
      <c r="AH4587">
        <v>16.0527145473465</v>
      </c>
      <c r="AI4587">
        <v>93.813156235865407</v>
      </c>
      <c r="AJ4587">
        <v>106.15235613651301</v>
      </c>
      <c r="AK4587">
        <v>16.749511672859999</v>
      </c>
      <c r="AL4587">
        <v>81.668077342022499</v>
      </c>
      <c r="AM4587">
        <v>102.505140046352</v>
      </c>
      <c r="AN4587">
        <v>1.00000001179816</v>
      </c>
    </row>
    <row r="4588" spans="1:40" x14ac:dyDescent="0.25">
      <c r="A4588" t="str">
        <f>"20190312164603058"</f>
        <v>20190312164603058</v>
      </c>
      <c r="B4588" t="str">
        <f>"1552380363046679"</f>
        <v>1552380363046679</v>
      </c>
      <c r="C4588" t="s">
        <v>40</v>
      </c>
      <c r="D4588">
        <v>4.8110660000000003</v>
      </c>
      <c r="E4588">
        <v>0.47688659999999999</v>
      </c>
      <c r="F4588" t="s">
        <v>52</v>
      </c>
      <c r="G4588">
        <v>-413.99450000000002</v>
      </c>
      <c r="H4588" s="1">
        <v>-9.0619170000000003E-6</v>
      </c>
      <c r="I4588">
        <v>26.787759999999999</v>
      </c>
      <c r="J4588">
        <v>-421.70310000000001</v>
      </c>
      <c r="K4588">
        <v>1.1140060000000001</v>
      </c>
      <c r="L4588">
        <v>42.58981</v>
      </c>
      <c r="M4588">
        <v>0.17191619999999999</v>
      </c>
      <c r="N4588">
        <v>0</v>
      </c>
      <c r="O4588">
        <v>-0.98501380000000005</v>
      </c>
      <c r="P4588">
        <v>0.37599060000000001</v>
      </c>
      <c r="Q4588">
        <v>0.1343183</v>
      </c>
      <c r="R4588">
        <v>-0.91683669999999995</v>
      </c>
      <c r="S4588">
        <v>1.3300780000000001</v>
      </c>
      <c r="T4588">
        <v>-0.19087299999999999</v>
      </c>
      <c r="U4588">
        <v>-2.755798</v>
      </c>
      <c r="V4588">
        <v>-0.21455479999999999</v>
      </c>
      <c r="W4588">
        <v>0.14511550000000001</v>
      </c>
      <c r="X4588">
        <v>0.96587149999999999</v>
      </c>
      <c r="Y4588">
        <v>-0.27248869999999997</v>
      </c>
      <c r="Z4588">
        <v>6.2818860000000004E-2</v>
      </c>
      <c r="AA4588">
        <v>0.96010609999999996</v>
      </c>
      <c r="AB4588">
        <v>30</v>
      </c>
      <c r="AC4588">
        <v>7.7085999999999899</v>
      </c>
      <c r="AD4588">
        <v>-1.1140150619169999</v>
      </c>
      <c r="AE4588">
        <v>-15.802049999999999</v>
      </c>
      <c r="AF4588">
        <v>-4.8574180411028296</v>
      </c>
      <c r="AG4588">
        <v>-1.1140150619169999</v>
      </c>
      <c r="AH4588">
        <v>16.824553373251799</v>
      </c>
      <c r="AI4588">
        <v>93.639990306433006</v>
      </c>
      <c r="AJ4588">
        <v>106.10396159832401</v>
      </c>
      <c r="AK4588">
        <v>17.547111893232099</v>
      </c>
      <c r="AL4588">
        <v>81.6560325118501</v>
      </c>
      <c r="AM4588">
        <v>102.52409815025401</v>
      </c>
      <c r="AN4588">
        <v>1.0000000125277699</v>
      </c>
    </row>
    <row r="4589" spans="1:40" x14ac:dyDescent="0.25">
      <c r="A4589" t="str">
        <f>"20190312164603080"</f>
        <v>20190312164603080</v>
      </c>
      <c r="B4589" t="str">
        <f>"1552380363075959"</f>
        <v>1552380363075959</v>
      </c>
      <c r="C4589" t="s">
        <v>40</v>
      </c>
      <c r="D4589">
        <v>4.6013859999999998</v>
      </c>
      <c r="E4589">
        <v>0.47692230000000002</v>
      </c>
      <c r="F4589" t="s">
        <v>52</v>
      </c>
      <c r="G4589">
        <v>-413.8972</v>
      </c>
      <c r="H4589" s="1">
        <v>-9.0785609999999998E-6</v>
      </c>
      <c r="I4589">
        <v>26.631830000000001</v>
      </c>
      <c r="J4589">
        <v>-421.64460000000003</v>
      </c>
      <c r="K4589">
        <v>1.1141399999999999</v>
      </c>
      <c r="L4589">
        <v>42.294710000000002</v>
      </c>
      <c r="M4589">
        <v>0.17846879999999901</v>
      </c>
      <c r="N4589">
        <v>0</v>
      </c>
      <c r="O4589">
        <v>-0.98384749999999999</v>
      </c>
      <c r="P4589">
        <v>0.38280809999999998</v>
      </c>
      <c r="Q4589">
        <v>0.1338916</v>
      </c>
      <c r="R4589">
        <v>-0.91407389999999999</v>
      </c>
      <c r="S4589">
        <v>1.3446039999999999</v>
      </c>
      <c r="T4589">
        <v>-0.1918945</v>
      </c>
      <c r="U4589">
        <v>-2.74884</v>
      </c>
      <c r="V4589">
        <v>-0.21535109999999999</v>
      </c>
      <c r="W4589">
        <v>0.1446229</v>
      </c>
      <c r="X4589">
        <v>0.96576819999999997</v>
      </c>
      <c r="Y4589">
        <v>-0.27112960000000003</v>
      </c>
      <c r="Z4589">
        <v>6.3128039999999996E-2</v>
      </c>
      <c r="AA4589">
        <v>0.9604705</v>
      </c>
      <c r="AB4589">
        <v>30</v>
      </c>
      <c r="AC4589">
        <v>7.7474000000000203</v>
      </c>
      <c r="AD4589">
        <v>-1.114149078561</v>
      </c>
      <c r="AE4589">
        <v>-15.6628799999999</v>
      </c>
      <c r="AF4589">
        <v>-4.8078452666198199</v>
      </c>
      <c r="AG4589">
        <v>-1.114149078561</v>
      </c>
      <c r="AH4589">
        <v>16.7261783333667</v>
      </c>
      <c r="AI4589">
        <v>93.663009841214503</v>
      </c>
      <c r="AJ4589">
        <v>106.036997572967</v>
      </c>
      <c r="AK4589">
        <v>17.439086728283801</v>
      </c>
      <c r="AL4589">
        <v>81.684557621748198</v>
      </c>
      <c r="AM4589">
        <v>102.570407457394</v>
      </c>
      <c r="AN4589">
        <v>1.0000000478034199</v>
      </c>
    </row>
    <row r="4590" spans="1:40" x14ac:dyDescent="0.25">
      <c r="A4590" t="str">
        <f>"20190312164603103"</f>
        <v>20190312164603103</v>
      </c>
      <c r="B4590" t="str">
        <f>"1552380363096458"</f>
        <v>1552380363096458</v>
      </c>
      <c r="C4590" t="s">
        <v>40</v>
      </c>
      <c r="D4590">
        <v>4.7967180000000003</v>
      </c>
      <c r="E4590">
        <v>0.4769079</v>
      </c>
      <c r="F4590" t="s">
        <v>52</v>
      </c>
      <c r="G4590">
        <v>-414.02800000000002</v>
      </c>
      <c r="H4590" s="1">
        <v>-9.0762570000000005E-6</v>
      </c>
      <c r="I4590">
        <v>27.019690000000001</v>
      </c>
      <c r="J4590">
        <v>-421.58390000000003</v>
      </c>
      <c r="K4590">
        <v>1.1142700000000001</v>
      </c>
      <c r="L4590">
        <v>41.999659999999999</v>
      </c>
      <c r="M4590">
        <v>0.18520329999999999</v>
      </c>
      <c r="N4590">
        <v>0</v>
      </c>
      <c r="O4590">
        <v>-0.98260190000000003</v>
      </c>
      <c r="P4590">
        <v>0.38992320000000003</v>
      </c>
      <c r="Q4590">
        <v>0.13402649999999999</v>
      </c>
      <c r="R4590">
        <v>-0.91104169999999995</v>
      </c>
      <c r="S4590">
        <v>1.365875</v>
      </c>
      <c r="T4590">
        <v>-0.19979949999999999</v>
      </c>
      <c r="U4590">
        <v>-2.739258</v>
      </c>
      <c r="V4590">
        <v>-0.21632209999999999</v>
      </c>
      <c r="W4590">
        <v>0.1446847</v>
      </c>
      <c r="X4590">
        <v>0.96554180000000001</v>
      </c>
      <c r="Y4590">
        <v>-0.27178029999999997</v>
      </c>
      <c r="Z4590">
        <v>6.5684270000000003E-2</v>
      </c>
      <c r="AA4590">
        <v>0.9601151</v>
      </c>
      <c r="AB4590">
        <v>30</v>
      </c>
      <c r="AC4590">
        <v>7.5559000000000003</v>
      </c>
      <c r="AD4590">
        <v>-1.1142790762570001</v>
      </c>
      <c r="AE4590">
        <v>-14.9799699999999</v>
      </c>
      <c r="AF4590">
        <v>-4.6301283386456999</v>
      </c>
      <c r="AG4590">
        <v>-1.1142790762570001</v>
      </c>
      <c r="AH4590">
        <v>16.049490196556</v>
      </c>
      <c r="AI4590">
        <v>93.816389650411793</v>
      </c>
      <c r="AJ4590">
        <v>106.092357756007</v>
      </c>
      <c r="AK4590">
        <v>16.741142191065101</v>
      </c>
      <c r="AL4590">
        <v>81.680978205719498</v>
      </c>
      <c r="AM4590">
        <v>102.628138704772</v>
      </c>
      <c r="AN4590">
        <v>0.99999994045486795</v>
      </c>
    </row>
    <row r="4591" spans="1:40" x14ac:dyDescent="0.25">
      <c r="A4591" t="str">
        <f>"20190312164603124"</f>
        <v>20190312164603124</v>
      </c>
      <c r="B4591" t="str">
        <f>"1552380363115976"</f>
        <v>1552380363115976</v>
      </c>
      <c r="C4591" t="s">
        <v>40</v>
      </c>
      <c r="D4591">
        <v>4.5144590000000004</v>
      </c>
      <c r="E4591">
        <v>0.47630980000000001</v>
      </c>
      <c r="F4591" t="s">
        <v>52</v>
      </c>
      <c r="G4591">
        <v>-414.00490000000002</v>
      </c>
      <c r="H4591" s="1">
        <v>-9.0934429999999993E-6</v>
      </c>
      <c r="I4591">
        <v>27.100300000000001</v>
      </c>
      <c r="J4591">
        <v>-421.52390000000003</v>
      </c>
      <c r="K4591">
        <v>1.1144050000000001</v>
      </c>
      <c r="L4591">
        <v>41.718539999999997</v>
      </c>
      <c r="M4591">
        <v>0.1917961</v>
      </c>
      <c r="N4591">
        <v>0</v>
      </c>
      <c r="O4591">
        <v>-0.98133619999999999</v>
      </c>
      <c r="P4591">
        <v>0.39714759999999999</v>
      </c>
      <c r="Q4591">
        <v>0.13393869999999999</v>
      </c>
      <c r="R4591">
        <v>-0.90792850000000003</v>
      </c>
      <c r="S4591">
        <v>1.388123</v>
      </c>
      <c r="T4591">
        <v>-0.20408499999999999</v>
      </c>
      <c r="U4591">
        <v>-2.728882</v>
      </c>
      <c r="V4591">
        <v>-0.21755640000000001</v>
      </c>
      <c r="W4591">
        <v>0.1445206</v>
      </c>
      <c r="X4591">
        <v>0.96528910000000001</v>
      </c>
      <c r="Y4591">
        <v>-0.27297349999999998</v>
      </c>
      <c r="Z4591">
        <v>6.7055870000000004E-2</v>
      </c>
      <c r="AA4591">
        <v>0.95968169999999997</v>
      </c>
      <c r="AB4591">
        <v>30</v>
      </c>
      <c r="AC4591">
        <v>7.5190000000000001</v>
      </c>
      <c r="AD4591">
        <v>-1.11441409344299</v>
      </c>
      <c r="AE4591">
        <v>-14.61824</v>
      </c>
      <c r="AF4591">
        <v>-4.5544567675809198</v>
      </c>
      <c r="AG4591">
        <v>-1.11441409344299</v>
      </c>
      <c r="AH4591">
        <v>15.716819215761999</v>
      </c>
      <c r="AI4591">
        <v>93.896055010543407</v>
      </c>
      <c r="AJ4591">
        <v>106.16065519179899</v>
      </c>
      <c r="AK4591">
        <v>16.4013231624882</v>
      </c>
      <c r="AL4591">
        <v>81.690480968268204</v>
      </c>
      <c r="AM4591">
        <v>102.701079250067</v>
      </c>
      <c r="AN4591">
        <v>1.0000000187920599</v>
      </c>
    </row>
    <row r="4592" spans="1:40" x14ac:dyDescent="0.25">
      <c r="A4592" t="str">
        <f>"20190312164603147"</f>
        <v>20190312164603147</v>
      </c>
      <c r="B4592" t="str">
        <f>"1552380363136474"</f>
        <v>1552380363136474</v>
      </c>
      <c r="C4592" t="s">
        <v>40</v>
      </c>
      <c r="D4592">
        <v>4.5728879999999998</v>
      </c>
      <c r="E4592">
        <v>0.42486869999999999</v>
      </c>
      <c r="F4592" t="s">
        <v>52</v>
      </c>
      <c r="G4592">
        <v>-413.964</v>
      </c>
      <c r="H4592" s="1">
        <v>-9.1195809999999996E-6</v>
      </c>
      <c r="I4592">
        <v>27.205190000000002</v>
      </c>
      <c r="J4592">
        <v>-421.46</v>
      </c>
      <c r="K4592">
        <v>1.114547</v>
      </c>
      <c r="L4592">
        <v>41.429569999999998</v>
      </c>
      <c r="M4592">
        <v>0.1987556</v>
      </c>
      <c r="N4592">
        <v>0</v>
      </c>
      <c r="O4592">
        <v>-0.97995010000000005</v>
      </c>
      <c r="P4592">
        <v>0.40432269999999998</v>
      </c>
      <c r="Q4592">
        <v>0.13364279999999901</v>
      </c>
      <c r="R4592">
        <v>-0.90480020000000005</v>
      </c>
      <c r="S4592">
        <v>1.414795</v>
      </c>
      <c r="T4592">
        <v>-0.20855679999999999</v>
      </c>
      <c r="U4592">
        <v>-2.7160950000000001</v>
      </c>
      <c r="V4592">
        <v>-0.21838659999999999</v>
      </c>
      <c r="W4592">
        <v>0.14415249999999999</v>
      </c>
      <c r="X4592">
        <v>0.96515660000000003</v>
      </c>
      <c r="Y4592">
        <v>-0.27536759999999999</v>
      </c>
      <c r="Z4592">
        <v>6.8489099999999997E-2</v>
      </c>
      <c r="AA4592">
        <v>0.95889619999999998</v>
      </c>
      <c r="AB4592">
        <v>30</v>
      </c>
      <c r="AC4592">
        <v>7.49599999999998</v>
      </c>
      <c r="AD4592">
        <v>-1.1145561195810001</v>
      </c>
      <c r="AE4592">
        <v>-14.224379999999901</v>
      </c>
      <c r="AF4592">
        <v>-4.4973587874936101</v>
      </c>
      <c r="AG4592">
        <v>-1.1145561195810001</v>
      </c>
      <c r="AH4592">
        <v>15.356760364023801</v>
      </c>
      <c r="AI4592">
        <v>93.984336198498497</v>
      </c>
      <c r="AJ4592">
        <v>106.32312122126601</v>
      </c>
      <c r="AK4592">
        <v>16.040528678481699</v>
      </c>
      <c r="AL4592">
        <v>81.711794207559393</v>
      </c>
      <c r="AM4592">
        <v>102.749658803664</v>
      </c>
      <c r="AN4592">
        <v>0.99999995641968398</v>
      </c>
    </row>
    <row r="4593" spans="1:40" x14ac:dyDescent="0.25">
      <c r="A4593" t="str">
        <f>"20190312164603170"</f>
        <v>20190312164603170</v>
      </c>
      <c r="B4593" t="str">
        <f>"1552380363166727"</f>
        <v>1552380363166727</v>
      </c>
      <c r="C4593" t="s">
        <v>40</v>
      </c>
      <c r="D4593">
        <v>4.4471420000000004</v>
      </c>
      <c r="E4593">
        <v>0.42120269999999999</v>
      </c>
      <c r="F4593" t="s">
        <v>52</v>
      </c>
      <c r="G4593">
        <v>-412.95170000000002</v>
      </c>
      <c r="H4593" s="1">
        <v>-9.7342439999999994E-6</v>
      </c>
      <c r="I4593">
        <v>29.51089</v>
      </c>
      <c r="J4593">
        <v>-421.39420000000001</v>
      </c>
      <c r="K4593">
        <v>1.11469</v>
      </c>
      <c r="L4593">
        <v>41.14246</v>
      </c>
      <c r="M4593">
        <v>0.20586579999999999</v>
      </c>
      <c r="N4593">
        <v>0</v>
      </c>
      <c r="O4593">
        <v>-0.97848080000000004</v>
      </c>
      <c r="P4593">
        <v>0.41169660000000002</v>
      </c>
      <c r="Q4593">
        <v>0.13193659999999999</v>
      </c>
      <c r="R4593">
        <v>-0.90171999999999997</v>
      </c>
      <c r="S4593">
        <v>1.813477</v>
      </c>
      <c r="T4593">
        <v>-0.2375592</v>
      </c>
      <c r="U4593">
        <v>-2.540375</v>
      </c>
      <c r="V4593">
        <v>-0.2192346</v>
      </c>
      <c r="W4593">
        <v>0.14237710000000001</v>
      </c>
      <c r="X4593">
        <v>0.96522790000000003</v>
      </c>
      <c r="Y4593">
        <v>-0.39922960000000002</v>
      </c>
      <c r="Z4593">
        <v>7.7529920000000002E-2</v>
      </c>
      <c r="AA4593">
        <v>0.91356709999999997</v>
      </c>
      <c r="AB4593">
        <v>30</v>
      </c>
      <c r="AC4593">
        <v>8.4424999999999901</v>
      </c>
      <c r="AD4593">
        <v>-1.1146997342439999</v>
      </c>
      <c r="AE4593">
        <v>-11.6315699999999</v>
      </c>
      <c r="AF4593">
        <v>-5.8317732621856297</v>
      </c>
      <c r="AG4593">
        <v>-1.1146997342439999</v>
      </c>
      <c r="AH4593">
        <v>13.042115653130001</v>
      </c>
      <c r="AI4593">
        <v>94.461421751080096</v>
      </c>
      <c r="AJ4593">
        <v>114.091773976157</v>
      </c>
      <c r="AK4593">
        <v>14.3300005439178</v>
      </c>
      <c r="AL4593">
        <v>81.814577567174894</v>
      </c>
      <c r="AM4593">
        <v>102.796624553859</v>
      </c>
      <c r="AN4593">
        <v>0.99999997368998905</v>
      </c>
    </row>
    <row r="4594" spans="1:40" x14ac:dyDescent="0.25">
      <c r="A4594" t="str">
        <f>"20190312164603194"</f>
        <v>20190312164603194</v>
      </c>
      <c r="B4594" t="str">
        <f>"1552380363186248"</f>
        <v>1552380363186248</v>
      </c>
      <c r="C4594" t="s">
        <v>40</v>
      </c>
      <c r="D4594">
        <v>4.4757720000000001</v>
      </c>
      <c r="E4594">
        <v>0.42018159999999999</v>
      </c>
      <c r="F4594" t="s">
        <v>41</v>
      </c>
      <c r="G4594">
        <v>-420.7552</v>
      </c>
      <c r="H4594">
        <v>1.015255</v>
      </c>
      <c r="I4594">
        <v>40.279850000000003</v>
      </c>
      <c r="J4594">
        <v>-421.32100000000003</v>
      </c>
      <c r="K4594">
        <v>1.1148260000000001</v>
      </c>
      <c r="L4594">
        <v>40.835720000000002</v>
      </c>
      <c r="M4594">
        <v>0.21367810000000001</v>
      </c>
      <c r="N4594">
        <v>0</v>
      </c>
      <c r="O4594">
        <v>-0.97680420000000001</v>
      </c>
      <c r="P4594">
        <v>0.41971000000000003</v>
      </c>
      <c r="Q4594">
        <v>0.12903519999999999</v>
      </c>
      <c r="R4594">
        <v>-0.89843989999999996</v>
      </c>
      <c r="S4594">
        <v>1.8652040000000001</v>
      </c>
      <c r="T4594">
        <v>-0.29024060000000002</v>
      </c>
      <c r="U4594">
        <v>-2.5178530000000001</v>
      </c>
      <c r="V4594">
        <v>-0.2200386</v>
      </c>
      <c r="W4594">
        <v>0.13940830000000001</v>
      </c>
      <c r="X4594">
        <v>0.96547830000000001</v>
      </c>
      <c r="Y4594">
        <v>-0.40711079999999999</v>
      </c>
      <c r="Z4594">
        <v>9.4315319999999994E-2</v>
      </c>
      <c r="AA4594">
        <v>0.90849630000000003</v>
      </c>
      <c r="AB4594">
        <v>30</v>
      </c>
      <c r="AC4594">
        <v>0.565799999999967</v>
      </c>
      <c r="AD4594">
        <v>-9.9571000000000007E-2</v>
      </c>
      <c r="AE4594">
        <v>-0.55586999999999798</v>
      </c>
      <c r="AF4594">
        <v>-0.42720850812130401</v>
      </c>
      <c r="AG4594">
        <v>-9.9571000000000007E-2</v>
      </c>
      <c r="AH4594">
        <v>0.65363926311577603</v>
      </c>
      <c r="AI4594">
        <v>97.266774545297096</v>
      </c>
      <c r="AJ4594">
        <v>123.168009524098</v>
      </c>
      <c r="AK4594">
        <v>0.78718852871390699</v>
      </c>
      <c r="AL4594">
        <v>81.986391454625306</v>
      </c>
      <c r="AM4594">
        <v>102.838780148563</v>
      </c>
      <c r="AN4594">
        <v>1.00000000368487</v>
      </c>
    </row>
    <row r="4595" spans="1:40" x14ac:dyDescent="0.25">
      <c r="A4595" t="str">
        <f>"20190312164603214"</f>
        <v>20190312164603214</v>
      </c>
      <c r="B4595" t="str">
        <f>"1552380363206743"</f>
        <v>1552380363206743</v>
      </c>
      <c r="C4595" t="s">
        <v>40</v>
      </c>
      <c r="D4595">
        <v>4.3950250000000004</v>
      </c>
      <c r="E4595">
        <v>0.41996719999999998</v>
      </c>
      <c r="F4595" t="s">
        <v>41</v>
      </c>
      <c r="G4595">
        <v>-420.70060000000001</v>
      </c>
      <c r="H4595">
        <v>1.0345629999999999</v>
      </c>
      <c r="I4595">
        <v>40.018250000000002</v>
      </c>
      <c r="J4595">
        <v>-421.25529999999998</v>
      </c>
      <c r="K4595">
        <v>1.1149249999999999</v>
      </c>
      <c r="L4595">
        <v>40.569519999999997</v>
      </c>
      <c r="M4595">
        <v>0.22059609999999999</v>
      </c>
      <c r="N4595">
        <v>0</v>
      </c>
      <c r="O4595">
        <v>-0.97526480000000004</v>
      </c>
      <c r="P4595">
        <v>0.42667620000000001</v>
      </c>
      <c r="Q4595">
        <v>0.12747220000000001</v>
      </c>
      <c r="R4595">
        <v>-0.89537630000000001</v>
      </c>
      <c r="S4595">
        <v>1.890717</v>
      </c>
      <c r="T4595">
        <v>-0.24457799999999999</v>
      </c>
      <c r="U4595">
        <v>-2.4909970000000001</v>
      </c>
      <c r="V4595">
        <v>-0.220663</v>
      </c>
      <c r="W4595">
        <v>0.1377932</v>
      </c>
      <c r="X4595">
        <v>0.96556759999999997</v>
      </c>
      <c r="Y4595">
        <v>-0.41201500000000002</v>
      </c>
      <c r="Z4595">
        <v>7.9770300000000002E-2</v>
      </c>
      <c r="AA4595">
        <v>0.90767850000000005</v>
      </c>
      <c r="AB4595">
        <v>30</v>
      </c>
      <c r="AC4595">
        <v>0.554699999999968</v>
      </c>
      <c r="AD4595">
        <v>-8.0362000000000003E-2</v>
      </c>
      <c r="AE4595">
        <v>-0.55127000000000204</v>
      </c>
      <c r="AF4595">
        <v>-0.415029981108122</v>
      </c>
      <c r="AG4595">
        <v>-8.0362000000000003E-2</v>
      </c>
      <c r="AH4595">
        <v>0.65316648174474101</v>
      </c>
      <c r="AI4595">
        <v>95.928583636039605</v>
      </c>
      <c r="AJ4595">
        <v>122.432376807393</v>
      </c>
      <c r="AK4595">
        <v>0.77803238309045497</v>
      </c>
      <c r="AL4595">
        <v>82.079831367204605</v>
      </c>
      <c r="AM4595">
        <v>102.872849272313</v>
      </c>
      <c r="AN4595">
        <v>0.99999995785249896</v>
      </c>
    </row>
    <row r="4596" spans="1:40" x14ac:dyDescent="0.25">
      <c r="A4596" t="str">
        <f>"20190312164603237"</f>
        <v>20190312164603237</v>
      </c>
      <c r="B4596" t="str">
        <f>"1552380363226263"</f>
        <v>1552380363226263</v>
      </c>
      <c r="C4596" t="s">
        <v>40</v>
      </c>
      <c r="D4596">
        <v>4.3752409999999999</v>
      </c>
      <c r="E4596">
        <v>0.41971839999999999</v>
      </c>
      <c r="F4596" t="s">
        <v>41</v>
      </c>
      <c r="G4596">
        <v>-420.62580000000003</v>
      </c>
      <c r="H4596">
        <v>1.0426280000000001</v>
      </c>
      <c r="I4596">
        <v>39.753540000000001</v>
      </c>
      <c r="J4596">
        <v>-421.18090000000001</v>
      </c>
      <c r="K4596">
        <v>1.1150279999999999</v>
      </c>
      <c r="L4596">
        <v>40.27805</v>
      </c>
      <c r="M4596">
        <v>0.22832659999999999</v>
      </c>
      <c r="N4596">
        <v>0</v>
      </c>
      <c r="O4596">
        <v>-0.97348389999999996</v>
      </c>
      <c r="P4596">
        <v>0.4348207</v>
      </c>
      <c r="Q4596">
        <v>0.12586600000000001</v>
      </c>
      <c r="R4596">
        <v>-0.89167770000000002</v>
      </c>
      <c r="S4596">
        <v>1.9086609999999999</v>
      </c>
      <c r="T4596">
        <v>-0.21905089999999999</v>
      </c>
      <c r="U4596">
        <v>-2.4721980000000001</v>
      </c>
      <c r="V4596">
        <v>-0.2217684</v>
      </c>
      <c r="W4596">
        <v>0.13612489999999999</v>
      </c>
      <c r="X4596">
        <v>0.96555100000000005</v>
      </c>
      <c r="Y4596">
        <v>-0.4126321</v>
      </c>
      <c r="Z4596">
        <v>7.1574929999999995E-2</v>
      </c>
      <c r="AA4596">
        <v>0.90808140000000004</v>
      </c>
      <c r="AB4596">
        <v>30</v>
      </c>
      <c r="AC4596">
        <v>0.55509999999998105</v>
      </c>
      <c r="AD4596">
        <v>-7.2400000000000006E-2</v>
      </c>
      <c r="AE4596">
        <v>-0.52450999999999903</v>
      </c>
      <c r="AF4596">
        <v>-0.416915659680203</v>
      </c>
      <c r="AG4596">
        <v>-7.2400000000000006E-2</v>
      </c>
      <c r="AH4596">
        <v>0.63173112515948904</v>
      </c>
      <c r="AI4596">
        <v>95.463883053718504</v>
      </c>
      <c r="AJ4596">
        <v>123.423112774999</v>
      </c>
      <c r="AK4596">
        <v>0.76035823253375301</v>
      </c>
      <c r="AL4596">
        <v>82.176327357064196</v>
      </c>
      <c r="AM4596">
        <v>102.93538625083301</v>
      </c>
      <c r="AN4596">
        <v>0.99999997261978402</v>
      </c>
    </row>
    <row r="4597" spans="1:40" x14ac:dyDescent="0.25">
      <c r="A4597" t="str">
        <f>"20190312164603258"</f>
        <v>20190312164603258</v>
      </c>
      <c r="B4597" t="str">
        <f>"1552380363256519"</f>
        <v>1552380363256519</v>
      </c>
      <c r="C4597" t="s">
        <v>40</v>
      </c>
      <c r="D4597">
        <v>4.4079079999999999</v>
      </c>
      <c r="E4597">
        <v>0.41916300000000001</v>
      </c>
      <c r="F4597" t="s">
        <v>41</v>
      </c>
      <c r="G4597">
        <v>-420.53199999999998</v>
      </c>
      <c r="H4597">
        <v>1.0369299999999999</v>
      </c>
      <c r="I4597">
        <v>39.454749999999997</v>
      </c>
      <c r="J4597">
        <v>-421.1078</v>
      </c>
      <c r="K4597">
        <v>1.1151249999999999</v>
      </c>
      <c r="L4597">
        <v>40.001370000000001</v>
      </c>
      <c r="M4597">
        <v>0.23581559999999999</v>
      </c>
      <c r="N4597">
        <v>0</v>
      </c>
      <c r="O4597">
        <v>-0.97169669999999997</v>
      </c>
      <c r="P4597">
        <v>0.44250250000000002</v>
      </c>
      <c r="Q4597">
        <v>0.12471</v>
      </c>
      <c r="R4597">
        <v>-0.88805369999999995</v>
      </c>
      <c r="S4597">
        <v>1.9342349999999999</v>
      </c>
      <c r="T4597">
        <v>-0.23279859999999999</v>
      </c>
      <c r="U4597">
        <v>-2.4541019999999998</v>
      </c>
      <c r="V4597">
        <v>-0.2226513</v>
      </c>
      <c r="W4597">
        <v>0.13491310000000001</v>
      </c>
      <c r="X4597">
        <v>0.96551790000000004</v>
      </c>
      <c r="Y4597">
        <v>-0.41451169999999998</v>
      </c>
      <c r="Z4597">
        <v>7.6015890000000003E-2</v>
      </c>
      <c r="AA4597">
        <v>0.90686359999999999</v>
      </c>
      <c r="AB4597">
        <v>30</v>
      </c>
      <c r="AC4597">
        <v>0.57580000000001497</v>
      </c>
      <c r="AD4597">
        <v>-7.8195000000000001E-2</v>
      </c>
      <c r="AE4597">
        <v>-0.54662000000000399</v>
      </c>
      <c r="AF4597">
        <v>-0.426506527282773</v>
      </c>
      <c r="AG4597">
        <v>-7.8195000000000001E-2</v>
      </c>
      <c r="AH4597">
        <v>0.66058912525382496</v>
      </c>
      <c r="AI4597">
        <v>95.679125181693095</v>
      </c>
      <c r="AJ4597">
        <v>122.848134913113</v>
      </c>
      <c r="AK4597">
        <v>0.79019002033904795</v>
      </c>
      <c r="AL4597">
        <v>82.2464049340564</v>
      </c>
      <c r="AM4597">
        <v>102.9855723391</v>
      </c>
      <c r="AN4597">
        <v>0.99999998058185402</v>
      </c>
    </row>
    <row r="4598" spans="1:40" x14ac:dyDescent="0.25">
      <c r="A4598" t="str">
        <f>"20190312164603282"</f>
        <v>20190312164603282</v>
      </c>
      <c r="B4598" t="str">
        <f>"1552380363276039"</f>
        <v>1552380363276039</v>
      </c>
      <c r="C4598" t="s">
        <v>40</v>
      </c>
      <c r="D4598">
        <v>4.3697819999999998</v>
      </c>
      <c r="E4598">
        <v>0.41860049999999999</v>
      </c>
      <c r="F4598" t="s">
        <v>41</v>
      </c>
      <c r="G4598">
        <v>-420.44630000000001</v>
      </c>
      <c r="H4598">
        <v>1.032254</v>
      </c>
      <c r="I4598">
        <v>39.179079999999999</v>
      </c>
      <c r="J4598">
        <v>-421.02589999999998</v>
      </c>
      <c r="K4598">
        <v>1.115248</v>
      </c>
      <c r="L4598">
        <v>39.701320000000003</v>
      </c>
      <c r="M4598">
        <v>0.24410560000000001</v>
      </c>
      <c r="N4598">
        <v>0</v>
      </c>
      <c r="O4598">
        <v>-0.96964689999999998</v>
      </c>
      <c r="P4598">
        <v>0.45095489999999999</v>
      </c>
      <c r="Q4598">
        <v>0.1244049</v>
      </c>
      <c r="R4598">
        <v>-0.88383440000000002</v>
      </c>
      <c r="S4598">
        <v>1.960358</v>
      </c>
      <c r="T4598">
        <v>-0.24550069999999999</v>
      </c>
      <c r="U4598">
        <v>-2.435883</v>
      </c>
      <c r="V4598">
        <v>-0.22364319999999999</v>
      </c>
      <c r="W4598">
        <v>0.13454360000000001</v>
      </c>
      <c r="X4598">
        <v>0.96534019999999998</v>
      </c>
      <c r="Y4598">
        <v>-0.41576249999999998</v>
      </c>
      <c r="Z4598">
        <v>8.0083680000000004E-2</v>
      </c>
      <c r="AA4598">
        <v>0.90594050000000004</v>
      </c>
      <c r="AB4598">
        <v>30</v>
      </c>
      <c r="AC4598">
        <v>0.57959999999997003</v>
      </c>
      <c r="AD4598">
        <v>-8.2993999999999998E-2</v>
      </c>
      <c r="AE4598">
        <v>-0.52224000000000304</v>
      </c>
      <c r="AF4598">
        <v>-0.429705764851466</v>
      </c>
      <c r="AG4598">
        <v>-8.2993999999999998E-2</v>
      </c>
      <c r="AH4598">
        <v>0.64068564030908404</v>
      </c>
      <c r="AI4598">
        <v>96.140419081758594</v>
      </c>
      <c r="AJ4598">
        <v>123.84962812037401</v>
      </c>
      <c r="AK4598">
        <v>0.77589505610027198</v>
      </c>
      <c r="AL4598">
        <v>82.267770531285606</v>
      </c>
      <c r="AM4598">
        <v>103.043767621352</v>
      </c>
      <c r="AN4598">
        <v>0.99999998147161895</v>
      </c>
    </row>
    <row r="4599" spans="1:40" x14ac:dyDescent="0.25">
      <c r="A4599" t="str">
        <f>"20190312164603295"</f>
        <v>20190312164603295</v>
      </c>
      <c r="B4599" t="str">
        <f>"1552380363286775"</f>
        <v>1552380363286775</v>
      </c>
      <c r="C4599" t="s">
        <v>40</v>
      </c>
      <c r="D4599">
        <v>4.3982400000000004</v>
      </c>
      <c r="E4599">
        <v>0.41838449999999999</v>
      </c>
      <c r="F4599" t="s">
        <v>52</v>
      </c>
      <c r="G4599">
        <v>-412.09699999999998</v>
      </c>
      <c r="H4599" s="1">
        <v>-9.9598799999999996E-6</v>
      </c>
      <c r="I4599">
        <v>28.849689999999999</v>
      </c>
      <c r="J4599">
        <v>-420.97919999999999</v>
      </c>
      <c r="K4599">
        <v>1.1153169999999999</v>
      </c>
      <c r="L4599">
        <v>39.53519</v>
      </c>
      <c r="M4599">
        <v>0.248778</v>
      </c>
      <c r="N4599">
        <v>0</v>
      </c>
      <c r="O4599">
        <v>-0.96845859999999995</v>
      </c>
      <c r="P4599">
        <v>0.45558939999999998</v>
      </c>
      <c r="Q4599">
        <v>0.12420440000000001</v>
      </c>
      <c r="R4599">
        <v>-0.88148280000000001</v>
      </c>
      <c r="S4599">
        <v>1.9873050000000001</v>
      </c>
      <c r="T4599">
        <v>-0.24822340000000001</v>
      </c>
      <c r="U4599">
        <v>-2.4152529999999999</v>
      </c>
      <c r="V4599">
        <v>-0.2240711</v>
      </c>
      <c r="W4599">
        <v>0.13430829999999999</v>
      </c>
      <c r="X4599">
        <v>0.96527370000000001</v>
      </c>
      <c r="Y4599">
        <v>-0.42115350000000001</v>
      </c>
      <c r="Z4599">
        <v>8.0989110000000003E-2</v>
      </c>
      <c r="AA4599">
        <v>0.90336620000000001</v>
      </c>
      <c r="AB4599">
        <v>30</v>
      </c>
      <c r="AC4599">
        <v>8.8822000000000099</v>
      </c>
      <c r="AD4599">
        <v>-1.11532695988</v>
      </c>
      <c r="AE4599">
        <v>-10.6854999999999</v>
      </c>
      <c r="AF4599">
        <v>-5.9062590412056002</v>
      </c>
      <c r="AG4599">
        <v>-1.11532695988</v>
      </c>
      <c r="AH4599">
        <v>12.478999235655699</v>
      </c>
      <c r="AI4599">
        <v>94.618603350578894</v>
      </c>
      <c r="AJ4599">
        <v>115.328001382346</v>
      </c>
      <c r="AK4599">
        <v>13.851110858438499</v>
      </c>
      <c r="AL4599">
        <v>82.281375443264196</v>
      </c>
      <c r="AM4599">
        <v>103.068738081806</v>
      </c>
      <c r="AN4599">
        <v>0.99999994660789304</v>
      </c>
    </row>
    <row r="4600" spans="1:40" x14ac:dyDescent="0.25">
      <c r="A4600" t="str">
        <f>"20190312164603315"</f>
        <v>20190312164603315</v>
      </c>
      <c r="B4600" t="str">
        <f>"1552380363306295"</f>
        <v>1552380363306295</v>
      </c>
      <c r="C4600" t="s">
        <v>40</v>
      </c>
      <c r="D4600">
        <v>4.3599699999999997</v>
      </c>
      <c r="E4600">
        <v>0.41829569999999999</v>
      </c>
      <c r="F4600" t="s">
        <v>41</v>
      </c>
      <c r="G4600">
        <v>-420.33109999999999</v>
      </c>
      <c r="H4600">
        <v>1.03437</v>
      </c>
      <c r="I4600">
        <v>38.756399999999999</v>
      </c>
      <c r="J4600">
        <v>-420.90940000000001</v>
      </c>
      <c r="K4600">
        <v>1.1154170000000001</v>
      </c>
      <c r="L4600">
        <v>39.292389999999997</v>
      </c>
      <c r="M4600">
        <v>0.25570700000000002</v>
      </c>
      <c r="N4600">
        <v>0</v>
      </c>
      <c r="O4600">
        <v>-0.96665210000000001</v>
      </c>
      <c r="P4600">
        <v>0.46240429999999999</v>
      </c>
      <c r="Q4600">
        <v>0.1238853</v>
      </c>
      <c r="R4600">
        <v>-0.87797219999999998</v>
      </c>
      <c r="S4600">
        <v>2.0015559999999999</v>
      </c>
      <c r="T4600">
        <v>-0.2498949</v>
      </c>
      <c r="U4600">
        <v>-2.4040530000000002</v>
      </c>
      <c r="V4600">
        <v>-0.22465550000000001</v>
      </c>
      <c r="W4600">
        <v>0.1339369</v>
      </c>
      <c r="X4600">
        <v>0.96518950000000003</v>
      </c>
      <c r="Y4600">
        <v>-0.41986879999999999</v>
      </c>
      <c r="Z4600">
        <v>8.148292E-2</v>
      </c>
      <c r="AA4600">
        <v>0.90391969999999999</v>
      </c>
      <c r="AB4600">
        <v>30</v>
      </c>
      <c r="AC4600">
        <v>0.57830000000001203</v>
      </c>
      <c r="AD4600">
        <v>-8.1046999999999994E-2</v>
      </c>
      <c r="AE4600">
        <v>-0.53599000000000496</v>
      </c>
      <c r="AF4600">
        <v>-0.41758827594255099</v>
      </c>
      <c r="AG4600">
        <v>-8.1046999999999994E-2</v>
      </c>
      <c r="AH4600">
        <v>0.659093523694391</v>
      </c>
      <c r="AI4600">
        <v>95.930252119030001</v>
      </c>
      <c r="AJ4600">
        <v>122.357517008252</v>
      </c>
      <c r="AK4600">
        <v>0.78444429846201402</v>
      </c>
      <c r="AL4600">
        <v>82.302849367113197</v>
      </c>
      <c r="AM4600">
        <v>103.102751833941</v>
      </c>
      <c r="AN4600">
        <v>0.99999997888605396</v>
      </c>
    </row>
    <row r="4601" spans="1:40" x14ac:dyDescent="0.25">
      <c r="A4601" t="str">
        <f>"20190312164603328"</f>
        <v>20190312164603328</v>
      </c>
      <c r="B4601" t="str">
        <f>"1552380363316056"</f>
        <v>1552380363316056</v>
      </c>
      <c r="C4601" t="s">
        <v>40</v>
      </c>
      <c r="D4601">
        <v>4.299906</v>
      </c>
      <c r="E4601">
        <v>0.41838029999999998</v>
      </c>
      <c r="F4601" t="s">
        <v>41</v>
      </c>
      <c r="G4601">
        <v>-420.26049999999998</v>
      </c>
      <c r="H4601">
        <v>1.034872</v>
      </c>
      <c r="I4601">
        <v>38.525530000000003</v>
      </c>
      <c r="J4601">
        <v>-420.85980000000001</v>
      </c>
      <c r="K4601">
        <v>1.115494</v>
      </c>
      <c r="L4601">
        <v>39.123289999999997</v>
      </c>
      <c r="M4601">
        <v>0.26059290000000002</v>
      </c>
      <c r="N4601">
        <v>0</v>
      </c>
      <c r="O4601">
        <v>-0.96534600000000004</v>
      </c>
      <c r="P4601">
        <v>0.46741630000000001</v>
      </c>
      <c r="Q4601">
        <v>0.12378210000000001</v>
      </c>
      <c r="R4601">
        <v>-0.87532869999999996</v>
      </c>
      <c r="S4601">
        <v>2.020813</v>
      </c>
      <c r="T4601">
        <v>-0.2508261</v>
      </c>
      <c r="U4601">
        <v>-2.3880620000000001</v>
      </c>
      <c r="V4601">
        <v>-0.22531300000000001</v>
      </c>
      <c r="W4601">
        <v>0.133791299999999</v>
      </c>
      <c r="X4601">
        <v>0.96505640000000004</v>
      </c>
      <c r="Y4601">
        <v>-0.42249560000000003</v>
      </c>
      <c r="Z4601">
        <v>8.1795179999999995E-2</v>
      </c>
      <c r="AA4601">
        <v>0.90266659999999999</v>
      </c>
      <c r="AB4601">
        <v>30</v>
      </c>
      <c r="AC4601">
        <v>0.59930000000002703</v>
      </c>
      <c r="AD4601">
        <v>-8.0621999999999902E-2</v>
      </c>
      <c r="AE4601">
        <v>-0.59776000000000795</v>
      </c>
      <c r="AF4601">
        <v>-0.419000611570434</v>
      </c>
      <c r="AG4601">
        <v>-8.0621999999999902E-2</v>
      </c>
      <c r="AH4601">
        <v>0.72669867731719695</v>
      </c>
      <c r="AI4601">
        <v>95.489909222052603</v>
      </c>
      <c r="AJ4601">
        <v>119.966929802343</v>
      </c>
      <c r="AK4601">
        <v>0.842705397511468</v>
      </c>
      <c r="AL4601">
        <v>82.311267232591504</v>
      </c>
      <c r="AM4601">
        <v>103.141520389343</v>
      </c>
      <c r="AN4601">
        <v>0.999999957552824</v>
      </c>
    </row>
    <row r="4602" spans="1:40" x14ac:dyDescent="0.25">
      <c r="A4602" t="str">
        <f>"20190312164603344"</f>
        <v>20190312164603344</v>
      </c>
      <c r="B4602" t="str">
        <f>"1552380363336552"</f>
        <v>1552380363336552</v>
      </c>
      <c r="C4602" t="s">
        <v>40</v>
      </c>
      <c r="D4602">
        <v>4.3657849999999998</v>
      </c>
      <c r="E4602">
        <v>0.41822759999999998</v>
      </c>
      <c r="F4602" t="s">
        <v>52</v>
      </c>
      <c r="G4602">
        <v>-411.79629999999997</v>
      </c>
      <c r="H4602" s="1">
        <v>-1.0029180000000001E-5</v>
      </c>
      <c r="I4602">
        <v>28.527349999999998</v>
      </c>
      <c r="J4602">
        <v>-420.80149999999998</v>
      </c>
      <c r="K4602">
        <v>1.1155870000000001</v>
      </c>
      <c r="L4602">
        <v>38.930480000000003</v>
      </c>
      <c r="M4602">
        <v>0.26626670000000002</v>
      </c>
      <c r="N4602">
        <v>0</v>
      </c>
      <c r="O4602">
        <v>-0.9637966</v>
      </c>
      <c r="P4602">
        <v>0.47306399999999998</v>
      </c>
      <c r="Q4602">
        <v>0.12403550000000001</v>
      </c>
      <c r="R4602">
        <v>-0.87225379999999997</v>
      </c>
      <c r="S4602">
        <v>2.0332029999999999</v>
      </c>
      <c r="T4602">
        <v>-0.25024059999999998</v>
      </c>
      <c r="U4602">
        <v>-2.3769840000000002</v>
      </c>
      <c r="V4602">
        <v>-0.2259168</v>
      </c>
      <c r="W4602">
        <v>0.13399929999999999</v>
      </c>
      <c r="X4602">
        <v>0.96488640000000003</v>
      </c>
      <c r="Y4602">
        <v>-0.4219735</v>
      </c>
      <c r="Z4602">
        <v>8.1586850000000002E-2</v>
      </c>
      <c r="AA4602">
        <v>0.90292969999999895</v>
      </c>
      <c r="AB4602">
        <v>30</v>
      </c>
      <c r="AC4602">
        <v>9.0052000000000003</v>
      </c>
      <c r="AD4602">
        <v>-1.1155970291799999</v>
      </c>
      <c r="AE4602">
        <v>-10.4031299999999</v>
      </c>
      <c r="AF4602">
        <v>-5.8711633477589604</v>
      </c>
      <c r="AG4602">
        <v>-1.1155970291799999</v>
      </c>
      <c r="AH4602">
        <v>12.3443671200779</v>
      </c>
      <c r="AI4602">
        <v>94.665706149962801</v>
      </c>
      <c r="AJ4602">
        <v>115.436450732623</v>
      </c>
      <c r="AK4602">
        <v>13.7149012166637</v>
      </c>
      <c r="AL4602">
        <v>82.299241666286903</v>
      </c>
      <c r="AM4602">
        <v>103.17775085549999</v>
      </c>
      <c r="AN4602">
        <v>0.99999998891384501</v>
      </c>
    </row>
    <row r="4603" spans="1:40" x14ac:dyDescent="0.25">
      <c r="A4603" t="str">
        <f>"20190312164603359"</f>
        <v>20190312164603359</v>
      </c>
      <c r="B4603" t="str">
        <f>"1552380363356072"</f>
        <v>1552380363356072</v>
      </c>
      <c r="C4603" t="s">
        <v>40</v>
      </c>
      <c r="D4603">
        <v>4.274807</v>
      </c>
      <c r="E4603">
        <v>0.41841149999999999</v>
      </c>
      <c r="F4603" t="s">
        <v>52</v>
      </c>
      <c r="G4603">
        <v>-411.74380000000002</v>
      </c>
      <c r="H4603" s="1">
        <v>-1.004295E-5</v>
      </c>
      <c r="I4603">
        <v>28.48602</v>
      </c>
      <c r="J4603">
        <v>-420.74090000000001</v>
      </c>
      <c r="K4603">
        <v>1.115677</v>
      </c>
      <c r="L4603">
        <v>38.734160000000003</v>
      </c>
      <c r="M4603">
        <v>0.27212129999999901</v>
      </c>
      <c r="N4603">
        <v>0</v>
      </c>
      <c r="O4603">
        <v>-0.9621594</v>
      </c>
      <c r="P4603">
        <v>0.4789699</v>
      </c>
      <c r="Q4603">
        <v>0.12398480000000001</v>
      </c>
      <c r="R4603">
        <v>-0.86903149999999996</v>
      </c>
      <c r="S4603">
        <v>2.049744</v>
      </c>
      <c r="T4603">
        <v>-0.25246000000000002</v>
      </c>
      <c r="U4603">
        <v>-2.3635860000000002</v>
      </c>
      <c r="V4603">
        <v>-0.2266232</v>
      </c>
      <c r="W4603">
        <v>0.13389999999999999</v>
      </c>
      <c r="X4603">
        <v>0.96473450000000005</v>
      </c>
      <c r="Y4603">
        <v>-0.42256860000000002</v>
      </c>
      <c r="Z4603">
        <v>8.2270140000000005E-2</v>
      </c>
      <c r="AA4603">
        <v>0.90258930000000004</v>
      </c>
      <c r="AB4603">
        <v>30</v>
      </c>
      <c r="AC4603">
        <v>8.9970999999999801</v>
      </c>
      <c r="AD4603">
        <v>-1.1156870429500001</v>
      </c>
      <c r="AE4603">
        <v>-10.2481399999999</v>
      </c>
      <c r="AF4603">
        <v>-5.8294738418437104</v>
      </c>
      <c r="AG4603">
        <v>-1.1156870429500001</v>
      </c>
      <c r="AH4603">
        <v>12.228028240099199</v>
      </c>
      <c r="AI4603">
        <v>94.708245469423105</v>
      </c>
      <c r="AJ4603">
        <v>115.488560951637</v>
      </c>
      <c r="AK4603">
        <v>13.592358054848701</v>
      </c>
      <c r="AL4603">
        <v>82.304982730861994</v>
      </c>
      <c r="AM4603">
        <v>103.21951905279801</v>
      </c>
      <c r="AN4603">
        <v>0.99999997013424402</v>
      </c>
    </row>
    <row r="4604" spans="1:40" x14ac:dyDescent="0.25">
      <c r="A4604" t="str">
        <f>"20190312164603372"</f>
        <v>20190312164603372</v>
      </c>
      <c r="B4604" t="str">
        <f>"1552380363366808"</f>
        <v>1552380363366808</v>
      </c>
      <c r="C4604" t="s">
        <v>40</v>
      </c>
      <c r="D4604">
        <v>4.289733</v>
      </c>
      <c r="E4604">
        <v>0.41837530000000001</v>
      </c>
      <c r="F4604" t="s">
        <v>41</v>
      </c>
      <c r="G4604">
        <v>-420.05410000000001</v>
      </c>
      <c r="H4604">
        <v>1.0307959999999901</v>
      </c>
      <c r="I4604">
        <v>37.951810000000002</v>
      </c>
      <c r="J4604">
        <v>-420.68860000000001</v>
      </c>
      <c r="K4604">
        <v>1.1157570000000001</v>
      </c>
      <c r="L4604">
        <v>38.567570000000003</v>
      </c>
      <c r="M4604">
        <v>0.27714870000000003</v>
      </c>
      <c r="N4604">
        <v>0</v>
      </c>
      <c r="O4604">
        <v>-0.96072329999999995</v>
      </c>
      <c r="P4604">
        <v>0.48357460000000002</v>
      </c>
      <c r="Q4604">
        <v>0.123987899999999</v>
      </c>
      <c r="R4604">
        <v>-0.86647739999999995</v>
      </c>
      <c r="S4604">
        <v>2.0640260000000001</v>
      </c>
      <c r="T4604">
        <v>-0.25506210000000001</v>
      </c>
      <c r="U4604">
        <v>-2.3508909999999998</v>
      </c>
      <c r="V4604">
        <v>-0.22672300000000001</v>
      </c>
      <c r="W4604">
        <v>0.1338722</v>
      </c>
      <c r="X4604">
        <v>0.96471490000000004</v>
      </c>
      <c r="Y4604">
        <v>-0.42329860000000002</v>
      </c>
      <c r="Z4604">
        <v>8.3101560000000005E-2</v>
      </c>
      <c r="AA4604">
        <v>0.90217099999999995</v>
      </c>
      <c r="AB4604">
        <v>30</v>
      </c>
      <c r="AC4604">
        <v>0.63450000000000195</v>
      </c>
      <c r="AD4604">
        <v>-8.4960999999999995E-2</v>
      </c>
      <c r="AE4604">
        <v>-0.61576000000000797</v>
      </c>
      <c r="AF4604">
        <v>-0.43494945529163098</v>
      </c>
      <c r="AG4604">
        <v>-8.4960999999999995E-2</v>
      </c>
      <c r="AH4604">
        <v>0.76048035931442404</v>
      </c>
      <c r="AI4604">
        <v>95.539159188932899</v>
      </c>
      <c r="AJ4604">
        <v>119.76698424345</v>
      </c>
      <c r="AK4604">
        <v>0.88018735339840204</v>
      </c>
      <c r="AL4604">
        <v>82.306589957438604</v>
      </c>
      <c r="AM4604">
        <v>103.225395352463</v>
      </c>
      <c r="AN4604">
        <v>0.99999996147192405</v>
      </c>
    </row>
    <row r="4605" spans="1:40" x14ac:dyDescent="0.25">
      <c r="A4605" t="str">
        <f>"20190312164603385"</f>
        <v>20190312164603385</v>
      </c>
      <c r="B4605" t="str">
        <f>"1552380363376567"</f>
        <v>1552380363376567</v>
      </c>
      <c r="C4605" t="s">
        <v>40</v>
      </c>
      <c r="D4605">
        <v>4.3764469999999998</v>
      </c>
      <c r="E4605">
        <v>0.41831200000000002</v>
      </c>
      <c r="F4605" t="s">
        <v>41</v>
      </c>
      <c r="G4605">
        <v>-420.00490000000002</v>
      </c>
      <c r="H4605">
        <v>1.0320860000000001</v>
      </c>
      <c r="I4605">
        <v>37.797229999999999</v>
      </c>
      <c r="J4605">
        <v>-420.63569999999999</v>
      </c>
      <c r="K4605">
        <v>1.115829</v>
      </c>
      <c r="L4605">
        <v>38.402650000000001</v>
      </c>
      <c r="M4605">
        <v>0.28218890000000002</v>
      </c>
      <c r="N4605">
        <v>0</v>
      </c>
      <c r="O4605">
        <v>-0.95925490000000002</v>
      </c>
      <c r="P4605">
        <v>0.48845909999999898</v>
      </c>
      <c r="Q4605">
        <v>0.124349</v>
      </c>
      <c r="R4605">
        <v>-0.86368140000000004</v>
      </c>
      <c r="S4605">
        <v>2.0769959999999998</v>
      </c>
      <c r="T4605">
        <v>-0.25412200000000001</v>
      </c>
      <c r="U4605">
        <v>-2.3394780000000002</v>
      </c>
      <c r="V4605">
        <v>-0.22715089999999999</v>
      </c>
      <c r="W4605">
        <v>0.13419539999999999</v>
      </c>
      <c r="X4605">
        <v>0.96456940000000002</v>
      </c>
      <c r="Y4605">
        <v>-0.42354589999999998</v>
      </c>
      <c r="Z4605">
        <v>8.2772029999999996E-2</v>
      </c>
      <c r="AA4605">
        <v>0.90208520000000003</v>
      </c>
      <c r="AB4605">
        <v>30</v>
      </c>
      <c r="AC4605">
        <v>0.63079999999996506</v>
      </c>
      <c r="AD4605">
        <v>-8.3743000000000095E-2</v>
      </c>
      <c r="AE4605">
        <v>-0.60542000000000196</v>
      </c>
      <c r="AF4605">
        <v>-0.43035052332991702</v>
      </c>
      <c r="AG4605">
        <v>-8.3743000000000095E-2</v>
      </c>
      <c r="AH4605">
        <v>0.751934395618297</v>
      </c>
      <c r="AI4605">
        <v>95.521000437809306</v>
      </c>
      <c r="AJ4605">
        <v>119.78356614977599</v>
      </c>
      <c r="AK4605">
        <v>0.87041357887683901</v>
      </c>
      <c r="AL4605">
        <v>82.287903894811706</v>
      </c>
      <c r="AM4605">
        <v>103.25140447819101</v>
      </c>
      <c r="AN4605">
        <v>1.00000003208416</v>
      </c>
    </row>
    <row r="4606" spans="1:40" x14ac:dyDescent="0.25">
      <c r="A4606" t="str">
        <f>"20190312164603404"</f>
        <v>20190312164603404</v>
      </c>
      <c r="B4606" t="str">
        <f>"1552380363396087"</f>
        <v>1552380363396087</v>
      </c>
      <c r="C4606" t="s">
        <v>40</v>
      </c>
      <c r="D4606">
        <v>4.0973899999999999</v>
      </c>
      <c r="E4606">
        <v>0.41838340000000002</v>
      </c>
      <c r="F4606" t="s">
        <v>52</v>
      </c>
      <c r="G4606">
        <v>-411.46640000000002</v>
      </c>
      <c r="H4606" s="1">
        <v>-1.010753E-5</v>
      </c>
      <c r="I4606">
        <v>28.194469999999999</v>
      </c>
      <c r="J4606">
        <v>-420.56119999999999</v>
      </c>
      <c r="K4606">
        <v>1.1159300000000001</v>
      </c>
      <c r="L4606">
        <v>38.175719999999998</v>
      </c>
      <c r="M4606">
        <v>0.28922999999999999</v>
      </c>
      <c r="N4606">
        <v>0</v>
      </c>
      <c r="O4606">
        <v>-0.95715499999999998</v>
      </c>
      <c r="P4606">
        <v>0.49501420000000002</v>
      </c>
      <c r="Q4606">
        <v>0.1242273</v>
      </c>
      <c r="R4606">
        <v>-0.85995849999999996</v>
      </c>
      <c r="S4606">
        <v>2.0907900000000001</v>
      </c>
      <c r="T4606">
        <v>-0.25443359999999998</v>
      </c>
      <c r="U4606">
        <v>-2.3276669999999999</v>
      </c>
      <c r="V4606">
        <v>-0.22742499999999999</v>
      </c>
      <c r="W4606">
        <v>0.13403180000000001</v>
      </c>
      <c r="X4606">
        <v>0.96452749999999998</v>
      </c>
      <c r="Y4606">
        <v>-0.4221259</v>
      </c>
      <c r="Z4606">
        <v>8.2801100000000002E-2</v>
      </c>
      <c r="AA4606">
        <v>0.90274790000000005</v>
      </c>
      <c r="AB4606">
        <v>30</v>
      </c>
      <c r="AC4606">
        <v>9.0947999999999602</v>
      </c>
      <c r="AD4606">
        <v>-1.1159401075299999</v>
      </c>
      <c r="AE4606">
        <v>-9.9812499999999904</v>
      </c>
      <c r="AF4606">
        <v>-5.7793681536841204</v>
      </c>
      <c r="AG4606">
        <v>-1.1159401075299999</v>
      </c>
      <c r="AH4606">
        <v>12.1026560160873</v>
      </c>
      <c r="AI4606">
        <v>94.756400423546694</v>
      </c>
      <c r="AJ4606">
        <v>115.525824281517</v>
      </c>
      <c r="AK4606">
        <v>13.4581091251017</v>
      </c>
      <c r="AL4606">
        <v>82.297362503889602</v>
      </c>
      <c r="AM4606">
        <v>103.26738558511801</v>
      </c>
      <c r="AN4606">
        <v>0.99999997614624403</v>
      </c>
    </row>
    <row r="4607" spans="1:40" x14ac:dyDescent="0.25">
      <c r="A4607" t="str">
        <f>"20190312164603418"</f>
        <v>20190312164603418</v>
      </c>
      <c r="B4607" t="str">
        <f>"1552380363406823"</f>
        <v>1552380363406823</v>
      </c>
      <c r="C4607" t="s">
        <v>40</v>
      </c>
      <c r="D4607">
        <v>4.1981219999999997</v>
      </c>
      <c r="E4607">
        <v>0.41855219999999999</v>
      </c>
      <c r="F4607" t="s">
        <v>52</v>
      </c>
      <c r="G4607">
        <v>-411.09719999999999</v>
      </c>
      <c r="H4607" s="1">
        <v>-1.0200460000000001E-5</v>
      </c>
      <c r="I4607">
        <v>27.791889999999999</v>
      </c>
      <c r="J4607">
        <v>-420.50580000000002</v>
      </c>
      <c r="K4607">
        <v>1.1159950000000001</v>
      </c>
      <c r="L4607">
        <v>38.010890000000003</v>
      </c>
      <c r="M4607">
        <v>0.29441679999999998</v>
      </c>
      <c r="N4607">
        <v>0</v>
      </c>
      <c r="O4607">
        <v>-0.95557239999999999</v>
      </c>
      <c r="P4607">
        <v>0.50003359999999997</v>
      </c>
      <c r="Q4607">
        <v>0.124297699999999</v>
      </c>
      <c r="R4607">
        <v>-0.85703960000000001</v>
      </c>
      <c r="S4607">
        <v>2.1068730000000002</v>
      </c>
      <c r="T4607">
        <v>-0.24843029999999999</v>
      </c>
      <c r="U4607">
        <v>-2.3116460000000001</v>
      </c>
      <c r="V4607">
        <v>-0.22786129999999999</v>
      </c>
      <c r="W4607">
        <v>0.13406680000000001</v>
      </c>
      <c r="X4607">
        <v>0.96441969999999999</v>
      </c>
      <c r="Y4607">
        <v>-0.42386489999999999</v>
      </c>
      <c r="Z4607">
        <v>8.0876509999999999E-2</v>
      </c>
      <c r="AA4607">
        <v>0.90210729999999995</v>
      </c>
      <c r="AB4607">
        <v>30</v>
      </c>
      <c r="AC4607">
        <v>9.4086000000000301</v>
      </c>
      <c r="AD4607">
        <v>-1.1160052004600001</v>
      </c>
      <c r="AE4607">
        <v>-10.218999999999999</v>
      </c>
      <c r="AF4607">
        <v>-5.9441828979770497</v>
      </c>
      <c r="AG4607">
        <v>-1.1160052004600001</v>
      </c>
      <c r="AH4607">
        <v>12.455897460599299</v>
      </c>
      <c r="AI4607">
        <v>94.622928961320397</v>
      </c>
      <c r="AJ4607">
        <v>115.511333054459</v>
      </c>
      <c r="AK4607">
        <v>13.846593786235699</v>
      </c>
      <c r="AL4607">
        <v>82.295339214680993</v>
      </c>
      <c r="AM4607">
        <v>103.293368568845</v>
      </c>
      <c r="AN4607">
        <v>1.0000000183240001</v>
      </c>
    </row>
    <row r="4608" spans="1:40" x14ac:dyDescent="0.25">
      <c r="A4608" t="str">
        <f>"20190312164603439"</f>
        <v>20190312164603439</v>
      </c>
      <c r="B4608" t="str">
        <f>"1552380363426343"</f>
        <v>1552380363426343</v>
      </c>
      <c r="C4608" t="s">
        <v>40</v>
      </c>
      <c r="D4608">
        <v>4.2387579999999998</v>
      </c>
      <c r="E4608">
        <v>0.41888639999999999</v>
      </c>
      <c r="F4608" t="s">
        <v>41</v>
      </c>
      <c r="G4608">
        <v>-419.81110000000001</v>
      </c>
      <c r="H4608">
        <v>1.035865</v>
      </c>
      <c r="I4608">
        <v>37.25665</v>
      </c>
      <c r="J4608">
        <v>-420.4171</v>
      </c>
      <c r="K4608">
        <v>1.116096</v>
      </c>
      <c r="L4608">
        <v>37.752989999999997</v>
      </c>
      <c r="M4608">
        <v>0.30264029999999997</v>
      </c>
      <c r="N4608">
        <v>0</v>
      </c>
      <c r="O4608">
        <v>-0.95299940000000005</v>
      </c>
      <c r="P4608">
        <v>0.50839719999999999</v>
      </c>
      <c r="Q4608">
        <v>0.1235451</v>
      </c>
      <c r="R4608">
        <v>-0.85221429999999998</v>
      </c>
      <c r="S4608">
        <v>2.118652</v>
      </c>
      <c r="T4608">
        <v>-0.24433050000000001</v>
      </c>
      <c r="U4608">
        <v>-2.2997130000000001</v>
      </c>
      <c r="V4608">
        <v>-0.22898009999999999</v>
      </c>
      <c r="W4608">
        <v>0.1332526</v>
      </c>
      <c r="X4608">
        <v>0.9642676</v>
      </c>
      <c r="Y4608">
        <v>-0.42097079999999998</v>
      </c>
      <c r="Z4608">
        <v>7.9473879999999997E-2</v>
      </c>
      <c r="AA4608">
        <v>0.90358590000000005</v>
      </c>
      <c r="AB4608">
        <v>30</v>
      </c>
      <c r="AC4608">
        <v>0.60599999999999399</v>
      </c>
      <c r="AD4608">
        <v>-8.02309999999999E-2</v>
      </c>
      <c r="AE4608">
        <v>-0.496340000000003</v>
      </c>
      <c r="AF4608">
        <v>-0.42291144044373902</v>
      </c>
      <c r="AG4608">
        <v>-8.02309999999999E-2</v>
      </c>
      <c r="AH4608">
        <v>0.64966227587897296</v>
      </c>
      <c r="AI4608">
        <v>95.909009466865697</v>
      </c>
      <c r="AJ4608">
        <v>123.06296897755399</v>
      </c>
      <c r="AK4608">
        <v>0.779328026263297</v>
      </c>
      <c r="AL4608">
        <v>82.342412228962402</v>
      </c>
      <c r="AM4608">
        <v>103.35833670952699</v>
      </c>
      <c r="AN4608">
        <v>1.0000000730062599</v>
      </c>
    </row>
    <row r="4609" spans="1:40" x14ac:dyDescent="0.25">
      <c r="A4609" t="str">
        <f>"20190312164603461"</f>
        <v>20190312164603461</v>
      </c>
      <c r="B4609" t="str">
        <f>"1552380363456599"</f>
        <v>1552380363456599</v>
      </c>
      <c r="C4609" t="s">
        <v>40</v>
      </c>
      <c r="D4609">
        <v>4.3691490000000002</v>
      </c>
      <c r="E4609">
        <v>0.41947129999999999</v>
      </c>
      <c r="F4609" t="s">
        <v>41</v>
      </c>
      <c r="G4609">
        <v>-419.71010000000001</v>
      </c>
      <c r="H4609">
        <v>1.036559</v>
      </c>
      <c r="I4609">
        <v>36.998649999999998</v>
      </c>
      <c r="J4609">
        <v>-420.32069999999999</v>
      </c>
      <c r="K4609">
        <v>1.1161989999999999</v>
      </c>
      <c r="L4609">
        <v>37.481200000000001</v>
      </c>
      <c r="M4609">
        <v>0.3114518</v>
      </c>
      <c r="N4609">
        <v>0</v>
      </c>
      <c r="O4609">
        <v>-0.95015590000000005</v>
      </c>
      <c r="P4609">
        <v>0.51719870000000001</v>
      </c>
      <c r="Q4609">
        <v>0.12264170000000001</v>
      </c>
      <c r="R4609">
        <v>-0.84703300000000004</v>
      </c>
      <c r="S4609">
        <v>2.1369929999999999</v>
      </c>
      <c r="T4609">
        <v>-0.2404271</v>
      </c>
      <c r="U4609">
        <v>-2.280243</v>
      </c>
      <c r="V4609">
        <v>-0.23002049999999999</v>
      </c>
      <c r="W4609">
        <v>0.13228989999999999</v>
      </c>
      <c r="X4609">
        <v>0.96415249999999997</v>
      </c>
      <c r="Y4609">
        <v>-0.42036249999999997</v>
      </c>
      <c r="Z4609">
        <v>7.8178929999999994E-2</v>
      </c>
      <c r="AA4609">
        <v>0.90398199999999995</v>
      </c>
      <c r="AB4609">
        <v>29</v>
      </c>
      <c r="AC4609">
        <v>0.61059999999997605</v>
      </c>
      <c r="AD4609">
        <v>-7.9639999999999905E-2</v>
      </c>
      <c r="AE4609">
        <v>-0.48255000000000298</v>
      </c>
      <c r="AF4609">
        <v>-0.42546216880961502</v>
      </c>
      <c r="AG4609">
        <v>-7.9639999999999905E-2</v>
      </c>
      <c r="AH4609">
        <v>0.64201265572393196</v>
      </c>
      <c r="AI4609">
        <v>95.903549629361393</v>
      </c>
      <c r="AJ4609">
        <v>123.53245999078101</v>
      </c>
      <c r="AK4609">
        <v>0.77430022394280495</v>
      </c>
      <c r="AL4609">
        <v>82.398063362599402</v>
      </c>
      <c r="AM4609">
        <v>103.41838585314601</v>
      </c>
      <c r="AN4609">
        <v>1.0000000456592499</v>
      </c>
    </row>
    <row r="4610" spans="1:40" x14ac:dyDescent="0.25">
      <c r="A4610" t="str">
        <f>"20190312164603476"</f>
        <v>20190312164603476</v>
      </c>
      <c r="B4610" t="str">
        <f>"1552380363466360"</f>
        <v>1552380363466360</v>
      </c>
      <c r="C4610" t="s">
        <v>40</v>
      </c>
      <c r="D4610">
        <v>4.2420140000000002</v>
      </c>
      <c r="E4610">
        <v>0.41972660000000001</v>
      </c>
      <c r="F4610" t="s">
        <v>52</v>
      </c>
      <c r="G4610">
        <v>-410.10899999999998</v>
      </c>
      <c r="H4610" s="1">
        <v>-1.045799E-5</v>
      </c>
      <c r="I4610">
        <v>26.773119999999999</v>
      </c>
      <c r="J4610">
        <v>-420.25389999999999</v>
      </c>
      <c r="K4610">
        <v>1.1162650000000001</v>
      </c>
      <c r="L4610">
        <v>37.297519999999999</v>
      </c>
      <c r="M4610">
        <v>0.3174881</v>
      </c>
      <c r="N4610">
        <v>0</v>
      </c>
      <c r="O4610">
        <v>-0.94815579999999999</v>
      </c>
      <c r="P4610">
        <v>0.52287850000000002</v>
      </c>
      <c r="Q4610">
        <v>0.1222028</v>
      </c>
      <c r="R4610">
        <v>-0.84360239999999997</v>
      </c>
      <c r="S4610">
        <v>2.1551819999999999</v>
      </c>
      <c r="T4610">
        <v>-0.2355766</v>
      </c>
      <c r="U4610">
        <v>-2.2599490000000002</v>
      </c>
      <c r="V4610">
        <v>-0.23036290000000001</v>
      </c>
      <c r="W4610">
        <v>0.13181870000000001</v>
      </c>
      <c r="X4610">
        <v>0.96413519999999997</v>
      </c>
      <c r="Y4610">
        <v>-0.42253809999999897</v>
      </c>
      <c r="Z4610">
        <v>7.6645210000000005E-2</v>
      </c>
      <c r="AA4610">
        <v>0.90309859999999997</v>
      </c>
      <c r="AB4610">
        <v>29</v>
      </c>
      <c r="AC4610">
        <v>10.1448999999999</v>
      </c>
      <c r="AD4610">
        <v>-1.1162754579900001</v>
      </c>
      <c r="AE4610">
        <v>-10.524399999999901</v>
      </c>
      <c r="AF4610">
        <v>-6.2418091333879904</v>
      </c>
      <c r="AG4610">
        <v>-1.1162754579900001</v>
      </c>
      <c r="AH4610">
        <v>13.124454242504299</v>
      </c>
      <c r="AI4610">
        <v>94.392212710896104</v>
      </c>
      <c r="AJ4610">
        <v>115.435115020084</v>
      </c>
      <c r="AK4610">
        <v>14.5759236866603</v>
      </c>
      <c r="AL4610">
        <v>82.425298999664903</v>
      </c>
      <c r="AM4610">
        <v>103.437868414211</v>
      </c>
      <c r="AN4610">
        <v>0.99999995962256905</v>
      </c>
    </row>
    <row r="4611" spans="1:40" x14ac:dyDescent="0.25">
      <c r="A4611" t="str">
        <f>"20190312164603495"</f>
        <v>20190312164603495</v>
      </c>
      <c r="B4611" t="str">
        <f>"1552380363485879"</f>
        <v>1552380363485879</v>
      </c>
      <c r="C4611" t="s">
        <v>40</v>
      </c>
      <c r="D4611">
        <v>9.5174789999999998</v>
      </c>
      <c r="E4611">
        <v>0.42005039999999999</v>
      </c>
      <c r="F4611" t="s">
        <v>41</v>
      </c>
      <c r="G4611">
        <v>-419.54919999999998</v>
      </c>
      <c r="H4611">
        <v>1.0396350000000001</v>
      </c>
      <c r="I4611">
        <v>36.56765</v>
      </c>
      <c r="J4611">
        <v>-420.16629999999998</v>
      </c>
      <c r="K4611">
        <v>1.116349</v>
      </c>
      <c r="L4611">
        <v>37.062260000000002</v>
      </c>
      <c r="M4611">
        <v>0.32531379999999999</v>
      </c>
      <c r="N4611">
        <v>0</v>
      </c>
      <c r="O4611">
        <v>-0.94549890000000003</v>
      </c>
      <c r="P4611">
        <v>0.53044239999999998</v>
      </c>
      <c r="Q4611">
        <v>0.12173929999999999</v>
      </c>
      <c r="R4611">
        <v>-0.83893410000000002</v>
      </c>
      <c r="S4611">
        <v>2.1686100000000001</v>
      </c>
      <c r="T4611">
        <v>-0.2358295</v>
      </c>
      <c r="U4611">
        <v>-2.246216</v>
      </c>
      <c r="V4611">
        <v>-0.23106180000000001</v>
      </c>
      <c r="W4611">
        <v>0.1313105</v>
      </c>
      <c r="X4611">
        <v>0.96403740000000004</v>
      </c>
      <c r="Y4611">
        <v>-0.42060120000000001</v>
      </c>
      <c r="Z4611">
        <v>7.6645840000000007E-2</v>
      </c>
      <c r="AA4611">
        <v>0.90400219999999998</v>
      </c>
      <c r="AB4611">
        <v>29</v>
      </c>
      <c r="AC4611">
        <v>0.61709999999999299</v>
      </c>
      <c r="AD4611">
        <v>-7.6713999999999893E-2</v>
      </c>
      <c r="AE4611">
        <v>-0.494609999999994</v>
      </c>
      <c r="AF4611">
        <v>-0.41866740688877002</v>
      </c>
      <c r="AG4611">
        <v>-7.6713999999999893E-2</v>
      </c>
      <c r="AH4611">
        <v>0.662240930980034</v>
      </c>
      <c r="AI4611">
        <v>95.592237257207898</v>
      </c>
      <c r="AJ4611">
        <v>122.30099328448</v>
      </c>
      <c r="AK4611">
        <v>0.78722962727038504</v>
      </c>
      <c r="AL4611">
        <v>82.454672767838403</v>
      </c>
      <c r="AM4611">
        <v>103.47846989488301</v>
      </c>
      <c r="AN4611">
        <v>1.00000005571412</v>
      </c>
    </row>
    <row r="4612" spans="1:40" x14ac:dyDescent="0.25">
      <c r="A4612" t="str">
        <f>"20190312164603517"</f>
        <v>20190312164603517</v>
      </c>
      <c r="B4612" t="str">
        <f>"1552380363506376"</f>
        <v>1552380363506376</v>
      </c>
      <c r="C4612" t="s">
        <v>40</v>
      </c>
      <c r="D4612">
        <v>4.0094640000000004</v>
      </c>
      <c r="E4612">
        <v>0.42018339999999998</v>
      </c>
      <c r="F4612" t="s">
        <v>41</v>
      </c>
      <c r="G4612">
        <v>-419.45859999999999</v>
      </c>
      <c r="H4612">
        <v>1.040659</v>
      </c>
      <c r="I4612">
        <v>36.341189999999997</v>
      </c>
      <c r="J4612">
        <v>-420.06790000000001</v>
      </c>
      <c r="K4612">
        <v>1.1164289999999999</v>
      </c>
      <c r="L4612">
        <v>36.805300000000003</v>
      </c>
      <c r="M4612">
        <v>0.33397850000000001</v>
      </c>
      <c r="N4612">
        <v>0</v>
      </c>
      <c r="O4612">
        <v>-0.94247289999999995</v>
      </c>
      <c r="P4612">
        <v>0.53865629999999998</v>
      </c>
      <c r="Q4612">
        <v>0.1206058</v>
      </c>
      <c r="R4612">
        <v>-0.83384899999999995</v>
      </c>
      <c r="S4612">
        <v>2.1865540000000001</v>
      </c>
      <c r="T4612">
        <v>-0.23382159999999999</v>
      </c>
      <c r="U4612">
        <v>-2.2273860000000001</v>
      </c>
      <c r="V4612">
        <v>-0.2316358</v>
      </c>
      <c r="W4612">
        <v>0.1301339</v>
      </c>
      <c r="X4612">
        <v>0.96405920000000001</v>
      </c>
      <c r="Y4612">
        <v>-0.41984399999999999</v>
      </c>
      <c r="Z4612">
        <v>7.5926820000000006E-2</v>
      </c>
      <c r="AA4612">
        <v>0.90441479999999996</v>
      </c>
      <c r="AB4612">
        <v>29</v>
      </c>
      <c r="AC4612">
        <v>0.60930000000001805</v>
      </c>
      <c r="AD4612">
        <v>-7.5770000000000101E-2</v>
      </c>
      <c r="AE4612">
        <v>-0.46410999999999702</v>
      </c>
      <c r="AF4612">
        <v>-0.41522505088892497</v>
      </c>
      <c r="AG4612">
        <v>-7.5770000000000101E-2</v>
      </c>
      <c r="AH4612">
        <v>0.63475738137885596</v>
      </c>
      <c r="AI4612">
        <v>95.704577704436801</v>
      </c>
      <c r="AJ4612">
        <v>123.190611156191</v>
      </c>
      <c r="AK4612">
        <v>0.76227939038167103</v>
      </c>
      <c r="AL4612">
        <v>82.522670488604007</v>
      </c>
      <c r="AM4612">
        <v>103.510432531405</v>
      </c>
      <c r="AN4612">
        <v>1.00000005843774</v>
      </c>
    </row>
    <row r="4613" spans="1:40" x14ac:dyDescent="0.25">
      <c r="A4613" t="str">
        <f>"20190312164603538"</f>
        <v>20190312164603538</v>
      </c>
      <c r="B4613" t="str">
        <f>"1552380363525896"</f>
        <v>1552380363525896</v>
      </c>
      <c r="C4613" t="s">
        <v>40</v>
      </c>
      <c r="D4613">
        <v>4.1430059999999997</v>
      </c>
      <c r="E4613">
        <v>0.42009259999999898</v>
      </c>
      <c r="F4613" t="s">
        <v>41</v>
      </c>
      <c r="G4613">
        <v>-419.34660000000002</v>
      </c>
      <c r="H4613">
        <v>1.040508</v>
      </c>
      <c r="I4613">
        <v>36.084429999999998</v>
      </c>
      <c r="J4613">
        <v>-419.96469999999999</v>
      </c>
      <c r="K4613">
        <v>1.116514</v>
      </c>
      <c r="L4613">
        <v>36.543520000000001</v>
      </c>
      <c r="M4613">
        <v>0.34292420000000001</v>
      </c>
      <c r="N4613">
        <v>0</v>
      </c>
      <c r="O4613">
        <v>-0.93925460000000005</v>
      </c>
      <c r="P4613">
        <v>0.54761660000000001</v>
      </c>
      <c r="Q4613">
        <v>0.1192539</v>
      </c>
      <c r="R4613">
        <v>-0.82818769999999997</v>
      </c>
      <c r="S4613">
        <v>2.2066349999999999</v>
      </c>
      <c r="T4613">
        <v>-0.2323123</v>
      </c>
      <c r="U4613">
        <v>-2.2059630000000001</v>
      </c>
      <c r="V4613">
        <v>-0.2328036</v>
      </c>
      <c r="W4613">
        <v>0.12872809999999901</v>
      </c>
      <c r="X4613">
        <v>0.96396649999999995</v>
      </c>
      <c r="Y4613">
        <v>-0.41975299999999999</v>
      </c>
      <c r="Z4613">
        <v>7.5371980000000005E-2</v>
      </c>
      <c r="AA4613">
        <v>0.90450350000000002</v>
      </c>
      <c r="AB4613">
        <v>29</v>
      </c>
      <c r="AC4613">
        <v>0.61809999999996901</v>
      </c>
      <c r="AD4613">
        <v>-7.6006000000000004E-2</v>
      </c>
      <c r="AE4613">
        <v>-0.459090000000003</v>
      </c>
      <c r="AF4613">
        <v>-0.41907941237933199</v>
      </c>
      <c r="AG4613">
        <v>-7.6006000000000004E-2</v>
      </c>
      <c r="AH4613">
        <v>0.637021647372087</v>
      </c>
      <c r="AI4613">
        <v>95.692352476586294</v>
      </c>
      <c r="AJ4613">
        <v>123.339842529777</v>
      </c>
      <c r="AK4613">
        <v>0.76629044437266303</v>
      </c>
      <c r="AL4613">
        <v>82.603899185610999</v>
      </c>
      <c r="AM4613">
        <v>103.577288074753</v>
      </c>
      <c r="AN4613">
        <v>0.99999992651240699</v>
      </c>
    </row>
    <row r="4614" spans="1:40" x14ac:dyDescent="0.25">
      <c r="A4614" t="str">
        <f>"20190312164603552"</f>
        <v>20190312164603552</v>
      </c>
      <c r="B4614" t="str">
        <f>"1552380363546393"</f>
        <v>1552380363546393</v>
      </c>
      <c r="C4614" t="s">
        <v>40</v>
      </c>
      <c r="D4614">
        <v>4.2054070000000001</v>
      </c>
      <c r="E4614">
        <v>0.41974270000000002</v>
      </c>
      <c r="F4614" t="s">
        <v>41</v>
      </c>
      <c r="G4614">
        <v>-419.22770000000003</v>
      </c>
      <c r="H4614">
        <v>1.0381609999999999</v>
      </c>
      <c r="I4614">
        <v>35.822049999999997</v>
      </c>
      <c r="J4614">
        <v>-419.89789999999999</v>
      </c>
      <c r="K4614">
        <v>1.1165609999999999</v>
      </c>
      <c r="L4614">
        <v>36.37753</v>
      </c>
      <c r="M4614">
        <v>0.34864970000000001</v>
      </c>
      <c r="N4614">
        <v>0</v>
      </c>
      <c r="O4614">
        <v>-0.93714410000000004</v>
      </c>
      <c r="P4614">
        <v>0.55347159999999995</v>
      </c>
      <c r="Q4614">
        <v>0.1181816</v>
      </c>
      <c r="R4614">
        <v>-0.82444089999999903</v>
      </c>
      <c r="S4614">
        <v>2.2299799999999999</v>
      </c>
      <c r="T4614">
        <v>-0.23699010000000001</v>
      </c>
      <c r="U4614">
        <v>-2.1819760000000001</v>
      </c>
      <c r="V4614">
        <v>-0.23369590000000001</v>
      </c>
      <c r="W4614">
        <v>0.12761919999999999</v>
      </c>
      <c r="X4614">
        <v>0.96389809999999998</v>
      </c>
      <c r="Y4614">
        <v>-0.42382969999999998</v>
      </c>
      <c r="Z4614">
        <v>7.6887239999999996E-2</v>
      </c>
      <c r="AA4614">
        <v>0.90247259999999996</v>
      </c>
      <c r="AB4614">
        <v>29</v>
      </c>
      <c r="AC4614">
        <v>0.67019999999996505</v>
      </c>
      <c r="AD4614">
        <v>-7.8399999999999997E-2</v>
      </c>
      <c r="AE4614">
        <v>-0.55548000000000197</v>
      </c>
      <c r="AF4614">
        <v>-0.43095458788920099</v>
      </c>
      <c r="AG4614">
        <v>-7.8399999999999997E-2</v>
      </c>
      <c r="AH4614">
        <v>0.74823730988895798</v>
      </c>
      <c r="AI4614">
        <v>95.188025503483104</v>
      </c>
      <c r="AJ4614">
        <v>119.940211663059</v>
      </c>
      <c r="AK4614">
        <v>0.86702219621680698</v>
      </c>
      <c r="AL4614">
        <v>82.667963369829096</v>
      </c>
      <c r="AM4614">
        <v>103.628321681766</v>
      </c>
      <c r="AN4614">
        <v>0.99999999053452904</v>
      </c>
    </row>
    <row r="4615" spans="1:40" x14ac:dyDescent="0.25">
      <c r="A4615" t="str">
        <f>"20190312164603564"</f>
        <v>20190312164603564</v>
      </c>
      <c r="B4615" t="str">
        <f>"1552380363556151"</f>
        <v>1552380363556151</v>
      </c>
      <c r="C4615" t="s">
        <v>40</v>
      </c>
      <c r="D4615">
        <v>4.247757</v>
      </c>
      <c r="E4615">
        <v>0.41957149999999999</v>
      </c>
      <c r="F4615" t="s">
        <v>41</v>
      </c>
      <c r="G4615">
        <v>-419.15129999999999</v>
      </c>
      <c r="H4615">
        <v>1.036816</v>
      </c>
      <c r="I4615">
        <v>35.658389999999997</v>
      </c>
      <c r="J4615">
        <v>-419.83539999999999</v>
      </c>
      <c r="K4615">
        <v>1.116601</v>
      </c>
      <c r="L4615">
        <v>36.225560000000002</v>
      </c>
      <c r="M4615">
        <v>0.3539369</v>
      </c>
      <c r="N4615">
        <v>0</v>
      </c>
      <c r="O4615">
        <v>-0.93515990000000004</v>
      </c>
      <c r="P4615">
        <v>0.55887790000000004</v>
      </c>
      <c r="Q4615">
        <v>0.117103</v>
      </c>
      <c r="R4615">
        <v>-0.82094</v>
      </c>
      <c r="S4615">
        <v>2.2473450000000001</v>
      </c>
      <c r="T4615">
        <v>-0.2400284</v>
      </c>
      <c r="U4615">
        <v>-2.1645509999999999</v>
      </c>
      <c r="V4615">
        <v>-0.2345283</v>
      </c>
      <c r="W4615">
        <v>0.1265077</v>
      </c>
      <c r="X4615">
        <v>0.96384250000000005</v>
      </c>
      <c r="Y4615">
        <v>-0.42577559999999898</v>
      </c>
      <c r="Z4615">
        <v>7.7829179999999998E-2</v>
      </c>
      <c r="AA4615">
        <v>0.90147529999999998</v>
      </c>
      <c r="AB4615">
        <v>29</v>
      </c>
      <c r="AC4615">
        <v>0.68410000000000004</v>
      </c>
      <c r="AD4615">
        <v>-7.9784999999999995E-2</v>
      </c>
      <c r="AE4615">
        <v>-0.56716999999998996</v>
      </c>
      <c r="AF4615">
        <v>-0.43553453223837602</v>
      </c>
      <c r="AG4615">
        <v>-7.9784999999999995E-2</v>
      </c>
      <c r="AH4615">
        <v>0.76642370914116997</v>
      </c>
      <c r="AI4615">
        <v>95.171600669403006</v>
      </c>
      <c r="AJ4615">
        <v>119.608209616191</v>
      </c>
      <c r="AK4615">
        <v>0.88513347972540901</v>
      </c>
      <c r="AL4615">
        <v>82.732168423033599</v>
      </c>
      <c r="AM4615">
        <v>103.675803979016</v>
      </c>
      <c r="AN4615">
        <v>1.0000000432332099</v>
      </c>
    </row>
    <row r="4616" spans="1:40" x14ac:dyDescent="0.25">
      <c r="A4616" t="str">
        <f>"20190312164603577"</f>
        <v>20190312164603577</v>
      </c>
      <c r="B4616" t="str">
        <f>"1552380363566888"</f>
        <v>1552380363566888</v>
      </c>
      <c r="C4616" t="s">
        <v>40</v>
      </c>
      <c r="D4616">
        <v>4.2417480000000003</v>
      </c>
      <c r="E4616">
        <v>0.41943649999999999</v>
      </c>
      <c r="F4616" t="s">
        <v>52</v>
      </c>
      <c r="G4616">
        <v>-409.4778</v>
      </c>
      <c r="H4616" s="1">
        <v>-2.6626589999999999E-6</v>
      </c>
      <c r="I4616">
        <v>26.386130000000001</v>
      </c>
      <c r="J4616">
        <v>-419.77370000000002</v>
      </c>
      <c r="K4616">
        <v>1.116636</v>
      </c>
      <c r="L4616">
        <v>36.077820000000003</v>
      </c>
      <c r="M4616">
        <v>0.35911710000000002</v>
      </c>
      <c r="N4616">
        <v>0</v>
      </c>
      <c r="O4616">
        <v>-0.93318270000000003</v>
      </c>
      <c r="P4616">
        <v>0.56407369999999901</v>
      </c>
      <c r="Q4616">
        <v>0.116025</v>
      </c>
      <c r="R4616">
        <v>-0.81753240000000005</v>
      </c>
      <c r="S4616">
        <v>2.262238</v>
      </c>
      <c r="T4616">
        <v>-0.2438797</v>
      </c>
      <c r="U4616">
        <v>-2.1490480000000001</v>
      </c>
      <c r="V4616">
        <v>-0.23523630000000001</v>
      </c>
      <c r="W4616">
        <v>0.12540080000000001</v>
      </c>
      <c r="X4616">
        <v>0.96381459999999997</v>
      </c>
      <c r="Y4616">
        <v>-0.42689929999999898</v>
      </c>
      <c r="Z4616">
        <v>7.9025250000000005E-2</v>
      </c>
      <c r="AA4616">
        <v>0.90083959999999996</v>
      </c>
      <c r="AB4616">
        <v>29</v>
      </c>
      <c r="AC4616">
        <v>10.2959</v>
      </c>
      <c r="AD4616">
        <v>-1.1166386626589999</v>
      </c>
      <c r="AE4616">
        <v>-9.6916899999999995</v>
      </c>
      <c r="AF4616">
        <v>-6.0901512354189098</v>
      </c>
      <c r="AG4616">
        <v>-1.1166386626589999</v>
      </c>
      <c r="AH4616">
        <v>12.663879416540301</v>
      </c>
      <c r="AI4616">
        <v>94.543389208896201</v>
      </c>
      <c r="AJ4616">
        <v>115.68323789516</v>
      </c>
      <c r="AK4616">
        <v>14.0964770723005</v>
      </c>
      <c r="AL4616">
        <v>82.796098162477705</v>
      </c>
      <c r="AM4616">
        <v>103.715913888305</v>
      </c>
      <c r="AN4616">
        <v>1.0000000303257399</v>
      </c>
    </row>
    <row r="4617" spans="1:40" x14ac:dyDescent="0.25">
      <c r="A4617" t="str">
        <f>"20190312164603591"</f>
        <v>20190312164603591</v>
      </c>
      <c r="B4617" t="str">
        <f>"1552380363586408"</f>
        <v>1552380363586408</v>
      </c>
      <c r="C4617" t="s">
        <v>40</v>
      </c>
      <c r="D4617">
        <v>4.1409339999999997</v>
      </c>
      <c r="E4617">
        <v>0.41939729999999997</v>
      </c>
      <c r="F4617" t="s">
        <v>41</v>
      </c>
      <c r="G4617">
        <v>-419.03919999999999</v>
      </c>
      <c r="H4617">
        <v>1.0365009999999999</v>
      </c>
      <c r="I4617">
        <v>35.388840000000002</v>
      </c>
      <c r="J4617">
        <v>-419.70710000000003</v>
      </c>
      <c r="K4617">
        <v>1.116676</v>
      </c>
      <c r="L4617">
        <v>35.920589999999997</v>
      </c>
      <c r="M4617">
        <v>0.36465320000000001</v>
      </c>
      <c r="N4617">
        <v>0</v>
      </c>
      <c r="O4617">
        <v>-0.93103340000000001</v>
      </c>
      <c r="P4617">
        <v>0.56983109999999904</v>
      </c>
      <c r="Q4617">
        <v>0.115257</v>
      </c>
      <c r="R4617">
        <v>-0.81363909999999995</v>
      </c>
      <c r="S4617">
        <v>2.2764280000000001</v>
      </c>
      <c r="T4617">
        <v>-0.24825059999999999</v>
      </c>
      <c r="U4617">
        <v>-2.1341549999999998</v>
      </c>
      <c r="V4617">
        <v>-0.23627780000000001</v>
      </c>
      <c r="W4617">
        <v>0.1245941</v>
      </c>
      <c r="X4617">
        <v>0.96366439999999998</v>
      </c>
      <c r="Y4617">
        <v>-0.42738739999999997</v>
      </c>
      <c r="Z4617">
        <v>8.0368159999999994E-2</v>
      </c>
      <c r="AA4617">
        <v>0.90048930000000005</v>
      </c>
      <c r="AB4617">
        <v>29</v>
      </c>
      <c r="AC4617">
        <v>0.66790000000003102</v>
      </c>
      <c r="AD4617">
        <v>-8.0174999999999802E-2</v>
      </c>
      <c r="AE4617">
        <v>-0.53175000000000205</v>
      </c>
      <c r="AF4617">
        <v>-0.42423519284171801</v>
      </c>
      <c r="AG4617">
        <v>-8.0174999999999802E-2</v>
      </c>
      <c r="AH4617">
        <v>0.73224654935105904</v>
      </c>
      <c r="AI4617">
        <v>95.412053480961902</v>
      </c>
      <c r="AJ4617">
        <v>120.086335406158</v>
      </c>
      <c r="AK4617">
        <v>0.85005207987921705</v>
      </c>
      <c r="AL4617">
        <v>82.842683691394001</v>
      </c>
      <c r="AM4617">
        <v>103.776397573395</v>
      </c>
      <c r="AN4617">
        <v>0.99999998217750496</v>
      </c>
    </row>
    <row r="4618" spans="1:40" x14ac:dyDescent="0.25">
      <c r="A4618" t="str">
        <f>"20190312164603604"</f>
        <v>20190312164603604</v>
      </c>
      <c r="B4618" t="str">
        <f>"1552380363596168"</f>
        <v>1552380363596168</v>
      </c>
      <c r="C4618" t="s">
        <v>40</v>
      </c>
      <c r="D4618">
        <v>4.0770499999999998</v>
      </c>
      <c r="E4618">
        <v>0.41945729999999998</v>
      </c>
      <c r="F4618" t="s">
        <v>41</v>
      </c>
      <c r="G4618">
        <v>-418.93040000000002</v>
      </c>
      <c r="H4618">
        <v>1.03251</v>
      </c>
      <c r="I4618">
        <v>35.202449999999999</v>
      </c>
      <c r="J4618">
        <v>-419.63220000000001</v>
      </c>
      <c r="K4618">
        <v>1.116724</v>
      </c>
      <c r="L4618">
        <v>35.74738</v>
      </c>
      <c r="M4618">
        <v>0.3708109</v>
      </c>
      <c r="N4618">
        <v>0</v>
      </c>
      <c r="O4618">
        <v>-0.92859760000000002</v>
      </c>
      <c r="P4618">
        <v>0.57703040000000005</v>
      </c>
      <c r="Q4618">
        <v>0.1132864</v>
      </c>
      <c r="R4618">
        <v>-0.80882759999999998</v>
      </c>
      <c r="S4618">
        <v>2.290985</v>
      </c>
      <c r="T4618">
        <v>-0.24821289999999999</v>
      </c>
      <c r="U4618">
        <v>-2.1177670000000002</v>
      </c>
      <c r="V4618">
        <v>-0.23832639999999999</v>
      </c>
      <c r="W4618">
        <v>0.1225637</v>
      </c>
      <c r="X4618">
        <v>0.96342030000000001</v>
      </c>
      <c r="Y4618">
        <v>-0.4277318</v>
      </c>
      <c r="Z4618">
        <v>8.0292310000000006E-2</v>
      </c>
      <c r="AA4618">
        <v>0.90033249999999998</v>
      </c>
      <c r="AB4618">
        <v>29</v>
      </c>
      <c r="AC4618">
        <v>0.70179999999999099</v>
      </c>
      <c r="AD4618">
        <v>-8.4213999999999997E-2</v>
      </c>
      <c r="AE4618">
        <v>-0.54493000000000003</v>
      </c>
      <c r="AF4618">
        <v>-0.44566656004647098</v>
      </c>
      <c r="AG4618">
        <v>-8.4213999999999997E-2</v>
      </c>
      <c r="AH4618">
        <v>0.75951177055796504</v>
      </c>
      <c r="AI4618">
        <v>95.462655519154595</v>
      </c>
      <c r="AJ4618">
        <v>120.403571979666</v>
      </c>
      <c r="AK4618">
        <v>0.88462919359229197</v>
      </c>
      <c r="AL4618">
        <v>82.959915832201006</v>
      </c>
      <c r="AM4618">
        <v>103.89461898981899</v>
      </c>
      <c r="AN4618">
        <v>1.0000000039733701</v>
      </c>
    </row>
    <row r="4619" spans="1:40" x14ac:dyDescent="0.25">
      <c r="A4619" t="str">
        <f>"20190312164603618"</f>
        <v>20190312164603618</v>
      </c>
      <c r="B4619" t="str">
        <f>"1552380363606904"</f>
        <v>1552380363606904</v>
      </c>
      <c r="C4619" t="s">
        <v>40</v>
      </c>
      <c r="D4619">
        <v>4.266216</v>
      </c>
      <c r="E4619">
        <v>0.41948809999999898</v>
      </c>
      <c r="F4619" t="s">
        <v>52</v>
      </c>
      <c r="G4619">
        <v>-409.40410000000003</v>
      </c>
      <c r="H4619" s="1">
        <v>-2.7208459999999999E-6</v>
      </c>
      <c r="I4619">
        <v>26.451740000000001</v>
      </c>
      <c r="J4619">
        <v>-419.56810000000002</v>
      </c>
      <c r="K4619">
        <v>1.1167579999999999</v>
      </c>
      <c r="L4619">
        <v>35.60181</v>
      </c>
      <c r="M4619">
        <v>0.37602219999999997</v>
      </c>
      <c r="N4619">
        <v>0</v>
      </c>
      <c r="O4619">
        <v>-0.92649979999999998</v>
      </c>
      <c r="P4619">
        <v>0.5823583</v>
      </c>
      <c r="Q4619">
        <v>0.1124208</v>
      </c>
      <c r="R4619">
        <v>-0.80512159999999999</v>
      </c>
      <c r="S4619">
        <v>2.3081360000000002</v>
      </c>
      <c r="T4619">
        <v>-0.25200810000000001</v>
      </c>
      <c r="U4619">
        <v>-2.0977169999999998</v>
      </c>
      <c r="V4619">
        <v>-0.23922579999999999</v>
      </c>
      <c r="W4619">
        <v>0.12166540000000001</v>
      </c>
      <c r="X4619">
        <v>0.96331129999999998</v>
      </c>
      <c r="Y4619">
        <v>-0.43018840000000003</v>
      </c>
      <c r="Z4619">
        <v>8.1506010000000004E-2</v>
      </c>
      <c r="AA4619">
        <v>0.89905210000000002</v>
      </c>
      <c r="AB4619">
        <v>29</v>
      </c>
      <c r="AC4619">
        <v>10.1639999999999</v>
      </c>
      <c r="AD4619">
        <v>-1.116760720846</v>
      </c>
      <c r="AE4619">
        <v>-9.1500699999999995</v>
      </c>
      <c r="AF4619">
        <v>-5.9373372121656196</v>
      </c>
      <c r="AG4619">
        <v>-1.116760720846</v>
      </c>
      <c r="AH4619">
        <v>12.2192112508853</v>
      </c>
      <c r="AI4619">
        <v>94.699344671836897</v>
      </c>
      <c r="AJ4619">
        <v>115.915202095216</v>
      </c>
      <c r="AK4619">
        <v>13.6311500348412</v>
      </c>
      <c r="AL4619">
        <v>83.011773100074393</v>
      </c>
      <c r="AM4619">
        <v>103.94652828494</v>
      </c>
      <c r="AN4619">
        <v>1.0000000568252401</v>
      </c>
    </row>
    <row r="4620" spans="1:40" x14ac:dyDescent="0.25">
      <c r="A4620" t="str">
        <f>"20190312164603641"</f>
        <v>20190312164603641</v>
      </c>
      <c r="B4620" t="str">
        <f>"1552380363636184"</f>
        <v>1552380363636184</v>
      </c>
      <c r="C4620" t="s">
        <v>40</v>
      </c>
      <c r="D4620">
        <v>4.3863209999999997</v>
      </c>
      <c r="E4620">
        <v>0.41958529999999999</v>
      </c>
      <c r="F4620" t="s">
        <v>41</v>
      </c>
      <c r="G4620">
        <v>-418.82839999999999</v>
      </c>
      <c r="H4620">
        <v>1.036324</v>
      </c>
      <c r="I4620">
        <v>34.938119999999998</v>
      </c>
      <c r="J4620">
        <v>-419.45319999999998</v>
      </c>
      <c r="K4620">
        <v>1.116822</v>
      </c>
      <c r="L4620">
        <v>35.3461</v>
      </c>
      <c r="M4620">
        <v>0.38524330000000001</v>
      </c>
      <c r="N4620">
        <v>0</v>
      </c>
      <c r="O4620">
        <v>-0.9227033</v>
      </c>
      <c r="P4620">
        <v>0.59244200000000002</v>
      </c>
      <c r="Q4620">
        <v>0.1111217</v>
      </c>
      <c r="R4620">
        <v>-0.79791250000000002</v>
      </c>
      <c r="S4620">
        <v>2.3212890000000002</v>
      </c>
      <c r="T4620">
        <v>-0.25239040000000001</v>
      </c>
      <c r="U4620">
        <v>-2.0823670000000001</v>
      </c>
      <c r="V4620">
        <v>-0.2416673</v>
      </c>
      <c r="W4620">
        <v>0.12028899999999999</v>
      </c>
      <c r="X4620">
        <v>0.96287460000000002</v>
      </c>
      <c r="Y4620">
        <v>-0.42701460000000002</v>
      </c>
      <c r="Z4620">
        <v>8.1448279999999998E-2</v>
      </c>
      <c r="AA4620">
        <v>0.90056909999999901</v>
      </c>
      <c r="AB4620">
        <v>29</v>
      </c>
      <c r="AC4620">
        <v>0.62479999999999303</v>
      </c>
      <c r="AD4620">
        <v>-8.0497999999999903E-2</v>
      </c>
      <c r="AE4620">
        <v>-0.40798000000000201</v>
      </c>
      <c r="AF4620">
        <v>-0.41455242241915102</v>
      </c>
      <c r="AG4620">
        <v>-8.0497999999999903E-2</v>
      </c>
      <c r="AH4620">
        <v>0.61010812213843701</v>
      </c>
      <c r="AI4620">
        <v>96.228146415795095</v>
      </c>
      <c r="AJ4620">
        <v>124.19507698373199</v>
      </c>
      <c r="AK4620">
        <v>0.74200105096750202</v>
      </c>
      <c r="AL4620">
        <v>83.091218201315201</v>
      </c>
      <c r="AM4620">
        <v>104.089359935372</v>
      </c>
      <c r="AN4620">
        <v>1.0000000113677201</v>
      </c>
    </row>
    <row r="4621" spans="1:40" x14ac:dyDescent="0.25">
      <c r="A4621" t="str">
        <f>"20190312164603663"</f>
        <v>20190312164603663</v>
      </c>
      <c r="B4621" t="str">
        <f>"1552380363656679"</f>
        <v>1552380363656679</v>
      </c>
      <c r="C4621" t="s">
        <v>40</v>
      </c>
      <c r="D4621">
        <v>4.2841779999999998</v>
      </c>
      <c r="E4621">
        <v>0.41963640000000002</v>
      </c>
      <c r="F4621" t="s">
        <v>41</v>
      </c>
      <c r="G4621">
        <v>-418.70159999999998</v>
      </c>
      <c r="H4621">
        <v>1.034656</v>
      </c>
      <c r="I4621">
        <v>34.688319999999997</v>
      </c>
      <c r="J4621">
        <v>-419.32459999999998</v>
      </c>
      <c r="K4621">
        <v>1.116887</v>
      </c>
      <c r="L4621">
        <v>35.068049999999999</v>
      </c>
      <c r="M4621">
        <v>0.3953738</v>
      </c>
      <c r="N4621">
        <v>0</v>
      </c>
      <c r="O4621">
        <v>-0.91840790000000005</v>
      </c>
      <c r="P4621">
        <v>0.6034659</v>
      </c>
      <c r="Q4621">
        <v>0.1110278</v>
      </c>
      <c r="R4621">
        <v>-0.78962180000000004</v>
      </c>
      <c r="S4621">
        <v>2.3463750000000001</v>
      </c>
      <c r="T4621">
        <v>-0.256496</v>
      </c>
      <c r="U4621">
        <v>-2.053375</v>
      </c>
      <c r="V4621">
        <v>-0.24446000000000001</v>
      </c>
      <c r="W4621">
        <v>0.120107199999999</v>
      </c>
      <c r="X4621">
        <v>0.96219209999999999</v>
      </c>
      <c r="Y4621">
        <v>-0.42806100000000002</v>
      </c>
      <c r="Z4621">
        <v>8.263276E-2</v>
      </c>
      <c r="AA4621">
        <v>0.89996419999999999</v>
      </c>
      <c r="AB4621">
        <v>29</v>
      </c>
      <c r="AC4621">
        <v>0.62299999999999001</v>
      </c>
      <c r="AD4621">
        <v>-8.2231000000000096E-2</v>
      </c>
      <c r="AE4621">
        <v>-0.37972999999999502</v>
      </c>
      <c r="AF4621">
        <v>-0.41678215914803701</v>
      </c>
      <c r="AG4621">
        <v>-8.2231000000000096E-2</v>
      </c>
      <c r="AH4621">
        <v>0.58766148246092298</v>
      </c>
      <c r="AI4621">
        <v>96.511436906106297</v>
      </c>
      <c r="AJ4621">
        <v>125.34508556231501</v>
      </c>
      <c r="AK4621">
        <v>0.72513124571574605</v>
      </c>
      <c r="AL4621">
        <v>83.101710803161197</v>
      </c>
      <c r="AM4621">
        <v>104.25527699675</v>
      </c>
      <c r="AN4621">
        <v>1.00000003419712</v>
      </c>
    </row>
    <row r="4622" spans="1:40" x14ac:dyDescent="0.25">
      <c r="A4622" t="str">
        <f>"20190312164603676"</f>
        <v>20190312164603676</v>
      </c>
      <c r="B4622" t="str">
        <f>"1552380363666440"</f>
        <v>1552380363666440</v>
      </c>
      <c r="C4622" t="s">
        <v>40</v>
      </c>
      <c r="D4622">
        <v>4.2293129999999897</v>
      </c>
      <c r="E4622">
        <v>0.41961809999999999</v>
      </c>
      <c r="F4622" t="s">
        <v>52</v>
      </c>
      <c r="G4622">
        <v>-408.9776</v>
      </c>
      <c r="H4622" s="1">
        <v>-2.930648E-6</v>
      </c>
      <c r="I4622">
        <v>26.259899999999998</v>
      </c>
      <c r="J4622">
        <v>-419.25360000000001</v>
      </c>
      <c r="K4622">
        <v>1.1169199999999999</v>
      </c>
      <c r="L4622">
        <v>34.918059999999997</v>
      </c>
      <c r="M4622">
        <v>0.40088679999999999</v>
      </c>
      <c r="N4622">
        <v>0</v>
      </c>
      <c r="O4622">
        <v>-0.91601460000000001</v>
      </c>
      <c r="P4622">
        <v>0.60934460000000001</v>
      </c>
      <c r="Q4622">
        <v>0.110736</v>
      </c>
      <c r="R4622">
        <v>-0.78513459999999902</v>
      </c>
      <c r="S4622">
        <v>2.3740839999999999</v>
      </c>
      <c r="T4622">
        <v>-0.2562661</v>
      </c>
      <c r="U4622">
        <v>-2.0209959999999998</v>
      </c>
      <c r="V4622">
        <v>-0.24585170000000001</v>
      </c>
      <c r="W4622">
        <v>0.11977160000000001</v>
      </c>
      <c r="X4622">
        <v>0.96187929999999999</v>
      </c>
      <c r="Y4622">
        <v>-0.43492389999999997</v>
      </c>
      <c r="Z4622">
        <v>8.260207E-2</v>
      </c>
      <c r="AA4622">
        <v>0.89667059999999998</v>
      </c>
      <c r="AB4622">
        <v>29</v>
      </c>
      <c r="AC4622">
        <v>10.276</v>
      </c>
      <c r="AD4622">
        <v>-1.116922930648</v>
      </c>
      <c r="AE4622">
        <v>-8.6581599999999899</v>
      </c>
      <c r="AF4622">
        <v>-5.9018622511313596</v>
      </c>
      <c r="AG4622">
        <v>-1.116922930648</v>
      </c>
      <c r="AH4622">
        <v>11.9690651510785</v>
      </c>
      <c r="AI4622">
        <v>94.784256525166697</v>
      </c>
      <c r="AJ4622">
        <v>116.24758379182001</v>
      </c>
      <c r="AK4622">
        <v>13.3917144330029</v>
      </c>
      <c r="AL4622">
        <v>83.121079129793401</v>
      </c>
      <c r="AM4622">
        <v>104.33756581443799</v>
      </c>
      <c r="AN4622">
        <v>1.00000004116396</v>
      </c>
    </row>
    <row r="4623" spans="1:40" x14ac:dyDescent="0.25">
      <c r="A4623" t="str">
        <f>"20190312164603689"</f>
        <v>20190312164603689</v>
      </c>
      <c r="B4623" t="str">
        <f>"1552380363685961"</f>
        <v>1552380363685961</v>
      </c>
      <c r="C4623" t="s">
        <v>40</v>
      </c>
      <c r="D4623">
        <v>4.3630680000000002</v>
      </c>
      <c r="E4623">
        <v>0.41976089999999999</v>
      </c>
      <c r="F4623" t="s">
        <v>41</v>
      </c>
      <c r="G4623">
        <v>-418.49700000000001</v>
      </c>
      <c r="H4623">
        <v>1.0359579999999999</v>
      </c>
      <c r="I4623">
        <v>34.283679999999997</v>
      </c>
      <c r="J4623">
        <v>-419.17989999999998</v>
      </c>
      <c r="K4623">
        <v>1.1169560000000001</v>
      </c>
      <c r="L4623">
        <v>34.764130000000002</v>
      </c>
      <c r="M4623">
        <v>0.4065647</v>
      </c>
      <c r="N4623">
        <v>0</v>
      </c>
      <c r="O4623">
        <v>-0.9135086</v>
      </c>
      <c r="P4623">
        <v>0.61536440000000003</v>
      </c>
      <c r="Q4623">
        <v>0.11086989999999899</v>
      </c>
      <c r="R4623">
        <v>-0.78040669999999901</v>
      </c>
      <c r="S4623">
        <v>2.389008</v>
      </c>
      <c r="T4623">
        <v>-0.25562390000000001</v>
      </c>
      <c r="U4623">
        <v>-2.0028990000000002</v>
      </c>
      <c r="V4623">
        <v>-0.24730099999999999</v>
      </c>
      <c r="W4623">
        <v>0.119858199999999</v>
      </c>
      <c r="X4623">
        <v>0.96149689999999999</v>
      </c>
      <c r="Y4623">
        <v>-0.43610110000000002</v>
      </c>
      <c r="Z4623">
        <v>8.2328799999999994E-2</v>
      </c>
      <c r="AA4623">
        <v>0.89612380000000003</v>
      </c>
      <c r="AB4623">
        <v>29</v>
      </c>
      <c r="AC4623">
        <v>0.68290000000001705</v>
      </c>
      <c r="AD4623">
        <v>-8.0998000000000098E-2</v>
      </c>
      <c r="AE4623">
        <v>-0.48045000000000398</v>
      </c>
      <c r="AF4623">
        <v>-0.42455028766846098</v>
      </c>
      <c r="AG4623">
        <v>-8.0998000000000098E-2</v>
      </c>
      <c r="AH4623">
        <v>0.70993184852508395</v>
      </c>
      <c r="AI4623">
        <v>95.592531518183904</v>
      </c>
      <c r="AJ4623">
        <v>120.88008011087901</v>
      </c>
      <c r="AK4623">
        <v>0.83114791241608499</v>
      </c>
      <c r="AL4623">
        <v>83.116081240135799</v>
      </c>
      <c r="AM4623">
        <v>104.424067489859</v>
      </c>
      <c r="AN4623">
        <v>1.0000000307089201</v>
      </c>
    </row>
    <row r="4624" spans="1:40" x14ac:dyDescent="0.25">
      <c r="A4624" t="str">
        <f>"20190312164603702"</f>
        <v>20190312164603702</v>
      </c>
      <c r="B4624" t="str">
        <f>"1552380363696696"</f>
        <v>1552380363696696</v>
      </c>
      <c r="C4624" t="s">
        <v>40</v>
      </c>
      <c r="D4624">
        <v>4.3527209999999998</v>
      </c>
      <c r="E4624">
        <v>0.41989189999999998</v>
      </c>
      <c r="F4624" t="s">
        <v>41</v>
      </c>
      <c r="G4624">
        <v>-418.35230000000001</v>
      </c>
      <c r="H4624">
        <v>1.0286139999999999</v>
      </c>
      <c r="I4624">
        <v>34.080489999999998</v>
      </c>
      <c r="J4624">
        <v>-419.10489999999999</v>
      </c>
      <c r="K4624">
        <v>1.1169910000000001</v>
      </c>
      <c r="L4624">
        <v>34.611109999999996</v>
      </c>
      <c r="M4624">
        <v>0.41226499999999999</v>
      </c>
      <c r="N4624">
        <v>0</v>
      </c>
      <c r="O4624">
        <v>-0.91095009999999998</v>
      </c>
      <c r="P4624">
        <v>0.62134460000000002</v>
      </c>
      <c r="Q4624">
        <v>0.1110608</v>
      </c>
      <c r="R4624">
        <v>-0.77562679999999995</v>
      </c>
      <c r="S4624">
        <v>2.4039609999999998</v>
      </c>
      <c r="T4624">
        <v>-0.25654320000000003</v>
      </c>
      <c r="U4624">
        <v>-1.9850159999999999</v>
      </c>
      <c r="V4624">
        <v>-0.24871119999999999</v>
      </c>
      <c r="W4624">
        <v>0.1200031</v>
      </c>
      <c r="X4624">
        <v>0.96111500000000005</v>
      </c>
      <c r="Y4624">
        <v>-0.4371661</v>
      </c>
      <c r="Z4624">
        <v>8.2541149999999994E-2</v>
      </c>
      <c r="AA4624">
        <v>0.89558510000000002</v>
      </c>
      <c r="AB4624">
        <v>29</v>
      </c>
      <c r="AC4624">
        <v>0.75259999999997196</v>
      </c>
      <c r="AD4624">
        <v>-8.8377000000000094E-2</v>
      </c>
      <c r="AE4624">
        <v>-0.53061999999999099</v>
      </c>
      <c r="AF4624">
        <v>-0.462612363159429</v>
      </c>
      <c r="AG4624">
        <v>-8.8377000000000094E-2</v>
      </c>
      <c r="AH4624">
        <v>0.78647718445733505</v>
      </c>
      <c r="AI4624">
        <v>95.532257874722603</v>
      </c>
      <c r="AJ4624">
        <v>120.464393444546</v>
      </c>
      <c r="AK4624">
        <v>0.91671536168479695</v>
      </c>
      <c r="AL4624">
        <v>83.107718677930706</v>
      </c>
      <c r="AM4624">
        <v>104.508378970385</v>
      </c>
      <c r="AN4624">
        <v>1.00000002412002</v>
      </c>
    </row>
    <row r="4625" spans="1:40" x14ac:dyDescent="0.25">
      <c r="A4625" t="str">
        <f>"20190312164603717"</f>
        <v>20190312164603717</v>
      </c>
      <c r="B4625" t="str">
        <f>"1552380363706456"</f>
        <v>1552380363706456</v>
      </c>
      <c r="C4625" t="s">
        <v>40</v>
      </c>
      <c r="D4625">
        <v>4.3839449999999998</v>
      </c>
      <c r="E4625">
        <v>0.42000359999999998</v>
      </c>
      <c r="F4625" t="s">
        <v>41</v>
      </c>
      <c r="G4625">
        <v>-418.32929999999999</v>
      </c>
      <c r="H4625">
        <v>1.0350159999999999</v>
      </c>
      <c r="I4625">
        <v>33.980240000000002</v>
      </c>
      <c r="J4625">
        <v>-419.02339999999998</v>
      </c>
      <c r="K4625">
        <v>1.117027</v>
      </c>
      <c r="L4625">
        <v>34.447420000000001</v>
      </c>
      <c r="M4625">
        <v>0.41839229999999999</v>
      </c>
      <c r="N4625">
        <v>0</v>
      </c>
      <c r="O4625">
        <v>-0.90815199999999996</v>
      </c>
      <c r="P4625">
        <v>0.62933660000000002</v>
      </c>
      <c r="Q4625">
        <v>0.1106304</v>
      </c>
      <c r="R4625">
        <v>-0.76921859999999997</v>
      </c>
      <c r="S4625">
        <v>2.4188540000000001</v>
      </c>
      <c r="T4625">
        <v>-0.25559130000000002</v>
      </c>
      <c r="U4625">
        <v>-1.966736</v>
      </c>
      <c r="V4625">
        <v>-0.25216149999999998</v>
      </c>
      <c r="W4625">
        <v>0.1194781</v>
      </c>
      <c r="X4625">
        <v>0.96028100000000005</v>
      </c>
      <c r="Y4625">
        <v>-0.43791049999999998</v>
      </c>
      <c r="Z4625">
        <v>8.2140859999999996E-2</v>
      </c>
      <c r="AA4625">
        <v>0.8952582</v>
      </c>
      <c r="AB4625">
        <v>29</v>
      </c>
      <c r="AC4625">
        <v>0.69409999999999095</v>
      </c>
      <c r="AD4625">
        <v>-8.2011000000000001E-2</v>
      </c>
      <c r="AE4625">
        <v>-0.46717999999999799</v>
      </c>
      <c r="AF4625">
        <v>-0.43079001895439201</v>
      </c>
      <c r="AG4625">
        <v>-8.2011000000000001E-2</v>
      </c>
      <c r="AH4625">
        <v>0.70794895392574098</v>
      </c>
      <c r="AI4625">
        <v>95.651669685830001</v>
      </c>
      <c r="AJ4625">
        <v>121.320694632536</v>
      </c>
      <c r="AK4625">
        <v>0.83276501242323797</v>
      </c>
      <c r="AL4625">
        <v>83.138016914171402</v>
      </c>
      <c r="AM4625">
        <v>104.713201238935</v>
      </c>
      <c r="AN4625">
        <v>1.00000001871142</v>
      </c>
    </row>
    <row r="4626" spans="1:40" x14ac:dyDescent="0.25">
      <c r="A4626" t="str">
        <f>"20190312164603730"</f>
        <v>20190312164603730</v>
      </c>
      <c r="B4626" t="str">
        <f>"1552380363725976"</f>
        <v>1552380363725976</v>
      </c>
      <c r="C4626" t="s">
        <v>40</v>
      </c>
      <c r="D4626">
        <v>4.2682859999999998</v>
      </c>
      <c r="E4626">
        <v>0.42001739999999999</v>
      </c>
      <c r="F4626" t="s">
        <v>41</v>
      </c>
      <c r="G4626">
        <v>-418.2593</v>
      </c>
      <c r="H4626">
        <v>1.036511</v>
      </c>
      <c r="I4626">
        <v>33.838679999999997</v>
      </c>
      <c r="J4626">
        <v>-418.94740000000002</v>
      </c>
      <c r="K4626">
        <v>1.1170639999999901</v>
      </c>
      <c r="L4626">
        <v>34.29654</v>
      </c>
      <c r="M4626">
        <v>0.42406359999999899</v>
      </c>
      <c r="N4626">
        <v>0</v>
      </c>
      <c r="O4626">
        <v>-0.90551749999999998</v>
      </c>
      <c r="P4626">
        <v>0.63572769999999901</v>
      </c>
      <c r="Q4626">
        <v>0.1102733</v>
      </c>
      <c r="R4626">
        <v>-0.76399629999999996</v>
      </c>
      <c r="S4626">
        <v>2.438507</v>
      </c>
      <c r="T4626">
        <v>-0.25689479999999998</v>
      </c>
      <c r="U4626">
        <v>-1.941986</v>
      </c>
      <c r="V4626">
        <v>-0.25414599999999998</v>
      </c>
      <c r="W4626">
        <v>0.1190605</v>
      </c>
      <c r="X4626">
        <v>0.95980960000000004</v>
      </c>
      <c r="Y4626">
        <v>-0.44133699999999998</v>
      </c>
      <c r="Z4626">
        <v>8.2525009999999996E-2</v>
      </c>
      <c r="AA4626">
        <v>0.89353869999999902</v>
      </c>
      <c r="AB4626">
        <v>29</v>
      </c>
      <c r="AC4626">
        <v>0.68810000000001903</v>
      </c>
      <c r="AD4626">
        <v>-8.0552999999999805E-2</v>
      </c>
      <c r="AE4626">
        <v>-0.45786000000000299</v>
      </c>
      <c r="AF4626">
        <v>-0.42493312405975298</v>
      </c>
      <c r="AG4626">
        <v>-8.0552999999999805E-2</v>
      </c>
      <c r="AH4626">
        <v>0.69982444259918097</v>
      </c>
      <c r="AI4626">
        <v>95.619102938691</v>
      </c>
      <c r="AJ4626">
        <v>121.26610725414101</v>
      </c>
      <c r="AK4626">
        <v>0.82268535673818599</v>
      </c>
      <c r="AL4626">
        <v>83.162115727962203</v>
      </c>
      <c r="AM4626">
        <v>104.830873197356</v>
      </c>
      <c r="AN4626">
        <v>1.0000000301142</v>
      </c>
    </row>
    <row r="4627" spans="1:40" x14ac:dyDescent="0.25">
      <c r="A4627" t="str">
        <f>"20190312164603743"</f>
        <v>20190312164603743</v>
      </c>
      <c r="B4627" t="str">
        <f>"1552380363736712"</f>
        <v>1552380363736712</v>
      </c>
      <c r="C4627" t="s">
        <v>40</v>
      </c>
      <c r="D4627">
        <v>4.3678929999999996</v>
      </c>
      <c r="E4627">
        <v>0.42000340000000003</v>
      </c>
      <c r="F4627" t="s">
        <v>41</v>
      </c>
      <c r="G4627">
        <v>-418.10919999999999</v>
      </c>
      <c r="H4627">
        <v>1.029523</v>
      </c>
      <c r="I4627">
        <v>33.640129999999999</v>
      </c>
      <c r="J4627">
        <v>-418.86919999999998</v>
      </c>
      <c r="K4627">
        <v>1.1171009999999999</v>
      </c>
      <c r="L4627">
        <v>34.144559999999998</v>
      </c>
      <c r="M4627">
        <v>0.42983159999999998</v>
      </c>
      <c r="N4627">
        <v>0</v>
      </c>
      <c r="O4627">
        <v>-0.90279379999999998</v>
      </c>
      <c r="P4627">
        <v>0.64190009999999997</v>
      </c>
      <c r="Q4627">
        <v>0.1101289</v>
      </c>
      <c r="R4627">
        <v>-0.75883880000000004</v>
      </c>
      <c r="S4627">
        <v>2.454437</v>
      </c>
      <c r="T4627">
        <v>-0.25626409999999999</v>
      </c>
      <c r="U4627">
        <v>-1.9213560000000001</v>
      </c>
      <c r="V4627">
        <v>-0.25580580000000003</v>
      </c>
      <c r="W4627">
        <v>0.1188621</v>
      </c>
      <c r="X4627">
        <v>0.9593931</v>
      </c>
      <c r="Y4627">
        <v>-0.4431041</v>
      </c>
      <c r="Z4627">
        <v>8.2255300000000003E-2</v>
      </c>
      <c r="AA4627">
        <v>0.89268860000000005</v>
      </c>
      <c r="AB4627">
        <v>29</v>
      </c>
      <c r="AC4627">
        <v>0.75999999999999002</v>
      </c>
      <c r="AD4627">
        <v>-8.75780000000001E-2</v>
      </c>
      <c r="AE4627">
        <v>-0.50442999999999905</v>
      </c>
      <c r="AF4627">
        <v>-0.46506517309075102</v>
      </c>
      <c r="AG4627">
        <v>-8.75780000000001E-2</v>
      </c>
      <c r="AH4627">
        <v>0.77500562957180397</v>
      </c>
      <c r="AI4627">
        <v>95.534449053880806</v>
      </c>
      <c r="AJ4627">
        <v>120.96711560451</v>
      </c>
      <c r="AK4627">
        <v>0.90806896608898502</v>
      </c>
      <c r="AL4627">
        <v>83.173564050565204</v>
      </c>
      <c r="AM4627">
        <v>104.929612899209</v>
      </c>
      <c r="AN4627">
        <v>0.999999963228829</v>
      </c>
    </row>
    <row r="4628" spans="1:40" x14ac:dyDescent="0.25">
      <c r="A4628" t="str">
        <f>"20190312164603755"</f>
        <v>20190312164603755</v>
      </c>
      <c r="B4628" t="str">
        <f>"1552380363746472"</f>
        <v>1552380363746472</v>
      </c>
      <c r="C4628" t="s">
        <v>40</v>
      </c>
      <c r="D4628">
        <v>4.4209449999999997</v>
      </c>
      <c r="E4628">
        <v>0.41999189999999997</v>
      </c>
      <c r="F4628" t="s">
        <v>41</v>
      </c>
      <c r="G4628">
        <v>-418.09390000000002</v>
      </c>
      <c r="H4628">
        <v>1.0370680000000001</v>
      </c>
      <c r="I4628">
        <v>33.547559999999997</v>
      </c>
      <c r="J4628">
        <v>-418.80250000000001</v>
      </c>
      <c r="K4628">
        <v>1.1171329999999999</v>
      </c>
      <c r="L4628">
        <v>34.016750000000002</v>
      </c>
      <c r="M4628">
        <v>0.4347085</v>
      </c>
      <c r="N4628">
        <v>0</v>
      </c>
      <c r="O4628">
        <v>-0.90045540000000002</v>
      </c>
      <c r="P4628">
        <v>0.64757640000000005</v>
      </c>
      <c r="Q4628">
        <v>0.1098378</v>
      </c>
      <c r="R4628">
        <v>-0.75404280000000001</v>
      </c>
      <c r="S4628">
        <v>2.4697879999999999</v>
      </c>
      <c r="T4628">
        <v>-0.25489800000000001</v>
      </c>
      <c r="U4628">
        <v>-1.9012150000000001</v>
      </c>
      <c r="V4628">
        <v>-0.25780389999999997</v>
      </c>
      <c r="W4628">
        <v>0.1185108</v>
      </c>
      <c r="X4628">
        <v>0.95890160000000002</v>
      </c>
      <c r="Y4628">
        <v>-0.44554199999999999</v>
      </c>
      <c r="Z4628">
        <v>8.1779260000000006E-2</v>
      </c>
      <c r="AA4628">
        <v>0.89151809999999998</v>
      </c>
      <c r="AB4628">
        <v>29</v>
      </c>
      <c r="AC4628">
        <v>0.70859999999998902</v>
      </c>
      <c r="AD4628">
        <v>-8.0064999999999803E-2</v>
      </c>
      <c r="AE4628">
        <v>-0.46919000000000399</v>
      </c>
      <c r="AF4628">
        <v>-0.43032769686577899</v>
      </c>
      <c r="AG4628">
        <v>-8.0064999999999803E-2</v>
      </c>
      <c r="AH4628">
        <v>0.72416791633387101</v>
      </c>
      <c r="AI4628">
        <v>95.429445947430395</v>
      </c>
      <c r="AJ4628">
        <v>120.72036736820399</v>
      </c>
      <c r="AK4628">
        <v>0.84617462852660996</v>
      </c>
      <c r="AL4628">
        <v>83.193835383706798</v>
      </c>
      <c r="AM4628">
        <v>105.04832282382399</v>
      </c>
      <c r="AN4628">
        <v>0.99999996952720405</v>
      </c>
    </row>
    <row r="4629" spans="1:40" x14ac:dyDescent="0.25">
      <c r="A4629" t="str">
        <f>"20190312164603766"</f>
        <v>20190312164603766</v>
      </c>
      <c r="B4629" t="str">
        <f>"1552380363756232"</f>
        <v>1552380363756232</v>
      </c>
      <c r="C4629" t="s">
        <v>40</v>
      </c>
      <c r="D4629">
        <v>4.3923750000000004</v>
      </c>
      <c r="E4629">
        <v>0.41999189999999997</v>
      </c>
      <c r="F4629" t="s">
        <v>41</v>
      </c>
      <c r="G4629">
        <v>-418.00110000000001</v>
      </c>
      <c r="H4629">
        <v>1.0349660000000001</v>
      </c>
      <c r="I4629">
        <v>33.409199999999998</v>
      </c>
      <c r="J4629">
        <v>-418.7294</v>
      </c>
      <c r="K4629">
        <v>1.11717</v>
      </c>
      <c r="L4629">
        <v>33.878019999999999</v>
      </c>
      <c r="M4629">
        <v>0.4400213</v>
      </c>
      <c r="N4629">
        <v>0</v>
      </c>
      <c r="O4629">
        <v>-0.89787109999999903</v>
      </c>
      <c r="P4629">
        <v>0.65340050000000005</v>
      </c>
      <c r="Q4629">
        <v>0.1096924</v>
      </c>
      <c r="R4629">
        <v>-0.7490232</v>
      </c>
      <c r="S4629">
        <v>2.4840089999999999</v>
      </c>
      <c r="T4629">
        <v>-0.25462620000000002</v>
      </c>
      <c r="U4629">
        <v>-1.882385</v>
      </c>
      <c r="V4629">
        <v>-0.25956960000000001</v>
      </c>
      <c r="W4629">
        <v>0.1183082</v>
      </c>
      <c r="X4629">
        <v>0.95845020000000003</v>
      </c>
      <c r="Y4629">
        <v>-0.44701469999999999</v>
      </c>
      <c r="Z4629">
        <v>8.161918E-2</v>
      </c>
      <c r="AA4629">
        <v>0.89079529999999996</v>
      </c>
      <c r="AB4629">
        <v>29</v>
      </c>
      <c r="AC4629">
        <v>0.72829999999998996</v>
      </c>
      <c r="AD4629">
        <v>-8.2203999999999902E-2</v>
      </c>
      <c r="AE4629">
        <v>-0.46882000000000001</v>
      </c>
      <c r="AF4629">
        <v>-0.44367905190887003</v>
      </c>
      <c r="AG4629">
        <v>-8.2203999999999902E-2</v>
      </c>
      <c r="AH4629">
        <v>0.73486557999445301</v>
      </c>
      <c r="AI4629">
        <v>95.470100724695996</v>
      </c>
      <c r="AJ4629">
        <v>121.121706036821</v>
      </c>
      <c r="AK4629">
        <v>0.86234333033852495</v>
      </c>
      <c r="AL4629">
        <v>83.2055259377249</v>
      </c>
      <c r="AM4629">
        <v>105.15347420723</v>
      </c>
      <c r="AN4629">
        <v>0.99999999665572004</v>
      </c>
    </row>
    <row r="4630" spans="1:40" x14ac:dyDescent="0.25">
      <c r="A4630" t="str">
        <f>"20190312164603785"</f>
        <v>20190312164603785</v>
      </c>
      <c r="B4630" t="str">
        <f>"1552380363776731"</f>
        <v>1552380363776731</v>
      </c>
      <c r="C4630" t="s">
        <v>40</v>
      </c>
      <c r="D4630">
        <v>4.4650069999999999</v>
      </c>
      <c r="E4630">
        <v>0.42006460000000001</v>
      </c>
      <c r="F4630" t="s">
        <v>52</v>
      </c>
      <c r="G4630">
        <v>-407.76639999999998</v>
      </c>
      <c r="H4630" s="1">
        <v>-3.5031910000000002E-6</v>
      </c>
      <c r="I4630">
        <v>25.704609999999999</v>
      </c>
      <c r="J4630">
        <v>-418.6234</v>
      </c>
      <c r="K4630">
        <v>1.1172340000000001</v>
      </c>
      <c r="L4630">
        <v>33.681459999999902</v>
      </c>
      <c r="M4630">
        <v>0.44763180000000002</v>
      </c>
      <c r="N4630">
        <v>0</v>
      </c>
      <c r="O4630">
        <v>-0.89410100000000003</v>
      </c>
      <c r="P4630">
        <v>0.66082989999999997</v>
      </c>
      <c r="Q4630">
        <v>0.110690899999999</v>
      </c>
      <c r="R4630">
        <v>-0.74232880000000001</v>
      </c>
      <c r="S4630">
        <v>2.4986269999999999</v>
      </c>
      <c r="T4630">
        <v>-0.25462200000000001</v>
      </c>
      <c r="U4630">
        <v>-1.862854</v>
      </c>
      <c r="V4630">
        <v>-0.2610827</v>
      </c>
      <c r="W4630">
        <v>0.11924510000000001</v>
      </c>
      <c r="X4630">
        <v>0.95792299999999997</v>
      </c>
      <c r="Y4630">
        <v>-0.44640340000000001</v>
      </c>
      <c r="Z4630">
        <v>8.1446359999999995E-2</v>
      </c>
      <c r="AA4630">
        <v>0.89111759999999995</v>
      </c>
      <c r="AB4630">
        <v>29</v>
      </c>
      <c r="AC4630">
        <v>10.856999999999999</v>
      </c>
      <c r="AD4630">
        <v>-1.117237503191</v>
      </c>
      <c r="AE4630">
        <v>-7.97684999999999</v>
      </c>
      <c r="AF4630">
        <v>-6.0952870245444304</v>
      </c>
      <c r="AG4630">
        <v>-1.117237503191</v>
      </c>
      <c r="AH4630">
        <v>11.9113869844353</v>
      </c>
      <c r="AI4630">
        <v>94.773033986210905</v>
      </c>
      <c r="AJ4630">
        <v>117.099704014502</v>
      </c>
      <c r="AK4630">
        <v>13.4269089310641</v>
      </c>
      <c r="AL4630">
        <v>83.151462981151695</v>
      </c>
      <c r="AM4630">
        <v>105.245708255411</v>
      </c>
      <c r="AN4630">
        <v>1.00000002202114</v>
      </c>
    </row>
    <row r="4631" spans="1:40" x14ac:dyDescent="0.25">
      <c r="A4631" t="str">
        <f>"20190312164603798"</f>
        <v>20190312164603798</v>
      </c>
      <c r="B4631" t="str">
        <f>"1552380363786488"</f>
        <v>1552380363786488</v>
      </c>
      <c r="C4631" t="s">
        <v>40</v>
      </c>
      <c r="D4631">
        <v>4.428553</v>
      </c>
      <c r="E4631">
        <v>0.42009160000000001</v>
      </c>
      <c r="F4631" t="s">
        <v>41</v>
      </c>
      <c r="G4631">
        <v>-417.84359999999998</v>
      </c>
      <c r="H4631">
        <v>1.040152</v>
      </c>
      <c r="I4631">
        <v>33.112050000000004</v>
      </c>
      <c r="J4631">
        <v>-418.54579999999999</v>
      </c>
      <c r="K4631">
        <v>1.1172820000000001</v>
      </c>
      <c r="L4631">
        <v>33.54016</v>
      </c>
      <c r="M4631">
        <v>0.45315450000000002</v>
      </c>
      <c r="N4631">
        <v>0</v>
      </c>
      <c r="O4631">
        <v>-0.89131459999999996</v>
      </c>
      <c r="P4631">
        <v>0.66668660000000002</v>
      </c>
      <c r="Q4631">
        <v>0.1114507</v>
      </c>
      <c r="R4631">
        <v>-0.73695889999999997</v>
      </c>
      <c r="S4631">
        <v>2.5172119999999998</v>
      </c>
      <c r="T4631">
        <v>-0.24876989999999999</v>
      </c>
      <c r="U4631">
        <v>-1.837585</v>
      </c>
      <c r="V4631">
        <v>-0.26282369999999999</v>
      </c>
      <c r="W4631">
        <v>0.11994199999999999</v>
      </c>
      <c r="X4631">
        <v>0.95735970000000004</v>
      </c>
      <c r="Y4631">
        <v>-0.44997100000000001</v>
      </c>
      <c r="Z4631">
        <v>7.9544400000000001E-2</v>
      </c>
      <c r="AA4631">
        <v>0.88949349999999905</v>
      </c>
      <c r="AB4631">
        <v>29</v>
      </c>
      <c r="AC4631">
        <v>0.70220000000000404</v>
      </c>
      <c r="AD4631">
        <v>-7.7129999999999893E-2</v>
      </c>
      <c r="AE4631">
        <v>-0.42810999999999599</v>
      </c>
      <c r="AF4631">
        <v>-0.42816039964751801</v>
      </c>
      <c r="AG4631">
        <v>-7.7129999999999893E-2</v>
      </c>
      <c r="AH4631">
        <v>0.69375699354452303</v>
      </c>
      <c r="AI4631">
        <v>95.404660692252094</v>
      </c>
      <c r="AJ4631">
        <v>121.681304764537</v>
      </c>
      <c r="AK4631">
        <v>0.81888285536959304</v>
      </c>
      <c r="AL4631">
        <v>83.111244668660106</v>
      </c>
      <c r="AM4631">
        <v>105.35119816645501</v>
      </c>
      <c r="AN4631">
        <v>0.99999998791488898</v>
      </c>
    </row>
    <row r="4632" spans="1:40" x14ac:dyDescent="0.25">
      <c r="A4632" t="str">
        <f>"20190312164603810"</f>
        <v>20190312164603810</v>
      </c>
      <c r="B4632" t="str">
        <f>"1552380363806007"</f>
        <v>1552380363806007</v>
      </c>
      <c r="C4632" t="s">
        <v>40</v>
      </c>
      <c r="D4632">
        <v>4.466075</v>
      </c>
      <c r="E4632">
        <v>0.42017850000000001</v>
      </c>
      <c r="F4632" t="s">
        <v>41</v>
      </c>
      <c r="G4632">
        <v>-417.7534</v>
      </c>
      <c r="H4632">
        <v>1.0407310000000001</v>
      </c>
      <c r="I4632">
        <v>32.971400000000003</v>
      </c>
      <c r="J4632">
        <v>-418.46730000000002</v>
      </c>
      <c r="K4632">
        <v>1.1173310000000001</v>
      </c>
      <c r="L4632">
        <v>33.398899999999998</v>
      </c>
      <c r="M4632">
        <v>0.45869729999999997</v>
      </c>
      <c r="N4632">
        <v>0</v>
      </c>
      <c r="O4632">
        <v>-0.888474599999999</v>
      </c>
      <c r="P4632">
        <v>0.6723924</v>
      </c>
      <c r="Q4632">
        <v>0.1122761</v>
      </c>
      <c r="R4632">
        <v>-0.73163069999999997</v>
      </c>
      <c r="S4632">
        <v>2.5318299999999998</v>
      </c>
      <c r="T4632">
        <v>-0.2446035</v>
      </c>
      <c r="U4632">
        <v>-1.817383</v>
      </c>
      <c r="V4632">
        <v>-0.26439000000000001</v>
      </c>
      <c r="W4632">
        <v>0.12070839999999899</v>
      </c>
      <c r="X4632">
        <v>0.95683200000000002</v>
      </c>
      <c r="Y4632">
        <v>-0.45162580000000002</v>
      </c>
      <c r="Z4632">
        <v>7.8136049999999999E-2</v>
      </c>
      <c r="AA4632">
        <v>0.8887794</v>
      </c>
      <c r="AB4632">
        <v>29</v>
      </c>
      <c r="AC4632">
        <v>0.71390000000002296</v>
      </c>
      <c r="AD4632">
        <v>-7.6600000000000001E-2</v>
      </c>
      <c r="AE4632">
        <v>-0.427499999999994</v>
      </c>
      <c r="AF4632">
        <v>-0.43455241761916502</v>
      </c>
      <c r="AG4632">
        <v>-7.6600000000000001E-2</v>
      </c>
      <c r="AH4632">
        <v>0.70141716246570895</v>
      </c>
      <c r="AI4632">
        <v>95.303855261147405</v>
      </c>
      <c r="AJ4632">
        <v>121.779660204734</v>
      </c>
      <c r="AK4632">
        <v>0.82866724290278804</v>
      </c>
      <c r="AL4632">
        <v>83.067012123679106</v>
      </c>
      <c r="AM4632">
        <v>105.44643934605</v>
      </c>
      <c r="AN4632">
        <v>1.00000003307727</v>
      </c>
    </row>
    <row r="4633" spans="1:40" x14ac:dyDescent="0.25">
      <c r="A4633" t="str">
        <f>"20190312164603823"</f>
        <v>20190312164603823</v>
      </c>
      <c r="B4633" t="str">
        <f>"1552380363816744"</f>
        <v>1552380363816744</v>
      </c>
      <c r="C4633" t="s">
        <v>40</v>
      </c>
      <c r="D4633">
        <v>4.4030860000000001</v>
      </c>
      <c r="E4633">
        <v>0.42011480000000001</v>
      </c>
      <c r="F4633" t="s">
        <v>41</v>
      </c>
      <c r="G4633">
        <v>-417.59399999999999</v>
      </c>
      <c r="H4633">
        <v>1.034206</v>
      </c>
      <c r="I4633">
        <v>32.781999999999996</v>
      </c>
      <c r="J4633">
        <v>-418.38409999999999</v>
      </c>
      <c r="K4633">
        <v>1.117386</v>
      </c>
      <c r="L4633">
        <v>33.252139999999997</v>
      </c>
      <c r="M4633">
        <v>0.46452670000000001</v>
      </c>
      <c r="N4633">
        <v>0</v>
      </c>
      <c r="O4633">
        <v>-0.88544029999999996</v>
      </c>
      <c r="P4633">
        <v>0.67845180000000005</v>
      </c>
      <c r="Q4633">
        <v>0.113410999999999</v>
      </c>
      <c r="R4633">
        <v>-0.72583819999999999</v>
      </c>
      <c r="S4633">
        <v>2.5458069999999999</v>
      </c>
      <c r="T4633">
        <v>-0.24228140000000001</v>
      </c>
      <c r="U4633">
        <v>-1.7979430000000001</v>
      </c>
      <c r="V4633">
        <v>-0.26618000000000003</v>
      </c>
      <c r="W4633">
        <v>0.1217752</v>
      </c>
      <c r="X4633">
        <v>0.9562003</v>
      </c>
      <c r="Y4633">
        <v>-0.45265</v>
      </c>
      <c r="Z4633">
        <v>7.7290620000000004E-2</v>
      </c>
      <c r="AA4633">
        <v>0.88833220000000002</v>
      </c>
      <c r="AB4633">
        <v>29</v>
      </c>
      <c r="AC4633">
        <v>0.79009999999999503</v>
      </c>
      <c r="AD4633">
        <v>-8.3180000000000004E-2</v>
      </c>
      <c r="AE4633">
        <v>-0.470140000000007</v>
      </c>
      <c r="AF4633">
        <v>-0.477337304457919</v>
      </c>
      <c r="AG4633">
        <v>-8.3180000000000004E-2</v>
      </c>
      <c r="AH4633">
        <v>0.77702571794776198</v>
      </c>
      <c r="AI4633">
        <v>95.211695404757407</v>
      </c>
      <c r="AJ4633">
        <v>121.562963182801</v>
      </c>
      <c r="AK4633">
        <v>0.91571763168532805</v>
      </c>
      <c r="AL4633">
        <v>83.0054345154673</v>
      </c>
      <c r="AM4633">
        <v>105.555747648127</v>
      </c>
      <c r="AN4633">
        <v>1.00000000272756</v>
      </c>
    </row>
    <row r="4634" spans="1:40" x14ac:dyDescent="0.25">
      <c r="A4634" t="str">
        <f>"20190312164603836"</f>
        <v>20190312164603836</v>
      </c>
      <c r="B4634" t="str">
        <f>"1552380363826503"</f>
        <v>1552380363826503</v>
      </c>
      <c r="C4634" t="s">
        <v>40</v>
      </c>
      <c r="D4634">
        <v>4.4441800000000002</v>
      </c>
      <c r="E4634">
        <v>0.4200371</v>
      </c>
      <c r="F4634" t="s">
        <v>41</v>
      </c>
      <c r="G4634">
        <v>-417.61380000000003</v>
      </c>
      <c r="H4634">
        <v>1.0462320000000001</v>
      </c>
      <c r="I4634">
        <v>32.717779999999998</v>
      </c>
      <c r="J4634">
        <v>-418.3023</v>
      </c>
      <c r="K4634">
        <v>1.117442</v>
      </c>
      <c r="L4634">
        <v>33.109769999999997</v>
      </c>
      <c r="M4634">
        <v>0.47021750000000001</v>
      </c>
      <c r="N4634">
        <v>0</v>
      </c>
      <c r="O4634">
        <v>-0.88243139999999998</v>
      </c>
      <c r="P4634">
        <v>0.68422649999999996</v>
      </c>
      <c r="Q4634">
        <v>0.11468929999999999</v>
      </c>
      <c r="R4634">
        <v>-0.72019509999999998</v>
      </c>
      <c r="S4634">
        <v>2.5611570000000001</v>
      </c>
      <c r="T4634">
        <v>-0.2365302</v>
      </c>
      <c r="U4634">
        <v>-1.7761229999999999</v>
      </c>
      <c r="V4634">
        <v>-0.26779930000000002</v>
      </c>
      <c r="W4634">
        <v>0.1229901</v>
      </c>
      <c r="X4634">
        <v>0.95559249999999996</v>
      </c>
      <c r="Y4634">
        <v>-0.45464640000000001</v>
      </c>
      <c r="Z4634">
        <v>7.5381359999999994E-2</v>
      </c>
      <c r="AA4634">
        <v>0.88747640000000005</v>
      </c>
      <c r="AB4634">
        <v>29</v>
      </c>
      <c r="AC4634">
        <v>0.68849999999997602</v>
      </c>
      <c r="AD4634">
        <v>-7.1209999999999996E-2</v>
      </c>
      <c r="AE4634">
        <v>-0.391990000000006</v>
      </c>
      <c r="AF4634">
        <v>-0.41988587307247</v>
      </c>
      <c r="AG4634">
        <v>-7.1209999999999996E-2</v>
      </c>
      <c r="AH4634">
        <v>0.66435240790808003</v>
      </c>
      <c r="AI4634">
        <v>95.177280622523796</v>
      </c>
      <c r="AJ4634">
        <v>122.293820224778</v>
      </c>
      <c r="AK4634">
        <v>0.78913822135231504</v>
      </c>
      <c r="AL4634">
        <v>82.935298835553795</v>
      </c>
      <c r="AM4634">
        <v>105.655222531525</v>
      </c>
      <c r="AN4634">
        <v>1.00000002791737</v>
      </c>
    </row>
    <row r="4635" spans="1:40" x14ac:dyDescent="0.25">
      <c r="A4635" t="str">
        <f>"20190312164603852"</f>
        <v>20190312164603852</v>
      </c>
      <c r="B4635" t="str">
        <f>"1552380363846024"</f>
        <v>1552380363846024</v>
      </c>
      <c r="C4635" t="s">
        <v>40</v>
      </c>
      <c r="D4635">
        <v>4.4632120000000004</v>
      </c>
      <c r="E4635">
        <v>0.41915360000000002</v>
      </c>
      <c r="F4635" t="s">
        <v>41</v>
      </c>
      <c r="G4635">
        <v>-417.48329999999999</v>
      </c>
      <c r="H4635">
        <v>1.043968</v>
      </c>
      <c r="I4635">
        <v>32.551829999999903</v>
      </c>
      <c r="J4635">
        <v>-418.19819999999999</v>
      </c>
      <c r="K4635">
        <v>1.117515</v>
      </c>
      <c r="L4635">
        <v>32.931519999999999</v>
      </c>
      <c r="M4635">
        <v>0.47739759999999998</v>
      </c>
      <c r="N4635">
        <v>0</v>
      </c>
      <c r="O4635">
        <v>-0.87856719999999899</v>
      </c>
      <c r="P4635">
        <v>0.69280640000000004</v>
      </c>
      <c r="Q4635">
        <v>0.1172279</v>
      </c>
      <c r="R4635">
        <v>-0.71153129999999998</v>
      </c>
      <c r="S4635">
        <v>2.5759280000000002</v>
      </c>
      <c r="T4635">
        <v>-0.2311106</v>
      </c>
      <c r="U4635">
        <v>-1.755066</v>
      </c>
      <c r="V4635">
        <v>-0.27173059999999899</v>
      </c>
      <c r="W4635">
        <v>0.12539890000000001</v>
      </c>
      <c r="X4635">
        <v>0.95416860000000003</v>
      </c>
      <c r="Y4635">
        <v>-0.45483580000000001</v>
      </c>
      <c r="Z4635">
        <v>7.3502940000000003E-2</v>
      </c>
      <c r="AA4635">
        <v>0.88753689999999996</v>
      </c>
      <c r="AB4635">
        <v>29</v>
      </c>
      <c r="AC4635">
        <v>0.71489999999999998</v>
      </c>
      <c r="AD4635">
        <v>-7.3547000000000001E-2</v>
      </c>
      <c r="AE4635">
        <v>-0.37969000000000303</v>
      </c>
      <c r="AF4635">
        <v>-0.44321299834133099</v>
      </c>
      <c r="AG4635">
        <v>-7.3547000000000001E-2</v>
      </c>
      <c r="AH4635">
        <v>0.66941984042177205</v>
      </c>
      <c r="AI4635">
        <v>95.234138568911803</v>
      </c>
      <c r="AJ4635">
        <v>123.50795493116399</v>
      </c>
      <c r="AK4635">
        <v>0.80620707380797796</v>
      </c>
      <c r="AL4635">
        <v>82.796208106690401</v>
      </c>
      <c r="AM4635">
        <v>105.896030090281</v>
      </c>
      <c r="AN4635">
        <v>1.00000006016176</v>
      </c>
    </row>
    <row r="4636" spans="1:40" x14ac:dyDescent="0.25">
      <c r="A4636" t="str">
        <f>"20190312164603866"</f>
        <v>20190312164603866</v>
      </c>
      <c r="B4636" t="str">
        <f>"1552380363856760"</f>
        <v>1552380363856760</v>
      </c>
      <c r="C4636" t="s">
        <v>40</v>
      </c>
      <c r="D4636">
        <v>4.4594959999999997</v>
      </c>
      <c r="E4636">
        <v>0.42039349999999998</v>
      </c>
      <c r="F4636" t="s">
        <v>43</v>
      </c>
      <c r="G4636">
        <v>-355.93979999999999</v>
      </c>
      <c r="H4636">
        <v>-0.05</v>
      </c>
      <c r="I4636">
        <v>-8.2451170000000005</v>
      </c>
      <c r="J4636">
        <v>-418.10559999999998</v>
      </c>
      <c r="K4636">
        <v>1.1175729999999999</v>
      </c>
      <c r="L4636">
        <v>32.775880000000001</v>
      </c>
      <c r="M4636">
        <v>0.48372229999999999</v>
      </c>
      <c r="N4636">
        <v>0</v>
      </c>
      <c r="O4636">
        <v>-0.87510069999999995</v>
      </c>
      <c r="P4636">
        <v>0.6991927</v>
      </c>
      <c r="Q4636">
        <v>0.1181987</v>
      </c>
      <c r="R4636">
        <v>-0.70509500000000003</v>
      </c>
      <c r="S4636">
        <v>2.5834959999999998</v>
      </c>
      <c r="T4636">
        <v>-4.8447610000000002E-2</v>
      </c>
      <c r="U4636">
        <v>-1.7086790000000001</v>
      </c>
      <c r="V4636">
        <v>-0.27356760000000002</v>
      </c>
      <c r="W4636">
        <v>0.1262981</v>
      </c>
      <c r="X4636">
        <v>0.95352479999999995</v>
      </c>
      <c r="Y4636">
        <v>-0.4629974</v>
      </c>
      <c r="Z4636">
        <v>1.5544850000000001E-2</v>
      </c>
      <c r="AA4636">
        <v>0.88622330000000005</v>
      </c>
      <c r="AB4636">
        <v>29</v>
      </c>
      <c r="AC4636">
        <v>62.165799999999898</v>
      </c>
      <c r="AD4636">
        <v>-1.167573</v>
      </c>
      <c r="AE4636">
        <v>-41.020996999999902</v>
      </c>
      <c r="AF4636">
        <v>-34.553727823758301</v>
      </c>
      <c r="AG4636">
        <v>-1.167573</v>
      </c>
      <c r="AH4636">
        <v>65.959255069069997</v>
      </c>
      <c r="AI4636">
        <v>90.898331493237805</v>
      </c>
      <c r="AJ4636">
        <v>117.648457694201</v>
      </c>
      <c r="AK4636">
        <v>74.471112939819406</v>
      </c>
      <c r="AL4636">
        <v>82.744274356462896</v>
      </c>
      <c r="AM4636">
        <v>106.008259467233</v>
      </c>
      <c r="AN4636">
        <v>0.99999999302420395</v>
      </c>
    </row>
    <row r="4637" spans="1:40" x14ac:dyDescent="0.25">
      <c r="A4637" t="str">
        <f>"20190312164603880"</f>
        <v>20190312164603880</v>
      </c>
      <c r="B4637" t="str">
        <f>"1552380363876280"</f>
        <v>1552380363876280</v>
      </c>
      <c r="C4637" t="s">
        <v>40</v>
      </c>
      <c r="D4637">
        <v>4.4661869999999997</v>
      </c>
      <c r="E4637">
        <v>0.42232199999999998</v>
      </c>
      <c r="F4637" t="s">
        <v>78</v>
      </c>
      <c r="G4637">
        <v>-364.55130000000003</v>
      </c>
      <c r="H4637">
        <v>0.17414009999999999</v>
      </c>
      <c r="I4637">
        <v>-2.1873109999999998</v>
      </c>
      <c r="J4637">
        <v>-418.024</v>
      </c>
      <c r="K4637">
        <v>1.117629</v>
      </c>
      <c r="L4637">
        <v>32.641390000000001</v>
      </c>
      <c r="M4637">
        <v>0.48924669999999998</v>
      </c>
      <c r="N4637">
        <v>0</v>
      </c>
      <c r="O4637">
        <v>-0.87202389999999996</v>
      </c>
      <c r="P4637">
        <v>0.70487429999999995</v>
      </c>
      <c r="Q4637">
        <v>0.11902790000000001</v>
      </c>
      <c r="R4637">
        <v>-0.69927450000000002</v>
      </c>
      <c r="S4637">
        <v>2.5919490000000001</v>
      </c>
      <c r="T4637">
        <v>-4.5660850000000003E-2</v>
      </c>
      <c r="U4637">
        <v>-1.69216899999999</v>
      </c>
      <c r="V4637">
        <v>-0.27535559999999998</v>
      </c>
      <c r="W4637">
        <v>0.12706199999999901</v>
      </c>
      <c r="X4637">
        <v>0.95290850000000005</v>
      </c>
      <c r="Y4637">
        <v>-0.46268239999999999</v>
      </c>
      <c r="Z4637">
        <v>1.463359E-2</v>
      </c>
      <c r="AA4637">
        <v>0.88640330000000001</v>
      </c>
      <c r="AB4637">
        <v>29</v>
      </c>
      <c r="AC4637">
        <v>53.472699999999897</v>
      </c>
      <c r="AD4637">
        <v>-0.94348889999999996</v>
      </c>
      <c r="AE4637">
        <v>-34.828701000000002</v>
      </c>
      <c r="AF4637">
        <v>-29.5863149206975</v>
      </c>
      <c r="AG4637">
        <v>-0.94348889999999996</v>
      </c>
      <c r="AH4637">
        <v>56.526438672663701</v>
      </c>
      <c r="AI4637">
        <v>90.847225820045196</v>
      </c>
      <c r="AJ4637">
        <v>117.62786002662</v>
      </c>
      <c r="AK4637">
        <v>63.8081379677038</v>
      </c>
      <c r="AL4637">
        <v>82.700150931520696</v>
      </c>
      <c r="AM4637">
        <v>106.117354037894</v>
      </c>
      <c r="AN4637">
        <v>1.0000000338338</v>
      </c>
    </row>
    <row r="4638" spans="1:40" x14ac:dyDescent="0.25">
      <c r="A4638" t="str">
        <f>"20190312164603892"</f>
        <v>20190312164603892</v>
      </c>
      <c r="B4638" t="str">
        <f>"1552380363886039"</f>
        <v>1552380363886039</v>
      </c>
      <c r="C4638" t="s">
        <v>40</v>
      </c>
      <c r="D4638">
        <v>4.6675700000000004</v>
      </c>
      <c r="E4638">
        <v>0.42328130000000003</v>
      </c>
      <c r="F4638" t="s">
        <v>43</v>
      </c>
      <c r="G4638">
        <v>-355.05739999999997</v>
      </c>
      <c r="H4638">
        <v>-0.05</v>
      </c>
      <c r="I4638">
        <v>-8.1692049999999998</v>
      </c>
      <c r="J4638">
        <v>-417.93650000000002</v>
      </c>
      <c r="K4638">
        <v>1.1176779999999999</v>
      </c>
      <c r="L4638">
        <v>32.498750000000001</v>
      </c>
      <c r="M4638">
        <v>0.4951255</v>
      </c>
      <c r="N4638">
        <v>0</v>
      </c>
      <c r="O4638">
        <v>-0.86869929999999995</v>
      </c>
      <c r="P4638">
        <v>0.71096459999999995</v>
      </c>
      <c r="Q4638">
        <v>0.119722</v>
      </c>
      <c r="R4638">
        <v>-0.69296199999999997</v>
      </c>
      <c r="S4638">
        <v>2.5953979999999999</v>
      </c>
      <c r="T4638">
        <v>-4.8128129999999998E-2</v>
      </c>
      <c r="U4638">
        <v>-1.682159</v>
      </c>
      <c r="V4638">
        <v>-0.27734639999999999</v>
      </c>
      <c r="W4638">
        <v>0.12768350000000001</v>
      </c>
      <c r="X4638">
        <v>0.95224779999999998</v>
      </c>
      <c r="Y4638">
        <v>-0.45962340000000002</v>
      </c>
      <c r="Z4638">
        <v>1.53936E-2</v>
      </c>
      <c r="AA4638">
        <v>0.88798049999999995</v>
      </c>
      <c r="AB4638">
        <v>29</v>
      </c>
      <c r="AC4638">
        <v>62.879100000000001</v>
      </c>
      <c r="AD4638">
        <v>-1.167678</v>
      </c>
      <c r="AE4638">
        <v>-40.667954999999999</v>
      </c>
      <c r="AF4638">
        <v>-34.482565171848002</v>
      </c>
      <c r="AG4638">
        <v>-1.167678</v>
      </c>
      <c r="AH4638">
        <v>66.452167235366801</v>
      </c>
      <c r="AI4638">
        <v>90.893562877819207</v>
      </c>
      <c r="AJ4638">
        <v>117.4251624803</v>
      </c>
      <c r="AK4638">
        <v>74.875238250169204</v>
      </c>
      <c r="AL4638">
        <v>82.664248838467202</v>
      </c>
      <c r="AM4638">
        <v>106.23843518161</v>
      </c>
      <c r="AN4638">
        <v>0.99999998718502403</v>
      </c>
    </row>
    <row r="4639" spans="1:40" x14ac:dyDescent="0.25">
      <c r="A4639" t="str">
        <f>"20190312164603907"</f>
        <v>20190312164603907</v>
      </c>
      <c r="B4639" t="str">
        <f>"1552380363896376"</f>
        <v>1552380363896376</v>
      </c>
      <c r="C4639" t="s">
        <v>40</v>
      </c>
      <c r="D4639">
        <v>4.5262019999999996</v>
      </c>
      <c r="E4639">
        <v>0.42414039999999997</v>
      </c>
      <c r="F4639" t="s">
        <v>78</v>
      </c>
      <c r="G4639">
        <v>-364.4</v>
      </c>
      <c r="H4639">
        <v>0.20509330000000001</v>
      </c>
      <c r="I4639">
        <v>-1.717884</v>
      </c>
      <c r="J4639">
        <v>-417.83730000000003</v>
      </c>
      <c r="K4639">
        <v>1.1177379999999999</v>
      </c>
      <c r="L4639">
        <v>32.33981</v>
      </c>
      <c r="M4639">
        <v>0.50173279999999998</v>
      </c>
      <c r="N4639">
        <v>0</v>
      </c>
      <c r="O4639">
        <v>-0.8648998</v>
      </c>
      <c r="P4639">
        <v>0.71865889999999999</v>
      </c>
      <c r="Q4639">
        <v>0.12101140000000001</v>
      </c>
      <c r="R4639">
        <v>-0.68475249999999999</v>
      </c>
      <c r="S4639">
        <v>2.6045530000000001</v>
      </c>
      <c r="T4639">
        <v>-4.4397350000000002E-2</v>
      </c>
      <c r="U4639">
        <v>-1.66464199999999</v>
      </c>
      <c r="V4639">
        <v>-0.28088360000000001</v>
      </c>
      <c r="W4639">
        <v>0.12885719999999901</v>
      </c>
      <c r="X4639">
        <v>0.95105220000000001</v>
      </c>
      <c r="Y4639">
        <v>-0.45852349999999997</v>
      </c>
      <c r="Z4639">
        <v>1.4172519999999999E-2</v>
      </c>
      <c r="AA4639">
        <v>0.88856919999999995</v>
      </c>
      <c r="AB4639">
        <v>29</v>
      </c>
      <c r="AC4639">
        <v>53.4373</v>
      </c>
      <c r="AD4639">
        <v>-0.91264469999999998</v>
      </c>
      <c r="AE4639">
        <v>-34.057693999999998</v>
      </c>
      <c r="AF4639">
        <v>-29.127102187299499</v>
      </c>
      <c r="AG4639">
        <v>-0.91264469999999998</v>
      </c>
      <c r="AH4639">
        <v>56.262048909815903</v>
      </c>
      <c r="AI4639">
        <v>90.825308141099597</v>
      </c>
      <c r="AJ4639">
        <v>117.370794974072</v>
      </c>
      <c r="AK4639">
        <v>63.361180147692501</v>
      </c>
      <c r="AL4639">
        <v>82.596440955322606</v>
      </c>
      <c r="AM4639">
        <v>106.453969875824</v>
      </c>
      <c r="AN4639">
        <v>1.0000000309328101</v>
      </c>
    </row>
    <row r="4640" spans="1:40" x14ac:dyDescent="0.25">
      <c r="A4640" t="str">
        <f>"20190312164603918"</f>
        <v>20190312164603918</v>
      </c>
      <c r="B4640" t="str">
        <f>"1552380363906136"</f>
        <v>1552380363906136</v>
      </c>
      <c r="C4640" t="s">
        <v>40</v>
      </c>
      <c r="D4640">
        <v>4.4590399999999999</v>
      </c>
      <c r="E4640">
        <v>0.42499320000000002</v>
      </c>
      <c r="F4640" t="s">
        <v>78</v>
      </c>
      <c r="G4640">
        <v>-364.4</v>
      </c>
      <c r="H4640">
        <v>0.1767176</v>
      </c>
      <c r="I4640">
        <v>-1.138825</v>
      </c>
      <c r="J4640">
        <v>-417.76089999999999</v>
      </c>
      <c r="K4640">
        <v>1.1177729999999999</v>
      </c>
      <c r="L4640">
        <v>32.219700000000003</v>
      </c>
      <c r="M4640">
        <v>0.50677700000000003</v>
      </c>
      <c r="N4640">
        <v>0</v>
      </c>
      <c r="O4640">
        <v>-0.86195379999999999</v>
      </c>
      <c r="P4640">
        <v>0.7238774</v>
      </c>
      <c r="Q4640">
        <v>0.122005</v>
      </c>
      <c r="R4640">
        <v>-0.67905559999999998</v>
      </c>
      <c r="S4640">
        <v>2.6188959999999999</v>
      </c>
      <c r="T4640">
        <v>-4.6118260000000001E-2</v>
      </c>
      <c r="U4640">
        <v>-1.640747</v>
      </c>
      <c r="V4640">
        <v>-0.28273100000000001</v>
      </c>
      <c r="W4640">
        <v>0.12978589999999901</v>
      </c>
      <c r="X4640">
        <v>0.95037819999999995</v>
      </c>
      <c r="Y4640">
        <v>-0.46133229999999997</v>
      </c>
      <c r="Z4640">
        <v>1.47119E-2</v>
      </c>
      <c r="AA4640">
        <v>0.88710549999999999</v>
      </c>
      <c r="AB4640">
        <v>29</v>
      </c>
      <c r="AC4640">
        <v>53.360900000000001</v>
      </c>
      <c r="AD4640">
        <v>-0.94105539999999999</v>
      </c>
      <c r="AE4640">
        <v>-33.358525</v>
      </c>
      <c r="AF4640">
        <v>-29.085887454952001</v>
      </c>
      <c r="AG4640">
        <v>-0.94105539999999999</v>
      </c>
      <c r="AH4640">
        <v>55.7890438468472</v>
      </c>
      <c r="AI4640">
        <v>90.856929822039703</v>
      </c>
      <c r="AJ4640">
        <v>117.535501345371</v>
      </c>
      <c r="AK4640">
        <v>62.922903998889403</v>
      </c>
      <c r="AL4640">
        <v>82.542779228588202</v>
      </c>
      <c r="AM4640">
        <v>106.567380834158</v>
      </c>
      <c r="AN4640">
        <v>0.99999996061752405</v>
      </c>
    </row>
    <row r="4641" spans="1:40" x14ac:dyDescent="0.25">
      <c r="A4641" t="str">
        <f>"20190312164603931"</f>
        <v>20190312164603931</v>
      </c>
      <c r="B4641" t="str">
        <f>"1552380363926633"</f>
        <v>1552380363926633</v>
      </c>
      <c r="C4641" t="s">
        <v>40</v>
      </c>
      <c r="D4641">
        <v>4.5032889999999997</v>
      </c>
      <c r="E4641">
        <v>0.42795490000000003</v>
      </c>
      <c r="F4641" t="s">
        <v>78</v>
      </c>
      <c r="G4641">
        <v>-364.4</v>
      </c>
      <c r="H4641">
        <v>0.16701279999999999</v>
      </c>
      <c r="I4641">
        <v>-0.7918193</v>
      </c>
      <c r="J4641">
        <v>-417.67380000000003</v>
      </c>
      <c r="K4641">
        <v>1.1178170000000001</v>
      </c>
      <c r="L4641">
        <v>32.084049999999998</v>
      </c>
      <c r="M4641">
        <v>0.51248229999999995</v>
      </c>
      <c r="N4641">
        <v>0</v>
      </c>
      <c r="O4641">
        <v>-0.85857359999999905</v>
      </c>
      <c r="P4641">
        <v>0.72942850000000004</v>
      </c>
      <c r="Q4641">
        <v>0.12269099999999999</v>
      </c>
      <c r="R4641">
        <v>-0.67296449999999997</v>
      </c>
      <c r="S4641">
        <v>2.6274410000000001</v>
      </c>
      <c r="T4641">
        <v>-4.6814559999999998E-2</v>
      </c>
      <c r="U4641">
        <v>-1.6254580000000001</v>
      </c>
      <c r="V4641">
        <v>-0.284325299999999</v>
      </c>
      <c r="W4641">
        <v>0.13041179999999999</v>
      </c>
      <c r="X4641">
        <v>0.94981680000000002</v>
      </c>
      <c r="Y4641">
        <v>-0.46046799999999999</v>
      </c>
      <c r="Z4641">
        <v>1.4903899999999999E-2</v>
      </c>
      <c r="AA4641">
        <v>0.88755119999999899</v>
      </c>
      <c r="AB4641">
        <v>29</v>
      </c>
      <c r="AC4641">
        <v>53.273800000000001</v>
      </c>
      <c r="AD4641">
        <v>-0.95080419999999999</v>
      </c>
      <c r="AE4641">
        <v>-32.875869299999998</v>
      </c>
      <c r="AF4641">
        <v>-28.887594498834101</v>
      </c>
      <c r="AG4641">
        <v>-0.95080419999999999</v>
      </c>
      <c r="AH4641">
        <v>55.521347254259403</v>
      </c>
      <c r="AI4641">
        <v>90.870356667133507</v>
      </c>
      <c r="AJ4641">
        <v>117.487828189417</v>
      </c>
      <c r="AK4641">
        <v>62.594066376006197</v>
      </c>
      <c r="AL4641">
        <v>82.506610950916397</v>
      </c>
      <c r="AM4641">
        <v>106.66494031309701</v>
      </c>
      <c r="AN4641">
        <v>1.0000000336807799</v>
      </c>
    </row>
    <row r="4642" spans="1:40" x14ac:dyDescent="0.25">
      <c r="A4642" t="str">
        <f>"20190312164603943"</f>
        <v>20190312164603943</v>
      </c>
      <c r="B4642" t="str">
        <f>"1552380363936392"</f>
        <v>1552380363936392</v>
      </c>
      <c r="C4642" t="s">
        <v>40</v>
      </c>
      <c r="D4642">
        <v>4.5921900000000004</v>
      </c>
      <c r="E4642">
        <v>0.428647</v>
      </c>
      <c r="F4642" t="s">
        <v>41</v>
      </c>
      <c r="G4642">
        <v>-416.77730000000003</v>
      </c>
      <c r="H4642">
        <v>1.040405</v>
      </c>
      <c r="I4642">
        <v>31.53088</v>
      </c>
      <c r="J4642">
        <v>-417.58679999999998</v>
      </c>
      <c r="K4642">
        <v>1.117858</v>
      </c>
      <c r="L4642">
        <v>31.95093</v>
      </c>
      <c r="M4642">
        <v>0.51813160000000003</v>
      </c>
      <c r="N4642">
        <v>0</v>
      </c>
      <c r="O4642">
        <v>-0.85517619999999905</v>
      </c>
      <c r="P4642">
        <v>0.73498019999999997</v>
      </c>
      <c r="Q4642">
        <v>0.1234894</v>
      </c>
      <c r="R4642">
        <v>-0.666749699999999</v>
      </c>
      <c r="S4642">
        <v>2.645721</v>
      </c>
      <c r="T4642">
        <v>-0.22840579999999999</v>
      </c>
      <c r="U4642">
        <v>-1.631775</v>
      </c>
      <c r="V4642">
        <v>-0.28604279999999999</v>
      </c>
      <c r="W4642">
        <v>0.1311474</v>
      </c>
      <c r="X4642">
        <v>0.94919960000000003</v>
      </c>
      <c r="Y4642">
        <v>-0.4534415</v>
      </c>
      <c r="Z4642">
        <v>7.1822269999999994E-2</v>
      </c>
      <c r="AA4642">
        <v>0.8883875</v>
      </c>
      <c r="AB4642">
        <v>29</v>
      </c>
      <c r="AC4642">
        <v>0.80949999999995703</v>
      </c>
      <c r="AD4642">
        <v>-7.7452999999999994E-2</v>
      </c>
      <c r="AE4642">
        <v>-0.42004999999999898</v>
      </c>
      <c r="AF4642">
        <v>-0.47127545498175399</v>
      </c>
      <c r="AG4642">
        <v>-7.7452999999999994E-2</v>
      </c>
      <c r="AH4642">
        <v>0.77315091104039002</v>
      </c>
      <c r="AI4642">
        <v>94.889161204670401</v>
      </c>
      <c r="AJ4642">
        <v>121.364467486892</v>
      </c>
      <c r="AK4642">
        <v>0.90876941680486001</v>
      </c>
      <c r="AL4642">
        <v>82.464098823290598</v>
      </c>
      <c r="AM4642">
        <v>106.770263538658</v>
      </c>
      <c r="AN4642">
        <v>1.00000000229938</v>
      </c>
    </row>
    <row r="4643" spans="1:40" x14ac:dyDescent="0.25">
      <c r="A4643" t="str">
        <f>"20190312164603954"</f>
        <v>20190312164603954</v>
      </c>
      <c r="B4643" t="str">
        <f>"1552380363946152"</f>
        <v>1552380363946152</v>
      </c>
      <c r="C4643" t="s">
        <v>40</v>
      </c>
      <c r="D4643">
        <v>4.6267329999999998</v>
      </c>
      <c r="E4643">
        <v>0.428647</v>
      </c>
      <c r="F4643" t="s">
        <v>41</v>
      </c>
      <c r="G4643">
        <v>-416.77789999999999</v>
      </c>
      <c r="H4643">
        <v>1.044117</v>
      </c>
      <c r="I4643">
        <v>31.459219999999998</v>
      </c>
      <c r="J4643">
        <v>-417.50830000000002</v>
      </c>
      <c r="K4643">
        <v>1.117893</v>
      </c>
      <c r="L4643">
        <v>31.83267</v>
      </c>
      <c r="M4643">
        <v>0.52317519999999995</v>
      </c>
      <c r="N4643">
        <v>0</v>
      </c>
      <c r="O4643">
        <v>-0.85209950000000001</v>
      </c>
      <c r="P4643">
        <v>0.74007619999999996</v>
      </c>
      <c r="Q4643">
        <v>0.12431540000000001</v>
      </c>
      <c r="R4643">
        <v>-0.66093310000000005</v>
      </c>
      <c r="S4643">
        <v>2.6578059999999999</v>
      </c>
      <c r="T4643">
        <v>-0.24220530000000001</v>
      </c>
      <c r="U4643">
        <v>-1.6145320000000001</v>
      </c>
      <c r="V4643">
        <v>-0.2878328</v>
      </c>
      <c r="W4643">
        <v>0.13191129999999901</v>
      </c>
      <c r="X4643">
        <v>0.94855239999999996</v>
      </c>
      <c r="Y4643">
        <v>-0.45388149999999999</v>
      </c>
      <c r="Z4643">
        <v>7.5976269999999999E-2</v>
      </c>
      <c r="AA4643">
        <v>0.88781710000000003</v>
      </c>
      <c r="AB4643">
        <v>29</v>
      </c>
      <c r="AC4643">
        <v>0.73040000000003102</v>
      </c>
      <c r="AD4643">
        <v>-7.3775999999999994E-2</v>
      </c>
      <c r="AE4643">
        <v>-0.37344999999999801</v>
      </c>
      <c r="AF4643">
        <v>-0.42361318683464699</v>
      </c>
      <c r="AG4643">
        <v>-7.3775999999999994E-2</v>
      </c>
      <c r="AH4643">
        <v>0.69479910238189302</v>
      </c>
      <c r="AI4643">
        <v>95.180354315128696</v>
      </c>
      <c r="AJ4643">
        <v>121.37031183385101</v>
      </c>
      <c r="AK4643">
        <v>0.81709046188710899</v>
      </c>
      <c r="AL4643">
        <v>82.419946855510403</v>
      </c>
      <c r="AM4643">
        <v>106.880120519941</v>
      </c>
      <c r="AN4643">
        <v>0.99999998368464404</v>
      </c>
    </row>
    <row r="4644" spans="1:40" x14ac:dyDescent="0.25">
      <c r="A4644" t="str">
        <f>"20190312164603967"</f>
        <v>20190312164603967</v>
      </c>
      <c r="B4644" t="str">
        <f>"1552380363955913"</f>
        <v>1552380363955913</v>
      </c>
      <c r="C4644" t="s">
        <v>40</v>
      </c>
      <c r="D4644">
        <v>4.5580679999999996</v>
      </c>
      <c r="E4644">
        <v>0.42987599999999998</v>
      </c>
      <c r="F4644" t="s">
        <v>41</v>
      </c>
      <c r="G4644">
        <v>-416.64530000000002</v>
      </c>
      <c r="H4644">
        <v>1.0404880000000001</v>
      </c>
      <c r="I4644">
        <v>31.317630000000001</v>
      </c>
      <c r="J4644">
        <v>-417.41980000000001</v>
      </c>
      <c r="K4644">
        <v>1.117931</v>
      </c>
      <c r="L4644">
        <v>31.700410000000002</v>
      </c>
      <c r="M4644">
        <v>0.52882929999999995</v>
      </c>
      <c r="N4644">
        <v>0</v>
      </c>
      <c r="O4644">
        <v>-0.84860230000000003</v>
      </c>
      <c r="P4644">
        <v>0.74546959999999995</v>
      </c>
      <c r="Q4644">
        <v>0.12511889999999901</v>
      </c>
      <c r="R4644">
        <v>-0.65469149999999998</v>
      </c>
      <c r="S4644">
        <v>2.670471</v>
      </c>
      <c r="T4644">
        <v>-0.2395407</v>
      </c>
      <c r="U4644">
        <v>-1.593842</v>
      </c>
      <c r="V4644">
        <v>-0.289414</v>
      </c>
      <c r="W4644">
        <v>0.13265660000000001</v>
      </c>
      <c r="X4644">
        <v>0.94796720000000001</v>
      </c>
      <c r="Y4644">
        <v>-0.45495429999999998</v>
      </c>
      <c r="Z4644">
        <v>7.5002360000000004E-2</v>
      </c>
      <c r="AA4644">
        <v>0.88735069999999905</v>
      </c>
      <c r="AB4644">
        <v>29</v>
      </c>
      <c r="AC4644">
        <v>0.77449999999998898</v>
      </c>
      <c r="AD4644">
        <v>-7.7443000000000095E-2</v>
      </c>
      <c r="AE4644">
        <v>-0.38278000000000001</v>
      </c>
      <c r="AF4644">
        <v>-0.45123989719327601</v>
      </c>
      <c r="AG4644">
        <v>-7.7443000000000095E-2</v>
      </c>
      <c r="AH4644">
        <v>0.728629905520637</v>
      </c>
      <c r="AI4644">
        <v>95.163277074895504</v>
      </c>
      <c r="AJ4644">
        <v>121.769898746457</v>
      </c>
      <c r="AK4644">
        <v>0.86053262709034495</v>
      </c>
      <c r="AL4644">
        <v>82.376866019950597</v>
      </c>
      <c r="AM4644">
        <v>106.977409057789</v>
      </c>
      <c r="AN4644">
        <v>1.0000000245976901</v>
      </c>
    </row>
    <row r="4645" spans="1:40" x14ac:dyDescent="0.25">
      <c r="A4645" t="str">
        <f>"20190312164603978"</f>
        <v>20190312164603978</v>
      </c>
      <c r="B4645" t="str">
        <f>"1552380363966649"</f>
        <v>1552380363966649</v>
      </c>
      <c r="C4645" t="s">
        <v>40</v>
      </c>
      <c r="D4645">
        <v>4.5500420000000004</v>
      </c>
      <c r="E4645">
        <v>0.43079669999999998</v>
      </c>
      <c r="F4645" t="s">
        <v>52</v>
      </c>
      <c r="G4645">
        <v>-405.23270000000002</v>
      </c>
      <c r="H4645" s="1">
        <v>-4.5662340000000001E-6</v>
      </c>
      <c r="I4645">
        <v>24.513559999999998</v>
      </c>
      <c r="J4645">
        <v>-417.34280000000001</v>
      </c>
      <c r="K4645">
        <v>1.1179509999999999</v>
      </c>
      <c r="L4645">
        <v>31.587890000000002</v>
      </c>
      <c r="M4645">
        <v>0.53368349999999998</v>
      </c>
      <c r="N4645">
        <v>0</v>
      </c>
      <c r="O4645">
        <v>-0.84555759999999902</v>
      </c>
      <c r="P4645">
        <v>0.75020159999999902</v>
      </c>
      <c r="Q4645">
        <v>0.1257334</v>
      </c>
      <c r="R4645">
        <v>-0.64914459999999996</v>
      </c>
      <c r="S4645">
        <v>2.678436</v>
      </c>
      <c r="T4645">
        <v>-0.24569550000000001</v>
      </c>
      <c r="U4645">
        <v>-1.5794979999999901</v>
      </c>
      <c r="V4645">
        <v>-0.29094959999999997</v>
      </c>
      <c r="W4645">
        <v>0.133219</v>
      </c>
      <c r="X4645">
        <v>0.94741810000000004</v>
      </c>
      <c r="Y4645">
        <v>-0.45439770000000002</v>
      </c>
      <c r="Z4645">
        <v>7.6770889999999994E-2</v>
      </c>
      <c r="AA4645">
        <v>0.88748459999999996</v>
      </c>
      <c r="AB4645">
        <v>29</v>
      </c>
      <c r="AC4645">
        <v>12.1100999999999</v>
      </c>
      <c r="AD4645">
        <v>-1.1179555662339999</v>
      </c>
      <c r="AE4645">
        <v>-7.0743299999999998</v>
      </c>
      <c r="AF4645">
        <v>-6.4242075123962996</v>
      </c>
      <c r="AG4645">
        <v>-1.1179555662339999</v>
      </c>
      <c r="AH4645">
        <v>12.367465350551599</v>
      </c>
      <c r="AI4645">
        <v>94.586337862595499</v>
      </c>
      <c r="AJ4645">
        <v>117.44935671218499</v>
      </c>
      <c r="AK4645">
        <v>13.981218330585399</v>
      </c>
      <c r="AL4645">
        <v>82.344354230449298</v>
      </c>
      <c r="AM4645">
        <v>107.07158407038401</v>
      </c>
      <c r="AN4645">
        <v>1.0000000139543801</v>
      </c>
    </row>
    <row r="4646" spans="1:40" x14ac:dyDescent="0.25">
      <c r="A4646" t="str">
        <f>"20190312164603994"</f>
        <v>20190312164603994</v>
      </c>
      <c r="B4646" t="str">
        <f>"1552380363986168"</f>
        <v>1552380363986168</v>
      </c>
      <c r="C4646" t="s">
        <v>40</v>
      </c>
      <c r="D4646">
        <v>4.5588939999999996</v>
      </c>
      <c r="E4646">
        <v>0.43145359999999999</v>
      </c>
      <c r="F4646" t="s">
        <v>41</v>
      </c>
      <c r="G4646">
        <v>-416.5129</v>
      </c>
      <c r="H4646">
        <v>1.0420799999999999</v>
      </c>
      <c r="I4646">
        <v>31.10408</v>
      </c>
      <c r="J4646">
        <v>-417.23349999999999</v>
      </c>
      <c r="K4646">
        <v>1.1179889999999999</v>
      </c>
      <c r="L4646">
        <v>31.429500000000001</v>
      </c>
      <c r="M4646">
        <v>0.54052829999999996</v>
      </c>
      <c r="N4646">
        <v>0</v>
      </c>
      <c r="O4646">
        <v>-0.84119829999999995</v>
      </c>
      <c r="P4646">
        <v>0.75628580000000001</v>
      </c>
      <c r="Q4646">
        <v>0.12626509999999999</v>
      </c>
      <c r="R4646">
        <v>-0.64194189999999995</v>
      </c>
      <c r="S4646">
        <v>2.685638</v>
      </c>
      <c r="T4646">
        <v>-0.24549509999999999</v>
      </c>
      <c r="U4646">
        <v>-1.5653379999999999</v>
      </c>
      <c r="V4646">
        <v>-0.29227189999999997</v>
      </c>
      <c r="W4646">
        <v>0.13369919999999999</v>
      </c>
      <c r="X4646">
        <v>0.94694330000000004</v>
      </c>
      <c r="Y4646">
        <v>-0.45171509999999998</v>
      </c>
      <c r="Z4646">
        <v>7.6451160000000004E-2</v>
      </c>
      <c r="AA4646">
        <v>0.88888060000000002</v>
      </c>
      <c r="AB4646">
        <v>29</v>
      </c>
      <c r="AC4646">
        <v>0.72059999999999003</v>
      </c>
      <c r="AD4646">
        <v>-7.5909000000000004E-2</v>
      </c>
      <c r="AE4646">
        <v>-0.32542000000000099</v>
      </c>
      <c r="AF4646">
        <v>-0.42638491983190802</v>
      </c>
      <c r="AG4646">
        <v>-7.5909000000000004E-2</v>
      </c>
      <c r="AH4646">
        <v>0.65726058728866699</v>
      </c>
      <c r="AI4646">
        <v>95.534144586190706</v>
      </c>
      <c r="AJ4646">
        <v>122.972700410242</v>
      </c>
      <c r="AK4646">
        <v>0.78711991192200603</v>
      </c>
      <c r="AL4646">
        <v>82.316592159853997</v>
      </c>
      <c r="AM4646">
        <v>107.152722782902</v>
      </c>
      <c r="AN4646">
        <v>0.999999976512569</v>
      </c>
    </row>
    <row r="4647" spans="1:40" x14ac:dyDescent="0.25">
      <c r="A4647" t="str">
        <f>"20190312164604008"</f>
        <v>20190312164604008</v>
      </c>
      <c r="B4647" t="str">
        <f>"1552380363995928"</f>
        <v>1552380363995928</v>
      </c>
      <c r="C4647" t="s">
        <v>40</v>
      </c>
      <c r="D4647">
        <v>4.6143830000000001</v>
      </c>
      <c r="E4647">
        <v>0.43937609999999999</v>
      </c>
      <c r="F4647" t="s">
        <v>41</v>
      </c>
      <c r="G4647">
        <v>-416.34800000000001</v>
      </c>
      <c r="H4647">
        <v>1.037979</v>
      </c>
      <c r="I4647">
        <v>30.922720000000002</v>
      </c>
      <c r="J4647">
        <v>-417.12990000000002</v>
      </c>
      <c r="K4647">
        <v>1.1180190000000001</v>
      </c>
      <c r="L4647">
        <v>31.281860000000002</v>
      </c>
      <c r="M4647">
        <v>0.54693700000000001</v>
      </c>
      <c r="N4647">
        <v>0</v>
      </c>
      <c r="O4647">
        <v>-0.8370455</v>
      </c>
      <c r="P4647">
        <v>0.76274900000000001</v>
      </c>
      <c r="Q4647">
        <v>0.1273263</v>
      </c>
      <c r="R4647">
        <v>-0.63403679999999996</v>
      </c>
      <c r="S4647">
        <v>2.6972960000000001</v>
      </c>
      <c r="T4647">
        <v>-0.2436992</v>
      </c>
      <c r="U4647">
        <v>-1.543488</v>
      </c>
      <c r="V4647">
        <v>-0.29478399999999999</v>
      </c>
      <c r="W4647">
        <v>0.13467870000000001</v>
      </c>
      <c r="X4647">
        <v>0.94602540000000002</v>
      </c>
      <c r="Y4647">
        <v>-0.45203520000000003</v>
      </c>
      <c r="Z4647">
        <v>7.5718759999999996E-2</v>
      </c>
      <c r="AA4647">
        <v>0.88878049999999997</v>
      </c>
      <c r="AB4647">
        <v>29</v>
      </c>
      <c r="AC4647">
        <v>0.78190000000000703</v>
      </c>
      <c r="AD4647">
        <v>-8.0040000000000097E-2</v>
      </c>
      <c r="AE4647">
        <v>-0.35913999999999602</v>
      </c>
      <c r="AF4647">
        <v>-0.45417801327797802</v>
      </c>
      <c r="AG4647">
        <v>-8.0040000000000097E-2</v>
      </c>
      <c r="AH4647">
        <v>0.72209631514175399</v>
      </c>
      <c r="AI4647">
        <v>95.360233152445005</v>
      </c>
      <c r="AJ4647">
        <v>122.16872342285301</v>
      </c>
      <c r="AK4647">
        <v>0.85680053553113</v>
      </c>
      <c r="AL4647">
        <v>82.259958980496094</v>
      </c>
      <c r="AM4647">
        <v>107.30717134867901</v>
      </c>
      <c r="AN4647">
        <v>1.0000000081674201</v>
      </c>
    </row>
    <row r="4648" spans="1:40" x14ac:dyDescent="0.25">
      <c r="A4648" t="str">
        <f>"20190312164604021"</f>
        <v>20190312164604021</v>
      </c>
      <c r="B4648" t="str">
        <f>"1552380364016424"</f>
        <v>1552380364016424</v>
      </c>
      <c r="C4648" t="s">
        <v>40</v>
      </c>
      <c r="D4648">
        <v>4.6437109999999997</v>
      </c>
      <c r="E4648">
        <v>0.44012709999999999</v>
      </c>
      <c r="F4648" t="s">
        <v>42</v>
      </c>
      <c r="G4648">
        <v>-397.1309</v>
      </c>
      <c r="H4648" s="1">
        <v>-1.344867E-6</v>
      </c>
      <c r="I4648">
        <v>19.570440000000001</v>
      </c>
      <c r="J4648">
        <v>-417.04250000000002</v>
      </c>
      <c r="K4648">
        <v>1.1180410000000001</v>
      </c>
      <c r="L4648">
        <v>31.160060000000001</v>
      </c>
      <c r="M4648">
        <v>0.55226629999999999</v>
      </c>
      <c r="N4648">
        <v>0</v>
      </c>
      <c r="O4648">
        <v>-0.83353869999999897</v>
      </c>
      <c r="P4648">
        <v>0.76745609999999997</v>
      </c>
      <c r="Q4648">
        <v>0.12772929999999999</v>
      </c>
      <c r="R4648">
        <v>-0.62824919999999995</v>
      </c>
      <c r="S4648">
        <v>2.6621090000000001</v>
      </c>
      <c r="T4648">
        <v>-0.1488217</v>
      </c>
      <c r="U4648">
        <v>-1.558929</v>
      </c>
      <c r="V4648">
        <v>-0.29586649999999998</v>
      </c>
      <c r="W4648">
        <v>0.13504389999999999</v>
      </c>
      <c r="X4648">
        <v>0.94563529999999996</v>
      </c>
      <c r="Y4648">
        <v>-0.43917879999999998</v>
      </c>
      <c r="Z4648">
        <v>4.6338009999999999E-2</v>
      </c>
      <c r="AA4648">
        <v>0.89720390000000005</v>
      </c>
      <c r="AB4648">
        <v>29</v>
      </c>
      <c r="AC4648">
        <v>19.9116</v>
      </c>
      <c r="AD4648">
        <v>-1.118042344867</v>
      </c>
      <c r="AE4648">
        <v>-11.58962</v>
      </c>
      <c r="AF4648">
        <v>-10.1736706891451</v>
      </c>
      <c r="AG4648">
        <v>-1.118042344867</v>
      </c>
      <c r="AH4648">
        <v>20.610587022590899</v>
      </c>
      <c r="AI4648">
        <v>92.784828482277902</v>
      </c>
      <c r="AJ4648">
        <v>116.271583367741</v>
      </c>
      <c r="AK4648">
        <v>23.011951055742301</v>
      </c>
      <c r="AL4648">
        <v>82.238841429480502</v>
      </c>
      <c r="AM4648">
        <v>107.373644118257</v>
      </c>
      <c r="AN4648">
        <v>0.99999998067777396</v>
      </c>
    </row>
    <row r="4649" spans="1:40" x14ac:dyDescent="0.25">
      <c r="A4649" t="str">
        <f>"20190312164604035"</f>
        <v>20190312164604035</v>
      </c>
      <c r="B4649" t="str">
        <f>"1552380364026184"</f>
        <v>1552380364026184</v>
      </c>
      <c r="C4649" t="s">
        <v>40</v>
      </c>
      <c r="D4649">
        <v>4.5147979999999999</v>
      </c>
      <c r="E4649">
        <v>0.44564480000000001</v>
      </c>
      <c r="F4649" t="s">
        <v>41</v>
      </c>
      <c r="G4649">
        <v>-416.18770000000001</v>
      </c>
      <c r="H4649">
        <v>1.0705020000000001</v>
      </c>
      <c r="I4649">
        <v>30.665679999999998</v>
      </c>
      <c r="J4649">
        <v>-416.9282</v>
      </c>
      <c r="K4649">
        <v>1.118066</v>
      </c>
      <c r="L4649">
        <v>31.002410000000001</v>
      </c>
      <c r="M4649">
        <v>0.55917340000000004</v>
      </c>
      <c r="N4649">
        <v>0</v>
      </c>
      <c r="O4649">
        <v>-0.82892069999999995</v>
      </c>
      <c r="P4649">
        <v>0.77319510000000002</v>
      </c>
      <c r="Q4649">
        <v>0.1282238</v>
      </c>
      <c r="R4649">
        <v>-0.62106980000000001</v>
      </c>
      <c r="S4649">
        <v>2.670258</v>
      </c>
      <c r="T4649">
        <v>-0.14845820000000001</v>
      </c>
      <c r="U4649">
        <v>-1.543488</v>
      </c>
      <c r="V4649">
        <v>-0.29677409999999999</v>
      </c>
      <c r="W4649">
        <v>0.1355036</v>
      </c>
      <c r="X4649">
        <v>0.94528509999999999</v>
      </c>
      <c r="Y4649">
        <v>-0.43679820000000003</v>
      </c>
      <c r="Z4649">
        <v>4.605331E-2</v>
      </c>
      <c r="AA4649">
        <v>0.89837990000000001</v>
      </c>
      <c r="AB4649">
        <v>29</v>
      </c>
      <c r="AC4649">
        <v>0.74049999999999705</v>
      </c>
      <c r="AD4649">
        <v>-4.7563999999999898E-2</v>
      </c>
      <c r="AE4649">
        <v>-0.33672999999999897</v>
      </c>
      <c r="AF4649">
        <v>-0.42412119576880802</v>
      </c>
      <c r="AG4649">
        <v>-4.7563999999999898E-2</v>
      </c>
      <c r="AH4649">
        <v>0.69090302090869604</v>
      </c>
      <c r="AI4649">
        <v>93.357732816312804</v>
      </c>
      <c r="AJ4649">
        <v>121.54430818280299</v>
      </c>
      <c r="AK4649">
        <v>0.81208873104921597</v>
      </c>
      <c r="AL4649">
        <v>82.212258412618297</v>
      </c>
      <c r="AM4649">
        <v>107.42978255891499</v>
      </c>
      <c r="AN4649">
        <v>1.00000000616289</v>
      </c>
    </row>
    <row r="4650" spans="1:40" x14ac:dyDescent="0.25">
      <c r="A4650" t="str">
        <f>"20190312164604049"</f>
        <v>20190312164604049</v>
      </c>
      <c r="B4650" t="str">
        <f>"1552380364046680"</f>
        <v>1552380364046680</v>
      </c>
      <c r="C4650" t="s">
        <v>40</v>
      </c>
      <c r="D4650">
        <v>4.6513099999999996</v>
      </c>
      <c r="E4650">
        <v>0.44613740000000002</v>
      </c>
      <c r="F4650" t="s">
        <v>43</v>
      </c>
      <c r="G4650">
        <v>-356.79899999999998</v>
      </c>
      <c r="H4650">
        <v>-0.05</v>
      </c>
      <c r="I4650">
        <v>-4.1766819999999996</v>
      </c>
      <c r="J4650">
        <v>-416.82889999999998</v>
      </c>
      <c r="K4650">
        <v>1.1180870000000001</v>
      </c>
      <c r="L4650">
        <v>30.86722</v>
      </c>
      <c r="M4650">
        <v>0.5651081</v>
      </c>
      <c r="N4650">
        <v>0</v>
      </c>
      <c r="O4650">
        <v>-0.82488629999999996</v>
      </c>
      <c r="P4650">
        <v>0.77822290000000005</v>
      </c>
      <c r="Q4650">
        <v>0.1290328</v>
      </c>
      <c r="R4650">
        <v>-0.61458939999999995</v>
      </c>
      <c r="S4650">
        <v>2.6453250000000001</v>
      </c>
      <c r="T4650">
        <v>-5.1387910000000002E-2</v>
      </c>
      <c r="U4650">
        <v>-1.547668</v>
      </c>
      <c r="V4650">
        <v>-0.29780269999999998</v>
      </c>
      <c r="W4650">
        <v>0.13627700000000001</v>
      </c>
      <c r="X4650">
        <v>0.94485030000000003</v>
      </c>
      <c r="Y4650">
        <v>-0.42653249999999998</v>
      </c>
      <c r="Z4650">
        <v>1.5953100000000001E-2</v>
      </c>
      <c r="AA4650">
        <v>0.90433149999999995</v>
      </c>
      <c r="AB4650">
        <v>29</v>
      </c>
      <c r="AC4650">
        <v>60.029899999999898</v>
      </c>
      <c r="AD4650">
        <v>-1.1680870000000001</v>
      </c>
      <c r="AE4650">
        <v>-35.043902000000003</v>
      </c>
      <c r="AF4650">
        <v>-29.709060747695801</v>
      </c>
      <c r="AG4650">
        <v>-1.1680870000000001</v>
      </c>
      <c r="AH4650">
        <v>62.819646384586498</v>
      </c>
      <c r="AI4650">
        <v>90.963010866691704</v>
      </c>
      <c r="AJ4650">
        <v>115.310696830083</v>
      </c>
      <c r="AK4650">
        <v>69.500364672671594</v>
      </c>
      <c r="AL4650">
        <v>82.167530746018599</v>
      </c>
      <c r="AM4650">
        <v>107.49407292420599</v>
      </c>
      <c r="AN4650">
        <v>0.99999997913318905</v>
      </c>
    </row>
    <row r="4651" spans="1:40" x14ac:dyDescent="0.25">
      <c r="A4651" t="str">
        <f>"20190312164604066"</f>
        <v>20190312164604066</v>
      </c>
      <c r="B4651" t="str">
        <f>"1552380364056440"</f>
        <v>1552380364056440</v>
      </c>
      <c r="C4651" t="s">
        <v>40</v>
      </c>
      <c r="D4651">
        <v>4.5821519999999998</v>
      </c>
      <c r="E4651">
        <v>0.44656170000000001</v>
      </c>
      <c r="F4651" t="s">
        <v>43</v>
      </c>
      <c r="G4651">
        <v>-359.1696</v>
      </c>
      <c r="H4651">
        <v>-0.05</v>
      </c>
      <c r="I4651">
        <v>-2.3169249999999999</v>
      </c>
      <c r="J4651">
        <v>-416.70069999999998</v>
      </c>
      <c r="K4651">
        <v>1.1181099999999999</v>
      </c>
      <c r="L4651">
        <v>30.696719999999999</v>
      </c>
      <c r="M4651">
        <v>0.57263710000000001</v>
      </c>
      <c r="N4651">
        <v>0</v>
      </c>
      <c r="O4651">
        <v>-0.81967710000000005</v>
      </c>
      <c r="P4651">
        <v>0.78484309999999902</v>
      </c>
      <c r="Q4651">
        <v>0.1302567</v>
      </c>
      <c r="R4651">
        <v>-0.60585049999999996</v>
      </c>
      <c r="S4651">
        <v>2.6564939999999999</v>
      </c>
      <c r="T4651">
        <v>-5.381644E-2</v>
      </c>
      <c r="U4651">
        <v>-1.52887</v>
      </c>
      <c r="V4651">
        <v>-0.29958649999999998</v>
      </c>
      <c r="W4651">
        <v>0.13744609999999999</v>
      </c>
      <c r="X4651">
        <v>0.94411679999999998</v>
      </c>
      <c r="Y4651">
        <v>-0.42469000000000001</v>
      </c>
      <c r="Z4651">
        <v>1.6633040000000002E-2</v>
      </c>
      <c r="AA4651">
        <v>0.90518609999999999</v>
      </c>
      <c r="AB4651">
        <v>29</v>
      </c>
      <c r="AC4651">
        <v>57.531099999999903</v>
      </c>
      <c r="AD4651">
        <v>-1.16811</v>
      </c>
      <c r="AE4651">
        <v>-33.013644999999997</v>
      </c>
      <c r="AF4651">
        <v>-28.246381861991999</v>
      </c>
      <c r="AG4651">
        <v>-1.16811</v>
      </c>
      <c r="AH4651">
        <v>59.9928532587573</v>
      </c>
      <c r="AI4651">
        <v>91.009213840288695</v>
      </c>
      <c r="AJ4651">
        <v>115.212421639542</v>
      </c>
      <c r="AK4651">
        <v>66.3201704716775</v>
      </c>
      <c r="AL4651">
        <v>82.099910244278107</v>
      </c>
      <c r="AM4651">
        <v>107.605238556774</v>
      </c>
      <c r="AN4651">
        <v>1.00000001671484</v>
      </c>
    </row>
    <row r="4652" spans="1:40" x14ac:dyDescent="0.25">
      <c r="A4652" t="str">
        <f>"20190312164604078"</f>
        <v>20190312164604078</v>
      </c>
      <c r="B4652" t="str">
        <f>"1552380364066202"</f>
        <v>1552380364066202</v>
      </c>
      <c r="C4652" t="s">
        <v>40</v>
      </c>
      <c r="D4652">
        <v>4.7209620000000001</v>
      </c>
      <c r="E4652">
        <v>0.44724459999999999</v>
      </c>
      <c r="F4652" t="s">
        <v>43</v>
      </c>
      <c r="G4652">
        <v>-358.714</v>
      </c>
      <c r="H4652">
        <v>-0.05</v>
      </c>
      <c r="I4652">
        <v>-1.905365</v>
      </c>
      <c r="J4652">
        <v>-416.60680000000002</v>
      </c>
      <c r="K4652">
        <v>1.118126</v>
      </c>
      <c r="L4652">
        <v>30.573820000000001</v>
      </c>
      <c r="M4652">
        <v>0.57807839999999999</v>
      </c>
      <c r="N4652">
        <v>0</v>
      </c>
      <c r="O4652">
        <v>-0.81584880000000004</v>
      </c>
      <c r="P4652">
        <v>0.78922990000000004</v>
      </c>
      <c r="Q4652">
        <v>0.13078709999999999</v>
      </c>
      <c r="R4652">
        <v>-0.60000929999999997</v>
      </c>
      <c r="S4652">
        <v>2.671783</v>
      </c>
      <c r="T4652">
        <v>-5.3821559999999997E-2</v>
      </c>
      <c r="U4652">
        <v>-1.502167</v>
      </c>
      <c r="V4652">
        <v>-0.30025550000000001</v>
      </c>
      <c r="W4652">
        <v>0.13795569999999999</v>
      </c>
      <c r="X4652">
        <v>0.9438299</v>
      </c>
      <c r="Y4652">
        <v>-0.4277511</v>
      </c>
      <c r="Z4652">
        <v>1.6606269999999999E-2</v>
      </c>
      <c r="AA4652">
        <v>0.90374399999999999</v>
      </c>
      <c r="AB4652">
        <v>29</v>
      </c>
      <c r="AC4652">
        <v>57.892800000000001</v>
      </c>
      <c r="AD4652">
        <v>-1.168126</v>
      </c>
      <c r="AE4652">
        <v>-32.479185000000001</v>
      </c>
      <c r="AF4652">
        <v>-28.4505212421093</v>
      </c>
      <c r="AG4652">
        <v>-1.168126</v>
      </c>
      <c r="AH4652">
        <v>59.952596453772003</v>
      </c>
      <c r="AI4652">
        <v>91.008454580874798</v>
      </c>
      <c r="AJ4652">
        <v>115.38669068872601</v>
      </c>
      <c r="AK4652">
        <v>66.371006462524207</v>
      </c>
      <c r="AL4652">
        <v>82.070431445151598</v>
      </c>
      <c r="AM4652">
        <v>107.647146679613</v>
      </c>
      <c r="AN4652">
        <v>1.0000000102883699</v>
      </c>
    </row>
    <row r="4653" spans="1:40" x14ac:dyDescent="0.25">
      <c r="A4653" t="str">
        <f>"20190312164604090"</f>
        <v>20190312164604090</v>
      </c>
      <c r="B4653" t="str">
        <f>"1552380364086697"</f>
        <v>1552380364086697</v>
      </c>
      <c r="C4653" t="s">
        <v>40</v>
      </c>
      <c r="D4653">
        <v>4.7219470000000001</v>
      </c>
      <c r="E4653">
        <v>0.4528044</v>
      </c>
      <c r="F4653" t="s">
        <v>43</v>
      </c>
      <c r="G4653">
        <v>-358.78539999999998</v>
      </c>
      <c r="H4653">
        <v>-0.05</v>
      </c>
      <c r="I4653">
        <v>-1.5118259999999999</v>
      </c>
      <c r="J4653">
        <v>-416.51400000000001</v>
      </c>
      <c r="K4653">
        <v>1.118136</v>
      </c>
      <c r="L4653">
        <v>30.453579999999999</v>
      </c>
      <c r="M4653">
        <v>0.58339919999999901</v>
      </c>
      <c r="N4653">
        <v>0</v>
      </c>
      <c r="O4653">
        <v>-0.81205229999999995</v>
      </c>
      <c r="P4653">
        <v>0.79354729999999996</v>
      </c>
      <c r="Q4653">
        <v>0.1316126</v>
      </c>
      <c r="R4653">
        <v>-0.5941052</v>
      </c>
      <c r="S4653">
        <v>2.6796570000000002</v>
      </c>
      <c r="T4653">
        <v>-5.4135320000000001E-2</v>
      </c>
      <c r="U4653">
        <v>-1.486969</v>
      </c>
      <c r="V4653">
        <v>-0.301039099999999</v>
      </c>
      <c r="W4653">
        <v>0.13875760000000001</v>
      </c>
      <c r="X4653">
        <v>0.94346269999999999</v>
      </c>
      <c r="Y4653">
        <v>-0.42688579999999998</v>
      </c>
      <c r="Z4653">
        <v>1.6654869999999999E-2</v>
      </c>
      <c r="AA4653">
        <v>0.90415219999999996</v>
      </c>
      <c r="AB4653">
        <v>29</v>
      </c>
      <c r="AC4653">
        <v>57.7286</v>
      </c>
      <c r="AD4653">
        <v>-1.1681360000000001</v>
      </c>
      <c r="AE4653">
        <v>-31.965406000000002</v>
      </c>
      <c r="AF4653">
        <v>-28.224260903878999</v>
      </c>
      <c r="AG4653">
        <v>-1.1681360000000001</v>
      </c>
      <c r="AH4653">
        <v>59.624170719588697</v>
      </c>
      <c r="AI4653">
        <v>91.014480356943395</v>
      </c>
      <c r="AJ4653">
        <v>115.331444657245</v>
      </c>
      <c r="AK4653">
        <v>65.977383846916695</v>
      </c>
      <c r="AL4653">
        <v>82.024040014346696</v>
      </c>
      <c r="AM4653">
        <v>107.69678915975599</v>
      </c>
      <c r="AN4653">
        <v>1.0000000387889201</v>
      </c>
    </row>
    <row r="4654" spans="1:40" x14ac:dyDescent="0.25">
      <c r="A4654" t="str">
        <f>"20190312164604101"</f>
        <v>20190312164604101</v>
      </c>
      <c r="B4654" t="str">
        <f>"1552380364096047"</f>
        <v>1552380364096047</v>
      </c>
      <c r="C4654" t="s">
        <v>40</v>
      </c>
      <c r="D4654">
        <v>4.714925</v>
      </c>
      <c r="E4654">
        <v>0.45293660000000002</v>
      </c>
      <c r="F4654" t="s">
        <v>79</v>
      </c>
      <c r="G4654">
        <v>-374.13619999999997</v>
      </c>
      <c r="H4654">
        <v>7.9985490000000006E-2</v>
      </c>
      <c r="I4654">
        <v>6.5594859999999997</v>
      </c>
      <c r="J4654">
        <v>-416.42309999999998</v>
      </c>
      <c r="K4654">
        <v>1.118142</v>
      </c>
      <c r="L4654">
        <v>30.337890000000002</v>
      </c>
      <c r="M4654">
        <v>0.58854249999999997</v>
      </c>
      <c r="N4654">
        <v>0</v>
      </c>
      <c r="O4654">
        <v>-0.80833239999999995</v>
      </c>
      <c r="P4654">
        <v>0.79741649999999997</v>
      </c>
      <c r="Q4654">
        <v>0.13247419999999999</v>
      </c>
      <c r="R4654">
        <v>-0.58870849999999997</v>
      </c>
      <c r="S4654">
        <v>2.665985</v>
      </c>
      <c r="T4654">
        <v>-6.5309880000000001E-2</v>
      </c>
      <c r="U4654">
        <v>-1.503174</v>
      </c>
      <c r="V4654">
        <v>-0.30135580000000001</v>
      </c>
      <c r="W4654">
        <v>0.13961029999999999</v>
      </c>
      <c r="X4654">
        <v>0.94323570000000001</v>
      </c>
      <c r="Y4654">
        <v>-0.41489890000000001</v>
      </c>
      <c r="Z4654">
        <v>1.9976290000000001E-2</v>
      </c>
      <c r="AA4654">
        <v>0.90964820000000002</v>
      </c>
      <c r="AB4654">
        <v>28</v>
      </c>
      <c r="AC4654">
        <v>42.286900000000003</v>
      </c>
      <c r="AD4654">
        <v>-1.0381565100000001</v>
      </c>
      <c r="AE4654">
        <v>-23.778403999999998</v>
      </c>
      <c r="AF4654">
        <v>-20.180214202222999</v>
      </c>
      <c r="AG4654">
        <v>-1.0381565100000001</v>
      </c>
      <c r="AH4654">
        <v>44.0930754765253</v>
      </c>
      <c r="AI4654">
        <v>91.226456479417905</v>
      </c>
      <c r="AJ4654">
        <v>114.592295106726</v>
      </c>
      <c r="AK4654">
        <v>48.502764036345603</v>
      </c>
      <c r="AL4654">
        <v>81.974703134109305</v>
      </c>
      <c r="AM4654">
        <v>107.718239737304</v>
      </c>
      <c r="AN4654">
        <v>0.99999996990710904</v>
      </c>
    </row>
    <row r="4655" spans="1:40" x14ac:dyDescent="0.25">
      <c r="A4655" t="str">
        <f>"20190312164604113"</f>
        <v>20190312164604113</v>
      </c>
      <c r="B4655" t="str">
        <f>"1552380364106774"</f>
        <v>1552380364106774</v>
      </c>
      <c r="C4655" t="s">
        <v>40</v>
      </c>
      <c r="D4655">
        <v>4.697235</v>
      </c>
      <c r="E4655">
        <v>0.45293660000000002</v>
      </c>
      <c r="F4655" t="s">
        <v>79</v>
      </c>
      <c r="G4655">
        <v>-372.65449999999998</v>
      </c>
      <c r="H4655">
        <v>7.9985870000000001E-2</v>
      </c>
      <c r="I4655">
        <v>6.0312519999999896</v>
      </c>
      <c r="J4655">
        <v>-416.33089999999999</v>
      </c>
      <c r="K4655">
        <v>1.118144</v>
      </c>
      <c r="L4655">
        <v>30.22186</v>
      </c>
      <c r="M4655">
        <v>0.59369769999999999</v>
      </c>
      <c r="N4655">
        <v>0</v>
      </c>
      <c r="O4655">
        <v>-0.80455359999999998</v>
      </c>
      <c r="P4655">
        <v>0.8013557</v>
      </c>
      <c r="Q4655">
        <v>0.13328670000000001</v>
      </c>
      <c r="R4655">
        <v>-0.58315019999999995</v>
      </c>
      <c r="S4655">
        <v>2.6756899999999999</v>
      </c>
      <c r="T4655">
        <v>-6.3465359999999998E-2</v>
      </c>
      <c r="U4655">
        <v>-1.4859309999999999</v>
      </c>
      <c r="V4655">
        <v>-0.3017958</v>
      </c>
      <c r="W4655">
        <v>0.1404116</v>
      </c>
      <c r="X4655">
        <v>0.94297609999999998</v>
      </c>
      <c r="Y4655">
        <v>-0.4149757</v>
      </c>
      <c r="Z4655">
        <v>1.9357409999999999E-2</v>
      </c>
      <c r="AA4655">
        <v>0.9096265</v>
      </c>
      <c r="AB4655">
        <v>28</v>
      </c>
      <c r="AC4655">
        <v>43.676400000000001</v>
      </c>
      <c r="AD4655">
        <v>-1.03815813</v>
      </c>
      <c r="AE4655">
        <v>-24.190608000000001</v>
      </c>
      <c r="AF4655">
        <v>-20.771366056533299</v>
      </c>
      <c r="AG4655">
        <v>-1.03815813</v>
      </c>
      <c r="AH4655">
        <v>45.378515147966802</v>
      </c>
      <c r="AI4655">
        <v>91.191698381094497</v>
      </c>
      <c r="AJ4655">
        <v>114.595260586758</v>
      </c>
      <c r="AK4655">
        <v>49.917302182626401</v>
      </c>
      <c r="AL4655">
        <v>81.928335735420006</v>
      </c>
      <c r="AM4655">
        <v>107.74706630084501</v>
      </c>
      <c r="AN4655">
        <v>1.0000000237416999</v>
      </c>
    </row>
    <row r="4656" spans="1:40" x14ac:dyDescent="0.25">
      <c r="A4656" t="str">
        <f>"20190312164604125"</f>
        <v>20190312164604125</v>
      </c>
      <c r="B4656" t="str">
        <f>"1552380364116534"</f>
        <v>1552380364116534</v>
      </c>
      <c r="C4656" t="s">
        <v>40</v>
      </c>
      <c r="D4656">
        <v>4.7150359999999996</v>
      </c>
      <c r="E4656">
        <v>0.45371939999999999</v>
      </c>
      <c r="F4656" t="s">
        <v>79</v>
      </c>
      <c r="G4656">
        <v>-370.22059999999999</v>
      </c>
      <c r="H4656">
        <v>7.9986520000000005E-2</v>
      </c>
      <c r="I4656">
        <v>5.0371730000000001</v>
      </c>
      <c r="J4656">
        <v>-416.24009999999998</v>
      </c>
      <c r="K4656">
        <v>1.1181490000000001</v>
      </c>
      <c r="L4656">
        <v>30.109010000000001</v>
      </c>
      <c r="M4656">
        <v>0.59871819999999998</v>
      </c>
      <c r="N4656">
        <v>0</v>
      </c>
      <c r="O4656">
        <v>-0.80082439999999999</v>
      </c>
      <c r="P4656">
        <v>0.80523929999999999</v>
      </c>
      <c r="Q4656">
        <v>0.13369400000000001</v>
      </c>
      <c r="R4656">
        <v>-0.57768129999999995</v>
      </c>
      <c r="S4656">
        <v>2.686096</v>
      </c>
      <c r="T4656">
        <v>-6.0476540000000002E-2</v>
      </c>
      <c r="U4656">
        <v>-1.4671019999999999</v>
      </c>
      <c r="V4656">
        <v>-0.30227359999999998</v>
      </c>
      <c r="W4656">
        <v>0.14080809999999999</v>
      </c>
      <c r="X4656">
        <v>0.94276389999999999</v>
      </c>
      <c r="Y4656">
        <v>-0.41569780000000001</v>
      </c>
      <c r="Z4656">
        <v>1.8398680000000001E-2</v>
      </c>
      <c r="AA4656">
        <v>0.90931669999999998</v>
      </c>
      <c r="AB4656">
        <v>28</v>
      </c>
      <c r="AC4656">
        <v>46.019500000000001</v>
      </c>
      <c r="AD4656">
        <v>-1.03816248</v>
      </c>
      <c r="AE4656">
        <v>-25.071836999999999</v>
      </c>
      <c r="AF4656">
        <v>-21.836372081115201</v>
      </c>
      <c r="AG4656">
        <v>-1.03816248</v>
      </c>
      <c r="AH4656">
        <v>47.617328260677198</v>
      </c>
      <c r="AI4656">
        <v>91.135325259187397</v>
      </c>
      <c r="AJ4656">
        <v>114.635260740392</v>
      </c>
      <c r="AK4656">
        <v>52.395752477513597</v>
      </c>
      <c r="AL4656">
        <v>81.905389889054902</v>
      </c>
      <c r="AM4656">
        <v>107.777145119102</v>
      </c>
      <c r="AN4656">
        <v>1.0000000107128899</v>
      </c>
    </row>
    <row r="4657" spans="1:40" x14ac:dyDescent="0.25">
      <c r="A4657" t="str">
        <f>"20190312164604137"</f>
        <v>20190312164604137</v>
      </c>
      <c r="B4657" t="str">
        <f>"1552380364126295"</f>
        <v>1552380364126295</v>
      </c>
      <c r="C4657" t="s">
        <v>40</v>
      </c>
      <c r="D4657">
        <v>4.7504749999999998</v>
      </c>
      <c r="E4657">
        <v>0.45439770000000002</v>
      </c>
      <c r="F4657" t="s">
        <v>79</v>
      </c>
      <c r="G4657">
        <v>-372.6968</v>
      </c>
      <c r="H4657">
        <v>7.9985840000000002E-2</v>
      </c>
      <c r="I4657">
        <v>6.6035659999999998</v>
      </c>
      <c r="J4657">
        <v>-416.15129999999999</v>
      </c>
      <c r="K4657">
        <v>1.11815</v>
      </c>
      <c r="L4657">
        <v>30.000309999999999</v>
      </c>
      <c r="M4657">
        <v>0.60356500000000002</v>
      </c>
      <c r="N4657">
        <v>0</v>
      </c>
      <c r="O4657">
        <v>-0.79717799999999905</v>
      </c>
      <c r="P4657">
        <v>0.80871859999999995</v>
      </c>
      <c r="Q4657">
        <v>0.13421469999999999</v>
      </c>
      <c r="R4657">
        <v>-0.57267889999999999</v>
      </c>
      <c r="S4657">
        <v>2.6932369999999999</v>
      </c>
      <c r="T4657">
        <v>-6.4212439999999996E-2</v>
      </c>
      <c r="U4657">
        <v>-1.453857</v>
      </c>
      <c r="V4657">
        <v>-0.30234159999999999</v>
      </c>
      <c r="W4657">
        <v>0.14133019999999999</v>
      </c>
      <c r="X4657">
        <v>0.94266399999999995</v>
      </c>
      <c r="Y4657">
        <v>-0.41462909999999997</v>
      </c>
      <c r="Z4657">
        <v>1.947304E-2</v>
      </c>
      <c r="AA4657">
        <v>0.90978210000000004</v>
      </c>
      <c r="AB4657">
        <v>28</v>
      </c>
      <c r="AC4657">
        <v>43.454500000000003</v>
      </c>
      <c r="AD4657">
        <v>-1.03816416</v>
      </c>
      <c r="AE4657">
        <v>-23.396744000000002</v>
      </c>
      <c r="AF4657">
        <v>-20.512660741729501</v>
      </c>
      <c r="AG4657">
        <v>-1.03816416</v>
      </c>
      <c r="AH4657">
        <v>44.863992350196703</v>
      </c>
      <c r="AI4657">
        <v>91.205604020643406</v>
      </c>
      <c r="AJ4657">
        <v>114.570770285694</v>
      </c>
      <c r="AK4657">
        <v>49.341917728508598</v>
      </c>
      <c r="AL4657">
        <v>81.875173853572306</v>
      </c>
      <c r="AM4657">
        <v>107.782658113528</v>
      </c>
      <c r="AN4657">
        <v>1.0000000427092901</v>
      </c>
    </row>
    <row r="4658" spans="1:40" x14ac:dyDescent="0.25">
      <c r="A4658" t="str">
        <f>"20190312164604147"</f>
        <v>20190312164604147</v>
      </c>
      <c r="B4658" t="str">
        <f>"1552380364136053"</f>
        <v>1552380364136053</v>
      </c>
      <c r="C4658" t="s">
        <v>40</v>
      </c>
      <c r="D4658">
        <v>4.7147839999999999</v>
      </c>
      <c r="E4658">
        <v>0.45515709999999998</v>
      </c>
      <c r="F4658" t="s">
        <v>79</v>
      </c>
      <c r="G4658">
        <v>-373.06779999999998</v>
      </c>
      <c r="H4658">
        <v>7.998574E-2</v>
      </c>
      <c r="I4658">
        <v>6.9987000000000004</v>
      </c>
      <c r="J4658">
        <v>-416.0598</v>
      </c>
      <c r="K4658">
        <v>1.1181540000000001</v>
      </c>
      <c r="L4658">
        <v>29.888850000000001</v>
      </c>
      <c r="M4658">
        <v>0.60852399999999995</v>
      </c>
      <c r="N4658">
        <v>0</v>
      </c>
      <c r="O4658">
        <v>-0.79339869999999901</v>
      </c>
      <c r="P4658">
        <v>0.81237569999999903</v>
      </c>
      <c r="Q4658">
        <v>0.13455780000000001</v>
      </c>
      <c r="R4658">
        <v>-0.5673977</v>
      </c>
      <c r="S4658">
        <v>2.699738</v>
      </c>
      <c r="T4658">
        <v>-6.5054299999999995E-2</v>
      </c>
      <c r="U4658">
        <v>-1.4413450000000001</v>
      </c>
      <c r="V4658">
        <v>-0.30256719999999998</v>
      </c>
      <c r="W4658">
        <v>0.14167060000000001</v>
      </c>
      <c r="X4658">
        <v>0.9425405</v>
      </c>
      <c r="Y4658">
        <v>-0.41314089999999998</v>
      </c>
      <c r="Z4658">
        <v>1.9660980000000002E-2</v>
      </c>
      <c r="AA4658">
        <v>0.91045489999999996</v>
      </c>
      <c r="AB4658">
        <v>28</v>
      </c>
      <c r="AC4658">
        <v>42.991999999999997</v>
      </c>
      <c r="AD4658">
        <v>-1.03816826</v>
      </c>
      <c r="AE4658">
        <v>-22.890149999999998</v>
      </c>
      <c r="AF4658">
        <v>-20.173616194867801</v>
      </c>
      <c r="AG4658">
        <v>-1.03816826</v>
      </c>
      <c r="AH4658">
        <v>44.307359683284098</v>
      </c>
      <c r="AI4658">
        <v>91.221629965417407</v>
      </c>
      <c r="AJ4658">
        <v>114.480283205934</v>
      </c>
      <c r="AK4658">
        <v>48.694914578606799</v>
      </c>
      <c r="AL4658">
        <v>81.855472046587593</v>
      </c>
      <c r="AM4658">
        <v>107.797274961594</v>
      </c>
      <c r="AN4658">
        <v>1.00000003178022</v>
      </c>
    </row>
    <row r="4659" spans="1:40" x14ac:dyDescent="0.25">
      <c r="A4659" t="str">
        <f>"20190312164604159"</f>
        <v>20190312164604159</v>
      </c>
      <c r="B4659" t="str">
        <f>"1552380364156550"</f>
        <v>1552380364156550</v>
      </c>
      <c r="C4659" t="s">
        <v>40</v>
      </c>
      <c r="D4659">
        <v>4.5871120000000003</v>
      </c>
      <c r="E4659">
        <v>0.45633099999999999</v>
      </c>
      <c r="F4659" t="s">
        <v>79</v>
      </c>
      <c r="G4659">
        <v>-373.69110000000001</v>
      </c>
      <c r="H4659">
        <v>7.9985559999999997E-2</v>
      </c>
      <c r="I4659">
        <v>7.528505</v>
      </c>
      <c r="J4659">
        <v>-415.97280000000001</v>
      </c>
      <c r="K4659">
        <v>1.1181490000000001</v>
      </c>
      <c r="L4659">
        <v>29.785309999999999</v>
      </c>
      <c r="M4659">
        <v>0.61315240000000004</v>
      </c>
      <c r="N4659">
        <v>0</v>
      </c>
      <c r="O4659">
        <v>-0.78982750000000002</v>
      </c>
      <c r="P4659">
        <v>0.81578799999999996</v>
      </c>
      <c r="Q4659">
        <v>0.13495679999999999</v>
      </c>
      <c r="R4659">
        <v>-0.56238529999999998</v>
      </c>
      <c r="S4659">
        <v>2.7062680000000001</v>
      </c>
      <c r="T4659">
        <v>-6.6312309999999999E-2</v>
      </c>
      <c r="U4659">
        <v>-1.428253</v>
      </c>
      <c r="V4659">
        <v>-0.30281590000000003</v>
      </c>
      <c r="W4659">
        <v>0.1420671</v>
      </c>
      <c r="X4659">
        <v>0.94240089999999999</v>
      </c>
      <c r="Y4659">
        <v>-0.41216059999999999</v>
      </c>
      <c r="Z4659">
        <v>1.9980310000000001E-2</v>
      </c>
      <c r="AA4659">
        <v>0.91089209999999998</v>
      </c>
      <c r="AB4659">
        <v>28</v>
      </c>
      <c r="AC4659">
        <v>42.281700000000001</v>
      </c>
      <c r="AD4659">
        <v>-1.0381634399999999</v>
      </c>
      <c r="AE4659">
        <v>-22.256805</v>
      </c>
      <c r="AF4659">
        <v>-19.741256420377699</v>
      </c>
      <c r="AG4659">
        <v>-1.0381634399999999</v>
      </c>
      <c r="AH4659">
        <v>43.4883464549916</v>
      </c>
      <c r="AI4659">
        <v>91.245264935891697</v>
      </c>
      <c r="AJ4659">
        <v>114.41536918465</v>
      </c>
      <c r="AK4659">
        <v>47.770610900140703</v>
      </c>
      <c r="AL4659">
        <v>81.832521826153297</v>
      </c>
      <c r="AM4659">
        <v>107.81345131427</v>
      </c>
      <c r="AN4659">
        <v>0.99999999325801503</v>
      </c>
    </row>
    <row r="4660" spans="1:40" x14ac:dyDescent="0.25">
      <c r="A4660" t="str">
        <f>"20190312164604170"</f>
        <v>20190312164604170</v>
      </c>
      <c r="B4660" t="str">
        <f>"1552380364166310"</f>
        <v>1552380364166310</v>
      </c>
      <c r="C4660" t="s">
        <v>40</v>
      </c>
      <c r="D4660">
        <v>4.9313989999999999</v>
      </c>
      <c r="E4660">
        <v>0.45687630000000001</v>
      </c>
      <c r="F4660" t="s">
        <v>79</v>
      </c>
      <c r="G4660">
        <v>-373.38240000000002</v>
      </c>
      <c r="H4660">
        <v>7.9985639999999997E-2</v>
      </c>
      <c r="I4660">
        <v>7.485106</v>
      </c>
      <c r="J4660">
        <v>-415.88619999999997</v>
      </c>
      <c r="K4660">
        <v>1.1181430000000001</v>
      </c>
      <c r="L4660">
        <v>29.68253</v>
      </c>
      <c r="M4660">
        <v>0.61773400000000001</v>
      </c>
      <c r="N4660">
        <v>0</v>
      </c>
      <c r="O4660">
        <v>-0.78624930000000004</v>
      </c>
      <c r="P4660">
        <v>0.81904390000000005</v>
      </c>
      <c r="Q4660">
        <v>0.13557829999999901</v>
      </c>
      <c r="R4660">
        <v>-0.55748219999999904</v>
      </c>
      <c r="S4660">
        <v>2.7101139999999999</v>
      </c>
      <c r="T4660">
        <v>-6.6060419999999995E-2</v>
      </c>
      <c r="U4660">
        <v>-1.419006</v>
      </c>
      <c r="V4660">
        <v>-0.30292200000000002</v>
      </c>
      <c r="W4660">
        <v>0.1426896</v>
      </c>
      <c r="X4660">
        <v>0.94227280000000002</v>
      </c>
      <c r="Y4660">
        <v>-0.40983429999999998</v>
      </c>
      <c r="Z4660">
        <v>1.983656E-2</v>
      </c>
      <c r="AA4660">
        <v>0.91194430000000004</v>
      </c>
      <c r="AB4660">
        <v>28</v>
      </c>
      <c r="AC4660">
        <v>42.503799999999899</v>
      </c>
      <c r="AD4660">
        <v>-1.03815736</v>
      </c>
      <c r="AE4660">
        <v>-22.197424000000002</v>
      </c>
      <c r="AF4660">
        <v>-19.699381586619399</v>
      </c>
      <c r="AG4660">
        <v>-1.03815736</v>
      </c>
      <c r="AH4660">
        <v>43.693008422455499</v>
      </c>
      <c r="AI4660">
        <v>91.240862740277805</v>
      </c>
      <c r="AJ4660">
        <v>114.268656216954</v>
      </c>
      <c r="AK4660">
        <v>47.939778791773001</v>
      </c>
      <c r="AL4660">
        <v>81.796488528014294</v>
      </c>
      <c r="AM4660">
        <v>107.82156731600099</v>
      </c>
      <c r="AN4660">
        <v>1.00000004482599</v>
      </c>
    </row>
    <row r="4661" spans="1:40" x14ac:dyDescent="0.25">
      <c r="A4661" t="str">
        <f>"20190312164604185"</f>
        <v>20190312164604185</v>
      </c>
      <c r="B4661" t="str">
        <f>"1552380364176070"</f>
        <v>1552380364176070</v>
      </c>
      <c r="C4661" t="s">
        <v>40</v>
      </c>
      <c r="D4661">
        <v>4.8148229999999996</v>
      </c>
      <c r="E4661">
        <v>0.45687630000000001</v>
      </c>
      <c r="F4661" t="s">
        <v>79</v>
      </c>
      <c r="G4661">
        <v>-371.34960000000001</v>
      </c>
      <c r="H4661">
        <v>7.9986180000000004E-2</v>
      </c>
      <c r="I4661">
        <v>6.6284140000000003</v>
      </c>
      <c r="J4661">
        <v>-415.75060000000002</v>
      </c>
      <c r="K4661">
        <v>1.118139</v>
      </c>
      <c r="L4661">
        <v>29.52469</v>
      </c>
      <c r="M4661">
        <v>0.62478440000000002</v>
      </c>
      <c r="N4661">
        <v>0</v>
      </c>
      <c r="O4661">
        <v>-0.78065850000000003</v>
      </c>
      <c r="P4661">
        <v>0.82379139999999995</v>
      </c>
      <c r="Q4661">
        <v>0.13642760000000001</v>
      </c>
      <c r="R4661">
        <v>-0.55023250000000001</v>
      </c>
      <c r="S4661">
        <v>2.716278</v>
      </c>
      <c r="T4661">
        <v>-6.3317059999999994E-2</v>
      </c>
      <c r="U4661">
        <v>-1.406067</v>
      </c>
      <c r="V4661">
        <v>-0.30266399999999999</v>
      </c>
      <c r="W4661">
        <v>0.14355319999999999</v>
      </c>
      <c r="X4661">
        <v>0.94222439999999996</v>
      </c>
      <c r="Y4661">
        <v>-0.40591149999999998</v>
      </c>
      <c r="Z4661">
        <v>1.8902720000000001E-2</v>
      </c>
      <c r="AA4661">
        <v>0.91371690000000005</v>
      </c>
      <c r="AB4661">
        <v>28</v>
      </c>
      <c r="AC4661">
        <v>44.401000000000003</v>
      </c>
      <c r="AD4661">
        <v>-1.0381528200000001</v>
      </c>
      <c r="AE4661">
        <v>-22.896276</v>
      </c>
      <c r="AF4661">
        <v>-20.3502004010832</v>
      </c>
      <c r="AG4661">
        <v>-1.0381528200000001</v>
      </c>
      <c r="AH4661">
        <v>45.600476666768003</v>
      </c>
      <c r="AI4661">
        <v>91.191005324849698</v>
      </c>
      <c r="AJ4661">
        <v>114.049852642259</v>
      </c>
      <c r="AK4661">
        <v>49.946089835725701</v>
      </c>
      <c r="AL4661">
        <v>81.746492153113195</v>
      </c>
      <c r="AM4661">
        <v>107.80820466385499</v>
      </c>
      <c r="AN4661">
        <v>0.99999991904079599</v>
      </c>
    </row>
    <row r="4662" spans="1:40" x14ac:dyDescent="0.25">
      <c r="A4662" t="str">
        <f>"20190312164604198"</f>
        <v>20190312164604198</v>
      </c>
      <c r="B4662" t="str">
        <f>"1552380364186807"</f>
        <v>1552380364186807</v>
      </c>
      <c r="C4662" t="s">
        <v>40</v>
      </c>
      <c r="D4662">
        <v>4.603383</v>
      </c>
      <c r="E4662">
        <v>0.45820420000000001</v>
      </c>
      <c r="F4662" t="s">
        <v>80</v>
      </c>
      <c r="G4662">
        <v>-368.40589999999997</v>
      </c>
      <c r="H4662">
        <v>7.9985929999999997E-2</v>
      </c>
      <c r="I4662">
        <v>5.5632999999999999</v>
      </c>
      <c r="J4662">
        <v>-415.65710000000001</v>
      </c>
      <c r="K4662">
        <v>1.118133</v>
      </c>
      <c r="L4662">
        <v>29.41779</v>
      </c>
      <c r="M4662">
        <v>0.62956889999999999</v>
      </c>
      <c r="N4662">
        <v>0</v>
      </c>
      <c r="O4662">
        <v>-0.77680499999999997</v>
      </c>
      <c r="P4662">
        <v>0.827107699999999</v>
      </c>
      <c r="Q4662">
        <v>0.13689089999999901</v>
      </c>
      <c r="R4662">
        <v>-0.54511849999999995</v>
      </c>
      <c r="S4662">
        <v>2.7290649999999999</v>
      </c>
      <c r="T4662">
        <v>-5.9841749999999999E-2</v>
      </c>
      <c r="U4662">
        <v>-1.381195</v>
      </c>
      <c r="V4662">
        <v>-0.30266079999999901</v>
      </c>
      <c r="W4662">
        <v>0.14402139999999999</v>
      </c>
      <c r="X4662">
        <v>0.94215400000000005</v>
      </c>
      <c r="Y4662">
        <v>-0.4086707</v>
      </c>
      <c r="Z4662">
        <v>1.7829129999999999E-2</v>
      </c>
      <c r="AA4662">
        <v>0.91250770000000003</v>
      </c>
      <c r="AB4662">
        <v>28</v>
      </c>
      <c r="AC4662">
        <v>47.251199999999997</v>
      </c>
      <c r="AD4662">
        <v>-1.0381470699999999</v>
      </c>
      <c r="AE4662">
        <v>-23.854489999999998</v>
      </c>
      <c r="AF4662">
        <v>-21.680936596946299</v>
      </c>
      <c r="AG4662">
        <v>-1.0381470699999999</v>
      </c>
      <c r="AH4662">
        <v>48.2648456675673</v>
      </c>
      <c r="AI4662">
        <v>91.124038102051301</v>
      </c>
      <c r="AJ4662">
        <v>114.189979565568</v>
      </c>
      <c r="AK4662">
        <v>52.9210363501495</v>
      </c>
      <c r="AL4662">
        <v>81.719384769711596</v>
      </c>
      <c r="AM4662">
        <v>107.80927486922801</v>
      </c>
      <c r="AN4662">
        <v>0.99999994161529804</v>
      </c>
    </row>
    <row r="4663" spans="1:40" x14ac:dyDescent="0.25">
      <c r="A4663" t="str">
        <f>"20190312164604209"</f>
        <v>20190312164604209</v>
      </c>
      <c r="B4663" t="str">
        <f>"1552380364206325"</f>
        <v>1552380364206325</v>
      </c>
      <c r="C4663" t="s">
        <v>40</v>
      </c>
      <c r="D4663">
        <v>4.6249989999999999</v>
      </c>
      <c r="E4663">
        <v>0.45747349999999998</v>
      </c>
      <c r="F4663" t="s">
        <v>79</v>
      </c>
      <c r="G4663">
        <v>-379.07530000000003</v>
      </c>
      <c r="H4663" s="1">
        <v>-2.6187430000000001E-6</v>
      </c>
      <c r="I4663">
        <v>11.049379999999999</v>
      </c>
      <c r="J4663">
        <v>-415.56659999999999</v>
      </c>
      <c r="K4663">
        <v>1.1181289999999999</v>
      </c>
      <c r="L4663">
        <v>29.31476</v>
      </c>
      <c r="M4663">
        <v>0.63416589999999995</v>
      </c>
      <c r="N4663">
        <v>0</v>
      </c>
      <c r="O4663">
        <v>-0.77305669999999904</v>
      </c>
      <c r="P4663">
        <v>0.8299105</v>
      </c>
      <c r="Q4663">
        <v>0.1375622</v>
      </c>
      <c r="R4663">
        <v>-0.54067169999999998</v>
      </c>
      <c r="S4663">
        <v>2.7355960000000001</v>
      </c>
      <c r="T4663">
        <v>-8.3614590000000003E-2</v>
      </c>
      <c r="U4663">
        <v>-1.37359599999999</v>
      </c>
      <c r="V4663">
        <v>-0.3020544</v>
      </c>
      <c r="W4663">
        <v>0.14471400000000001</v>
      </c>
      <c r="X4663">
        <v>0.94224260000000004</v>
      </c>
      <c r="Y4663">
        <v>-0.4059895</v>
      </c>
      <c r="Z4663">
        <v>2.478702E-2</v>
      </c>
      <c r="AA4663">
        <v>0.91354159999999995</v>
      </c>
      <c r="AB4663">
        <v>28</v>
      </c>
      <c r="AC4663">
        <v>36.491299999999903</v>
      </c>
      <c r="AD4663">
        <v>-1.1181316187429999</v>
      </c>
      <c r="AE4663">
        <v>-18.26538</v>
      </c>
      <c r="AF4663">
        <v>-16.6158918882244</v>
      </c>
      <c r="AG4663">
        <v>-1.1181316187429999</v>
      </c>
      <c r="AH4663">
        <v>37.237797940236398</v>
      </c>
      <c r="AI4663">
        <v>91.570704126992894</v>
      </c>
      <c r="AJ4663">
        <v>114.046924532159</v>
      </c>
      <c r="AK4663">
        <v>40.792054091402001</v>
      </c>
      <c r="AL4663">
        <v>81.679282583582093</v>
      </c>
      <c r="AM4663">
        <v>107.774274607061</v>
      </c>
      <c r="AN4663">
        <v>1.00000005980505</v>
      </c>
    </row>
    <row r="4664" spans="1:40" x14ac:dyDescent="0.25">
      <c r="A4664" t="str">
        <f>"20190312164604220"</f>
        <v>20190312164604220</v>
      </c>
      <c r="B4664" t="str">
        <f>"1552380364216086"</f>
        <v>1552380364216086</v>
      </c>
      <c r="C4664" t="s">
        <v>40</v>
      </c>
      <c r="D4664">
        <v>4.5294169999999996</v>
      </c>
      <c r="E4664">
        <v>0.4567831</v>
      </c>
      <c r="F4664" t="s">
        <v>79</v>
      </c>
      <c r="G4664">
        <v>-377.09070000000003</v>
      </c>
      <c r="H4664" s="1">
        <v>-3.5660050000000002E-6</v>
      </c>
      <c r="I4664">
        <v>10.35364</v>
      </c>
      <c r="J4664">
        <v>-415.46980000000002</v>
      </c>
      <c r="K4664">
        <v>1.118125</v>
      </c>
      <c r="L4664">
        <v>29.20703</v>
      </c>
      <c r="M4664">
        <v>0.63899450000000002</v>
      </c>
      <c r="N4664">
        <v>0</v>
      </c>
      <c r="O4664">
        <v>-0.76907040000000004</v>
      </c>
      <c r="P4664">
        <v>0.83295839999999999</v>
      </c>
      <c r="Q4664">
        <v>0.13784830000000001</v>
      </c>
      <c r="R4664">
        <v>-0.53589069999999905</v>
      </c>
      <c r="S4664">
        <v>2.7463679999999999</v>
      </c>
      <c r="T4664">
        <v>-7.9811099999999996E-2</v>
      </c>
      <c r="U4664">
        <v>-1.353424</v>
      </c>
      <c r="V4664">
        <v>-0.3015389</v>
      </c>
      <c r="W4664">
        <v>0.14502019999999999</v>
      </c>
      <c r="X4664">
        <v>0.94236059999999999</v>
      </c>
      <c r="Y4664">
        <v>-0.40711960000000003</v>
      </c>
      <c r="Z4664">
        <v>2.358855E-2</v>
      </c>
      <c r="AA4664">
        <v>0.91307020000000005</v>
      </c>
      <c r="AB4664">
        <v>28</v>
      </c>
      <c r="AC4664">
        <v>38.379100000000001</v>
      </c>
      <c r="AD4664">
        <v>-1.118128566005</v>
      </c>
      <c r="AE4664">
        <v>-18.853390000000001</v>
      </c>
      <c r="AF4664">
        <v>-17.458972828079201</v>
      </c>
      <c r="AG4664">
        <v>-1.118128566005</v>
      </c>
      <c r="AH4664">
        <v>39.001179961005597</v>
      </c>
      <c r="AI4664">
        <v>91.498911062645206</v>
      </c>
      <c r="AJ4664">
        <v>114.11579174012</v>
      </c>
      <c r="AK4664">
        <v>42.745268534101797</v>
      </c>
      <c r="AL4664">
        <v>81.6615513539669</v>
      </c>
      <c r="AM4664">
        <v>107.743762043092</v>
      </c>
      <c r="AN4664">
        <v>1.0000000335268</v>
      </c>
    </row>
    <row r="4665" spans="1:40" x14ac:dyDescent="0.25">
      <c r="A4665" t="str">
        <f>"20190312164604233"</f>
        <v>20190312164604233</v>
      </c>
      <c r="B4665" t="str">
        <f>"1552380364225848"</f>
        <v>1552380364225848</v>
      </c>
      <c r="C4665" t="s">
        <v>40</v>
      </c>
      <c r="D4665">
        <v>4.6858620000000002</v>
      </c>
      <c r="E4665">
        <v>0.45621640000000002</v>
      </c>
      <c r="F4665" t="s">
        <v>79</v>
      </c>
      <c r="G4665">
        <v>-374.93040000000002</v>
      </c>
      <c r="H4665">
        <v>4.8632689999999999E-2</v>
      </c>
      <c r="I4665">
        <v>9.6163360000000004</v>
      </c>
      <c r="J4665">
        <v>-415.36320000000001</v>
      </c>
      <c r="K4665">
        <v>1.1181179999999999</v>
      </c>
      <c r="L4665">
        <v>29.089169999999999</v>
      </c>
      <c r="M4665">
        <v>0.6442677</v>
      </c>
      <c r="N4665">
        <v>0</v>
      </c>
      <c r="O4665">
        <v>-0.76465799999999995</v>
      </c>
      <c r="P4665">
        <v>0.83623269999999905</v>
      </c>
      <c r="Q4665">
        <v>0.13819300000000001</v>
      </c>
      <c r="R4665">
        <v>-0.5306767</v>
      </c>
      <c r="S4665">
        <v>2.7565919999999999</v>
      </c>
      <c r="T4665">
        <v>-7.2723029999999994E-2</v>
      </c>
      <c r="U4665">
        <v>-1.3321229999999999</v>
      </c>
      <c r="V4665">
        <v>-0.30090529999999999</v>
      </c>
      <c r="W4665">
        <v>0.14538770000000001</v>
      </c>
      <c r="X4665">
        <v>0.94250639999999997</v>
      </c>
      <c r="Y4665">
        <v>-0.40793960000000001</v>
      </c>
      <c r="Z4665">
        <v>2.1424660000000002E-2</v>
      </c>
      <c r="AA4665">
        <v>0.9127575</v>
      </c>
      <c r="AB4665">
        <v>28</v>
      </c>
      <c r="AC4665">
        <v>40.432799999999901</v>
      </c>
      <c r="AD4665">
        <v>-1.0694853099999999</v>
      </c>
      <c r="AE4665">
        <v>-19.472833999999999</v>
      </c>
      <c r="AF4665">
        <v>-18.363113323153499</v>
      </c>
      <c r="AG4665">
        <v>-1.0694853099999999</v>
      </c>
      <c r="AH4665">
        <v>40.920813757195397</v>
      </c>
      <c r="AI4665">
        <v>91.365940343573698</v>
      </c>
      <c r="AJ4665">
        <v>114.168039740618</v>
      </c>
      <c r="AK4665">
        <v>44.864916452595303</v>
      </c>
      <c r="AL4665">
        <v>81.640268889973498</v>
      </c>
      <c r="AM4665">
        <v>107.706241837005</v>
      </c>
      <c r="AN4665">
        <v>0.99999994846016804</v>
      </c>
    </row>
    <row r="4666" spans="1:40" x14ac:dyDescent="0.25">
      <c r="A4666" t="str">
        <f>"20190312164604247"</f>
        <v>20190312164604247</v>
      </c>
      <c r="B4666" t="str">
        <f>"1552380364236581"</f>
        <v>1552380364236581</v>
      </c>
      <c r="C4666" t="s">
        <v>40</v>
      </c>
      <c r="D4666">
        <v>4.692393</v>
      </c>
      <c r="E4666">
        <v>0.4554899</v>
      </c>
      <c r="F4666" t="s">
        <v>79</v>
      </c>
      <c r="G4666">
        <v>-372.05759999999998</v>
      </c>
      <c r="H4666">
        <v>7.9985920000000002E-2</v>
      </c>
      <c r="I4666">
        <v>8.5812919999999995</v>
      </c>
      <c r="J4666">
        <v>-415.24930000000001</v>
      </c>
      <c r="K4666">
        <v>1.118109</v>
      </c>
      <c r="L4666">
        <v>28.964939999999999</v>
      </c>
      <c r="M4666">
        <v>0.64982850000000003</v>
      </c>
      <c r="N4666">
        <v>0</v>
      </c>
      <c r="O4666">
        <v>-0.75993809999999995</v>
      </c>
      <c r="P4666">
        <v>0.83951799999999999</v>
      </c>
      <c r="Q4666">
        <v>0.13845070000000001</v>
      </c>
      <c r="R4666">
        <v>-0.52539650000000004</v>
      </c>
      <c r="S4666">
        <v>2.7669069999999998</v>
      </c>
      <c r="T4666">
        <v>-6.6328999999999999E-2</v>
      </c>
      <c r="U4666">
        <v>-1.310303</v>
      </c>
      <c r="V4666">
        <v>-0.29993760000000003</v>
      </c>
      <c r="W4666">
        <v>0.145678799999999</v>
      </c>
      <c r="X4666">
        <v>0.94276990000000005</v>
      </c>
      <c r="Y4666">
        <v>-0.4085202</v>
      </c>
      <c r="Z4666">
        <v>1.947043E-2</v>
      </c>
      <c r="AA4666">
        <v>0.91254159999999995</v>
      </c>
      <c r="AB4666">
        <v>28</v>
      </c>
      <c r="AC4666">
        <v>43.191699999999997</v>
      </c>
      <c r="AD4666">
        <v>-1.0381230800000001</v>
      </c>
      <c r="AE4666">
        <v>-20.383648000000001</v>
      </c>
      <c r="AF4666">
        <v>-19.570021397781201</v>
      </c>
      <c r="AG4666">
        <v>-1.0381230800000001</v>
      </c>
      <c r="AH4666">
        <v>43.541663320009199</v>
      </c>
      <c r="AI4666">
        <v>91.2457875932311</v>
      </c>
      <c r="AJ4666">
        <v>114.201775693724</v>
      </c>
      <c r="AK4666">
        <v>47.748716021604999</v>
      </c>
      <c r="AL4666">
        <v>81.623410873878896</v>
      </c>
      <c r="AM4666">
        <v>107.648212479309</v>
      </c>
      <c r="AN4666">
        <v>0.99999998050460404</v>
      </c>
    </row>
    <row r="4667" spans="1:40" x14ac:dyDescent="0.25">
      <c r="A4667" t="str">
        <f>"20190312164604266"</f>
        <v>20190312164604266</v>
      </c>
      <c r="B4667" t="str">
        <f>"1552380364256101"</f>
        <v>1552380364256101</v>
      </c>
      <c r="C4667" t="s">
        <v>40</v>
      </c>
      <c r="D4667">
        <v>4.673851</v>
      </c>
      <c r="E4667">
        <v>0.4540846</v>
      </c>
      <c r="F4667" t="s">
        <v>79</v>
      </c>
      <c r="G4667">
        <v>-371.95069999999998</v>
      </c>
      <c r="H4667">
        <v>7.9985940000000005E-2</v>
      </c>
      <c r="I4667">
        <v>8.9039319999999993</v>
      </c>
      <c r="J4667">
        <v>-415.0849</v>
      </c>
      <c r="K4667">
        <v>1.1180939999999999</v>
      </c>
      <c r="L4667">
        <v>28.789249999999999</v>
      </c>
      <c r="M4667">
        <v>0.6577035</v>
      </c>
      <c r="N4667">
        <v>0</v>
      </c>
      <c r="O4667">
        <v>-0.75313289999999999</v>
      </c>
      <c r="P4667">
        <v>0.84370679999999998</v>
      </c>
      <c r="Q4667">
        <v>0.1388134</v>
      </c>
      <c r="R4667">
        <v>-0.51854609999999901</v>
      </c>
      <c r="S4667">
        <v>2.7787480000000002</v>
      </c>
      <c r="T4667">
        <v>-6.6623089999999996E-2</v>
      </c>
      <c r="U4667">
        <v>-1.287445</v>
      </c>
      <c r="V4667">
        <v>-0.2977513</v>
      </c>
      <c r="W4667">
        <v>0.14611089999999999</v>
      </c>
      <c r="X4667">
        <v>0.94339589999999995</v>
      </c>
      <c r="Y4667">
        <v>-0.4066845</v>
      </c>
      <c r="Z4667">
        <v>1.9423719999999998E-2</v>
      </c>
      <c r="AA4667">
        <v>0.91336209999999995</v>
      </c>
      <c r="AB4667">
        <v>28</v>
      </c>
      <c r="AC4667">
        <v>43.1342</v>
      </c>
      <c r="AD4667">
        <v>-1.0381080600000001</v>
      </c>
      <c r="AE4667">
        <v>-19.885318000000002</v>
      </c>
      <c r="AF4667">
        <v>-19.399980097939601</v>
      </c>
      <c r="AG4667">
        <v>-1.0381080600000001</v>
      </c>
      <c r="AH4667">
        <v>43.3298056828448</v>
      </c>
      <c r="AI4667">
        <v>91.252665996470299</v>
      </c>
      <c r="AJ4667">
        <v>114.119413013157</v>
      </c>
      <c r="AK4667">
        <v>47.485881656106798</v>
      </c>
      <c r="AL4667">
        <v>81.598386000417307</v>
      </c>
      <c r="AM4667">
        <v>107.516555297137</v>
      </c>
      <c r="AN4667">
        <v>1.0000000279436501</v>
      </c>
    </row>
    <row r="4668" spans="1:40" x14ac:dyDescent="0.25">
      <c r="A4668" t="str">
        <f>"20190312164604277"</f>
        <v>20190312164604277</v>
      </c>
      <c r="B4668" t="str">
        <f>"1552380364265862"</f>
        <v>1552380364265862</v>
      </c>
      <c r="C4668" t="s">
        <v>40</v>
      </c>
      <c r="D4668">
        <v>4.8026359999999997</v>
      </c>
      <c r="E4668">
        <v>0.4538913</v>
      </c>
      <c r="F4668" t="s">
        <v>79</v>
      </c>
      <c r="G4668">
        <v>-371.82690000000002</v>
      </c>
      <c r="H4668">
        <v>7.9985920000000002E-2</v>
      </c>
      <c r="I4668">
        <v>9.3832210000000007</v>
      </c>
      <c r="J4668">
        <v>-414.98970000000003</v>
      </c>
      <c r="K4668">
        <v>1.1180810000000001</v>
      </c>
      <c r="L4668">
        <v>28.689360000000001</v>
      </c>
      <c r="M4668">
        <v>0.66218829999999995</v>
      </c>
      <c r="N4668">
        <v>0</v>
      </c>
      <c r="O4668">
        <v>-0.74919250000000004</v>
      </c>
      <c r="P4668">
        <v>0.84617509999999996</v>
      </c>
      <c r="Q4668">
        <v>0.1387688</v>
      </c>
      <c r="R4668">
        <v>-0.51452019999999998</v>
      </c>
      <c r="S4668">
        <v>2.7958980000000002</v>
      </c>
      <c r="T4668">
        <v>-6.7096230000000007E-2</v>
      </c>
      <c r="U4668">
        <v>-1.2542719999999901</v>
      </c>
      <c r="V4668">
        <v>-0.2966124</v>
      </c>
      <c r="W4668">
        <v>0.14610290000000001</v>
      </c>
      <c r="X4668">
        <v>0.94375580000000003</v>
      </c>
      <c r="Y4668">
        <v>-0.41234009999999999</v>
      </c>
      <c r="Z4668">
        <v>1.953148E-2</v>
      </c>
      <c r="AA4668">
        <v>0.91082059999999998</v>
      </c>
      <c r="AB4668">
        <v>28</v>
      </c>
      <c r="AC4668">
        <v>43.162799999999997</v>
      </c>
      <c r="AD4668">
        <v>-1.0380950799999999</v>
      </c>
      <c r="AE4668">
        <v>-19.306138999999899</v>
      </c>
      <c r="AF4668">
        <v>-19.5456499205158</v>
      </c>
      <c r="AG4668">
        <v>-1.0380950799999999</v>
      </c>
      <c r="AH4668">
        <v>43.029851854283898</v>
      </c>
      <c r="AI4668">
        <v>91.258308639045694</v>
      </c>
      <c r="AJ4668">
        <v>114.429194789912</v>
      </c>
      <c r="AK4668">
        <v>47.272383299470903</v>
      </c>
      <c r="AL4668">
        <v>81.598849031514305</v>
      </c>
      <c r="AM4668">
        <v>107.447378176871</v>
      </c>
      <c r="AN4668">
        <v>0.99999999162790498</v>
      </c>
    </row>
    <row r="4669" spans="1:40" x14ac:dyDescent="0.25">
      <c r="A4669" t="str">
        <f>"20190312164604290"</f>
        <v>20190312164604290</v>
      </c>
      <c r="B4669" t="str">
        <f>"1552380364286359"</f>
        <v>1552380364286359</v>
      </c>
      <c r="C4669" t="s">
        <v>40</v>
      </c>
      <c r="D4669">
        <v>4.6732779999999998</v>
      </c>
      <c r="E4669">
        <v>0.45367410000000002</v>
      </c>
      <c r="F4669" t="s">
        <v>79</v>
      </c>
      <c r="G4669">
        <v>-370.89640000000003</v>
      </c>
      <c r="H4669">
        <v>7.9986160000000001E-2</v>
      </c>
      <c r="I4669">
        <v>9.2008460000000003</v>
      </c>
      <c r="J4669">
        <v>-414.88659999999999</v>
      </c>
      <c r="K4669">
        <v>1.1180730000000001</v>
      </c>
      <c r="L4669">
        <v>28.581849999999999</v>
      </c>
      <c r="M4669">
        <v>0.66700289999999995</v>
      </c>
      <c r="N4669">
        <v>0</v>
      </c>
      <c r="O4669">
        <v>-0.7449093</v>
      </c>
      <c r="P4669">
        <v>0.8487517</v>
      </c>
      <c r="Q4669">
        <v>0.1385593</v>
      </c>
      <c r="R4669">
        <v>-0.51031579999999999</v>
      </c>
      <c r="S4669">
        <v>2.8028870000000001</v>
      </c>
      <c r="T4669">
        <v>-6.5988779999999997E-2</v>
      </c>
      <c r="U4669">
        <v>-1.238831</v>
      </c>
      <c r="V4669">
        <v>-0.29522659999999901</v>
      </c>
      <c r="W4669">
        <v>0.14593829999999999</v>
      </c>
      <c r="X4669">
        <v>0.94421569999999999</v>
      </c>
      <c r="Y4669">
        <v>-0.41151480000000001</v>
      </c>
      <c r="Z4669">
        <v>1.9131909999999999E-2</v>
      </c>
      <c r="AA4669">
        <v>0.91120230000000002</v>
      </c>
      <c r="AB4669">
        <v>28</v>
      </c>
      <c r="AC4669">
        <v>43.990199999999902</v>
      </c>
      <c r="AD4669">
        <v>-1.0380868399999901</v>
      </c>
      <c r="AE4669">
        <v>-19.381004000000001</v>
      </c>
      <c r="AF4669">
        <v>-19.834429219369898</v>
      </c>
      <c r="AG4669">
        <v>-1.0380868399999901</v>
      </c>
      <c r="AH4669">
        <v>43.763028777378302</v>
      </c>
      <c r="AI4669">
        <v>91.237695260529307</v>
      </c>
      <c r="AJ4669">
        <v>114.381146519372</v>
      </c>
      <c r="AK4669">
        <v>48.0591811677563</v>
      </c>
      <c r="AL4669">
        <v>81.608382255606102</v>
      </c>
      <c r="AM4669">
        <v>107.36282478929699</v>
      </c>
      <c r="AN4669">
        <v>1.0000000104404601</v>
      </c>
    </row>
    <row r="4670" spans="1:40" x14ac:dyDescent="0.25">
      <c r="A4670" t="str">
        <f>"20190312164604300"</f>
        <v>20190312164604300</v>
      </c>
      <c r="B4670" t="str">
        <f>"1552380364296118"</f>
        <v>1552380364296118</v>
      </c>
      <c r="C4670" t="s">
        <v>40</v>
      </c>
      <c r="D4670">
        <v>4.9734619999999996</v>
      </c>
      <c r="E4670">
        <v>0.45364209999999999</v>
      </c>
      <c r="F4670" t="s">
        <v>80</v>
      </c>
      <c r="G4670">
        <v>-367.88490000000002</v>
      </c>
      <c r="H4670">
        <v>7.9985959999999995E-2</v>
      </c>
      <c r="I4670">
        <v>8.1261369999999999</v>
      </c>
      <c r="J4670">
        <v>-414.79169999999999</v>
      </c>
      <c r="K4670">
        <v>1.1180639999999999</v>
      </c>
      <c r="L4670">
        <v>28.484919999999999</v>
      </c>
      <c r="M4670">
        <v>0.67136499999999999</v>
      </c>
      <c r="N4670">
        <v>0</v>
      </c>
      <c r="O4670">
        <v>-0.74098039999999998</v>
      </c>
      <c r="P4670">
        <v>0.85080089999999997</v>
      </c>
      <c r="Q4670">
        <v>0.138299799999999</v>
      </c>
      <c r="R4670">
        <v>-0.506963099999999</v>
      </c>
      <c r="S4670">
        <v>2.8095400000000001</v>
      </c>
      <c r="T4670">
        <v>-6.2052009999999998E-2</v>
      </c>
      <c r="U4670">
        <v>-1.2227479999999999</v>
      </c>
      <c r="V4670">
        <v>-0.29342689999999999</v>
      </c>
      <c r="W4670">
        <v>0.1457331</v>
      </c>
      <c r="X4670">
        <v>0.94480819999999999</v>
      </c>
      <c r="Y4670">
        <v>-0.41136410000000001</v>
      </c>
      <c r="Z4670">
        <v>1.7931320000000001E-2</v>
      </c>
      <c r="AA4670">
        <v>0.91129470000000001</v>
      </c>
      <c r="AB4670">
        <v>28</v>
      </c>
      <c r="AC4670">
        <v>46.906799999999897</v>
      </c>
      <c r="AD4670">
        <v>-1.03807804</v>
      </c>
      <c r="AE4670">
        <v>-20.358782999999999</v>
      </c>
      <c r="AF4670">
        <v>-21.082445777959499</v>
      </c>
      <c r="AG4670">
        <v>-1.03807804</v>
      </c>
      <c r="AH4670">
        <v>46.562909392278499</v>
      </c>
      <c r="AI4670">
        <v>91.163479220925893</v>
      </c>
      <c r="AJ4670">
        <v>114.359751829413</v>
      </c>
      <c r="AK4670">
        <v>51.123885387079802</v>
      </c>
      <c r="AL4670">
        <v>81.620266388054702</v>
      </c>
      <c r="AM4670">
        <v>107.253105935349</v>
      </c>
      <c r="AN4670">
        <v>1.0000000084332299</v>
      </c>
    </row>
    <row r="4671" spans="1:40" x14ac:dyDescent="0.25">
      <c r="A4671" t="str">
        <f>"20190312164604311"</f>
        <v>20190312164604311</v>
      </c>
      <c r="B4671" t="str">
        <f>"1552380364305878"</f>
        <v>1552380364305878</v>
      </c>
      <c r="C4671" t="s">
        <v>40</v>
      </c>
      <c r="D4671">
        <v>4.8200729999999998</v>
      </c>
      <c r="E4671">
        <v>0.45364549999999998</v>
      </c>
      <c r="F4671" t="s">
        <v>80</v>
      </c>
      <c r="G4671">
        <v>-367.02300000000002</v>
      </c>
      <c r="H4671">
        <v>7.9986189999999999E-2</v>
      </c>
      <c r="I4671">
        <v>7.9288509999999999</v>
      </c>
      <c r="J4671">
        <v>-414.6934</v>
      </c>
      <c r="K4671">
        <v>1.1180479999999999</v>
      </c>
      <c r="L4671">
        <v>28.384979999999999</v>
      </c>
      <c r="M4671">
        <v>0.67584789999999995</v>
      </c>
      <c r="N4671">
        <v>0</v>
      </c>
      <c r="O4671">
        <v>-0.73689380000000004</v>
      </c>
      <c r="P4671">
        <v>0.85289570000000003</v>
      </c>
      <c r="Q4671">
        <v>0.13801340000000001</v>
      </c>
      <c r="R4671">
        <v>-0.50350929999999905</v>
      </c>
      <c r="S4671">
        <v>2.814362</v>
      </c>
      <c r="T4671">
        <v>-6.1159850000000002E-2</v>
      </c>
      <c r="U4671">
        <v>-1.21109</v>
      </c>
      <c r="V4671">
        <v>-0.29154629999999998</v>
      </c>
      <c r="W4671">
        <v>0.14550379999999999</v>
      </c>
      <c r="X4671">
        <v>0.94542550000000003</v>
      </c>
      <c r="Y4671">
        <v>-0.40959190000000001</v>
      </c>
      <c r="Z4671">
        <v>1.7598740000000002E-2</v>
      </c>
      <c r="AA4671">
        <v>0.91209910000000005</v>
      </c>
      <c r="AB4671">
        <v>28</v>
      </c>
      <c r="AC4671">
        <v>47.670399999999901</v>
      </c>
      <c r="AD4671">
        <v>-1.0380618100000001</v>
      </c>
      <c r="AE4671">
        <v>-20.456129000000001</v>
      </c>
      <c r="AF4671">
        <v>-21.2965754749574</v>
      </c>
      <c r="AG4671">
        <v>-1.0380618100000001</v>
      </c>
      <c r="AH4671">
        <v>47.278137358232897</v>
      </c>
      <c r="AI4671">
        <v>91.146862369392394</v>
      </c>
      <c r="AJ4671">
        <v>114.249322490919</v>
      </c>
      <c r="AK4671">
        <v>51.863705723230701</v>
      </c>
      <c r="AL4671">
        <v>81.633545690068402</v>
      </c>
      <c r="AM4671">
        <v>107.138493915773</v>
      </c>
      <c r="AN4671">
        <v>0.99999998845418903</v>
      </c>
    </row>
    <row r="4672" spans="1:40" x14ac:dyDescent="0.25">
      <c r="A4672" t="str">
        <f>"20190312164604322"</f>
        <v>20190312164604322</v>
      </c>
      <c r="B4672" t="str">
        <f>"1552380364316614"</f>
        <v>1552380364316614</v>
      </c>
      <c r="C4672" t="s">
        <v>40</v>
      </c>
      <c r="D4672">
        <v>4.7536480000000001</v>
      </c>
      <c r="E4672">
        <v>0.45345659999999999</v>
      </c>
      <c r="F4672" t="s">
        <v>80</v>
      </c>
      <c r="G4672">
        <v>-366.0292</v>
      </c>
      <c r="H4672">
        <v>7.9986450000000001E-2</v>
      </c>
      <c r="I4672">
        <v>7.693727</v>
      </c>
      <c r="J4672">
        <v>-414.59649999999999</v>
      </c>
      <c r="K4672">
        <v>1.1180380000000001</v>
      </c>
      <c r="L4672">
        <v>28.288209999999999</v>
      </c>
      <c r="M4672">
        <v>0.68020219999999998</v>
      </c>
      <c r="N4672">
        <v>0</v>
      </c>
      <c r="O4672">
        <v>-0.73287659999999999</v>
      </c>
      <c r="P4672">
        <v>0.85500409999999905</v>
      </c>
      <c r="Q4672">
        <v>0.1378076</v>
      </c>
      <c r="R4672">
        <v>-0.49997780000000003</v>
      </c>
      <c r="S4672">
        <v>2.819458</v>
      </c>
      <c r="T4672">
        <v>-6.0142279999999999E-2</v>
      </c>
      <c r="U4672">
        <v>-1.1987920000000001</v>
      </c>
      <c r="V4672">
        <v>-0.2898674</v>
      </c>
      <c r="W4672">
        <v>0.14534900000000001</v>
      </c>
      <c r="X4672">
        <v>0.94596539999999996</v>
      </c>
      <c r="Y4672">
        <v>-0.40815639999999997</v>
      </c>
      <c r="Z4672">
        <v>1.7235339999999998E-2</v>
      </c>
      <c r="AA4672">
        <v>0.91274940000000004</v>
      </c>
      <c r="AB4672">
        <v>28</v>
      </c>
      <c r="AC4672">
        <v>48.567299999999904</v>
      </c>
      <c r="AD4672">
        <v>-1.0380515499999901</v>
      </c>
      <c r="AE4672">
        <v>-20.594483</v>
      </c>
      <c r="AF4672">
        <v>-21.579410303322302</v>
      </c>
      <c r="AG4672">
        <v>-1.0380515499999901</v>
      </c>
      <c r="AH4672">
        <v>48.115387967798704</v>
      </c>
      <c r="AI4672">
        <v>91.127726003818196</v>
      </c>
      <c r="AJ4672">
        <v>114.15589612664</v>
      </c>
      <c r="AK4672">
        <v>52.743142296903301</v>
      </c>
      <c r="AL4672">
        <v>81.642510390221503</v>
      </c>
      <c r="AM4672">
        <v>107.036371242302</v>
      </c>
      <c r="AN4672">
        <v>0.99999998969046</v>
      </c>
    </row>
    <row r="4673" spans="1:40" x14ac:dyDescent="0.25">
      <c r="A4673" t="str">
        <f>"20190312164604334"</f>
        <v>20190312164604334</v>
      </c>
      <c r="B4673" t="str">
        <f>"1552380364326373"</f>
        <v>1552380364326373</v>
      </c>
      <c r="C4673" t="s">
        <v>40</v>
      </c>
      <c r="D4673">
        <v>4.6119320000000004</v>
      </c>
      <c r="E4673">
        <v>0.45335439999999999</v>
      </c>
      <c r="F4673" t="s">
        <v>80</v>
      </c>
      <c r="G4673">
        <v>-367.43380000000002</v>
      </c>
      <c r="H4673">
        <v>7.9986050000000003E-2</v>
      </c>
      <c r="I4673">
        <v>8.5056849999999997</v>
      </c>
      <c r="J4673">
        <v>-414.49849999999998</v>
      </c>
      <c r="K4673">
        <v>1.118031</v>
      </c>
      <c r="L4673">
        <v>28.19116</v>
      </c>
      <c r="M4673">
        <v>0.68456530000000004</v>
      </c>
      <c r="N4673">
        <v>0</v>
      </c>
      <c r="O4673">
        <v>-0.72880249999999902</v>
      </c>
      <c r="P4673">
        <v>0.85702080000000003</v>
      </c>
      <c r="Q4673">
        <v>0.137459</v>
      </c>
      <c r="R4673">
        <v>-0.49660949999999998</v>
      </c>
      <c r="S4673">
        <v>2.8256839999999999</v>
      </c>
      <c r="T4673">
        <v>-6.2193390000000001E-2</v>
      </c>
      <c r="U4673">
        <v>-1.1852419999999999</v>
      </c>
      <c r="V4673">
        <v>-0.287968</v>
      </c>
      <c r="W4673">
        <v>0.14505750000000001</v>
      </c>
      <c r="X4673">
        <v>0.94659009999999999</v>
      </c>
      <c r="Y4673">
        <v>-0.40713470000000002</v>
      </c>
      <c r="Z4673">
        <v>1.7748380000000001E-2</v>
      </c>
      <c r="AA4673">
        <v>0.91319570000000005</v>
      </c>
      <c r="AB4673">
        <v>28</v>
      </c>
      <c r="AC4673">
        <v>47.064699999999903</v>
      </c>
      <c r="AD4673">
        <v>-1.03804495</v>
      </c>
      <c r="AE4673">
        <v>-19.685475</v>
      </c>
      <c r="AF4673">
        <v>-20.818521218586199</v>
      </c>
      <c r="AG4673">
        <v>-1.03804495</v>
      </c>
      <c r="AH4673">
        <v>46.551469894483603</v>
      </c>
      <c r="AI4673">
        <v>91.166150355611606</v>
      </c>
      <c r="AJ4673">
        <v>114.09491536573699</v>
      </c>
      <c r="AK4673">
        <v>51.005173388431501</v>
      </c>
      <c r="AL4673">
        <v>81.659391372151703</v>
      </c>
      <c r="AM4673">
        <v>106.920608141065</v>
      </c>
      <c r="AN4673">
        <v>1.0000000323741201</v>
      </c>
    </row>
    <row r="4674" spans="1:40" x14ac:dyDescent="0.25">
      <c r="A4674" t="str">
        <f>"20190312164604344"</f>
        <v>20190312164604344</v>
      </c>
      <c r="B4674" t="str">
        <f>"1552380364336134"</f>
        <v>1552380364336134</v>
      </c>
      <c r="C4674" t="s">
        <v>40</v>
      </c>
      <c r="D4674">
        <v>4.8192919999999999</v>
      </c>
      <c r="E4674">
        <v>0.45347890000000002</v>
      </c>
      <c r="F4674" t="s">
        <v>80</v>
      </c>
      <c r="G4674">
        <v>-369.65289999999999</v>
      </c>
      <c r="H4674">
        <v>4.0193880000000001E-2</v>
      </c>
      <c r="I4674">
        <v>9.6163229999999995</v>
      </c>
      <c r="J4674">
        <v>-414.3974</v>
      </c>
      <c r="K4674">
        <v>1.11802</v>
      </c>
      <c r="L4674">
        <v>28.09216</v>
      </c>
      <c r="M4674">
        <v>0.68901749999999995</v>
      </c>
      <c r="N4674">
        <v>0</v>
      </c>
      <c r="O4674">
        <v>-0.72459469999999904</v>
      </c>
      <c r="P4674">
        <v>0.85903700000000005</v>
      </c>
      <c r="Q4674">
        <v>0.13730629999999999</v>
      </c>
      <c r="R4674">
        <v>-0.49315550000000002</v>
      </c>
      <c r="S4674">
        <v>2.8317869999999998</v>
      </c>
      <c r="T4674">
        <v>-6.8060280000000001E-2</v>
      </c>
      <c r="U4674">
        <v>-1.1729130000000001</v>
      </c>
      <c r="V4674">
        <v>-0.2859853</v>
      </c>
      <c r="W4674">
        <v>0.14496410000000001</v>
      </c>
      <c r="X4674">
        <v>0.94720519999999997</v>
      </c>
      <c r="Y4674">
        <v>-0.40559250000000002</v>
      </c>
      <c r="Z4674">
        <v>1.93306E-2</v>
      </c>
      <c r="AA4674">
        <v>0.91384960000000004</v>
      </c>
      <c r="AB4674">
        <v>28</v>
      </c>
      <c r="AC4674">
        <v>44.744500000000002</v>
      </c>
      <c r="AD4674">
        <v>-1.0778261200000001</v>
      </c>
      <c r="AE4674">
        <v>-18.475836999999999</v>
      </c>
      <c r="AF4674">
        <v>-19.683835511465801</v>
      </c>
      <c r="AG4674">
        <v>-1.0778261200000001</v>
      </c>
      <c r="AH4674">
        <v>44.200133041795297</v>
      </c>
      <c r="AI4674">
        <v>91.276112776830502</v>
      </c>
      <c r="AJ4674">
        <v>114.005050206877</v>
      </c>
      <c r="AK4674">
        <v>48.396971501322298</v>
      </c>
      <c r="AL4674">
        <v>81.664799161466405</v>
      </c>
      <c r="AM4674">
        <v>106.80039855776199</v>
      </c>
      <c r="AN4674">
        <v>0.99999993650596797</v>
      </c>
    </row>
    <row r="4675" spans="1:40" x14ac:dyDescent="0.25">
      <c r="A4675" t="str">
        <f>"20190312164604355"</f>
        <v>20190312164604355</v>
      </c>
      <c r="B4675" t="str">
        <f>"1552380364345894"</f>
        <v>1552380364345894</v>
      </c>
      <c r="C4675" t="s">
        <v>40</v>
      </c>
      <c r="D4675">
        <v>4.886755</v>
      </c>
      <c r="E4675">
        <v>0.45366299999999998</v>
      </c>
      <c r="F4675" t="s">
        <v>80</v>
      </c>
      <c r="G4675">
        <v>-369.34870000000001</v>
      </c>
      <c r="H4675" s="1">
        <v>-2.9059949999999999E-6</v>
      </c>
      <c r="I4675">
        <v>9.6362629999999996</v>
      </c>
      <c r="J4675">
        <v>-414.30630000000002</v>
      </c>
      <c r="K4675">
        <v>1.1180110000000001</v>
      </c>
      <c r="L4675">
        <v>28.00433</v>
      </c>
      <c r="M4675">
        <v>0.69297609999999998</v>
      </c>
      <c r="N4675">
        <v>0</v>
      </c>
      <c r="O4675">
        <v>-0.72081010000000001</v>
      </c>
      <c r="P4675">
        <v>0.86075579999999996</v>
      </c>
      <c r="Q4675">
        <v>0.13728679999999999</v>
      </c>
      <c r="R4675">
        <v>-0.49015540000000002</v>
      </c>
      <c r="S4675">
        <v>2.8364259999999999</v>
      </c>
      <c r="T4675">
        <v>-7.0394639999999994E-2</v>
      </c>
      <c r="U4675">
        <v>-1.162048</v>
      </c>
      <c r="V4675">
        <v>-0.28409659999999998</v>
      </c>
      <c r="W4675">
        <v>0.14499989999999999</v>
      </c>
      <c r="X4675">
        <v>0.94776800000000005</v>
      </c>
      <c r="Y4675">
        <v>-0.40409260000000002</v>
      </c>
      <c r="Z4675">
        <v>1.9911120000000001E-2</v>
      </c>
      <c r="AA4675">
        <v>0.91450140000000002</v>
      </c>
      <c r="AB4675">
        <v>28</v>
      </c>
      <c r="AC4675">
        <v>44.957599999999999</v>
      </c>
      <c r="AD4675">
        <v>-1.1180139059950001</v>
      </c>
      <c r="AE4675">
        <v>-18.368067</v>
      </c>
      <c r="AF4675">
        <v>-19.668971483606001</v>
      </c>
      <c r="AG4675">
        <v>-1.1180139059950001</v>
      </c>
      <c r="AH4675">
        <v>44.3757289467014</v>
      </c>
      <c r="AI4675">
        <v>91.319467243277998</v>
      </c>
      <c r="AJ4675">
        <v>113.904700028243</v>
      </c>
      <c r="AK4675">
        <v>48.552278153223803</v>
      </c>
      <c r="AL4675">
        <v>81.662726731832194</v>
      </c>
      <c r="AM4675">
        <v>106.686276380959</v>
      </c>
      <c r="AN4675">
        <v>1.0000000154777799</v>
      </c>
    </row>
    <row r="4676" spans="1:40" x14ac:dyDescent="0.25">
      <c r="A4676" t="str">
        <f>"20190312164604366"</f>
        <v>20190312164604366</v>
      </c>
      <c r="B4676" t="str">
        <f>"1552380364356630"</f>
        <v>1552380364356630</v>
      </c>
      <c r="C4676" t="s">
        <v>40</v>
      </c>
      <c r="D4676">
        <v>4.7655000000000003</v>
      </c>
      <c r="E4676">
        <v>0.45374829999999999</v>
      </c>
      <c r="F4676" t="s">
        <v>80</v>
      </c>
      <c r="G4676">
        <v>-369.65309999999999</v>
      </c>
      <c r="H4676" s="1">
        <v>-2.725102E-6</v>
      </c>
      <c r="I4676">
        <v>9.8766660000000002</v>
      </c>
      <c r="J4676">
        <v>-414.20569999999998</v>
      </c>
      <c r="K4676">
        <v>1.1180060000000001</v>
      </c>
      <c r="L4676">
        <v>27.90793</v>
      </c>
      <c r="M4676">
        <v>0.69731330000000002</v>
      </c>
      <c r="N4676">
        <v>0</v>
      </c>
      <c r="O4676">
        <v>-0.71661529999999996</v>
      </c>
      <c r="P4676">
        <v>0.86268909999999999</v>
      </c>
      <c r="Q4676">
        <v>0.13713239999999999</v>
      </c>
      <c r="R4676">
        <v>-0.4867879</v>
      </c>
      <c r="S4676">
        <v>2.8400270000000001</v>
      </c>
      <c r="T4676">
        <v>-7.1107749999999997E-2</v>
      </c>
      <c r="U4676">
        <v>-1.152954</v>
      </c>
      <c r="V4676">
        <v>-0.28208749999999999</v>
      </c>
      <c r="W4676">
        <v>0.14490510000000001</v>
      </c>
      <c r="X4676">
        <v>0.94838239999999996</v>
      </c>
      <c r="Y4676">
        <v>-0.4014858</v>
      </c>
      <c r="Z4676">
        <v>2.0013280000000001E-2</v>
      </c>
      <c r="AA4676">
        <v>0.91564659999999998</v>
      </c>
      <c r="AB4676">
        <v>28</v>
      </c>
      <c r="AC4676">
        <v>44.552599999999899</v>
      </c>
      <c r="AD4676">
        <v>-1.1180087251019999</v>
      </c>
      <c r="AE4676">
        <v>-18.031264</v>
      </c>
      <c r="AF4676">
        <v>-19.345264193286798</v>
      </c>
      <c r="AG4676">
        <v>-1.1180087251019999</v>
      </c>
      <c r="AH4676">
        <v>43.969575185485901</v>
      </c>
      <c r="AI4676">
        <v>91.333253293041594</v>
      </c>
      <c r="AJ4676">
        <v>113.748021866879</v>
      </c>
      <c r="AK4676">
        <v>48.050106474487301</v>
      </c>
      <c r="AL4676">
        <v>81.668216313265603</v>
      </c>
      <c r="AM4676">
        <v>106.56461883078801</v>
      </c>
      <c r="AN4676">
        <v>1.0000000111460099</v>
      </c>
    </row>
    <row r="4677" spans="1:40" x14ac:dyDescent="0.25">
      <c r="A4677" t="str">
        <f>"20190312164604378"</f>
        <v>20190312164604378</v>
      </c>
      <c r="B4677" t="str">
        <f>"1552380364366390"</f>
        <v>1552380364366390</v>
      </c>
      <c r="C4677" t="s">
        <v>40</v>
      </c>
      <c r="D4677">
        <v>4.8814699999999904</v>
      </c>
      <c r="E4677">
        <v>0.45383119999999999</v>
      </c>
      <c r="F4677" t="s">
        <v>80</v>
      </c>
      <c r="G4677">
        <v>-368.83269999999999</v>
      </c>
      <c r="H4677" s="1">
        <v>-3.0887019999999998E-6</v>
      </c>
      <c r="I4677">
        <v>9.6942819999999994</v>
      </c>
      <c r="J4677">
        <v>-414.11079999999998</v>
      </c>
      <c r="K4677">
        <v>1.1179969999999999</v>
      </c>
      <c r="L4677">
        <v>27.818629999999999</v>
      </c>
      <c r="M4677">
        <v>0.70134529999999995</v>
      </c>
      <c r="N4677">
        <v>0</v>
      </c>
      <c r="O4677">
        <v>-0.71266929999999995</v>
      </c>
      <c r="P4677">
        <v>0.86436569999999902</v>
      </c>
      <c r="Q4677">
        <v>0.13727339999999999</v>
      </c>
      <c r="R4677">
        <v>-0.48376469999999999</v>
      </c>
      <c r="S4677">
        <v>2.84436</v>
      </c>
      <c r="T4677">
        <v>-7.0086239999999994E-2</v>
      </c>
      <c r="U4677">
        <v>-1.141785</v>
      </c>
      <c r="V4677">
        <v>-0.28003630000000002</v>
      </c>
      <c r="W4677">
        <v>0.1451056</v>
      </c>
      <c r="X4677">
        <v>0.94895949999999996</v>
      </c>
      <c r="Y4677">
        <v>-0.39990500000000001</v>
      </c>
      <c r="Z4677">
        <v>1.9641599999999999E-2</v>
      </c>
      <c r="AA4677">
        <v>0.91634610000000005</v>
      </c>
      <c r="AB4677">
        <v>28</v>
      </c>
      <c r="AC4677">
        <v>45.278100000000002</v>
      </c>
      <c r="AD4677">
        <v>-1.1180000887020001</v>
      </c>
      <c r="AE4677">
        <v>-18.124348000000001</v>
      </c>
      <c r="AF4677">
        <v>-19.5487375309234</v>
      </c>
      <c r="AG4677">
        <v>-1.1180000887020001</v>
      </c>
      <c r="AH4677">
        <v>44.653637160540697</v>
      </c>
      <c r="AI4677">
        <v>91.313880712458399</v>
      </c>
      <c r="AJ4677">
        <v>113.643130637336</v>
      </c>
      <c r="AK4677">
        <v>48.758080098753801</v>
      </c>
      <c r="AL4677">
        <v>81.656606110873895</v>
      </c>
      <c r="AM4677">
        <v>106.44123840501599</v>
      </c>
      <c r="AN4677">
        <v>1.0000000485546401</v>
      </c>
    </row>
    <row r="4678" spans="1:40" x14ac:dyDescent="0.25">
      <c r="A4678" t="str">
        <f>"20190312164604389"</f>
        <v>20190312164604389</v>
      </c>
      <c r="B4678" t="str">
        <f>"1552380364385910"</f>
        <v>1552380364385910</v>
      </c>
      <c r="C4678" t="s">
        <v>40</v>
      </c>
      <c r="D4678">
        <v>4.8211719999999998</v>
      </c>
      <c r="E4678">
        <v>0.4540324</v>
      </c>
      <c r="F4678" t="s">
        <v>80</v>
      </c>
      <c r="G4678">
        <v>-368.3073</v>
      </c>
      <c r="H4678">
        <v>1.705371E-2</v>
      </c>
      <c r="I4678">
        <v>9.6163240000000005</v>
      </c>
      <c r="J4678">
        <v>-414.00740000000002</v>
      </c>
      <c r="K4678">
        <v>1.1179889999999999</v>
      </c>
      <c r="L4678">
        <v>27.72174</v>
      </c>
      <c r="M4678">
        <v>0.70570469999999996</v>
      </c>
      <c r="N4678">
        <v>0</v>
      </c>
      <c r="O4678">
        <v>-0.70835309999999996</v>
      </c>
      <c r="P4678">
        <v>0.86599429999999999</v>
      </c>
      <c r="Q4678">
        <v>0.13740840000000001</v>
      </c>
      <c r="R4678">
        <v>-0.48080519999999999</v>
      </c>
      <c r="S4678">
        <v>2.8481749999999999</v>
      </c>
      <c r="T4678">
        <v>-6.8459510000000001E-2</v>
      </c>
      <c r="U4678">
        <v>-1.131866</v>
      </c>
      <c r="V4678">
        <v>-0.27743839999999997</v>
      </c>
      <c r="W4678">
        <v>0.14531459999999999</v>
      </c>
      <c r="X4678">
        <v>0.94969029999999999</v>
      </c>
      <c r="Y4678">
        <v>-0.39746969999999998</v>
      </c>
      <c r="Z4678">
        <v>1.9088810000000001E-2</v>
      </c>
      <c r="AA4678">
        <v>0.91741680000000003</v>
      </c>
      <c r="AB4678">
        <v>28</v>
      </c>
      <c r="AC4678">
        <v>45.700099999999999</v>
      </c>
      <c r="AD4678">
        <v>-1.10093528999999</v>
      </c>
      <c r="AE4678">
        <v>-18.105416000000002</v>
      </c>
      <c r="AF4678">
        <v>-19.587029205040199</v>
      </c>
      <c r="AG4678">
        <v>-1.10093528999999</v>
      </c>
      <c r="AH4678">
        <v>45.058087189591603</v>
      </c>
      <c r="AI4678">
        <v>91.283670763092402</v>
      </c>
      <c r="AJ4678">
        <v>113.494882984138</v>
      </c>
      <c r="AK4678">
        <v>49.143615992076697</v>
      </c>
      <c r="AL4678">
        <v>81.644502874418393</v>
      </c>
      <c r="AM4678">
        <v>106.284966067119</v>
      </c>
      <c r="AN4678">
        <v>1.0000000323409</v>
      </c>
    </row>
    <row r="4679" spans="1:40" x14ac:dyDescent="0.25">
      <c r="A4679" t="str">
        <f>"20190312164604400"</f>
        <v>20190312164604400</v>
      </c>
      <c r="B4679" t="str">
        <f>"1552380364396646"</f>
        <v>1552380364396646</v>
      </c>
      <c r="C4679" t="s">
        <v>40</v>
      </c>
      <c r="D4679">
        <v>4.8875659999999996</v>
      </c>
      <c r="E4679">
        <v>0.45410240000000002</v>
      </c>
      <c r="F4679" t="s">
        <v>80</v>
      </c>
      <c r="G4679">
        <v>-368.04660000000001</v>
      </c>
      <c r="H4679">
        <v>4.0443060000000003E-2</v>
      </c>
      <c r="I4679">
        <v>9.6163249999999998</v>
      </c>
      <c r="J4679">
        <v>-413.90629999999999</v>
      </c>
      <c r="K4679">
        <v>1.1179809999999999</v>
      </c>
      <c r="L4679">
        <v>27.628969999999999</v>
      </c>
      <c r="M4679">
        <v>0.70990249999999999</v>
      </c>
      <c r="N4679">
        <v>0</v>
      </c>
      <c r="O4679">
        <v>-0.70414580000000004</v>
      </c>
      <c r="P4679">
        <v>0.86780979999999996</v>
      </c>
      <c r="Q4679">
        <v>0.13760910000000001</v>
      </c>
      <c r="R4679">
        <v>-0.47746159999999999</v>
      </c>
      <c r="S4679">
        <v>2.8512569999999999</v>
      </c>
      <c r="T4679">
        <v>-6.6847320000000002E-2</v>
      </c>
      <c r="U4679">
        <v>-1.1231990000000001</v>
      </c>
      <c r="V4679">
        <v>-0.27543010000000001</v>
      </c>
      <c r="W4679">
        <v>0.1455736</v>
      </c>
      <c r="X4679">
        <v>0.95023500000000005</v>
      </c>
      <c r="Y4679">
        <v>-0.39477800000000002</v>
      </c>
      <c r="Z4679">
        <v>1.8544930000000001E-2</v>
      </c>
      <c r="AA4679">
        <v>0.9185894</v>
      </c>
      <c r="AB4679">
        <v>28</v>
      </c>
      <c r="AC4679">
        <v>45.859699999999897</v>
      </c>
      <c r="AD4679">
        <v>-1.07753793999999</v>
      </c>
      <c r="AE4679">
        <v>-18.012644999999999</v>
      </c>
      <c r="AF4679">
        <v>-19.4974858198878</v>
      </c>
      <c r="AG4679">
        <v>-1.07753793999999</v>
      </c>
      <c r="AH4679">
        <v>45.222726583248601</v>
      </c>
      <c r="AI4679">
        <v>91.253452634060693</v>
      </c>
      <c r="AJ4679">
        <v>113.322977024784</v>
      </c>
      <c r="AK4679">
        <v>49.258583423928499</v>
      </c>
      <c r="AL4679">
        <v>81.629503368025695</v>
      </c>
      <c r="AM4679">
        <v>106.164480530576</v>
      </c>
      <c r="AN4679">
        <v>0.99999998411398405</v>
      </c>
    </row>
    <row r="4680" spans="1:40" x14ac:dyDescent="0.25">
      <c r="A4680" t="str">
        <f>"20190312164604412"</f>
        <v>20190312164604412</v>
      </c>
      <c r="B4680" t="str">
        <f>"1552380364406406"</f>
        <v>1552380364406406</v>
      </c>
      <c r="C4680" t="s">
        <v>40</v>
      </c>
      <c r="D4680">
        <v>5.3067199999999897</v>
      </c>
      <c r="E4680">
        <v>0.45420899999999997</v>
      </c>
      <c r="F4680" t="s">
        <v>80</v>
      </c>
      <c r="G4680">
        <v>-367.66460000000001</v>
      </c>
      <c r="H4680">
        <v>5.1466449999999997E-2</v>
      </c>
      <c r="I4680">
        <v>9.6148439999999997</v>
      </c>
      <c r="J4680">
        <v>-413.8032</v>
      </c>
      <c r="K4680">
        <v>1.1179730000000001</v>
      </c>
      <c r="L4680">
        <v>27.53482</v>
      </c>
      <c r="M4680">
        <v>0.71414840000000002</v>
      </c>
      <c r="N4680">
        <v>0</v>
      </c>
      <c r="O4680">
        <v>-0.69983919999999999</v>
      </c>
      <c r="P4680">
        <v>0.86953570000000002</v>
      </c>
      <c r="Q4680">
        <v>0.13771329999999901</v>
      </c>
      <c r="R4680">
        <v>-0.47428100000000001</v>
      </c>
      <c r="S4680">
        <v>2.8554080000000002</v>
      </c>
      <c r="T4680">
        <v>-6.5856929999999994E-2</v>
      </c>
      <c r="U4680">
        <v>-1.112366</v>
      </c>
      <c r="V4680">
        <v>-0.2731442</v>
      </c>
      <c r="W4680">
        <v>0.14574300000000001</v>
      </c>
      <c r="X4680">
        <v>0.95086870000000001</v>
      </c>
      <c r="Y4680">
        <v>-0.39270529999999998</v>
      </c>
      <c r="Z4680">
        <v>1.8178980000000001E-2</v>
      </c>
      <c r="AA4680">
        <v>0.91948470000000004</v>
      </c>
      <c r="AB4680">
        <v>28</v>
      </c>
      <c r="AC4680">
        <v>46.138599999999997</v>
      </c>
      <c r="AD4680">
        <v>-1.0665065499999999</v>
      </c>
      <c r="AE4680">
        <v>-17.919975999999998</v>
      </c>
      <c r="AF4680">
        <v>-19.485148936084801</v>
      </c>
      <c r="AG4680">
        <v>-1.0665065499999999</v>
      </c>
      <c r="AH4680">
        <v>45.474736190342497</v>
      </c>
      <c r="AI4680">
        <v>91.234942299894499</v>
      </c>
      <c r="AJ4680">
        <v>113.194307377667</v>
      </c>
      <c r="AK4680">
        <v>49.484948184916298</v>
      </c>
      <c r="AL4680">
        <v>81.619693223225298</v>
      </c>
      <c r="AM4680">
        <v>106.027110934352</v>
      </c>
      <c r="AN4680">
        <v>1.00000003034116</v>
      </c>
    </row>
    <row r="4681" spans="1:40" x14ac:dyDescent="0.25">
      <c r="A4681" t="str">
        <f>"20190312164604423"</f>
        <v>20190312164604423</v>
      </c>
      <c r="B4681" t="str">
        <f>"1552380364416167"</f>
        <v>1552380364416167</v>
      </c>
      <c r="C4681" t="s">
        <v>40</v>
      </c>
      <c r="D4681">
        <v>4.7579630000000002</v>
      </c>
      <c r="E4681">
        <v>0.454208</v>
      </c>
      <c r="F4681" t="s">
        <v>80</v>
      </c>
      <c r="G4681">
        <v>-367.2971</v>
      </c>
      <c r="H4681">
        <v>6.168858E-2</v>
      </c>
      <c r="I4681">
        <v>9.6046250000000004</v>
      </c>
      <c r="J4681">
        <v>-413.69080000000002</v>
      </c>
      <c r="K4681">
        <v>1.1179589999999999</v>
      </c>
      <c r="L4681">
        <v>27.433900000000001</v>
      </c>
      <c r="M4681">
        <v>0.7187114</v>
      </c>
      <c r="N4681">
        <v>0</v>
      </c>
      <c r="O4681">
        <v>-0.69515280000000002</v>
      </c>
      <c r="P4681">
        <v>0.87136239999999998</v>
      </c>
      <c r="Q4681">
        <v>0.13793759999999999</v>
      </c>
      <c r="R4681">
        <v>-0.47085149999999998</v>
      </c>
      <c r="S4681">
        <v>2.8591310000000001</v>
      </c>
      <c r="T4681">
        <v>-6.493902E-2</v>
      </c>
      <c r="U4681">
        <v>-1.102325</v>
      </c>
      <c r="V4681">
        <v>-0.27064080000000001</v>
      </c>
      <c r="W4681">
        <v>0.14603869999999999</v>
      </c>
      <c r="X4681">
        <v>0.95153889999999997</v>
      </c>
      <c r="Y4681">
        <v>-0.38990760000000002</v>
      </c>
      <c r="Z4681">
        <v>1.7822950000000001E-2</v>
      </c>
      <c r="AA4681">
        <v>0.92068150000000004</v>
      </c>
      <c r="AB4681">
        <v>28</v>
      </c>
      <c r="AC4681">
        <v>46.393700000000003</v>
      </c>
      <c r="AD4681">
        <v>-1.0562704199999999</v>
      </c>
      <c r="AE4681">
        <v>-17.829274999999999</v>
      </c>
      <c r="AF4681">
        <v>-19.429936046526201</v>
      </c>
      <c r="AG4681">
        <v>-1.0562704199999999</v>
      </c>
      <c r="AH4681">
        <v>45.7220529764475</v>
      </c>
      <c r="AI4681">
        <v>91.218027885377197</v>
      </c>
      <c r="AJ4681">
        <v>113.023436581871</v>
      </c>
      <c r="AK4681">
        <v>49.690484505117702</v>
      </c>
      <c r="AL4681">
        <v>81.602567469208907</v>
      </c>
      <c r="AM4681">
        <v>105.87704087748</v>
      </c>
      <c r="AN4681">
        <v>1.0000000113677601</v>
      </c>
    </row>
    <row r="4682" spans="1:40" x14ac:dyDescent="0.25">
      <c r="A4682" t="str">
        <f>"20190312164604437"</f>
        <v>20190312164604437</v>
      </c>
      <c r="B4682" t="str">
        <f>"1552380364425925"</f>
        <v>1552380364425925</v>
      </c>
      <c r="C4682" t="s">
        <v>40</v>
      </c>
      <c r="D4682">
        <v>4.7094500000000004</v>
      </c>
      <c r="E4682">
        <v>0.45446579999999898</v>
      </c>
      <c r="F4682" t="s">
        <v>80</v>
      </c>
      <c r="G4682">
        <v>-366.90410000000003</v>
      </c>
      <c r="H4682">
        <v>9.1781799999999993E-3</v>
      </c>
      <c r="I4682">
        <v>9.6163260000000008</v>
      </c>
      <c r="J4682">
        <v>-413.5684</v>
      </c>
      <c r="K4682">
        <v>1.117944</v>
      </c>
      <c r="L4682">
        <v>27.325500000000002</v>
      </c>
      <c r="M4682">
        <v>0.72361370000000003</v>
      </c>
      <c r="N4682">
        <v>0</v>
      </c>
      <c r="O4682">
        <v>-0.69004790000000005</v>
      </c>
      <c r="P4682">
        <v>0.87353099999999995</v>
      </c>
      <c r="Q4682">
        <v>0.137755399999999</v>
      </c>
      <c r="R4682">
        <v>-0.46686919999999998</v>
      </c>
      <c r="S4682">
        <v>2.8641969999999999</v>
      </c>
      <c r="T4682">
        <v>-6.7877530000000005E-2</v>
      </c>
      <c r="U4682">
        <v>-1.090759</v>
      </c>
      <c r="V4682">
        <v>-0.26825510000000002</v>
      </c>
      <c r="W4682">
        <v>0.145926</v>
      </c>
      <c r="X4682">
        <v>0.95223150000000001</v>
      </c>
      <c r="Y4682">
        <v>-0.38716</v>
      </c>
      <c r="Z4682">
        <v>1.850974E-2</v>
      </c>
      <c r="AA4682">
        <v>0.9218267</v>
      </c>
      <c r="AB4682">
        <v>28</v>
      </c>
      <c r="AC4682">
        <v>46.664299999999898</v>
      </c>
      <c r="AD4682">
        <v>-1.1087658199999999</v>
      </c>
      <c r="AE4682">
        <v>-17.709174000000001</v>
      </c>
      <c r="AF4682">
        <v>-19.378543012019598</v>
      </c>
      <c r="AG4682">
        <v>-1.1087658199999999</v>
      </c>
      <c r="AH4682">
        <v>45.969412705870901</v>
      </c>
      <c r="AI4682">
        <v>91.273219844175699</v>
      </c>
      <c r="AJ4682">
        <v>112.85800073381399</v>
      </c>
      <c r="AK4682">
        <v>49.8993406312647</v>
      </c>
      <c r="AL4682">
        <v>81.609094640380803</v>
      </c>
      <c r="AM4682">
        <v>105.733168468225</v>
      </c>
      <c r="AN4682">
        <v>1.00000001287212</v>
      </c>
    </row>
    <row r="4683" spans="1:40" x14ac:dyDescent="0.25">
      <c r="A4683" t="str">
        <f>"20190312164604454"</f>
        <v>20190312164604454</v>
      </c>
      <c r="B4683" t="str">
        <f>"1552380364446422"</f>
        <v>1552380364446422</v>
      </c>
      <c r="C4683" t="s">
        <v>40</v>
      </c>
      <c r="D4683">
        <v>4.9638790000000004</v>
      </c>
      <c r="E4683">
        <v>0.4806513</v>
      </c>
      <c r="F4683" t="s">
        <v>80</v>
      </c>
      <c r="G4683">
        <v>-366.85149999999999</v>
      </c>
      <c r="H4683" s="1">
        <v>-3.8337040000000004E-6</v>
      </c>
      <c r="I4683">
        <v>9.7537160000000007</v>
      </c>
      <c r="J4683">
        <v>-413.41539999999998</v>
      </c>
      <c r="K4683">
        <v>1.1179250000000001</v>
      </c>
      <c r="L4683">
        <v>27.191800000000001</v>
      </c>
      <c r="M4683">
        <v>0.72965380000000002</v>
      </c>
      <c r="N4683">
        <v>0</v>
      </c>
      <c r="O4683">
        <v>-0.68365819999999999</v>
      </c>
      <c r="P4683">
        <v>0.8764575</v>
      </c>
      <c r="Q4683">
        <v>0.137788299999999</v>
      </c>
      <c r="R4683">
        <v>-0.46134229999999998</v>
      </c>
      <c r="S4683">
        <v>2.8685299999999998</v>
      </c>
      <c r="T4683">
        <v>-6.8644640000000007E-2</v>
      </c>
      <c r="U4683">
        <v>-1.0789489999999999</v>
      </c>
      <c r="V4683">
        <v>-0.26588129999999999</v>
      </c>
      <c r="W4683">
        <v>0.14602979999999999</v>
      </c>
      <c r="X4683">
        <v>0.95288119999999998</v>
      </c>
      <c r="Y4683">
        <v>-0.38282899999999997</v>
      </c>
      <c r="Z4683">
        <v>1.8563900000000001E-2</v>
      </c>
      <c r="AA4683">
        <v>0.92363269999999997</v>
      </c>
      <c r="AB4683">
        <v>28</v>
      </c>
      <c r="AC4683">
        <v>46.563899999999897</v>
      </c>
      <c r="AD4683">
        <v>-1.1179288337039901</v>
      </c>
      <c r="AE4683">
        <v>-17.438084</v>
      </c>
      <c r="AF4683">
        <v>-19.1024431634055</v>
      </c>
      <c r="AG4683">
        <v>-1.1179288337039901</v>
      </c>
      <c r="AH4683">
        <v>45.878999403495797</v>
      </c>
      <c r="AI4683">
        <v>91.288646791241504</v>
      </c>
      <c r="AJ4683">
        <v>112.605171719201</v>
      </c>
      <c r="AK4683">
        <v>49.709513032761997</v>
      </c>
      <c r="AL4683">
        <v>81.603083463615604</v>
      </c>
      <c r="AM4683">
        <v>105.590633374994</v>
      </c>
      <c r="AN4683">
        <v>1.0000000747455799</v>
      </c>
    </row>
    <row r="4684" spans="1:40" x14ac:dyDescent="0.25">
      <c r="A4684" t="str">
        <f>"20190312164604467"</f>
        <v>20190312164604467</v>
      </c>
      <c r="B4684" t="str">
        <f>"1552380364456182"</f>
        <v>1552380364456182</v>
      </c>
      <c r="C4684" t="s">
        <v>40</v>
      </c>
      <c r="D4684">
        <v>5.1746220000000003</v>
      </c>
      <c r="E4684">
        <v>0.48399219999999998</v>
      </c>
      <c r="F4684" t="s">
        <v>79</v>
      </c>
      <c r="G4684">
        <v>-375.58139999999997</v>
      </c>
      <c r="H4684" s="1">
        <v>-4.1771939999999998E-6</v>
      </c>
      <c r="I4684">
        <v>10.234909999999999</v>
      </c>
      <c r="J4684">
        <v>-413.28410000000002</v>
      </c>
      <c r="K4684">
        <v>1.117902</v>
      </c>
      <c r="L4684">
        <v>27.07892</v>
      </c>
      <c r="M4684">
        <v>0.73475049999999997</v>
      </c>
      <c r="N4684">
        <v>0</v>
      </c>
      <c r="O4684">
        <v>-0.67817740000000004</v>
      </c>
      <c r="P4684">
        <v>0.87726769999999998</v>
      </c>
      <c r="Q4684">
        <v>0.13730479999999901</v>
      </c>
      <c r="R4684">
        <v>-0.45994429999999997</v>
      </c>
      <c r="S4684">
        <v>2.7799990000000001</v>
      </c>
      <c r="T4684">
        <v>-8.2144140000000004E-2</v>
      </c>
      <c r="U4684">
        <v>-1.2459720000000001</v>
      </c>
      <c r="V4684">
        <v>-0.26028760000000001</v>
      </c>
      <c r="W4684">
        <v>0.1457019</v>
      </c>
      <c r="X4684">
        <v>0.95447439999999995</v>
      </c>
      <c r="Y4684">
        <v>-0.3180887</v>
      </c>
      <c r="Z4684">
        <v>2.151842E-2</v>
      </c>
      <c r="AA4684">
        <v>0.94781669999999996</v>
      </c>
      <c r="AB4684">
        <v>28</v>
      </c>
      <c r="AC4684">
        <v>37.7027</v>
      </c>
      <c r="AD4684">
        <v>-1.117906177194</v>
      </c>
      <c r="AE4684">
        <v>-16.844009999999901</v>
      </c>
      <c r="AF4684">
        <v>-13.184743921099701</v>
      </c>
      <c r="AG4684">
        <v>-1.117906177194</v>
      </c>
      <c r="AH4684">
        <v>39.100896466005103</v>
      </c>
      <c r="AI4684">
        <v>91.551852577905393</v>
      </c>
      <c r="AJ4684">
        <v>108.634003199867</v>
      </c>
      <c r="AK4684">
        <v>41.279138689309399</v>
      </c>
      <c r="AL4684">
        <v>81.622073479150103</v>
      </c>
      <c r="AM4684">
        <v>105.253800096915</v>
      </c>
      <c r="AN4684">
        <v>1.00000002931636</v>
      </c>
    </row>
    <row r="4685" spans="1:40" x14ac:dyDescent="0.25">
      <c r="A4685" t="str">
        <f>"20190312164604490"</f>
        <v>20190312164604490</v>
      </c>
      <c r="B4685" t="str">
        <f>"1552380364486439"</f>
        <v>1552380364486439</v>
      </c>
      <c r="C4685" t="s">
        <v>40</v>
      </c>
      <c r="D4685">
        <v>5.0554690000000004</v>
      </c>
      <c r="E4685">
        <v>0.48877100000000001</v>
      </c>
      <c r="F4685" t="s">
        <v>79</v>
      </c>
      <c r="G4685">
        <v>-375.0378</v>
      </c>
      <c r="H4685">
        <v>4.4169750000000001E-2</v>
      </c>
      <c r="I4685">
        <v>9.6163270000000001</v>
      </c>
      <c r="J4685">
        <v>-413.08249999999998</v>
      </c>
      <c r="K4685">
        <v>1.1178669999999999</v>
      </c>
      <c r="L4685">
        <v>26.909030000000001</v>
      </c>
      <c r="M4685">
        <v>0.74241840000000003</v>
      </c>
      <c r="N4685">
        <v>0</v>
      </c>
      <c r="O4685">
        <v>-0.66977500000000001</v>
      </c>
      <c r="P4685">
        <v>0.87981989999999999</v>
      </c>
      <c r="Q4685">
        <v>0.1372785</v>
      </c>
      <c r="R4685">
        <v>-0.4550517</v>
      </c>
      <c r="S4685">
        <v>2.769012</v>
      </c>
      <c r="T4685">
        <v>-7.7737689999999998E-2</v>
      </c>
      <c r="U4685">
        <v>-1.2642819999999999</v>
      </c>
      <c r="V4685">
        <v>-0.25471959999999999</v>
      </c>
      <c r="W4685">
        <v>0.14583489999999999</v>
      </c>
      <c r="X4685">
        <v>0.95595509999999995</v>
      </c>
      <c r="Y4685">
        <v>-0.30068630000000002</v>
      </c>
      <c r="Z4685">
        <v>2.0020670000000001E-2</v>
      </c>
      <c r="AA4685">
        <v>0.95351300000000005</v>
      </c>
      <c r="AB4685">
        <v>28</v>
      </c>
      <c r="AC4685">
        <v>38.044699999999899</v>
      </c>
      <c r="AD4685">
        <v>-1.0736972499999999</v>
      </c>
      <c r="AE4685">
        <v>-17.2927029999999</v>
      </c>
      <c r="AF4685">
        <v>-12.635995001884799</v>
      </c>
      <c r="AG4685">
        <v>-1.0736972499999999</v>
      </c>
      <c r="AH4685">
        <v>39.805339275255101</v>
      </c>
      <c r="AI4685">
        <v>91.472715863488602</v>
      </c>
      <c r="AJ4685">
        <v>107.611766278858</v>
      </c>
      <c r="AK4685">
        <v>41.776623012044503</v>
      </c>
      <c r="AL4685">
        <v>81.614370813333494</v>
      </c>
      <c r="AM4685">
        <v>104.92012679973701</v>
      </c>
      <c r="AN4685">
        <v>1.00000002294908</v>
      </c>
    </row>
    <row r="4686" spans="1:40" x14ac:dyDescent="0.25">
      <c r="A4686" t="str">
        <f>"20190312164604502"</f>
        <v>20190312164604502</v>
      </c>
      <c r="B4686" t="str">
        <f>"1552380364496401"</f>
        <v>1552380364496401</v>
      </c>
      <c r="C4686" t="s">
        <v>40</v>
      </c>
      <c r="D4686">
        <v>4.6554760000000002</v>
      </c>
      <c r="E4686">
        <v>0.48960939999999997</v>
      </c>
      <c r="F4686" t="s">
        <v>79</v>
      </c>
      <c r="G4686">
        <v>-374.82780000000002</v>
      </c>
      <c r="H4686">
        <v>7.9985219999999996E-2</v>
      </c>
      <c r="I4686">
        <v>9.1271620000000002</v>
      </c>
      <c r="J4686">
        <v>-412.95510000000002</v>
      </c>
      <c r="K4686">
        <v>1.1178380000000001</v>
      </c>
      <c r="L4686">
        <v>26.803989999999999</v>
      </c>
      <c r="M4686">
        <v>0.74715699999999996</v>
      </c>
      <c r="N4686">
        <v>0</v>
      </c>
      <c r="O4686">
        <v>-0.66448479999999999</v>
      </c>
      <c r="P4686">
        <v>0.88157109999999905</v>
      </c>
      <c r="Q4686">
        <v>0.13738610000000001</v>
      </c>
      <c r="R4686">
        <v>-0.45161669999999998</v>
      </c>
      <c r="S4686">
        <v>2.7583009999999999</v>
      </c>
      <c r="T4686">
        <v>-7.4834940000000003E-2</v>
      </c>
      <c r="U4686">
        <v>-1.282135</v>
      </c>
      <c r="V4686">
        <v>-0.25163210000000003</v>
      </c>
      <c r="W4686">
        <v>0.14603450000000001</v>
      </c>
      <c r="X4686">
        <v>0.95674199999999998</v>
      </c>
      <c r="Y4686">
        <v>-0.28742109999999998</v>
      </c>
      <c r="Z4686">
        <v>1.9045070000000001E-2</v>
      </c>
      <c r="AA4686">
        <v>0.95761499999999999</v>
      </c>
      <c r="AB4686">
        <v>28</v>
      </c>
      <c r="AC4686">
        <v>38.127299999999899</v>
      </c>
      <c r="AD4686">
        <v>-1.0378527799999999</v>
      </c>
      <c r="AE4686">
        <v>-17.676828</v>
      </c>
      <c r="AF4686">
        <v>-12.121565121701501</v>
      </c>
      <c r="AG4686">
        <v>-1.0378527799999999</v>
      </c>
      <c r="AH4686">
        <v>40.212891027697502</v>
      </c>
      <c r="AI4686">
        <v>91.415531769491906</v>
      </c>
      <c r="AJ4686">
        <v>106.77463505484199</v>
      </c>
      <c r="AK4686">
        <v>42.0129275842339</v>
      </c>
      <c r="AL4686">
        <v>81.602810807149694</v>
      </c>
      <c r="AM4686">
        <v>104.735603262704</v>
      </c>
      <c r="AN4686">
        <v>1.0000000217523199</v>
      </c>
    </row>
    <row r="4687" spans="1:40" x14ac:dyDescent="0.25">
      <c r="A4687" t="str">
        <f>"20190312164604515"</f>
        <v>20190312164604515</v>
      </c>
      <c r="B4687" t="str">
        <f>"1552380364506446"</f>
        <v>1552380364506446</v>
      </c>
      <c r="C4687" t="s">
        <v>40</v>
      </c>
      <c r="D4687">
        <v>4.9259339999999998</v>
      </c>
      <c r="E4687">
        <v>0.4901528</v>
      </c>
      <c r="F4687" t="s">
        <v>79</v>
      </c>
      <c r="G4687">
        <v>-375.33550000000002</v>
      </c>
      <c r="H4687">
        <v>7.998653E-2</v>
      </c>
      <c r="I4687">
        <v>9.4035119999999992</v>
      </c>
      <c r="J4687">
        <v>-412.83499999999998</v>
      </c>
      <c r="K4687">
        <v>1.1178079999999999</v>
      </c>
      <c r="L4687">
        <v>26.706119999999999</v>
      </c>
      <c r="M4687">
        <v>0.75155780000000005</v>
      </c>
      <c r="N4687">
        <v>0</v>
      </c>
      <c r="O4687">
        <v>-0.65950330000000001</v>
      </c>
      <c r="P4687">
        <v>0.88332330000000003</v>
      </c>
      <c r="Q4687">
        <v>0.136842299999999</v>
      </c>
      <c r="R4687">
        <v>-0.44834659999999898</v>
      </c>
      <c r="S4687">
        <v>2.760742</v>
      </c>
      <c r="T4687">
        <v>-7.6163529999999993E-2</v>
      </c>
      <c r="U4687">
        <v>-1.2769469999999901</v>
      </c>
      <c r="V4687">
        <v>-0.2488447</v>
      </c>
      <c r="W4687">
        <v>0.1455755</v>
      </c>
      <c r="X4687">
        <v>0.95754070000000002</v>
      </c>
      <c r="Y4687">
        <v>-0.28284969999999998</v>
      </c>
      <c r="Z4687">
        <v>1.9228479999999999E-2</v>
      </c>
      <c r="AA4687">
        <v>0.95897149999999998</v>
      </c>
      <c r="AB4687">
        <v>28</v>
      </c>
      <c r="AC4687">
        <v>37.499499999999898</v>
      </c>
      <c r="AD4687">
        <v>-1.0378214699999999</v>
      </c>
      <c r="AE4687">
        <v>-17.302607999999999</v>
      </c>
      <c r="AF4687">
        <v>-11.7210005641529</v>
      </c>
      <c r="AG4687">
        <v>-1.0378214699999999</v>
      </c>
      <c r="AH4687">
        <v>39.573460571480098</v>
      </c>
      <c r="AI4687">
        <v>91.4404237485587</v>
      </c>
      <c r="AJ4687">
        <v>106.498412717275</v>
      </c>
      <c r="AK4687">
        <v>41.285805178426102</v>
      </c>
      <c r="AL4687">
        <v>81.629393902305296</v>
      </c>
      <c r="AM4687">
        <v>104.56772110158199</v>
      </c>
      <c r="AN4687">
        <v>1.0000000515374099</v>
      </c>
    </row>
    <row r="4688" spans="1:40" x14ac:dyDescent="0.25">
      <c r="A4688" t="str">
        <f>"20190312164604526"</f>
        <v>20190312164604526</v>
      </c>
      <c r="B4688" t="str">
        <f>"1552380364516207"</f>
        <v>1552380364516207</v>
      </c>
      <c r="C4688" t="s">
        <v>40</v>
      </c>
      <c r="D4688">
        <v>4.782635</v>
      </c>
      <c r="E4688">
        <v>0.49037900000000001</v>
      </c>
      <c r="F4688" t="s">
        <v>79</v>
      </c>
      <c r="G4688">
        <v>-375.64510000000001</v>
      </c>
      <c r="H4688">
        <v>5.1210970000000001E-2</v>
      </c>
      <c r="I4688">
        <v>9.6151040000000005</v>
      </c>
      <c r="J4688">
        <v>-412.71539999999999</v>
      </c>
      <c r="K4688">
        <v>1.1177760000000001</v>
      </c>
      <c r="L4688">
        <v>26.609559999999998</v>
      </c>
      <c r="M4688">
        <v>0.75588750000000005</v>
      </c>
      <c r="N4688">
        <v>0</v>
      </c>
      <c r="O4688">
        <v>-0.65453640000000002</v>
      </c>
      <c r="P4688">
        <v>0.8848355</v>
      </c>
      <c r="Q4688">
        <v>0.13632230000000001</v>
      </c>
      <c r="R4688">
        <v>-0.44551380000000002</v>
      </c>
      <c r="S4688">
        <v>2.7638240000000001</v>
      </c>
      <c r="T4688">
        <v>-7.9265589999999997E-2</v>
      </c>
      <c r="U4688">
        <v>-1.2701420000000001</v>
      </c>
      <c r="V4688">
        <v>-0.2456256</v>
      </c>
      <c r="W4688">
        <v>0.14515140000000001</v>
      </c>
      <c r="X4688">
        <v>0.95843579999999995</v>
      </c>
      <c r="Y4688">
        <v>-0.27886369999999999</v>
      </c>
      <c r="Z4688">
        <v>1.9856769999999999E-2</v>
      </c>
      <c r="AA4688">
        <v>0.96012540000000002</v>
      </c>
      <c r="AB4688">
        <v>28</v>
      </c>
      <c r="AC4688">
        <v>37.070299999999897</v>
      </c>
      <c r="AD4688">
        <v>-1.06656503</v>
      </c>
      <c r="AE4688">
        <v>-16.994456</v>
      </c>
      <c r="AF4688">
        <v>-11.4113924871316</v>
      </c>
      <c r="AG4688">
        <v>-1.06656503</v>
      </c>
      <c r="AH4688">
        <v>39.121937690601101</v>
      </c>
      <c r="AI4688">
        <v>91.499198881861204</v>
      </c>
      <c r="AJ4688">
        <v>106.261321364986</v>
      </c>
      <c r="AK4688">
        <v>40.766204730460998</v>
      </c>
      <c r="AL4688">
        <v>81.653953674173593</v>
      </c>
      <c r="AM4688">
        <v>104.374261106779</v>
      </c>
      <c r="AN4688">
        <v>1.0000000235094699</v>
      </c>
    </row>
    <row r="4689" spans="1:40" x14ac:dyDescent="0.25">
      <c r="A4689" t="str">
        <f>"20190312164604540"</f>
        <v>20190312164604540</v>
      </c>
      <c r="B4689" t="str">
        <f>"1552380364536703"</f>
        <v>1552380364536703</v>
      </c>
      <c r="C4689" t="s">
        <v>40</v>
      </c>
      <c r="D4689">
        <v>4.6142339999999997</v>
      </c>
      <c r="E4689">
        <v>0.49083280000000001</v>
      </c>
      <c r="F4689" t="s">
        <v>79</v>
      </c>
      <c r="G4689">
        <v>-375.46710000000002</v>
      </c>
      <c r="H4689">
        <v>2.0415579999999999E-2</v>
      </c>
      <c r="I4689">
        <v>9.6163260000000008</v>
      </c>
      <c r="J4689">
        <v>-412.601</v>
      </c>
      <c r="K4689">
        <v>1.117734</v>
      </c>
      <c r="L4689">
        <v>26.519069999999999</v>
      </c>
      <c r="M4689">
        <v>0.75994209999999995</v>
      </c>
      <c r="N4689">
        <v>0</v>
      </c>
      <c r="O4689">
        <v>-0.64982459999999997</v>
      </c>
      <c r="P4689">
        <v>0.88628019999999996</v>
      </c>
      <c r="Q4689">
        <v>0.13547010000000001</v>
      </c>
      <c r="R4689">
        <v>-0.44289430000000002</v>
      </c>
      <c r="S4689">
        <v>2.7673649999999999</v>
      </c>
      <c r="T4689">
        <v>-8.1528429999999999E-2</v>
      </c>
      <c r="U4689">
        <v>-1.2625120000000001</v>
      </c>
      <c r="V4689">
        <v>-0.24254970000000001</v>
      </c>
      <c r="W4689">
        <v>0.14439360000000001</v>
      </c>
      <c r="X4689">
        <v>0.9593332</v>
      </c>
      <c r="Y4689">
        <v>-0.27553369999999999</v>
      </c>
      <c r="Z4689">
        <v>2.0276269999999999E-2</v>
      </c>
      <c r="AA4689">
        <v>0.96107759999999998</v>
      </c>
      <c r="AB4689">
        <v>28</v>
      </c>
      <c r="AC4689">
        <v>37.133899999999898</v>
      </c>
      <c r="AD4689">
        <v>-1.0973184199999999</v>
      </c>
      <c r="AE4689">
        <v>-16.902743999999998</v>
      </c>
      <c r="AF4689">
        <v>-11.278475657940399</v>
      </c>
      <c r="AG4689">
        <v>-1.0973184199999999</v>
      </c>
      <c r="AH4689">
        <v>39.1793270207014</v>
      </c>
      <c r="AI4689">
        <v>91.541720813285394</v>
      </c>
      <c r="AJ4689">
        <v>106.059418059037</v>
      </c>
      <c r="AK4689">
        <v>40.785141739078099</v>
      </c>
      <c r="AL4689">
        <v>81.697834747055595</v>
      </c>
      <c r="AM4689">
        <v>104.18883402660499</v>
      </c>
      <c r="AN4689">
        <v>1.0000000286566399</v>
      </c>
    </row>
    <row r="4690" spans="1:40" x14ac:dyDescent="0.25">
      <c r="A4690" t="str">
        <f>"20190312164604556"</f>
        <v>20190312164604556</v>
      </c>
      <c r="B4690" t="str">
        <f>"1552380364546462"</f>
        <v>1552380364546462</v>
      </c>
      <c r="C4690" t="s">
        <v>40</v>
      </c>
      <c r="D4690">
        <v>4.8150950000000003</v>
      </c>
      <c r="E4690">
        <v>0.4911316</v>
      </c>
      <c r="F4690" t="s">
        <v>79</v>
      </c>
      <c r="G4690">
        <v>-377.0471</v>
      </c>
      <c r="H4690" s="1">
        <v>-3.573747E-6</v>
      </c>
      <c r="I4690">
        <v>10.387370000000001</v>
      </c>
      <c r="J4690">
        <v>-412.44549999999998</v>
      </c>
      <c r="K4690">
        <v>1.1176740000000001</v>
      </c>
      <c r="L4690">
        <v>26.39734</v>
      </c>
      <c r="M4690">
        <v>0.76536419999999905</v>
      </c>
      <c r="N4690">
        <v>0</v>
      </c>
      <c r="O4690">
        <v>-0.64342980000000005</v>
      </c>
      <c r="P4690">
        <v>0.88730109999999995</v>
      </c>
      <c r="Q4690">
        <v>0.13420579999999999</v>
      </c>
      <c r="R4690">
        <v>-0.4412315</v>
      </c>
      <c r="S4690">
        <v>2.7701720000000001</v>
      </c>
      <c r="T4690">
        <v>-8.7088230000000003E-2</v>
      </c>
      <c r="U4690">
        <v>-1.2568969999999999</v>
      </c>
      <c r="V4690">
        <v>-0.2363652</v>
      </c>
      <c r="W4690">
        <v>0.14330970000000001</v>
      </c>
      <c r="X4690">
        <v>0.9610379</v>
      </c>
      <c r="Y4690">
        <v>-0.26941500000000002</v>
      </c>
      <c r="Z4690">
        <v>2.1424430000000001E-2</v>
      </c>
      <c r="AA4690">
        <v>0.96278580000000002</v>
      </c>
      <c r="AB4690">
        <v>28</v>
      </c>
      <c r="AC4690">
        <v>35.398399999999903</v>
      </c>
      <c r="AD4690">
        <v>-1.1176775737469999</v>
      </c>
      <c r="AE4690">
        <v>-16.009969999999999</v>
      </c>
      <c r="AF4690">
        <v>-10.5153599367125</v>
      </c>
      <c r="AG4690">
        <v>-1.1176775737469999</v>
      </c>
      <c r="AH4690">
        <v>37.367067844239997</v>
      </c>
      <c r="AI4690">
        <v>91.649230008789203</v>
      </c>
      <c r="AJ4690">
        <v>105.71698131135901</v>
      </c>
      <c r="AK4690">
        <v>38.834517597538202</v>
      </c>
      <c r="AL4690">
        <v>81.760590206573198</v>
      </c>
      <c r="AM4690">
        <v>103.81752172374</v>
      </c>
      <c r="AN4690">
        <v>1.0000000115607699</v>
      </c>
    </row>
    <row r="4691" spans="1:40" x14ac:dyDescent="0.25">
      <c r="A4691" t="str">
        <f>"20190312164604566"</f>
        <v>20190312164604566</v>
      </c>
      <c r="B4691" t="str">
        <f>"1552380364556223"</f>
        <v>1552380364556223</v>
      </c>
      <c r="C4691" t="s">
        <v>40</v>
      </c>
      <c r="D4691">
        <v>4.7161179999999998</v>
      </c>
      <c r="E4691">
        <v>0.49115429999999999</v>
      </c>
      <c r="F4691" t="s">
        <v>79</v>
      </c>
      <c r="G4691">
        <v>-379.00360000000001</v>
      </c>
      <c r="H4691" s="1">
        <v>-2.5859760000000001E-6</v>
      </c>
      <c r="I4691">
        <v>11.276009999999999</v>
      </c>
      <c r="J4691">
        <v>-412.33699999999999</v>
      </c>
      <c r="K4691">
        <v>1.117631</v>
      </c>
      <c r="L4691">
        <v>26.31335</v>
      </c>
      <c r="M4691">
        <v>0.76908189999999998</v>
      </c>
      <c r="N4691">
        <v>0</v>
      </c>
      <c r="O4691">
        <v>-0.63898149999999998</v>
      </c>
      <c r="P4691">
        <v>0.88854449999999996</v>
      </c>
      <c r="Q4691">
        <v>0.13350870000000001</v>
      </c>
      <c r="R4691">
        <v>-0.43893549999999998</v>
      </c>
      <c r="S4691">
        <v>2.77182</v>
      </c>
      <c r="T4691">
        <v>-9.2638250000000005E-2</v>
      </c>
      <c r="U4691">
        <v>-1.2533259999999999</v>
      </c>
      <c r="V4691">
        <v>-0.23330899999999999</v>
      </c>
      <c r="W4691">
        <v>0.14270749999999999</v>
      </c>
      <c r="X4691">
        <v>0.96187389999999995</v>
      </c>
      <c r="Y4691">
        <v>-0.26503500000000002</v>
      </c>
      <c r="Z4691">
        <v>2.261467E-2</v>
      </c>
      <c r="AA4691">
        <v>0.96397359999999999</v>
      </c>
      <c r="AB4691">
        <v>28</v>
      </c>
      <c r="AC4691">
        <v>33.333399999999898</v>
      </c>
      <c r="AD4691">
        <v>-1.117633585976</v>
      </c>
      <c r="AE4691">
        <v>-15.03734</v>
      </c>
      <c r="AF4691">
        <v>-9.7264444089756594</v>
      </c>
      <c r="AG4691">
        <v>-1.117633585976</v>
      </c>
      <c r="AH4691">
        <v>35.215603293401301</v>
      </c>
      <c r="AI4691">
        <v>91.7522171257704</v>
      </c>
      <c r="AJ4691">
        <v>105.43999347364</v>
      </c>
      <c r="AK4691">
        <v>36.551218050724501</v>
      </c>
      <c r="AL4691">
        <v>81.795451626692795</v>
      </c>
      <c r="AM4691">
        <v>103.63416494917</v>
      </c>
      <c r="AN4691">
        <v>0.99999995976922895</v>
      </c>
    </row>
    <row r="4692" spans="1:40" x14ac:dyDescent="0.25">
      <c r="A4692" t="str">
        <f>"20190312164604578"</f>
        <v>20190312164604578</v>
      </c>
      <c r="B4692" t="str">
        <f>"1552380364565982"</f>
        <v>1552380364565982</v>
      </c>
      <c r="C4692" t="s">
        <v>40</v>
      </c>
      <c r="D4692">
        <v>4.7463110000000004</v>
      </c>
      <c r="E4692">
        <v>0.49107469999999998</v>
      </c>
      <c r="F4692" t="s">
        <v>81</v>
      </c>
      <c r="G4692">
        <v>-381.47140000000002</v>
      </c>
      <c r="H4692" s="1">
        <v>-5.3007410000000004E-6</v>
      </c>
      <c r="I4692">
        <v>12.463620000000001</v>
      </c>
      <c r="J4692">
        <v>-412.22800000000001</v>
      </c>
      <c r="K4692">
        <v>1.1175790000000001</v>
      </c>
      <c r="L4692">
        <v>26.230530000000002</v>
      </c>
      <c r="M4692">
        <v>0.77273630000000004</v>
      </c>
      <c r="N4692">
        <v>0</v>
      </c>
      <c r="O4692">
        <v>-0.634557699999999</v>
      </c>
      <c r="P4692">
        <v>0.88972519999999999</v>
      </c>
      <c r="Q4692">
        <v>0.13283349999999999</v>
      </c>
      <c r="R4692">
        <v>-0.4367431</v>
      </c>
      <c r="S4692">
        <v>2.7760310000000001</v>
      </c>
      <c r="T4692">
        <v>-0.10051939999999999</v>
      </c>
      <c r="U4692">
        <v>-1.245636</v>
      </c>
      <c r="V4692">
        <v>-0.23018630000000001</v>
      </c>
      <c r="W4692">
        <v>0.142129799999999</v>
      </c>
      <c r="X4692">
        <v>0.96271150000000005</v>
      </c>
      <c r="Y4692">
        <v>-0.26221080000000002</v>
      </c>
      <c r="Z4692">
        <v>2.436396E-2</v>
      </c>
      <c r="AA4692">
        <v>0.96470299999999998</v>
      </c>
      <c r="AB4692">
        <v>28</v>
      </c>
      <c r="AC4692">
        <v>30.756599999999899</v>
      </c>
      <c r="AD4692">
        <v>-1.117584300741</v>
      </c>
      <c r="AE4692">
        <v>-13.7669099999999</v>
      </c>
      <c r="AF4692">
        <v>-8.8698450429640108</v>
      </c>
      <c r="AG4692">
        <v>-1.117584300741</v>
      </c>
      <c r="AH4692">
        <v>32.4704208405198</v>
      </c>
      <c r="AI4692">
        <v>91.901638688773403</v>
      </c>
      <c r="AJ4692">
        <v>105.27856241353901</v>
      </c>
      <c r="AK4692">
        <v>33.678648656321101</v>
      </c>
      <c r="AL4692">
        <v>81.828892793332102</v>
      </c>
      <c r="AM4692">
        <v>103.447077064479</v>
      </c>
      <c r="AN4692">
        <v>1.00000002249398</v>
      </c>
    </row>
    <row r="4693" spans="1:40" x14ac:dyDescent="0.25">
      <c r="A4693" t="str">
        <f>"20190312164604589"</f>
        <v>20190312164604589</v>
      </c>
      <c r="B4693" t="str">
        <f>"1552380364586479"</f>
        <v>1552380364586479</v>
      </c>
      <c r="C4693" t="s">
        <v>40</v>
      </c>
      <c r="D4693">
        <v>4.7952640000000004</v>
      </c>
      <c r="E4693">
        <v>0.49134549999999999</v>
      </c>
      <c r="F4693" t="s">
        <v>81</v>
      </c>
      <c r="G4693">
        <v>-383.29259999999999</v>
      </c>
      <c r="H4693" s="1">
        <v>-4.2831910000000003E-6</v>
      </c>
      <c r="I4693">
        <v>13.34665</v>
      </c>
      <c r="J4693">
        <v>-412.12130000000002</v>
      </c>
      <c r="K4693">
        <v>1.1175280000000001</v>
      </c>
      <c r="L4693">
        <v>26.149750000000001</v>
      </c>
      <c r="M4693">
        <v>0.77627609999999903</v>
      </c>
      <c r="N4693">
        <v>0</v>
      </c>
      <c r="O4693">
        <v>-0.63022250000000002</v>
      </c>
      <c r="P4693">
        <v>0.89072039999999997</v>
      </c>
      <c r="Q4693">
        <v>0.13211319999999999</v>
      </c>
      <c r="R4693">
        <v>-0.43492950000000002</v>
      </c>
      <c r="S4693">
        <v>2.7801819999999999</v>
      </c>
      <c r="T4693">
        <v>-0.1073802</v>
      </c>
      <c r="U4693">
        <v>-1.2379150000000001</v>
      </c>
      <c r="V4693">
        <v>-0.2267864</v>
      </c>
      <c r="W4693">
        <v>0.14151340000000001</v>
      </c>
      <c r="X4693">
        <v>0.96360880000000004</v>
      </c>
      <c r="Y4693">
        <v>-0.25952510000000001</v>
      </c>
      <c r="Z4693">
        <v>2.5845139999999999E-2</v>
      </c>
      <c r="AA4693">
        <v>0.96539039999999998</v>
      </c>
      <c r="AB4693">
        <v>28</v>
      </c>
      <c r="AC4693">
        <v>28.828700000000001</v>
      </c>
      <c r="AD4693">
        <v>-1.117532283191</v>
      </c>
      <c r="AE4693">
        <v>-12.803100000000001</v>
      </c>
      <c r="AF4693">
        <v>-8.2203221278171803</v>
      </c>
      <c r="AG4693">
        <v>-1.117532283191</v>
      </c>
      <c r="AH4693">
        <v>30.412934013202701</v>
      </c>
      <c r="AI4693">
        <v>92.031566135855201</v>
      </c>
      <c r="AJ4693">
        <v>105.125078677128</v>
      </c>
      <c r="AK4693">
        <v>31.5241039457187</v>
      </c>
      <c r="AL4693">
        <v>81.864570484970599</v>
      </c>
      <c r="AM4693">
        <v>103.24361395773199</v>
      </c>
      <c r="AN4693">
        <v>1.0000000165209799</v>
      </c>
    </row>
    <row r="4694" spans="1:40" x14ac:dyDescent="0.25">
      <c r="A4694" t="str">
        <f>"20190312164604601"</f>
        <v>20190312164604601</v>
      </c>
      <c r="B4694" t="str">
        <f>"1552380364596239"</f>
        <v>1552380364596239</v>
      </c>
      <c r="C4694" t="s">
        <v>40</v>
      </c>
      <c r="D4694">
        <v>4.5875300000000001</v>
      </c>
      <c r="E4694">
        <v>0.49143039999999999</v>
      </c>
      <c r="F4694" t="s">
        <v>81</v>
      </c>
      <c r="G4694">
        <v>-386.34809999999999</v>
      </c>
      <c r="H4694" s="1">
        <v>-2.7032740000000001E-6</v>
      </c>
      <c r="I4694">
        <v>14.72885</v>
      </c>
      <c r="J4694">
        <v>-412.00450000000001</v>
      </c>
      <c r="K4694">
        <v>1.1174630000000001</v>
      </c>
      <c r="L4694">
        <v>26.06296</v>
      </c>
      <c r="M4694">
        <v>0.78005609999999903</v>
      </c>
      <c r="N4694">
        <v>0</v>
      </c>
      <c r="O4694">
        <v>-0.62553800000000004</v>
      </c>
      <c r="P4694">
        <v>0.89195069999999999</v>
      </c>
      <c r="Q4694">
        <v>0.13151350000000001</v>
      </c>
      <c r="R4694">
        <v>-0.4325832</v>
      </c>
      <c r="S4694">
        <v>2.7836609999999999</v>
      </c>
      <c r="T4694">
        <v>-0.1206996</v>
      </c>
      <c r="U4694">
        <v>-1.2335210000000001</v>
      </c>
      <c r="V4694">
        <v>-0.2235356</v>
      </c>
      <c r="W4694">
        <v>0.1410187</v>
      </c>
      <c r="X4694">
        <v>0.96444059999999998</v>
      </c>
      <c r="Y4694">
        <v>-0.2553127</v>
      </c>
      <c r="Z4694">
        <v>2.8800249999999999E-2</v>
      </c>
      <c r="AA4694">
        <v>0.96642950000000005</v>
      </c>
      <c r="AB4694">
        <v>28</v>
      </c>
      <c r="AC4694">
        <v>25.656400000000001</v>
      </c>
      <c r="AD4694">
        <v>-1.1174657032740001</v>
      </c>
      <c r="AE4694">
        <v>-11.334110000000001</v>
      </c>
      <c r="AF4694">
        <v>-7.19716147860525</v>
      </c>
      <c r="AG4694">
        <v>-1.1174657032740001</v>
      </c>
      <c r="AH4694">
        <v>27.0633008256324</v>
      </c>
      <c r="AI4694">
        <v>92.285110164434201</v>
      </c>
      <c r="AJ4694">
        <v>104.892435075704</v>
      </c>
      <c r="AK4694">
        <v>28.026239750023301</v>
      </c>
      <c r="AL4694">
        <v>81.893202142137795</v>
      </c>
      <c r="AM4694">
        <v>103.049451542066</v>
      </c>
      <c r="AN4694">
        <v>1.0000000545726999</v>
      </c>
    </row>
    <row r="4695" spans="1:40" x14ac:dyDescent="0.25">
      <c r="A4695" t="str">
        <f>"20190312164604613"</f>
        <v>20190312164604613</v>
      </c>
      <c r="B4695" t="str">
        <f>"1552380364605999"</f>
        <v>1552380364605999</v>
      </c>
      <c r="C4695" t="s">
        <v>40</v>
      </c>
      <c r="D4695">
        <v>4.6189650000000002</v>
      </c>
      <c r="E4695">
        <v>0.49148009999999998</v>
      </c>
      <c r="F4695" t="s">
        <v>81</v>
      </c>
      <c r="G4695">
        <v>-386.50630000000001</v>
      </c>
      <c r="H4695" s="1">
        <v>-2.6123310000000002E-6</v>
      </c>
      <c r="I4695">
        <v>14.842280000000001</v>
      </c>
      <c r="J4695">
        <v>-411.88400000000001</v>
      </c>
      <c r="K4695">
        <v>1.1173930000000001</v>
      </c>
      <c r="L4695">
        <v>25.97418</v>
      </c>
      <c r="M4695">
        <v>0.78389560000000003</v>
      </c>
      <c r="N4695">
        <v>0</v>
      </c>
      <c r="O4695">
        <v>-0.62071989999999999</v>
      </c>
      <c r="P4695">
        <v>0.89320689999999903</v>
      </c>
      <c r="Q4695">
        <v>0.1304215</v>
      </c>
      <c r="R4695">
        <v>-0.43031530000000001</v>
      </c>
      <c r="S4695">
        <v>2.7866520000000001</v>
      </c>
      <c r="T4695">
        <v>-0.1221259</v>
      </c>
      <c r="U4695">
        <v>-1.2262879999999901</v>
      </c>
      <c r="V4695">
        <v>-0.2200888</v>
      </c>
      <c r="W4695">
        <v>0.1400372</v>
      </c>
      <c r="X4695">
        <v>0.96537580000000001</v>
      </c>
      <c r="Y4695">
        <v>-0.25182909999999997</v>
      </c>
      <c r="Z4695">
        <v>2.8911289999999999E-2</v>
      </c>
      <c r="AA4695">
        <v>0.96733979999999997</v>
      </c>
      <c r="AB4695">
        <v>28</v>
      </c>
      <c r="AC4695">
        <v>25.377700000000001</v>
      </c>
      <c r="AD4695">
        <v>-1.117395612331</v>
      </c>
      <c r="AE4695">
        <v>-11.1319</v>
      </c>
      <c r="AF4695">
        <v>-7.0155433553338602</v>
      </c>
      <c r="AG4695">
        <v>-1.117395612331</v>
      </c>
      <c r="AH4695">
        <v>26.762622017551202</v>
      </c>
      <c r="AI4695">
        <v>92.312776003938794</v>
      </c>
      <c r="AJ4695">
        <v>104.688984590205</v>
      </c>
      <c r="AK4695">
        <v>27.689426840932299</v>
      </c>
      <c r="AL4695">
        <v>81.950000870560601</v>
      </c>
      <c r="AM4695">
        <v>102.842930373336</v>
      </c>
      <c r="AN4695">
        <v>0.99999996624745902</v>
      </c>
    </row>
    <row r="4696" spans="1:40" x14ac:dyDescent="0.25">
      <c r="A4696" t="str">
        <f>"20190312164604624"</f>
        <v>20190312164604624</v>
      </c>
      <c r="B4696" t="str">
        <f>"1552380364616735"</f>
        <v>1552380364616735</v>
      </c>
      <c r="C4696" t="s">
        <v>40</v>
      </c>
      <c r="D4696">
        <v>4.7527480000000004</v>
      </c>
      <c r="E4696">
        <v>0.4915718</v>
      </c>
      <c r="F4696" t="s">
        <v>81</v>
      </c>
      <c r="G4696">
        <v>-386.93490000000003</v>
      </c>
      <c r="H4696" s="1">
        <v>-2.3866039999999998E-6</v>
      </c>
      <c r="I4696">
        <v>15.071999999999999</v>
      </c>
      <c r="J4696">
        <v>-411.77159999999998</v>
      </c>
      <c r="K4696">
        <v>1.1173230000000001</v>
      </c>
      <c r="L4696">
        <v>25.892430000000001</v>
      </c>
      <c r="M4696">
        <v>0.78740269999999901</v>
      </c>
      <c r="N4696">
        <v>0</v>
      </c>
      <c r="O4696">
        <v>-0.61626530000000002</v>
      </c>
      <c r="P4696">
        <v>0.89427190000000001</v>
      </c>
      <c r="Q4696">
        <v>0.129438</v>
      </c>
      <c r="R4696">
        <v>-0.42839709999999998</v>
      </c>
      <c r="S4696">
        <v>2.7896730000000001</v>
      </c>
      <c r="T4696">
        <v>-0.1249412</v>
      </c>
      <c r="U4696">
        <v>-1.219025</v>
      </c>
      <c r="V4696">
        <v>-0.21672520000000001</v>
      </c>
      <c r="W4696">
        <v>0.13915939999999999</v>
      </c>
      <c r="X4696">
        <v>0.96626339999999999</v>
      </c>
      <c r="Y4696">
        <v>-0.24881690000000001</v>
      </c>
      <c r="Z4696">
        <v>2.9363179999999999E-2</v>
      </c>
      <c r="AA4696">
        <v>0.9681054</v>
      </c>
      <c r="AB4696">
        <v>28</v>
      </c>
      <c r="AC4696">
        <v>24.836699999999901</v>
      </c>
      <c r="AD4696">
        <v>-1.117325386604</v>
      </c>
      <c r="AE4696">
        <v>-10.820429999999901</v>
      </c>
      <c r="AF4696">
        <v>-6.7751626728624599</v>
      </c>
      <c r="AG4696">
        <v>-1.117325386604</v>
      </c>
      <c r="AH4696">
        <v>26.183011040194899</v>
      </c>
      <c r="AI4696">
        <v>92.365713892779198</v>
      </c>
      <c r="AJ4696">
        <v>104.507743864875</v>
      </c>
      <c r="AK4696">
        <v>27.0684560400897</v>
      </c>
      <c r="AL4696">
        <v>82.000793160357404</v>
      </c>
      <c r="AM4696">
        <v>102.641769693287</v>
      </c>
      <c r="AN4696">
        <v>1.00000005455147</v>
      </c>
    </row>
    <row r="4697" spans="1:40" x14ac:dyDescent="0.25">
      <c r="A4697" t="str">
        <f>"20190312164604636"</f>
        <v>20190312164604636</v>
      </c>
      <c r="B4697" t="str">
        <f>"1552380364626494"</f>
        <v>1552380364626494</v>
      </c>
      <c r="C4697" t="s">
        <v>40</v>
      </c>
      <c r="D4697">
        <v>4.5862119999999997</v>
      </c>
      <c r="E4697">
        <v>0.4915718</v>
      </c>
      <c r="F4697" t="s">
        <v>81</v>
      </c>
      <c r="G4697">
        <v>-387.3655</v>
      </c>
      <c r="H4697" s="1">
        <v>-2.1629040000000002E-6</v>
      </c>
      <c r="I4697">
        <v>15.291309999999999</v>
      </c>
      <c r="J4697">
        <v>-411.6653</v>
      </c>
      <c r="K4697">
        <v>1.117254</v>
      </c>
      <c r="L4697">
        <v>25.81598</v>
      </c>
      <c r="M4697">
        <v>0.79065699999999906</v>
      </c>
      <c r="N4697">
        <v>0</v>
      </c>
      <c r="O4697">
        <v>-0.61208490000000004</v>
      </c>
      <c r="P4697">
        <v>0.89525030000000005</v>
      </c>
      <c r="Q4697">
        <v>0.12794030000000001</v>
      </c>
      <c r="R4697">
        <v>-0.42680050000000003</v>
      </c>
      <c r="S4697">
        <v>2.7922060000000002</v>
      </c>
      <c r="T4697">
        <v>-0.12782850000000001</v>
      </c>
      <c r="U4697">
        <v>-1.2128300000000001</v>
      </c>
      <c r="V4697">
        <v>-0.21340100000000001</v>
      </c>
      <c r="W4697">
        <v>0.13776669999999999</v>
      </c>
      <c r="X4697">
        <v>0.96720240000000002</v>
      </c>
      <c r="Y4697">
        <v>-0.24578800000000001</v>
      </c>
      <c r="Z4697">
        <v>2.9831630000000001E-2</v>
      </c>
      <c r="AA4697">
        <v>0.96886439999999996</v>
      </c>
      <c r="AB4697">
        <v>28</v>
      </c>
      <c r="AC4697">
        <v>24.299800000000001</v>
      </c>
      <c r="AD4697">
        <v>-1.1172561629040001</v>
      </c>
      <c r="AE4697">
        <v>-10.52467</v>
      </c>
      <c r="AF4697">
        <v>-6.5411927918388297</v>
      </c>
      <c r="AG4697">
        <v>-1.1172561629040001</v>
      </c>
      <c r="AH4697">
        <v>25.6119480511624</v>
      </c>
      <c r="AI4697">
        <v>92.420211107327802</v>
      </c>
      <c r="AJ4697">
        <v>104.32686145780499</v>
      </c>
      <c r="AK4697">
        <v>26.457651964015898</v>
      </c>
      <c r="AL4697">
        <v>82.081365191300506</v>
      </c>
      <c r="AM4697">
        <v>102.44224692344</v>
      </c>
      <c r="AN4697">
        <v>1.0000000664978199</v>
      </c>
    </row>
    <row r="4698" spans="1:40" x14ac:dyDescent="0.25">
      <c r="A4698" t="str">
        <f>"20190312164604647"</f>
        <v>20190312164604647</v>
      </c>
      <c r="B4698" t="str">
        <f>"1552380364636255"</f>
        <v>1552380364636255</v>
      </c>
      <c r="C4698" t="s">
        <v>40</v>
      </c>
      <c r="D4698">
        <v>4.5643190000000002</v>
      </c>
      <c r="E4698">
        <v>0.49053970000000002</v>
      </c>
      <c r="F4698" t="s">
        <v>81</v>
      </c>
      <c r="G4698">
        <v>-388.06450000000001</v>
      </c>
      <c r="H4698" s="1">
        <v>-1.806348E-6</v>
      </c>
      <c r="I4698">
        <v>15.622479999999999</v>
      </c>
      <c r="J4698">
        <v>-411.53750000000002</v>
      </c>
      <c r="K4698">
        <v>1.1171660000000001</v>
      </c>
      <c r="L4698">
        <v>25.724879999999999</v>
      </c>
      <c r="M4698">
        <v>0.79450229999999999</v>
      </c>
      <c r="N4698">
        <v>0</v>
      </c>
      <c r="O4698">
        <v>-0.6070856</v>
      </c>
      <c r="P4698">
        <v>0.89670030000000001</v>
      </c>
      <c r="Q4698">
        <v>0.12654019999999999</v>
      </c>
      <c r="R4698">
        <v>-0.42416589999999998</v>
      </c>
      <c r="S4698">
        <v>2.7944640000000001</v>
      </c>
      <c r="T4698">
        <v>-0.13228960000000001</v>
      </c>
      <c r="U4698">
        <v>-1.2069700000000001</v>
      </c>
      <c r="V4698">
        <v>-0.2102011</v>
      </c>
      <c r="W4698">
        <v>0.1364726</v>
      </c>
      <c r="X4698">
        <v>0.96808609999999995</v>
      </c>
      <c r="Y4698">
        <v>-0.2416297</v>
      </c>
      <c r="Z4698">
        <v>3.0602730000000002E-2</v>
      </c>
      <c r="AA4698">
        <v>0.96988580000000002</v>
      </c>
      <c r="AB4698">
        <v>28</v>
      </c>
      <c r="AC4698">
        <v>23.472999999999999</v>
      </c>
      <c r="AD4698">
        <v>-1.1171678063479999</v>
      </c>
      <c r="AE4698">
        <v>-10.102399999999999</v>
      </c>
      <c r="AF4698">
        <v>-6.2125305795045902</v>
      </c>
      <c r="AG4698">
        <v>-1.1171678063479999</v>
      </c>
      <c r="AH4698">
        <v>24.7377381403338</v>
      </c>
      <c r="AI4698">
        <v>92.507972664244207</v>
      </c>
      <c r="AJ4698">
        <v>104.09747324485799</v>
      </c>
      <c r="AK4698">
        <v>25.530360130803999</v>
      </c>
      <c r="AL4698">
        <v>82.156218046182005</v>
      </c>
      <c r="AM4698">
        <v>102.25050887156701</v>
      </c>
      <c r="AN4698">
        <v>0.99999998500258902</v>
      </c>
    </row>
    <row r="4699" spans="1:40" x14ac:dyDescent="0.25">
      <c r="A4699" t="str">
        <f>"20190312164604660"</f>
        <v>20190312164604660</v>
      </c>
      <c r="B4699" t="str">
        <f>"1552380364656750"</f>
        <v>1552380364656750</v>
      </c>
      <c r="C4699" t="s">
        <v>40</v>
      </c>
      <c r="D4699">
        <v>4.6656370000000003</v>
      </c>
      <c r="E4699">
        <v>0.48887629999999999</v>
      </c>
      <c r="F4699" t="s">
        <v>52</v>
      </c>
      <c r="G4699">
        <v>-401.53559999999999</v>
      </c>
      <c r="H4699" s="1">
        <v>-5.7682680000000003E-6</v>
      </c>
      <c r="I4699">
        <v>21.533819999999999</v>
      </c>
      <c r="J4699">
        <v>-411.41759999999999</v>
      </c>
      <c r="K4699">
        <v>1.117073</v>
      </c>
      <c r="L4699">
        <v>25.640930000000001</v>
      </c>
      <c r="M4699">
        <v>0.79799999999999904</v>
      </c>
      <c r="N4699">
        <v>0</v>
      </c>
      <c r="O4699">
        <v>-0.60248069999999998</v>
      </c>
      <c r="P4699">
        <v>0.89801070000000005</v>
      </c>
      <c r="Q4699">
        <v>0.1253957</v>
      </c>
      <c r="R4699">
        <v>-0.42172609999999999</v>
      </c>
      <c r="S4699">
        <v>2.8293759999999999</v>
      </c>
      <c r="T4699">
        <v>-0.31602799999999998</v>
      </c>
      <c r="U4699">
        <v>-1.1855770000000001</v>
      </c>
      <c r="V4699">
        <v>-0.20727400000000001</v>
      </c>
      <c r="W4699">
        <v>0.13542709999999999</v>
      </c>
      <c r="X4699">
        <v>0.96886380000000005</v>
      </c>
      <c r="Y4699">
        <v>-0.243422</v>
      </c>
      <c r="Z4699">
        <v>7.1989860000000003E-2</v>
      </c>
      <c r="AA4699">
        <v>0.96724520000000003</v>
      </c>
      <c r="AB4699">
        <v>28</v>
      </c>
      <c r="AC4699">
        <v>9.8819999999999997</v>
      </c>
      <c r="AD4699">
        <v>-1.1170787682679999</v>
      </c>
      <c r="AE4699">
        <v>-4.1071099999999898</v>
      </c>
      <c r="AF4699">
        <v>-2.6476757959416699</v>
      </c>
      <c r="AG4699">
        <v>-1.1170787682679999</v>
      </c>
      <c r="AH4699">
        <v>10.2497105334945</v>
      </c>
      <c r="AI4699">
        <v>96.023706484093097</v>
      </c>
      <c r="AJ4699">
        <v>104.48386318988</v>
      </c>
      <c r="AK4699">
        <v>10.6449339178483</v>
      </c>
      <c r="AL4699">
        <v>82.216682558232094</v>
      </c>
      <c r="AM4699">
        <v>102.075550396593</v>
      </c>
      <c r="AN4699">
        <v>1.00000003672042</v>
      </c>
    </row>
    <row r="4700" spans="1:40" x14ac:dyDescent="0.25">
      <c r="A4700" t="str">
        <f>"20190312164604674"</f>
        <v>20190312164604674</v>
      </c>
      <c r="B4700" t="str">
        <f>"1552380364666511"</f>
        <v>1552380364666511</v>
      </c>
      <c r="C4700" t="s">
        <v>40</v>
      </c>
      <c r="D4700">
        <v>4.5638639999999997</v>
      </c>
      <c r="E4700">
        <v>0.48887629999999999</v>
      </c>
      <c r="F4700" t="s">
        <v>42</v>
      </c>
      <c r="G4700">
        <v>-397.24430000000001</v>
      </c>
      <c r="H4700" s="1">
        <v>-1.326181E-6</v>
      </c>
      <c r="I4700">
        <v>19.778189999999999</v>
      </c>
      <c r="J4700">
        <v>-411.28359999999998</v>
      </c>
      <c r="K4700">
        <v>1.11697</v>
      </c>
      <c r="L4700">
        <v>25.547789999999999</v>
      </c>
      <c r="M4700">
        <v>0.80183709999999997</v>
      </c>
      <c r="N4700">
        <v>0</v>
      </c>
      <c r="O4700">
        <v>-0.59736480000000003</v>
      </c>
      <c r="P4700">
        <v>0.89953459999999996</v>
      </c>
      <c r="Q4700">
        <v>0.12472129999999999</v>
      </c>
      <c r="R4700">
        <v>-0.41866710000000001</v>
      </c>
      <c r="S4700">
        <v>2.8233030000000001</v>
      </c>
      <c r="T4700">
        <v>-0.2225193</v>
      </c>
      <c r="U4700">
        <v>-1.1678470000000001</v>
      </c>
      <c r="V4700">
        <v>-0.20437720000000001</v>
      </c>
      <c r="W4700">
        <v>0.13485349999999999</v>
      </c>
      <c r="X4700">
        <v>0.9695589</v>
      </c>
      <c r="Y4700">
        <v>-0.24360570000000001</v>
      </c>
      <c r="Z4700">
        <v>5.0648749999999999E-2</v>
      </c>
      <c r="AA4700">
        <v>0.96855100000000005</v>
      </c>
      <c r="AB4700">
        <v>28</v>
      </c>
      <c r="AC4700">
        <v>14.0392999999999</v>
      </c>
      <c r="AD4700">
        <v>-1.1169713261809999</v>
      </c>
      <c r="AE4700">
        <v>-5.7695999999999996</v>
      </c>
      <c r="AF4700">
        <v>-3.7404484820505202</v>
      </c>
      <c r="AG4700">
        <v>-1.1169713261809999</v>
      </c>
      <c r="AH4700">
        <v>14.626146014086199</v>
      </c>
      <c r="AI4700">
        <v>94.231433547001103</v>
      </c>
      <c r="AJ4700">
        <v>104.345200210353</v>
      </c>
      <c r="AK4700">
        <v>15.138121647541199</v>
      </c>
      <c r="AL4700">
        <v>82.249851279242606</v>
      </c>
      <c r="AM4700">
        <v>101.903343577518</v>
      </c>
      <c r="AN4700">
        <v>0.999999983455649</v>
      </c>
    </row>
    <row r="4701" spans="1:40" x14ac:dyDescent="0.25">
      <c r="A4701" t="str">
        <f>"20190312164604690"</f>
        <v>20190312164604690</v>
      </c>
      <c r="B4701" t="str">
        <f>"1552380364686031"</f>
        <v>1552380364686031</v>
      </c>
      <c r="C4701" t="s">
        <v>40</v>
      </c>
      <c r="D4701">
        <v>4.569407</v>
      </c>
      <c r="E4701">
        <v>0.49165029999999998</v>
      </c>
      <c r="F4701" t="s">
        <v>42</v>
      </c>
      <c r="G4701">
        <v>-397.21940000000001</v>
      </c>
      <c r="H4701" s="1">
        <v>-1.3405990000000001E-6</v>
      </c>
      <c r="I4701">
        <v>19.788139999999999</v>
      </c>
      <c r="J4701">
        <v>-411.11720000000003</v>
      </c>
      <c r="K4701">
        <v>1.1168290000000001</v>
      </c>
      <c r="L4701">
        <v>25.433810000000001</v>
      </c>
      <c r="M4701">
        <v>0.80646149999999905</v>
      </c>
      <c r="N4701">
        <v>0</v>
      </c>
      <c r="O4701">
        <v>-0.59110750000000001</v>
      </c>
      <c r="P4701">
        <v>0.90066550000000001</v>
      </c>
      <c r="Q4701">
        <v>0.1235026</v>
      </c>
      <c r="R4701">
        <v>-0.41659180000000001</v>
      </c>
      <c r="S4701">
        <v>2.8273320000000002</v>
      </c>
      <c r="T4701">
        <v>-0.22454550000000001</v>
      </c>
      <c r="U4701">
        <v>-1.157867</v>
      </c>
      <c r="V4701">
        <v>-0.19908709999999999</v>
      </c>
      <c r="W4701">
        <v>0.1337989</v>
      </c>
      <c r="X4701">
        <v>0.97080489999999997</v>
      </c>
      <c r="Y4701">
        <v>-0.23945739999999999</v>
      </c>
      <c r="Z4701">
        <v>5.0564379999999999E-2</v>
      </c>
      <c r="AA4701">
        <v>0.96958929999999999</v>
      </c>
      <c r="AB4701">
        <v>28</v>
      </c>
      <c r="AC4701">
        <v>13.8978</v>
      </c>
      <c r="AD4701">
        <v>-1.1168303405990001</v>
      </c>
      <c r="AE4701">
        <v>-5.64567</v>
      </c>
      <c r="AF4701">
        <v>-3.64227682913898</v>
      </c>
      <c r="AG4701">
        <v>-1.1168303405990001</v>
      </c>
      <c r="AH4701">
        <v>14.466589906528</v>
      </c>
      <c r="AI4701">
        <v>94.2814236041622</v>
      </c>
      <c r="AJ4701">
        <v>104.131739154722</v>
      </c>
      <c r="AK4701">
        <v>14.9598032752246</v>
      </c>
      <c r="AL4701">
        <v>82.310828057529804</v>
      </c>
      <c r="AM4701">
        <v>101.58920955360399</v>
      </c>
      <c r="AN4701">
        <v>0.999999986445814</v>
      </c>
    </row>
    <row r="4702" spans="1:40" x14ac:dyDescent="0.25">
      <c r="A4702" t="str">
        <f>"20190312164604702"</f>
        <v>20190312164604702</v>
      </c>
      <c r="B4702" t="str">
        <f>"1552380364696767"</f>
        <v>1552380364696767</v>
      </c>
      <c r="C4702" t="s">
        <v>40</v>
      </c>
      <c r="D4702">
        <v>4.5851369999999996</v>
      </c>
      <c r="E4702">
        <v>0.49165029999999998</v>
      </c>
      <c r="F4702" t="s">
        <v>81</v>
      </c>
      <c r="G4702">
        <v>-389.11</v>
      </c>
      <c r="H4702" s="1">
        <v>-1.243951E-6</v>
      </c>
      <c r="I4702">
        <v>16.227270000000001</v>
      </c>
      <c r="J4702">
        <v>-410.99369999999999</v>
      </c>
      <c r="K4702">
        <v>1.116724</v>
      </c>
      <c r="L4702">
        <v>25.350560000000002</v>
      </c>
      <c r="M4702">
        <v>0.80978319999999904</v>
      </c>
      <c r="N4702">
        <v>0</v>
      </c>
      <c r="O4702">
        <v>-0.58654899999999999</v>
      </c>
      <c r="P4702">
        <v>0.90194750000000001</v>
      </c>
      <c r="Q4702">
        <v>0.1229384</v>
      </c>
      <c r="R4702">
        <v>-0.41397679999999998</v>
      </c>
      <c r="S4702">
        <v>2.80722</v>
      </c>
      <c r="T4702">
        <v>-0.1424618</v>
      </c>
      <c r="U4702">
        <v>-1.174377</v>
      </c>
      <c r="V4702">
        <v>-0.1964224</v>
      </c>
      <c r="W4702">
        <v>0.13332629999999901</v>
      </c>
      <c r="X4702">
        <v>0.97141250000000001</v>
      </c>
      <c r="Y4702">
        <v>-0.2278338</v>
      </c>
      <c r="Z4702">
        <v>3.1818020000000002E-2</v>
      </c>
      <c r="AA4702">
        <v>0.97318009999999999</v>
      </c>
      <c r="AB4702">
        <v>28</v>
      </c>
      <c r="AC4702">
        <v>21.883699999999902</v>
      </c>
      <c r="AD4702">
        <v>-1.116725243951</v>
      </c>
      <c r="AE4702">
        <v>-9.1232899999999901</v>
      </c>
      <c r="AF4702">
        <v>-5.4364906902075898</v>
      </c>
      <c r="AG4702">
        <v>-1.116725243951</v>
      </c>
      <c r="AH4702">
        <v>23.023671294922899</v>
      </c>
      <c r="AI4702">
        <v>92.702653869413695</v>
      </c>
      <c r="AJ4702">
        <v>103.285682242768</v>
      </c>
      <c r="AK4702">
        <v>23.6831574371292</v>
      </c>
      <c r="AL4702">
        <v>82.338150590117294</v>
      </c>
      <c r="AM4702">
        <v>101.43124188505099</v>
      </c>
      <c r="AN4702">
        <v>0.99999995332484803</v>
      </c>
    </row>
    <row r="4703" spans="1:40" x14ac:dyDescent="0.25">
      <c r="A4703" t="str">
        <f>"20190312164604714"</f>
        <v>20190312164604714</v>
      </c>
      <c r="B4703" t="str">
        <f>"1552380364706526"</f>
        <v>1552380364706526</v>
      </c>
      <c r="C4703" t="s">
        <v>40</v>
      </c>
      <c r="D4703">
        <v>4.6948840000000001</v>
      </c>
      <c r="E4703">
        <v>0.49013889999999999</v>
      </c>
      <c r="F4703" t="s">
        <v>81</v>
      </c>
      <c r="G4703">
        <v>-389.22379999999998</v>
      </c>
      <c r="H4703" s="1">
        <v>-1.175891E-6</v>
      </c>
      <c r="I4703">
        <v>16.318819999999999</v>
      </c>
      <c r="J4703">
        <v>-410.87290000000002</v>
      </c>
      <c r="K4703">
        <v>1.116619</v>
      </c>
      <c r="L4703">
        <v>25.2699</v>
      </c>
      <c r="M4703">
        <v>0.81296259999999998</v>
      </c>
      <c r="N4703">
        <v>0</v>
      </c>
      <c r="O4703">
        <v>-0.58213499999999996</v>
      </c>
      <c r="P4703">
        <v>0.90310360000000001</v>
      </c>
      <c r="Q4703">
        <v>0.1222316</v>
      </c>
      <c r="R4703">
        <v>-0.41165940000000001</v>
      </c>
      <c r="S4703">
        <v>2.8106080000000002</v>
      </c>
      <c r="T4703">
        <v>-0.14417530000000001</v>
      </c>
      <c r="U4703">
        <v>-1.1660459999999999</v>
      </c>
      <c r="V4703">
        <v>-0.1936348</v>
      </c>
      <c r="W4703">
        <v>0.13271150000000001</v>
      </c>
      <c r="X4703">
        <v>0.97205620000000004</v>
      </c>
      <c r="Y4703">
        <v>-0.22539999999999999</v>
      </c>
      <c r="Z4703">
        <v>3.1960679999999998E-2</v>
      </c>
      <c r="AA4703">
        <v>0.97374190000000005</v>
      </c>
      <c r="AB4703">
        <v>28</v>
      </c>
      <c r="AC4703">
        <v>21.649100000000001</v>
      </c>
      <c r="AD4703">
        <v>-1.1166201758909999</v>
      </c>
      <c r="AE4703">
        <v>-8.9510799999999904</v>
      </c>
      <c r="AF4703">
        <v>-5.3142929591875703</v>
      </c>
      <c r="AG4703">
        <v>-1.1166201758909999</v>
      </c>
      <c r="AH4703">
        <v>22.7613366385585</v>
      </c>
      <c r="AI4703">
        <v>92.735107673536106</v>
      </c>
      <c r="AJ4703">
        <v>103.141934436615</v>
      </c>
      <c r="AK4703">
        <v>23.400149483434099</v>
      </c>
      <c r="AL4703">
        <v>82.373692363566505</v>
      </c>
      <c r="AM4703">
        <v>101.26592033763301</v>
      </c>
      <c r="AN4703">
        <v>1.0000000169808601</v>
      </c>
    </row>
    <row r="4704" spans="1:40" x14ac:dyDescent="0.25">
      <c r="A4704" t="str">
        <f>"20190312164604725"</f>
        <v>20190312164604725</v>
      </c>
      <c r="B4704" t="str">
        <f>"1552380364716287"</f>
        <v>1552380364716287</v>
      </c>
      <c r="C4704" t="s">
        <v>40</v>
      </c>
      <c r="D4704">
        <v>4.8974609999999998</v>
      </c>
      <c r="E4704">
        <v>0.4906837</v>
      </c>
      <c r="F4704" t="s">
        <v>42</v>
      </c>
      <c r="G4704">
        <v>-395.01920000000001</v>
      </c>
      <c r="H4704" s="1">
        <v>-2.4720830000000002E-6</v>
      </c>
      <c r="I4704">
        <v>18.8431</v>
      </c>
      <c r="J4704">
        <v>-410.75940000000003</v>
      </c>
      <c r="K4704">
        <v>1.116519</v>
      </c>
      <c r="L4704">
        <v>25.194790000000001</v>
      </c>
      <c r="M4704">
        <v>0.81588909999999903</v>
      </c>
      <c r="N4704">
        <v>0</v>
      </c>
      <c r="O4704">
        <v>-0.5780267</v>
      </c>
      <c r="P4704">
        <v>0.90407369999999998</v>
      </c>
      <c r="Q4704">
        <v>0.1215601</v>
      </c>
      <c r="R4704">
        <v>-0.40972409999999998</v>
      </c>
      <c r="S4704">
        <v>2.826508</v>
      </c>
      <c r="T4704">
        <v>-0.1990788</v>
      </c>
      <c r="U4704">
        <v>-1.145813</v>
      </c>
      <c r="V4704">
        <v>-0.1908155</v>
      </c>
      <c r="W4704">
        <v>0.13213059999999999</v>
      </c>
      <c r="X4704">
        <v>0.97269260000000002</v>
      </c>
      <c r="Y4704">
        <v>-0.22768869999999999</v>
      </c>
      <c r="Z4704">
        <v>4.381964E-2</v>
      </c>
      <c r="AA4704">
        <v>0.97274749999999999</v>
      </c>
      <c r="AB4704">
        <v>28</v>
      </c>
      <c r="AC4704">
        <v>15.7402</v>
      </c>
      <c r="AD4704">
        <v>-1.1165214720829999</v>
      </c>
      <c r="AE4704">
        <v>-6.3516899999999996</v>
      </c>
      <c r="AF4704">
        <v>-3.8995191847994</v>
      </c>
      <c r="AG4704">
        <v>-1.1165214720829999</v>
      </c>
      <c r="AH4704">
        <v>16.444283548154999</v>
      </c>
      <c r="AI4704">
        <v>93.779759915363698</v>
      </c>
      <c r="AJ4704">
        <v>103.340433711239</v>
      </c>
      <c r="AK4704">
        <v>16.937158305995801</v>
      </c>
      <c r="AL4704">
        <v>82.407270850599801</v>
      </c>
      <c r="AM4704">
        <v>101.098910892467</v>
      </c>
      <c r="AN4704">
        <v>0.99999997229568405</v>
      </c>
    </row>
    <row r="4705" spans="1:40" x14ac:dyDescent="0.25">
      <c r="A4705" t="str">
        <f>"20190312164604736"</f>
        <v>20190312164604736</v>
      </c>
      <c r="B4705" t="str">
        <f>"1552380364726047"</f>
        <v>1552380364726047</v>
      </c>
      <c r="C4705" t="s">
        <v>40</v>
      </c>
      <c r="D4705">
        <v>4.7021629999999996</v>
      </c>
      <c r="E4705">
        <v>0.490842</v>
      </c>
      <c r="F4705" t="s">
        <v>42</v>
      </c>
      <c r="G4705">
        <v>-395.13679999999999</v>
      </c>
      <c r="H4705" s="1">
        <v>-2.4104069999999998E-6</v>
      </c>
      <c r="I4705">
        <v>18.877379999999999</v>
      </c>
      <c r="J4705">
        <v>-410.64819999999997</v>
      </c>
      <c r="K4705">
        <v>1.11642</v>
      </c>
      <c r="L4705">
        <v>25.12219</v>
      </c>
      <c r="M4705">
        <v>0.81867299999999998</v>
      </c>
      <c r="N4705">
        <v>0</v>
      </c>
      <c r="O4705">
        <v>-0.57407739999999996</v>
      </c>
      <c r="P4705">
        <v>0.90494330000000001</v>
      </c>
      <c r="Q4705">
        <v>0.12086760000000001</v>
      </c>
      <c r="R4705">
        <v>-0.40800599999999998</v>
      </c>
      <c r="S4705">
        <v>2.8273320000000002</v>
      </c>
      <c r="T4705">
        <v>-0.2020653</v>
      </c>
      <c r="U4705">
        <v>-1.143311</v>
      </c>
      <c r="V4705">
        <v>-0.18796579999999999</v>
      </c>
      <c r="W4705">
        <v>0.13152749999999999</v>
      </c>
      <c r="X4705">
        <v>0.973329</v>
      </c>
      <c r="Y4705">
        <v>-0.2237894</v>
      </c>
      <c r="Z4705">
        <v>4.4127979999999997E-2</v>
      </c>
      <c r="AA4705">
        <v>0.97363809999999995</v>
      </c>
      <c r="AB4705">
        <v>28</v>
      </c>
      <c r="AC4705">
        <v>15.511399999999901</v>
      </c>
      <c r="AD4705">
        <v>-1.116422410407</v>
      </c>
      <c r="AE4705">
        <v>-6.2448100000000002</v>
      </c>
      <c r="AF4705">
        <v>-3.7758525502231999</v>
      </c>
      <c r="AG4705">
        <v>-1.116422410407</v>
      </c>
      <c r="AH4705">
        <v>16.2132011457171</v>
      </c>
      <c r="AI4705">
        <v>93.836750261688195</v>
      </c>
      <c r="AJ4705">
        <v>103.109796729769</v>
      </c>
      <c r="AK4705">
        <v>16.6844644166652</v>
      </c>
      <c r="AL4705">
        <v>82.442130259633103</v>
      </c>
      <c r="AM4705">
        <v>100.930203828852</v>
      </c>
      <c r="AN4705">
        <v>0.99999998373344401</v>
      </c>
    </row>
    <row r="4706" spans="1:40" x14ac:dyDescent="0.25">
      <c r="A4706" t="str">
        <f>"20190312164604746"</f>
        <v>20190312164604746</v>
      </c>
      <c r="B4706" t="str">
        <f>"1552380364736783"</f>
        <v>1552380364736783</v>
      </c>
      <c r="C4706" t="s">
        <v>40</v>
      </c>
      <c r="D4706">
        <v>4.7113389999999997</v>
      </c>
      <c r="E4706">
        <v>0.49052610000000002</v>
      </c>
      <c r="F4706" t="s">
        <v>42</v>
      </c>
      <c r="G4706">
        <v>-395.58780000000002</v>
      </c>
      <c r="H4706" s="1">
        <v>-2.1643140000000001E-6</v>
      </c>
      <c r="I4706">
        <v>19.062830000000002</v>
      </c>
      <c r="J4706">
        <v>-410.54020000000003</v>
      </c>
      <c r="K4706">
        <v>1.1163209999999999</v>
      </c>
      <c r="L4706">
        <v>25.051970000000001</v>
      </c>
      <c r="M4706">
        <v>0.82133559999999906</v>
      </c>
      <c r="N4706">
        <v>0</v>
      </c>
      <c r="O4706">
        <v>-0.57026209999999999</v>
      </c>
      <c r="P4706">
        <v>0.90578440000000005</v>
      </c>
      <c r="Q4706">
        <v>0.1205097</v>
      </c>
      <c r="R4706">
        <v>-0.40624169999999998</v>
      </c>
      <c r="S4706">
        <v>2.829834</v>
      </c>
      <c r="T4706">
        <v>-0.20977509999999999</v>
      </c>
      <c r="U4706">
        <v>-1.13855</v>
      </c>
      <c r="V4706">
        <v>-0.18531810000000001</v>
      </c>
      <c r="W4706">
        <v>0.13125329999999999</v>
      </c>
      <c r="X4706">
        <v>0.97387360000000001</v>
      </c>
      <c r="Y4706">
        <v>-0.220857</v>
      </c>
      <c r="Z4706">
        <v>4.5471659999999997E-2</v>
      </c>
      <c r="AA4706">
        <v>0.97424560000000004</v>
      </c>
      <c r="AB4706">
        <v>28</v>
      </c>
      <c r="AC4706">
        <v>14.952400000000001</v>
      </c>
      <c r="AD4706">
        <v>-1.1163231643139999</v>
      </c>
      <c r="AE4706">
        <v>-5.9891399999999999</v>
      </c>
      <c r="AF4706">
        <v>-3.5908224810510698</v>
      </c>
      <c r="AG4706">
        <v>-1.1163231643139999</v>
      </c>
      <c r="AH4706">
        <v>15.6229173210856</v>
      </c>
      <c r="AI4706">
        <v>93.983558208530795</v>
      </c>
      <c r="AJ4706">
        <v>102.944235695462</v>
      </c>
      <c r="AK4706">
        <v>16.069092355173002</v>
      </c>
      <c r="AL4706">
        <v>82.457978335822304</v>
      </c>
      <c r="AM4706">
        <v>100.773985631035</v>
      </c>
      <c r="AN4706">
        <v>1.00000000786273</v>
      </c>
    </row>
    <row r="4707" spans="1:40" x14ac:dyDescent="0.25">
      <c r="A4707" t="str">
        <f>"20190312164604757"</f>
        <v>20190312164604757</v>
      </c>
      <c r="B4707" t="str">
        <f>"1552380364746543"</f>
        <v>1552380364746543</v>
      </c>
      <c r="C4707" t="s">
        <v>40</v>
      </c>
      <c r="D4707">
        <v>4.6488589999999999</v>
      </c>
      <c r="E4707">
        <v>0.4902068</v>
      </c>
      <c r="F4707" t="s">
        <v>42</v>
      </c>
      <c r="G4707">
        <v>-395.67579999999998</v>
      </c>
      <c r="H4707" s="1">
        <v>-2.1124700000000001E-6</v>
      </c>
      <c r="I4707">
        <v>19.120560000000001</v>
      </c>
      <c r="J4707">
        <v>-410.44009999999997</v>
      </c>
      <c r="K4707">
        <v>1.1162219999999901</v>
      </c>
      <c r="L4707">
        <v>24.987819999999999</v>
      </c>
      <c r="M4707">
        <v>0.82371879999999997</v>
      </c>
      <c r="N4707">
        <v>0</v>
      </c>
      <c r="O4707">
        <v>-0.5668147</v>
      </c>
      <c r="P4707">
        <v>0.90641039999999995</v>
      </c>
      <c r="Q4707">
        <v>0.12049310000000001</v>
      </c>
      <c r="R4707">
        <v>-0.40484789999999998</v>
      </c>
      <c r="S4707">
        <v>2.8332820000000001</v>
      </c>
      <c r="T4707">
        <v>-0.2127819</v>
      </c>
      <c r="U4707">
        <v>-1.130585</v>
      </c>
      <c r="V4707">
        <v>-0.1826991</v>
      </c>
      <c r="W4707">
        <v>0.13131709999999999</v>
      </c>
      <c r="X4707">
        <v>0.97435970000000005</v>
      </c>
      <c r="Y4707">
        <v>-0.21950330000000001</v>
      </c>
      <c r="Z4707">
        <v>4.5856170000000002E-2</v>
      </c>
      <c r="AA4707">
        <v>0.97453350000000005</v>
      </c>
      <c r="AB4707">
        <v>28</v>
      </c>
      <c r="AC4707">
        <v>14.764299999999899</v>
      </c>
      <c r="AD4707">
        <v>-1.1162241124700001</v>
      </c>
      <c r="AE4707">
        <v>-5.8672599999999999</v>
      </c>
      <c r="AF4707">
        <v>-3.51864949587315</v>
      </c>
      <c r="AG4707">
        <v>-1.1162241124700001</v>
      </c>
      <c r="AH4707">
        <v>15.4128134342302</v>
      </c>
      <c r="AI4707">
        <v>94.038682948468093</v>
      </c>
      <c r="AJ4707">
        <v>102.85988260746301</v>
      </c>
      <c r="AK4707">
        <v>15.8487118877988</v>
      </c>
      <c r="AL4707">
        <v>82.4542907640935</v>
      </c>
      <c r="AM4707">
        <v>100.62003339341101</v>
      </c>
      <c r="AN4707">
        <v>0.99999998343865404</v>
      </c>
    </row>
    <row r="4708" spans="1:40" x14ac:dyDescent="0.25">
      <c r="A4708" t="str">
        <f>"20190312164604768"</f>
        <v>20190312164604768</v>
      </c>
      <c r="B4708" t="str">
        <f>"1552380364756303"</f>
        <v>1552380364756303</v>
      </c>
      <c r="C4708" t="s">
        <v>40</v>
      </c>
      <c r="D4708">
        <v>4.878857</v>
      </c>
      <c r="E4708">
        <v>0.49061149999999998</v>
      </c>
      <c r="F4708" t="s">
        <v>42</v>
      </c>
      <c r="G4708">
        <v>-396.5104</v>
      </c>
      <c r="H4708" s="1">
        <v>-1.655565E-6</v>
      </c>
      <c r="I4708">
        <v>19.472300000000001</v>
      </c>
      <c r="J4708">
        <v>-410.32499999999999</v>
      </c>
      <c r="K4708">
        <v>1.116104</v>
      </c>
      <c r="L4708">
        <v>24.91431</v>
      </c>
      <c r="M4708">
        <v>0.82642530000000003</v>
      </c>
      <c r="N4708">
        <v>0</v>
      </c>
      <c r="O4708">
        <v>-0.56286169999999902</v>
      </c>
      <c r="P4708">
        <v>0.90729309999999996</v>
      </c>
      <c r="Q4708">
        <v>0.12040430000000001</v>
      </c>
      <c r="R4708">
        <v>-0.40289259999999999</v>
      </c>
      <c r="S4708">
        <v>2.8380740000000002</v>
      </c>
      <c r="T4708">
        <v>-0.22742280000000001</v>
      </c>
      <c r="U4708">
        <v>-1.1237490000000001</v>
      </c>
      <c r="V4708">
        <v>-0.180094899999999</v>
      </c>
      <c r="W4708">
        <v>0.13131189999999901</v>
      </c>
      <c r="X4708">
        <v>0.97484510000000002</v>
      </c>
      <c r="Y4708">
        <v>-0.21720100000000001</v>
      </c>
      <c r="Z4708">
        <v>4.8625219999999997E-2</v>
      </c>
      <c r="AA4708">
        <v>0.97491499999999998</v>
      </c>
      <c r="AB4708">
        <v>28</v>
      </c>
      <c r="AC4708">
        <v>13.814599999999899</v>
      </c>
      <c r="AD4708">
        <v>-1.116105655565</v>
      </c>
      <c r="AE4708">
        <v>-5.4420099999999998</v>
      </c>
      <c r="AF4708">
        <v>-3.2602136820305301</v>
      </c>
      <c r="AG4708">
        <v>-1.116105655565</v>
      </c>
      <c r="AH4708">
        <v>14.3999731696555</v>
      </c>
      <c r="AI4708">
        <v>94.323009720976501</v>
      </c>
      <c r="AJ4708">
        <v>102.756935660026</v>
      </c>
      <c r="AK4708">
        <v>14.806549644454</v>
      </c>
      <c r="AL4708">
        <v>82.454591267433102</v>
      </c>
      <c r="AM4708">
        <v>100.466928137509</v>
      </c>
      <c r="AN4708">
        <v>0.99999997854081402</v>
      </c>
    </row>
    <row r="4709" spans="1:40" x14ac:dyDescent="0.25">
      <c r="A4709" t="str">
        <f>"20190312164604779"</f>
        <v>20190312164604779</v>
      </c>
      <c r="B4709" t="str">
        <f>"1552380364776799"</f>
        <v>1552380364776799</v>
      </c>
      <c r="C4709" t="s">
        <v>40</v>
      </c>
      <c r="D4709">
        <v>4.6195089999999999</v>
      </c>
      <c r="E4709">
        <v>0.4901818</v>
      </c>
      <c r="F4709" t="s">
        <v>42</v>
      </c>
      <c r="G4709">
        <v>-396.64440000000002</v>
      </c>
      <c r="H4709" s="1">
        <v>-1.5849700000000001E-6</v>
      </c>
      <c r="I4709">
        <v>19.513110000000001</v>
      </c>
      <c r="J4709">
        <v>-410.20659999999998</v>
      </c>
      <c r="K4709">
        <v>1.115977</v>
      </c>
      <c r="L4709">
        <v>24.839870000000001</v>
      </c>
      <c r="M4709">
        <v>0.82909480000000002</v>
      </c>
      <c r="N4709">
        <v>0</v>
      </c>
      <c r="O4709">
        <v>-0.55892259999999905</v>
      </c>
      <c r="P4709">
        <v>0.90812939999999998</v>
      </c>
      <c r="Q4709">
        <v>0.1203833</v>
      </c>
      <c r="R4709">
        <v>-0.40101019999999998</v>
      </c>
      <c r="S4709">
        <v>2.8395079999999999</v>
      </c>
      <c r="T4709">
        <v>-0.231657</v>
      </c>
      <c r="U4709">
        <v>-1.1210629999999999</v>
      </c>
      <c r="V4709">
        <v>-0.1774328</v>
      </c>
      <c r="W4709">
        <v>0.1313771</v>
      </c>
      <c r="X4709">
        <v>0.97532439999999998</v>
      </c>
      <c r="Y4709">
        <v>-0.2134682</v>
      </c>
      <c r="Z4709">
        <v>4.9124260000000003E-2</v>
      </c>
      <c r="AA4709">
        <v>0.97571410000000003</v>
      </c>
      <c r="AB4709">
        <v>28</v>
      </c>
      <c r="AC4709">
        <v>13.562199999999899</v>
      </c>
      <c r="AD4709">
        <v>-1.1159785849699999</v>
      </c>
      <c r="AE4709">
        <v>-5.3267600000000002</v>
      </c>
      <c r="AF4709">
        <v>-3.14570622964471</v>
      </c>
      <c r="AG4709">
        <v>-1.1159785849699999</v>
      </c>
      <c r="AH4709">
        <v>14.1401238882372</v>
      </c>
      <c r="AI4709">
        <v>94.405334032241001</v>
      </c>
      <c r="AJ4709">
        <v>102.542153571977</v>
      </c>
      <c r="AK4709">
        <v>14.528729450988999</v>
      </c>
      <c r="AL4709">
        <v>82.450823198914094</v>
      </c>
      <c r="AM4709">
        <v>100.310594949481</v>
      </c>
      <c r="AN4709">
        <v>1.0000000130778</v>
      </c>
    </row>
    <row r="4710" spans="1:40" x14ac:dyDescent="0.25">
      <c r="A4710" t="str">
        <f>"20190312164604791"</f>
        <v>20190312164604791</v>
      </c>
      <c r="B4710" t="str">
        <f>"1552380364786559"</f>
        <v>1552380364786559</v>
      </c>
      <c r="C4710" t="s">
        <v>40</v>
      </c>
      <c r="D4710">
        <v>4.7252900000000002</v>
      </c>
      <c r="E4710">
        <v>0.49023099999999997</v>
      </c>
      <c r="F4710" t="s">
        <v>42</v>
      </c>
      <c r="G4710">
        <v>-396.11430000000001</v>
      </c>
      <c r="H4710" s="1">
        <v>-1.8693809999999999E-6</v>
      </c>
      <c r="I4710">
        <v>19.322610000000001</v>
      </c>
      <c r="J4710">
        <v>-410.08850000000001</v>
      </c>
      <c r="K4710">
        <v>1.115848</v>
      </c>
      <c r="L4710">
        <v>24.765930000000001</v>
      </c>
      <c r="M4710">
        <v>0.83171329999999999</v>
      </c>
      <c r="N4710">
        <v>0</v>
      </c>
      <c r="O4710">
        <v>-0.55501909999999999</v>
      </c>
      <c r="P4710">
        <v>0.90907749999999998</v>
      </c>
      <c r="Q4710">
        <v>0.1200751</v>
      </c>
      <c r="R4710">
        <v>-0.39894879999999999</v>
      </c>
      <c r="S4710">
        <v>2.8420100000000001</v>
      </c>
      <c r="T4710">
        <v>-0.22506019999999999</v>
      </c>
      <c r="U4710">
        <v>-1.112671</v>
      </c>
      <c r="V4710">
        <v>-0.17503279999999999</v>
      </c>
      <c r="W4710">
        <v>0.1311493</v>
      </c>
      <c r="X4710">
        <v>0.97578860000000001</v>
      </c>
      <c r="Y4710">
        <v>-0.2117878</v>
      </c>
      <c r="Z4710">
        <v>4.7422039999999999E-2</v>
      </c>
      <c r="AA4710">
        <v>0.97616449999999999</v>
      </c>
      <c r="AB4710">
        <v>28</v>
      </c>
      <c r="AC4710">
        <v>13.9741999999999</v>
      </c>
      <c r="AD4710">
        <v>-1.1158498693809999</v>
      </c>
      <c r="AE4710">
        <v>-5.4433199999999902</v>
      </c>
      <c r="AF4710">
        <v>-3.2112223800654398</v>
      </c>
      <c r="AG4710">
        <v>-1.1158498693809999</v>
      </c>
      <c r="AH4710">
        <v>14.5645574975907</v>
      </c>
      <c r="AI4710">
        <v>94.278733664107705</v>
      </c>
      <c r="AJ4710">
        <v>102.433756043754</v>
      </c>
      <c r="AK4710">
        <v>14.9560491175262</v>
      </c>
      <c r="AL4710">
        <v>82.463989040355202</v>
      </c>
      <c r="AM4710">
        <v>100.169324862728</v>
      </c>
      <c r="AN4710">
        <v>1.00000000592814</v>
      </c>
    </row>
    <row r="4711" spans="1:40" x14ac:dyDescent="0.25">
      <c r="A4711" t="str">
        <f>"20190312164604803"</f>
        <v>20190312164604803</v>
      </c>
      <c r="B4711" t="str">
        <f>"1552380364796319"</f>
        <v>1552380364796319</v>
      </c>
      <c r="C4711" t="s">
        <v>40</v>
      </c>
      <c r="D4711">
        <v>4.709638</v>
      </c>
      <c r="E4711">
        <v>0.49029440000000002</v>
      </c>
      <c r="F4711" t="s">
        <v>42</v>
      </c>
      <c r="G4711">
        <v>-395.6551</v>
      </c>
      <c r="H4711" s="1">
        <v>-2.1177169999999999E-6</v>
      </c>
      <c r="I4711">
        <v>19.146319999999999</v>
      </c>
      <c r="J4711">
        <v>-409.96140000000003</v>
      </c>
      <c r="K4711">
        <v>1.1157049999999999</v>
      </c>
      <c r="L4711">
        <v>24.687349999999999</v>
      </c>
      <c r="M4711">
        <v>0.83442950000000005</v>
      </c>
      <c r="N4711">
        <v>0</v>
      </c>
      <c r="O4711">
        <v>-0.55092750000000001</v>
      </c>
      <c r="P4711">
        <v>0.91011299999999995</v>
      </c>
      <c r="Q4711">
        <v>0.1195594</v>
      </c>
      <c r="R4711">
        <v>-0.39673649999999999</v>
      </c>
      <c r="S4711">
        <v>2.8432919999999999</v>
      </c>
      <c r="T4711">
        <v>-0.21981490000000001</v>
      </c>
      <c r="U4711">
        <v>-1.1070249999999999</v>
      </c>
      <c r="V4711">
        <v>-0.17259150000000001</v>
      </c>
      <c r="W4711">
        <v>0.13071720000000001</v>
      </c>
      <c r="X4711">
        <v>0.97628130000000002</v>
      </c>
      <c r="Y4711">
        <v>-0.20891799999999999</v>
      </c>
      <c r="Z4711">
        <v>4.5971039999999998E-2</v>
      </c>
      <c r="AA4711">
        <v>0.9768521</v>
      </c>
      <c r="AB4711">
        <v>28</v>
      </c>
      <c r="AC4711">
        <v>14.3063</v>
      </c>
      <c r="AD4711">
        <v>-1.1157071177169999</v>
      </c>
      <c r="AE4711">
        <v>-5.5410299999999904</v>
      </c>
      <c r="AF4711">
        <v>-3.2413291319203301</v>
      </c>
      <c r="AG4711">
        <v>-1.1157071177169999</v>
      </c>
      <c r="AH4711">
        <v>14.9129817748492</v>
      </c>
      <c r="AI4711">
        <v>94.181317343727699</v>
      </c>
      <c r="AJ4711">
        <v>102.262486581273</v>
      </c>
      <c r="AK4711">
        <v>15.3018966906375</v>
      </c>
      <c r="AL4711">
        <v>82.4889614438395</v>
      </c>
      <c r="AM4711">
        <v>100.02542709395701</v>
      </c>
      <c r="AN4711">
        <v>0.99999999448888999</v>
      </c>
    </row>
    <row r="4712" spans="1:40" x14ac:dyDescent="0.25">
      <c r="A4712" t="str">
        <f>"20190312164604814"</f>
        <v>20190312164604814</v>
      </c>
      <c r="B4712" t="str">
        <f>"1552380364806079"</f>
        <v>1552380364806079</v>
      </c>
      <c r="C4712" t="s">
        <v>40</v>
      </c>
      <c r="D4712">
        <v>4.7352129999999999</v>
      </c>
      <c r="E4712">
        <v>0.4901702</v>
      </c>
      <c r="F4712" t="s">
        <v>42</v>
      </c>
      <c r="G4712">
        <v>-395.7056</v>
      </c>
      <c r="H4712" s="1">
        <v>-2.0891040000000001E-6</v>
      </c>
      <c r="I4712">
        <v>19.173079999999999</v>
      </c>
      <c r="J4712">
        <v>-409.84</v>
      </c>
      <c r="K4712">
        <v>1.115569</v>
      </c>
      <c r="L4712">
        <v>24.612880000000001</v>
      </c>
      <c r="M4712">
        <v>0.8369569</v>
      </c>
      <c r="N4712">
        <v>0</v>
      </c>
      <c r="O4712">
        <v>-0.54708109999999999</v>
      </c>
      <c r="P4712">
        <v>0.91095879999999996</v>
      </c>
      <c r="Q4712">
        <v>0.1192061</v>
      </c>
      <c r="R4712">
        <v>-0.39489809999999997</v>
      </c>
      <c r="S4712">
        <v>2.8457029999999999</v>
      </c>
      <c r="T4712">
        <v>-0.22271340000000001</v>
      </c>
      <c r="U4712">
        <v>-1.1007389999999999</v>
      </c>
      <c r="V4712">
        <v>-0.17004079999999999</v>
      </c>
      <c r="W4712">
        <v>0.130445899999999</v>
      </c>
      <c r="X4712">
        <v>0.97676510000000005</v>
      </c>
      <c r="Y4712">
        <v>-0.2065401</v>
      </c>
      <c r="Z4712">
        <v>4.6239990000000002E-2</v>
      </c>
      <c r="AA4712">
        <v>0.97734489999999996</v>
      </c>
      <c r="AB4712">
        <v>28</v>
      </c>
      <c r="AC4712">
        <v>14.1343999999999</v>
      </c>
      <c r="AD4712">
        <v>-1.115571089104</v>
      </c>
      <c r="AE4712">
        <v>-5.4398</v>
      </c>
      <c r="AF4712">
        <v>-3.1629504945840301</v>
      </c>
      <c r="AG4712">
        <v>-1.115571089104</v>
      </c>
      <c r="AH4712">
        <v>14.727509803039</v>
      </c>
      <c r="AI4712">
        <v>94.235521465539804</v>
      </c>
      <c r="AJ4712">
        <v>102.1209982309</v>
      </c>
      <c r="AK4712">
        <v>15.104578765548</v>
      </c>
      <c r="AL4712">
        <v>82.504640330120793</v>
      </c>
      <c r="AM4712">
        <v>99.875406672195496</v>
      </c>
      <c r="AN4712">
        <v>1.0000000335347199</v>
      </c>
    </row>
    <row r="4713" spans="1:40" x14ac:dyDescent="0.25">
      <c r="A4713" t="str">
        <f>"20190312164604824"</f>
        <v>20190312164604824</v>
      </c>
      <c r="B4713" t="str">
        <f>"1552380364815839"</f>
        <v>1552380364815839</v>
      </c>
      <c r="C4713" t="s">
        <v>40</v>
      </c>
      <c r="D4713">
        <v>4.8923399999999999</v>
      </c>
      <c r="E4713">
        <v>0.49037829999999899</v>
      </c>
      <c r="F4713" t="s">
        <v>42</v>
      </c>
      <c r="G4713">
        <v>-395.65210000000002</v>
      </c>
      <c r="H4713" s="1">
        <v>-2.1161700000000002E-6</v>
      </c>
      <c r="I4713">
        <v>19.16301</v>
      </c>
      <c r="J4713">
        <v>-409.73450000000003</v>
      </c>
      <c r="K4713">
        <v>1.1154500000000001</v>
      </c>
      <c r="L4713">
        <v>24.54871</v>
      </c>
      <c r="M4713">
        <v>0.83910189999999996</v>
      </c>
      <c r="N4713">
        <v>0</v>
      </c>
      <c r="O4713">
        <v>-0.54378590000000004</v>
      </c>
      <c r="P4713">
        <v>0.9116088</v>
      </c>
      <c r="Q4713">
        <v>0.11882760000000001</v>
      </c>
      <c r="R4713">
        <v>-0.3935091</v>
      </c>
      <c r="S4713">
        <v>2.8482059999999998</v>
      </c>
      <c r="T4713">
        <v>-0.22394939999999999</v>
      </c>
      <c r="U4713">
        <v>-1.094055</v>
      </c>
      <c r="V4713">
        <v>-0.1676675</v>
      </c>
      <c r="W4713">
        <v>0.13014000000000001</v>
      </c>
      <c r="X4713">
        <v>0.97721610000000003</v>
      </c>
      <c r="Y4713">
        <v>-0.2049704</v>
      </c>
      <c r="Z4713">
        <v>4.6222050000000001E-2</v>
      </c>
      <c r="AA4713">
        <v>0.9776762</v>
      </c>
      <c r="AB4713">
        <v>28</v>
      </c>
      <c r="AC4713">
        <v>14.0824</v>
      </c>
      <c r="AD4713">
        <v>-1.11545211617</v>
      </c>
      <c r="AE4713">
        <v>-5.3856999999999999</v>
      </c>
      <c r="AF4713">
        <v>-3.1218933884528401</v>
      </c>
      <c r="AG4713">
        <v>-1.11545211617</v>
      </c>
      <c r="AH4713">
        <v>14.6664703285218</v>
      </c>
      <c r="AI4713">
        <v>94.254283710649901</v>
      </c>
      <c r="AJ4713">
        <v>102.016590245991</v>
      </c>
      <c r="AK4713">
        <v>15.036482422752499</v>
      </c>
      <c r="AL4713">
        <v>82.522317984372094</v>
      </c>
      <c r="AM4713">
        <v>99.735822416454795</v>
      </c>
      <c r="AN4713">
        <v>1.00000005812772</v>
      </c>
    </row>
    <row r="4714" spans="1:40" x14ac:dyDescent="0.25">
      <c r="A4714" t="str">
        <f>"20190312164604836"</f>
        <v>20190312164604836</v>
      </c>
      <c r="B4714" t="str">
        <f>"1552380364826575"</f>
        <v>1552380364826575</v>
      </c>
      <c r="C4714" t="s">
        <v>40</v>
      </c>
      <c r="D4714">
        <v>4.6463419999999998</v>
      </c>
      <c r="E4714">
        <v>0.49053089999999999</v>
      </c>
      <c r="F4714" t="s">
        <v>42</v>
      </c>
      <c r="G4714">
        <v>-395.5573</v>
      </c>
      <c r="H4714" s="1">
        <v>-2.1687370000000001E-6</v>
      </c>
      <c r="I4714">
        <v>19.119399999999999</v>
      </c>
      <c r="J4714">
        <v>-409.62139999999999</v>
      </c>
      <c r="K4714">
        <v>1.1153310000000001</v>
      </c>
      <c r="L4714">
        <v>24.480530000000002</v>
      </c>
      <c r="M4714">
        <v>0.84133089999999999</v>
      </c>
      <c r="N4714">
        <v>0</v>
      </c>
      <c r="O4714">
        <v>-0.54033169999999897</v>
      </c>
      <c r="P4714">
        <v>0.91230929999999999</v>
      </c>
      <c r="Q4714">
        <v>0.1184698</v>
      </c>
      <c r="R4714">
        <v>-0.39199129999999999</v>
      </c>
      <c r="S4714">
        <v>2.8491209999999998</v>
      </c>
      <c r="T4714">
        <v>-0.22416559999999999</v>
      </c>
      <c r="U4714">
        <v>-1.0910949999999999</v>
      </c>
      <c r="V4714">
        <v>-0.16525200000000001</v>
      </c>
      <c r="W4714">
        <v>0.12985539999999901</v>
      </c>
      <c r="X4714">
        <v>0.97766520000000001</v>
      </c>
      <c r="Y4714">
        <v>-0.20194770000000001</v>
      </c>
      <c r="Z4714">
        <v>4.5936980000000002E-2</v>
      </c>
      <c r="AA4714">
        <v>0.97831840000000003</v>
      </c>
      <c r="AB4714">
        <v>28</v>
      </c>
      <c r="AC4714">
        <v>14.0640999999999</v>
      </c>
      <c r="AD4714">
        <v>-1.1153331687369901</v>
      </c>
      <c r="AE4714">
        <v>-5.3611299999999904</v>
      </c>
      <c r="AF4714">
        <v>-3.0722396715136502</v>
      </c>
      <c r="AG4714">
        <v>-1.1153331687369901</v>
      </c>
      <c r="AH4714">
        <v>14.6504052625992</v>
      </c>
      <c r="AI4714">
        <v>94.261188080735295</v>
      </c>
      <c r="AJ4714">
        <v>101.843501537992</v>
      </c>
      <c r="AK4714">
        <v>15.010562915324</v>
      </c>
      <c r="AL4714">
        <v>82.538763075165093</v>
      </c>
      <c r="AM4714">
        <v>99.593864210154194</v>
      </c>
      <c r="AN4714">
        <v>0.99999994585209795</v>
      </c>
    </row>
    <row r="4715" spans="1:40" x14ac:dyDescent="0.25">
      <c r="A4715" t="str">
        <f>"20190312164604847"</f>
        <v>20190312164604847</v>
      </c>
      <c r="B4715" t="str">
        <f>"1552380364836335"</f>
        <v>1552380364836335</v>
      </c>
      <c r="C4715" t="s">
        <v>40</v>
      </c>
      <c r="D4715">
        <v>4.8318849999999998</v>
      </c>
      <c r="E4715">
        <v>0.49069370000000001</v>
      </c>
      <c r="F4715" t="s">
        <v>42</v>
      </c>
      <c r="G4715">
        <v>-395.32870000000003</v>
      </c>
      <c r="H4715" s="1">
        <v>-2.2927399999999999E-6</v>
      </c>
      <c r="I4715">
        <v>19.02937</v>
      </c>
      <c r="J4715">
        <v>-409.50450000000001</v>
      </c>
      <c r="K4715">
        <v>1.1152070000000001</v>
      </c>
      <c r="L4715">
        <v>24.410399999999999</v>
      </c>
      <c r="M4715">
        <v>0.84359099999999998</v>
      </c>
      <c r="N4715">
        <v>0</v>
      </c>
      <c r="O4715">
        <v>-0.53679679999999996</v>
      </c>
      <c r="P4715">
        <v>0.91299640000000004</v>
      </c>
      <c r="Q4715">
        <v>0.118501</v>
      </c>
      <c r="R4715">
        <v>-0.39037860000000002</v>
      </c>
      <c r="S4715">
        <v>2.8501590000000001</v>
      </c>
      <c r="T4715">
        <v>-0.22241279999999999</v>
      </c>
      <c r="U4715">
        <v>-1.0870359999999999</v>
      </c>
      <c r="V4715">
        <v>-0.16283120000000001</v>
      </c>
      <c r="W4715">
        <v>0.12995889999999999</v>
      </c>
      <c r="X4715">
        <v>0.97805759999999997</v>
      </c>
      <c r="Y4715">
        <v>-0.199214</v>
      </c>
      <c r="Z4715">
        <v>4.5259109999999998E-2</v>
      </c>
      <c r="AA4715">
        <v>0.97891030000000001</v>
      </c>
      <c r="AB4715">
        <v>28</v>
      </c>
      <c r="AC4715">
        <v>14.175799999999899</v>
      </c>
      <c r="AD4715">
        <v>-1.1152092927399999</v>
      </c>
      <c r="AE4715">
        <v>-5.3810299999999902</v>
      </c>
      <c r="AF4715">
        <v>-3.0539276861278499</v>
      </c>
      <c r="AG4715">
        <v>-1.1152092927399999</v>
      </c>
      <c r="AH4715">
        <v>14.768715933115701</v>
      </c>
      <c r="AI4715">
        <v>94.229163527245106</v>
      </c>
      <c r="AJ4715">
        <v>101.68316094403301</v>
      </c>
      <c r="AK4715">
        <v>15.122338985480299</v>
      </c>
      <c r="AL4715">
        <v>82.532782629074603</v>
      </c>
      <c r="AM4715">
        <v>99.4521534791389</v>
      </c>
      <c r="AN4715">
        <v>0.99999999215020496</v>
      </c>
    </row>
    <row r="4716" spans="1:40" x14ac:dyDescent="0.25">
      <c r="A4716" t="str">
        <f>"20190312164604859"</f>
        <v>20190312164604859</v>
      </c>
      <c r="B4716" t="str">
        <f>"1552380364856831"</f>
        <v>1552380364856831</v>
      </c>
      <c r="C4716" t="s">
        <v>40</v>
      </c>
      <c r="D4716">
        <v>4.9595419999999999</v>
      </c>
      <c r="E4716">
        <v>0.49017579999999999</v>
      </c>
      <c r="F4716" t="s">
        <v>42</v>
      </c>
      <c r="G4716">
        <v>-395.35390000000001</v>
      </c>
      <c r="H4716" s="1">
        <v>-2.2793369999999999E-6</v>
      </c>
      <c r="I4716">
        <v>19.03763</v>
      </c>
      <c r="J4716">
        <v>-409.38409999999999</v>
      </c>
      <c r="K4716">
        <v>1.115083</v>
      </c>
      <c r="L4716">
        <v>24.339110000000002</v>
      </c>
      <c r="M4716">
        <v>0.84582239999999997</v>
      </c>
      <c r="N4716">
        <v>0</v>
      </c>
      <c r="O4716">
        <v>-0.53327440000000004</v>
      </c>
      <c r="P4716">
        <v>0.91358070000000002</v>
      </c>
      <c r="Q4716">
        <v>0.1184581</v>
      </c>
      <c r="R4716">
        <v>-0.38902209999999998</v>
      </c>
      <c r="S4716">
        <v>2.8520509999999999</v>
      </c>
      <c r="T4716">
        <v>-0.22477140000000001</v>
      </c>
      <c r="U4716">
        <v>-1.082886</v>
      </c>
      <c r="V4716">
        <v>-0.16016179999999999</v>
      </c>
      <c r="W4716">
        <v>0.12999059999999901</v>
      </c>
      <c r="X4716">
        <v>0.97849399999999997</v>
      </c>
      <c r="Y4716">
        <v>-0.19656560000000001</v>
      </c>
      <c r="Z4716">
        <v>4.5405750000000002E-2</v>
      </c>
      <c r="AA4716">
        <v>0.97943880000000005</v>
      </c>
      <c r="AB4716">
        <v>28</v>
      </c>
      <c r="AC4716">
        <v>14.030199999999899</v>
      </c>
      <c r="AD4716">
        <v>-1.1150852793369901</v>
      </c>
      <c r="AE4716">
        <v>-5.3014799999999997</v>
      </c>
      <c r="AF4716">
        <v>-2.9816590864256201</v>
      </c>
      <c r="AG4716">
        <v>-1.1150852793369901</v>
      </c>
      <c r="AH4716">
        <v>14.6149084445792</v>
      </c>
      <c r="AI4716">
        <v>94.275357416443001</v>
      </c>
      <c r="AJ4716">
        <v>101.53094999111001</v>
      </c>
      <c r="AK4716">
        <v>14.9575818544072</v>
      </c>
      <c r="AL4716">
        <v>82.530950370945007</v>
      </c>
      <c r="AM4716">
        <v>99.295852031196205</v>
      </c>
      <c r="AN4716">
        <v>0.99999993315179703</v>
      </c>
    </row>
    <row r="4717" spans="1:40" x14ac:dyDescent="0.25">
      <c r="A4717" t="str">
        <f>"20190312164604871"</f>
        <v>20190312164604871</v>
      </c>
      <c r="B4717" t="str">
        <f>"1552380364866591"</f>
        <v>1552380364866591</v>
      </c>
      <c r="C4717" t="s">
        <v>40</v>
      </c>
      <c r="D4717">
        <v>4.820684</v>
      </c>
      <c r="E4717">
        <v>0.48971100000000001</v>
      </c>
      <c r="F4717" t="s">
        <v>42</v>
      </c>
      <c r="G4717">
        <v>-395.2473</v>
      </c>
      <c r="H4717" s="1">
        <v>-2.3325160000000001E-6</v>
      </c>
      <c r="I4717">
        <v>19.02205</v>
      </c>
      <c r="J4717">
        <v>-409.25869999999998</v>
      </c>
      <c r="K4717">
        <v>1.11496</v>
      </c>
      <c r="L4717">
        <v>24.265229999999999</v>
      </c>
      <c r="M4717">
        <v>0.84810350000000001</v>
      </c>
      <c r="N4717">
        <v>0</v>
      </c>
      <c r="O4717">
        <v>-0.52963970000000005</v>
      </c>
      <c r="P4717">
        <v>0.9142863</v>
      </c>
      <c r="Q4717">
        <v>0.1183091</v>
      </c>
      <c r="R4717">
        <v>-0.38740659999999999</v>
      </c>
      <c r="S4717">
        <v>2.8556819999999998</v>
      </c>
      <c r="T4717">
        <v>-0.22525129999999999</v>
      </c>
      <c r="U4717">
        <v>-1.074066</v>
      </c>
      <c r="V4717">
        <v>-0.15765270000000001</v>
      </c>
      <c r="W4717">
        <v>0.12991349999999999</v>
      </c>
      <c r="X4717">
        <v>0.97891170000000005</v>
      </c>
      <c r="Y4717">
        <v>-0.19542309999999999</v>
      </c>
      <c r="Z4717">
        <v>4.5210399999999998E-2</v>
      </c>
      <c r="AA4717">
        <v>0.9796764</v>
      </c>
      <c r="AB4717">
        <v>27</v>
      </c>
      <c r="AC4717">
        <v>14.011399999999901</v>
      </c>
      <c r="AD4717">
        <v>-1.1149623325160001</v>
      </c>
      <c r="AE4717">
        <v>-5.24317999999999</v>
      </c>
      <c r="AF4717">
        <v>-2.9581045674624602</v>
      </c>
      <c r="AG4717">
        <v>-1.1149623325160001</v>
      </c>
      <c r="AH4717">
        <v>14.580609189653</v>
      </c>
      <c r="AI4717">
        <v>94.285853692111999</v>
      </c>
      <c r="AJ4717">
        <v>101.468473905243</v>
      </c>
      <c r="AK4717">
        <v>14.919372908281501</v>
      </c>
      <c r="AL4717">
        <v>82.535406186140193</v>
      </c>
      <c r="AM4717">
        <v>99.148867472744101</v>
      </c>
      <c r="AN4717">
        <v>1.00000000384821</v>
      </c>
    </row>
    <row r="4718" spans="1:40" x14ac:dyDescent="0.25">
      <c r="A4718" t="str">
        <f>"20190312164604883"</f>
        <v>20190312164604883</v>
      </c>
      <c r="B4718" t="str">
        <f>"1552380364876350"</f>
        <v>1552380364876350</v>
      </c>
      <c r="C4718" t="s">
        <v>40</v>
      </c>
      <c r="D4718">
        <v>5.5588220000000002</v>
      </c>
      <c r="E4718">
        <v>0.48925629999999998</v>
      </c>
      <c r="F4718" t="s">
        <v>42</v>
      </c>
      <c r="G4718">
        <v>-395.25229999999999</v>
      </c>
      <c r="H4718" s="1">
        <v>-2.32559E-6</v>
      </c>
      <c r="I4718">
        <v>19.04785</v>
      </c>
      <c r="J4718">
        <v>-409.12740000000002</v>
      </c>
      <c r="K4718">
        <v>1.114824</v>
      </c>
      <c r="L4718">
        <v>24.188690000000001</v>
      </c>
      <c r="M4718">
        <v>0.85039569999999998</v>
      </c>
      <c r="N4718">
        <v>0</v>
      </c>
      <c r="O4718">
        <v>-0.52595209999999903</v>
      </c>
      <c r="P4718">
        <v>0.91495599999999999</v>
      </c>
      <c r="Q4718">
        <v>0.11845650000000001</v>
      </c>
      <c r="R4718">
        <v>-0.38577699999999998</v>
      </c>
      <c r="S4718">
        <v>2.8594059999999999</v>
      </c>
      <c r="T4718">
        <v>-0.22761870000000001</v>
      </c>
      <c r="U4718">
        <v>-1.0651250000000001</v>
      </c>
      <c r="V4718">
        <v>-0.15508920000000001</v>
      </c>
      <c r="W4718">
        <v>0.13013239999999901</v>
      </c>
      <c r="X4718">
        <v>0.97929200000000005</v>
      </c>
      <c r="Y4718">
        <v>-0.1942479</v>
      </c>
      <c r="Z4718">
        <v>4.5382789999999999E-2</v>
      </c>
      <c r="AA4718">
        <v>0.9799021</v>
      </c>
      <c r="AB4718">
        <v>27</v>
      </c>
      <c r="AC4718">
        <v>13.8751</v>
      </c>
      <c r="AD4718">
        <v>-1.1148263255899999</v>
      </c>
      <c r="AE4718">
        <v>-5.1408399999999999</v>
      </c>
      <c r="AF4718">
        <v>-2.9096680814321698</v>
      </c>
      <c r="AG4718">
        <v>-1.1148263255899999</v>
      </c>
      <c r="AH4718">
        <v>14.422752779122501</v>
      </c>
      <c r="AI4718">
        <v>94.333012500050799</v>
      </c>
      <c r="AJ4718">
        <v>101.40584429963</v>
      </c>
      <c r="AK4718">
        <v>14.7555007982793</v>
      </c>
      <c r="AL4718">
        <v>82.522756439446894</v>
      </c>
      <c r="AM4718">
        <v>98.999120158822905</v>
      </c>
      <c r="AN4718">
        <v>0.99999996137519898</v>
      </c>
    </row>
    <row r="4719" spans="1:40" x14ac:dyDescent="0.25">
      <c r="A4719" t="str">
        <f>"20190312164604895"</f>
        <v>20190312164604895</v>
      </c>
      <c r="B4719" t="str">
        <f>"1552380364886111"</f>
        <v>1552380364886111</v>
      </c>
      <c r="C4719" t="s">
        <v>40</v>
      </c>
      <c r="D4719">
        <v>4.8207610000000001</v>
      </c>
      <c r="E4719">
        <v>0.4888806</v>
      </c>
      <c r="F4719" t="s">
        <v>42</v>
      </c>
      <c r="G4719">
        <v>-394.88589999999999</v>
      </c>
      <c r="H4719" s="1">
        <v>-2.5195140000000002E-6</v>
      </c>
      <c r="I4719">
        <v>18.93093</v>
      </c>
      <c r="J4719">
        <v>-408.99930000000001</v>
      </c>
      <c r="K4719">
        <v>1.1146929999999999</v>
      </c>
      <c r="L4719">
        <v>24.11459</v>
      </c>
      <c r="M4719">
        <v>0.852570099999999</v>
      </c>
      <c r="N4719">
        <v>0</v>
      </c>
      <c r="O4719">
        <v>-0.52242079999999902</v>
      </c>
      <c r="P4719">
        <v>0.91552199999999995</v>
      </c>
      <c r="Q4719">
        <v>0.1185961</v>
      </c>
      <c r="R4719">
        <v>-0.38438870000000003</v>
      </c>
      <c r="S4719">
        <v>2.8623349999999999</v>
      </c>
      <c r="T4719">
        <v>-0.22406390000000001</v>
      </c>
      <c r="U4719">
        <v>-1.056732</v>
      </c>
      <c r="V4719">
        <v>-0.1524587</v>
      </c>
      <c r="W4719">
        <v>0.1303404</v>
      </c>
      <c r="X4719">
        <v>0.97967729999999997</v>
      </c>
      <c r="Y4719">
        <v>-0.19310060000000001</v>
      </c>
      <c r="Z4719">
        <v>4.4398809999999997E-2</v>
      </c>
      <c r="AA4719">
        <v>0.98017390000000004</v>
      </c>
      <c r="AB4719">
        <v>27</v>
      </c>
      <c r="AC4719">
        <v>14.1134</v>
      </c>
      <c r="AD4719">
        <v>-1.114695519514</v>
      </c>
      <c r="AE4719">
        <v>-5.1836599999999997</v>
      </c>
      <c r="AF4719">
        <v>-2.9378485955402001</v>
      </c>
      <c r="AG4719">
        <v>-1.114695519514</v>
      </c>
      <c r="AH4719">
        <v>14.661605781000199</v>
      </c>
      <c r="AI4719">
        <v>94.263307080464301</v>
      </c>
      <c r="AJ4719">
        <v>101.330700739939</v>
      </c>
      <c r="AK4719">
        <v>14.994538490697201</v>
      </c>
      <c r="AL4719">
        <v>82.510736409163201</v>
      </c>
      <c r="AM4719">
        <v>98.845494976150903</v>
      </c>
      <c r="AN4719">
        <v>0.99999994360656796</v>
      </c>
    </row>
    <row r="4720" spans="1:40" x14ac:dyDescent="0.25">
      <c r="A4720" t="str">
        <f>"20190312164604905"</f>
        <v>20190312164604905</v>
      </c>
      <c r="B4720" t="str">
        <f>"1552380364895871"</f>
        <v>1552380364895871</v>
      </c>
      <c r="C4720" t="s">
        <v>40</v>
      </c>
      <c r="D4720">
        <v>4.7300309999999897</v>
      </c>
      <c r="E4720">
        <v>0.48848079999999999</v>
      </c>
      <c r="F4720" t="s">
        <v>42</v>
      </c>
      <c r="G4720">
        <v>-394.5231</v>
      </c>
      <c r="H4720" s="1">
        <v>-2.7124079999999999E-6</v>
      </c>
      <c r="I4720">
        <v>18.810410000000001</v>
      </c>
      <c r="J4720">
        <v>-408.88600000000002</v>
      </c>
      <c r="K4720">
        <v>1.1145849999999999</v>
      </c>
      <c r="L4720">
        <v>24.049440000000001</v>
      </c>
      <c r="M4720">
        <v>0.85444830000000005</v>
      </c>
      <c r="N4720">
        <v>0</v>
      </c>
      <c r="O4720">
        <v>-0.51934360000000002</v>
      </c>
      <c r="P4720">
        <v>0.91590649999999996</v>
      </c>
      <c r="Q4720">
        <v>0.1185939</v>
      </c>
      <c r="R4720">
        <v>-0.38347219999999999</v>
      </c>
      <c r="S4720">
        <v>2.864716</v>
      </c>
      <c r="T4720">
        <v>-0.2205887</v>
      </c>
      <c r="U4720">
        <v>-1.049652</v>
      </c>
      <c r="V4720">
        <v>-0.14986569999999999</v>
      </c>
      <c r="W4720">
        <v>0.1304014</v>
      </c>
      <c r="X4720">
        <v>0.98006930000000003</v>
      </c>
      <c r="Y4720">
        <v>-0.19202459999999999</v>
      </c>
      <c r="Z4720">
        <v>4.3472429999999999E-2</v>
      </c>
      <c r="AA4720">
        <v>0.98042680000000004</v>
      </c>
      <c r="AB4720">
        <v>27</v>
      </c>
      <c r="AC4720">
        <v>14.3628999999999</v>
      </c>
      <c r="AD4720">
        <v>-1.1145877124079999</v>
      </c>
      <c r="AE4720">
        <v>-5.2390299999999996</v>
      </c>
      <c r="AF4720">
        <v>-2.9673276882266801</v>
      </c>
      <c r="AG4720">
        <v>-1.1145877124079999</v>
      </c>
      <c r="AH4720">
        <v>14.9154401658478</v>
      </c>
      <c r="AI4720">
        <v>94.1917595927778</v>
      </c>
      <c r="AJ4720">
        <v>101.251707802639</v>
      </c>
      <c r="AK4720">
        <v>15.248530903629799</v>
      </c>
      <c r="AL4720">
        <v>82.507212029334895</v>
      </c>
      <c r="AM4720">
        <v>98.693946120926199</v>
      </c>
      <c r="AN4720">
        <v>1.0000000429804601</v>
      </c>
    </row>
    <row r="4721" spans="1:40" x14ac:dyDescent="0.25">
      <c r="A4721" t="str">
        <f>"20190312164604916"</f>
        <v>20190312164604916</v>
      </c>
      <c r="B4721" t="str">
        <f>"1552380364906608"</f>
        <v>1552380364906608</v>
      </c>
      <c r="C4721" t="s">
        <v>40</v>
      </c>
      <c r="D4721">
        <v>5.0179349999999996</v>
      </c>
      <c r="E4721">
        <v>0.48812169999999999</v>
      </c>
      <c r="F4721" t="s">
        <v>42</v>
      </c>
      <c r="G4721">
        <v>-394.19540000000001</v>
      </c>
      <c r="H4721" s="1">
        <v>-2.886552E-6</v>
      </c>
      <c r="I4721">
        <v>18.701779999999999</v>
      </c>
      <c r="J4721">
        <v>-408.77910000000003</v>
      </c>
      <c r="K4721">
        <v>1.114482</v>
      </c>
      <c r="L4721">
        <v>23.988620000000001</v>
      </c>
      <c r="M4721">
        <v>0.85615940000000001</v>
      </c>
      <c r="N4721">
        <v>0</v>
      </c>
      <c r="O4721">
        <v>-0.51651829999999999</v>
      </c>
      <c r="P4721">
        <v>0.91617959999999998</v>
      </c>
      <c r="Q4721">
        <v>0.1181026</v>
      </c>
      <c r="R4721">
        <v>-0.3829708</v>
      </c>
      <c r="S4721">
        <v>2.86673</v>
      </c>
      <c r="T4721">
        <v>-0.2175019</v>
      </c>
      <c r="U4721">
        <v>-1.0435490000000001</v>
      </c>
      <c r="V4721">
        <v>-0.14715129999999901</v>
      </c>
      <c r="W4721">
        <v>0.12997359999999999</v>
      </c>
      <c r="X4721">
        <v>0.98053729999999995</v>
      </c>
      <c r="Y4721">
        <v>-0.1909024</v>
      </c>
      <c r="Z4721">
        <v>4.2644399999999999E-2</v>
      </c>
      <c r="AA4721">
        <v>0.98068230000000001</v>
      </c>
      <c r="AB4721">
        <v>27</v>
      </c>
      <c r="AC4721">
        <v>14.5837</v>
      </c>
      <c r="AD4721">
        <v>-1.1144848865520001</v>
      </c>
      <c r="AE4721">
        <v>-5.2868399999999998</v>
      </c>
      <c r="AF4721">
        <v>-2.9912310176943202</v>
      </c>
      <c r="AG4721">
        <v>-1.1144848865520001</v>
      </c>
      <c r="AH4721">
        <v>15.1400947410858</v>
      </c>
      <c r="AI4721">
        <v>94.1304758704553</v>
      </c>
      <c r="AJ4721">
        <v>101.17600544037801</v>
      </c>
      <c r="AK4721">
        <v>15.4729443976453</v>
      </c>
      <c r="AL4721">
        <v>82.531933379868505</v>
      </c>
      <c r="AM4721">
        <v>98.5348061622106</v>
      </c>
      <c r="AN4721">
        <v>1.0000000192399601</v>
      </c>
    </row>
    <row r="4722" spans="1:40" x14ac:dyDescent="0.25">
      <c r="A4722" t="str">
        <f>"20190312164604927"</f>
        <v>20190312164604927</v>
      </c>
      <c r="B4722" t="str">
        <f>"1552380364916367"</f>
        <v>1552380364916367</v>
      </c>
      <c r="C4722" t="s">
        <v>40</v>
      </c>
      <c r="D4722">
        <v>4.8864739999999998</v>
      </c>
      <c r="E4722">
        <v>0.48779489999999998</v>
      </c>
      <c r="F4722" t="s">
        <v>42</v>
      </c>
      <c r="G4722">
        <v>-393.99900000000002</v>
      </c>
      <c r="H4722" s="1">
        <v>-2.99116E-6</v>
      </c>
      <c r="I4722">
        <v>18.635529999999999</v>
      </c>
      <c r="J4722">
        <v>-408.66500000000002</v>
      </c>
      <c r="K4722">
        <v>1.114371</v>
      </c>
      <c r="L4722">
        <v>23.923919999999999</v>
      </c>
      <c r="M4722">
        <v>0.8579582</v>
      </c>
      <c r="N4722">
        <v>0</v>
      </c>
      <c r="O4722">
        <v>-0.51352559999999903</v>
      </c>
      <c r="P4722">
        <v>0.91654829999999998</v>
      </c>
      <c r="Q4722">
        <v>0.117635199999999</v>
      </c>
      <c r="R4722">
        <v>-0.38223230000000002</v>
      </c>
      <c r="S4722">
        <v>2.868134</v>
      </c>
      <c r="T4722">
        <v>-0.2162702</v>
      </c>
      <c r="U4722">
        <v>-1.0387879999999901</v>
      </c>
      <c r="V4722">
        <v>-0.1445013</v>
      </c>
      <c r="W4722">
        <v>0.12956790000000001</v>
      </c>
      <c r="X4722">
        <v>0.980985</v>
      </c>
      <c r="Y4722">
        <v>-0.18909580000000001</v>
      </c>
      <c r="Z4722">
        <v>4.2151969999999997E-2</v>
      </c>
      <c r="AA4722">
        <v>0.98105350000000002</v>
      </c>
      <c r="AB4722">
        <v>27</v>
      </c>
      <c r="AC4722">
        <v>14.665999999999899</v>
      </c>
      <c r="AD4722">
        <v>-1.1143739911599999</v>
      </c>
      <c r="AE4722">
        <v>-5.2883899999999997</v>
      </c>
      <c r="AF4722">
        <v>-2.9792257340823598</v>
      </c>
      <c r="AG4722">
        <v>-1.1143739911599999</v>
      </c>
      <c r="AH4722">
        <v>15.2222890974785</v>
      </c>
      <c r="AI4722">
        <v>94.109280425821495</v>
      </c>
      <c r="AJ4722">
        <v>101.073652901583</v>
      </c>
      <c r="AK4722">
        <v>15.551067511074701</v>
      </c>
      <c r="AL4722">
        <v>82.555376504985006</v>
      </c>
      <c r="AM4722">
        <v>98.379537841722396</v>
      </c>
      <c r="AN4722">
        <v>1.00000001831855</v>
      </c>
    </row>
    <row r="4723" spans="1:40" x14ac:dyDescent="0.25">
      <c r="A4723" t="str">
        <f>"20190312164604936"</f>
        <v>20190312164604936</v>
      </c>
      <c r="B4723" t="str">
        <f>"1552380364926127"</f>
        <v>1552380364926127</v>
      </c>
      <c r="C4723" t="s">
        <v>40</v>
      </c>
      <c r="D4723">
        <v>4.8092439999999996</v>
      </c>
      <c r="E4723">
        <v>0.48753249999999998</v>
      </c>
      <c r="F4723" t="s">
        <v>42</v>
      </c>
      <c r="G4723">
        <v>-393.82990000000001</v>
      </c>
      <c r="H4723" s="1">
        <v>-3.0808510000000001E-6</v>
      </c>
      <c r="I4723">
        <v>18.58051</v>
      </c>
      <c r="J4723">
        <v>-408.56200000000001</v>
      </c>
      <c r="K4723">
        <v>1.1142749999999999</v>
      </c>
      <c r="L4723">
        <v>23.866119999999999</v>
      </c>
      <c r="M4723">
        <v>0.85951909999999898</v>
      </c>
      <c r="N4723">
        <v>0</v>
      </c>
      <c r="O4723">
        <v>-0.51090930000000001</v>
      </c>
      <c r="P4723">
        <v>0.91672160000000003</v>
      </c>
      <c r="Q4723">
        <v>0.117254</v>
      </c>
      <c r="R4723">
        <v>-0.38193339999999998</v>
      </c>
      <c r="S4723">
        <v>2.8697810000000001</v>
      </c>
      <c r="T4723">
        <v>-0.21557100000000001</v>
      </c>
      <c r="U4723">
        <v>-1.0336609999999999</v>
      </c>
      <c r="V4723">
        <v>-0.14181569999999999</v>
      </c>
      <c r="W4723">
        <v>0.12924449999999901</v>
      </c>
      <c r="X4723">
        <v>0.98141940000000005</v>
      </c>
      <c r="Y4723">
        <v>-0.18785360000000001</v>
      </c>
      <c r="Z4723">
        <v>4.1806000000000003E-2</v>
      </c>
      <c r="AA4723">
        <v>0.98130689999999998</v>
      </c>
      <c r="AB4723">
        <v>27</v>
      </c>
      <c r="AC4723">
        <v>14.7320999999999</v>
      </c>
      <c r="AD4723">
        <v>-1.114278080851</v>
      </c>
      <c r="AE4723">
        <v>-5.2856100000000001</v>
      </c>
      <c r="AF4723">
        <v>-2.9689327719391101</v>
      </c>
      <c r="AG4723">
        <v>-1.114278080851</v>
      </c>
      <c r="AH4723">
        <v>15.2870338061444</v>
      </c>
      <c r="AI4723">
        <v>94.092735468517105</v>
      </c>
      <c r="AJ4723">
        <v>100.990733992827</v>
      </c>
      <c r="AK4723">
        <v>15.6124815463769</v>
      </c>
      <c r="AL4723">
        <v>82.574062468945996</v>
      </c>
      <c r="AM4723">
        <v>98.222361390930899</v>
      </c>
      <c r="AN4723">
        <v>0.99999993612154803</v>
      </c>
    </row>
    <row r="4724" spans="1:40" x14ac:dyDescent="0.25">
      <c r="A4724" t="str">
        <f>"20190312164604946"</f>
        <v>20190312164604946</v>
      </c>
      <c r="B4724" t="str">
        <f>"1552380364935887"</f>
        <v>1552380364935887</v>
      </c>
      <c r="C4724" t="s">
        <v>40</v>
      </c>
      <c r="D4724">
        <v>4.9097049999999998</v>
      </c>
      <c r="E4724">
        <v>0.48727670000000001</v>
      </c>
      <c r="F4724" t="s">
        <v>42</v>
      </c>
      <c r="G4724">
        <v>-393.6995</v>
      </c>
      <c r="H4724" s="1">
        <v>-3.151278E-6</v>
      </c>
      <c r="I4724">
        <v>18.530999999999999</v>
      </c>
      <c r="J4724">
        <v>-408.45409999999998</v>
      </c>
      <c r="K4724">
        <v>1.1141719999999999</v>
      </c>
      <c r="L4724">
        <v>23.80566</v>
      </c>
      <c r="M4724">
        <v>0.86113700000000004</v>
      </c>
      <c r="N4724">
        <v>0</v>
      </c>
      <c r="O4724">
        <v>-0.50817829999999997</v>
      </c>
      <c r="P4724">
        <v>0.91693380000000002</v>
      </c>
      <c r="Q4724">
        <v>0.1169606</v>
      </c>
      <c r="R4724">
        <v>-0.38151420000000003</v>
      </c>
      <c r="S4724">
        <v>2.8707280000000002</v>
      </c>
      <c r="T4724">
        <v>-0.215225</v>
      </c>
      <c r="U4724">
        <v>-1.0304869999999999</v>
      </c>
      <c r="V4724">
        <v>-0.13912629999999901</v>
      </c>
      <c r="W4724">
        <v>0.12900899999999901</v>
      </c>
      <c r="X4724">
        <v>0.98183529999999997</v>
      </c>
      <c r="Y4724">
        <v>-0.1858146</v>
      </c>
      <c r="Z4724">
        <v>4.1496489999999997E-2</v>
      </c>
      <c r="AA4724">
        <v>0.98170820000000003</v>
      </c>
      <c r="AB4724">
        <v>27</v>
      </c>
      <c r="AC4724">
        <v>14.7545999999999</v>
      </c>
      <c r="AD4724">
        <v>-1.114175151278</v>
      </c>
      <c r="AE4724">
        <v>-5.2746599999999999</v>
      </c>
      <c r="AF4724">
        <v>-2.9411840911604101</v>
      </c>
      <c r="AG4724">
        <v>-1.114175151278</v>
      </c>
      <c r="AH4724">
        <v>15.3103111211946</v>
      </c>
      <c r="AI4724">
        <v>94.087756485386393</v>
      </c>
      <c r="AJ4724">
        <v>100.87431574735901</v>
      </c>
      <c r="AK4724">
        <v>15.630021649172299</v>
      </c>
      <c r="AL4724">
        <v>82.587670040648206</v>
      </c>
      <c r="AM4724">
        <v>98.065132055380701</v>
      </c>
      <c r="AN4724">
        <v>1.0000000028793801</v>
      </c>
    </row>
    <row r="4725" spans="1:40" x14ac:dyDescent="0.25">
      <c r="A4725" t="str">
        <f>"20190312164604958"</f>
        <v>20190312164604958</v>
      </c>
      <c r="B4725" t="str">
        <f>"1552380364946623"</f>
        <v>1552380364946623</v>
      </c>
      <c r="C4725" t="s">
        <v>40</v>
      </c>
      <c r="D4725">
        <v>4.8913449999999896</v>
      </c>
      <c r="E4725">
        <v>0.4870582</v>
      </c>
      <c r="F4725" t="s">
        <v>42</v>
      </c>
      <c r="G4725">
        <v>-393.5403</v>
      </c>
      <c r="H4725" s="1">
        <v>-3.2370390000000001E-6</v>
      </c>
      <c r="I4725">
        <v>18.471789999999999</v>
      </c>
      <c r="J4725">
        <v>-408.33969999999999</v>
      </c>
      <c r="K4725">
        <v>1.114063</v>
      </c>
      <c r="L4725">
        <v>23.742249999999999</v>
      </c>
      <c r="M4725">
        <v>0.86278319999999997</v>
      </c>
      <c r="N4725">
        <v>0</v>
      </c>
      <c r="O4725">
        <v>-0.50537829999999995</v>
      </c>
      <c r="P4725">
        <v>0.91707320000000003</v>
      </c>
      <c r="Q4725">
        <v>0.1164934</v>
      </c>
      <c r="R4725">
        <v>-0.38132199999999999</v>
      </c>
      <c r="S4725">
        <v>2.871826</v>
      </c>
      <c r="T4725">
        <v>-0.2145473</v>
      </c>
      <c r="U4725">
        <v>-1.0270999999999999</v>
      </c>
      <c r="V4725">
        <v>-0.13612669999999999</v>
      </c>
      <c r="W4725">
        <v>0.12860379999999999</v>
      </c>
      <c r="X4725">
        <v>0.98230879999999998</v>
      </c>
      <c r="Y4725">
        <v>-0.18378849999999999</v>
      </c>
      <c r="Z4725">
        <v>4.1118889999999998E-2</v>
      </c>
      <c r="AA4725">
        <v>0.98210540000000002</v>
      </c>
      <c r="AB4725">
        <v>27</v>
      </c>
      <c r="AC4725">
        <v>14.799399999999901</v>
      </c>
      <c r="AD4725">
        <v>-1.114066237039</v>
      </c>
      <c r="AE4725">
        <v>-5.2704599999999999</v>
      </c>
      <c r="AF4725">
        <v>-2.9176487757062701</v>
      </c>
      <c r="AG4725">
        <v>-1.114066237039</v>
      </c>
      <c r="AH4725">
        <v>15.3565499898178</v>
      </c>
      <c r="AI4725">
        <v>94.076673266253195</v>
      </c>
      <c r="AJ4725">
        <v>100.75762238846301</v>
      </c>
      <c r="AK4725">
        <v>15.6709108078842</v>
      </c>
      <c r="AL4725">
        <v>82.611081269882206</v>
      </c>
      <c r="AM4725">
        <v>97.889704251423197</v>
      </c>
      <c r="AN4725">
        <v>0.99999999719238497</v>
      </c>
    </row>
    <row r="4726" spans="1:40" x14ac:dyDescent="0.25">
      <c r="A4726" t="str">
        <f>"20190312164604970"</f>
        <v>20190312164604970</v>
      </c>
      <c r="B4726" t="str">
        <f>"1552380364966143"</f>
        <v>1552380364966143</v>
      </c>
      <c r="C4726" t="s">
        <v>40</v>
      </c>
      <c r="D4726">
        <v>4.8541249999999998</v>
      </c>
      <c r="E4726">
        <v>0.48658590000000002</v>
      </c>
      <c r="F4726" t="s">
        <v>42</v>
      </c>
      <c r="G4726">
        <v>-393.4171</v>
      </c>
      <c r="H4726" s="1">
        <v>-3.3047689999999999E-6</v>
      </c>
      <c r="I4726">
        <v>18.418299999999999</v>
      </c>
      <c r="J4726">
        <v>-408.21980000000002</v>
      </c>
      <c r="K4726">
        <v>1.1139490000000001</v>
      </c>
      <c r="L4726">
        <v>23.676030000000001</v>
      </c>
      <c r="M4726">
        <v>0.86448409999999998</v>
      </c>
      <c r="N4726">
        <v>0</v>
      </c>
      <c r="O4726">
        <v>-0.50246440000000003</v>
      </c>
      <c r="P4726">
        <v>0.91729890000000003</v>
      </c>
      <c r="Q4726">
        <v>0.116191</v>
      </c>
      <c r="R4726">
        <v>-0.38087100000000002</v>
      </c>
      <c r="S4726">
        <v>2.8723749999999999</v>
      </c>
      <c r="T4726">
        <v>-0.21444089999999999</v>
      </c>
      <c r="U4726">
        <v>-1.02478</v>
      </c>
      <c r="V4726">
        <v>-0.13326840000000001</v>
      </c>
      <c r="W4726">
        <v>0.12836069999999999</v>
      </c>
      <c r="X4726">
        <v>0.98273239999999995</v>
      </c>
      <c r="Y4726">
        <v>-0.1812473</v>
      </c>
      <c r="Z4726">
        <v>4.0829530000000003E-2</v>
      </c>
      <c r="AA4726">
        <v>0.98258959999999995</v>
      </c>
      <c r="AB4726">
        <v>27</v>
      </c>
      <c r="AC4726">
        <v>14.8027</v>
      </c>
      <c r="AD4726">
        <v>-1.1139523047689901</v>
      </c>
      <c r="AE4726">
        <v>-5.2577299999999898</v>
      </c>
      <c r="AF4726">
        <v>-2.8784158486426499</v>
      </c>
      <c r="AG4726">
        <v>-1.1139523047689901</v>
      </c>
      <c r="AH4726">
        <v>15.362785882303999</v>
      </c>
      <c r="AI4726">
        <v>94.076555697230702</v>
      </c>
      <c r="AJ4726">
        <v>100.61206565885</v>
      </c>
      <c r="AK4726">
        <v>15.669759334480499</v>
      </c>
      <c r="AL4726">
        <v>82.625125953061797</v>
      </c>
      <c r="AM4726">
        <v>97.722773236227098</v>
      </c>
      <c r="AN4726">
        <v>0.99999995287640298</v>
      </c>
    </row>
    <row r="4727" spans="1:40" x14ac:dyDescent="0.25">
      <c r="A4727" t="str">
        <f>"20190312164604980"</f>
        <v>20190312164604980</v>
      </c>
      <c r="B4727" t="str">
        <f>"1552380364975903"</f>
        <v>1552380364975903</v>
      </c>
      <c r="C4727" t="s">
        <v>40</v>
      </c>
      <c r="D4727">
        <v>5.0227170000000001</v>
      </c>
      <c r="E4727">
        <v>0.4866086</v>
      </c>
      <c r="F4727" t="s">
        <v>42</v>
      </c>
      <c r="G4727">
        <v>-393.60969999999998</v>
      </c>
      <c r="H4727" s="1">
        <v>-3.1997820000000002E-6</v>
      </c>
      <c r="I4727">
        <v>18.496939999999999</v>
      </c>
      <c r="J4727">
        <v>-408.09570000000002</v>
      </c>
      <c r="K4727">
        <v>1.113829</v>
      </c>
      <c r="L4727">
        <v>23.608149999999998</v>
      </c>
      <c r="M4727">
        <v>0.86616589999999904</v>
      </c>
      <c r="N4727">
        <v>0</v>
      </c>
      <c r="O4727">
        <v>-0.49956020000000001</v>
      </c>
      <c r="P4727">
        <v>0.91759290000000004</v>
      </c>
      <c r="Q4727">
        <v>0.11570900000000001</v>
      </c>
      <c r="R4727">
        <v>-0.38030930000000002</v>
      </c>
      <c r="S4727">
        <v>2.8750610000000001</v>
      </c>
      <c r="T4727">
        <v>-0.21920899999999999</v>
      </c>
      <c r="U4727">
        <v>-1.0191650000000001</v>
      </c>
      <c r="V4727">
        <v>-0.130554</v>
      </c>
      <c r="W4727">
        <v>0.1279351</v>
      </c>
      <c r="X4727">
        <v>0.98315220000000003</v>
      </c>
      <c r="Y4727">
        <v>-0.17988270000000001</v>
      </c>
      <c r="Z4727">
        <v>4.1485000000000001E-2</v>
      </c>
      <c r="AA4727">
        <v>0.98281289999999999</v>
      </c>
      <c r="AB4727">
        <v>27</v>
      </c>
      <c r="AC4727">
        <v>14.486000000000001</v>
      </c>
      <c r="AD4727">
        <v>-1.113832199782</v>
      </c>
      <c r="AE4727">
        <v>-5.1112099999999998</v>
      </c>
      <c r="AF4727">
        <v>-2.7950537583578599</v>
      </c>
      <c r="AG4727">
        <v>-1.113832199782</v>
      </c>
      <c r="AH4727">
        <v>15.023133012654901</v>
      </c>
      <c r="AI4727">
        <v>94.168935893222496</v>
      </c>
      <c r="AJ4727">
        <v>100.539376399742</v>
      </c>
      <c r="AK4727">
        <v>15.3214709867331</v>
      </c>
      <c r="AL4727">
        <v>82.649714056194298</v>
      </c>
      <c r="AM4727">
        <v>97.564124085317204</v>
      </c>
      <c r="AN4727">
        <v>0.99999999254642402</v>
      </c>
    </row>
    <row r="4728" spans="1:40" x14ac:dyDescent="0.25">
      <c r="A4728" t="str">
        <f>"20190312164605004"</f>
        <v>20190312164605004</v>
      </c>
      <c r="B4728" t="str">
        <f>"1552380364996402"</f>
        <v>1552380364996402</v>
      </c>
      <c r="C4728" t="s">
        <v>40</v>
      </c>
      <c r="D4728">
        <v>4.9531900000000002</v>
      </c>
      <c r="E4728">
        <v>0.48639470000000001</v>
      </c>
      <c r="F4728" t="s">
        <v>42</v>
      </c>
      <c r="G4728">
        <v>-393.72930000000002</v>
      </c>
      <c r="H4728" s="1">
        <v>-3.1382689999999999E-6</v>
      </c>
      <c r="I4728">
        <v>18.52486</v>
      </c>
      <c r="J4728">
        <v>-407.84960000000001</v>
      </c>
      <c r="K4728">
        <v>1.1135969999999999</v>
      </c>
      <c r="L4728">
        <v>23.474609999999998</v>
      </c>
      <c r="M4728">
        <v>0.86938729999999997</v>
      </c>
      <c r="N4728">
        <v>0</v>
      </c>
      <c r="O4728">
        <v>-0.49393389999999998</v>
      </c>
      <c r="P4728">
        <v>0.9180758</v>
      </c>
      <c r="Q4728">
        <v>0.11444600000000001</v>
      </c>
      <c r="R4728">
        <v>-0.37952540000000001</v>
      </c>
      <c r="S4728">
        <v>2.8757929999999998</v>
      </c>
      <c r="T4728">
        <v>-0.2229612</v>
      </c>
      <c r="U4728">
        <v>-1.0175479999999999</v>
      </c>
      <c r="V4728">
        <v>-0.1249994</v>
      </c>
      <c r="W4728">
        <v>0.12678110000000001</v>
      </c>
      <c r="X4728">
        <v>0.98402319999999999</v>
      </c>
      <c r="Y4728">
        <v>-0.174044</v>
      </c>
      <c r="Z4728">
        <v>4.1611929999999998E-2</v>
      </c>
      <c r="AA4728">
        <v>0.98385829999999996</v>
      </c>
      <c r="AB4728">
        <v>27</v>
      </c>
      <c r="AC4728">
        <v>14.120299999999901</v>
      </c>
      <c r="AD4728">
        <v>-1.113600138269</v>
      </c>
      <c r="AE4728">
        <v>-4.9497499999999999</v>
      </c>
      <c r="AF4728">
        <v>-2.6567894089638999</v>
      </c>
      <c r="AG4728">
        <v>-1.113600138269</v>
      </c>
      <c r="AH4728">
        <v>14.641195737842301</v>
      </c>
      <c r="AI4728">
        <v>94.279880003121804</v>
      </c>
      <c r="AJ4728">
        <v>100.284972162407</v>
      </c>
      <c r="AK4728">
        <v>14.921904967709199</v>
      </c>
      <c r="AL4728">
        <v>82.716376125002498</v>
      </c>
      <c r="AM4728">
        <v>97.239447486061394</v>
      </c>
      <c r="AN4728">
        <v>0.99999997772790405</v>
      </c>
    </row>
    <row r="4729" spans="1:40" x14ac:dyDescent="0.25">
      <c r="A4729" t="str">
        <f>"20190312164605015"</f>
        <v>20190312164605015</v>
      </c>
      <c r="B4729" t="str">
        <f>"1552380365006159"</f>
        <v>1552380365006159</v>
      </c>
      <c r="C4729" t="s">
        <v>40</v>
      </c>
      <c r="D4729">
        <v>4.914866</v>
      </c>
      <c r="E4729">
        <v>0.48637599999999998</v>
      </c>
      <c r="F4729" t="s">
        <v>42</v>
      </c>
      <c r="G4729">
        <v>-393.8877</v>
      </c>
      <c r="H4729" s="1">
        <v>-3.057833E-6</v>
      </c>
      <c r="I4729">
        <v>18.556249999999999</v>
      </c>
      <c r="J4729">
        <v>-407.72039999999998</v>
      </c>
      <c r="K4729">
        <v>1.1134790000000001</v>
      </c>
      <c r="L4729">
        <v>23.405239999999999</v>
      </c>
      <c r="M4729">
        <v>0.87099969999999904</v>
      </c>
      <c r="N4729">
        <v>0</v>
      </c>
      <c r="O4729">
        <v>-0.4910853</v>
      </c>
      <c r="P4729">
        <v>0.91829229999999995</v>
      </c>
      <c r="Q4729">
        <v>0.11382979999999999</v>
      </c>
      <c r="R4729">
        <v>-0.37918639999999998</v>
      </c>
      <c r="S4729">
        <v>2.8772890000000002</v>
      </c>
      <c r="T4729">
        <v>-0.2294918</v>
      </c>
      <c r="U4729">
        <v>-1.0135799999999999</v>
      </c>
      <c r="V4729">
        <v>-0.1221304</v>
      </c>
      <c r="W4729">
        <v>0.12621869999999999</v>
      </c>
      <c r="X4729">
        <v>0.98445570000000004</v>
      </c>
      <c r="Y4729">
        <v>-0.17210349999999999</v>
      </c>
      <c r="Z4729">
        <v>4.2557329999999997E-2</v>
      </c>
      <c r="AA4729">
        <v>0.98415920000000001</v>
      </c>
      <c r="AB4729">
        <v>27</v>
      </c>
      <c r="AC4729">
        <v>13.8326999999999</v>
      </c>
      <c r="AD4729">
        <v>-1.113482057833</v>
      </c>
      <c r="AE4729">
        <v>-4.8489899999999997</v>
      </c>
      <c r="AF4729">
        <v>-2.5550728281879</v>
      </c>
      <c r="AG4729">
        <v>-1.113482057833</v>
      </c>
      <c r="AH4729">
        <v>14.3481535877804</v>
      </c>
      <c r="AI4729">
        <v>94.369058138654907</v>
      </c>
      <c r="AJ4729">
        <v>100.097203216989</v>
      </c>
      <c r="AK4729">
        <v>14.616352172447</v>
      </c>
      <c r="AL4729">
        <v>82.748860465356202</v>
      </c>
      <c r="AM4729">
        <v>97.071913480800106</v>
      </c>
      <c r="AN4729">
        <v>1.0000000100481701</v>
      </c>
    </row>
    <row r="4730" spans="1:40" x14ac:dyDescent="0.25">
      <c r="A4730" t="str">
        <f>"20190312164605026"</f>
        <v>20190312164605026</v>
      </c>
      <c r="B4730" t="str">
        <f>"1552380365015920"</f>
        <v>1552380365015920</v>
      </c>
      <c r="C4730" t="s">
        <v>40</v>
      </c>
      <c r="D4730">
        <v>4.8688469999999997</v>
      </c>
      <c r="E4730">
        <v>0.48623460000000002</v>
      </c>
      <c r="F4730" t="s">
        <v>42</v>
      </c>
      <c r="G4730">
        <v>-393.94439999999997</v>
      </c>
      <c r="H4730" s="1">
        <v>-3.0305629999999999E-6</v>
      </c>
      <c r="I4730">
        <v>18.559000000000001</v>
      </c>
      <c r="J4730">
        <v>-407.60840000000002</v>
      </c>
      <c r="K4730">
        <v>1.1133740000000001</v>
      </c>
      <c r="L4730">
        <v>23.345400000000001</v>
      </c>
      <c r="M4730">
        <v>0.87236619999999998</v>
      </c>
      <c r="N4730">
        <v>0</v>
      </c>
      <c r="O4730">
        <v>-0.48865429999999999</v>
      </c>
      <c r="P4730">
        <v>0.91838430000000004</v>
      </c>
      <c r="Q4730">
        <v>0.11316180000000001</v>
      </c>
      <c r="R4730">
        <v>-0.3791638</v>
      </c>
      <c r="S4730">
        <v>2.8777469999999998</v>
      </c>
      <c r="T4730">
        <v>-0.23260149999999999</v>
      </c>
      <c r="U4730">
        <v>-1.0123599999999999</v>
      </c>
      <c r="V4730">
        <v>-0.1194059</v>
      </c>
      <c r="W4730">
        <v>0.1255994</v>
      </c>
      <c r="X4730">
        <v>0.98486899999999999</v>
      </c>
      <c r="Y4730">
        <v>-0.16974210000000001</v>
      </c>
      <c r="Z4730">
        <v>4.287552E-2</v>
      </c>
      <c r="AA4730">
        <v>0.98455539999999997</v>
      </c>
      <c r="AB4730">
        <v>27</v>
      </c>
      <c r="AC4730">
        <v>13.664</v>
      </c>
      <c r="AD4730">
        <v>-1.113377030563</v>
      </c>
      <c r="AE4730">
        <v>-4.7864000000000004</v>
      </c>
      <c r="AF4730">
        <v>-2.4870141036666502</v>
      </c>
      <c r="AG4730">
        <v>-1.113377030563</v>
      </c>
      <c r="AH4730">
        <v>14.1764553066083</v>
      </c>
      <c r="AI4730">
        <v>94.423346208120506</v>
      </c>
      <c r="AJ4730">
        <v>99.950300001099194</v>
      </c>
      <c r="AK4730">
        <v>14.4359527785416</v>
      </c>
      <c r="AL4730">
        <v>82.784628047079906</v>
      </c>
      <c r="AM4730">
        <v>96.912823248348104</v>
      </c>
      <c r="AN4730">
        <v>0.999999962698084</v>
      </c>
    </row>
    <row r="4731" spans="1:40" x14ac:dyDescent="0.25">
      <c r="A4731" t="str">
        <f>"20190312164605036"</f>
        <v>20190312164605036</v>
      </c>
      <c r="B4731" t="str">
        <f>"1552380365026656"</f>
        <v>1552380365026656</v>
      </c>
      <c r="C4731" t="s">
        <v>40</v>
      </c>
      <c r="D4731">
        <v>4.960661</v>
      </c>
      <c r="E4731">
        <v>0.48615589999999997</v>
      </c>
      <c r="F4731" t="s">
        <v>42</v>
      </c>
      <c r="G4731">
        <v>-394.04399999999998</v>
      </c>
      <c r="H4731" s="1">
        <v>-2.9794549999999998E-6</v>
      </c>
      <c r="I4731">
        <v>18.581689999999998</v>
      </c>
      <c r="J4731">
        <v>-407.50729999999999</v>
      </c>
      <c r="K4731">
        <v>1.1132789999999999</v>
      </c>
      <c r="L4731">
        <v>23.29175</v>
      </c>
      <c r="M4731">
        <v>0.87355130000000003</v>
      </c>
      <c r="N4731">
        <v>0</v>
      </c>
      <c r="O4731">
        <v>-0.48653259999999998</v>
      </c>
      <c r="P4731">
        <v>0.91838969999999998</v>
      </c>
      <c r="Q4731">
        <v>0.11201120000000001</v>
      </c>
      <c r="R4731">
        <v>-0.37949149999999998</v>
      </c>
      <c r="S4731">
        <v>2.878387</v>
      </c>
      <c r="T4731">
        <v>-0.2362601</v>
      </c>
      <c r="U4731">
        <v>-1.010864</v>
      </c>
      <c r="V4731">
        <v>-0.1166835</v>
      </c>
      <c r="W4731">
        <v>0.1244953</v>
      </c>
      <c r="X4731">
        <v>0.98533539999999997</v>
      </c>
      <c r="Y4731">
        <v>-0.16782639999999999</v>
      </c>
      <c r="Z4731">
        <v>4.3323750000000001E-2</v>
      </c>
      <c r="AA4731">
        <v>0.98486410000000002</v>
      </c>
      <c r="AB4731">
        <v>27</v>
      </c>
      <c r="AC4731">
        <v>13.463299999999901</v>
      </c>
      <c r="AD4731">
        <v>-1.113281979455</v>
      </c>
      <c r="AE4731">
        <v>-4.7100600000000004</v>
      </c>
      <c r="AF4731">
        <v>-2.4213409015910701</v>
      </c>
      <c r="AG4731">
        <v>-1.113281979455</v>
      </c>
      <c r="AH4731">
        <v>13.968747101392299</v>
      </c>
      <c r="AI4731">
        <v>94.490054177302099</v>
      </c>
      <c r="AJ4731">
        <v>99.833927941268996</v>
      </c>
      <c r="AK4731">
        <v>14.2206956268022</v>
      </c>
      <c r="AL4731">
        <v>82.848388953646904</v>
      </c>
      <c r="AM4731">
        <v>96.753519256595894</v>
      </c>
      <c r="AN4731">
        <v>0.99999998469374896</v>
      </c>
    </row>
    <row r="4732" spans="1:40" x14ac:dyDescent="0.25">
      <c r="A4732" t="str">
        <f>"20190312164605048"</f>
        <v>20190312164605048</v>
      </c>
      <c r="B4732" t="str">
        <f>"1552380365036416"</f>
        <v>1552380365036416</v>
      </c>
      <c r="C4732" t="s">
        <v>40</v>
      </c>
      <c r="D4732">
        <v>4.8545639999999999</v>
      </c>
      <c r="E4732">
        <v>0.48598590000000003</v>
      </c>
      <c r="F4732" t="s">
        <v>42</v>
      </c>
      <c r="G4732">
        <v>-394.15710000000001</v>
      </c>
      <c r="H4732" s="1">
        <v>-2.9222019999999998E-6</v>
      </c>
      <c r="I4732">
        <v>18.602900000000002</v>
      </c>
      <c r="J4732">
        <v>-407.3845</v>
      </c>
      <c r="K4732">
        <v>1.1131690000000001</v>
      </c>
      <c r="L4732">
        <v>23.22681</v>
      </c>
      <c r="M4732">
        <v>0.87496819999999897</v>
      </c>
      <c r="N4732">
        <v>0</v>
      </c>
      <c r="O4732">
        <v>-0.48398000000000002</v>
      </c>
      <c r="P4732">
        <v>0.91859199999999996</v>
      </c>
      <c r="Q4732">
        <v>0.1111365</v>
      </c>
      <c r="R4732">
        <v>-0.3792587</v>
      </c>
      <c r="S4732">
        <v>2.8781430000000001</v>
      </c>
      <c r="T4732">
        <v>-0.24001159999999999</v>
      </c>
      <c r="U4732">
        <v>-1.010864</v>
      </c>
      <c r="V4732">
        <v>-0.1140601</v>
      </c>
      <c r="W4732">
        <v>0.1236672</v>
      </c>
      <c r="X4732">
        <v>0.98574680000000003</v>
      </c>
      <c r="Y4732">
        <v>-0.1648791</v>
      </c>
      <c r="Z4732">
        <v>4.3718069999999998E-2</v>
      </c>
      <c r="AA4732">
        <v>0.98534440000000001</v>
      </c>
      <c r="AB4732">
        <v>27</v>
      </c>
      <c r="AC4732">
        <v>13.2273999999999</v>
      </c>
      <c r="AD4732">
        <v>-1.113171922202</v>
      </c>
      <c r="AE4732">
        <v>-4.6239099999999898</v>
      </c>
      <c r="AF4732">
        <v>-2.3414741308609899</v>
      </c>
      <c r="AG4732">
        <v>-1.113171922202</v>
      </c>
      <c r="AH4732">
        <v>13.7261471382054</v>
      </c>
      <c r="AI4732">
        <v>94.570723585379199</v>
      </c>
      <c r="AJ4732">
        <v>99.680615979380406</v>
      </c>
      <c r="AK4732">
        <v>13.968849920216501</v>
      </c>
      <c r="AL4732">
        <v>82.8962053507083</v>
      </c>
      <c r="AM4732">
        <v>96.6003042084279</v>
      </c>
      <c r="AN4732">
        <v>1.0000000182390401</v>
      </c>
    </row>
    <row r="4733" spans="1:40" x14ac:dyDescent="0.25">
      <c r="A4733" t="str">
        <f>"20190312164605059"</f>
        <v>20190312164605059</v>
      </c>
      <c r="B4733" t="str">
        <f>"1552380365055935"</f>
        <v>1552380365055935</v>
      </c>
      <c r="C4733" t="s">
        <v>40</v>
      </c>
      <c r="D4733">
        <v>4.8587189999999998</v>
      </c>
      <c r="E4733">
        <v>0.4856914</v>
      </c>
      <c r="F4733" t="s">
        <v>42</v>
      </c>
      <c r="G4733">
        <v>-394.23059999999998</v>
      </c>
      <c r="H4733" s="1">
        <v>-2.8844510000000002E-6</v>
      </c>
      <c r="I4733">
        <v>18.61993</v>
      </c>
      <c r="J4733">
        <v>-407.26029999999997</v>
      </c>
      <c r="K4733">
        <v>1.113051</v>
      </c>
      <c r="L4733">
        <v>23.16168</v>
      </c>
      <c r="M4733">
        <v>0.87632949999999998</v>
      </c>
      <c r="N4733">
        <v>0</v>
      </c>
      <c r="O4733">
        <v>-0.48151169999999999</v>
      </c>
      <c r="P4733">
        <v>0.91857800000000001</v>
      </c>
      <c r="Q4733">
        <v>0.1104112</v>
      </c>
      <c r="R4733">
        <v>-0.37950509999999998</v>
      </c>
      <c r="S4733">
        <v>2.8790589999999998</v>
      </c>
      <c r="T4733">
        <v>-0.24364549999999999</v>
      </c>
      <c r="U4733">
        <v>-1.0083310000000001</v>
      </c>
      <c r="V4733">
        <v>-0.11101080000000001</v>
      </c>
      <c r="W4733">
        <v>0.1229929</v>
      </c>
      <c r="X4733">
        <v>0.98617920000000003</v>
      </c>
      <c r="Y4733">
        <v>-0.16292519999999999</v>
      </c>
      <c r="Z4733">
        <v>4.4119800000000001E-2</v>
      </c>
      <c r="AA4733">
        <v>0.98565150000000001</v>
      </c>
      <c r="AB4733">
        <v>27</v>
      </c>
      <c r="AC4733">
        <v>13.029699999999901</v>
      </c>
      <c r="AD4733">
        <v>-1.1130538844509901</v>
      </c>
      <c r="AE4733">
        <v>-4.5417500000000004</v>
      </c>
      <c r="AF4733">
        <v>-2.2792743178892301</v>
      </c>
      <c r="AG4733">
        <v>-1.1130538844509901</v>
      </c>
      <c r="AH4733">
        <v>13.5185680138471</v>
      </c>
      <c r="AI4733">
        <v>94.641622900264196</v>
      </c>
      <c r="AJ4733">
        <v>99.570246612148694</v>
      </c>
      <c r="AK4733">
        <v>13.7544778712567</v>
      </c>
      <c r="AL4733">
        <v>82.935137214996402</v>
      </c>
      <c r="AM4733">
        <v>96.422552641714802</v>
      </c>
      <c r="AN4733">
        <v>1.00000003283984</v>
      </c>
    </row>
    <row r="4734" spans="1:40" x14ac:dyDescent="0.25">
      <c r="A4734" t="str">
        <f>"20190312164605072"</f>
        <v>20190312164605072</v>
      </c>
      <c r="B4734" t="str">
        <f>"1552380365066672"</f>
        <v>1552380365066672</v>
      </c>
      <c r="C4734" t="s">
        <v>40</v>
      </c>
      <c r="D4734">
        <v>4.8493459999999997</v>
      </c>
      <c r="E4734">
        <v>0.48553010000000002</v>
      </c>
      <c r="F4734" t="s">
        <v>42</v>
      </c>
      <c r="G4734">
        <v>-394.30239999999998</v>
      </c>
      <c r="H4734" s="1">
        <v>-2.8482600000000001E-6</v>
      </c>
      <c r="I4734">
        <v>18.632729999999999</v>
      </c>
      <c r="J4734">
        <v>-407.12670000000003</v>
      </c>
      <c r="K4734">
        <v>1.1129209999999901</v>
      </c>
      <c r="L4734">
        <v>23.091889999999999</v>
      </c>
      <c r="M4734">
        <v>0.87776069999999995</v>
      </c>
      <c r="N4734">
        <v>0</v>
      </c>
      <c r="O4734">
        <v>-0.4788983</v>
      </c>
      <c r="P4734">
        <v>0.91888230000000004</v>
      </c>
      <c r="Q4734">
        <v>0.10917930000000001</v>
      </c>
      <c r="R4734">
        <v>-0.37912489999999999</v>
      </c>
      <c r="S4734">
        <v>2.8798219999999999</v>
      </c>
      <c r="T4734">
        <v>-0.24736910000000001</v>
      </c>
      <c r="U4734">
        <v>-1.0065309999999901</v>
      </c>
      <c r="V4734">
        <v>-0.108496</v>
      </c>
      <c r="W4734">
        <v>0.121806</v>
      </c>
      <c r="X4734">
        <v>0.98660619999999999</v>
      </c>
      <c r="Y4734">
        <v>-0.1605724</v>
      </c>
      <c r="Z4734">
        <v>4.4502449999999999E-2</v>
      </c>
      <c r="AA4734">
        <v>0.98602029999999996</v>
      </c>
      <c r="AB4734">
        <v>27</v>
      </c>
      <c r="AC4734">
        <v>12.824299999999999</v>
      </c>
      <c r="AD4734">
        <v>-1.1129238482599999</v>
      </c>
      <c r="AE4734">
        <v>-4.4591599999999998</v>
      </c>
      <c r="AF4734">
        <v>-2.2128070374007298</v>
      </c>
      <c r="AG4734">
        <v>-1.1129238482599999</v>
      </c>
      <c r="AH4734">
        <v>13.3040523356302</v>
      </c>
      <c r="AI4734">
        <v>94.717323247539397</v>
      </c>
      <c r="AJ4734">
        <v>99.4433183173944</v>
      </c>
      <c r="AK4734">
        <v>13.5326613430612</v>
      </c>
      <c r="AL4734">
        <v>83.003656120372298</v>
      </c>
      <c r="AM4734">
        <v>96.275537971472602</v>
      </c>
      <c r="AN4734">
        <v>0.99999993876521798</v>
      </c>
    </row>
    <row r="4735" spans="1:40" x14ac:dyDescent="0.25">
      <c r="A4735" t="str">
        <f>"20190312164605085"</f>
        <v>20190312164605085</v>
      </c>
      <c r="B4735" t="str">
        <f>"1552380365076432"</f>
        <v>1552380365076432</v>
      </c>
      <c r="C4735" t="s">
        <v>40</v>
      </c>
      <c r="D4735">
        <v>4.9035390000000003</v>
      </c>
      <c r="E4735">
        <v>0.48536210000000002</v>
      </c>
      <c r="F4735" t="s">
        <v>42</v>
      </c>
      <c r="G4735">
        <v>-394.39170000000001</v>
      </c>
      <c r="H4735" s="1">
        <v>-2.8020809999999999E-6</v>
      </c>
      <c r="I4735">
        <v>18.655059999999999</v>
      </c>
      <c r="J4735">
        <v>-406.97980000000001</v>
      </c>
      <c r="K4735">
        <v>1.1127769999999999</v>
      </c>
      <c r="L4735">
        <v>23.015630000000002</v>
      </c>
      <c r="M4735">
        <v>0.87926419999999905</v>
      </c>
      <c r="N4735">
        <v>0</v>
      </c>
      <c r="O4735">
        <v>-0.47613329999999998</v>
      </c>
      <c r="P4735">
        <v>0.91923520000000003</v>
      </c>
      <c r="Q4735">
        <v>0.1082245</v>
      </c>
      <c r="R4735">
        <v>-0.37854300000000002</v>
      </c>
      <c r="S4735">
        <v>2.880646</v>
      </c>
      <c r="T4735">
        <v>-0.25174089999999999</v>
      </c>
      <c r="U4735">
        <v>-1.003601</v>
      </c>
      <c r="V4735">
        <v>-0.1060128</v>
      </c>
      <c r="W4735">
        <v>0.1208968</v>
      </c>
      <c r="X4735">
        <v>0.98698790000000003</v>
      </c>
      <c r="Y4735">
        <v>-0.1583938</v>
      </c>
      <c r="Z4735">
        <v>4.4990549999999997E-2</v>
      </c>
      <c r="AA4735">
        <v>0.98635050000000002</v>
      </c>
      <c r="AB4735">
        <v>27</v>
      </c>
      <c r="AC4735">
        <v>12.588099999999899</v>
      </c>
      <c r="AD4735">
        <v>-1.112779802081</v>
      </c>
      <c r="AE4735">
        <v>-4.3605699999999903</v>
      </c>
      <c r="AF4735">
        <v>-2.14476289826472</v>
      </c>
      <c r="AG4735">
        <v>-1.112779802081</v>
      </c>
      <c r="AH4735">
        <v>13.0546523055776</v>
      </c>
      <c r="AI4735">
        <v>94.807973314068903</v>
      </c>
      <c r="AJ4735">
        <v>99.329838875895106</v>
      </c>
      <c r="AK4735">
        <v>13.276378783283301</v>
      </c>
      <c r="AL4735">
        <v>83.056137260114696</v>
      </c>
      <c r="AM4735">
        <v>96.130660239532403</v>
      </c>
      <c r="AN4735">
        <v>0.99999993238024198</v>
      </c>
    </row>
    <row r="4736" spans="1:40" x14ac:dyDescent="0.25">
      <c r="A4736" t="str">
        <f>"20190312164605096"</f>
        <v>20190312164605096</v>
      </c>
      <c r="B4736" t="str">
        <f>"1552380365086191"</f>
        <v>1552380365086191</v>
      </c>
      <c r="C4736" t="s">
        <v>40</v>
      </c>
      <c r="D4736">
        <v>4.831537</v>
      </c>
      <c r="E4736">
        <v>0.48521609999999998</v>
      </c>
      <c r="F4736" t="s">
        <v>42</v>
      </c>
      <c r="G4736">
        <v>-394.4393</v>
      </c>
      <c r="H4736" s="1">
        <v>-2.7780669999999999E-6</v>
      </c>
      <c r="I4736">
        <v>18.663409999999999</v>
      </c>
      <c r="J4736">
        <v>-406.86219999999997</v>
      </c>
      <c r="K4736">
        <v>1.112662</v>
      </c>
      <c r="L4736">
        <v>22.955020000000001</v>
      </c>
      <c r="M4736">
        <v>0.88041840000000005</v>
      </c>
      <c r="N4736">
        <v>0</v>
      </c>
      <c r="O4736">
        <v>-0.47399599999999997</v>
      </c>
      <c r="P4736">
        <v>0.91920880000000005</v>
      </c>
      <c r="Q4736">
        <v>0.1077833</v>
      </c>
      <c r="R4736">
        <v>-0.37873250000000003</v>
      </c>
      <c r="S4736">
        <v>2.8818359999999998</v>
      </c>
      <c r="T4736">
        <v>-0.25572030000000001</v>
      </c>
      <c r="U4736">
        <v>-1.0001530000000001</v>
      </c>
      <c r="V4736">
        <v>-0.10339420000000001</v>
      </c>
      <c r="W4736">
        <v>0.1204963</v>
      </c>
      <c r="X4736">
        <v>0.98731469999999999</v>
      </c>
      <c r="Y4736">
        <v>-0.15712290000000001</v>
      </c>
      <c r="Z4736">
        <v>4.5480239999999998E-2</v>
      </c>
      <c r="AA4736">
        <v>0.9865313</v>
      </c>
      <c r="AB4736">
        <v>27</v>
      </c>
      <c r="AC4736">
        <v>12.422899999999901</v>
      </c>
      <c r="AD4736">
        <v>-1.112664778067</v>
      </c>
      <c r="AE4736">
        <v>-4.2916100000000004</v>
      </c>
      <c r="AF4736">
        <v>-2.0951787412765901</v>
      </c>
      <c r="AG4736">
        <v>-1.112664778067</v>
      </c>
      <c r="AH4736">
        <v>12.880485495067401</v>
      </c>
      <c r="AI4736">
        <v>94.873430430293396</v>
      </c>
      <c r="AJ4736">
        <v>99.238986378531806</v>
      </c>
      <c r="AK4736">
        <v>13.0971257707518</v>
      </c>
      <c r="AL4736">
        <v>83.079253806442594</v>
      </c>
      <c r="AM4736">
        <v>95.978374124404993</v>
      </c>
      <c r="AN4736">
        <v>1.0000000178717099</v>
      </c>
    </row>
    <row r="4737" spans="1:40" x14ac:dyDescent="0.25">
      <c r="A4737" t="str">
        <f>"20190312164605106"</f>
        <v>20190312164605106</v>
      </c>
      <c r="B4737" t="str">
        <f>"1552380365095951"</f>
        <v>1552380365095951</v>
      </c>
      <c r="C4737" t="s">
        <v>40</v>
      </c>
      <c r="D4737">
        <v>5.0695489999999896</v>
      </c>
      <c r="E4737">
        <v>0.48505900000000002</v>
      </c>
      <c r="F4737" t="s">
        <v>42</v>
      </c>
      <c r="G4737">
        <v>-394.40370000000001</v>
      </c>
      <c r="H4737" s="1">
        <v>-2.8001340000000002E-6</v>
      </c>
      <c r="I4737">
        <v>18.634119999999999</v>
      </c>
      <c r="J4737">
        <v>-406.75150000000002</v>
      </c>
      <c r="K4737">
        <v>1.1125609999999999</v>
      </c>
      <c r="L4737">
        <v>22.89798</v>
      </c>
      <c r="M4737">
        <v>0.88148470000000001</v>
      </c>
      <c r="N4737">
        <v>0</v>
      </c>
      <c r="O4737">
        <v>-0.47201009999999999</v>
      </c>
      <c r="P4737">
        <v>0.91912159999999998</v>
      </c>
      <c r="Q4737">
        <v>0.1071912</v>
      </c>
      <c r="R4737">
        <v>-0.37911149999999999</v>
      </c>
      <c r="S4737">
        <v>2.8820190000000001</v>
      </c>
      <c r="T4737">
        <v>-0.25739010000000001</v>
      </c>
      <c r="U4737">
        <v>-0.99954219999999905</v>
      </c>
      <c r="V4737">
        <v>-0.10075290000000001</v>
      </c>
      <c r="W4737">
        <v>0.11994440000000001</v>
      </c>
      <c r="X4737">
        <v>0.9876549</v>
      </c>
      <c r="Y4737">
        <v>-0.15508849999999999</v>
      </c>
      <c r="Z4737">
        <v>4.5539429999999999E-2</v>
      </c>
      <c r="AA4737">
        <v>0.98685040000000002</v>
      </c>
      <c r="AB4737">
        <v>27</v>
      </c>
      <c r="AC4737">
        <v>12.347799999999999</v>
      </c>
      <c r="AD4737">
        <v>-1.1125638001339999</v>
      </c>
      <c r="AE4737">
        <v>-4.2638599999999904</v>
      </c>
      <c r="AF4737">
        <v>-2.05505055955854</v>
      </c>
      <c r="AG4737">
        <v>-1.1125638001339999</v>
      </c>
      <c r="AH4737">
        <v>12.8053314923547</v>
      </c>
      <c r="AI4737">
        <v>94.903124618611201</v>
      </c>
      <c r="AJ4737">
        <v>99.117312704603407</v>
      </c>
      <c r="AK4737">
        <v>13.016817800092401</v>
      </c>
      <c r="AL4737">
        <v>83.111106268271897</v>
      </c>
      <c r="AM4737">
        <v>95.824722243443603</v>
      </c>
      <c r="AN4737">
        <v>1.0000000037218899</v>
      </c>
    </row>
    <row r="4738" spans="1:40" x14ac:dyDescent="0.25">
      <c r="A4738" t="str">
        <f>"20190312164605117"</f>
        <v>20190312164605117</v>
      </c>
      <c r="B4738" t="str">
        <f>"1552380365106687"</f>
        <v>1552380365106687</v>
      </c>
      <c r="C4738" t="s">
        <v>40</v>
      </c>
      <c r="D4738">
        <v>4.8715609999999998</v>
      </c>
      <c r="E4738">
        <v>0.4848904</v>
      </c>
      <c r="F4738" t="s">
        <v>42</v>
      </c>
      <c r="G4738">
        <v>-394.31470000000002</v>
      </c>
      <c r="H4738" s="1">
        <v>-2.850673E-6</v>
      </c>
      <c r="I4738">
        <v>18.586310000000001</v>
      </c>
      <c r="J4738">
        <v>-406.64400000000001</v>
      </c>
      <c r="K4738">
        <v>1.1124609999999999</v>
      </c>
      <c r="L4738">
        <v>22.843019999999999</v>
      </c>
      <c r="M4738">
        <v>0.88247050000000005</v>
      </c>
      <c r="N4738">
        <v>0</v>
      </c>
      <c r="O4738">
        <v>-0.470165</v>
      </c>
      <c r="P4738">
        <v>0.91905499999999996</v>
      </c>
      <c r="Q4738">
        <v>0.1068877</v>
      </c>
      <c r="R4738">
        <v>-0.379359</v>
      </c>
      <c r="S4738">
        <v>2.8818969999999999</v>
      </c>
      <c r="T4738">
        <v>-0.25780730000000002</v>
      </c>
      <c r="U4738">
        <v>-0.99911499999999998</v>
      </c>
      <c r="V4738">
        <v>-9.8401080000000002E-2</v>
      </c>
      <c r="W4738">
        <v>0.119675</v>
      </c>
      <c r="X4738">
        <v>0.98792460000000004</v>
      </c>
      <c r="Y4738">
        <v>-0.15314420000000001</v>
      </c>
      <c r="Z4738">
        <v>4.5393950000000002E-2</v>
      </c>
      <c r="AA4738">
        <v>0.9871607</v>
      </c>
      <c r="AB4738">
        <v>27</v>
      </c>
      <c r="AC4738">
        <v>12.3292999999999</v>
      </c>
      <c r="AD4738">
        <v>-1.112463850673</v>
      </c>
      <c r="AE4738">
        <v>-4.25671</v>
      </c>
      <c r="AF4738">
        <v>-2.0258424300678701</v>
      </c>
      <c r="AG4738">
        <v>-1.112463850673</v>
      </c>
      <c r="AH4738">
        <v>12.7897919069826</v>
      </c>
      <c r="AI4738">
        <v>94.9102005828655</v>
      </c>
      <c r="AJ4738">
        <v>99.000604818406003</v>
      </c>
      <c r="AK4738">
        <v>12.996937731420999</v>
      </c>
      <c r="AL4738">
        <v>83.126653348020895</v>
      </c>
      <c r="AM4738">
        <v>95.688118479039602</v>
      </c>
      <c r="AN4738">
        <v>0.99999994672766102</v>
      </c>
    </row>
    <row r="4739" spans="1:40" x14ac:dyDescent="0.25">
      <c r="A4739" t="str">
        <f>"20190312164605127"</f>
        <v>20190312164605127</v>
      </c>
      <c r="B4739" t="str">
        <f>"1552380365116447"</f>
        <v>1552380365116447</v>
      </c>
      <c r="C4739" t="s">
        <v>40</v>
      </c>
      <c r="D4739">
        <v>5.0401730000000002</v>
      </c>
      <c r="E4739">
        <v>0.48474689999999998</v>
      </c>
      <c r="F4739" t="s">
        <v>42</v>
      </c>
      <c r="G4739">
        <v>-394.17959999999999</v>
      </c>
      <c r="H4739" s="1">
        <v>-2.9251219999999999E-6</v>
      </c>
      <c r="I4739">
        <v>18.526450000000001</v>
      </c>
      <c r="J4739">
        <v>-406.52609999999999</v>
      </c>
      <c r="K4739">
        <v>1.1123540000000001</v>
      </c>
      <c r="L4739">
        <v>22.782869999999999</v>
      </c>
      <c r="M4739">
        <v>0.88353409999999999</v>
      </c>
      <c r="N4739">
        <v>0</v>
      </c>
      <c r="O4739">
        <v>-0.46816400000000002</v>
      </c>
      <c r="P4739">
        <v>0.91909940000000001</v>
      </c>
      <c r="Q4739">
        <v>0.1064625</v>
      </c>
      <c r="R4739">
        <v>-0.37937070000000001</v>
      </c>
      <c r="S4739">
        <v>2.8821720000000002</v>
      </c>
      <c r="T4739">
        <v>-0.2572393</v>
      </c>
      <c r="U4739">
        <v>-0.99813839999999998</v>
      </c>
      <c r="V4739">
        <v>-9.6133360000000001E-2</v>
      </c>
      <c r="W4739">
        <v>0.119284</v>
      </c>
      <c r="X4739">
        <v>0.98819520000000005</v>
      </c>
      <c r="Y4739">
        <v>-0.15125339999999901</v>
      </c>
      <c r="Z4739">
        <v>4.5062249999999998E-2</v>
      </c>
      <c r="AA4739">
        <v>0.98746730000000005</v>
      </c>
      <c r="AB4739">
        <v>27</v>
      </c>
      <c r="AC4739">
        <v>12.346499999999899</v>
      </c>
      <c r="AD4739">
        <v>-1.112356925122</v>
      </c>
      <c r="AE4739">
        <v>-4.2564200000000003</v>
      </c>
      <c r="AF4739">
        <v>-2.0051394654287802</v>
      </c>
      <c r="AG4739">
        <v>-1.112356925122</v>
      </c>
      <c r="AH4739">
        <v>12.809550549673</v>
      </c>
      <c r="AI4739">
        <v>94.903589458838496</v>
      </c>
      <c r="AJ4739">
        <v>98.896583179868699</v>
      </c>
      <c r="AK4739">
        <v>13.0131666972076</v>
      </c>
      <c r="AL4739">
        <v>83.149218169538301</v>
      </c>
      <c r="AM4739">
        <v>95.556349859604595</v>
      </c>
      <c r="AN4739">
        <v>1.00000002443196</v>
      </c>
    </row>
    <row r="4740" spans="1:40" x14ac:dyDescent="0.25">
      <c r="A4740" t="str">
        <f>"20190312164605137"</f>
        <v>20190312164605137</v>
      </c>
      <c r="B4740" t="str">
        <f>"1552380365126207"</f>
        <v>1552380365126207</v>
      </c>
      <c r="C4740" t="s">
        <v>40</v>
      </c>
      <c r="D4740">
        <v>4.9836609999999997</v>
      </c>
      <c r="E4740">
        <v>0.48460029999999998</v>
      </c>
      <c r="F4740" t="s">
        <v>42</v>
      </c>
      <c r="G4740">
        <v>-394.06119999999999</v>
      </c>
      <c r="H4740" s="1">
        <v>-2.9907719999999999E-6</v>
      </c>
      <c r="I4740">
        <v>18.47195</v>
      </c>
      <c r="J4740">
        <v>-406.41840000000002</v>
      </c>
      <c r="K4740">
        <v>1.1122529999999999</v>
      </c>
      <c r="L4740">
        <v>22.72833</v>
      </c>
      <c r="M4740">
        <v>0.88445099999999999</v>
      </c>
      <c r="N4740">
        <v>0</v>
      </c>
      <c r="O4740">
        <v>-0.46642990000000001</v>
      </c>
      <c r="P4740">
        <v>0.91907680000000003</v>
      </c>
      <c r="Q4740">
        <v>0.10621989999999901</v>
      </c>
      <c r="R4740">
        <v>-0.37949369999999999</v>
      </c>
      <c r="S4740">
        <v>2.8823850000000002</v>
      </c>
      <c r="T4740">
        <v>-0.25722119999999998</v>
      </c>
      <c r="U4740">
        <v>-0.99685670000000004</v>
      </c>
      <c r="V4740">
        <v>-9.40415E-2</v>
      </c>
      <c r="W4740">
        <v>0.11907089999999899</v>
      </c>
      <c r="X4740">
        <v>0.98842220000000003</v>
      </c>
      <c r="Y4740">
        <v>-0.14973919999999999</v>
      </c>
      <c r="Z4740">
        <v>4.4864920000000003E-2</v>
      </c>
      <c r="AA4740">
        <v>0.98770709999999995</v>
      </c>
      <c r="AB4740">
        <v>27</v>
      </c>
      <c r="AC4740">
        <v>12.357200000000001</v>
      </c>
      <c r="AD4740">
        <v>-1.112255990772</v>
      </c>
      <c r="AE4740">
        <v>-4.2563800000000001</v>
      </c>
      <c r="AF4740">
        <v>-1.9850213720593699</v>
      </c>
      <c r="AG4740">
        <v>-1.112255990772</v>
      </c>
      <c r="AH4740">
        <v>12.822996819266701</v>
      </c>
      <c r="AI4740">
        <v>94.899314258644296</v>
      </c>
      <c r="AJ4740">
        <v>98.799636001651507</v>
      </c>
      <c r="AK4740">
        <v>13.023312584111</v>
      </c>
      <c r="AL4740">
        <v>83.161515816881405</v>
      </c>
      <c r="AM4740">
        <v>95.434935081030204</v>
      </c>
      <c r="AN4740">
        <v>1.0000000642009399</v>
      </c>
    </row>
    <row r="4741" spans="1:40" x14ac:dyDescent="0.25">
      <c r="A4741" t="str">
        <f>"20190312164605148"</f>
        <v>20190312164605148</v>
      </c>
      <c r="B4741" t="str">
        <f>"1552380365135967"</f>
        <v>1552380365135967</v>
      </c>
      <c r="C4741" t="s">
        <v>40</v>
      </c>
      <c r="D4741">
        <v>4.9623480000000004</v>
      </c>
      <c r="E4741">
        <v>0.48447269999999998</v>
      </c>
      <c r="F4741" t="s">
        <v>42</v>
      </c>
      <c r="G4741">
        <v>-393.93669999999997</v>
      </c>
      <c r="H4741" s="1">
        <v>-3.059802E-6</v>
      </c>
      <c r="I4741">
        <v>18.414560000000002</v>
      </c>
      <c r="J4741">
        <v>-406.30369999999999</v>
      </c>
      <c r="K4741">
        <v>1.1121490000000001</v>
      </c>
      <c r="L4741">
        <v>22.67023</v>
      </c>
      <c r="M4741">
        <v>0.88541879999999995</v>
      </c>
      <c r="N4741">
        <v>0</v>
      </c>
      <c r="O4741">
        <v>-0.46459070000000002</v>
      </c>
      <c r="P4741">
        <v>0.91914589999999996</v>
      </c>
      <c r="Q4741">
        <v>0.1059877</v>
      </c>
      <c r="R4741">
        <v>-0.3793916</v>
      </c>
      <c r="S4741">
        <v>2.8825069999999999</v>
      </c>
      <c r="T4741">
        <v>-0.256862799999999</v>
      </c>
      <c r="U4741">
        <v>-0.99621579999999998</v>
      </c>
      <c r="V4741">
        <v>-9.2073950000000002E-2</v>
      </c>
      <c r="W4741">
        <v>0.1188664</v>
      </c>
      <c r="X4741">
        <v>0.98863199999999996</v>
      </c>
      <c r="Y4741">
        <v>-0.14791000000000001</v>
      </c>
      <c r="Z4741">
        <v>4.4586399999999998E-2</v>
      </c>
      <c r="AA4741">
        <v>0.98799530000000002</v>
      </c>
      <c r="AB4741">
        <v>27</v>
      </c>
      <c r="AC4741">
        <v>12.367000000000001</v>
      </c>
      <c r="AD4741">
        <v>-1.1121520598019901</v>
      </c>
      <c r="AE4741">
        <v>-4.2556699999999896</v>
      </c>
      <c r="AF4741">
        <v>-1.9635316568946399</v>
      </c>
      <c r="AG4741">
        <v>-1.1121520598019901</v>
      </c>
      <c r="AH4741">
        <v>12.835527662553501</v>
      </c>
      <c r="AI4741">
        <v>94.895435978083896</v>
      </c>
      <c r="AJ4741">
        <v>98.697469852147094</v>
      </c>
      <c r="AK4741">
        <v>13.0323869320983</v>
      </c>
      <c r="AL4741">
        <v>83.173316393839698</v>
      </c>
      <c r="AM4741">
        <v>95.320761496765698</v>
      </c>
      <c r="AN4741">
        <v>1.0000000323707801</v>
      </c>
    </row>
    <row r="4742" spans="1:40" x14ac:dyDescent="0.25">
      <c r="A4742" t="str">
        <f>"20190312164605159"</f>
        <v>20190312164605159</v>
      </c>
      <c r="B4742" t="str">
        <f>"1552380365156463"</f>
        <v>1552380365156463</v>
      </c>
      <c r="C4742" t="s">
        <v>40</v>
      </c>
      <c r="D4742">
        <v>4.869402</v>
      </c>
      <c r="E4742">
        <v>0.48422730000000003</v>
      </c>
      <c r="F4742" t="s">
        <v>42</v>
      </c>
      <c r="G4742">
        <v>-393.79430000000002</v>
      </c>
      <c r="H4742" s="1">
        <v>-3.1379160000000001E-6</v>
      </c>
      <c r="I4742">
        <v>18.353629999999999</v>
      </c>
      <c r="J4742">
        <v>-406.19009999999997</v>
      </c>
      <c r="K4742">
        <v>1.1120490000000001</v>
      </c>
      <c r="L4742">
        <v>22.613130000000002</v>
      </c>
      <c r="M4742">
        <v>0.88631879999999996</v>
      </c>
      <c r="N4742">
        <v>0</v>
      </c>
      <c r="O4742">
        <v>-0.4628718</v>
      </c>
      <c r="P4742">
        <v>0.91905329999999996</v>
      </c>
      <c r="Q4742">
        <v>0.105771</v>
      </c>
      <c r="R4742">
        <v>-0.37967630000000002</v>
      </c>
      <c r="S4742">
        <v>2.8828429999999998</v>
      </c>
      <c r="T4742">
        <v>-0.25630120000000001</v>
      </c>
      <c r="U4742">
        <v>-0.99478149999999999</v>
      </c>
      <c r="V4742">
        <v>-8.9826630000000005E-2</v>
      </c>
      <c r="W4742">
        <v>0.1186789</v>
      </c>
      <c r="X4742">
        <v>0.9888612</v>
      </c>
      <c r="Y4742">
        <v>-0.1464839</v>
      </c>
      <c r="Z4742">
        <v>4.4299119999999997E-2</v>
      </c>
      <c r="AA4742">
        <v>0.9882206</v>
      </c>
      <c r="AB4742">
        <v>27</v>
      </c>
      <c r="AC4742">
        <v>12.3957999999999</v>
      </c>
      <c r="AD4742">
        <v>-1.112052137916</v>
      </c>
      <c r="AE4742">
        <v>-4.2594999999999903</v>
      </c>
      <c r="AF4742">
        <v>-1.9485502652204301</v>
      </c>
      <c r="AG4742">
        <v>-1.112052137916</v>
      </c>
      <c r="AH4742">
        <v>12.8668364920879</v>
      </c>
      <c r="AI4742">
        <v>94.884255898884305</v>
      </c>
      <c r="AJ4742">
        <v>98.611423871362106</v>
      </c>
      <c r="AK4742">
        <v>13.060971993219299</v>
      </c>
      <c r="AL4742">
        <v>83.184135640282605</v>
      </c>
      <c r="AM4742">
        <v>95.190415282764505</v>
      </c>
      <c r="AN4742">
        <v>0.99999998881390295</v>
      </c>
    </row>
    <row r="4743" spans="1:40" x14ac:dyDescent="0.25">
      <c r="A4743" t="str">
        <f>"20190312164605171"</f>
        <v>20190312164605171</v>
      </c>
      <c r="B4743" t="str">
        <f>"1552380365166224"</f>
        <v>1552380365166224</v>
      </c>
      <c r="C4743" t="s">
        <v>40</v>
      </c>
      <c r="D4743">
        <v>4.7277250000000004</v>
      </c>
      <c r="E4743">
        <v>0.46258329999999998</v>
      </c>
      <c r="F4743" t="s">
        <v>42</v>
      </c>
      <c r="G4743">
        <v>-393.6456</v>
      </c>
      <c r="H4743" s="1">
        <v>-3.2197330000000001E-6</v>
      </c>
      <c r="I4743">
        <v>18.288820000000001</v>
      </c>
      <c r="J4743">
        <v>-406.05849999999998</v>
      </c>
      <c r="K4743">
        <v>1.111937</v>
      </c>
      <c r="L4743">
        <v>22.547029999999999</v>
      </c>
      <c r="M4743">
        <v>0.88734480000000004</v>
      </c>
      <c r="N4743">
        <v>0</v>
      </c>
      <c r="O4743">
        <v>-0.46090249999999999</v>
      </c>
      <c r="P4743">
        <v>0.91931960000000001</v>
      </c>
      <c r="Q4743">
        <v>0.1052951</v>
      </c>
      <c r="R4743">
        <v>-0.37916359999999999</v>
      </c>
      <c r="S4743">
        <v>2.883057</v>
      </c>
      <c r="T4743">
        <v>-0.25557770000000002</v>
      </c>
      <c r="U4743">
        <v>-0.99383540000000004</v>
      </c>
      <c r="V4743">
        <v>-8.816823E-2</v>
      </c>
      <c r="W4743">
        <v>0.1182267</v>
      </c>
      <c r="X4743">
        <v>0.98906459999999996</v>
      </c>
      <c r="Y4743">
        <v>-0.14462230000000001</v>
      </c>
      <c r="Z4743">
        <v>4.3947590000000002E-2</v>
      </c>
      <c r="AA4743">
        <v>0.98851049999999996</v>
      </c>
      <c r="AB4743">
        <v>27</v>
      </c>
      <c r="AC4743">
        <v>12.412899999999899</v>
      </c>
      <c r="AD4743">
        <v>-1.1119402197329999</v>
      </c>
      <c r="AE4743">
        <v>-4.2582099999999903</v>
      </c>
      <c r="AF4743">
        <v>-1.9289696931804801</v>
      </c>
      <c r="AG4743">
        <v>-1.1119402197329999</v>
      </c>
      <c r="AH4743">
        <v>12.885847689077501</v>
      </c>
      <c r="AI4743">
        <v>94.877841747210397</v>
      </c>
      <c r="AJ4743">
        <v>98.513772996025807</v>
      </c>
      <c r="AK4743">
        <v>13.0767888181913</v>
      </c>
      <c r="AL4743">
        <v>83.210228476230597</v>
      </c>
      <c r="AM4743">
        <v>95.094055443627596</v>
      </c>
      <c r="AN4743">
        <v>0.99999998617369101</v>
      </c>
    </row>
    <row r="4744" spans="1:40" x14ac:dyDescent="0.25">
      <c r="A4744" t="str">
        <f>"20190312164605181"</f>
        <v>20190312164605181</v>
      </c>
      <c r="B4744" t="str">
        <f>"1552380365176959"</f>
        <v>1552380365176959</v>
      </c>
      <c r="C4744" t="s">
        <v>40</v>
      </c>
      <c r="D4744">
        <v>4.7137520000000004</v>
      </c>
      <c r="E4744">
        <v>0.4610612</v>
      </c>
      <c r="F4744" t="s">
        <v>81</v>
      </c>
      <c r="G4744">
        <v>-387.01049999999998</v>
      </c>
      <c r="H4744" s="1">
        <v>-1.854992E-6</v>
      </c>
      <c r="I4744">
        <v>17.12801</v>
      </c>
      <c r="J4744">
        <v>-405.93939999999998</v>
      </c>
      <c r="K4744">
        <v>1.1118380000000001</v>
      </c>
      <c r="L4744">
        <v>22.487549999999999</v>
      </c>
      <c r="M4744">
        <v>0.88822769999999995</v>
      </c>
      <c r="N4744">
        <v>0</v>
      </c>
      <c r="O4744">
        <v>-0.45919880000000002</v>
      </c>
      <c r="P4744">
        <v>0.91942610000000002</v>
      </c>
      <c r="Q4744">
        <v>0.10506790000000001</v>
      </c>
      <c r="R4744">
        <v>-0.37896770000000002</v>
      </c>
      <c r="S4744">
        <v>2.9381409999999999</v>
      </c>
      <c r="T4744">
        <v>-0.1715151</v>
      </c>
      <c r="U4744">
        <v>-0.83587649999999902</v>
      </c>
      <c r="V4744">
        <v>-8.6460110000000007E-2</v>
      </c>
      <c r="W4744">
        <v>0.11802120000000001</v>
      </c>
      <c r="X4744">
        <v>0.98923989999999995</v>
      </c>
      <c r="Y4744">
        <v>-0.19768230000000001</v>
      </c>
      <c r="Z4744">
        <v>3.0736510000000002E-2</v>
      </c>
      <c r="AA4744">
        <v>0.97978410000000005</v>
      </c>
      <c r="AB4744">
        <v>27</v>
      </c>
      <c r="AC4744">
        <v>18.928899999999999</v>
      </c>
      <c r="AD4744">
        <v>-1.1118398549920001</v>
      </c>
      <c r="AE4744">
        <v>-5.3595399999999902</v>
      </c>
      <c r="AF4744">
        <v>-3.9194868830824299</v>
      </c>
      <c r="AG4744">
        <v>-1.1118398549920001</v>
      </c>
      <c r="AH4744">
        <v>19.214707028035701</v>
      </c>
      <c r="AI4744">
        <v>93.244994542697398</v>
      </c>
      <c r="AJ4744">
        <v>101.529233345946</v>
      </c>
      <c r="AK4744">
        <v>19.641882075377801</v>
      </c>
      <c r="AL4744">
        <v>83.222085643238302</v>
      </c>
      <c r="AM4744">
        <v>94.994989700675603</v>
      </c>
      <c r="AN4744">
        <v>0.99999996701132998</v>
      </c>
    </row>
    <row r="4745" spans="1:40" x14ac:dyDescent="0.25">
      <c r="A4745" t="str">
        <f>"20190312164605194"</f>
        <v>20190312164605194</v>
      </c>
      <c r="B4745" t="str">
        <f>"1552380365186719"</f>
        <v>1552380365186719</v>
      </c>
      <c r="C4745" t="s">
        <v>40</v>
      </c>
      <c r="D4745">
        <v>4.660177</v>
      </c>
      <c r="E4745">
        <v>0.46037519999999998</v>
      </c>
      <c r="F4745" t="s">
        <v>81</v>
      </c>
      <c r="G4745">
        <v>-384.30549999999999</v>
      </c>
      <c r="H4745" s="1">
        <v>-3.2591269999999898E-6</v>
      </c>
      <c r="I4745">
        <v>16.42052</v>
      </c>
      <c r="J4745">
        <v>-405.80939999999998</v>
      </c>
      <c r="K4745">
        <v>1.1117379999999999</v>
      </c>
      <c r="L4745">
        <v>22.42285</v>
      </c>
      <c r="M4745">
        <v>0.88916519999999999</v>
      </c>
      <c r="N4745">
        <v>0</v>
      </c>
      <c r="O4745">
        <v>-0.45738099999999998</v>
      </c>
      <c r="P4745">
        <v>0.91955100000000001</v>
      </c>
      <c r="Q4745">
        <v>0.1047636</v>
      </c>
      <c r="R4745">
        <v>-0.37874920000000001</v>
      </c>
      <c r="S4745">
        <v>2.9403079999999999</v>
      </c>
      <c r="T4745">
        <v>-0.1511132</v>
      </c>
      <c r="U4745">
        <v>-0.82458500000000001</v>
      </c>
      <c r="V4745">
        <v>-8.4654779999999999E-2</v>
      </c>
      <c r="W4745">
        <v>0.117739</v>
      </c>
      <c r="X4745">
        <v>0.98942969999999997</v>
      </c>
      <c r="Y4745">
        <v>-0.19956650000000001</v>
      </c>
      <c r="Z4745">
        <v>2.7052010000000001E-2</v>
      </c>
      <c r="AA4745">
        <v>0.97951080000000001</v>
      </c>
      <c r="AB4745">
        <v>27</v>
      </c>
      <c r="AC4745">
        <v>21.503899999999899</v>
      </c>
      <c r="AD4745">
        <v>-1.1117412591269999</v>
      </c>
      <c r="AE4745">
        <v>-6.0023299999999997</v>
      </c>
      <c r="AF4745">
        <v>-4.4877070214130104</v>
      </c>
      <c r="AG4745">
        <v>-1.1117412591269999</v>
      </c>
      <c r="AH4745">
        <v>21.813834900416101</v>
      </c>
      <c r="AI4745">
        <v>92.857805330988995</v>
      </c>
      <c r="AJ4745">
        <v>101.62512538668101</v>
      </c>
      <c r="AK4745">
        <v>22.298405234453401</v>
      </c>
      <c r="AL4745">
        <v>83.238368379792902</v>
      </c>
      <c r="AM4745">
        <v>94.890269456652206</v>
      </c>
      <c r="AN4745">
        <v>1.0000000175699599</v>
      </c>
    </row>
    <row r="4746" spans="1:40" x14ac:dyDescent="0.25">
      <c r="A4746" t="str">
        <f>"20190312164605204"</f>
        <v>20190312164605204</v>
      </c>
      <c r="B4746" t="str">
        <f>"1552380365196479"</f>
        <v>1552380365196479</v>
      </c>
      <c r="C4746" t="s">
        <v>40</v>
      </c>
      <c r="D4746">
        <v>4.7705950000000001</v>
      </c>
      <c r="E4746">
        <v>0.45979189999999998</v>
      </c>
      <c r="F4746" t="s">
        <v>81</v>
      </c>
      <c r="G4746">
        <v>-382.59</v>
      </c>
      <c r="H4746" s="1">
        <v>-4.151967E-6</v>
      </c>
      <c r="I4746">
        <v>15.95879</v>
      </c>
      <c r="J4746">
        <v>-405.69929999999999</v>
      </c>
      <c r="K4746">
        <v>1.1116619999999999</v>
      </c>
      <c r="L4746">
        <v>22.368259999999999</v>
      </c>
      <c r="M4746">
        <v>0.88993539999999904</v>
      </c>
      <c r="N4746">
        <v>0</v>
      </c>
      <c r="O4746">
        <v>-0.45588119999999999</v>
      </c>
      <c r="P4746">
        <v>0.91963859999999997</v>
      </c>
      <c r="Q4746">
        <v>0.1045755</v>
      </c>
      <c r="R4746">
        <v>-0.37858819999999999</v>
      </c>
      <c r="S4746">
        <v>2.9412539999999998</v>
      </c>
      <c r="T4746">
        <v>-0.1408267</v>
      </c>
      <c r="U4746">
        <v>-0.81881709999999996</v>
      </c>
      <c r="V4746">
        <v>-8.3142850000000004E-2</v>
      </c>
      <c r="W4746">
        <v>0.11756759999999999</v>
      </c>
      <c r="X4746">
        <v>0.98957819999999996</v>
      </c>
      <c r="Y4746">
        <v>-0.19987730000000001</v>
      </c>
      <c r="Z4746">
        <v>2.5159170000000002E-2</v>
      </c>
      <c r="AA4746">
        <v>0.97949779999999997</v>
      </c>
      <c r="AB4746">
        <v>27</v>
      </c>
      <c r="AC4746">
        <v>23.109300000000001</v>
      </c>
      <c r="AD4746">
        <v>-1.1116661519669999</v>
      </c>
      <c r="AE4746">
        <v>-6.4094699999999998</v>
      </c>
      <c r="AF4746">
        <v>-4.8211741142471203</v>
      </c>
      <c r="AG4746">
        <v>-1.1116661519669999</v>
      </c>
      <c r="AH4746">
        <v>23.439574924772199</v>
      </c>
      <c r="AI4746">
        <v>92.659729477999505</v>
      </c>
      <c r="AJ4746">
        <v>101.622797960257</v>
      </c>
      <c r="AK4746">
        <v>23.956068002226999</v>
      </c>
      <c r="AL4746">
        <v>83.248257060171795</v>
      </c>
      <c r="AM4746">
        <v>94.802624398774597</v>
      </c>
      <c r="AN4746">
        <v>0.99999994399555903</v>
      </c>
    </row>
    <row r="4747" spans="1:40" x14ac:dyDescent="0.25">
      <c r="A4747" t="str">
        <f>"20190312164605216"</f>
        <v>20190312164605216</v>
      </c>
      <c r="B4747" t="str">
        <f>"1552380365206239"</f>
        <v>1552380365206239</v>
      </c>
      <c r="C4747" t="s">
        <v>40</v>
      </c>
      <c r="D4747">
        <v>4.8859190000000003</v>
      </c>
      <c r="E4747">
        <v>0.45958860000000001</v>
      </c>
      <c r="F4747" t="s">
        <v>81</v>
      </c>
      <c r="G4747">
        <v>-381.18700000000001</v>
      </c>
      <c r="H4747" s="1">
        <v>-4.8808839999999997E-6</v>
      </c>
      <c r="I4747">
        <v>15.5883</v>
      </c>
      <c r="J4747">
        <v>-405.58139999999997</v>
      </c>
      <c r="K4747">
        <v>1.1115820000000001</v>
      </c>
      <c r="L4747">
        <v>22.30997</v>
      </c>
      <c r="M4747">
        <v>0.89073530000000001</v>
      </c>
      <c r="N4747">
        <v>0</v>
      </c>
      <c r="O4747">
        <v>-0.45431690000000002</v>
      </c>
      <c r="P4747">
        <v>0.91963919999999999</v>
      </c>
      <c r="Q4747">
        <v>0.104452</v>
      </c>
      <c r="R4747">
        <v>-0.37862079999999998</v>
      </c>
      <c r="S4747">
        <v>2.9422609999999998</v>
      </c>
      <c r="T4747">
        <v>-0.13343559999999999</v>
      </c>
      <c r="U4747">
        <v>-0.81381230000000004</v>
      </c>
      <c r="V4747">
        <v>-8.134922E-2</v>
      </c>
      <c r="W4747">
        <v>0.117461999999999</v>
      </c>
      <c r="X4747">
        <v>0.98973979999999995</v>
      </c>
      <c r="Y4747">
        <v>-0.1998569</v>
      </c>
      <c r="Z4747">
        <v>2.3777840000000001E-2</v>
      </c>
      <c r="AA4747">
        <v>0.97953650000000003</v>
      </c>
      <c r="AB4747">
        <v>27</v>
      </c>
      <c r="AC4747">
        <v>24.394400000000001</v>
      </c>
      <c r="AD4747">
        <v>-1.1115868808839999</v>
      </c>
      <c r="AE4747">
        <v>-6.7216699999999996</v>
      </c>
      <c r="AF4747">
        <v>-5.0862197010802799</v>
      </c>
      <c r="AG4747">
        <v>-1.1115868808839999</v>
      </c>
      <c r="AH4747">
        <v>24.7372967943991</v>
      </c>
      <c r="AI4747">
        <v>92.520242794556097</v>
      </c>
      <c r="AJ4747">
        <v>101.618627749396</v>
      </c>
      <c r="AK4747">
        <v>25.279222870483899</v>
      </c>
      <c r="AL4747">
        <v>83.254349712552298</v>
      </c>
      <c r="AM4747">
        <v>94.698723257297104</v>
      </c>
      <c r="AN4747">
        <v>0.999999944371322</v>
      </c>
    </row>
    <row r="4748" spans="1:40" x14ac:dyDescent="0.25">
      <c r="A4748" t="str">
        <f>"20190312164605226"</f>
        <v>20190312164605226</v>
      </c>
      <c r="B4748" t="str">
        <f>"1552380365216000"</f>
        <v>1552380365216000</v>
      </c>
      <c r="C4748" t="s">
        <v>40</v>
      </c>
      <c r="D4748">
        <v>4.7481679999999997</v>
      </c>
      <c r="E4748">
        <v>0.45947199999999999</v>
      </c>
      <c r="F4748" t="s">
        <v>81</v>
      </c>
      <c r="G4748">
        <v>-380.08350000000002</v>
      </c>
      <c r="H4748" s="1">
        <v>-5.4581920000000003E-6</v>
      </c>
      <c r="I4748">
        <v>15.274509999999999</v>
      </c>
      <c r="J4748">
        <v>-405.46120000000002</v>
      </c>
      <c r="K4748">
        <v>1.111505</v>
      </c>
      <c r="L4748">
        <v>22.25076</v>
      </c>
      <c r="M4748">
        <v>0.89153189999999904</v>
      </c>
      <c r="N4748">
        <v>0</v>
      </c>
      <c r="O4748">
        <v>-0.45275219999999999</v>
      </c>
      <c r="P4748">
        <v>0.91978599999999999</v>
      </c>
      <c r="Q4748">
        <v>0.10439560000000001</v>
      </c>
      <c r="R4748">
        <v>-0.3782797</v>
      </c>
      <c r="S4748">
        <v>2.9424440000000001</v>
      </c>
      <c r="T4748">
        <v>-0.1282768</v>
      </c>
      <c r="U4748">
        <v>-0.81188959999999999</v>
      </c>
      <c r="V4748">
        <v>-7.9957780000000006E-2</v>
      </c>
      <c r="W4748">
        <v>0.11741889999999899</v>
      </c>
      <c r="X4748">
        <v>0.98985829999999997</v>
      </c>
      <c r="Y4748">
        <v>-0.19879279999999999</v>
      </c>
      <c r="Z4748">
        <v>2.2779130000000002E-2</v>
      </c>
      <c r="AA4748">
        <v>0.9797768</v>
      </c>
      <c r="AB4748">
        <v>27</v>
      </c>
      <c r="AC4748">
        <v>25.377700000000001</v>
      </c>
      <c r="AD4748">
        <v>-1.1115104581919999</v>
      </c>
      <c r="AE4748">
        <v>-6.9762499999999896</v>
      </c>
      <c r="AF4748">
        <v>-5.2613672291858604</v>
      </c>
      <c r="AG4748">
        <v>-1.1115104581919999</v>
      </c>
      <c r="AH4748">
        <v>25.7400353540772</v>
      </c>
      <c r="AI4748">
        <v>92.422589954166597</v>
      </c>
      <c r="AJ4748">
        <v>101.55235353337601</v>
      </c>
      <c r="AK4748">
        <v>26.2957574648111</v>
      </c>
      <c r="AL4748">
        <v>83.256836402490094</v>
      </c>
      <c r="AM4748">
        <v>94.618154006972503</v>
      </c>
      <c r="AN4748">
        <v>0.99999994936931202</v>
      </c>
    </row>
    <row r="4749" spans="1:40" x14ac:dyDescent="0.25">
      <c r="A4749" t="str">
        <f>"20190312164605237"</f>
        <v>20190312164605237</v>
      </c>
      <c r="B4749" t="str">
        <f>"1552380365226736"</f>
        <v>1552380365226736</v>
      </c>
      <c r="C4749" t="s">
        <v>40</v>
      </c>
      <c r="D4749">
        <v>4.7550129999999999</v>
      </c>
      <c r="E4749">
        <v>0.4593486</v>
      </c>
      <c r="F4749" t="s">
        <v>79</v>
      </c>
      <c r="G4749">
        <v>-379.4828</v>
      </c>
      <c r="H4749" s="1">
        <v>-1.383094E-6</v>
      </c>
      <c r="I4749">
        <v>15.105230000000001</v>
      </c>
      <c r="J4749">
        <v>-405.3417</v>
      </c>
      <c r="K4749">
        <v>1.111442</v>
      </c>
      <c r="L4749">
        <v>22.192170000000001</v>
      </c>
      <c r="M4749">
        <v>0.8922949</v>
      </c>
      <c r="N4749">
        <v>0</v>
      </c>
      <c r="O4749">
        <v>-0.45124700000000001</v>
      </c>
      <c r="P4749">
        <v>0.91996259999999996</v>
      </c>
      <c r="Q4749">
        <v>0.1040784</v>
      </c>
      <c r="R4749">
        <v>-0.377938</v>
      </c>
      <c r="S4749">
        <v>2.9430540000000001</v>
      </c>
      <c r="T4749">
        <v>-0.12592139999999999</v>
      </c>
      <c r="U4749">
        <v>-0.80950929999999999</v>
      </c>
      <c r="V4749">
        <v>-7.8648399999999993E-2</v>
      </c>
      <c r="W4749">
        <v>0.11711390000000001</v>
      </c>
      <c r="X4749">
        <v>0.98999939999999997</v>
      </c>
      <c r="Y4749">
        <v>-0.19794870000000001</v>
      </c>
      <c r="Z4749">
        <v>2.2286670000000001E-2</v>
      </c>
      <c r="AA4749">
        <v>0.97995900000000002</v>
      </c>
      <c r="AB4749">
        <v>27</v>
      </c>
      <c r="AC4749">
        <v>25.858899999999998</v>
      </c>
      <c r="AD4749">
        <v>-1.111443383094</v>
      </c>
      <c r="AE4749">
        <v>-7.0869400000000002</v>
      </c>
      <c r="AF4749">
        <v>-5.3364380187938902</v>
      </c>
      <c r="AG4749">
        <v>-1.111443383094</v>
      </c>
      <c r="AH4749">
        <v>26.229098299794899</v>
      </c>
      <c r="AI4749">
        <v>92.377769127100507</v>
      </c>
      <c r="AJ4749">
        <v>101.500141919776</v>
      </c>
      <c r="AK4749">
        <v>26.789521734113801</v>
      </c>
      <c r="AL4749">
        <v>83.274433529795203</v>
      </c>
      <c r="AM4749">
        <v>94.542202023326396</v>
      </c>
      <c r="AN4749">
        <v>1.00000002419806</v>
      </c>
    </row>
    <row r="4750" spans="1:40" x14ac:dyDescent="0.25">
      <c r="A4750" t="str">
        <f>"20190312164605248"</f>
        <v>20190312164605248</v>
      </c>
      <c r="B4750" t="str">
        <f>"1552380365236495"</f>
        <v>1552380365236495</v>
      </c>
      <c r="C4750" t="s">
        <v>40</v>
      </c>
      <c r="D4750">
        <v>4.7949799999999998</v>
      </c>
      <c r="E4750">
        <v>0.4591866</v>
      </c>
      <c r="F4750" t="s">
        <v>79</v>
      </c>
      <c r="G4750">
        <v>-378.91129999999998</v>
      </c>
      <c r="H4750" s="1">
        <v>-1.6452539999999999E-6</v>
      </c>
      <c r="I4750">
        <v>14.94491</v>
      </c>
      <c r="J4750">
        <v>-405.22309999999999</v>
      </c>
      <c r="K4750">
        <v>1.1113740000000001</v>
      </c>
      <c r="L4750">
        <v>22.134160000000001</v>
      </c>
      <c r="M4750">
        <v>0.89304300000000003</v>
      </c>
      <c r="N4750">
        <v>0</v>
      </c>
      <c r="O4750">
        <v>-0.44976460000000001</v>
      </c>
      <c r="P4750">
        <v>0.92012890000000003</v>
      </c>
      <c r="Q4750">
        <v>0.1036908</v>
      </c>
      <c r="R4750">
        <v>-0.37763920000000001</v>
      </c>
      <c r="S4750">
        <v>2.943451</v>
      </c>
      <c r="T4750">
        <v>-0.123777</v>
      </c>
      <c r="U4750">
        <v>-0.80709839999999999</v>
      </c>
      <c r="V4750">
        <v>-7.7322920000000003E-2</v>
      </c>
      <c r="W4750">
        <v>0.11673740000000001</v>
      </c>
      <c r="X4750">
        <v>0.99014820000000003</v>
      </c>
      <c r="Y4750">
        <v>-0.19712009999999999</v>
      </c>
      <c r="Z4750">
        <v>2.183684E-2</v>
      </c>
      <c r="AA4750">
        <v>0.98013609999999896</v>
      </c>
      <c r="AB4750">
        <v>27</v>
      </c>
      <c r="AC4750">
        <v>26.311800000000002</v>
      </c>
      <c r="AD4750">
        <v>-1.111375645254</v>
      </c>
      <c r="AE4750">
        <v>-7.1892500000000004</v>
      </c>
      <c r="AF4750">
        <v>-5.4053366347103298</v>
      </c>
      <c r="AG4750">
        <v>-1.111375645254</v>
      </c>
      <c r="AH4750">
        <v>26.689216869630702</v>
      </c>
      <c r="AI4750">
        <v>92.3371017055359</v>
      </c>
      <c r="AJ4750">
        <v>101.449184609396</v>
      </c>
      <c r="AK4750">
        <v>27.253754183113699</v>
      </c>
      <c r="AL4750">
        <v>83.296153923177897</v>
      </c>
      <c r="AM4750">
        <v>94.465295109182605</v>
      </c>
      <c r="AN4750">
        <v>0.99999995623966198</v>
      </c>
    </row>
    <row r="4751" spans="1:40" x14ac:dyDescent="0.25">
      <c r="A4751" t="str">
        <f>"20190312164605260"</f>
        <v>20190312164605260</v>
      </c>
      <c r="B4751" t="str">
        <f>"1552380365256016"</f>
        <v>1552380365256016</v>
      </c>
      <c r="C4751" t="s">
        <v>40</v>
      </c>
      <c r="D4751">
        <v>4.9035289999999998</v>
      </c>
      <c r="E4751">
        <v>0.45904810000000001</v>
      </c>
      <c r="F4751" t="s">
        <v>79</v>
      </c>
      <c r="G4751">
        <v>-378.8621</v>
      </c>
      <c r="H4751" s="1">
        <v>-1.6678099999999901E-6</v>
      </c>
      <c r="I4751">
        <v>14.931039999999999</v>
      </c>
      <c r="J4751">
        <v>-405.09269999999998</v>
      </c>
      <c r="K4751">
        <v>1.1113120000000001</v>
      </c>
      <c r="L4751">
        <v>22.070740000000001</v>
      </c>
      <c r="M4751">
        <v>0.89383299999999999</v>
      </c>
      <c r="N4751">
        <v>0</v>
      </c>
      <c r="O4751">
        <v>-0.4481926</v>
      </c>
      <c r="P4751">
        <v>0.92040509999999998</v>
      </c>
      <c r="Q4751">
        <v>0.10292759999999999</v>
      </c>
      <c r="R4751">
        <v>-0.37717460000000003</v>
      </c>
      <c r="S4751">
        <v>2.9442140000000001</v>
      </c>
      <c r="T4751">
        <v>-0.12412769999999999</v>
      </c>
      <c r="U4751">
        <v>-0.80450440000000001</v>
      </c>
      <c r="V4751">
        <v>-7.609639E-2</v>
      </c>
      <c r="W4751">
        <v>0.1159844</v>
      </c>
      <c r="X4751">
        <v>0.99033179999999998</v>
      </c>
      <c r="Y4751">
        <v>-0.1962623</v>
      </c>
      <c r="Z4751">
        <v>2.182152E-2</v>
      </c>
      <c r="AA4751">
        <v>0.98030859999999997</v>
      </c>
      <c r="AB4751">
        <v>27</v>
      </c>
      <c r="AC4751">
        <v>26.2305999999999</v>
      </c>
      <c r="AD4751">
        <v>-1.11131366781</v>
      </c>
      <c r="AE4751">
        <v>-7.1397000000000004</v>
      </c>
      <c r="AF4751">
        <v>-5.3661934003351801</v>
      </c>
      <c r="AG4751">
        <v>-1.11131366781</v>
      </c>
      <c r="AH4751">
        <v>26.603755424073501</v>
      </c>
      <c r="AI4751">
        <v>92.344843667460694</v>
      </c>
      <c r="AJ4751">
        <v>101.404005209708</v>
      </c>
      <c r="AK4751">
        <v>27.162305725802899</v>
      </c>
      <c r="AL4751">
        <v>83.339593407877501</v>
      </c>
      <c r="AM4751">
        <v>94.393932789718093</v>
      </c>
      <c r="AN4751">
        <v>1.0000000578528101</v>
      </c>
    </row>
    <row r="4752" spans="1:40" x14ac:dyDescent="0.25">
      <c r="A4752" t="str">
        <f>"20190312164605272"</f>
        <v>20190312164605272</v>
      </c>
      <c r="B4752" t="str">
        <f>"1552380365266751"</f>
        <v>1552380365266751</v>
      </c>
      <c r="C4752" t="s">
        <v>40</v>
      </c>
      <c r="D4752">
        <v>4.7669180000000004</v>
      </c>
      <c r="E4752">
        <v>0.45898319999999998</v>
      </c>
      <c r="F4752" t="s">
        <v>79</v>
      </c>
      <c r="G4752">
        <v>-379.05829999999997</v>
      </c>
      <c r="H4752" s="1">
        <v>-1.5785419999999999E-6</v>
      </c>
      <c r="I4752">
        <v>14.983429999999901</v>
      </c>
      <c r="J4752">
        <v>-404.96409999999997</v>
      </c>
      <c r="K4752">
        <v>1.1112500000000001</v>
      </c>
      <c r="L4752">
        <v>22.00827</v>
      </c>
      <c r="M4752">
        <v>0.89460280000000003</v>
      </c>
      <c r="N4752">
        <v>0</v>
      </c>
      <c r="O4752">
        <v>-0.44665450000000001</v>
      </c>
      <c r="P4752">
        <v>0.92068430000000001</v>
      </c>
      <c r="Q4752">
        <v>0.1023873</v>
      </c>
      <c r="R4752">
        <v>-0.37663980000000002</v>
      </c>
      <c r="S4752">
        <v>2.9449459999999998</v>
      </c>
      <c r="T4752">
        <v>-0.12570870000000001</v>
      </c>
      <c r="U4752">
        <v>-0.80169679999999999</v>
      </c>
      <c r="V4752">
        <v>-7.4974269999999996E-2</v>
      </c>
      <c r="W4752">
        <v>0.1154525</v>
      </c>
      <c r="X4752">
        <v>0.99047949999999996</v>
      </c>
      <c r="Y4752">
        <v>-0.19549659999999999</v>
      </c>
      <c r="Z4752">
        <v>2.2024720000000001E-2</v>
      </c>
      <c r="AA4752">
        <v>0.98045700000000002</v>
      </c>
      <c r="AB4752">
        <v>27</v>
      </c>
      <c r="AC4752">
        <v>25.905799999999999</v>
      </c>
      <c r="AD4752">
        <v>-1.1112515785420001</v>
      </c>
      <c r="AE4752">
        <v>-7.0248400000000002</v>
      </c>
      <c r="AF4752">
        <v>-5.2779447390927299</v>
      </c>
      <c r="AG4752">
        <v>-1.1112515785420001</v>
      </c>
      <c r="AH4752">
        <v>26.270491529427499</v>
      </c>
      <c r="AI4752">
        <v>92.3747909704188</v>
      </c>
      <c r="AJ4752">
        <v>101.359932313313</v>
      </c>
      <c r="AK4752">
        <v>26.818469492822501</v>
      </c>
      <c r="AL4752">
        <v>83.370274967161706</v>
      </c>
      <c r="AM4752">
        <v>94.3287447420511</v>
      </c>
      <c r="AN4752">
        <v>1.00000003041926</v>
      </c>
    </row>
    <row r="4753" spans="1:40" x14ac:dyDescent="0.25">
      <c r="A4753" t="str">
        <f>"20190312164605284"</f>
        <v>20190312164605284</v>
      </c>
      <c r="B4753" t="str">
        <f>"1552380365276512"</f>
        <v>1552380365276512</v>
      </c>
      <c r="C4753" t="s">
        <v>40</v>
      </c>
      <c r="D4753">
        <v>4.6908019999999997</v>
      </c>
      <c r="E4753">
        <v>0.45893390000000001</v>
      </c>
      <c r="F4753" t="s">
        <v>79</v>
      </c>
      <c r="G4753">
        <v>-379.1549</v>
      </c>
      <c r="H4753" s="1">
        <v>-1.535402E-6</v>
      </c>
      <c r="I4753">
        <v>15.006159999999999</v>
      </c>
      <c r="J4753">
        <v>-404.83120000000002</v>
      </c>
      <c r="K4753">
        <v>1.111197</v>
      </c>
      <c r="L4753">
        <v>21.94406</v>
      </c>
      <c r="M4753">
        <v>0.89537880000000003</v>
      </c>
      <c r="N4753">
        <v>0</v>
      </c>
      <c r="O4753">
        <v>-0.44509729999999997</v>
      </c>
      <c r="P4753">
        <v>0.92109669999999999</v>
      </c>
      <c r="Q4753">
        <v>0.1012554</v>
      </c>
      <c r="R4753">
        <v>-0.37593680000000002</v>
      </c>
      <c r="S4753">
        <v>2.9456479999999998</v>
      </c>
      <c r="T4753">
        <v>-0.1268291</v>
      </c>
      <c r="U4753">
        <v>-0.79916379999999998</v>
      </c>
      <c r="V4753">
        <v>-7.4039820000000006E-2</v>
      </c>
      <c r="W4753">
        <v>0.1143275</v>
      </c>
      <c r="X4753">
        <v>0.99068020000000001</v>
      </c>
      <c r="Y4753">
        <v>-0.1946273</v>
      </c>
      <c r="Z4753">
        <v>2.2142599999999998E-2</v>
      </c>
      <c r="AA4753">
        <v>0.98062729999999998</v>
      </c>
      <c r="AB4753">
        <v>27</v>
      </c>
      <c r="AC4753">
        <v>25.676300000000001</v>
      </c>
      <c r="AD4753">
        <v>-1.111198535402</v>
      </c>
      <c r="AE4753">
        <v>-6.9378999999999902</v>
      </c>
      <c r="AF4753">
        <v>-5.2077962411772702</v>
      </c>
      <c r="AG4753">
        <v>-1.111198535402</v>
      </c>
      <c r="AH4753">
        <v>26.035026844066699</v>
      </c>
      <c r="AI4753">
        <v>92.396534480121204</v>
      </c>
      <c r="AJ4753">
        <v>101.311606010278</v>
      </c>
      <c r="AK4753">
        <v>26.5740197682995</v>
      </c>
      <c r="AL4753">
        <v>83.435161962482198</v>
      </c>
      <c r="AM4753">
        <v>94.274131373126494</v>
      </c>
      <c r="AN4753">
        <v>0.99999996543696001</v>
      </c>
    </row>
    <row r="4754" spans="1:40" x14ac:dyDescent="0.25">
      <c r="A4754" t="str">
        <f>"20190312164605296"</f>
        <v>20190312164605296</v>
      </c>
      <c r="B4754" t="str">
        <f>"1552380365286271"</f>
        <v>1552380365286271</v>
      </c>
      <c r="C4754" t="s">
        <v>40</v>
      </c>
      <c r="D4754">
        <v>4.6830439999999998</v>
      </c>
      <c r="E4754">
        <v>0.45881889999999997</v>
      </c>
      <c r="F4754" t="s">
        <v>79</v>
      </c>
      <c r="G4754">
        <v>-379.59010000000001</v>
      </c>
      <c r="H4754" s="1">
        <v>-1.336851E-6</v>
      </c>
      <c r="I4754">
        <v>15.12419</v>
      </c>
      <c r="J4754">
        <v>-404.70960000000002</v>
      </c>
      <c r="K4754">
        <v>1.1111549999999999</v>
      </c>
      <c r="L4754">
        <v>21.885590000000001</v>
      </c>
      <c r="M4754">
        <v>0.89607709999999996</v>
      </c>
      <c r="N4754">
        <v>0</v>
      </c>
      <c r="O4754">
        <v>-0.44369009999999998</v>
      </c>
      <c r="P4754">
        <v>0.92121839999999999</v>
      </c>
      <c r="Q4754">
        <v>0.1003898</v>
      </c>
      <c r="R4754">
        <v>-0.3758705</v>
      </c>
      <c r="S4754">
        <v>2.9463810000000001</v>
      </c>
      <c r="T4754">
        <v>-0.12970999999999999</v>
      </c>
      <c r="U4754">
        <v>-0.7960815</v>
      </c>
      <c r="V4754">
        <v>-7.2578710000000005E-2</v>
      </c>
      <c r="W4754">
        <v>0.113472</v>
      </c>
      <c r="X4754">
        <v>0.99088670000000001</v>
      </c>
      <c r="Y4754">
        <v>-0.19408159999999999</v>
      </c>
      <c r="Z4754">
        <v>2.257822E-2</v>
      </c>
      <c r="AA4754">
        <v>0.98072550000000003</v>
      </c>
      <c r="AB4754">
        <v>27</v>
      </c>
      <c r="AC4754">
        <v>25.119499999999999</v>
      </c>
      <c r="AD4754">
        <v>-1.11115633685099</v>
      </c>
      <c r="AE4754">
        <v>-6.7614000000000001</v>
      </c>
      <c r="AF4754">
        <v>-5.0777436615517599</v>
      </c>
      <c r="AG4754">
        <v>-1.11115633685099</v>
      </c>
      <c r="AH4754">
        <v>25.464872557395601</v>
      </c>
      <c r="AI4754">
        <v>92.450330271575197</v>
      </c>
      <c r="AJ4754">
        <v>101.276977434768</v>
      </c>
      <c r="AK4754">
        <v>25.9899573578287</v>
      </c>
      <c r="AL4754">
        <v>83.484499861201101</v>
      </c>
      <c r="AM4754">
        <v>94.189218503377404</v>
      </c>
      <c r="AN4754">
        <v>1.00000000808307</v>
      </c>
    </row>
    <row r="4755" spans="1:40" x14ac:dyDescent="0.25">
      <c r="A4755" t="str">
        <f>"20190312164605305"</f>
        <v>20190312164605305</v>
      </c>
      <c r="B4755" t="str">
        <f>"1552380365296031"</f>
        <v>1552380365296031</v>
      </c>
      <c r="C4755" t="s">
        <v>40</v>
      </c>
      <c r="D4755">
        <v>4.8135339999999998</v>
      </c>
      <c r="E4755">
        <v>0.45881889999999997</v>
      </c>
      <c r="F4755" t="s">
        <v>79</v>
      </c>
      <c r="G4755">
        <v>-379.88229999999999</v>
      </c>
      <c r="H4755" s="1">
        <v>-1.206193E-6</v>
      </c>
      <c r="I4755">
        <v>15.193630000000001</v>
      </c>
      <c r="J4755">
        <v>-404.5994</v>
      </c>
      <c r="K4755">
        <v>1.111116</v>
      </c>
      <c r="L4755">
        <v>21.832640000000001</v>
      </c>
      <c r="M4755">
        <v>0.89670419999999995</v>
      </c>
      <c r="N4755">
        <v>0</v>
      </c>
      <c r="O4755">
        <v>-0.44242150000000002</v>
      </c>
      <c r="P4755">
        <v>0.92141910000000005</v>
      </c>
      <c r="Q4755">
        <v>9.9731760000000003E-2</v>
      </c>
      <c r="R4755">
        <v>-0.37555369999999999</v>
      </c>
      <c r="S4755">
        <v>2.9468079999999999</v>
      </c>
      <c r="T4755">
        <v>-0.13188529999999901</v>
      </c>
      <c r="U4755">
        <v>-0.79428100000000001</v>
      </c>
      <c r="V4755">
        <v>-7.1534130000000001E-2</v>
      </c>
      <c r="W4755">
        <v>0.11282010000000001</v>
      </c>
      <c r="X4755">
        <v>0.9910371</v>
      </c>
      <c r="Y4755">
        <v>-0.19327130000000001</v>
      </c>
      <c r="Z4755">
        <v>2.288863E-2</v>
      </c>
      <c r="AA4755">
        <v>0.98087840000000004</v>
      </c>
      <c r="AB4755">
        <v>27</v>
      </c>
      <c r="AC4755">
        <v>24.717099999999999</v>
      </c>
      <c r="AD4755">
        <v>-1.1111172061929999</v>
      </c>
      <c r="AE4755">
        <v>-6.6390099999999901</v>
      </c>
      <c r="AF4755">
        <v>-4.9732350329471098</v>
      </c>
      <c r="AG4755">
        <v>-1.1111172061929999</v>
      </c>
      <c r="AH4755">
        <v>25.056261093977099</v>
      </c>
      <c r="AI4755">
        <v>92.490589679743906</v>
      </c>
      <c r="AJ4755">
        <v>101.22631839256999</v>
      </c>
      <c r="AK4755">
        <v>25.569197643813201</v>
      </c>
      <c r="AL4755">
        <v>83.522092464139305</v>
      </c>
      <c r="AM4755">
        <v>94.128511286153994</v>
      </c>
      <c r="AN4755">
        <v>1.00000002014763</v>
      </c>
    </row>
    <row r="4756" spans="1:40" x14ac:dyDescent="0.25">
      <c r="A4756" t="str">
        <f>"20190312164605315"</f>
        <v>20190312164605315</v>
      </c>
      <c r="B4756" t="str">
        <f>"1552380365306768"</f>
        <v>1552380365306768</v>
      </c>
      <c r="C4756" t="s">
        <v>40</v>
      </c>
      <c r="D4756">
        <v>4.6809019999999997</v>
      </c>
      <c r="E4756">
        <v>0.45176880000000003</v>
      </c>
      <c r="F4756" t="s">
        <v>81</v>
      </c>
      <c r="G4756">
        <v>-380.05619999999999</v>
      </c>
      <c r="H4756" s="1">
        <v>-5.4786039999999996E-6</v>
      </c>
      <c r="I4756">
        <v>15.232229999999999</v>
      </c>
      <c r="J4756">
        <v>-404.49489999999997</v>
      </c>
      <c r="K4756">
        <v>1.111089</v>
      </c>
      <c r="L4756">
        <v>21.782679999999999</v>
      </c>
      <c r="M4756">
        <v>0.897290699999999</v>
      </c>
      <c r="N4756">
        <v>0</v>
      </c>
      <c r="O4756">
        <v>-0.44123079999999998</v>
      </c>
      <c r="P4756">
        <v>0.92153750000000001</v>
      </c>
      <c r="Q4756">
        <v>9.890699E-2</v>
      </c>
      <c r="R4756">
        <v>-0.37548150000000002</v>
      </c>
      <c r="S4756">
        <v>2.947235</v>
      </c>
      <c r="T4756">
        <v>-0.13342760000000001</v>
      </c>
      <c r="U4756">
        <v>-0.79260249999999999</v>
      </c>
      <c r="V4756">
        <v>-7.0322369999999995E-2</v>
      </c>
      <c r="W4756">
        <v>0.1120023</v>
      </c>
      <c r="X4756">
        <v>0.99121649999999994</v>
      </c>
      <c r="Y4756">
        <v>-0.19251409999999999</v>
      </c>
      <c r="Z4756">
        <v>2.309139E-2</v>
      </c>
      <c r="AA4756">
        <v>0.98102250000000002</v>
      </c>
      <c r="AB4756">
        <v>27</v>
      </c>
      <c r="AC4756">
        <v>24.438699999999901</v>
      </c>
      <c r="AD4756">
        <v>-1.111094478604</v>
      </c>
      <c r="AE4756">
        <v>-6.5504499999999997</v>
      </c>
      <c r="AF4756">
        <v>-4.8964598545654896</v>
      </c>
      <c r="AG4756">
        <v>-1.111094478604</v>
      </c>
      <c r="AH4756">
        <v>24.773396938603401</v>
      </c>
      <c r="AI4756">
        <v>92.519338835966593</v>
      </c>
      <c r="AJ4756">
        <v>101.18040317073201</v>
      </c>
      <c r="AK4756">
        <v>25.2770853922156</v>
      </c>
      <c r="AL4756">
        <v>83.569247383989307</v>
      </c>
      <c r="AM4756">
        <v>94.058079518605993</v>
      </c>
      <c r="AN4756">
        <v>0.99999995039997702</v>
      </c>
    </row>
    <row r="4757" spans="1:40" x14ac:dyDescent="0.25">
      <c r="A4757" t="str">
        <f>"20190312164605326"</f>
        <v>20190312164605326</v>
      </c>
      <c r="B4757" t="str">
        <f>"1552380365316527"</f>
        <v>1552380365316527</v>
      </c>
      <c r="C4757" t="s">
        <v>40</v>
      </c>
      <c r="D4757">
        <v>4.6773410000000002</v>
      </c>
      <c r="E4757">
        <v>0.45362419999999998</v>
      </c>
      <c r="F4757" t="s">
        <v>81</v>
      </c>
      <c r="G4757">
        <v>-389.17270000000002</v>
      </c>
      <c r="H4757" s="1">
        <v>-7.4632319999999898E-7</v>
      </c>
      <c r="I4757">
        <v>18.00703</v>
      </c>
      <c r="J4757">
        <v>-404.3793</v>
      </c>
      <c r="K4757">
        <v>1.1110610000000001</v>
      </c>
      <c r="L4757">
        <v>21.72757</v>
      </c>
      <c r="M4757">
        <v>0.89793579999999995</v>
      </c>
      <c r="N4757">
        <v>0</v>
      </c>
      <c r="O4757">
        <v>-0.43991659999999999</v>
      </c>
      <c r="P4757">
        <v>0.9218094</v>
      </c>
      <c r="Q4757">
        <v>9.8372559999999998E-2</v>
      </c>
      <c r="R4757">
        <v>-0.3749537</v>
      </c>
      <c r="S4757">
        <v>2.9794619999999998</v>
      </c>
      <c r="T4757">
        <v>-0.216056</v>
      </c>
      <c r="U4757">
        <v>-0.73419190000000001</v>
      </c>
      <c r="V4757">
        <v>-6.945258E-2</v>
      </c>
      <c r="W4757">
        <v>0.1114716</v>
      </c>
      <c r="X4757">
        <v>0.99133769999999999</v>
      </c>
      <c r="Y4757">
        <v>-0.2108072</v>
      </c>
      <c r="Z4757">
        <v>3.7664879999999998E-2</v>
      </c>
      <c r="AA4757">
        <v>0.97680180000000005</v>
      </c>
      <c r="AB4757">
        <v>27</v>
      </c>
      <c r="AC4757">
        <v>15.2065999999999</v>
      </c>
      <c r="AD4757">
        <v>-1.1110617463232</v>
      </c>
      <c r="AE4757">
        <v>-3.7205400000000002</v>
      </c>
      <c r="AF4757">
        <v>-3.3323542655298</v>
      </c>
      <c r="AG4757">
        <v>-1.1110617463232</v>
      </c>
      <c r="AH4757">
        <v>15.2160484067428</v>
      </c>
      <c r="AI4757">
        <v>94.0799161615206</v>
      </c>
      <c r="AJ4757">
        <v>102.352898907531</v>
      </c>
      <c r="AK4757">
        <v>15.6162470610412</v>
      </c>
      <c r="AL4757">
        <v>83.599846232810606</v>
      </c>
      <c r="AM4757">
        <v>94.007562895172398</v>
      </c>
      <c r="AN4757">
        <v>1.00000000695825</v>
      </c>
    </row>
    <row r="4758" spans="1:40" x14ac:dyDescent="0.25">
      <c r="A4758" t="str">
        <f>"20190312164605338"</f>
        <v>20190312164605338</v>
      </c>
      <c r="B4758" t="str">
        <f>"1552380365326288"</f>
        <v>1552380365326288</v>
      </c>
      <c r="C4758" t="s">
        <v>40</v>
      </c>
      <c r="D4758">
        <v>4.7609399999999997</v>
      </c>
      <c r="E4758">
        <v>0.45489780000000002</v>
      </c>
      <c r="F4758" t="s">
        <v>81</v>
      </c>
      <c r="G4758">
        <v>-387.93380000000002</v>
      </c>
      <c r="H4758" s="1">
        <v>-1.3356650000000001E-6</v>
      </c>
      <c r="I4758">
        <v>17.595079999999999</v>
      </c>
      <c r="J4758">
        <v>-404.26339999999999</v>
      </c>
      <c r="K4758">
        <v>1.111048</v>
      </c>
      <c r="L4758">
        <v>21.672550000000001</v>
      </c>
      <c r="M4758">
        <v>0.89857719999999897</v>
      </c>
      <c r="N4758">
        <v>0</v>
      </c>
      <c r="O4758">
        <v>-0.43860539999999998</v>
      </c>
      <c r="P4758">
        <v>0.92203559999999996</v>
      </c>
      <c r="Q4758">
        <v>9.7749009999999997E-2</v>
      </c>
      <c r="R4758">
        <v>-0.37456070000000002</v>
      </c>
      <c r="S4758">
        <v>2.9721679999999999</v>
      </c>
      <c r="T4758">
        <v>-0.20080020000000001</v>
      </c>
      <c r="U4758">
        <v>-0.74685669999999904</v>
      </c>
      <c r="V4758">
        <v>-6.8448099999999998E-2</v>
      </c>
      <c r="W4758">
        <v>0.1108517</v>
      </c>
      <c r="X4758">
        <v>0.9914771</v>
      </c>
      <c r="Y4758">
        <v>-0.2051162</v>
      </c>
      <c r="Z4758">
        <v>3.480337E-2</v>
      </c>
      <c r="AA4758">
        <v>0.97811870000000001</v>
      </c>
      <c r="AB4758">
        <v>27</v>
      </c>
      <c r="AC4758">
        <v>16.3295999999999</v>
      </c>
      <c r="AD4758">
        <v>-1.111049335665</v>
      </c>
      <c r="AE4758">
        <v>-4.0774699999999999</v>
      </c>
      <c r="AF4758">
        <v>-3.4834720012921698</v>
      </c>
      <c r="AG4758">
        <v>-1.111049335665</v>
      </c>
      <c r="AH4758">
        <v>16.3918944473123</v>
      </c>
      <c r="AI4758">
        <v>93.793150196096207</v>
      </c>
      <c r="AJ4758">
        <v>101.99754955327499</v>
      </c>
      <c r="AK4758">
        <v>16.794737609796002</v>
      </c>
      <c r="AL4758">
        <v>83.635585602367996</v>
      </c>
      <c r="AM4758">
        <v>93.949233462727804</v>
      </c>
      <c r="AN4758">
        <v>1.0000000408054499</v>
      </c>
    </row>
    <row r="4759" spans="1:40" x14ac:dyDescent="0.25">
      <c r="A4759" t="str">
        <f>"20190312164605348"</f>
        <v>20190312164605348</v>
      </c>
      <c r="B4759" t="str">
        <f>"1552380365336047"</f>
        <v>1552380365336047</v>
      </c>
      <c r="C4759" t="s">
        <v>40</v>
      </c>
      <c r="D4759">
        <v>4.7499269999999996</v>
      </c>
      <c r="E4759">
        <v>0.45439829999999998</v>
      </c>
      <c r="F4759" t="s">
        <v>81</v>
      </c>
      <c r="G4759">
        <v>-386.6438</v>
      </c>
      <c r="H4759" s="1">
        <v>-2.0189350000000002E-6</v>
      </c>
      <c r="I4759">
        <v>17.180949999999999</v>
      </c>
      <c r="J4759">
        <v>-404.13929999999999</v>
      </c>
      <c r="K4759">
        <v>1.1110310000000001</v>
      </c>
      <c r="L4759">
        <v>21.613769999999999</v>
      </c>
      <c r="M4759">
        <v>0.89926019999999895</v>
      </c>
      <c r="N4759">
        <v>0</v>
      </c>
      <c r="O4759">
        <v>-0.43720320000000001</v>
      </c>
      <c r="P4759">
        <v>0.92227979999999998</v>
      </c>
      <c r="Q4759">
        <v>9.710075E-2</v>
      </c>
      <c r="R4759">
        <v>-0.37412719999999999</v>
      </c>
      <c r="S4759">
        <v>2.966278</v>
      </c>
      <c r="T4759">
        <v>-0.18704660000000001</v>
      </c>
      <c r="U4759">
        <v>-0.75616459999999996</v>
      </c>
      <c r="V4759">
        <v>-6.7387740000000002E-2</v>
      </c>
      <c r="W4759">
        <v>0.11020770000000001</v>
      </c>
      <c r="X4759">
        <v>0.99162150000000004</v>
      </c>
      <c r="Y4759">
        <v>-0.20042260000000001</v>
      </c>
      <c r="Z4759">
        <v>3.224668E-2</v>
      </c>
      <c r="AA4759">
        <v>0.97917869999999996</v>
      </c>
      <c r="AB4759">
        <v>27</v>
      </c>
      <c r="AC4759">
        <v>17.4954999999999</v>
      </c>
      <c r="AD4759">
        <v>-1.1110330189349999</v>
      </c>
      <c r="AE4759">
        <v>-4.4328200000000004</v>
      </c>
      <c r="AF4759">
        <v>-3.6493387492092402</v>
      </c>
      <c r="AG4759">
        <v>-1.1110330189349999</v>
      </c>
      <c r="AH4759">
        <v>17.605962453838</v>
      </c>
      <c r="AI4759">
        <v>93.535926645879996</v>
      </c>
      <c r="AJ4759">
        <v>101.71035722434399</v>
      </c>
      <c r="AK4759">
        <v>18.0144936537666</v>
      </c>
      <c r="AL4759">
        <v>83.672711441113506</v>
      </c>
      <c r="AM4759">
        <v>93.887678789045296</v>
      </c>
      <c r="AN4759">
        <v>1.0000000219519201</v>
      </c>
    </row>
    <row r="4760" spans="1:40" x14ac:dyDescent="0.25">
      <c r="A4760" t="str">
        <f>"20190312164605361"</f>
        <v>20190312164605361</v>
      </c>
      <c r="B4760" t="str">
        <f>"1552380365356544"</f>
        <v>1552380365356544</v>
      </c>
      <c r="C4760" t="s">
        <v>40</v>
      </c>
      <c r="D4760">
        <v>4.9923469999999996</v>
      </c>
      <c r="E4760">
        <v>0.45274320000000001</v>
      </c>
      <c r="F4760" t="s">
        <v>81</v>
      </c>
      <c r="G4760">
        <v>-387.91699999999997</v>
      </c>
      <c r="H4760" s="1">
        <v>-1.358737E-6</v>
      </c>
      <c r="I4760">
        <v>17.517720000000001</v>
      </c>
      <c r="J4760">
        <v>-404.01240000000001</v>
      </c>
      <c r="K4760">
        <v>1.11102099999999</v>
      </c>
      <c r="L4760">
        <v>21.55405</v>
      </c>
      <c r="M4760">
        <v>0.89995439999999904</v>
      </c>
      <c r="N4760">
        <v>0</v>
      </c>
      <c r="O4760">
        <v>-0.43577310000000002</v>
      </c>
      <c r="P4760">
        <v>0.92263859999999998</v>
      </c>
      <c r="Q4760">
        <v>9.6803280000000005E-2</v>
      </c>
      <c r="R4760">
        <v>-0.37331950000000003</v>
      </c>
      <c r="S4760">
        <v>2.9700009999999999</v>
      </c>
      <c r="T4760">
        <v>-0.20340910000000001</v>
      </c>
      <c r="U4760">
        <v>-0.74990840000000003</v>
      </c>
      <c r="V4760">
        <v>-6.6688250000000004E-2</v>
      </c>
      <c r="W4760">
        <v>0.10990999999999999</v>
      </c>
      <c r="X4760">
        <v>0.99170179999999997</v>
      </c>
      <c r="Y4760">
        <v>-0.2008973</v>
      </c>
      <c r="Z4760">
        <v>3.4961659999999999E-2</v>
      </c>
      <c r="AA4760">
        <v>0.97898819999999998</v>
      </c>
      <c r="AB4760">
        <v>27</v>
      </c>
      <c r="AC4760">
        <v>16.095400000000001</v>
      </c>
      <c r="AD4760">
        <v>-1.1110223587369901</v>
      </c>
      <c r="AE4760">
        <v>-4.0363300000000004</v>
      </c>
      <c r="AF4760">
        <v>-3.36664816100487</v>
      </c>
      <c r="AG4760">
        <v>-1.1110223587369901</v>
      </c>
      <c r="AH4760">
        <v>16.173042436705401</v>
      </c>
      <c r="AI4760">
        <v>93.847590665406699</v>
      </c>
      <c r="AJ4760">
        <v>101.75900014781701</v>
      </c>
      <c r="AK4760">
        <v>16.557052641732</v>
      </c>
      <c r="AL4760">
        <v>83.689872479573594</v>
      </c>
      <c r="AM4760">
        <v>93.847135614307305</v>
      </c>
      <c r="AN4760">
        <v>0.99999999545565099</v>
      </c>
    </row>
    <row r="4761" spans="1:40" x14ac:dyDescent="0.25">
      <c r="A4761" t="str">
        <f>"20190312164605372"</f>
        <v>20190312164605372</v>
      </c>
      <c r="B4761" t="str">
        <f>"1552380365366303"</f>
        <v>1552380365366303</v>
      </c>
      <c r="C4761" t="s">
        <v>40</v>
      </c>
      <c r="D4761">
        <v>4.7259859999999998</v>
      </c>
      <c r="E4761">
        <v>0.45247999999999999</v>
      </c>
      <c r="F4761" t="s">
        <v>81</v>
      </c>
      <c r="G4761">
        <v>-388.60399999999998</v>
      </c>
      <c r="H4761" s="1">
        <v>-1.032167E-6</v>
      </c>
      <c r="I4761">
        <v>17.753489999999999</v>
      </c>
      <c r="J4761">
        <v>-403.88869999999997</v>
      </c>
      <c r="K4761">
        <v>1.1110139999999999</v>
      </c>
      <c r="L4761">
        <v>21.495940000000001</v>
      </c>
      <c r="M4761">
        <v>0.9006286</v>
      </c>
      <c r="N4761">
        <v>0</v>
      </c>
      <c r="O4761">
        <v>-0.43437809999999999</v>
      </c>
      <c r="P4761">
        <v>0.92289889999999997</v>
      </c>
      <c r="Q4761">
        <v>9.6553440000000004E-2</v>
      </c>
      <c r="R4761">
        <v>-0.37273990000000001</v>
      </c>
      <c r="S4761">
        <v>2.9769589999999999</v>
      </c>
      <c r="T4761">
        <v>-0.21465380000000001</v>
      </c>
      <c r="U4761">
        <v>-0.73428340000000003</v>
      </c>
      <c r="V4761">
        <v>-6.5781149999999997E-2</v>
      </c>
      <c r="W4761">
        <v>0.1096617</v>
      </c>
      <c r="X4761">
        <v>0.9917899</v>
      </c>
      <c r="Y4761">
        <v>-0.2046077</v>
      </c>
      <c r="Z4761">
        <v>3.6881570000000002E-2</v>
      </c>
      <c r="AA4761">
        <v>0.97814900000000005</v>
      </c>
      <c r="AB4761">
        <v>27</v>
      </c>
      <c r="AC4761">
        <v>15.2846999999999</v>
      </c>
      <c r="AD4761">
        <v>-1.111015032167</v>
      </c>
      <c r="AE4761">
        <v>-3.7424499999999998</v>
      </c>
      <c r="AF4761">
        <v>-3.2528672596902499</v>
      </c>
      <c r="AG4761">
        <v>-1.111015032167</v>
      </c>
      <c r="AH4761">
        <v>15.3165423207949</v>
      </c>
      <c r="AI4761">
        <v>94.058587582593802</v>
      </c>
      <c r="AJ4761">
        <v>101.990105957102</v>
      </c>
      <c r="AK4761">
        <v>15.697514722896999</v>
      </c>
      <c r="AL4761">
        <v>83.704185739436895</v>
      </c>
      <c r="AM4761">
        <v>93.7946243472215</v>
      </c>
      <c r="AN4761">
        <v>1.0000000269421101</v>
      </c>
    </row>
    <row r="4762" spans="1:40" x14ac:dyDescent="0.25">
      <c r="A4762" t="str">
        <f>"20190312164605382"</f>
        <v>20190312164605382</v>
      </c>
      <c r="B4762" t="str">
        <f>"1552380365376063"</f>
        <v>1552380365376063</v>
      </c>
      <c r="C4762" t="s">
        <v>40</v>
      </c>
      <c r="D4762">
        <v>4.8525289999999996</v>
      </c>
      <c r="E4762">
        <v>0.45258530000000002</v>
      </c>
      <c r="F4762" t="s">
        <v>81</v>
      </c>
      <c r="G4762">
        <v>-389.17959999999999</v>
      </c>
      <c r="H4762" s="1">
        <v>-7.7394829999999999E-7</v>
      </c>
      <c r="I4762">
        <v>17.8932</v>
      </c>
      <c r="J4762">
        <v>-403.7647</v>
      </c>
      <c r="K4762">
        <v>1.1110120000000001</v>
      </c>
      <c r="L4762">
        <v>21.43796</v>
      </c>
      <c r="M4762">
        <v>0.90130239999999995</v>
      </c>
      <c r="N4762">
        <v>0</v>
      </c>
      <c r="O4762">
        <v>-0.4329789</v>
      </c>
      <c r="P4762">
        <v>0.92321039999999999</v>
      </c>
      <c r="Q4762">
        <v>9.5931169999999996E-2</v>
      </c>
      <c r="R4762">
        <v>-0.37212899999999999</v>
      </c>
      <c r="S4762">
        <v>2.9794619999999998</v>
      </c>
      <c r="T4762">
        <v>-0.22504589999999999</v>
      </c>
      <c r="U4762">
        <v>-0.72976680000000005</v>
      </c>
      <c r="V4762">
        <v>-6.4919679999999994E-2</v>
      </c>
      <c r="W4762">
        <v>0.10904079999999999</v>
      </c>
      <c r="X4762">
        <v>0.99191510000000005</v>
      </c>
      <c r="Y4762">
        <v>-0.20453660000000001</v>
      </c>
      <c r="Z4762">
        <v>3.854511E-2</v>
      </c>
      <c r="AA4762">
        <v>0.97809970000000002</v>
      </c>
      <c r="AB4762">
        <v>27</v>
      </c>
      <c r="AC4762">
        <v>14.585100000000001</v>
      </c>
      <c r="AD4762">
        <v>-1.1110127739483</v>
      </c>
      <c r="AE4762">
        <v>-3.5447599999999899</v>
      </c>
      <c r="AF4762">
        <v>-3.1034223743408198</v>
      </c>
      <c r="AG4762">
        <v>-1.1110127739483</v>
      </c>
      <c r="AH4762">
        <v>14.601735437305001</v>
      </c>
      <c r="AI4762">
        <v>94.256408462405702</v>
      </c>
      <c r="AJ4762">
        <v>101.99897768763201</v>
      </c>
      <c r="AK4762">
        <v>14.969176917869801</v>
      </c>
      <c r="AL4762">
        <v>83.739975226532295</v>
      </c>
      <c r="AM4762">
        <v>93.744600940577598</v>
      </c>
      <c r="AN4762">
        <v>1.00000001326197</v>
      </c>
    </row>
    <row r="4763" spans="1:40" x14ac:dyDescent="0.25">
      <c r="A4763" t="str">
        <f>"20190312164605395"</f>
        <v>20190312164605395</v>
      </c>
      <c r="B4763" t="str">
        <f>"1552380365386799"</f>
        <v>1552380365386799</v>
      </c>
      <c r="C4763" t="s">
        <v>40</v>
      </c>
      <c r="D4763">
        <v>4.9238720000000002</v>
      </c>
      <c r="E4763">
        <v>0.4522275</v>
      </c>
      <c r="F4763" t="s">
        <v>81</v>
      </c>
      <c r="G4763">
        <v>-389.04919999999998</v>
      </c>
      <c r="H4763" s="1">
        <v>-8.3807109999999995E-7</v>
      </c>
      <c r="I4763">
        <v>17.84047</v>
      </c>
      <c r="J4763">
        <v>-403.63440000000003</v>
      </c>
      <c r="K4763">
        <v>1.1110100000000001</v>
      </c>
      <c r="L4763">
        <v>21.377320000000001</v>
      </c>
      <c r="M4763">
        <v>0.90200880000000005</v>
      </c>
      <c r="N4763">
        <v>0</v>
      </c>
      <c r="O4763">
        <v>-0.43150500000000003</v>
      </c>
      <c r="P4763">
        <v>0.92354550000000002</v>
      </c>
      <c r="Q4763">
        <v>9.5540860000000005E-2</v>
      </c>
      <c r="R4763">
        <v>-0.37139689999999997</v>
      </c>
      <c r="S4763">
        <v>2.9793699999999999</v>
      </c>
      <c r="T4763">
        <v>-0.22494040000000001</v>
      </c>
      <c r="U4763">
        <v>-0.72836299999999998</v>
      </c>
      <c r="V4763">
        <v>-6.4098929999999998E-2</v>
      </c>
      <c r="W4763">
        <v>0.1086516</v>
      </c>
      <c r="X4763">
        <v>0.99201119999999998</v>
      </c>
      <c r="Y4763">
        <v>-0.2033721</v>
      </c>
      <c r="Z4763">
        <v>3.839012E-2</v>
      </c>
      <c r="AA4763">
        <v>0.97834860000000001</v>
      </c>
      <c r="AB4763">
        <v>27</v>
      </c>
      <c r="AC4763">
        <v>14.5852</v>
      </c>
      <c r="AD4763">
        <v>-1.1110108380710999</v>
      </c>
      <c r="AE4763">
        <v>-3.5368499999999998</v>
      </c>
      <c r="AF4763">
        <v>-3.08668611572977</v>
      </c>
      <c r="AG4763">
        <v>-1.1110108380710999</v>
      </c>
      <c r="AH4763">
        <v>14.603465058316701</v>
      </c>
      <c r="AI4763">
        <v>94.256906279094494</v>
      </c>
      <c r="AJ4763">
        <v>101.934756783179</v>
      </c>
      <c r="AK4763">
        <v>14.9674035145988</v>
      </c>
      <c r="AL4763">
        <v>83.762408143091605</v>
      </c>
      <c r="AM4763">
        <v>93.697034623452893</v>
      </c>
      <c r="AN4763">
        <v>1.0000000319675699</v>
      </c>
    </row>
    <row r="4764" spans="1:40" x14ac:dyDescent="0.25">
      <c r="A4764" t="str">
        <f>"20190312164605405"</f>
        <v>20190312164605405</v>
      </c>
      <c r="B4764" t="str">
        <f>"1552380365396559"</f>
        <v>1552380365396559</v>
      </c>
      <c r="C4764" t="s">
        <v>40</v>
      </c>
      <c r="D4764">
        <v>4.8951399999999996</v>
      </c>
      <c r="E4764">
        <v>0.45320840000000001</v>
      </c>
      <c r="F4764" t="s">
        <v>81</v>
      </c>
      <c r="G4764">
        <v>-389.2183</v>
      </c>
      <c r="H4764" s="1">
        <v>-7.6221859999999895E-7</v>
      </c>
      <c r="I4764">
        <v>17.881419999999999</v>
      </c>
      <c r="J4764">
        <v>-403.51949999999999</v>
      </c>
      <c r="K4764">
        <v>1.111008</v>
      </c>
      <c r="L4764">
        <v>21.324010000000001</v>
      </c>
      <c r="M4764">
        <v>0.90263059999999995</v>
      </c>
      <c r="N4764">
        <v>0</v>
      </c>
      <c r="O4764">
        <v>-0.4302028</v>
      </c>
      <c r="P4764">
        <v>0.92382620000000004</v>
      </c>
      <c r="Q4764">
        <v>9.5018329999999998E-2</v>
      </c>
      <c r="R4764">
        <v>-0.37083300000000002</v>
      </c>
      <c r="S4764">
        <v>2.9814150000000001</v>
      </c>
      <c r="T4764">
        <v>-0.2297698</v>
      </c>
      <c r="U4764">
        <v>-0.72299190000000002</v>
      </c>
      <c r="V4764">
        <v>-6.3292249999999994E-2</v>
      </c>
      <c r="W4764">
        <v>0.1081297</v>
      </c>
      <c r="X4764">
        <v>0.99212</v>
      </c>
      <c r="Y4764">
        <v>-0.203712</v>
      </c>
      <c r="Z4764">
        <v>3.9121980000000001E-2</v>
      </c>
      <c r="AA4764">
        <v>0.97824889999999998</v>
      </c>
      <c r="AB4764">
        <v>27</v>
      </c>
      <c r="AC4764">
        <v>14.3011999999999</v>
      </c>
      <c r="AD4764">
        <v>-1.1110087622186</v>
      </c>
      <c r="AE4764">
        <v>-3.4425899999999898</v>
      </c>
      <c r="AF4764">
        <v>-3.0280349280096699</v>
      </c>
      <c r="AG4764">
        <v>-1.1110087622186</v>
      </c>
      <c r="AH4764">
        <v>14.309403749295599</v>
      </c>
      <c r="AI4764">
        <v>94.343832534894801</v>
      </c>
      <c r="AJ4764">
        <v>101.948184738389</v>
      </c>
      <c r="AK4764">
        <v>14.6684140811244</v>
      </c>
      <c r="AL4764">
        <v>83.792487940003795</v>
      </c>
      <c r="AM4764">
        <v>93.650235090635505</v>
      </c>
      <c r="AN4764">
        <v>1.0000000176660699</v>
      </c>
    </row>
    <row r="4765" spans="1:40" x14ac:dyDescent="0.25">
      <c r="A4765" t="str">
        <f>"20190312164605416"</f>
        <v>20190312164605416</v>
      </c>
      <c r="B4765" t="str">
        <f>"1552380365406321"</f>
        <v>1552380365406321</v>
      </c>
      <c r="C4765" t="s">
        <v>40</v>
      </c>
      <c r="D4765">
        <v>4.804297</v>
      </c>
      <c r="E4765">
        <v>0.45370369999999999</v>
      </c>
      <c r="F4765" t="s">
        <v>81</v>
      </c>
      <c r="G4765">
        <v>-389.10550000000001</v>
      </c>
      <c r="H4765" s="1">
        <v>-8.2700539999999998E-7</v>
      </c>
      <c r="I4765">
        <v>17.800789999999999</v>
      </c>
      <c r="J4765">
        <v>-403.40879999999999</v>
      </c>
      <c r="K4765">
        <v>1.111008</v>
      </c>
      <c r="L4765">
        <v>21.272919999999999</v>
      </c>
      <c r="M4765">
        <v>0.9032308</v>
      </c>
      <c r="N4765">
        <v>0</v>
      </c>
      <c r="O4765">
        <v>-0.42894189999999999</v>
      </c>
      <c r="P4765">
        <v>0.92418699999999998</v>
      </c>
      <c r="Q4765">
        <v>9.4663529999999996E-2</v>
      </c>
      <c r="R4765">
        <v>-0.37002360000000001</v>
      </c>
      <c r="S4765">
        <v>2.978729</v>
      </c>
      <c r="T4765">
        <v>-0.2295952</v>
      </c>
      <c r="U4765">
        <v>-0.72808839999999997</v>
      </c>
      <c r="V4765">
        <v>-6.2788930000000007E-2</v>
      </c>
      <c r="W4765">
        <v>0.1077751</v>
      </c>
      <c r="X4765">
        <v>0.99219049999999998</v>
      </c>
      <c r="Y4765">
        <v>-0.200574</v>
      </c>
      <c r="Z4765">
        <v>3.8911170000000002E-2</v>
      </c>
      <c r="AA4765">
        <v>0.97890549999999998</v>
      </c>
      <c r="AB4765">
        <v>27</v>
      </c>
      <c r="AC4765">
        <v>14.303299999999901</v>
      </c>
      <c r="AD4765">
        <v>-1.1110088270053999</v>
      </c>
      <c r="AE4765">
        <v>-3.4721299999999999</v>
      </c>
      <c r="AF4765">
        <v>-2.98243146489399</v>
      </c>
      <c r="AG4765">
        <v>-1.1110088270053999</v>
      </c>
      <c r="AH4765">
        <v>14.3282042961333</v>
      </c>
      <c r="AI4765">
        <v>94.341162155191597</v>
      </c>
      <c r="AJ4765">
        <v>101.758281615195</v>
      </c>
      <c r="AK4765">
        <v>14.677420631984599</v>
      </c>
      <c r="AL4765">
        <v>83.812924064232902</v>
      </c>
      <c r="AM4765">
        <v>93.621028191476398</v>
      </c>
      <c r="AN4765">
        <v>0.99999995510040096</v>
      </c>
    </row>
    <row r="4766" spans="1:40" x14ac:dyDescent="0.25">
      <c r="A4766" t="str">
        <f>"20190312164605426"</f>
        <v>20190312164605426</v>
      </c>
      <c r="B4766" t="str">
        <f>"1552380365416080"</f>
        <v>1552380365416080</v>
      </c>
      <c r="C4766" t="s">
        <v>40</v>
      </c>
      <c r="D4766">
        <v>4.7896960000000002</v>
      </c>
      <c r="E4766">
        <v>0.45379849999999999</v>
      </c>
      <c r="F4766" t="s">
        <v>81</v>
      </c>
      <c r="G4766">
        <v>-388.7328</v>
      </c>
      <c r="H4766" s="1">
        <v>-1.0029989999999999E-6</v>
      </c>
      <c r="I4766">
        <v>17.67718</v>
      </c>
      <c r="J4766">
        <v>-403.28809999999999</v>
      </c>
      <c r="K4766">
        <v>1.111011</v>
      </c>
      <c r="L4766">
        <v>21.217320000000001</v>
      </c>
      <c r="M4766">
        <v>0.90388440000000003</v>
      </c>
      <c r="N4766">
        <v>0</v>
      </c>
      <c r="O4766">
        <v>-0.42756280000000002</v>
      </c>
      <c r="P4766">
        <v>0.92464060000000003</v>
      </c>
      <c r="Q4766">
        <v>9.3919230000000006E-2</v>
      </c>
      <c r="R4766">
        <v>-0.36907859999999998</v>
      </c>
      <c r="S4766">
        <v>2.9771730000000001</v>
      </c>
      <c r="T4766">
        <v>-0.2253792</v>
      </c>
      <c r="U4766">
        <v>-0.72943119999999995</v>
      </c>
      <c r="V4766">
        <v>-6.2318030000000003E-2</v>
      </c>
      <c r="W4766">
        <v>0.10702979999999999</v>
      </c>
      <c r="X4766">
        <v>0.99230090000000004</v>
      </c>
      <c r="Y4766">
        <v>-0.19861119999999999</v>
      </c>
      <c r="Z4766">
        <v>3.805012E-2</v>
      </c>
      <c r="AA4766">
        <v>0.97933950000000003</v>
      </c>
      <c r="AB4766">
        <v>27</v>
      </c>
      <c r="AC4766">
        <v>14.5552999999999</v>
      </c>
      <c r="AD4766">
        <v>-1.111012002999</v>
      </c>
      <c r="AE4766">
        <v>-3.5401400000000001</v>
      </c>
      <c r="AF4766">
        <v>-3.0071620947993201</v>
      </c>
      <c r="AG4766">
        <v>-1.111012002999</v>
      </c>
      <c r="AH4766">
        <v>14.5910195619925</v>
      </c>
      <c r="AI4766">
        <v>94.265004999240503</v>
      </c>
      <c r="AJ4766">
        <v>101.645419475151</v>
      </c>
      <c r="AK4766">
        <v>14.9390502841932</v>
      </c>
      <c r="AL4766">
        <v>83.855875305680101</v>
      </c>
      <c r="AM4766">
        <v>93.593544102128703</v>
      </c>
      <c r="AN4766">
        <v>0.99999999554596497</v>
      </c>
    </row>
    <row r="4767" spans="1:40" x14ac:dyDescent="0.25">
      <c r="A4767" t="str">
        <f>"20190312164605438"</f>
        <v>20190312164605438</v>
      </c>
      <c r="B4767" t="str">
        <f>"1552380365426816"</f>
        <v>1552380365426816</v>
      </c>
      <c r="C4767" t="s">
        <v>40</v>
      </c>
      <c r="D4767">
        <v>4.8469309999999997</v>
      </c>
      <c r="E4767">
        <v>0.45379940000000002</v>
      </c>
      <c r="F4767" t="s">
        <v>81</v>
      </c>
      <c r="G4767">
        <v>-388.61399999999998</v>
      </c>
      <c r="H4767" s="1">
        <v>-1.060499E-6</v>
      </c>
      <c r="I4767">
        <v>17.63251</v>
      </c>
      <c r="J4767">
        <v>-403.17270000000002</v>
      </c>
      <c r="K4767">
        <v>1.1110230000000001</v>
      </c>
      <c r="L4767">
        <v>21.164459999999998</v>
      </c>
      <c r="M4767">
        <v>0.90451389999999998</v>
      </c>
      <c r="N4767">
        <v>0</v>
      </c>
      <c r="O4767">
        <v>-0.42622929999999998</v>
      </c>
      <c r="P4767">
        <v>0.92516160000000003</v>
      </c>
      <c r="Q4767">
        <v>9.3136410000000003E-2</v>
      </c>
      <c r="R4767">
        <v>-0.3679695</v>
      </c>
      <c r="S4767">
        <v>2.977112</v>
      </c>
      <c r="T4767">
        <v>-0.2254051</v>
      </c>
      <c r="U4767">
        <v>-0.72729489999999997</v>
      </c>
      <c r="V4767">
        <v>-6.2075810000000002E-2</v>
      </c>
      <c r="W4767">
        <v>0.1062452</v>
      </c>
      <c r="X4767">
        <v>0.99240039999999996</v>
      </c>
      <c r="Y4767">
        <v>-0.1978287</v>
      </c>
      <c r="Z4767">
        <v>3.794144E-2</v>
      </c>
      <c r="AA4767">
        <v>0.97950199999999998</v>
      </c>
      <c r="AB4767">
        <v>27</v>
      </c>
      <c r="AC4767">
        <v>14.5586999999999</v>
      </c>
      <c r="AD4767">
        <v>-1.1110240604989901</v>
      </c>
      <c r="AE4767">
        <v>-3.5319500000000001</v>
      </c>
      <c r="AF4767">
        <v>-2.9944528502885599</v>
      </c>
      <c r="AG4767">
        <v>-1.1110240604989901</v>
      </c>
      <c r="AH4767">
        <v>14.5950381517127</v>
      </c>
      <c r="AI4767">
        <v>94.264658570111294</v>
      </c>
      <c r="AJ4767">
        <v>101.59443144990701</v>
      </c>
      <c r="AK4767">
        <v>14.9404237217542</v>
      </c>
      <c r="AL4767">
        <v>83.901087411815894</v>
      </c>
      <c r="AM4767">
        <v>93.579255005499405</v>
      </c>
      <c r="AN4767">
        <v>1.00000000131517</v>
      </c>
    </row>
    <row r="4768" spans="1:40" x14ac:dyDescent="0.25">
      <c r="A4768" t="str">
        <f>"20190312164605450"</f>
        <v>20190312164605450</v>
      </c>
      <c r="B4768" t="str">
        <f>"1552380365446335"</f>
        <v>1552380365446335</v>
      </c>
      <c r="C4768" t="s">
        <v>40</v>
      </c>
      <c r="D4768">
        <v>4.8424480000000001</v>
      </c>
      <c r="E4768">
        <v>0.45429350000000002</v>
      </c>
      <c r="F4768" t="s">
        <v>81</v>
      </c>
      <c r="G4768">
        <v>-388.5335</v>
      </c>
      <c r="H4768" s="1">
        <v>-1.098524E-6</v>
      </c>
      <c r="I4768">
        <v>17.605789999999999</v>
      </c>
      <c r="J4768">
        <v>-403.04930000000002</v>
      </c>
      <c r="K4768">
        <v>1.11103</v>
      </c>
      <c r="L4768">
        <v>21.108029999999999</v>
      </c>
      <c r="M4768">
        <v>0.90518710000000002</v>
      </c>
      <c r="N4768">
        <v>0</v>
      </c>
      <c r="O4768">
        <v>-0.42479810000000001</v>
      </c>
      <c r="P4768">
        <v>0.92581400000000003</v>
      </c>
      <c r="Q4768">
        <v>9.2496980000000006E-2</v>
      </c>
      <c r="R4768">
        <v>-0.36648730000000002</v>
      </c>
      <c r="S4768">
        <v>2.9775390000000002</v>
      </c>
      <c r="T4768">
        <v>-0.22597709999999999</v>
      </c>
      <c r="U4768">
        <v>-0.72381589999999996</v>
      </c>
      <c r="V4768">
        <v>-6.2121740000000002E-2</v>
      </c>
      <c r="W4768">
        <v>0.1056013</v>
      </c>
      <c r="X4768">
        <v>0.99246630000000002</v>
      </c>
      <c r="Y4768">
        <v>-0.19738729999999999</v>
      </c>
      <c r="Z4768">
        <v>3.7926929999999998E-2</v>
      </c>
      <c r="AA4768">
        <v>0.97959169999999995</v>
      </c>
      <c r="AB4768">
        <v>27</v>
      </c>
      <c r="AC4768">
        <v>14.5158</v>
      </c>
      <c r="AD4768">
        <v>-1.1110310985239999</v>
      </c>
      <c r="AE4768">
        <v>-3.50224</v>
      </c>
      <c r="AF4768">
        <v>-2.9798791227857002</v>
      </c>
      <c r="AG4768">
        <v>-1.1110310985239999</v>
      </c>
      <c r="AH4768">
        <v>14.548059163414299</v>
      </c>
      <c r="AI4768">
        <v>94.278690545515502</v>
      </c>
      <c r="AJ4768">
        <v>101.57577907779999</v>
      </c>
      <c r="AK4768">
        <v>14.891611568614801</v>
      </c>
      <c r="AL4768">
        <v>83.938189187950499</v>
      </c>
      <c r="AM4768">
        <v>93.581659190693799</v>
      </c>
      <c r="AN4768">
        <v>1.0000000508889999</v>
      </c>
    </row>
    <row r="4769" spans="1:40" x14ac:dyDescent="0.25">
      <c r="A4769" t="str">
        <f>"20190312164605461"</f>
        <v>20190312164605461</v>
      </c>
      <c r="B4769" t="str">
        <f>"1552380365456095"</f>
        <v>1552380365456095</v>
      </c>
      <c r="C4769" t="s">
        <v>40</v>
      </c>
      <c r="D4769">
        <v>4.8580370000000004</v>
      </c>
      <c r="E4769">
        <v>0.45416529999999999</v>
      </c>
      <c r="F4769" t="s">
        <v>81</v>
      </c>
      <c r="G4769">
        <v>-388.31139999999999</v>
      </c>
      <c r="H4769" s="1">
        <v>-1.204642E-6</v>
      </c>
      <c r="I4769">
        <v>17.527529999999999</v>
      </c>
      <c r="J4769">
        <v>-402.91030000000001</v>
      </c>
      <c r="K4769">
        <v>1.111049</v>
      </c>
      <c r="L4769">
        <v>21.045010000000001</v>
      </c>
      <c r="M4769">
        <v>0.90595349999999997</v>
      </c>
      <c r="N4769">
        <v>0</v>
      </c>
      <c r="O4769">
        <v>-0.4231606</v>
      </c>
      <c r="P4769">
        <v>0.92650489999999996</v>
      </c>
      <c r="Q4769">
        <v>9.2166059999999994E-2</v>
      </c>
      <c r="R4769">
        <v>-0.36482029999999999</v>
      </c>
      <c r="S4769">
        <v>2.9765630000000001</v>
      </c>
      <c r="T4769">
        <v>-0.22439239999999999</v>
      </c>
      <c r="U4769">
        <v>-0.72314449999999997</v>
      </c>
      <c r="V4769">
        <v>-6.2130600000000001E-2</v>
      </c>
      <c r="W4769">
        <v>0.1052646</v>
      </c>
      <c r="X4769">
        <v>0.99250139999999998</v>
      </c>
      <c r="Y4769">
        <v>-0.1957787</v>
      </c>
      <c r="Z4769">
        <v>3.7506270000000001E-2</v>
      </c>
      <c r="AA4769">
        <v>0.97993059999999998</v>
      </c>
      <c r="AB4769">
        <v>27</v>
      </c>
      <c r="AC4769">
        <v>14.5989</v>
      </c>
      <c r="AD4769">
        <v>-1.1110502046420001</v>
      </c>
      <c r="AE4769">
        <v>-3.5174799999999999</v>
      </c>
      <c r="AF4769">
        <v>-2.9749945412979302</v>
      </c>
      <c r="AG4769">
        <v>-1.1110502046420001</v>
      </c>
      <c r="AH4769">
        <v>14.635614599799</v>
      </c>
      <c r="AI4769">
        <v>94.254555445671699</v>
      </c>
      <c r="AJ4769">
        <v>101.490019298977</v>
      </c>
      <c r="AK4769">
        <v>14.9761890944204</v>
      </c>
      <c r="AL4769">
        <v>83.957588118195005</v>
      </c>
      <c r="AM4769">
        <v>93.582042334061697</v>
      </c>
      <c r="AN4769">
        <v>0.99999993823573796</v>
      </c>
    </row>
    <row r="4770" spans="1:40" x14ac:dyDescent="0.25">
      <c r="A4770" t="str">
        <f>"20190312164605474"</f>
        <v>20190312164605474</v>
      </c>
      <c r="B4770" t="str">
        <f>"1552380365466832"</f>
        <v>1552380365466832</v>
      </c>
      <c r="C4770" t="s">
        <v>40</v>
      </c>
      <c r="D4770">
        <v>4.8148819999999999</v>
      </c>
      <c r="E4770">
        <v>0.45427430000000002</v>
      </c>
      <c r="F4770" t="s">
        <v>81</v>
      </c>
      <c r="G4770">
        <v>-388.22680000000003</v>
      </c>
      <c r="H4770" s="1">
        <v>-1.2416530000000001E-6</v>
      </c>
      <c r="I4770">
        <v>17.51061</v>
      </c>
      <c r="J4770">
        <v>-402.7867</v>
      </c>
      <c r="K4770">
        <v>1.111067</v>
      </c>
      <c r="L4770">
        <v>20.989170000000001</v>
      </c>
      <c r="M4770">
        <v>0.90663709999999997</v>
      </c>
      <c r="N4770">
        <v>0</v>
      </c>
      <c r="O4770">
        <v>-0.42169469999999998</v>
      </c>
      <c r="P4770">
        <v>0.92707189999999995</v>
      </c>
      <c r="Q4770">
        <v>9.1847509999999993E-2</v>
      </c>
      <c r="R4770">
        <v>-0.36345840000000001</v>
      </c>
      <c r="S4770">
        <v>2.9781490000000002</v>
      </c>
      <c r="T4770">
        <v>-0.2253464</v>
      </c>
      <c r="U4770">
        <v>-0.71685790000000005</v>
      </c>
      <c r="V4770">
        <v>-6.1999739999999998E-2</v>
      </c>
      <c r="W4770">
        <v>0.1049426</v>
      </c>
      <c r="X4770">
        <v>0.99254379999999998</v>
      </c>
      <c r="Y4770">
        <v>-0.19625609999999999</v>
      </c>
      <c r="Z4770">
        <v>3.7578170000000001E-2</v>
      </c>
      <c r="AA4770">
        <v>0.97983240000000005</v>
      </c>
      <c r="AB4770">
        <v>27</v>
      </c>
      <c r="AC4770">
        <v>14.559899999999899</v>
      </c>
      <c r="AD4770">
        <v>-1.111068241653</v>
      </c>
      <c r="AE4770">
        <v>-3.4785599999999999</v>
      </c>
      <c r="AF4770">
        <v>-2.9699531225809399</v>
      </c>
      <c r="AG4770">
        <v>-1.111068241653</v>
      </c>
      <c r="AH4770">
        <v>14.5884116139603</v>
      </c>
      <c r="AI4770">
        <v>94.268080651539094</v>
      </c>
      <c r="AJ4770">
        <v>101.507192719114</v>
      </c>
      <c r="AK4770">
        <v>14.9290605064843</v>
      </c>
      <c r="AL4770">
        <v>83.976140826727004</v>
      </c>
      <c r="AM4770">
        <v>93.574365085337107</v>
      </c>
      <c r="AN4770">
        <v>1.00000005598663</v>
      </c>
    </row>
    <row r="4771" spans="1:40" x14ac:dyDescent="0.25">
      <c r="A4771" t="str">
        <f>"20190312164605486"</f>
        <v>20190312164605486</v>
      </c>
      <c r="B4771" t="str">
        <f>"1552380365476592"</f>
        <v>1552380365476592</v>
      </c>
      <c r="C4771" t="s">
        <v>40</v>
      </c>
      <c r="D4771">
        <v>4.8174440000000001</v>
      </c>
      <c r="E4771">
        <v>0.45443820000000001</v>
      </c>
      <c r="F4771" t="s">
        <v>81</v>
      </c>
      <c r="G4771">
        <v>-388.1635</v>
      </c>
      <c r="H4771" s="1">
        <v>-1.272221E-6</v>
      </c>
      <c r="I4771">
        <v>17.487029999999901</v>
      </c>
      <c r="J4771">
        <v>-402.6413</v>
      </c>
      <c r="K4771">
        <v>1.1110910000000001</v>
      </c>
      <c r="L4771">
        <v>20.92371</v>
      </c>
      <c r="M4771">
        <v>0.90744599999999997</v>
      </c>
      <c r="N4771">
        <v>0</v>
      </c>
      <c r="O4771">
        <v>-0.41995100000000002</v>
      </c>
      <c r="P4771">
        <v>0.92774060000000003</v>
      </c>
      <c r="Q4771">
        <v>9.1927019999999998E-2</v>
      </c>
      <c r="R4771">
        <v>-0.3617281</v>
      </c>
      <c r="S4771">
        <v>2.978729</v>
      </c>
      <c r="T4771">
        <v>-0.22632289999999999</v>
      </c>
      <c r="U4771">
        <v>-0.71337890000000004</v>
      </c>
      <c r="V4771">
        <v>-6.1947189999999999E-2</v>
      </c>
      <c r="W4771">
        <v>0.1050157</v>
      </c>
      <c r="X4771">
        <v>0.99253930000000001</v>
      </c>
      <c r="Y4771">
        <v>-0.1954893</v>
      </c>
      <c r="Z4771">
        <v>3.759444E-2</v>
      </c>
      <c r="AA4771">
        <v>0.97998499999999999</v>
      </c>
      <c r="AB4771">
        <v>27</v>
      </c>
      <c r="AC4771">
        <v>14.4778</v>
      </c>
      <c r="AD4771">
        <v>-1.1110922722209999</v>
      </c>
      <c r="AE4771">
        <v>-3.43668</v>
      </c>
      <c r="AF4771">
        <v>-2.94521472693796</v>
      </c>
      <c r="AG4771">
        <v>-1.1110922722209999</v>
      </c>
      <c r="AH4771">
        <v>14.501538451809701</v>
      </c>
      <c r="AI4771">
        <v>94.294052506713001</v>
      </c>
      <c r="AJ4771">
        <v>101.48043459076899</v>
      </c>
      <c r="AK4771">
        <v>14.8392531245503</v>
      </c>
      <c r="AL4771">
        <v>83.971928936522204</v>
      </c>
      <c r="AM4771">
        <v>93.571359504211102</v>
      </c>
      <c r="AN4771">
        <v>1.00000000681993</v>
      </c>
    </row>
    <row r="4772" spans="1:40" x14ac:dyDescent="0.25">
      <c r="A4772" t="str">
        <f>"20190312164605500"</f>
        <v>20190312164605500</v>
      </c>
      <c r="B4772" t="str">
        <f>"1552380365496112"</f>
        <v>1552380365496112</v>
      </c>
      <c r="C4772" t="s">
        <v>40</v>
      </c>
      <c r="D4772">
        <v>4.7940239999999896</v>
      </c>
      <c r="E4772">
        <v>0.45469809999999999</v>
      </c>
      <c r="F4772" t="s">
        <v>81</v>
      </c>
      <c r="G4772">
        <v>-388.00959999999998</v>
      </c>
      <c r="H4772" s="1">
        <v>-1.3433459999999999E-6</v>
      </c>
      <c r="I4772">
        <v>17.441870000000002</v>
      </c>
      <c r="J4772">
        <v>-402.50940000000003</v>
      </c>
      <c r="K4772">
        <v>1.1111180000000001</v>
      </c>
      <c r="L4772">
        <v>20.864750000000001</v>
      </c>
      <c r="M4772">
        <v>0.90818779999999999</v>
      </c>
      <c r="N4772">
        <v>0</v>
      </c>
      <c r="O4772">
        <v>-0.41834500000000002</v>
      </c>
      <c r="P4772">
        <v>0.9282743</v>
      </c>
      <c r="Q4772">
        <v>9.2427949999999995E-2</v>
      </c>
      <c r="R4772">
        <v>-0.3602281</v>
      </c>
      <c r="S4772">
        <v>2.9796140000000002</v>
      </c>
      <c r="T4772">
        <v>-0.2262644</v>
      </c>
      <c r="U4772">
        <v>-0.70904540000000005</v>
      </c>
      <c r="V4772">
        <v>-6.1783490000000003E-2</v>
      </c>
      <c r="W4772">
        <v>0.1055117</v>
      </c>
      <c r="X4772">
        <v>0.99249690000000002</v>
      </c>
      <c r="Y4772">
        <v>-0.1951744</v>
      </c>
      <c r="Z4772">
        <v>3.7462639999999998E-2</v>
      </c>
      <c r="AA4772">
        <v>0.98005279999999995</v>
      </c>
      <c r="AB4772">
        <v>27</v>
      </c>
      <c r="AC4772">
        <v>14.4998</v>
      </c>
      <c r="AD4772">
        <v>-1.111119343346</v>
      </c>
      <c r="AE4772">
        <v>-3.4228800000000001</v>
      </c>
      <c r="AF4772">
        <v>-2.94121110316209</v>
      </c>
      <c r="AG4772">
        <v>-1.111119343346</v>
      </c>
      <c r="AH4772">
        <v>14.5210489182298</v>
      </c>
      <c r="AI4772">
        <v>94.288865269694995</v>
      </c>
      <c r="AJ4772">
        <v>101.450244497078</v>
      </c>
      <c r="AK4772">
        <v>14.857529089123201</v>
      </c>
      <c r="AL4772">
        <v>83.943351467249002</v>
      </c>
      <c r="AM4772">
        <v>93.5620980304884</v>
      </c>
      <c r="AN4772">
        <v>1.0000000074915401</v>
      </c>
    </row>
    <row r="4773" spans="1:40" x14ac:dyDescent="0.25">
      <c r="A4773" t="str">
        <f>"20190312164605518"</f>
        <v>20190312164605518</v>
      </c>
      <c r="B4773" t="str">
        <f>"1552380365506847"</f>
        <v>1552380365506847</v>
      </c>
      <c r="C4773" t="s">
        <v>40</v>
      </c>
      <c r="D4773">
        <v>4.8919800000000002</v>
      </c>
      <c r="E4773">
        <v>0.45478580000000002</v>
      </c>
      <c r="F4773" t="s">
        <v>81</v>
      </c>
      <c r="G4773">
        <v>-387.58960000000002</v>
      </c>
      <c r="H4773" s="1">
        <v>-1.545798E-6</v>
      </c>
      <c r="I4773">
        <v>17.327829999999999</v>
      </c>
      <c r="J4773">
        <v>-402.30900000000003</v>
      </c>
      <c r="K4773">
        <v>1.1111599999999999</v>
      </c>
      <c r="L4773">
        <v>20.775670000000002</v>
      </c>
      <c r="M4773">
        <v>0.90932310000000005</v>
      </c>
      <c r="N4773">
        <v>0</v>
      </c>
      <c r="O4773">
        <v>-0.41587099999999999</v>
      </c>
      <c r="P4773">
        <v>0.92883579999999999</v>
      </c>
      <c r="Q4773">
        <v>9.3831860000000003E-2</v>
      </c>
      <c r="R4773">
        <v>-0.35841299999999998</v>
      </c>
      <c r="S4773">
        <v>2.9797669999999998</v>
      </c>
      <c r="T4773">
        <v>-0.22191169999999999</v>
      </c>
      <c r="U4773">
        <v>-0.70639039999999997</v>
      </c>
      <c r="V4773">
        <v>-6.098112E-2</v>
      </c>
      <c r="W4773">
        <v>0.1069099</v>
      </c>
      <c r="X4773">
        <v>0.99239690000000003</v>
      </c>
      <c r="Y4773">
        <v>-0.19341230000000001</v>
      </c>
      <c r="Z4773">
        <v>3.6519099999999999E-2</v>
      </c>
      <c r="AA4773">
        <v>0.98043769999999997</v>
      </c>
      <c r="AB4773">
        <v>27</v>
      </c>
      <c r="AC4773">
        <v>14.7194</v>
      </c>
      <c r="AD4773">
        <v>-1.111161545798</v>
      </c>
      <c r="AE4773">
        <v>-3.4478399999999998</v>
      </c>
      <c r="AF4773">
        <v>-2.9703971410365999</v>
      </c>
      <c r="AG4773">
        <v>-1.111161545798</v>
      </c>
      <c r="AH4773">
        <v>14.740270857335799</v>
      </c>
      <c r="AI4773">
        <v>94.226316308458905</v>
      </c>
      <c r="AJ4773">
        <v>101.393415434064</v>
      </c>
      <c r="AK4773">
        <v>15.0775834968327</v>
      </c>
      <c r="AL4773">
        <v>83.862784836486895</v>
      </c>
      <c r="AM4773">
        <v>93.516307972702904</v>
      </c>
      <c r="AN4773">
        <v>1.0000000154220301</v>
      </c>
    </row>
    <row r="4774" spans="1:40" x14ac:dyDescent="0.25">
      <c r="A4774" t="str">
        <f>"20190312164605530"</f>
        <v>20190312164605530</v>
      </c>
      <c r="B4774" t="str">
        <f>"1552380365526368"</f>
        <v>1552380365526368</v>
      </c>
      <c r="C4774" t="s">
        <v>40</v>
      </c>
      <c r="D4774">
        <v>4.8759800000000002</v>
      </c>
      <c r="E4774">
        <v>0.45474429999999999</v>
      </c>
      <c r="F4774" t="s">
        <v>81</v>
      </c>
      <c r="G4774">
        <v>-386.86250000000001</v>
      </c>
      <c r="H4774" s="1">
        <v>-1.9222590000000001E-6</v>
      </c>
      <c r="I4774">
        <v>17.1431</v>
      </c>
      <c r="J4774">
        <v>-402.18040000000002</v>
      </c>
      <c r="K4774">
        <v>1.111191</v>
      </c>
      <c r="L4774">
        <v>20.718810000000001</v>
      </c>
      <c r="M4774">
        <v>0.91005689999999995</v>
      </c>
      <c r="N4774">
        <v>0</v>
      </c>
      <c r="O4774">
        <v>-0.4142631</v>
      </c>
      <c r="P4774">
        <v>0.92922680000000002</v>
      </c>
      <c r="Q4774">
        <v>9.4574179999999994E-2</v>
      </c>
      <c r="R4774">
        <v>-0.35720239999999998</v>
      </c>
      <c r="S4774">
        <v>2.9810180000000002</v>
      </c>
      <c r="T4774">
        <v>-0.21444360000000001</v>
      </c>
      <c r="U4774">
        <v>-0.70104979999999995</v>
      </c>
      <c r="V4774">
        <v>-6.0499740000000003E-2</v>
      </c>
      <c r="W4774">
        <v>0.10764899999999999</v>
      </c>
      <c r="X4774">
        <v>0.99234650000000002</v>
      </c>
      <c r="Y4774">
        <v>-0.19353770000000001</v>
      </c>
      <c r="Z4774">
        <v>3.5190310000000002E-2</v>
      </c>
      <c r="AA4774">
        <v>0.98046149999999999</v>
      </c>
      <c r="AB4774">
        <v>27</v>
      </c>
      <c r="AC4774">
        <v>15.3179</v>
      </c>
      <c r="AD4774">
        <v>-1.111192922259</v>
      </c>
      <c r="AE4774">
        <v>-3.5757099999999999</v>
      </c>
      <c r="AF4774">
        <v>-3.0764704636278402</v>
      </c>
      <c r="AG4774">
        <v>-1.111192922259</v>
      </c>
      <c r="AH4774">
        <v>15.346268472073801</v>
      </c>
      <c r="AI4774">
        <v>94.060927554181902</v>
      </c>
      <c r="AJ4774">
        <v>101.33583785689</v>
      </c>
      <c r="AK4774">
        <v>15.6909966618128</v>
      </c>
      <c r="AL4774">
        <v>83.820191936757993</v>
      </c>
      <c r="AM4774">
        <v>93.488796093415502</v>
      </c>
      <c r="AN4774">
        <v>1.00000005090165</v>
      </c>
    </row>
    <row r="4775" spans="1:40" x14ac:dyDescent="0.25">
      <c r="A4775" t="str">
        <f>"20190312164605541"</f>
        <v>20190312164605541</v>
      </c>
      <c r="B4775" t="str">
        <f>"1552380365536127"</f>
        <v>1552380365536127</v>
      </c>
      <c r="C4775" t="s">
        <v>40</v>
      </c>
      <c r="D4775">
        <v>4.9354129999999996</v>
      </c>
      <c r="E4775">
        <v>0.45455430000000002</v>
      </c>
      <c r="F4775" t="s">
        <v>81</v>
      </c>
      <c r="G4775">
        <v>-386.41759999999999</v>
      </c>
      <c r="H4775" s="1">
        <v>-2.1518770000000001E-6</v>
      </c>
      <c r="I4775">
        <v>17.03416</v>
      </c>
      <c r="J4775">
        <v>-402.06049999999999</v>
      </c>
      <c r="K4775">
        <v>1.111227</v>
      </c>
      <c r="L4775">
        <v>20.666229999999999</v>
      </c>
      <c r="M4775">
        <v>0.91075269999999997</v>
      </c>
      <c r="N4775">
        <v>0</v>
      </c>
      <c r="O4775">
        <v>-0.41273130000000002</v>
      </c>
      <c r="P4775">
        <v>0.92972670000000002</v>
      </c>
      <c r="Q4775">
        <v>9.5129249999999999E-2</v>
      </c>
      <c r="R4775">
        <v>-0.3557514</v>
      </c>
      <c r="S4775">
        <v>2.9819640000000001</v>
      </c>
      <c r="T4775">
        <v>-0.2102127</v>
      </c>
      <c r="U4775">
        <v>-0.697052</v>
      </c>
      <c r="V4775">
        <v>-6.0365990000000001E-2</v>
      </c>
      <c r="W4775">
        <v>0.1081994</v>
      </c>
      <c r="X4775">
        <v>0.99229469999999997</v>
      </c>
      <c r="Y4775">
        <v>-0.1932613</v>
      </c>
      <c r="Z4775">
        <v>3.4388549999999997E-2</v>
      </c>
      <c r="AA4775">
        <v>0.98054450000000004</v>
      </c>
      <c r="AB4775">
        <v>27</v>
      </c>
      <c r="AC4775">
        <v>15.6428999999999</v>
      </c>
      <c r="AD4775">
        <v>-1.1112291518770001</v>
      </c>
      <c r="AE4775">
        <v>-3.6320699999999899</v>
      </c>
      <c r="AF4775">
        <v>-3.1336794872351299</v>
      </c>
      <c r="AG4775">
        <v>-1.1112291518770001</v>
      </c>
      <c r="AH4775">
        <v>15.6722771303081</v>
      </c>
      <c r="AI4775">
        <v>93.9772534844668</v>
      </c>
      <c r="AJ4775">
        <v>101.307204822977</v>
      </c>
      <c r="AK4775">
        <v>16.0210813556975</v>
      </c>
      <c r="AL4775">
        <v>83.788470541812103</v>
      </c>
      <c r="AM4775">
        <v>93.481283487986801</v>
      </c>
      <c r="AN4775">
        <v>0.99999996727856399</v>
      </c>
    </row>
    <row r="4776" spans="1:40" x14ac:dyDescent="0.25">
      <c r="A4776" t="str">
        <f>"20190312164605551"</f>
        <v>20190312164605551</v>
      </c>
      <c r="B4776" t="str">
        <f>"1552380365546865"</f>
        <v>1552380365546865</v>
      </c>
      <c r="C4776" t="s">
        <v>40</v>
      </c>
      <c r="D4776">
        <v>4.9540940000000004</v>
      </c>
      <c r="E4776">
        <v>0.45452500000000001</v>
      </c>
      <c r="F4776" t="s">
        <v>81</v>
      </c>
      <c r="G4776">
        <v>-386.30840000000001</v>
      </c>
      <c r="H4776" s="1">
        <v>-2.2060280000000001E-6</v>
      </c>
      <c r="I4776">
        <v>17.01998</v>
      </c>
      <c r="J4776">
        <v>-401.94569999999999</v>
      </c>
      <c r="K4776">
        <v>1.111256</v>
      </c>
      <c r="L4776">
        <v>20.616</v>
      </c>
      <c r="M4776">
        <v>0.91141870000000003</v>
      </c>
      <c r="N4776">
        <v>0</v>
      </c>
      <c r="O4776">
        <v>-0.41125840000000002</v>
      </c>
      <c r="P4776">
        <v>0.93027439999999995</v>
      </c>
      <c r="Q4776">
        <v>9.5488569999999995E-2</v>
      </c>
      <c r="R4776">
        <v>-0.35421970000000003</v>
      </c>
      <c r="S4776">
        <v>2.9840390000000001</v>
      </c>
      <c r="T4776">
        <v>-0.21050830000000001</v>
      </c>
      <c r="U4776">
        <v>-0.69073490000000004</v>
      </c>
      <c r="V4776">
        <v>-6.0390140000000002E-2</v>
      </c>
      <c r="W4776">
        <v>0.108553</v>
      </c>
      <c r="X4776">
        <v>0.99225459999999999</v>
      </c>
      <c r="Y4776">
        <v>-0.19379469999999999</v>
      </c>
      <c r="Z4776">
        <v>3.4350749999999999E-2</v>
      </c>
      <c r="AA4776">
        <v>0.9804406</v>
      </c>
      <c r="AB4776">
        <v>27</v>
      </c>
      <c r="AC4776">
        <v>15.6372999999999</v>
      </c>
      <c r="AD4776">
        <v>-1.1112582060280001</v>
      </c>
      <c r="AE4776">
        <v>-3.59601999999999</v>
      </c>
      <c r="AF4776">
        <v>-3.13872392543596</v>
      </c>
      <c r="AG4776">
        <v>-1.1112582060280001</v>
      </c>
      <c r="AH4776">
        <v>15.6573557879211</v>
      </c>
      <c r="AI4776">
        <v>93.980743710467905</v>
      </c>
      <c r="AJ4776">
        <v>101.33544984545701</v>
      </c>
      <c r="AK4776">
        <v>16.007475533328599</v>
      </c>
      <c r="AL4776">
        <v>83.768090651079305</v>
      </c>
      <c r="AM4776">
        <v>93.482813180842001</v>
      </c>
      <c r="AN4776">
        <v>0.99999995701968802</v>
      </c>
    </row>
    <row r="4777" spans="1:40" x14ac:dyDescent="0.25">
      <c r="A4777" t="str">
        <f>"20190312164605562"</f>
        <v>20190312164605562</v>
      </c>
      <c r="B4777" t="str">
        <f>"1552380365556623"</f>
        <v>1552380365556623</v>
      </c>
      <c r="C4777" t="s">
        <v>40</v>
      </c>
      <c r="D4777">
        <v>4.7806499999999996</v>
      </c>
      <c r="E4777">
        <v>0.45439550000000001</v>
      </c>
      <c r="F4777" t="s">
        <v>81</v>
      </c>
      <c r="G4777">
        <v>-386.04320000000001</v>
      </c>
      <c r="H4777" s="1">
        <v>-2.3414499999999998E-6</v>
      </c>
      <c r="I4777">
        <v>16.963159999999998</v>
      </c>
      <c r="J4777">
        <v>-401.8236</v>
      </c>
      <c r="K4777">
        <v>1.1112850000000001</v>
      </c>
      <c r="L4777">
        <v>20.562930000000001</v>
      </c>
      <c r="M4777">
        <v>0.91213699999999998</v>
      </c>
      <c r="N4777">
        <v>0</v>
      </c>
      <c r="O4777">
        <v>-0.40966249999999998</v>
      </c>
      <c r="P4777">
        <v>0.93100749999999999</v>
      </c>
      <c r="Q4777">
        <v>9.5691330000000005E-2</v>
      </c>
      <c r="R4777">
        <v>-0.35223349999999998</v>
      </c>
      <c r="S4777">
        <v>2.9851679999999998</v>
      </c>
      <c r="T4777">
        <v>-0.20860200000000001</v>
      </c>
      <c r="U4777">
        <v>-0.68569950000000002</v>
      </c>
      <c r="V4777">
        <v>-6.077254E-2</v>
      </c>
      <c r="W4777">
        <v>0.10874830000000001</v>
      </c>
      <c r="X4777">
        <v>0.99220989999999998</v>
      </c>
      <c r="Y4777">
        <v>-0.1937577</v>
      </c>
      <c r="Z4777">
        <v>3.3935899999999998E-2</v>
      </c>
      <c r="AA4777">
        <v>0.98046230000000001</v>
      </c>
      <c r="AB4777">
        <v>27</v>
      </c>
      <c r="AC4777">
        <v>15.780399999999901</v>
      </c>
      <c r="AD4777">
        <v>-1.11128734145</v>
      </c>
      <c r="AE4777">
        <v>-3.5997699999999901</v>
      </c>
      <c r="AF4777">
        <v>-3.16651855820044</v>
      </c>
      <c r="AG4777">
        <v>-1.11128734145</v>
      </c>
      <c r="AH4777">
        <v>15.7955678858297</v>
      </c>
      <c r="AI4777">
        <v>93.946121402352603</v>
      </c>
      <c r="AJ4777">
        <v>101.335757384112</v>
      </c>
      <c r="AK4777">
        <v>16.148119524283601</v>
      </c>
      <c r="AL4777">
        <v>83.756834353080293</v>
      </c>
      <c r="AM4777">
        <v>93.5049696101986</v>
      </c>
      <c r="AN4777">
        <v>0.99999999001447504</v>
      </c>
    </row>
    <row r="4778" spans="1:40" x14ac:dyDescent="0.25">
      <c r="A4778" t="str">
        <f>"20190312164605574"</f>
        <v>20190312164605574</v>
      </c>
      <c r="B4778" t="str">
        <f>"1552380365566383"</f>
        <v>1552380365566383</v>
      </c>
      <c r="C4778" t="s">
        <v>40</v>
      </c>
      <c r="D4778">
        <v>4.8564069999999999</v>
      </c>
      <c r="E4778">
        <v>0.45421830000000002</v>
      </c>
      <c r="F4778" t="s">
        <v>81</v>
      </c>
      <c r="G4778">
        <v>-385.5772</v>
      </c>
      <c r="H4778" s="1">
        <v>-2.5780850000000002E-6</v>
      </c>
      <c r="I4778">
        <v>16.870989999999999</v>
      </c>
      <c r="J4778">
        <v>-401.6943</v>
      </c>
      <c r="K4778">
        <v>1.1113170000000001</v>
      </c>
      <c r="L4778">
        <v>20.506959999999999</v>
      </c>
      <c r="M4778">
        <v>0.91290179999999999</v>
      </c>
      <c r="N4778">
        <v>0</v>
      </c>
      <c r="O4778">
        <v>-0.40795569999999998</v>
      </c>
      <c r="P4778">
        <v>0.93183419999999895</v>
      </c>
      <c r="Q4778">
        <v>9.5430559999999998E-2</v>
      </c>
      <c r="R4778">
        <v>-0.35011179999999997</v>
      </c>
      <c r="S4778">
        <v>2.986542</v>
      </c>
      <c r="T4778">
        <v>-0.20428550000000001</v>
      </c>
      <c r="U4778">
        <v>-0.67868039999999996</v>
      </c>
      <c r="V4778">
        <v>-6.1194489999999997E-2</v>
      </c>
      <c r="W4778">
        <v>0.10847950000000001</v>
      </c>
      <c r="X4778">
        <v>0.99221340000000002</v>
      </c>
      <c r="Y4778">
        <v>-0.19426779999999999</v>
      </c>
      <c r="Z4778">
        <v>3.3145139999999997E-2</v>
      </c>
      <c r="AA4778">
        <v>0.98038840000000005</v>
      </c>
      <c r="AB4778">
        <v>27</v>
      </c>
      <c r="AC4778">
        <v>16.117099999999901</v>
      </c>
      <c r="AD4778">
        <v>-1.111319578085</v>
      </c>
      <c r="AE4778">
        <v>-3.6359699999999999</v>
      </c>
      <c r="AF4778">
        <v>-3.2414113958167099</v>
      </c>
      <c r="AG4778">
        <v>-1.111319578085</v>
      </c>
      <c r="AH4778">
        <v>16.125167973442199</v>
      </c>
      <c r="AI4778">
        <v>93.865414481067504</v>
      </c>
      <c r="AJ4778">
        <v>101.365876753224</v>
      </c>
      <c r="AK4778">
        <v>16.485230396123999</v>
      </c>
      <c r="AL4778">
        <v>83.772327172084104</v>
      </c>
      <c r="AM4778">
        <v>93.529231259829899</v>
      </c>
      <c r="AN4778">
        <v>0.99999999933308403</v>
      </c>
    </row>
    <row r="4779" spans="1:40" x14ac:dyDescent="0.25">
      <c r="A4779" t="str">
        <f>"20190312164605583"</f>
        <v>20190312164605583</v>
      </c>
      <c r="B4779" t="str">
        <f>"1552380365576143"</f>
        <v>1552380365576143</v>
      </c>
      <c r="C4779" t="s">
        <v>40</v>
      </c>
      <c r="D4779">
        <v>4.9175009999999997</v>
      </c>
      <c r="E4779">
        <v>0.45393230000000001</v>
      </c>
      <c r="F4779" t="s">
        <v>81</v>
      </c>
      <c r="G4779">
        <v>-385.36259999999999</v>
      </c>
      <c r="H4779" s="1">
        <v>-2.6848199999999998E-6</v>
      </c>
      <c r="I4779">
        <v>16.841279999999902</v>
      </c>
      <c r="J4779">
        <v>-401.57870000000003</v>
      </c>
      <c r="K4779">
        <v>1.1113459999999999</v>
      </c>
      <c r="L4779">
        <v>20.457239999999999</v>
      </c>
      <c r="M4779">
        <v>0.91359069999999998</v>
      </c>
      <c r="N4779">
        <v>0</v>
      </c>
      <c r="O4779">
        <v>-0.40641050000000001</v>
      </c>
      <c r="P4779">
        <v>0.93260330000000002</v>
      </c>
      <c r="Q4779">
        <v>9.4906760000000007E-2</v>
      </c>
      <c r="R4779">
        <v>-0.34820069999999997</v>
      </c>
      <c r="S4779">
        <v>2.988251</v>
      </c>
      <c r="T4779">
        <v>-0.2033401</v>
      </c>
      <c r="U4779">
        <v>-0.67071530000000001</v>
      </c>
      <c r="V4779">
        <v>-6.157609E-2</v>
      </c>
      <c r="W4779">
        <v>0.10794810000000001</v>
      </c>
      <c r="X4779">
        <v>0.99224780000000001</v>
      </c>
      <c r="Y4779">
        <v>-0.19522880000000001</v>
      </c>
      <c r="Z4779">
        <v>3.2925099999999999E-2</v>
      </c>
      <c r="AA4779">
        <v>0.98020490000000005</v>
      </c>
      <c r="AB4779">
        <v>27</v>
      </c>
      <c r="AC4779">
        <v>16.216100000000001</v>
      </c>
      <c r="AD4779">
        <v>-1.11134868482</v>
      </c>
      <c r="AE4779">
        <v>-3.6159599999999998</v>
      </c>
      <c r="AF4779">
        <v>-3.2725432977612701</v>
      </c>
      <c r="AG4779">
        <v>-1.11134868482</v>
      </c>
      <c r="AH4779">
        <v>16.213383823911201</v>
      </c>
      <c r="AI4779">
        <v>93.843933530148703</v>
      </c>
      <c r="AJ4779">
        <v>101.41138109908</v>
      </c>
      <c r="AK4779">
        <v>16.577649126352</v>
      </c>
      <c r="AL4779">
        <v>83.8029543282492</v>
      </c>
      <c r="AM4779">
        <v>93.551060091272504</v>
      </c>
      <c r="AN4779">
        <v>1.0000000518790599</v>
      </c>
    </row>
    <row r="4780" spans="1:40" x14ac:dyDescent="0.25">
      <c r="A4780" t="str">
        <f>"20190312164605594"</f>
        <v>20190312164605594</v>
      </c>
      <c r="B4780" t="str">
        <f>"1552380365586879"</f>
        <v>1552380365586879</v>
      </c>
      <c r="C4780" t="s">
        <v>40</v>
      </c>
      <c r="D4780">
        <v>4.8648410000000002</v>
      </c>
      <c r="E4780">
        <v>0.45340900000000001</v>
      </c>
      <c r="F4780" t="s">
        <v>81</v>
      </c>
      <c r="G4780">
        <v>-385.18299999999999</v>
      </c>
      <c r="H4780" s="1">
        <v>-2.772581E-6</v>
      </c>
      <c r="I4780">
        <v>16.825019999999999</v>
      </c>
      <c r="J4780">
        <v>-401.46420000000001</v>
      </c>
      <c r="K4780">
        <v>1.1113729999999999</v>
      </c>
      <c r="L4780">
        <v>20.408200000000001</v>
      </c>
      <c r="M4780">
        <v>0.91427959999999997</v>
      </c>
      <c r="N4780">
        <v>0</v>
      </c>
      <c r="O4780">
        <v>-0.40485880000000002</v>
      </c>
      <c r="P4780">
        <v>0.93337610000000004</v>
      </c>
      <c r="Q4780">
        <v>9.4584680000000004E-2</v>
      </c>
      <c r="R4780">
        <v>-0.34621239999999998</v>
      </c>
      <c r="S4780">
        <v>2.9901119999999999</v>
      </c>
      <c r="T4780">
        <v>-0.20267840000000001</v>
      </c>
      <c r="U4780">
        <v>-0.66241459999999996</v>
      </c>
      <c r="V4780">
        <v>-6.2024969999999999E-2</v>
      </c>
      <c r="W4780">
        <v>0.1076163</v>
      </c>
      <c r="X4780">
        <v>0.99225580000000002</v>
      </c>
      <c r="Y4780">
        <v>-0.19629569999999999</v>
      </c>
      <c r="Z4780">
        <v>3.2753289999999997E-2</v>
      </c>
      <c r="AA4780">
        <v>0.97999760000000002</v>
      </c>
      <c r="AB4780">
        <v>27</v>
      </c>
      <c r="AC4780">
        <v>16.281199999999899</v>
      </c>
      <c r="AD4780">
        <v>-1.1113757725809901</v>
      </c>
      <c r="AE4780">
        <v>-3.5831799999999898</v>
      </c>
      <c r="AF4780">
        <v>-3.3011891411135301</v>
      </c>
      <c r="AG4780">
        <v>-1.1113757725809901</v>
      </c>
      <c r="AH4780">
        <v>16.265449938558898</v>
      </c>
      <c r="AI4780">
        <v>93.830930654495205</v>
      </c>
      <c r="AJ4780">
        <v>101.47275428117401</v>
      </c>
      <c r="AK4780">
        <v>16.634237811124699</v>
      </c>
      <c r="AL4780">
        <v>83.822075947022</v>
      </c>
      <c r="AM4780">
        <v>93.576851032581999</v>
      </c>
      <c r="AN4780">
        <v>0.99999996878141495</v>
      </c>
    </row>
    <row r="4781" spans="1:40" x14ac:dyDescent="0.25">
      <c r="A4781" t="str">
        <f>"20190312164605605"</f>
        <v>20190312164605605</v>
      </c>
      <c r="B4781" t="str">
        <f>"1552380365596639"</f>
        <v>1552380365596639</v>
      </c>
      <c r="C4781" t="s">
        <v>40</v>
      </c>
      <c r="D4781">
        <v>4.8894469999999997</v>
      </c>
      <c r="E4781">
        <v>0.45293949999999999</v>
      </c>
      <c r="F4781" t="s">
        <v>81</v>
      </c>
      <c r="G4781">
        <v>-385.05180000000001</v>
      </c>
      <c r="H4781" s="1">
        <v>-2.8331219999999998E-6</v>
      </c>
      <c r="I4781">
        <v>16.833359999999999</v>
      </c>
      <c r="J4781">
        <v>-401.34649999999999</v>
      </c>
      <c r="K4781">
        <v>1.111405</v>
      </c>
      <c r="L4781">
        <v>20.358059999999998</v>
      </c>
      <c r="M4781">
        <v>0.91499039999999998</v>
      </c>
      <c r="N4781">
        <v>0</v>
      </c>
      <c r="O4781">
        <v>-0.40324939999999998</v>
      </c>
      <c r="P4781">
        <v>0.93415910000000002</v>
      </c>
      <c r="Q4781">
        <v>9.4454999999999997E-2</v>
      </c>
      <c r="R4781">
        <v>-0.34412949999999998</v>
      </c>
      <c r="S4781">
        <v>2.9928590000000002</v>
      </c>
      <c r="T4781">
        <v>-0.2026635</v>
      </c>
      <c r="U4781">
        <v>-0.65188599999999997</v>
      </c>
      <c r="V4781">
        <v>-6.2504749999999998E-2</v>
      </c>
      <c r="W4781">
        <v>0.107475</v>
      </c>
      <c r="X4781">
        <v>0.99224100000000004</v>
      </c>
      <c r="Y4781">
        <v>-0.19804949999999999</v>
      </c>
      <c r="Z4781">
        <v>3.2699359999999997E-2</v>
      </c>
      <c r="AA4781">
        <v>0.97964640000000003</v>
      </c>
      <c r="AB4781">
        <v>27</v>
      </c>
      <c r="AC4781">
        <v>16.294699999999899</v>
      </c>
      <c r="AD4781">
        <v>-1.1114078331220001</v>
      </c>
      <c r="AE4781">
        <v>-3.5247000000000002</v>
      </c>
      <c r="AF4781">
        <v>-3.3312618294973602</v>
      </c>
      <c r="AG4781">
        <v>-1.1114078331220001</v>
      </c>
      <c r="AH4781">
        <v>16.260054423179099</v>
      </c>
      <c r="AI4781">
        <v>93.830874705701603</v>
      </c>
      <c r="AJ4781">
        <v>101.578196043796</v>
      </c>
      <c r="AK4781">
        <v>16.634960252219901</v>
      </c>
      <c r="AL4781">
        <v>83.830219020030796</v>
      </c>
      <c r="AM4781">
        <v>93.604499906156093</v>
      </c>
      <c r="AN4781">
        <v>0.99999996073927999</v>
      </c>
    </row>
    <row r="4782" spans="1:40" x14ac:dyDescent="0.25">
      <c r="A4782" t="str">
        <f>"20190312164605617"</f>
        <v>20190312164605617</v>
      </c>
      <c r="B4782" t="str">
        <f>"1552380365606400"</f>
        <v>1552380365606400</v>
      </c>
      <c r="C4782" t="s">
        <v>40</v>
      </c>
      <c r="D4782">
        <v>4.7483279999999999</v>
      </c>
      <c r="E4782">
        <v>0.45275549999999998</v>
      </c>
      <c r="F4782" t="s">
        <v>81</v>
      </c>
      <c r="G4782">
        <v>-384.8854</v>
      </c>
      <c r="H4782" s="1">
        <v>-2.9118569999999999E-6</v>
      </c>
      <c r="I4782">
        <v>16.832879999999999</v>
      </c>
      <c r="J4782">
        <v>-401.22379999999998</v>
      </c>
      <c r="K4782">
        <v>1.111432</v>
      </c>
      <c r="L4782">
        <v>20.30612</v>
      </c>
      <c r="M4782">
        <v>0.91574069999999996</v>
      </c>
      <c r="N4782">
        <v>0</v>
      </c>
      <c r="O4782">
        <v>-0.40154289999999998</v>
      </c>
      <c r="P4782">
        <v>0.93501959999999995</v>
      </c>
      <c r="Q4782">
        <v>9.4382010000000002E-2</v>
      </c>
      <c r="R4782">
        <v>-0.34180470000000002</v>
      </c>
      <c r="S4782">
        <v>2.9955750000000001</v>
      </c>
      <c r="T4782">
        <v>-0.20225309999999999</v>
      </c>
      <c r="U4782">
        <v>-0.64151000000000002</v>
      </c>
      <c r="V4782">
        <v>-6.3134129999999997E-2</v>
      </c>
      <c r="W4782">
        <v>0.10738780000000001</v>
      </c>
      <c r="X4782">
        <v>0.99221060000000005</v>
      </c>
      <c r="Y4782">
        <v>-0.19965479999999999</v>
      </c>
      <c r="Z4782">
        <v>3.2570790000000002E-2</v>
      </c>
      <c r="AA4782">
        <v>0.9793248</v>
      </c>
      <c r="AB4782">
        <v>27</v>
      </c>
      <c r="AC4782">
        <v>16.338399999999901</v>
      </c>
      <c r="AD4782">
        <v>-1.1114349118569999</v>
      </c>
      <c r="AE4782">
        <v>-3.4732400000000001</v>
      </c>
      <c r="AF4782">
        <v>-3.3653892805499699</v>
      </c>
      <c r="AG4782">
        <v>-1.1114349118569999</v>
      </c>
      <c r="AH4782">
        <v>16.285779125028299</v>
      </c>
      <c r="AI4782">
        <v>93.823600730150005</v>
      </c>
      <c r="AJ4782">
        <v>101.675596033628</v>
      </c>
      <c r="AK4782">
        <v>16.6669653591211</v>
      </c>
      <c r="AL4782">
        <v>83.835244330751394</v>
      </c>
      <c r="AM4782">
        <v>93.640808863393104</v>
      </c>
      <c r="AN4782">
        <v>0.99999996635602795</v>
      </c>
    </row>
    <row r="4783" spans="1:40" x14ac:dyDescent="0.25">
      <c r="A4783" t="str">
        <f>"20190312164605627"</f>
        <v>20190312164605627</v>
      </c>
      <c r="B4783" t="str">
        <f>"1552380365616160"</f>
        <v>1552380365616160</v>
      </c>
      <c r="C4783" t="s">
        <v>40</v>
      </c>
      <c r="D4783">
        <v>4.7492390000000002</v>
      </c>
      <c r="E4783">
        <v>0.45244709999999999</v>
      </c>
      <c r="F4783" t="s">
        <v>81</v>
      </c>
      <c r="G4783">
        <v>-384.745</v>
      </c>
      <c r="H4783" s="1">
        <v>-2.9793590000000001E-6</v>
      </c>
      <c r="I4783">
        <v>16.826599999999999</v>
      </c>
      <c r="J4783">
        <v>-401.1028</v>
      </c>
      <c r="K4783">
        <v>1.111461</v>
      </c>
      <c r="L4783">
        <v>20.255040000000001</v>
      </c>
      <c r="M4783">
        <v>0.91648039999999997</v>
      </c>
      <c r="N4783">
        <v>0</v>
      </c>
      <c r="O4783">
        <v>-0.3998524</v>
      </c>
      <c r="P4783">
        <v>0.93578079999999997</v>
      </c>
      <c r="Q4783">
        <v>9.4501210000000002E-2</v>
      </c>
      <c r="R4783">
        <v>-0.3396825</v>
      </c>
      <c r="S4783">
        <v>2.997528</v>
      </c>
      <c r="T4783">
        <v>-0.20217299999999999</v>
      </c>
      <c r="U4783">
        <v>-0.63293459999999901</v>
      </c>
      <c r="V4783">
        <v>-6.3558719999999999E-2</v>
      </c>
      <c r="W4783">
        <v>0.10749400000000001</v>
      </c>
      <c r="X4783">
        <v>0.99217200000000005</v>
      </c>
      <c r="Y4783">
        <v>-0.20066059999999999</v>
      </c>
      <c r="Z4783">
        <v>3.2481450000000002E-2</v>
      </c>
      <c r="AA4783">
        <v>0.97912220000000005</v>
      </c>
      <c r="AB4783">
        <v>27</v>
      </c>
      <c r="AC4783">
        <v>16.357799999999902</v>
      </c>
      <c r="AD4783">
        <v>-1.111463979359</v>
      </c>
      <c r="AE4783">
        <v>-3.4284400000000002</v>
      </c>
      <c r="AF4783">
        <v>-3.3839507810782998</v>
      </c>
      <c r="AG4783">
        <v>-1.111463979359</v>
      </c>
      <c r="AH4783">
        <v>16.291908680208898</v>
      </c>
      <c r="AI4783">
        <v>93.821462532089498</v>
      </c>
      <c r="AJ4783">
        <v>101.733915777945</v>
      </c>
      <c r="AK4783">
        <v>16.676713210655102</v>
      </c>
      <c r="AL4783">
        <v>83.829124140514097</v>
      </c>
      <c r="AM4783">
        <v>93.665369734370003</v>
      </c>
      <c r="AN4783">
        <v>0.99999997425401899</v>
      </c>
    </row>
    <row r="4784" spans="1:40" x14ac:dyDescent="0.25">
      <c r="A4784" t="str">
        <f>"20190312164605640"</f>
        <v>20190312164605640</v>
      </c>
      <c r="B4784" t="str">
        <f>"1552380365636656"</f>
        <v>1552380365636656</v>
      </c>
      <c r="C4784" t="s">
        <v>40</v>
      </c>
      <c r="D4784">
        <v>4.9620150000000001</v>
      </c>
      <c r="E4784">
        <v>0.45186209999999999</v>
      </c>
      <c r="F4784" t="s">
        <v>81</v>
      </c>
      <c r="G4784">
        <v>-384.74700000000001</v>
      </c>
      <c r="H4784" s="1">
        <v>-2.9738030000000001E-6</v>
      </c>
      <c r="I4784">
        <v>16.85266</v>
      </c>
      <c r="J4784">
        <v>-400.97770000000003</v>
      </c>
      <c r="K4784">
        <v>1.111494</v>
      </c>
      <c r="L4784">
        <v>20.202760000000001</v>
      </c>
      <c r="M4784">
        <v>0.91725719999999999</v>
      </c>
      <c r="N4784">
        <v>0</v>
      </c>
      <c r="O4784">
        <v>-0.3980667</v>
      </c>
      <c r="P4784">
        <v>0.93658419999999998</v>
      </c>
      <c r="Q4784">
        <v>9.449022E-2</v>
      </c>
      <c r="R4784">
        <v>-0.33746389999999998</v>
      </c>
      <c r="S4784">
        <v>2.9999389999999999</v>
      </c>
      <c r="T4784">
        <v>-0.2038615</v>
      </c>
      <c r="U4784">
        <v>-0.624054</v>
      </c>
      <c r="V4784">
        <v>-6.3987050000000004E-2</v>
      </c>
      <c r="W4784">
        <v>0.10747080000000001</v>
      </c>
      <c r="X4784">
        <v>0.992147</v>
      </c>
      <c r="Y4784">
        <v>-0.20166980000000001</v>
      </c>
      <c r="Z4784">
        <v>3.2664680000000001E-2</v>
      </c>
      <c r="AA4784">
        <v>0.97890869999999996</v>
      </c>
      <c r="AB4784">
        <v>27</v>
      </c>
      <c r="AC4784">
        <v>16.230699999999999</v>
      </c>
      <c r="AD4784">
        <v>-1.1114969738030001</v>
      </c>
      <c r="AE4784">
        <v>-3.3500999999999999</v>
      </c>
      <c r="AF4784">
        <v>-3.37313393191116</v>
      </c>
      <c r="AG4784">
        <v>-1.1114969738030001</v>
      </c>
      <c r="AH4784">
        <v>16.1501232341869</v>
      </c>
      <c r="AI4784">
        <v>93.854140267762602</v>
      </c>
      <c r="AJ4784">
        <v>101.797271679445</v>
      </c>
      <c r="AK4784">
        <v>16.5360194280488</v>
      </c>
      <c r="AL4784">
        <v>83.830461261031601</v>
      </c>
      <c r="AM4784">
        <v>93.690095814690906</v>
      </c>
      <c r="AN4784">
        <v>0.99999999251467098</v>
      </c>
    </row>
    <row r="4785" spans="1:40" x14ac:dyDescent="0.25">
      <c r="A4785" t="str">
        <f>"20190312164605652"</f>
        <v>20190312164605652</v>
      </c>
      <c r="B4785" t="str">
        <f>"1552380365646417"</f>
        <v>1552380365646417</v>
      </c>
      <c r="C4785" t="s">
        <v>40</v>
      </c>
      <c r="D4785">
        <v>4.7976859999999997</v>
      </c>
      <c r="E4785">
        <v>0.45174120000000001</v>
      </c>
      <c r="F4785" t="s">
        <v>81</v>
      </c>
      <c r="G4785">
        <v>-384.83420000000001</v>
      </c>
      <c r="H4785" s="1">
        <v>-2.9223279999999999E-6</v>
      </c>
      <c r="I4785">
        <v>16.91048</v>
      </c>
      <c r="J4785">
        <v>-400.84649999999999</v>
      </c>
      <c r="K4785">
        <v>1.111526</v>
      </c>
      <c r="L4785">
        <v>20.148099999999999</v>
      </c>
      <c r="M4785">
        <v>0.91807289999999997</v>
      </c>
      <c r="N4785">
        <v>0</v>
      </c>
      <c r="O4785">
        <v>-0.39618239999999999</v>
      </c>
      <c r="P4785">
        <v>0.93732669999999996</v>
      </c>
      <c r="Q4785">
        <v>9.4769110000000004E-2</v>
      </c>
      <c r="R4785">
        <v>-0.33531729999999998</v>
      </c>
      <c r="S4785">
        <v>3.0032960000000002</v>
      </c>
      <c r="T4785">
        <v>-0.2067802</v>
      </c>
      <c r="U4785">
        <v>-0.61248780000000003</v>
      </c>
      <c r="V4785">
        <v>-6.4222680000000004E-2</v>
      </c>
      <c r="W4785">
        <v>0.10773720000000001</v>
      </c>
      <c r="X4785">
        <v>0.99210290000000001</v>
      </c>
      <c r="Y4785">
        <v>-0.20345820000000001</v>
      </c>
      <c r="Z4785">
        <v>3.3056699999999897E-2</v>
      </c>
      <c r="AA4785">
        <v>0.97852550000000005</v>
      </c>
      <c r="AB4785">
        <v>27</v>
      </c>
      <c r="AC4785">
        <v>16.0122999999999</v>
      </c>
      <c r="AD4785">
        <v>-1.111528922328</v>
      </c>
      <c r="AE4785">
        <v>-3.2376200000000002</v>
      </c>
      <c r="AF4785">
        <v>-3.3561891153096499</v>
      </c>
      <c r="AG4785">
        <v>-1.111528922328</v>
      </c>
      <c r="AH4785">
        <v>15.9109393152926</v>
      </c>
      <c r="AI4785">
        <v>93.910385477866399</v>
      </c>
      <c r="AJ4785">
        <v>101.911130459907</v>
      </c>
      <c r="AK4785">
        <v>16.299002785993299</v>
      </c>
      <c r="AL4785">
        <v>83.815108636583105</v>
      </c>
      <c r="AM4785">
        <v>93.703810879731193</v>
      </c>
      <c r="AN4785">
        <v>1.0000000105393101</v>
      </c>
    </row>
    <row r="4786" spans="1:40" x14ac:dyDescent="0.25">
      <c r="A4786" t="str">
        <f>"20190312164605663"</f>
        <v>20190312164605663</v>
      </c>
      <c r="B4786" t="str">
        <f>"1552380365656176"</f>
        <v>1552380365656176</v>
      </c>
      <c r="C4786" t="s">
        <v>40</v>
      </c>
      <c r="D4786">
        <v>4.8879339999999996</v>
      </c>
      <c r="E4786">
        <v>0.4515072</v>
      </c>
      <c r="F4786" t="s">
        <v>81</v>
      </c>
      <c r="G4786">
        <v>-384.62060000000002</v>
      </c>
      <c r="H4786" s="1">
        <v>-3.0284530000000001E-6</v>
      </c>
      <c r="I4786">
        <v>16.881239999999998</v>
      </c>
      <c r="J4786">
        <v>-400.70920000000001</v>
      </c>
      <c r="K4786">
        <v>1.111561</v>
      </c>
      <c r="L4786">
        <v>20.091339999999999</v>
      </c>
      <c r="M4786">
        <v>0.91893590000000003</v>
      </c>
      <c r="N4786">
        <v>0</v>
      </c>
      <c r="O4786">
        <v>-0.39417649999999999</v>
      </c>
      <c r="P4786">
        <v>0.93807549999999995</v>
      </c>
      <c r="Q4786">
        <v>9.4803559999999995E-2</v>
      </c>
      <c r="R4786">
        <v>-0.33320640000000001</v>
      </c>
      <c r="S4786">
        <v>3.0049739999999998</v>
      </c>
      <c r="T4786">
        <v>-0.20585139999999999</v>
      </c>
      <c r="U4786">
        <v>-0.60501099999999997</v>
      </c>
      <c r="V4786">
        <v>-6.4297270000000004E-2</v>
      </c>
      <c r="W4786">
        <v>0.10775750000000001</v>
      </c>
      <c r="X4786">
        <v>0.99209579999999997</v>
      </c>
      <c r="Y4786">
        <v>-0.2037814</v>
      </c>
      <c r="Z4786">
        <v>3.2788610000000003E-2</v>
      </c>
      <c r="AA4786">
        <v>0.97846719999999998</v>
      </c>
      <c r="AB4786">
        <v>27</v>
      </c>
      <c r="AC4786">
        <v>16.0885999999999</v>
      </c>
      <c r="AD4786">
        <v>-1.111564028453</v>
      </c>
      <c r="AE4786">
        <v>-3.2101000000000002</v>
      </c>
      <c r="AF4786">
        <v>-3.3766788043470601</v>
      </c>
      <c r="AG4786">
        <v>-1.111564028453</v>
      </c>
      <c r="AH4786">
        <v>15.977847036085301</v>
      </c>
      <c r="AI4786">
        <v>93.893870571681106</v>
      </c>
      <c r="AJ4786">
        <v>101.933020272966</v>
      </c>
      <c r="AK4786">
        <v>16.368540871000601</v>
      </c>
      <c r="AL4786">
        <v>83.813938327145095</v>
      </c>
      <c r="AM4786">
        <v>93.708127056746505</v>
      </c>
      <c r="AN4786">
        <v>0.99999994705666995</v>
      </c>
    </row>
    <row r="4787" spans="1:40" x14ac:dyDescent="0.25">
      <c r="A4787" t="str">
        <f>"20190312164605676"</f>
        <v>20190312164605676</v>
      </c>
      <c r="B4787" t="str">
        <f>"1552380365665935"</f>
        <v>1552380365665935</v>
      </c>
      <c r="C4787" t="s">
        <v>40</v>
      </c>
      <c r="D4787">
        <v>4.818085</v>
      </c>
      <c r="E4787">
        <v>0.45137709999999998</v>
      </c>
      <c r="F4787" t="s">
        <v>81</v>
      </c>
      <c r="G4787">
        <v>-384.4975</v>
      </c>
      <c r="H4787" s="1">
        <v>-3.0876669999999998E-6</v>
      </c>
      <c r="I4787">
        <v>16.875589999999999</v>
      </c>
      <c r="J4787">
        <v>-400.58260000000001</v>
      </c>
      <c r="K4787">
        <v>1.1115870000000001</v>
      </c>
      <c r="L4787">
        <v>20.039400000000001</v>
      </c>
      <c r="M4787">
        <v>0.91973669999999996</v>
      </c>
      <c r="N4787">
        <v>0</v>
      </c>
      <c r="O4787">
        <v>-0.39230510000000002</v>
      </c>
      <c r="P4787">
        <v>0.93873189999999995</v>
      </c>
      <c r="Q4787">
        <v>9.499349E-2</v>
      </c>
      <c r="R4787">
        <v>-0.3312987</v>
      </c>
      <c r="S4787">
        <v>3.0069889999999999</v>
      </c>
      <c r="T4787">
        <v>-0.2061762</v>
      </c>
      <c r="U4787">
        <v>-0.5964661</v>
      </c>
      <c r="V4787">
        <v>-6.4296980000000004E-2</v>
      </c>
      <c r="W4787">
        <v>0.1079344</v>
      </c>
      <c r="X4787">
        <v>0.99207659999999998</v>
      </c>
      <c r="Y4787">
        <v>-0.20458770000000001</v>
      </c>
      <c r="Z4787">
        <v>3.274258E-2</v>
      </c>
      <c r="AA4787">
        <v>0.97830050000000002</v>
      </c>
      <c r="AB4787">
        <v>27</v>
      </c>
      <c r="AC4787">
        <v>16.085100000000001</v>
      </c>
      <c r="AD4787">
        <v>-1.111590087667</v>
      </c>
      <c r="AE4787">
        <v>-3.1638099999999998</v>
      </c>
      <c r="AF4787">
        <v>-3.3851381327305901</v>
      </c>
      <c r="AG4787">
        <v>-1.111590087667</v>
      </c>
      <c r="AH4787">
        <v>15.963290714948901</v>
      </c>
      <c r="AI4787">
        <v>93.8969325356056</v>
      </c>
      <c r="AJ4787">
        <v>101.972648115244</v>
      </c>
      <c r="AK4787">
        <v>16.356082756902399</v>
      </c>
      <c r="AL4787">
        <v>83.803743311514907</v>
      </c>
      <c r="AM4787">
        <v>93.708181942750102</v>
      </c>
      <c r="AN4787">
        <v>0.999999958304019</v>
      </c>
    </row>
    <row r="4788" spans="1:40" x14ac:dyDescent="0.25">
      <c r="A4788" t="str">
        <f>"20190312164605687"</f>
        <v>20190312164605687</v>
      </c>
      <c r="B4788" t="str">
        <f>"1552380365676671"</f>
        <v>1552380365676671</v>
      </c>
      <c r="C4788" t="s">
        <v>40</v>
      </c>
      <c r="D4788">
        <v>4.7664330000000001</v>
      </c>
      <c r="E4788">
        <v>0.451353</v>
      </c>
      <c r="F4788" t="s">
        <v>81</v>
      </c>
      <c r="G4788">
        <v>-384.32560000000001</v>
      </c>
      <c r="H4788" s="1">
        <v>-3.1727180000000002E-6</v>
      </c>
      <c r="I4788">
        <v>16.854129999999898</v>
      </c>
      <c r="J4788">
        <v>-400.45699999999999</v>
      </c>
      <c r="K4788">
        <v>1.1116170000000001</v>
      </c>
      <c r="L4788">
        <v>19.988040000000002</v>
      </c>
      <c r="M4788">
        <v>0.92053280000000004</v>
      </c>
      <c r="N4788">
        <v>0</v>
      </c>
      <c r="O4788">
        <v>-0.39043329999999998</v>
      </c>
      <c r="P4788">
        <v>0.93937020000000004</v>
      </c>
      <c r="Q4788">
        <v>9.4793569999999994E-2</v>
      </c>
      <c r="R4788">
        <v>-0.32954149999999999</v>
      </c>
      <c r="S4788">
        <v>3.008575</v>
      </c>
      <c r="T4788">
        <v>-0.2057148</v>
      </c>
      <c r="U4788">
        <v>-0.58947749999999999</v>
      </c>
      <c r="V4788">
        <v>-6.4150390000000002E-2</v>
      </c>
      <c r="W4788">
        <v>0.1077234</v>
      </c>
      <c r="X4788">
        <v>0.99210909999999997</v>
      </c>
      <c r="Y4788">
        <v>-0.20489209999999999</v>
      </c>
      <c r="Z4788">
        <v>3.2557129999999997E-2</v>
      </c>
      <c r="AA4788">
        <v>0.97824290000000003</v>
      </c>
      <c r="AB4788">
        <v>27</v>
      </c>
      <c r="AC4788">
        <v>16.1313999999999</v>
      </c>
      <c r="AD4788">
        <v>-1.111620172718</v>
      </c>
      <c r="AE4788">
        <v>-3.13390999999999</v>
      </c>
      <c r="AF4788">
        <v>-3.3981284944930401</v>
      </c>
      <c r="AG4788">
        <v>-1.111620172718</v>
      </c>
      <c r="AH4788">
        <v>16.001301268071401</v>
      </c>
      <c r="AI4788">
        <v>93.887566338219301</v>
      </c>
      <c r="AJ4788">
        <v>101.989539994732</v>
      </c>
      <c r="AK4788">
        <v>16.395872009291299</v>
      </c>
      <c r="AL4788">
        <v>83.815904097987698</v>
      </c>
      <c r="AM4788">
        <v>93.699630344510894</v>
      </c>
      <c r="AN4788">
        <v>1.0000000348737601</v>
      </c>
    </row>
    <row r="4789" spans="1:40" x14ac:dyDescent="0.25">
      <c r="A4789" t="str">
        <f>"20190312164605700"</f>
        <v>20190312164605700</v>
      </c>
      <c r="B4789" t="str">
        <f>"1552380365696192"</f>
        <v>1552380365696192</v>
      </c>
      <c r="C4789" t="s">
        <v>40</v>
      </c>
      <c r="D4789">
        <v>4.8212849999999996</v>
      </c>
      <c r="E4789">
        <v>0.45100580000000001</v>
      </c>
      <c r="F4789" t="s">
        <v>81</v>
      </c>
      <c r="G4789">
        <v>-384.16480000000001</v>
      </c>
      <c r="H4789" s="1">
        <v>-3.2533030000000001E-6</v>
      </c>
      <c r="I4789">
        <v>16.828320000000001</v>
      </c>
      <c r="J4789">
        <v>-400.3263</v>
      </c>
      <c r="K4789">
        <v>1.111648</v>
      </c>
      <c r="L4789">
        <v>19.935120000000001</v>
      </c>
      <c r="M4789">
        <v>0.9213713</v>
      </c>
      <c r="N4789">
        <v>0</v>
      </c>
      <c r="O4789">
        <v>-0.38845099999999999</v>
      </c>
      <c r="P4789">
        <v>0.94003990000000004</v>
      </c>
      <c r="Q4789">
        <v>9.4888109999999998E-2</v>
      </c>
      <c r="R4789">
        <v>-0.32759949999999999</v>
      </c>
      <c r="S4789">
        <v>3.0095830000000001</v>
      </c>
      <c r="T4789">
        <v>-0.20534440000000001</v>
      </c>
      <c r="U4789">
        <v>-0.58367919999999995</v>
      </c>
      <c r="V4789">
        <v>-6.4070340000000003E-2</v>
      </c>
      <c r="W4789">
        <v>0.1078059</v>
      </c>
      <c r="X4789">
        <v>0.99210520000000002</v>
      </c>
      <c r="Y4789">
        <v>-0.2046723</v>
      </c>
      <c r="Z4789">
        <v>3.2366159999999998E-2</v>
      </c>
      <c r="AA4789">
        <v>0.97829529999999998</v>
      </c>
      <c r="AB4789">
        <v>27</v>
      </c>
      <c r="AC4789">
        <v>16.161499999999901</v>
      </c>
      <c r="AD4789">
        <v>-1.1116512533030001</v>
      </c>
      <c r="AE4789">
        <v>-3.1067999999999998</v>
      </c>
      <c r="AF4789">
        <v>-3.40022923859551</v>
      </c>
      <c r="AG4789">
        <v>-1.1116512533030001</v>
      </c>
      <c r="AH4789">
        <v>16.0259166758769</v>
      </c>
      <c r="AI4789">
        <v>93.881874959050904</v>
      </c>
      <c r="AJ4789">
        <v>101.97884330935101</v>
      </c>
      <c r="AK4789">
        <v>16.420332904241601</v>
      </c>
      <c r="AL4789">
        <v>83.8111488200786</v>
      </c>
      <c r="AM4789">
        <v>93.695041047099494</v>
      </c>
      <c r="AN4789">
        <v>0.99999992420477901</v>
      </c>
    </row>
    <row r="4790" spans="1:40" x14ac:dyDescent="0.25">
      <c r="A4790" t="str">
        <f>"20190312164605717"</f>
        <v>20190312164605717</v>
      </c>
      <c r="B4790" t="str">
        <f>"1552380365706930"</f>
        <v>1552380365706930</v>
      </c>
      <c r="C4790" t="s">
        <v>40</v>
      </c>
      <c r="D4790">
        <v>4.8090529999999996</v>
      </c>
      <c r="E4790">
        <v>0.4508317</v>
      </c>
      <c r="F4790" t="s">
        <v>81</v>
      </c>
      <c r="G4790">
        <v>-384.08629999999999</v>
      </c>
      <c r="H4790" s="1">
        <v>-3.289155E-6</v>
      </c>
      <c r="I4790">
        <v>16.835599999999999</v>
      </c>
      <c r="J4790">
        <v>-400.12520000000001</v>
      </c>
      <c r="K4790">
        <v>1.111696</v>
      </c>
      <c r="L4790">
        <v>19.854279999999999</v>
      </c>
      <c r="M4790">
        <v>0.9226685</v>
      </c>
      <c r="N4790">
        <v>0</v>
      </c>
      <c r="O4790">
        <v>-0.38535999999999998</v>
      </c>
      <c r="P4790">
        <v>0.94115199999999999</v>
      </c>
      <c r="Q4790">
        <v>9.4339709999999993E-2</v>
      </c>
      <c r="R4790">
        <v>-0.32455109999999998</v>
      </c>
      <c r="S4790">
        <v>3.011841</v>
      </c>
      <c r="T4790">
        <v>-0.20616399999999999</v>
      </c>
      <c r="U4790">
        <v>-0.57482909999999998</v>
      </c>
      <c r="V4790">
        <v>-6.3990089999999999E-2</v>
      </c>
      <c r="W4790">
        <v>0.1072375</v>
      </c>
      <c r="X4790">
        <v>0.9921721</v>
      </c>
      <c r="Y4790">
        <v>-0.20429820000000001</v>
      </c>
      <c r="Z4790">
        <v>3.2278769999999998E-2</v>
      </c>
      <c r="AA4790">
        <v>0.97837640000000003</v>
      </c>
      <c r="AB4790">
        <v>27</v>
      </c>
      <c r="AC4790">
        <v>16.038900000000002</v>
      </c>
      <c r="AD4790">
        <v>-1.1116992891549999</v>
      </c>
      <c r="AE4790">
        <v>-3.0186799999999998</v>
      </c>
      <c r="AF4790">
        <v>-3.38013261470133</v>
      </c>
      <c r="AG4790">
        <v>-1.1116992891549999</v>
      </c>
      <c r="AH4790">
        <v>15.889581246993</v>
      </c>
      <c r="AI4790">
        <v>93.914806784078806</v>
      </c>
      <c r="AJ4790">
        <v>102.009307287528</v>
      </c>
      <c r="AK4790">
        <v>16.283118988918201</v>
      </c>
      <c r="AL4790">
        <v>83.8439063875485</v>
      </c>
      <c r="AM4790">
        <v>93.690177546667201</v>
      </c>
      <c r="AN4790">
        <v>1.0000000445214301</v>
      </c>
    </row>
    <row r="4791" spans="1:40" x14ac:dyDescent="0.25">
      <c r="A4791" t="str">
        <f>"20190312164605728"</f>
        <v>20190312164605728</v>
      </c>
      <c r="B4791" t="str">
        <f>"1552380365716688"</f>
        <v>1552380365716688</v>
      </c>
      <c r="C4791" t="s">
        <v>40</v>
      </c>
      <c r="D4791">
        <v>4.826416</v>
      </c>
      <c r="E4791">
        <v>0.4507198</v>
      </c>
      <c r="F4791" t="s">
        <v>81</v>
      </c>
      <c r="G4791">
        <v>-384.15559999999999</v>
      </c>
      <c r="H4791" s="1">
        <v>-3.2507660000000002E-6</v>
      </c>
      <c r="I4791">
        <v>16.86713</v>
      </c>
      <c r="J4791">
        <v>-400.00650000000002</v>
      </c>
      <c r="K4791">
        <v>1.111723</v>
      </c>
      <c r="L4791">
        <v>19.806819999999998</v>
      </c>
      <c r="M4791">
        <v>0.92343710000000001</v>
      </c>
      <c r="N4791">
        <v>0</v>
      </c>
      <c r="O4791">
        <v>-0.38351489999999999</v>
      </c>
      <c r="P4791">
        <v>0.94181289999999995</v>
      </c>
      <c r="Q4791">
        <v>9.3996469999999999E-2</v>
      </c>
      <c r="R4791">
        <v>-0.32272810000000002</v>
      </c>
      <c r="S4791">
        <v>3.0141909999999998</v>
      </c>
      <c r="T4791">
        <v>-0.20982899999999999</v>
      </c>
      <c r="U4791">
        <v>-0.56381230000000004</v>
      </c>
      <c r="V4791">
        <v>-6.3946660000000002E-2</v>
      </c>
      <c r="W4791">
        <v>0.1068819</v>
      </c>
      <c r="X4791">
        <v>0.99221320000000002</v>
      </c>
      <c r="Y4791">
        <v>-0.20588989999999999</v>
      </c>
      <c r="Z4791">
        <v>3.2779610000000001E-2</v>
      </c>
      <c r="AA4791">
        <v>0.97802599999999995</v>
      </c>
      <c r="AB4791">
        <v>27</v>
      </c>
      <c r="AC4791">
        <v>15.850899999999999</v>
      </c>
      <c r="AD4791">
        <v>-1.111726250766</v>
      </c>
      <c r="AE4791">
        <v>-2.9396900000000001</v>
      </c>
      <c r="AF4791">
        <v>-3.3488152859717801</v>
      </c>
      <c r="AG4791">
        <v>-1.111726250766</v>
      </c>
      <c r="AH4791">
        <v>15.691523039979799</v>
      </c>
      <c r="AI4791">
        <v>93.963603653951296</v>
      </c>
      <c r="AJ4791">
        <v>102.047081609017</v>
      </c>
      <c r="AK4791">
        <v>16.083357683966899</v>
      </c>
      <c r="AL4791">
        <v>83.864398114871094</v>
      </c>
      <c r="AM4791">
        <v>93.687527609045702</v>
      </c>
      <c r="AN4791">
        <v>0.99999997506350202</v>
      </c>
    </row>
    <row r="4792" spans="1:40" x14ac:dyDescent="0.25">
      <c r="A4792" t="str">
        <f>"20190312164605740"</f>
        <v>20190312164605740</v>
      </c>
      <c r="B4792" t="str">
        <f>"1552380365736208"</f>
        <v>1552380365736208</v>
      </c>
      <c r="C4792" t="s">
        <v>40</v>
      </c>
      <c r="D4792">
        <v>4.8052219999999997</v>
      </c>
      <c r="E4792">
        <v>0.45054810000000001</v>
      </c>
      <c r="F4792" t="s">
        <v>81</v>
      </c>
      <c r="G4792">
        <v>-384.05099999999999</v>
      </c>
      <c r="H4792" s="1">
        <v>-3.3019140000000001E-6</v>
      </c>
      <c r="I4792">
        <v>16.857679999999998</v>
      </c>
      <c r="J4792">
        <v>-399.88440000000003</v>
      </c>
      <c r="K4792">
        <v>1.1117459999999999</v>
      </c>
      <c r="L4792">
        <v>19.75854</v>
      </c>
      <c r="M4792">
        <v>0.92423809999999995</v>
      </c>
      <c r="N4792">
        <v>0</v>
      </c>
      <c r="O4792">
        <v>-0.3815808</v>
      </c>
      <c r="P4792">
        <v>0.94252930000000001</v>
      </c>
      <c r="Q4792">
        <v>9.3615019999999993E-2</v>
      </c>
      <c r="R4792">
        <v>-0.32074079999999999</v>
      </c>
      <c r="S4792">
        <v>3.0153500000000002</v>
      </c>
      <c r="T4792">
        <v>-0.21009920000000001</v>
      </c>
      <c r="U4792">
        <v>-0.55734249999999996</v>
      </c>
      <c r="V4792">
        <v>-6.3981560000000007E-2</v>
      </c>
      <c r="W4792">
        <v>0.1064861</v>
      </c>
      <c r="X4792">
        <v>0.99225350000000001</v>
      </c>
      <c r="Y4792">
        <v>-0.2059386</v>
      </c>
      <c r="Z4792">
        <v>3.2697160000000003E-2</v>
      </c>
      <c r="AA4792">
        <v>0.97801850000000001</v>
      </c>
      <c r="AB4792">
        <v>27</v>
      </c>
      <c r="AC4792">
        <v>15.833399999999999</v>
      </c>
      <c r="AD4792">
        <v>-1.1117493019139999</v>
      </c>
      <c r="AE4792">
        <v>-2.9008600000000002</v>
      </c>
      <c r="AF4792">
        <v>-3.3449827650490902</v>
      </c>
      <c r="AG4792">
        <v>-1.1117493019139999</v>
      </c>
      <c r="AH4792">
        <v>15.6674259873999</v>
      </c>
      <c r="AI4792">
        <v>93.969694831812106</v>
      </c>
      <c r="AJ4792">
        <v>102.051664087158</v>
      </c>
      <c r="AK4792">
        <v>16.0590514439501</v>
      </c>
      <c r="AL4792">
        <v>83.887205912073398</v>
      </c>
      <c r="AM4792">
        <v>93.689385148698804</v>
      </c>
      <c r="AN4792">
        <v>0.999999968887746</v>
      </c>
    </row>
    <row r="4793" spans="1:40" x14ac:dyDescent="0.25">
      <c r="A4793" t="str">
        <f>"20190312164605752"</f>
        <v>20190312164605752</v>
      </c>
      <c r="B4793" t="str">
        <f>"1552380365746944"</f>
        <v>1552380365746944</v>
      </c>
      <c r="C4793" t="s">
        <v>40</v>
      </c>
      <c r="D4793">
        <v>4.7921069999999997</v>
      </c>
      <c r="E4793">
        <v>0.45054719999999998</v>
      </c>
      <c r="F4793" t="s">
        <v>81</v>
      </c>
      <c r="G4793">
        <v>-384.01319999999998</v>
      </c>
      <c r="H4793" s="1">
        <v>-3.3182330000000001E-6</v>
      </c>
      <c r="I4793">
        <v>16.866420000000002</v>
      </c>
      <c r="J4793">
        <v>-399.75040000000001</v>
      </c>
      <c r="K4793">
        <v>1.1117779999999999</v>
      </c>
      <c r="L4793">
        <v>19.705749999999998</v>
      </c>
      <c r="M4793">
        <v>0.92511679999999996</v>
      </c>
      <c r="N4793">
        <v>0</v>
      </c>
      <c r="O4793">
        <v>-0.3794458</v>
      </c>
      <c r="P4793">
        <v>0.94322980000000001</v>
      </c>
      <c r="Q4793">
        <v>9.3357809999999999E-2</v>
      </c>
      <c r="R4793">
        <v>-0.31875120000000001</v>
      </c>
      <c r="S4793">
        <v>3.0168460000000001</v>
      </c>
      <c r="T4793">
        <v>-0.2113247</v>
      </c>
      <c r="U4793">
        <v>-0.54974369999999995</v>
      </c>
      <c r="V4793">
        <v>-6.3800789999999996E-2</v>
      </c>
      <c r="W4793">
        <v>0.1062148</v>
      </c>
      <c r="X4793">
        <v>0.99229429999999996</v>
      </c>
      <c r="Y4793">
        <v>-0.2061385</v>
      </c>
      <c r="Z4793">
        <v>3.2752299999999998E-2</v>
      </c>
      <c r="AA4793">
        <v>0.97797449999999997</v>
      </c>
      <c r="AB4793">
        <v>27</v>
      </c>
      <c r="AC4793">
        <v>15.7372</v>
      </c>
      <c r="AD4793">
        <v>-1.1117813182330001</v>
      </c>
      <c r="AE4793">
        <v>-2.8393299999999901</v>
      </c>
      <c r="AF4793">
        <v>-3.3289125981415499</v>
      </c>
      <c r="AG4793">
        <v>-1.1117813182330001</v>
      </c>
      <c r="AH4793">
        <v>15.562303597367499</v>
      </c>
      <c r="AI4793">
        <v>93.996204587285504</v>
      </c>
      <c r="AJ4793">
        <v>102.074104148877</v>
      </c>
      <c r="AK4793">
        <v>15.9531504738806</v>
      </c>
      <c r="AL4793">
        <v>83.902839420551999</v>
      </c>
      <c r="AM4793">
        <v>93.678839176880004</v>
      </c>
      <c r="AN4793">
        <v>1.00000005117807</v>
      </c>
    </row>
    <row r="4794" spans="1:40" x14ac:dyDescent="0.25">
      <c r="A4794" t="str">
        <f>"20190312164605763"</f>
        <v>20190312164605763</v>
      </c>
      <c r="B4794" t="str">
        <f>"1552380365756707"</f>
        <v>1552380365756707</v>
      </c>
      <c r="C4794" t="s">
        <v>40</v>
      </c>
      <c r="D4794">
        <v>5.0479580000000004</v>
      </c>
      <c r="E4794">
        <v>0.45057609999999898</v>
      </c>
      <c r="F4794" t="s">
        <v>81</v>
      </c>
      <c r="G4794">
        <v>-383.7919</v>
      </c>
      <c r="H4794" s="1">
        <v>-3.4292149999999999E-6</v>
      </c>
      <c r="I4794">
        <v>16.830469999999998</v>
      </c>
      <c r="J4794">
        <v>-399.62540000000001</v>
      </c>
      <c r="K4794">
        <v>1.111809</v>
      </c>
      <c r="L4794">
        <v>19.65701</v>
      </c>
      <c r="M4794">
        <v>0.92594299999999996</v>
      </c>
      <c r="N4794">
        <v>0</v>
      </c>
      <c r="O4794">
        <v>-0.37742569999999998</v>
      </c>
      <c r="P4794">
        <v>0.94384460000000003</v>
      </c>
      <c r="Q4794">
        <v>9.3482560000000006E-2</v>
      </c>
      <c r="R4794">
        <v>-0.31688909999999998</v>
      </c>
      <c r="S4794">
        <v>3.0176699999999999</v>
      </c>
      <c r="T4794">
        <v>-0.21023249999999999</v>
      </c>
      <c r="U4794">
        <v>-0.5437012</v>
      </c>
      <c r="V4794">
        <v>-6.3597500000000001E-2</v>
      </c>
      <c r="W4794">
        <v>0.1063272</v>
      </c>
      <c r="X4794">
        <v>0.99229529999999999</v>
      </c>
      <c r="Y4794">
        <v>-0.20596449999999999</v>
      </c>
      <c r="Z4794">
        <v>3.244818E-2</v>
      </c>
      <c r="AA4794">
        <v>0.97802129999999998</v>
      </c>
      <c r="AB4794">
        <v>26</v>
      </c>
      <c r="AC4794">
        <v>15.833500000000001</v>
      </c>
      <c r="AD4794">
        <v>-1.111812429215</v>
      </c>
      <c r="AE4794">
        <v>-2.8265399999999898</v>
      </c>
      <c r="AF4794">
        <v>-3.3430815446507598</v>
      </c>
      <c r="AG4794">
        <v>-1.111812429215</v>
      </c>
      <c r="AH4794">
        <v>15.65433520309</v>
      </c>
      <c r="AI4794">
        <v>93.973182524723796</v>
      </c>
      <c r="AJ4794">
        <v>102.05479227662001</v>
      </c>
      <c r="AK4794">
        <v>16.0458883126689</v>
      </c>
      <c r="AL4794">
        <v>83.896362623892003</v>
      </c>
      <c r="AM4794">
        <v>93.6671455544259</v>
      </c>
      <c r="AN4794">
        <v>1.00000003893408</v>
      </c>
    </row>
    <row r="4795" spans="1:40" x14ac:dyDescent="0.25">
      <c r="A4795" t="str">
        <f>"20190312164605775"</f>
        <v>20190312164605775</v>
      </c>
      <c r="B4795" t="str">
        <f>"1552380365766463"</f>
        <v>1552380365766463</v>
      </c>
      <c r="C4795" t="s">
        <v>40</v>
      </c>
      <c r="D4795">
        <v>4.7990180000000002</v>
      </c>
      <c r="E4795">
        <v>0.45062370000000002</v>
      </c>
      <c r="F4795" t="s">
        <v>81</v>
      </c>
      <c r="G4795">
        <v>-383.43419999999998</v>
      </c>
      <c r="H4795" s="1">
        <v>-3.6090370000000001E-6</v>
      </c>
      <c r="I4795">
        <v>16.770039999999899</v>
      </c>
      <c r="J4795">
        <v>-399.50540000000001</v>
      </c>
      <c r="K4795">
        <v>1.111845</v>
      </c>
      <c r="L4795">
        <v>19.610410000000002</v>
      </c>
      <c r="M4795">
        <v>0.92674029999999996</v>
      </c>
      <c r="N4795">
        <v>0</v>
      </c>
      <c r="O4795">
        <v>-0.37546380000000001</v>
      </c>
      <c r="P4795">
        <v>0.94445319999999999</v>
      </c>
      <c r="Q4795">
        <v>9.3552529999999995E-2</v>
      </c>
      <c r="R4795">
        <v>-0.31504969999999999</v>
      </c>
      <c r="S4795">
        <v>3.0183110000000002</v>
      </c>
      <c r="T4795">
        <v>-0.20725969999999999</v>
      </c>
      <c r="U4795">
        <v>-0.53817749999999998</v>
      </c>
      <c r="V4795">
        <v>-6.3434820000000003E-2</v>
      </c>
      <c r="W4795">
        <v>0.10638549999999999</v>
      </c>
      <c r="X4795">
        <v>0.99229940000000005</v>
      </c>
      <c r="Y4795">
        <v>-0.205704</v>
      </c>
      <c r="Z4795">
        <v>3.1858789999999998E-2</v>
      </c>
      <c r="AA4795">
        <v>0.97809550000000001</v>
      </c>
      <c r="AB4795">
        <v>26</v>
      </c>
      <c r="AC4795">
        <v>16.071200000000001</v>
      </c>
      <c r="AD4795">
        <v>-1.1118486090369999</v>
      </c>
      <c r="AE4795">
        <v>-2.8403700000000001</v>
      </c>
      <c r="AF4795">
        <v>-3.3864561298376499</v>
      </c>
      <c r="AG4795">
        <v>-1.1118486090369999</v>
      </c>
      <c r="AH4795">
        <v>15.8879759002113</v>
      </c>
      <c r="AI4795">
        <v>93.915391801266495</v>
      </c>
      <c r="AJ4795">
        <v>102.032300351985</v>
      </c>
      <c r="AK4795">
        <v>16.282876608708499</v>
      </c>
      <c r="AL4795">
        <v>83.893002834635894</v>
      </c>
      <c r="AM4795">
        <v>93.6577755615033</v>
      </c>
      <c r="AN4795">
        <v>0.99999997511952099</v>
      </c>
    </row>
    <row r="4796" spans="1:40" x14ac:dyDescent="0.25">
      <c r="A4796" t="str">
        <f>"20190312164605785"</f>
        <v>20190312164605785</v>
      </c>
      <c r="B4796" t="str">
        <f>"1552380365776225"</f>
        <v>1552380365776225</v>
      </c>
      <c r="C4796" t="s">
        <v>40</v>
      </c>
      <c r="D4796">
        <v>4.8630389999999997</v>
      </c>
      <c r="E4796">
        <v>0.4506696</v>
      </c>
      <c r="F4796" t="s">
        <v>81</v>
      </c>
      <c r="G4796">
        <v>-383.12079999999997</v>
      </c>
      <c r="H4796" s="1">
        <v>-3.7664559999999999E-6</v>
      </c>
      <c r="I4796">
        <v>16.717559999999999</v>
      </c>
      <c r="J4796">
        <v>-399.38729999999998</v>
      </c>
      <c r="K4796">
        <v>1.1118779999999999</v>
      </c>
      <c r="L4796">
        <v>19.56494</v>
      </c>
      <c r="M4796">
        <v>0.92752650000000003</v>
      </c>
      <c r="N4796">
        <v>0</v>
      </c>
      <c r="O4796">
        <v>-0.37351790000000001</v>
      </c>
      <c r="P4796">
        <v>0.94495189999999996</v>
      </c>
      <c r="Q4796">
        <v>9.4064709999999996E-2</v>
      </c>
      <c r="R4796">
        <v>-0.31339860000000003</v>
      </c>
      <c r="S4796">
        <v>3.0189210000000002</v>
      </c>
      <c r="T4796">
        <v>-0.20486299999999999</v>
      </c>
      <c r="U4796">
        <v>-0.53301999999999905</v>
      </c>
      <c r="V4796">
        <v>-6.3078889999999999E-2</v>
      </c>
      <c r="W4796">
        <v>0.1068886</v>
      </c>
      <c r="X4796">
        <v>0.99226800000000004</v>
      </c>
      <c r="Y4796">
        <v>-0.2053383</v>
      </c>
      <c r="Z4796">
        <v>3.1358249999999997E-2</v>
      </c>
      <c r="AA4796">
        <v>0.97818850000000002</v>
      </c>
      <c r="AB4796">
        <v>26</v>
      </c>
      <c r="AC4796">
        <v>16.266500000000001</v>
      </c>
      <c r="AD4796">
        <v>-1.1118817664559999</v>
      </c>
      <c r="AE4796">
        <v>-2.8473799999999998</v>
      </c>
      <c r="AF4796">
        <v>-3.4196135321744499</v>
      </c>
      <c r="AG4796">
        <v>-1.1118817664559999</v>
      </c>
      <c r="AH4796">
        <v>16.0797073604361</v>
      </c>
      <c r="AI4796">
        <v>93.869339729806697</v>
      </c>
      <c r="AJ4796">
        <v>102.00602128394701</v>
      </c>
      <c r="AK4796">
        <v>16.476863371687902</v>
      </c>
      <c r="AL4796">
        <v>83.864011876201005</v>
      </c>
      <c r="AM4796">
        <v>93.637421986933504</v>
      </c>
      <c r="AN4796">
        <v>0.99999995149879395</v>
      </c>
    </row>
    <row r="4797" spans="1:40" x14ac:dyDescent="0.25">
      <c r="A4797" t="str">
        <f>"20190312164605795"</f>
        <v>20190312164605795</v>
      </c>
      <c r="B4797" t="str">
        <f>"1552380365785983"</f>
        <v>1552380365785983</v>
      </c>
      <c r="C4797" t="s">
        <v>40</v>
      </c>
      <c r="D4797">
        <v>4.9185829999999999</v>
      </c>
      <c r="E4797">
        <v>0.45061119999999999</v>
      </c>
      <c r="F4797" t="s">
        <v>81</v>
      </c>
      <c r="G4797">
        <v>-382.70979999999997</v>
      </c>
      <c r="H4797" s="1">
        <v>-3.9734139999999999E-6</v>
      </c>
      <c r="I4797">
        <v>16.64621</v>
      </c>
      <c r="J4797">
        <v>-399.27379999999999</v>
      </c>
      <c r="K4797">
        <v>1.11191</v>
      </c>
      <c r="L4797">
        <v>19.521550000000001</v>
      </c>
      <c r="M4797">
        <v>0.92828820000000001</v>
      </c>
      <c r="N4797">
        <v>0</v>
      </c>
      <c r="O4797">
        <v>-0.37162109999999998</v>
      </c>
      <c r="P4797">
        <v>0.9454842</v>
      </c>
      <c r="Q4797">
        <v>9.4127279999999994E-2</v>
      </c>
      <c r="R4797">
        <v>-0.31176859999999901</v>
      </c>
      <c r="S4797">
        <v>3.019501</v>
      </c>
      <c r="T4797">
        <v>-0.2013084</v>
      </c>
      <c r="U4797">
        <v>-0.52844239999999998</v>
      </c>
      <c r="V4797">
        <v>-6.2766699999999995E-2</v>
      </c>
      <c r="W4797">
        <v>0.1069426</v>
      </c>
      <c r="X4797">
        <v>0.992282</v>
      </c>
      <c r="Y4797">
        <v>-0.20485600000000001</v>
      </c>
      <c r="Z4797">
        <v>3.068326E-2</v>
      </c>
      <c r="AA4797">
        <v>0.97831109999999999</v>
      </c>
      <c r="AB4797">
        <v>26</v>
      </c>
      <c r="AC4797">
        <v>16.564</v>
      </c>
      <c r="AD4797">
        <v>-1.111913973414</v>
      </c>
      <c r="AE4797">
        <v>-2.87534</v>
      </c>
      <c r="AF4797">
        <v>-3.4715136017788</v>
      </c>
      <c r="AG4797">
        <v>-1.111913973414</v>
      </c>
      <c r="AH4797">
        <v>16.3745441110533</v>
      </c>
      <c r="AI4797">
        <v>93.800492746729603</v>
      </c>
      <c r="AJ4797">
        <v>101.969855554058</v>
      </c>
      <c r="AK4797">
        <v>16.775382386593702</v>
      </c>
      <c r="AL4797">
        <v>83.860900199413805</v>
      </c>
      <c r="AM4797">
        <v>93.619416703885904</v>
      </c>
      <c r="AN4797">
        <v>0.99999997292382403</v>
      </c>
    </row>
    <row r="4798" spans="1:40" x14ac:dyDescent="0.25">
      <c r="A4798" t="str">
        <f>"20190312164605805"</f>
        <v>20190312164605805</v>
      </c>
      <c r="B4798" t="str">
        <f>"1552380365796720"</f>
        <v>1552380365796720</v>
      </c>
      <c r="C4798" t="s">
        <v>40</v>
      </c>
      <c r="D4798">
        <v>4.8718750000000002</v>
      </c>
      <c r="E4798">
        <v>0.45054719999999998</v>
      </c>
      <c r="F4798" t="s">
        <v>81</v>
      </c>
      <c r="G4798">
        <v>-382.48759999999999</v>
      </c>
      <c r="H4798" s="1">
        <v>-4.0839820000000001E-6</v>
      </c>
      <c r="I4798">
        <v>16.615100000000002</v>
      </c>
      <c r="J4798">
        <v>-399.15039999999999</v>
      </c>
      <c r="K4798">
        <v>1.111939</v>
      </c>
      <c r="L4798">
        <v>19.474550000000001</v>
      </c>
      <c r="M4798">
        <v>0.92911670000000002</v>
      </c>
      <c r="N4798">
        <v>0</v>
      </c>
      <c r="O4798">
        <v>-0.3695447</v>
      </c>
      <c r="P4798">
        <v>0.94603009999999998</v>
      </c>
      <c r="Q4798">
        <v>9.4406500000000004E-2</v>
      </c>
      <c r="R4798">
        <v>-0.31002360000000001</v>
      </c>
      <c r="S4798">
        <v>3.0204770000000001</v>
      </c>
      <c r="T4798">
        <v>-0.20007539999999999</v>
      </c>
      <c r="U4798">
        <v>-0.52297970000000005</v>
      </c>
      <c r="V4798">
        <v>-6.237877E-2</v>
      </c>
      <c r="W4798">
        <v>0.1072129</v>
      </c>
      <c r="X4798">
        <v>0.99227730000000003</v>
      </c>
      <c r="Y4798">
        <v>-0.20445849999999999</v>
      </c>
      <c r="Z4798">
        <v>3.0353339999999999E-2</v>
      </c>
      <c r="AA4798">
        <v>0.97840450000000001</v>
      </c>
      <c r="AB4798">
        <v>26</v>
      </c>
      <c r="AC4798">
        <v>16.662800000000001</v>
      </c>
      <c r="AD4798">
        <v>-1.1119430839819999</v>
      </c>
      <c r="AE4798">
        <v>-2.8594499999999901</v>
      </c>
      <c r="AF4798">
        <v>-3.4861196432592099</v>
      </c>
      <c r="AG4798">
        <v>-1.1119430839819999</v>
      </c>
      <c r="AH4798">
        <v>16.468620054234101</v>
      </c>
      <c r="AI4798">
        <v>93.779192060597396</v>
      </c>
      <c r="AJ4798">
        <v>101.952079530083</v>
      </c>
      <c r="AK4798">
        <v>16.8702369301635</v>
      </c>
      <c r="AL4798">
        <v>83.845323628741795</v>
      </c>
      <c r="AM4798">
        <v>93.597122784452495</v>
      </c>
      <c r="AN4798">
        <v>0.99999997848420596</v>
      </c>
    </row>
    <row r="4799" spans="1:40" x14ac:dyDescent="0.25">
      <c r="A4799" t="str">
        <f>"20190312164605818"</f>
        <v>20190312164605818</v>
      </c>
      <c r="B4799" t="str">
        <f>"1552380365806897"</f>
        <v>1552380365806897</v>
      </c>
      <c r="C4799" t="s">
        <v>40</v>
      </c>
      <c r="D4799">
        <v>4.841323</v>
      </c>
      <c r="E4799">
        <v>0.45048169999999998</v>
      </c>
      <c r="F4799" t="s">
        <v>81</v>
      </c>
      <c r="G4799">
        <v>-382.3698</v>
      </c>
      <c r="H4799" s="1">
        <v>-4.1417410000000002E-6</v>
      </c>
      <c r="I4799">
        <v>16.603490000000001</v>
      </c>
      <c r="J4799">
        <v>-399.0283</v>
      </c>
      <c r="K4799">
        <v>1.111974</v>
      </c>
      <c r="L4799">
        <v>19.428560000000001</v>
      </c>
      <c r="M4799">
        <v>0.92994500000000002</v>
      </c>
      <c r="N4799">
        <v>0</v>
      </c>
      <c r="O4799">
        <v>-0.36745610000000001</v>
      </c>
      <c r="P4799">
        <v>0.94662519999999994</v>
      </c>
      <c r="Q4799">
        <v>9.4484219999999994E-2</v>
      </c>
      <c r="R4799">
        <v>-0.30817879999999997</v>
      </c>
      <c r="S4799">
        <v>3.0217290000000001</v>
      </c>
      <c r="T4799">
        <v>-0.20023009999999999</v>
      </c>
      <c r="U4799">
        <v>-0.51699830000000002</v>
      </c>
      <c r="V4799">
        <v>-6.2089690000000003E-2</v>
      </c>
      <c r="W4799">
        <v>0.1072816</v>
      </c>
      <c r="X4799">
        <v>0.99228810000000001</v>
      </c>
      <c r="Y4799">
        <v>-0.20421149999999999</v>
      </c>
      <c r="Z4799">
        <v>3.0236200000000001E-2</v>
      </c>
      <c r="AA4799">
        <v>0.97845970000000004</v>
      </c>
      <c r="AB4799">
        <v>26</v>
      </c>
      <c r="AC4799">
        <v>16.6585</v>
      </c>
      <c r="AD4799">
        <v>-1.111978141741</v>
      </c>
      <c r="AE4799">
        <v>-2.8250700000000002</v>
      </c>
      <c r="AF4799">
        <v>-3.4793495764888802</v>
      </c>
      <c r="AG4799">
        <v>-1.111978141741</v>
      </c>
      <c r="AH4799">
        <v>16.459761623157</v>
      </c>
      <c r="AI4799">
        <v>93.781565975024904</v>
      </c>
      <c r="AJ4799">
        <v>101.935770385109</v>
      </c>
      <c r="AK4799">
        <v>16.860193402042398</v>
      </c>
      <c r="AL4799">
        <v>83.841365154620505</v>
      </c>
      <c r="AM4799">
        <v>93.580457347646799</v>
      </c>
      <c r="AN4799">
        <v>1.00000007235223</v>
      </c>
    </row>
    <row r="4800" spans="1:40" x14ac:dyDescent="0.25">
      <c r="A4800" t="str">
        <f>"20190312164605830"</f>
        <v>20190312164605830</v>
      </c>
      <c r="B4800" t="str">
        <f>"1552380365826388"</f>
        <v>1552380365826388</v>
      </c>
      <c r="C4800" t="s">
        <v>40</v>
      </c>
      <c r="D4800">
        <v>4.884074</v>
      </c>
      <c r="E4800">
        <v>0.4504687</v>
      </c>
      <c r="F4800" t="s">
        <v>81</v>
      </c>
      <c r="G4800">
        <v>-382.33370000000002</v>
      </c>
      <c r="H4800" s="1">
        <v>-4.1581309999999998E-6</v>
      </c>
      <c r="I4800">
        <v>16.607220000000002</v>
      </c>
      <c r="J4800">
        <v>-398.90300000000002</v>
      </c>
      <c r="K4800">
        <v>1.1120080000000001</v>
      </c>
      <c r="L4800">
        <v>19.381499999999999</v>
      </c>
      <c r="M4800">
        <v>0.93079389999999995</v>
      </c>
      <c r="N4800">
        <v>0</v>
      </c>
      <c r="O4800">
        <v>-0.36530040000000003</v>
      </c>
      <c r="P4800">
        <v>0.94736940000000003</v>
      </c>
      <c r="Q4800">
        <v>9.4465289999999993E-2</v>
      </c>
      <c r="R4800">
        <v>-0.30588870000000001</v>
      </c>
      <c r="S4800">
        <v>3.0229189999999999</v>
      </c>
      <c r="T4800">
        <v>-0.20134750000000001</v>
      </c>
      <c r="U4800">
        <v>-0.51086430000000005</v>
      </c>
      <c r="V4800">
        <v>-6.2199669999999999E-2</v>
      </c>
      <c r="W4800">
        <v>0.10725030000000001</v>
      </c>
      <c r="X4800">
        <v>0.99228450000000001</v>
      </c>
      <c r="Y4800">
        <v>-0.20392940000000001</v>
      </c>
      <c r="Z4800">
        <v>3.025858E-2</v>
      </c>
      <c r="AA4800">
        <v>0.97851790000000005</v>
      </c>
      <c r="AB4800">
        <v>26</v>
      </c>
      <c r="AC4800">
        <v>16.569299999999998</v>
      </c>
      <c r="AD4800">
        <v>-1.1120121581310001</v>
      </c>
      <c r="AE4800">
        <v>-2.7742799999999899</v>
      </c>
      <c r="AF4800">
        <v>-3.4556582321203102</v>
      </c>
      <c r="AG4800">
        <v>-1.1120121581310001</v>
      </c>
      <c r="AH4800">
        <v>16.3658111638291</v>
      </c>
      <c r="AI4800">
        <v>93.803506669428302</v>
      </c>
      <c r="AJ4800">
        <v>101.922929286959</v>
      </c>
      <c r="AK4800">
        <v>16.763589111737499</v>
      </c>
      <c r="AL4800">
        <v>83.8431683323996</v>
      </c>
      <c r="AM4800">
        <v>93.586795879452197</v>
      </c>
      <c r="AN4800">
        <v>0.99999997736922397</v>
      </c>
    </row>
    <row r="4801" spans="1:40" x14ac:dyDescent="0.25">
      <c r="A4801" t="str">
        <f>"20190312164605840"</f>
        <v>20190312164605840</v>
      </c>
      <c r="B4801" t="str">
        <f>"1552380365836147"</f>
        <v>1552380365836147</v>
      </c>
      <c r="C4801" t="s">
        <v>40</v>
      </c>
      <c r="D4801">
        <v>4.7813600000000003</v>
      </c>
      <c r="E4801">
        <v>0.45049800000000001</v>
      </c>
      <c r="F4801" t="s">
        <v>81</v>
      </c>
      <c r="G4801">
        <v>-382.0523</v>
      </c>
      <c r="H4801" s="1">
        <v>-4.29696999999999E-6</v>
      </c>
      <c r="I4801">
        <v>16.574339999999999</v>
      </c>
      <c r="J4801">
        <v>-398.78140000000002</v>
      </c>
      <c r="K4801">
        <v>1.1120460000000001</v>
      </c>
      <c r="L4801">
        <v>19.336459999999999</v>
      </c>
      <c r="M4801">
        <v>0.93162780000000001</v>
      </c>
      <c r="N4801">
        <v>0</v>
      </c>
      <c r="O4801">
        <v>-0.3631684</v>
      </c>
      <c r="P4801">
        <v>0.94802010000000003</v>
      </c>
      <c r="Q4801">
        <v>9.4476480000000002E-2</v>
      </c>
      <c r="R4801">
        <v>-0.30386210000000002</v>
      </c>
      <c r="S4801">
        <v>3.023895</v>
      </c>
      <c r="T4801">
        <v>-0.1995536</v>
      </c>
      <c r="U4801">
        <v>-0.50375369999999997</v>
      </c>
      <c r="V4801">
        <v>-6.2058660000000002E-2</v>
      </c>
      <c r="W4801">
        <v>0.10725320000000001</v>
      </c>
      <c r="X4801">
        <v>0.99229310000000004</v>
      </c>
      <c r="Y4801">
        <v>-0.2040032</v>
      </c>
      <c r="Z4801">
        <v>2.9860999999999999E-2</v>
      </c>
      <c r="AA4801">
        <v>0.97851469999999896</v>
      </c>
      <c r="AB4801">
        <v>26</v>
      </c>
      <c r="AC4801">
        <v>16.729099999999999</v>
      </c>
      <c r="AD4801">
        <v>-1.1120502969699999</v>
      </c>
      <c r="AE4801">
        <v>-2.7621199999999901</v>
      </c>
      <c r="AF4801">
        <v>-3.4875233763572999</v>
      </c>
      <c r="AG4801">
        <v>-1.1120502969699999</v>
      </c>
      <c r="AH4801">
        <v>16.518832591199299</v>
      </c>
      <c r="AI4801">
        <v>93.768524412766595</v>
      </c>
      <c r="AJ4801">
        <v>101.921450039223</v>
      </c>
      <c r="AK4801">
        <v>16.919553934418602</v>
      </c>
      <c r="AL4801">
        <v>83.843001729107002</v>
      </c>
      <c r="AM4801">
        <v>93.578654640881496</v>
      </c>
      <c r="AN4801">
        <v>1.00000006124942</v>
      </c>
    </row>
    <row r="4802" spans="1:40" x14ac:dyDescent="0.25">
      <c r="A4802" t="str">
        <f>"20190312164605852"</f>
        <v>20190312164605852</v>
      </c>
      <c r="B4802" t="str">
        <f>"1552380365846883"</f>
        <v>1552380365846883</v>
      </c>
      <c r="C4802" t="s">
        <v>40</v>
      </c>
      <c r="D4802">
        <v>4.9097489999999997</v>
      </c>
      <c r="E4802">
        <v>0.45028820000000003</v>
      </c>
      <c r="F4802" t="s">
        <v>81</v>
      </c>
      <c r="G4802">
        <v>-381.83390000000003</v>
      </c>
      <c r="H4802" s="1">
        <v>-4.4050220000000004E-6</v>
      </c>
      <c r="I4802">
        <v>16.547239999999999</v>
      </c>
      <c r="J4802">
        <v>-398.64729999999997</v>
      </c>
      <c r="K4802">
        <v>1.112085</v>
      </c>
      <c r="L4802">
        <v>19.286989999999999</v>
      </c>
      <c r="M4802">
        <v>0.93254700000000001</v>
      </c>
      <c r="N4802">
        <v>0</v>
      </c>
      <c r="O4802">
        <v>-0.3608015</v>
      </c>
      <c r="P4802">
        <v>0.94875129999999996</v>
      </c>
      <c r="Q4802">
        <v>9.4458799999999996E-2</v>
      </c>
      <c r="R4802">
        <v>-0.30157679999999998</v>
      </c>
      <c r="S4802">
        <v>3.024689</v>
      </c>
      <c r="T4802">
        <v>-0.19847210000000001</v>
      </c>
      <c r="U4802">
        <v>-0.49780269999999999</v>
      </c>
      <c r="V4802">
        <v>-6.1940540000000002E-2</v>
      </c>
      <c r="W4802">
        <v>0.10722569999999999</v>
      </c>
      <c r="X4802">
        <v>0.99230339999999995</v>
      </c>
      <c r="Y4802">
        <v>-0.2034512</v>
      </c>
      <c r="Z4802">
        <v>2.9537259999999999E-2</v>
      </c>
      <c r="AA4802">
        <v>0.97863940000000005</v>
      </c>
      <c r="AB4802">
        <v>26</v>
      </c>
      <c r="AC4802">
        <v>16.813399999999898</v>
      </c>
      <c r="AD4802">
        <v>-1.112089405022</v>
      </c>
      <c r="AE4802">
        <v>-2.7397499999999999</v>
      </c>
      <c r="AF4802">
        <v>-3.4967651933593999</v>
      </c>
      <c r="AG4802">
        <v>-1.112089405022</v>
      </c>
      <c r="AH4802">
        <v>16.598539688004099</v>
      </c>
      <c r="AI4802">
        <v>93.750956193658297</v>
      </c>
      <c r="AJ4802">
        <v>101.896378429138</v>
      </c>
      <c r="AK4802">
        <v>16.999283203608801</v>
      </c>
      <c r="AL4802">
        <v>83.844586181861104</v>
      </c>
      <c r="AM4802">
        <v>93.571823842524594</v>
      </c>
      <c r="AN4802">
        <v>1.00000000944377</v>
      </c>
    </row>
    <row r="4803" spans="1:40" x14ac:dyDescent="0.25">
      <c r="A4803" t="str">
        <f>"20190312164605864"</f>
        <v>20190312164605864</v>
      </c>
      <c r="B4803" t="str">
        <f>"1552380365856643"</f>
        <v>1552380365856643</v>
      </c>
      <c r="C4803" t="s">
        <v>40</v>
      </c>
      <c r="D4803">
        <v>4.8475320000000002</v>
      </c>
      <c r="E4803">
        <v>0.45028820000000003</v>
      </c>
      <c r="F4803" t="s">
        <v>81</v>
      </c>
      <c r="G4803">
        <v>-381.66649999999998</v>
      </c>
      <c r="H4803" s="1">
        <v>-4.4847980000000002E-6</v>
      </c>
      <c r="I4803">
        <v>16.543500000000002</v>
      </c>
      <c r="J4803">
        <v>-398.51299999999998</v>
      </c>
      <c r="K4803">
        <v>1.1121239999999999</v>
      </c>
      <c r="L4803">
        <v>19.237880000000001</v>
      </c>
      <c r="M4803">
        <v>0.93347329999999995</v>
      </c>
      <c r="N4803">
        <v>0</v>
      </c>
      <c r="O4803">
        <v>-0.35839840000000001</v>
      </c>
      <c r="P4803">
        <v>0.94954629999999995</v>
      </c>
      <c r="Q4803">
        <v>9.424797E-2</v>
      </c>
      <c r="R4803">
        <v>-0.29913079999999997</v>
      </c>
      <c r="S4803">
        <v>3.026367</v>
      </c>
      <c r="T4803">
        <v>-0.1981995</v>
      </c>
      <c r="U4803">
        <v>-0.48895260000000001</v>
      </c>
      <c r="V4803">
        <v>-6.1957159999999997E-2</v>
      </c>
      <c r="W4803">
        <v>0.10700469999999999</v>
      </c>
      <c r="X4803">
        <v>0.99232620000000005</v>
      </c>
      <c r="Y4803">
        <v>-0.20381179999999999</v>
      </c>
      <c r="Z4803">
        <v>2.9356759999999999E-2</v>
      </c>
      <c r="AA4803">
        <v>0.97856989999999999</v>
      </c>
      <c r="AB4803">
        <v>26</v>
      </c>
      <c r="AC4803">
        <v>16.846499999999999</v>
      </c>
      <c r="AD4803">
        <v>-1.112128484798</v>
      </c>
      <c r="AE4803">
        <v>-2.69437999999999</v>
      </c>
      <c r="AF4803">
        <v>-3.5080339225418098</v>
      </c>
      <c r="AG4803">
        <v>-1.112128484798</v>
      </c>
      <c r="AH4803">
        <v>16.622273086253401</v>
      </c>
      <c r="AI4803">
        <v>93.745462692558206</v>
      </c>
      <c r="AJ4803">
        <v>101.91706700675</v>
      </c>
      <c r="AK4803">
        <v>17.024778833288501</v>
      </c>
      <c r="AL4803">
        <v>83.857321710504607</v>
      </c>
      <c r="AM4803">
        <v>93.5726978820569</v>
      </c>
      <c r="AN4803">
        <v>0.99999999135189699</v>
      </c>
    </row>
    <row r="4804" spans="1:40" x14ac:dyDescent="0.25">
      <c r="A4804" t="str">
        <f>"20190312164605878"</f>
        <v>20190312164605878</v>
      </c>
      <c r="B4804" t="str">
        <f>"1552380365866403"</f>
        <v>1552380365866403</v>
      </c>
      <c r="C4804" t="s">
        <v>40</v>
      </c>
      <c r="D4804">
        <v>4.7215550000000004</v>
      </c>
      <c r="E4804">
        <v>0.42663040000000002</v>
      </c>
      <c r="F4804" t="s">
        <v>81</v>
      </c>
      <c r="G4804">
        <v>-381.57709999999997</v>
      </c>
      <c r="H4804" s="1">
        <v>-4.5265159999999901E-6</v>
      </c>
      <c r="I4804">
        <v>16.546600000000002</v>
      </c>
      <c r="J4804">
        <v>-398.37909999999999</v>
      </c>
      <c r="K4804">
        <v>1.1121589999999999</v>
      </c>
      <c r="L4804">
        <v>19.189419999999998</v>
      </c>
      <c r="M4804">
        <v>0.93440160000000005</v>
      </c>
      <c r="N4804">
        <v>0</v>
      </c>
      <c r="O4804">
        <v>-0.3559715</v>
      </c>
      <c r="P4804">
        <v>0.95025850000000001</v>
      </c>
      <c r="Q4804">
        <v>9.4256380000000001E-2</v>
      </c>
      <c r="R4804">
        <v>-0.29685800000000001</v>
      </c>
      <c r="S4804">
        <v>3.0275569999999998</v>
      </c>
      <c r="T4804">
        <v>-0.19881080000000001</v>
      </c>
      <c r="U4804">
        <v>-0.48110960000000003</v>
      </c>
      <c r="V4804">
        <v>-6.176268E-2</v>
      </c>
      <c r="W4804">
        <v>0.10700519999999999</v>
      </c>
      <c r="X4804">
        <v>0.99233830000000001</v>
      </c>
      <c r="Y4804">
        <v>-0.20379810000000001</v>
      </c>
      <c r="Z4804">
        <v>2.9296300000000001E-2</v>
      </c>
      <c r="AA4804">
        <v>0.97857450000000001</v>
      </c>
      <c r="AB4804">
        <v>26</v>
      </c>
      <c r="AC4804">
        <v>16.802</v>
      </c>
      <c r="AD4804">
        <v>-1.1121635265159999</v>
      </c>
      <c r="AE4804">
        <v>-2.6428199999999999</v>
      </c>
      <c r="AF4804">
        <v>-3.4969387176434799</v>
      </c>
      <c r="AG4804">
        <v>-1.1121635265159999</v>
      </c>
      <c r="AH4804">
        <v>16.571212432827899</v>
      </c>
      <c r="AI4804">
        <v>93.757103149947596</v>
      </c>
      <c r="AJ4804">
        <v>101.916010574038</v>
      </c>
      <c r="AK4804">
        <v>16.9726417978633</v>
      </c>
      <c r="AL4804">
        <v>83.857293083439998</v>
      </c>
      <c r="AM4804">
        <v>93.561468982022902</v>
      </c>
      <c r="AN4804">
        <v>1.0000000215573499</v>
      </c>
    </row>
    <row r="4805" spans="1:40" x14ac:dyDescent="0.25">
      <c r="A4805" t="str">
        <f>"20190312164605889"</f>
        <v>20190312164605889</v>
      </c>
      <c r="B4805" t="str">
        <f>"1552380365886900"</f>
        <v>1552380365886900</v>
      </c>
      <c r="C4805" t="s">
        <v>40</v>
      </c>
      <c r="D4805">
        <v>4.7467280000000001</v>
      </c>
      <c r="E4805">
        <v>0.4232224</v>
      </c>
      <c r="F4805" t="s">
        <v>42</v>
      </c>
      <c r="G4805">
        <v>-352.90260000000001</v>
      </c>
      <c r="H4805" s="1">
        <v>-3.896635E-6</v>
      </c>
      <c r="I4805">
        <v>14.71406</v>
      </c>
      <c r="J4805">
        <v>-398.24079999999998</v>
      </c>
      <c r="K4805">
        <v>1.112201</v>
      </c>
      <c r="L4805">
        <v>19.13965</v>
      </c>
      <c r="M4805">
        <v>0.93536010000000003</v>
      </c>
      <c r="N4805">
        <v>0</v>
      </c>
      <c r="O4805">
        <v>-0.35344540000000002</v>
      </c>
      <c r="P4805">
        <v>0.95103289999999996</v>
      </c>
      <c r="Q4805">
        <v>9.4311930000000002E-2</v>
      </c>
      <c r="R4805">
        <v>-0.29435070000000002</v>
      </c>
      <c r="S4805">
        <v>3.0700989999999999</v>
      </c>
      <c r="T4805">
        <v>-7.5081709999999996E-2</v>
      </c>
      <c r="U4805">
        <v>-0.302124</v>
      </c>
      <c r="V4805">
        <v>-6.1707489999999997E-2</v>
      </c>
      <c r="W4805">
        <v>0.1070517</v>
      </c>
      <c r="X4805">
        <v>0.99233669999999996</v>
      </c>
      <c r="Y4805">
        <v>-0.25998779999999999</v>
      </c>
      <c r="Z4805">
        <v>1.1612580000000001E-2</v>
      </c>
      <c r="AA4805">
        <v>0.96554209999999996</v>
      </c>
      <c r="AB4805">
        <v>26</v>
      </c>
      <c r="AC4805">
        <v>45.338199999999901</v>
      </c>
      <c r="AD4805">
        <v>-1.112204896635</v>
      </c>
      <c r="AE4805">
        <v>-4.4255899999999997</v>
      </c>
      <c r="AF4805">
        <v>-11.8790336970591</v>
      </c>
      <c r="AG4805">
        <v>-1.112204896635</v>
      </c>
      <c r="AH4805">
        <v>43.949459557943598</v>
      </c>
      <c r="AI4805">
        <v>91.399446667187902</v>
      </c>
      <c r="AJ4805">
        <v>105.124980928281</v>
      </c>
      <c r="AK4805">
        <v>45.540129959666203</v>
      </c>
      <c r="AL4805">
        <v>83.8546133262398</v>
      </c>
      <c r="AM4805">
        <v>93.558300421344001</v>
      </c>
      <c r="AN4805">
        <v>1.00000000348094</v>
      </c>
    </row>
    <row r="4806" spans="1:40" x14ac:dyDescent="0.25">
      <c r="A4806" t="str">
        <f>"20190312164605901"</f>
        <v>20190312164605901</v>
      </c>
      <c r="B4806" t="str">
        <f>"1552380365896659"</f>
        <v>1552380365896659</v>
      </c>
      <c r="C4806" t="s">
        <v>40</v>
      </c>
      <c r="D4806">
        <v>4.7733140000000001</v>
      </c>
      <c r="E4806">
        <v>0.42252909999999999</v>
      </c>
      <c r="F4806" t="s">
        <v>42</v>
      </c>
      <c r="G4806">
        <v>-347.42790000000002</v>
      </c>
      <c r="H4806" s="1">
        <v>-2.1679649999999999E-6</v>
      </c>
      <c r="I4806">
        <v>14.7056</v>
      </c>
      <c r="J4806">
        <v>-398.10509999999999</v>
      </c>
      <c r="K4806">
        <v>1.112242</v>
      </c>
      <c r="L4806">
        <v>19.091519999999999</v>
      </c>
      <c r="M4806">
        <v>0.93631059999999999</v>
      </c>
      <c r="N4806">
        <v>0</v>
      </c>
      <c r="O4806">
        <v>-0.35092020000000002</v>
      </c>
      <c r="P4806">
        <v>0.95180929999999997</v>
      </c>
      <c r="Q4806">
        <v>9.4470479999999996E-2</v>
      </c>
      <c r="R4806">
        <v>-0.29177839999999999</v>
      </c>
      <c r="S4806">
        <v>3.0779719999999999</v>
      </c>
      <c r="T4806">
        <v>-6.7371249999999994E-2</v>
      </c>
      <c r="U4806">
        <v>-0.26858520000000002</v>
      </c>
      <c r="V4806">
        <v>-6.1717849999999998E-2</v>
      </c>
      <c r="W4806">
        <v>0.10720150000000001</v>
      </c>
      <c r="X4806">
        <v>0.99231990000000003</v>
      </c>
      <c r="Y4806">
        <v>-0.2680787</v>
      </c>
      <c r="Z4806">
        <v>1.0439230000000001E-2</v>
      </c>
      <c r="AA4806">
        <v>0.96334050000000004</v>
      </c>
      <c r="AB4806">
        <v>26</v>
      </c>
      <c r="AC4806">
        <v>50.6771999999999</v>
      </c>
      <c r="AD4806">
        <v>-1.1122441679649999</v>
      </c>
      <c r="AE4806">
        <v>-4.3859199999999996</v>
      </c>
      <c r="AF4806">
        <v>-13.671746898549699</v>
      </c>
      <c r="AG4806">
        <v>-1.1122441679649999</v>
      </c>
      <c r="AH4806">
        <v>48.969641921671297</v>
      </c>
      <c r="AI4806">
        <v>91.253222144620906</v>
      </c>
      <c r="AJ4806">
        <v>105.599106923516</v>
      </c>
      <c r="AK4806">
        <v>50.854494199469599</v>
      </c>
      <c r="AL4806">
        <v>83.845980838876599</v>
      </c>
      <c r="AM4806">
        <v>93.558956382397199</v>
      </c>
      <c r="AN4806">
        <v>1.00000001927344</v>
      </c>
    </row>
    <row r="4807" spans="1:40" x14ac:dyDescent="0.25">
      <c r="A4807" t="str">
        <f>"20190312164605919"</f>
        <v>20190312164605919</v>
      </c>
      <c r="B4807" t="str">
        <f>"1552380365906419"</f>
        <v>1552380365906419</v>
      </c>
      <c r="C4807" t="s">
        <v>40</v>
      </c>
      <c r="D4807">
        <v>4.8066459999999998</v>
      </c>
      <c r="E4807">
        <v>0.42293269999999999</v>
      </c>
      <c r="F4807" t="s">
        <v>42</v>
      </c>
      <c r="G4807">
        <v>-348.005</v>
      </c>
      <c r="H4807" s="1">
        <v>-1.9082569999999999E-6</v>
      </c>
      <c r="I4807">
        <v>14.94359</v>
      </c>
      <c r="J4807">
        <v>-397.92110000000002</v>
      </c>
      <c r="K4807">
        <v>1.112303</v>
      </c>
      <c r="L4807">
        <v>19.026789999999998</v>
      </c>
      <c r="M4807">
        <v>0.93760279999999996</v>
      </c>
      <c r="N4807">
        <v>0</v>
      </c>
      <c r="O4807">
        <v>-0.34745280000000001</v>
      </c>
      <c r="P4807">
        <v>0.95281740000000004</v>
      </c>
      <c r="Q4807">
        <v>9.4959150000000006E-2</v>
      </c>
      <c r="R4807">
        <v>-0.28830899999999998</v>
      </c>
      <c r="S4807">
        <v>3.0804749999999999</v>
      </c>
      <c r="T4807">
        <v>-6.8387749999999997E-2</v>
      </c>
      <c r="U4807">
        <v>-0.25503540000000002</v>
      </c>
      <c r="V4807">
        <v>-6.1662590000000003E-2</v>
      </c>
      <c r="W4807">
        <v>0.107679399999999</v>
      </c>
      <c r="X4807">
        <v>0.99227160000000003</v>
      </c>
      <c r="Y4807">
        <v>-0.26878469999999999</v>
      </c>
      <c r="Z4807">
        <v>1.052702E-2</v>
      </c>
      <c r="AA4807">
        <v>0.96314279999999997</v>
      </c>
      <c r="AB4807">
        <v>26</v>
      </c>
      <c r="AC4807">
        <v>49.9161</v>
      </c>
      <c r="AD4807">
        <v>-1.112304908257</v>
      </c>
      <c r="AE4807">
        <v>-4.0831999999999997</v>
      </c>
      <c r="AF4807">
        <v>-13.509605199791601</v>
      </c>
      <c r="AG4807">
        <v>-1.112304908257</v>
      </c>
      <c r="AH4807">
        <v>48.200700347262099</v>
      </c>
      <c r="AI4807">
        <v>91.272917784154998</v>
      </c>
      <c r="AJ4807">
        <v>105.65702588905199</v>
      </c>
      <c r="AK4807">
        <v>50.070491997080701</v>
      </c>
      <c r="AL4807">
        <v>83.818439820458494</v>
      </c>
      <c r="AM4807">
        <v>93.555950634470605</v>
      </c>
      <c r="AN4807">
        <v>1.00000002817821</v>
      </c>
    </row>
    <row r="4808" spans="1:40" x14ac:dyDescent="0.25">
      <c r="A4808" t="str">
        <f>"20190312164605929"</f>
        <v>20190312164605929</v>
      </c>
      <c r="B4808" t="str">
        <f>"1552380365926917"</f>
        <v>1552380365926917</v>
      </c>
      <c r="C4808" t="s">
        <v>40</v>
      </c>
      <c r="D4808">
        <v>4.7316320000000003</v>
      </c>
      <c r="E4808">
        <v>0.42298200000000002</v>
      </c>
      <c r="F4808" t="s">
        <v>42</v>
      </c>
      <c r="G4808">
        <v>-353.50220000000002</v>
      </c>
      <c r="H4808" s="1">
        <v>-3.50462E-6</v>
      </c>
      <c r="I4808">
        <v>15.47381</v>
      </c>
      <c r="J4808">
        <v>-397.79860000000002</v>
      </c>
      <c r="K4808">
        <v>1.112339</v>
      </c>
      <c r="L4808">
        <v>18.984010000000001</v>
      </c>
      <c r="M4808">
        <v>0.93846350000000001</v>
      </c>
      <c r="N4808">
        <v>0</v>
      </c>
      <c r="O4808">
        <v>-0.34512140000000002</v>
      </c>
      <c r="P4808">
        <v>0.95353719999999997</v>
      </c>
      <c r="Q4808">
        <v>9.5353569999999999E-2</v>
      </c>
      <c r="R4808">
        <v>-0.2857883</v>
      </c>
      <c r="S4808">
        <v>3.0816650000000001</v>
      </c>
      <c r="T4808">
        <v>-7.7168940000000005E-2</v>
      </c>
      <c r="U4808">
        <v>-0.2464905</v>
      </c>
      <c r="V4808">
        <v>-6.1819440000000003E-2</v>
      </c>
      <c r="W4808">
        <v>0.1080648</v>
      </c>
      <c r="X4808">
        <v>0.99221990000000004</v>
      </c>
      <c r="Y4808">
        <v>-0.26903500000000002</v>
      </c>
      <c r="Z4808">
        <v>1.182428E-2</v>
      </c>
      <c r="AA4808">
        <v>0.96305779999999996</v>
      </c>
      <c r="AB4808">
        <v>26</v>
      </c>
      <c r="AC4808">
        <v>44.296399999999998</v>
      </c>
      <c r="AD4808">
        <v>-1.1123425046199999</v>
      </c>
      <c r="AE4808">
        <v>-3.5102000000000002</v>
      </c>
      <c r="AF4808">
        <v>-11.986993845974901</v>
      </c>
      <c r="AG4808">
        <v>-1.1123425046199999</v>
      </c>
      <c r="AH4808">
        <v>42.759001952266402</v>
      </c>
      <c r="AI4808">
        <v>91.434876994827306</v>
      </c>
      <c r="AJ4808">
        <v>105.66022872898201</v>
      </c>
      <c r="AK4808">
        <v>44.421363950974602</v>
      </c>
      <c r="AL4808">
        <v>83.796228163010895</v>
      </c>
      <c r="AM4808">
        <v>93.565157818622197</v>
      </c>
      <c r="AN4808">
        <v>0.99999998705848103</v>
      </c>
    </row>
    <row r="4809" spans="1:40" x14ac:dyDescent="0.25">
      <c r="A4809" t="str">
        <f>"20190312164605941"</f>
        <v>20190312164605941</v>
      </c>
      <c r="B4809" t="str">
        <f>"1552380365936676"</f>
        <v>1552380365936676</v>
      </c>
      <c r="C4809" t="s">
        <v>40</v>
      </c>
      <c r="D4809">
        <v>4.7137510000000002</v>
      </c>
      <c r="E4809">
        <v>0.42378169999999998</v>
      </c>
      <c r="F4809" t="s">
        <v>80</v>
      </c>
      <c r="G4809">
        <v>-360.69040000000001</v>
      </c>
      <c r="H4809" s="1">
        <v>-5.0206279999999998E-6</v>
      </c>
      <c r="I4809">
        <v>16.12405</v>
      </c>
      <c r="J4809">
        <v>-397.66759999999999</v>
      </c>
      <c r="K4809">
        <v>1.1123780000000001</v>
      </c>
      <c r="L4809">
        <v>18.938929999999999</v>
      </c>
      <c r="M4809">
        <v>0.93939209999999995</v>
      </c>
      <c r="N4809">
        <v>0</v>
      </c>
      <c r="O4809">
        <v>-0.3425858</v>
      </c>
      <c r="P4809">
        <v>0.95434490000000005</v>
      </c>
      <c r="Q4809">
        <v>9.5353019999999997E-2</v>
      </c>
      <c r="R4809">
        <v>-0.28307909999999997</v>
      </c>
      <c r="S4809">
        <v>3.0841980000000002</v>
      </c>
      <c r="T4809">
        <v>-9.2450859999999996E-2</v>
      </c>
      <c r="U4809">
        <v>-0.23770140000000001</v>
      </c>
      <c r="V4809">
        <v>-6.1968059999999998E-2</v>
      </c>
      <c r="W4809">
        <v>0.10805620000000001</v>
      </c>
      <c r="X4809">
        <v>0.99221159999999997</v>
      </c>
      <c r="Y4809">
        <v>-0.26914460000000001</v>
      </c>
      <c r="Z4809">
        <v>1.4086130000000001E-2</v>
      </c>
      <c r="AA4809">
        <v>0.96299679999999999</v>
      </c>
      <c r="AB4809">
        <v>26</v>
      </c>
      <c r="AC4809">
        <v>36.977199999999897</v>
      </c>
      <c r="AD4809">
        <v>-1.1123830206280001</v>
      </c>
      <c r="AE4809">
        <v>-2.8148799999999898</v>
      </c>
      <c r="AF4809">
        <v>-10.0154654721453</v>
      </c>
      <c r="AG4809">
        <v>-1.1123830206280001</v>
      </c>
      <c r="AH4809">
        <v>35.671499334508397</v>
      </c>
      <c r="AI4809">
        <v>91.719682931500103</v>
      </c>
      <c r="AJ4809">
        <v>105.68311679435099</v>
      </c>
      <c r="AK4809">
        <v>37.067543881138803</v>
      </c>
      <c r="AL4809">
        <v>83.796724020419902</v>
      </c>
      <c r="AM4809">
        <v>93.573736439169195</v>
      </c>
      <c r="AN4809">
        <v>1.00000002099658</v>
      </c>
    </row>
    <row r="4810" spans="1:40" x14ac:dyDescent="0.25">
      <c r="A4810" t="str">
        <f>"20190312164605954"</f>
        <v>20190312164605954</v>
      </c>
      <c r="B4810" t="str">
        <f>"1552380365946436"</f>
        <v>1552380365946436</v>
      </c>
      <c r="C4810" t="s">
        <v>40</v>
      </c>
      <c r="D4810">
        <v>4.7350409999999998</v>
      </c>
      <c r="E4810">
        <v>0.42432249999999999</v>
      </c>
      <c r="F4810" t="s">
        <v>80</v>
      </c>
      <c r="G4810">
        <v>-362.74520000000001</v>
      </c>
      <c r="H4810" s="1">
        <v>-4.0216019999999901E-6</v>
      </c>
      <c r="I4810">
        <v>16.280139999999999</v>
      </c>
      <c r="J4810">
        <v>-397.53140000000002</v>
      </c>
      <c r="K4810">
        <v>1.1124179999999999</v>
      </c>
      <c r="L4810">
        <v>18.892399999999999</v>
      </c>
      <c r="M4810">
        <v>0.94035740000000001</v>
      </c>
      <c r="N4810">
        <v>0</v>
      </c>
      <c r="O4810">
        <v>-0.33992699999999998</v>
      </c>
      <c r="P4810">
        <v>0.95519390000000004</v>
      </c>
      <c r="Q4810">
        <v>9.5373180000000002E-2</v>
      </c>
      <c r="R4810">
        <v>-0.28019379999999999</v>
      </c>
      <c r="S4810">
        <v>3.0836489999999999</v>
      </c>
      <c r="T4810">
        <v>-9.8223329999999998E-2</v>
      </c>
      <c r="U4810">
        <v>-0.2347717</v>
      </c>
      <c r="V4810">
        <v>-6.2169049999999997E-2</v>
      </c>
      <c r="W4810">
        <v>0.1080676</v>
      </c>
      <c r="X4810">
        <v>0.99219780000000002</v>
      </c>
      <c r="Y4810">
        <v>-0.26728390000000002</v>
      </c>
      <c r="Z4810">
        <v>1.485934E-2</v>
      </c>
      <c r="AA4810">
        <v>0.9635032</v>
      </c>
      <c r="AB4810">
        <v>26</v>
      </c>
      <c r="AC4810">
        <v>34.786200000000001</v>
      </c>
      <c r="AD4810">
        <v>-1.112422021602</v>
      </c>
      <c r="AE4810">
        <v>-2.6122599999999898</v>
      </c>
      <c r="AF4810">
        <v>-9.3596246728216901</v>
      </c>
      <c r="AG4810">
        <v>-1.112422021602</v>
      </c>
      <c r="AH4810">
        <v>33.568286273515398</v>
      </c>
      <c r="AI4810">
        <v>91.828344740715906</v>
      </c>
      <c r="AJ4810">
        <v>105.57971572113701</v>
      </c>
      <c r="AK4810">
        <v>34.866458095294398</v>
      </c>
      <c r="AL4810">
        <v>83.796067092332706</v>
      </c>
      <c r="AM4810">
        <v>93.585347207344697</v>
      </c>
      <c r="AN4810">
        <v>1.00000003563625</v>
      </c>
    </row>
    <row r="4811" spans="1:40" x14ac:dyDescent="0.25">
      <c r="A4811" t="str">
        <f>"20190312164605965"</f>
        <v>20190312164605965</v>
      </c>
      <c r="B4811" t="str">
        <f>"1552380365956197"</f>
        <v>1552380365956197</v>
      </c>
      <c r="C4811" t="s">
        <v>40</v>
      </c>
      <c r="D4811">
        <v>4.7527819999999998</v>
      </c>
      <c r="E4811">
        <v>0.4252107</v>
      </c>
      <c r="F4811" t="s">
        <v>80</v>
      </c>
      <c r="G4811">
        <v>-364.49619999999999</v>
      </c>
      <c r="H4811" s="1">
        <v>-3.166404E-6</v>
      </c>
      <c r="I4811">
        <v>16.435269999999999</v>
      </c>
      <c r="J4811">
        <v>-397.39449999999999</v>
      </c>
      <c r="K4811">
        <v>1.112455</v>
      </c>
      <c r="L4811">
        <v>18.846070000000001</v>
      </c>
      <c r="M4811">
        <v>0.94132859999999996</v>
      </c>
      <c r="N4811">
        <v>0</v>
      </c>
      <c r="O4811">
        <v>-0.33722809999999998</v>
      </c>
      <c r="P4811">
        <v>0.9560729</v>
      </c>
      <c r="Q4811">
        <v>9.5398460000000004E-2</v>
      </c>
      <c r="R4811">
        <v>-0.27717069999999999</v>
      </c>
      <c r="S4811">
        <v>3.0838009999999998</v>
      </c>
      <c r="T4811">
        <v>-0.1038432</v>
      </c>
      <c r="U4811">
        <v>-0.22937009999999999</v>
      </c>
      <c r="V4811">
        <v>-6.247221E-2</v>
      </c>
      <c r="W4811">
        <v>0.1080837</v>
      </c>
      <c r="X4811">
        <v>0.99217690000000003</v>
      </c>
      <c r="Y4811">
        <v>-0.26616840000000003</v>
      </c>
      <c r="Z4811">
        <v>1.5605539999999999E-2</v>
      </c>
      <c r="AA4811">
        <v>0.9638002</v>
      </c>
      <c r="AB4811">
        <v>26</v>
      </c>
      <c r="AC4811">
        <v>32.898299999999999</v>
      </c>
      <c r="AD4811">
        <v>-1.1124581664040001</v>
      </c>
      <c r="AE4811">
        <v>-2.4107999999999898</v>
      </c>
      <c r="AF4811">
        <v>-8.8156338290533895</v>
      </c>
      <c r="AG4811">
        <v>-1.1124581664040001</v>
      </c>
      <c r="AH4811">
        <v>31.747815509338601</v>
      </c>
      <c r="AI4811">
        <v>91.933742414572606</v>
      </c>
      <c r="AJ4811">
        <v>105.518743067906</v>
      </c>
      <c r="AK4811">
        <v>32.967813888624001</v>
      </c>
      <c r="AL4811">
        <v>83.795138550123795</v>
      </c>
      <c r="AM4811">
        <v>93.602860481544099</v>
      </c>
      <c r="AN4811">
        <v>0.99999993206078897</v>
      </c>
    </row>
    <row r="4812" spans="1:40" x14ac:dyDescent="0.25">
      <c r="A4812" t="str">
        <f>"20190312164605976"</f>
        <v>20190312164605976</v>
      </c>
      <c r="B4812" t="str">
        <f>"1552380365966932"</f>
        <v>1552380365966932</v>
      </c>
      <c r="C4812" t="s">
        <v>40</v>
      </c>
      <c r="D4812">
        <v>4.7477450000000001</v>
      </c>
      <c r="E4812">
        <v>0.4255138</v>
      </c>
      <c r="F4812" t="s">
        <v>80</v>
      </c>
      <c r="G4812">
        <v>-364.95240000000001</v>
      </c>
      <c r="H4812" s="1">
        <v>-2.9457649999999999E-6</v>
      </c>
      <c r="I4812">
        <v>16.463370000000001</v>
      </c>
      <c r="J4812">
        <v>-397.28539999999998</v>
      </c>
      <c r="K4812">
        <v>1.1124879999999999</v>
      </c>
      <c r="L4812">
        <v>18.809570000000001</v>
      </c>
      <c r="M4812">
        <v>0.9421079</v>
      </c>
      <c r="N4812">
        <v>0</v>
      </c>
      <c r="O4812">
        <v>-0.33504479999999998</v>
      </c>
      <c r="P4812">
        <v>0.95673909999999995</v>
      </c>
      <c r="Q4812">
        <v>9.5402390000000004E-2</v>
      </c>
      <c r="R4812">
        <v>-0.27486120000000003</v>
      </c>
      <c r="S4812">
        <v>3.0827330000000002</v>
      </c>
      <c r="T4812">
        <v>-0.1057085</v>
      </c>
      <c r="U4812">
        <v>-0.2264099</v>
      </c>
      <c r="V4812">
        <v>-6.2575350000000002E-2</v>
      </c>
      <c r="W4812">
        <v>0.10808230000000001</v>
      </c>
      <c r="X4812">
        <v>0.99217060000000001</v>
      </c>
      <c r="Y4812">
        <v>-0.26481880000000002</v>
      </c>
      <c r="Z4812">
        <v>1.5798280000000001E-2</v>
      </c>
      <c r="AA4812">
        <v>0.96416880000000005</v>
      </c>
      <c r="AB4812">
        <v>26</v>
      </c>
      <c r="AC4812">
        <v>32.332999999999899</v>
      </c>
      <c r="AD4812">
        <v>-1.1124909457650001</v>
      </c>
      <c r="AE4812">
        <v>-2.3462000000000001</v>
      </c>
      <c r="AF4812">
        <v>-8.6132526396303906</v>
      </c>
      <c r="AG4812">
        <v>-1.1124909457650001</v>
      </c>
      <c r="AH4812">
        <v>31.213274674209899</v>
      </c>
      <c r="AI4812">
        <v>91.967764324651</v>
      </c>
      <c r="AJ4812">
        <v>105.42675685542299</v>
      </c>
      <c r="AK4812">
        <v>32.398985678971201</v>
      </c>
      <c r="AL4812">
        <v>83.795219527744507</v>
      </c>
      <c r="AM4812">
        <v>93.608815858790706</v>
      </c>
      <c r="AN4812">
        <v>0.99999997875263602</v>
      </c>
    </row>
    <row r="4813" spans="1:40" x14ac:dyDescent="0.25">
      <c r="A4813" t="str">
        <f>"20190312164605987"</f>
        <v>20190312164605987</v>
      </c>
      <c r="B4813" t="str">
        <f>"1552380365976692"</f>
        <v>1552380365976692</v>
      </c>
      <c r="C4813" t="s">
        <v>40</v>
      </c>
      <c r="D4813">
        <v>4.7165189999999999</v>
      </c>
      <c r="E4813">
        <v>0.42572579999999999</v>
      </c>
      <c r="F4813" t="s">
        <v>80</v>
      </c>
      <c r="G4813">
        <v>-365.50650000000002</v>
      </c>
      <c r="H4813" s="1">
        <v>-2.6718290000000001E-6</v>
      </c>
      <c r="I4813">
        <v>16.531089999999999</v>
      </c>
      <c r="J4813">
        <v>-397.15719999999999</v>
      </c>
      <c r="K4813">
        <v>1.1125240000000001</v>
      </c>
      <c r="L4813">
        <v>18.76688</v>
      </c>
      <c r="M4813">
        <v>0.9430193</v>
      </c>
      <c r="N4813">
        <v>0</v>
      </c>
      <c r="O4813">
        <v>-0.33247120000000002</v>
      </c>
      <c r="P4813">
        <v>0.95753909999999998</v>
      </c>
      <c r="Q4813">
        <v>9.5235739999999999E-2</v>
      </c>
      <c r="R4813">
        <v>-0.27212039999999998</v>
      </c>
      <c r="S4813">
        <v>3.082916</v>
      </c>
      <c r="T4813">
        <v>-0.1079241</v>
      </c>
      <c r="U4813">
        <v>-0.22103880000000001</v>
      </c>
      <c r="V4813">
        <v>-6.2721789999999999E-2</v>
      </c>
      <c r="W4813">
        <v>0.1079093</v>
      </c>
      <c r="X4813">
        <v>0.99218019999999996</v>
      </c>
      <c r="Y4813">
        <v>-0.26384859999999999</v>
      </c>
      <c r="Z4813">
        <v>1.602787E-2</v>
      </c>
      <c r="AA4813">
        <v>0.96443089999999998</v>
      </c>
      <c r="AB4813">
        <v>26</v>
      </c>
      <c r="AC4813">
        <v>31.650699999999901</v>
      </c>
      <c r="AD4813">
        <v>-1.1125266718289999</v>
      </c>
      <c r="AE4813">
        <v>-2.2357900000000002</v>
      </c>
      <c r="AF4813">
        <v>-8.4049669346007896</v>
      </c>
      <c r="AG4813">
        <v>-1.1125266718289999</v>
      </c>
      <c r="AH4813">
        <v>30.555706905834501</v>
      </c>
      <c r="AI4813">
        <v>92.010592988563403</v>
      </c>
      <c r="AJ4813">
        <v>105.379994956725</v>
      </c>
      <c r="AK4813">
        <v>31.710131019636702</v>
      </c>
      <c r="AL4813">
        <v>83.805190110372905</v>
      </c>
      <c r="AM4813">
        <v>93.6172039737597</v>
      </c>
      <c r="AN4813">
        <v>0.99999999461966704</v>
      </c>
    </row>
    <row r="4814" spans="1:40" x14ac:dyDescent="0.25">
      <c r="A4814" t="str">
        <f>"20190312164606000"</f>
        <v>20190312164606000</v>
      </c>
      <c r="B4814" t="str">
        <f>"1552380365996211"</f>
        <v>1552380365996211</v>
      </c>
      <c r="C4814" t="s">
        <v>40</v>
      </c>
      <c r="D4814">
        <v>4.6728440000000004</v>
      </c>
      <c r="E4814">
        <v>0.42667519999999998</v>
      </c>
      <c r="F4814" t="s">
        <v>80</v>
      </c>
      <c r="G4814">
        <v>-365.83940000000001</v>
      </c>
      <c r="H4814" s="1">
        <v>-2.5032750000000002E-6</v>
      </c>
      <c r="I4814">
        <v>16.59412</v>
      </c>
      <c r="J4814">
        <v>-397.02510000000001</v>
      </c>
      <c r="K4814">
        <v>1.1125609999999999</v>
      </c>
      <c r="L4814">
        <v>18.723569999999999</v>
      </c>
      <c r="M4814">
        <v>0.94396539999999995</v>
      </c>
      <c r="N4814">
        <v>0</v>
      </c>
      <c r="O4814">
        <v>-0.3297754</v>
      </c>
      <c r="P4814">
        <v>0.95834059999999999</v>
      </c>
      <c r="Q4814">
        <v>9.5338439999999997E-2</v>
      </c>
      <c r="R4814">
        <v>-0.26924700000000001</v>
      </c>
      <c r="S4814">
        <v>3.0830989999999998</v>
      </c>
      <c r="T4814">
        <v>-0.1095232</v>
      </c>
      <c r="U4814">
        <v>-0.2138977</v>
      </c>
      <c r="V4814">
        <v>-6.2870159999999994E-2</v>
      </c>
      <c r="W4814">
        <v>0.1080055</v>
      </c>
      <c r="X4814">
        <v>0.9921603</v>
      </c>
      <c r="Y4814">
        <v>-0.26331080000000001</v>
      </c>
      <c r="Z4814">
        <v>1.6166380000000001E-2</v>
      </c>
      <c r="AA4814">
        <v>0.96457559999999998</v>
      </c>
      <c r="AB4814">
        <v>26</v>
      </c>
      <c r="AC4814">
        <v>31.185700000000001</v>
      </c>
      <c r="AD4814">
        <v>-1.1125635032750001</v>
      </c>
      <c r="AE4814">
        <v>-2.1294499999999998</v>
      </c>
      <c r="AF4814">
        <v>-8.2644144273798101</v>
      </c>
      <c r="AG4814">
        <v>-1.1125635032750001</v>
      </c>
      <c r="AH4814">
        <v>30.1049995378166</v>
      </c>
      <c r="AI4814">
        <v>92.041023052495007</v>
      </c>
      <c r="AJ4814">
        <v>105.350661966774</v>
      </c>
      <c r="AK4814">
        <v>31.238587364800001</v>
      </c>
      <c r="AL4814">
        <v>83.799645593815001</v>
      </c>
      <c r="AM4814">
        <v>93.625810292580695</v>
      </c>
      <c r="AN4814">
        <v>0.99999995297238098</v>
      </c>
    </row>
    <row r="4815" spans="1:40" x14ac:dyDescent="0.25">
      <c r="A4815" t="str">
        <f>"20190312164606010"</f>
        <v>20190312164606010</v>
      </c>
      <c r="B4815" t="str">
        <f>"1552380366006947"</f>
        <v>1552380366006947</v>
      </c>
      <c r="C4815" t="s">
        <v>40</v>
      </c>
      <c r="D4815">
        <v>4.6965149999999998</v>
      </c>
      <c r="E4815">
        <v>0.42711850000000001</v>
      </c>
      <c r="F4815" t="s">
        <v>80</v>
      </c>
      <c r="G4815">
        <v>-363.72149999999999</v>
      </c>
      <c r="H4815" s="1">
        <v>-3.534363E-6</v>
      </c>
      <c r="I4815">
        <v>16.425260000000002</v>
      </c>
      <c r="J4815">
        <v>-396.90780000000001</v>
      </c>
      <c r="K4815">
        <v>1.112587</v>
      </c>
      <c r="L4815">
        <v>18.685269999999999</v>
      </c>
      <c r="M4815">
        <v>0.94480200000000003</v>
      </c>
      <c r="N4815">
        <v>0</v>
      </c>
      <c r="O4815">
        <v>-0.32737080000000002</v>
      </c>
      <c r="P4815">
        <v>0.95905079999999998</v>
      </c>
      <c r="Q4815">
        <v>9.5567020000000003E-2</v>
      </c>
      <c r="R4815">
        <v>-0.266625099999999</v>
      </c>
      <c r="S4815">
        <v>3.080902</v>
      </c>
      <c r="T4815">
        <v>-0.1029229</v>
      </c>
      <c r="U4815">
        <v>-0.212616</v>
      </c>
      <c r="V4815">
        <v>-6.306022E-2</v>
      </c>
      <c r="W4815">
        <v>0.1082273</v>
      </c>
      <c r="X4815">
        <v>0.99212409999999995</v>
      </c>
      <c r="Y4815">
        <v>-0.26125039999999999</v>
      </c>
      <c r="Z4815">
        <v>1.509332E-2</v>
      </c>
      <c r="AA4815">
        <v>0.96515300000000004</v>
      </c>
      <c r="AB4815">
        <v>26</v>
      </c>
      <c r="AC4815">
        <v>33.186300000000003</v>
      </c>
      <c r="AD4815">
        <v>-1.112590534363</v>
      </c>
      <c r="AE4815">
        <v>-2.2600099999999999</v>
      </c>
      <c r="AF4815">
        <v>-8.7199828683890104</v>
      </c>
      <c r="AG4815">
        <v>-1.112590534363</v>
      </c>
      <c r="AH4815">
        <v>32.061323814567601</v>
      </c>
      <c r="AI4815">
        <v>91.9178639042604</v>
      </c>
      <c r="AJ4815">
        <v>105.215166576152</v>
      </c>
      <c r="AK4815">
        <v>33.244615258184503</v>
      </c>
      <c r="AL4815">
        <v>83.786862656202501</v>
      </c>
      <c r="AM4815">
        <v>93.636874286050201</v>
      </c>
      <c r="AN4815">
        <v>0.99999998480627394</v>
      </c>
    </row>
    <row r="4816" spans="1:40" x14ac:dyDescent="0.25">
      <c r="A4816" t="str">
        <f>"20190312164606022"</f>
        <v>20190312164606022</v>
      </c>
      <c r="B4816" t="str">
        <f>"1552380366016707"</f>
        <v>1552380366016707</v>
      </c>
      <c r="C4816" t="s">
        <v>40</v>
      </c>
      <c r="D4816">
        <v>4.7690449999999904</v>
      </c>
      <c r="E4816">
        <v>0.4276083</v>
      </c>
      <c r="F4816" t="s">
        <v>80</v>
      </c>
      <c r="G4816">
        <v>-362.66559999999998</v>
      </c>
      <c r="H4816" s="1">
        <v>-4.042968E-6</v>
      </c>
      <c r="I4816">
        <v>16.371839999999999</v>
      </c>
      <c r="J4816">
        <v>-396.7756</v>
      </c>
      <c r="K4816">
        <v>1.112622</v>
      </c>
      <c r="L4816">
        <v>18.642790000000002</v>
      </c>
      <c r="M4816">
        <v>0.94574829999999999</v>
      </c>
      <c r="N4816">
        <v>0</v>
      </c>
      <c r="O4816">
        <v>-0.32462740000000001</v>
      </c>
      <c r="P4816">
        <v>0.95981070000000002</v>
      </c>
      <c r="Q4816">
        <v>9.6017169999999999E-2</v>
      </c>
      <c r="R4816">
        <v>-0.26371319999999998</v>
      </c>
      <c r="S4816">
        <v>3.0801699999999999</v>
      </c>
      <c r="T4816">
        <v>-0.1000804</v>
      </c>
      <c r="U4816">
        <v>-0.20809939999999999</v>
      </c>
      <c r="V4816">
        <v>-6.3191020000000001E-2</v>
      </c>
      <c r="W4816">
        <v>0.1086715</v>
      </c>
      <c r="X4816">
        <v>0.99206719999999904</v>
      </c>
      <c r="Y4816">
        <v>-0.25986110000000001</v>
      </c>
      <c r="Z4816">
        <v>1.457435E-2</v>
      </c>
      <c r="AA4816">
        <v>0.96553599999999995</v>
      </c>
      <c r="AB4816">
        <v>26</v>
      </c>
      <c r="AC4816">
        <v>34.11</v>
      </c>
      <c r="AD4816">
        <v>-1.1126260429679999</v>
      </c>
      <c r="AE4816">
        <v>-2.2709499999999898</v>
      </c>
      <c r="AF4816">
        <v>-8.9166391242817493</v>
      </c>
      <c r="AG4816">
        <v>-1.1126260429679999</v>
      </c>
      <c r="AH4816">
        <v>32.964691954484103</v>
      </c>
      <c r="AI4816">
        <v>91.866104442897694</v>
      </c>
      <c r="AJ4816">
        <v>105.13577096765199</v>
      </c>
      <c r="AK4816">
        <v>34.167459748102303</v>
      </c>
      <c r="AL4816">
        <v>83.761260743794693</v>
      </c>
      <c r="AM4816">
        <v>93.644606070683395</v>
      </c>
      <c r="AN4816">
        <v>0.99999996461836405</v>
      </c>
    </row>
    <row r="4817" spans="1:40" x14ac:dyDescent="0.25">
      <c r="A4817" t="str">
        <f>"20190312164606034"</f>
        <v>20190312164606034</v>
      </c>
      <c r="B4817" t="str">
        <f>"1552380366026468"</f>
        <v>1552380366026468</v>
      </c>
      <c r="C4817" t="s">
        <v>40</v>
      </c>
      <c r="D4817">
        <v>4.7973039999999996</v>
      </c>
      <c r="E4817">
        <v>0.42809580000000003</v>
      </c>
      <c r="F4817" t="s">
        <v>80</v>
      </c>
      <c r="G4817">
        <v>-361.447</v>
      </c>
      <c r="H4817" s="1">
        <v>-4.6296440000000001E-6</v>
      </c>
      <c r="I4817">
        <v>16.31183</v>
      </c>
      <c r="J4817">
        <v>-396.6395</v>
      </c>
      <c r="K4817">
        <v>1.1126590000000001</v>
      </c>
      <c r="L4817">
        <v>18.59937</v>
      </c>
      <c r="M4817">
        <v>0.94672100000000003</v>
      </c>
      <c r="N4817">
        <v>0</v>
      </c>
      <c r="O4817">
        <v>-0.32177909999999998</v>
      </c>
      <c r="P4817">
        <v>0.96063639999999995</v>
      </c>
      <c r="Q4817">
        <v>9.6357600000000002E-2</v>
      </c>
      <c r="R4817">
        <v>-0.2605635</v>
      </c>
      <c r="S4817">
        <v>3.079529</v>
      </c>
      <c r="T4817">
        <v>-9.6985580000000002E-2</v>
      </c>
      <c r="U4817">
        <v>-0.20318600000000001</v>
      </c>
      <c r="V4817">
        <v>-6.3460710000000004E-2</v>
      </c>
      <c r="W4817">
        <v>0.1090047</v>
      </c>
      <c r="X4817">
        <v>0.99201349999999999</v>
      </c>
      <c r="Y4817">
        <v>-0.25849460000000002</v>
      </c>
      <c r="Z4817">
        <v>1.4021459999999999E-2</v>
      </c>
      <c r="AA4817">
        <v>0.96591090000000002</v>
      </c>
      <c r="AB4817">
        <v>26</v>
      </c>
      <c r="AC4817">
        <v>35.192500000000003</v>
      </c>
      <c r="AD4817">
        <v>-1.112663629644</v>
      </c>
      <c r="AE4817">
        <v>-2.2875399999999999</v>
      </c>
      <c r="AF4817">
        <v>-9.1502538816005803</v>
      </c>
      <c r="AG4817">
        <v>-1.112663629644</v>
      </c>
      <c r="AH4817">
        <v>34.022718891416602</v>
      </c>
      <c r="AI4817">
        <v>91.808875290744197</v>
      </c>
      <c r="AJ4817">
        <v>105.053241900446</v>
      </c>
      <c r="AK4817">
        <v>35.249263357052399</v>
      </c>
      <c r="AL4817">
        <v>83.742056145354496</v>
      </c>
      <c r="AM4817">
        <v>93.660316113732705</v>
      </c>
      <c r="AN4817">
        <v>1.0000000352590199</v>
      </c>
    </row>
    <row r="4818" spans="1:40" x14ac:dyDescent="0.25">
      <c r="A4818" t="str">
        <f>"20190312164606045"</f>
        <v>20190312164606045</v>
      </c>
      <c r="B4818" t="str">
        <f>"1552380366036227"</f>
        <v>1552380366036227</v>
      </c>
      <c r="C4818" t="s">
        <v>40</v>
      </c>
      <c r="D4818">
        <v>4.7955199999999998</v>
      </c>
      <c r="E4818">
        <v>0.428508</v>
      </c>
      <c r="F4818" t="s">
        <v>80</v>
      </c>
      <c r="G4818">
        <v>-360.57510000000002</v>
      </c>
      <c r="H4818" s="1">
        <v>-5.0459219999999996E-6</v>
      </c>
      <c r="I4818">
        <v>16.288729999999902</v>
      </c>
      <c r="J4818">
        <v>-396.52269999999999</v>
      </c>
      <c r="K4818">
        <v>1.1126849999999999</v>
      </c>
      <c r="L4818">
        <v>18.562470000000001</v>
      </c>
      <c r="M4818">
        <v>0.94755290000000003</v>
      </c>
      <c r="N4818">
        <v>0</v>
      </c>
      <c r="O4818">
        <v>-0.31932100000000002</v>
      </c>
      <c r="P4818">
        <v>0.96130510000000002</v>
      </c>
      <c r="Q4818">
        <v>9.6801180000000001E-2</v>
      </c>
      <c r="R4818">
        <v>-0.25791960000000003</v>
      </c>
      <c r="S4818">
        <v>3.0789179999999998</v>
      </c>
      <c r="T4818">
        <v>-9.4991210000000006E-2</v>
      </c>
      <c r="U4818">
        <v>-0.19726560000000001</v>
      </c>
      <c r="V4818">
        <v>-6.3612299999999997E-2</v>
      </c>
      <c r="W4818">
        <v>0.1094432</v>
      </c>
      <c r="X4818">
        <v>0.99195549999999999</v>
      </c>
      <c r="Y4818">
        <v>-0.25783729999999999</v>
      </c>
      <c r="Z4818">
        <v>1.365529E-2</v>
      </c>
      <c r="AA4818">
        <v>0.9660919</v>
      </c>
      <c r="AB4818">
        <v>26</v>
      </c>
      <c r="AC4818">
        <v>35.947599999999902</v>
      </c>
      <c r="AD4818">
        <v>-1.1126900459219999</v>
      </c>
      <c r="AE4818">
        <v>-2.2737400000000001</v>
      </c>
      <c r="AF4818">
        <v>-9.3162724562877202</v>
      </c>
      <c r="AG4818">
        <v>-1.1126900459219999</v>
      </c>
      <c r="AH4818">
        <v>34.758226198973702</v>
      </c>
      <c r="AI4818">
        <v>91.771070310801093</v>
      </c>
      <c r="AJ4818">
        <v>105.004358282412</v>
      </c>
      <c r="AK4818">
        <v>36.002295761757999</v>
      </c>
      <c r="AL4818">
        <v>83.716780671982306</v>
      </c>
      <c r="AM4818">
        <v>93.669249680480604</v>
      </c>
      <c r="AN4818">
        <v>1.00000002635888</v>
      </c>
    </row>
    <row r="4819" spans="1:40" x14ac:dyDescent="0.25">
      <c r="A4819" t="str">
        <f>"20190312164606054"</f>
        <v>20190312164606054</v>
      </c>
      <c r="B4819" t="str">
        <f>"1552380366045988"</f>
        <v>1552380366045988</v>
      </c>
      <c r="C4819" t="s">
        <v>40</v>
      </c>
      <c r="D4819">
        <v>4.800027</v>
      </c>
      <c r="E4819">
        <v>0.42892720000000001</v>
      </c>
      <c r="F4819" t="s">
        <v>42</v>
      </c>
      <c r="G4819">
        <v>-359.68579999999997</v>
      </c>
      <c r="H4819" s="1">
        <v>-9.8629470000000003E-7</v>
      </c>
      <c r="I4819">
        <v>16.25891</v>
      </c>
      <c r="J4819">
        <v>-396.41210000000001</v>
      </c>
      <c r="K4819">
        <v>1.1127089999999999</v>
      </c>
      <c r="L4819">
        <v>18.527950000000001</v>
      </c>
      <c r="M4819">
        <v>0.94834050000000003</v>
      </c>
      <c r="N4819">
        <v>0</v>
      </c>
      <c r="O4819">
        <v>-0.31697439999999999</v>
      </c>
      <c r="P4819">
        <v>0.96198019999999995</v>
      </c>
      <c r="Q4819">
        <v>9.6994750000000005E-2</v>
      </c>
      <c r="R4819">
        <v>-0.2553166</v>
      </c>
      <c r="S4819">
        <v>3.078522</v>
      </c>
      <c r="T4819">
        <v>-9.2988970000000004E-2</v>
      </c>
      <c r="U4819">
        <v>-0.19250490000000001</v>
      </c>
      <c r="V4819">
        <v>-6.3844159999999997E-2</v>
      </c>
      <c r="W4819">
        <v>0.1096299</v>
      </c>
      <c r="X4819">
        <v>0.99191989999999997</v>
      </c>
      <c r="Y4819">
        <v>-0.2569381</v>
      </c>
      <c r="Z4819">
        <v>1.3289469999999999E-2</v>
      </c>
      <c r="AA4819">
        <v>0.96633650000000004</v>
      </c>
      <c r="AB4819">
        <v>26</v>
      </c>
      <c r="AC4819">
        <v>36.726300000000002</v>
      </c>
      <c r="AD4819">
        <v>-1.1127099862947001</v>
      </c>
      <c r="AE4819">
        <v>-2.2690399999999999</v>
      </c>
      <c r="AF4819">
        <v>-9.4816464107885192</v>
      </c>
      <c r="AG4819">
        <v>-1.1127099862947001</v>
      </c>
      <c r="AH4819">
        <v>35.518941157588998</v>
      </c>
      <c r="AI4819">
        <v>91.733662435263</v>
      </c>
      <c r="AJ4819">
        <v>104.946368970615</v>
      </c>
      <c r="AK4819">
        <v>36.77954490106</v>
      </c>
      <c r="AL4819">
        <v>83.706018246994006</v>
      </c>
      <c r="AM4819">
        <v>93.682718770139601</v>
      </c>
      <c r="AN4819">
        <v>0.99999993987806102</v>
      </c>
    </row>
    <row r="4820" spans="1:40" x14ac:dyDescent="0.25">
      <c r="A4820" t="str">
        <f>"20190312164606065"</f>
        <v>20190312164606065</v>
      </c>
      <c r="B4820" t="str">
        <f>"1552380366056723"</f>
        <v>1552380366056723</v>
      </c>
      <c r="C4820" t="s">
        <v>40</v>
      </c>
      <c r="D4820">
        <v>4.7263460000000004</v>
      </c>
      <c r="E4820">
        <v>0.42929460000000003</v>
      </c>
      <c r="F4820" t="s">
        <v>42</v>
      </c>
      <c r="G4820">
        <v>-359.1927</v>
      </c>
      <c r="H4820" s="1">
        <v>-1.1551909999999999E-6</v>
      </c>
      <c r="I4820">
        <v>16.25469</v>
      </c>
      <c r="J4820">
        <v>-396.29270000000002</v>
      </c>
      <c r="K4820">
        <v>1.1127320000000001</v>
      </c>
      <c r="L4820">
        <v>18.49091</v>
      </c>
      <c r="M4820">
        <v>0.94918749999999996</v>
      </c>
      <c r="N4820">
        <v>0</v>
      </c>
      <c r="O4820">
        <v>-0.314428599999999</v>
      </c>
      <c r="P4820">
        <v>0.96270460000000002</v>
      </c>
      <c r="Q4820">
        <v>9.7212309999999996E-2</v>
      </c>
      <c r="R4820">
        <v>-0.25248730000000003</v>
      </c>
      <c r="S4820">
        <v>3.0779719999999999</v>
      </c>
      <c r="T4820">
        <v>-9.2019199999999995E-2</v>
      </c>
      <c r="U4820">
        <v>-0.1879883</v>
      </c>
      <c r="V4820">
        <v>-6.4100450000000003E-2</v>
      </c>
      <c r="W4820">
        <v>0.1098389</v>
      </c>
      <c r="X4820">
        <v>0.99188030000000005</v>
      </c>
      <c r="Y4820">
        <v>-0.25575350000000002</v>
      </c>
      <c r="Z4820">
        <v>1.306416E-2</v>
      </c>
      <c r="AA4820">
        <v>0.96665380000000001</v>
      </c>
      <c r="AB4820">
        <v>26</v>
      </c>
      <c r="AC4820">
        <v>37.1</v>
      </c>
      <c r="AD4820">
        <v>-1.112733155191</v>
      </c>
      <c r="AE4820">
        <v>-2.2362199999999901</v>
      </c>
      <c r="AF4820">
        <v>-9.5350108425133193</v>
      </c>
      <c r="AG4820">
        <v>-1.112733155191</v>
      </c>
      <c r="AH4820">
        <v>35.889012571699702</v>
      </c>
      <c r="AI4820">
        <v>91.716371951331894</v>
      </c>
      <c r="AJ4820">
        <v>104.87865235598299</v>
      </c>
      <c r="AK4820">
        <v>37.150717761748901</v>
      </c>
      <c r="AL4820">
        <v>83.693970993427797</v>
      </c>
      <c r="AM4820">
        <v>93.697608610856705</v>
      </c>
      <c r="AN4820">
        <v>0.99999999058575095</v>
      </c>
    </row>
    <row r="4821" spans="1:40" x14ac:dyDescent="0.25">
      <c r="A4821" t="str">
        <f>"20190312164606078"</f>
        <v>20190312164606078</v>
      </c>
      <c r="B4821" t="str">
        <f>"1552380366066484"</f>
        <v>1552380366066484</v>
      </c>
      <c r="C4821" t="s">
        <v>40</v>
      </c>
      <c r="D4821">
        <v>4.7168989999999997</v>
      </c>
      <c r="E4821">
        <v>0.42973309999999998</v>
      </c>
      <c r="F4821" t="s">
        <v>42</v>
      </c>
      <c r="G4821">
        <v>-358.33510000000001</v>
      </c>
      <c r="H4821" s="1">
        <v>-1.4502840000000001E-6</v>
      </c>
      <c r="I4821">
        <v>16.24259</v>
      </c>
      <c r="J4821">
        <v>-396.16660000000002</v>
      </c>
      <c r="K4821">
        <v>1.1127560000000001</v>
      </c>
      <c r="L4821">
        <v>18.452359999999999</v>
      </c>
      <c r="M4821">
        <v>0.95007969999999997</v>
      </c>
      <c r="N4821">
        <v>0</v>
      </c>
      <c r="O4821">
        <v>-0.31172260000000002</v>
      </c>
      <c r="P4821">
        <v>0.96343559999999995</v>
      </c>
      <c r="Q4821">
        <v>9.7487790000000005E-2</v>
      </c>
      <c r="R4821">
        <v>-0.24957670000000001</v>
      </c>
      <c r="S4821">
        <v>3.077515</v>
      </c>
      <c r="T4821">
        <v>-9.0217950000000005E-2</v>
      </c>
      <c r="U4821">
        <v>-0.18228150000000001</v>
      </c>
      <c r="V4821">
        <v>-6.4271640000000005E-2</v>
      </c>
      <c r="W4821">
        <v>0.1101058</v>
      </c>
      <c r="X4821">
        <v>0.99183960000000004</v>
      </c>
      <c r="Y4821">
        <v>-0.25478699999999999</v>
      </c>
      <c r="Z4821">
        <v>1.2721959999999999E-2</v>
      </c>
      <c r="AA4821">
        <v>0.96691349999999998</v>
      </c>
      <c r="AB4821">
        <v>26</v>
      </c>
      <c r="AC4821">
        <v>37.831499999999998</v>
      </c>
      <c r="AD4821">
        <v>-1.1127574502840001</v>
      </c>
      <c r="AE4821">
        <v>-2.2097699999999998</v>
      </c>
      <c r="AF4821">
        <v>-9.6859853577013109</v>
      </c>
      <c r="AG4821">
        <v>-1.1127574502840001</v>
      </c>
      <c r="AH4821">
        <v>36.603468472830997</v>
      </c>
      <c r="AI4821">
        <v>91.683368826651304</v>
      </c>
      <c r="AJ4821">
        <v>104.821845592519</v>
      </c>
      <c r="AK4821">
        <v>37.879683812491002</v>
      </c>
      <c r="AL4821">
        <v>83.678585246294602</v>
      </c>
      <c r="AM4821">
        <v>93.707607842448198</v>
      </c>
      <c r="AN4821">
        <v>0.999999961515044</v>
      </c>
    </row>
    <row r="4822" spans="1:40" x14ac:dyDescent="0.25">
      <c r="A4822" t="str">
        <f>"20190312164606089"</f>
        <v>20190312164606089</v>
      </c>
      <c r="B4822" t="str">
        <f>"1552380366086003"</f>
        <v>1552380366086003</v>
      </c>
      <c r="C4822" t="s">
        <v>40</v>
      </c>
      <c r="D4822">
        <v>4.7992499999999998</v>
      </c>
      <c r="E4822">
        <v>0.43044510000000002</v>
      </c>
      <c r="F4822" t="s">
        <v>42</v>
      </c>
      <c r="G4822">
        <v>-357.55410000000001</v>
      </c>
      <c r="H4822" s="1">
        <v>-1.7185980000000001E-6</v>
      </c>
      <c r="I4822">
        <v>16.233029999999999</v>
      </c>
      <c r="J4822">
        <v>-396.03440000000001</v>
      </c>
      <c r="K4822">
        <v>1.1127769999999999</v>
      </c>
      <c r="L4822">
        <v>18.412140000000001</v>
      </c>
      <c r="M4822">
        <v>0.95100839999999998</v>
      </c>
      <c r="N4822">
        <v>0</v>
      </c>
      <c r="O4822">
        <v>-0.30887829999999999</v>
      </c>
      <c r="P4822">
        <v>0.96420220000000001</v>
      </c>
      <c r="Q4822">
        <v>9.7575410000000001E-2</v>
      </c>
      <c r="R4822">
        <v>-0.24656339999999999</v>
      </c>
      <c r="S4822">
        <v>3.0769959999999998</v>
      </c>
      <c r="T4822">
        <v>-8.8674779999999995E-2</v>
      </c>
      <c r="U4822">
        <v>-0.17684939999999999</v>
      </c>
      <c r="V4822">
        <v>-6.4408240000000005E-2</v>
      </c>
      <c r="W4822">
        <v>0.1101854</v>
      </c>
      <c r="X4822">
        <v>0.99182190000000003</v>
      </c>
      <c r="Y4822">
        <v>-0.2535945</v>
      </c>
      <c r="Z4822">
        <v>1.2412309999999999E-2</v>
      </c>
      <c r="AA4822">
        <v>0.96723099999999995</v>
      </c>
      <c r="AB4822">
        <v>26</v>
      </c>
      <c r="AC4822">
        <v>38.4803</v>
      </c>
      <c r="AD4822">
        <v>-1.112778718598</v>
      </c>
      <c r="AE4822">
        <v>-2.1791100000000001</v>
      </c>
      <c r="AF4822">
        <v>-9.8060732048075501</v>
      </c>
      <c r="AG4822">
        <v>-1.112778718598</v>
      </c>
      <c r="AH4822">
        <v>37.240427991918203</v>
      </c>
      <c r="AI4822">
        <v>91.655155437449807</v>
      </c>
      <c r="AJ4822">
        <v>104.752139116208</v>
      </c>
      <c r="AK4822">
        <v>38.5259240667353</v>
      </c>
      <c r="AL4822">
        <v>83.673996588655001</v>
      </c>
      <c r="AM4822">
        <v>93.715531893502003</v>
      </c>
      <c r="AN4822">
        <v>0.99999996253633305</v>
      </c>
    </row>
    <row r="4823" spans="1:40" x14ac:dyDescent="0.25">
      <c r="A4823" t="str">
        <f>"20190312164606100"</f>
        <v>20190312164606100</v>
      </c>
      <c r="B4823" t="str">
        <f>"1552380366096739"</f>
        <v>1552380366096739</v>
      </c>
      <c r="C4823" t="s">
        <v>40</v>
      </c>
      <c r="D4823">
        <v>4.7066889999999999</v>
      </c>
      <c r="E4823">
        <v>0.43082759999999998</v>
      </c>
      <c r="F4823" t="s">
        <v>42</v>
      </c>
      <c r="G4823">
        <v>-356.31270000000001</v>
      </c>
      <c r="H4823" s="1">
        <v>-2.1747710000000002E-6</v>
      </c>
      <c r="I4823">
        <v>16.173870000000001</v>
      </c>
      <c r="J4823">
        <v>-395.9067</v>
      </c>
      <c r="K4823">
        <v>1.1127880000000001</v>
      </c>
      <c r="L4823">
        <v>18.374020000000002</v>
      </c>
      <c r="M4823">
        <v>0.95190169999999996</v>
      </c>
      <c r="N4823">
        <v>0</v>
      </c>
      <c r="O4823">
        <v>-0.30611430000000001</v>
      </c>
      <c r="P4823">
        <v>0.96490319999999996</v>
      </c>
      <c r="Q4823">
        <v>9.8079639999999996E-2</v>
      </c>
      <c r="R4823">
        <v>-0.2436036</v>
      </c>
      <c r="S4823">
        <v>3.0757750000000001</v>
      </c>
      <c r="T4823">
        <v>-8.6165900000000004E-2</v>
      </c>
      <c r="U4823">
        <v>-0.173309299999999</v>
      </c>
      <c r="V4823">
        <v>-6.456307E-2</v>
      </c>
      <c r="W4823">
        <v>0.110682</v>
      </c>
      <c r="X4823">
        <v>0.99175659999999999</v>
      </c>
      <c r="Y4823">
        <v>-0.251886</v>
      </c>
      <c r="Z4823">
        <v>1.196886E-2</v>
      </c>
      <c r="AA4823">
        <v>0.96768290000000001</v>
      </c>
      <c r="AB4823">
        <v>26</v>
      </c>
      <c r="AC4823">
        <v>39.594000000000001</v>
      </c>
      <c r="AD4823">
        <v>-1.1127901747709901</v>
      </c>
      <c r="AE4823">
        <v>-2.2001499999999998</v>
      </c>
      <c r="AF4823">
        <v>-10.018961893152699</v>
      </c>
      <c r="AG4823">
        <v>-1.1127901747709901</v>
      </c>
      <c r="AH4823">
        <v>38.336304163726602</v>
      </c>
      <c r="AI4823">
        <v>91.608661933791595</v>
      </c>
      <c r="AJ4823">
        <v>104.646320473602</v>
      </c>
      <c r="AK4823">
        <v>39.6395019686585</v>
      </c>
      <c r="AL4823">
        <v>83.645368793303803</v>
      </c>
      <c r="AM4823">
        <v>93.724683032559398</v>
      </c>
      <c r="AN4823">
        <v>1.0000000243876901</v>
      </c>
    </row>
    <row r="4824" spans="1:40" x14ac:dyDescent="0.25">
      <c r="A4824" t="str">
        <f>"20190312164606112"</f>
        <v>20190312164606112</v>
      </c>
      <c r="B4824" t="str">
        <f>"1552380366106499"</f>
        <v>1552380366106499</v>
      </c>
      <c r="C4824" t="s">
        <v>40</v>
      </c>
      <c r="D4824">
        <v>4.760713</v>
      </c>
      <c r="E4824">
        <v>0.43124400000000002</v>
      </c>
      <c r="F4824" t="s">
        <v>42</v>
      </c>
      <c r="G4824">
        <v>-355.89710000000002</v>
      </c>
      <c r="H4824" s="1">
        <v>-2.3489979999999998E-6</v>
      </c>
      <c r="I4824">
        <v>16.196839999999899</v>
      </c>
      <c r="J4824">
        <v>-395.77929999999998</v>
      </c>
      <c r="K4824">
        <v>1.1128070000000001</v>
      </c>
      <c r="L4824">
        <v>18.33615</v>
      </c>
      <c r="M4824">
        <v>0.95278589999999996</v>
      </c>
      <c r="N4824">
        <v>0</v>
      </c>
      <c r="O4824">
        <v>-0.30335079999999998</v>
      </c>
      <c r="P4824">
        <v>0.96553860000000002</v>
      </c>
      <c r="Q4824">
        <v>9.841424E-2</v>
      </c>
      <c r="R4824">
        <v>-0.24093600000000001</v>
      </c>
      <c r="S4824">
        <v>3.0756230000000002</v>
      </c>
      <c r="T4824">
        <v>-8.5542439999999997E-2</v>
      </c>
      <c r="U4824">
        <v>-0.16735839999999999</v>
      </c>
      <c r="V4824">
        <v>-6.4421649999999997E-2</v>
      </c>
      <c r="W4824">
        <v>0.1110138</v>
      </c>
      <c r="X4824">
        <v>0.99172870000000002</v>
      </c>
      <c r="Y4824">
        <v>-0.25094620000000001</v>
      </c>
      <c r="Z4824">
        <v>1.1797500000000001E-2</v>
      </c>
      <c r="AA4824">
        <v>0.96792909999999999</v>
      </c>
      <c r="AB4824">
        <v>26</v>
      </c>
      <c r="AC4824">
        <v>39.882199999999898</v>
      </c>
      <c r="AD4824">
        <v>-1.11280934899799</v>
      </c>
      <c r="AE4824">
        <v>-2.13931</v>
      </c>
      <c r="AF4824">
        <v>-10.053080601345901</v>
      </c>
      <c r="AG4824">
        <v>-1.11280934899799</v>
      </c>
      <c r="AH4824">
        <v>38.621603880242297</v>
      </c>
      <c r="AI4824">
        <v>91.597220523378894</v>
      </c>
      <c r="AJ4824">
        <v>104.59014463266899</v>
      </c>
      <c r="AK4824">
        <v>39.924066182025101</v>
      </c>
      <c r="AL4824">
        <v>83.626240102564694</v>
      </c>
      <c r="AM4824">
        <v>93.716651580769295</v>
      </c>
      <c r="AN4824">
        <v>1.00000001359142</v>
      </c>
    </row>
    <row r="4825" spans="1:40" x14ac:dyDescent="0.25">
      <c r="A4825" t="str">
        <f>"20190312164606125"</f>
        <v>20190312164606125</v>
      </c>
      <c r="B4825" t="str">
        <f>"1552380366116259"</f>
        <v>1552380366116259</v>
      </c>
      <c r="C4825" t="s">
        <v>40</v>
      </c>
      <c r="D4825">
        <v>4.7037570000000004</v>
      </c>
      <c r="E4825">
        <v>0.43158649999999998</v>
      </c>
      <c r="F4825" t="s">
        <v>42</v>
      </c>
      <c r="G4825">
        <v>-355.32560000000001</v>
      </c>
      <c r="H4825" s="1">
        <v>-2.5939089999999999E-6</v>
      </c>
      <c r="I4825">
        <v>16.198309999999999</v>
      </c>
      <c r="J4825">
        <v>-395.62779999999998</v>
      </c>
      <c r="K4825">
        <v>1.1128169999999999</v>
      </c>
      <c r="L4825">
        <v>18.29175</v>
      </c>
      <c r="M4825">
        <v>0.95382840000000002</v>
      </c>
      <c r="N4825">
        <v>0</v>
      </c>
      <c r="O4825">
        <v>-0.30005660000000001</v>
      </c>
      <c r="P4825">
        <v>0.96635519999999997</v>
      </c>
      <c r="Q4825">
        <v>9.8641279999999998E-2</v>
      </c>
      <c r="R4825">
        <v>-0.23754449999999999</v>
      </c>
      <c r="S4825">
        <v>3.0751650000000001</v>
      </c>
      <c r="T4825">
        <v>-8.4592340000000002E-2</v>
      </c>
      <c r="U4825">
        <v>-0.16250609999999999</v>
      </c>
      <c r="V4825">
        <v>-6.4473950000000002E-2</v>
      </c>
      <c r="W4825">
        <v>0.1112351</v>
      </c>
      <c r="X4825">
        <v>0.99170049999999998</v>
      </c>
      <c r="Y4825">
        <v>-0.24912239999999999</v>
      </c>
      <c r="Z4825">
        <v>1.1557329999999999E-2</v>
      </c>
      <c r="AA4825">
        <v>0.96840300000000001</v>
      </c>
      <c r="AB4825">
        <v>26</v>
      </c>
      <c r="AC4825">
        <v>40.3021999999999</v>
      </c>
      <c r="AD4825">
        <v>-1.112819593909</v>
      </c>
      <c r="AE4825">
        <v>-2.0934400000000002</v>
      </c>
      <c r="AF4825">
        <v>-10.089382720891701</v>
      </c>
      <c r="AG4825">
        <v>-1.112819593909</v>
      </c>
      <c r="AH4825">
        <v>39.043312606110298</v>
      </c>
      <c r="AI4825">
        <v>91.580714475898901</v>
      </c>
      <c r="AJ4825">
        <v>104.48912690327199</v>
      </c>
      <c r="AK4825">
        <v>40.341222966038998</v>
      </c>
      <c r="AL4825">
        <v>83.613481501492998</v>
      </c>
      <c r="AM4825">
        <v>93.719765910935095</v>
      </c>
      <c r="AN4825">
        <v>1.00000000970043</v>
      </c>
    </row>
    <row r="4826" spans="1:40" x14ac:dyDescent="0.25">
      <c r="A4826" t="str">
        <f>"20190312164606143"</f>
        <v>20190312164606143</v>
      </c>
      <c r="B4826" t="str">
        <f>"1552380366136759"</f>
        <v>1552380366136759</v>
      </c>
      <c r="C4826" t="s">
        <v>40</v>
      </c>
      <c r="D4826">
        <v>4.7754960000000004</v>
      </c>
      <c r="E4826">
        <v>0.43217939999999999</v>
      </c>
      <c r="F4826" t="s">
        <v>42</v>
      </c>
      <c r="G4826">
        <v>-355.81869999999998</v>
      </c>
      <c r="H4826" s="1">
        <v>-2.3661149999999999E-6</v>
      </c>
      <c r="I4826">
        <v>16.289950000000001</v>
      </c>
      <c r="J4826">
        <v>-395.43099999999998</v>
      </c>
      <c r="K4826">
        <v>1.112825</v>
      </c>
      <c r="L4826">
        <v>18.234950000000001</v>
      </c>
      <c r="M4826">
        <v>0.95516650000000003</v>
      </c>
      <c r="N4826">
        <v>0</v>
      </c>
      <c r="O4826">
        <v>-0.29576999999999998</v>
      </c>
      <c r="P4826">
        <v>0.96728610000000004</v>
      </c>
      <c r="Q4826">
        <v>9.9853300000000006E-2</v>
      </c>
      <c r="R4826">
        <v>-0.23321030000000001</v>
      </c>
      <c r="S4826">
        <v>3.075256</v>
      </c>
      <c r="T4826">
        <v>-8.5965390000000003E-2</v>
      </c>
      <c r="U4826">
        <v>-0.15463260000000001</v>
      </c>
      <c r="V4826">
        <v>-6.4442490000000005E-2</v>
      </c>
      <c r="W4826">
        <v>0.1124363</v>
      </c>
      <c r="X4826">
        <v>0.99156710000000003</v>
      </c>
      <c r="Y4826">
        <v>-0.24724270000000001</v>
      </c>
      <c r="Z4826">
        <v>1.160483E-2</v>
      </c>
      <c r="AA4826">
        <v>0.96888410000000003</v>
      </c>
      <c r="AB4826">
        <v>26</v>
      </c>
      <c r="AC4826">
        <v>39.612299999999998</v>
      </c>
      <c r="AD4826">
        <v>-1.1128273661150001</v>
      </c>
      <c r="AE4826">
        <v>-1.9450000000000001</v>
      </c>
      <c r="AF4826">
        <v>-9.8514478105388807</v>
      </c>
      <c r="AG4826">
        <v>-1.1128273661150001</v>
      </c>
      <c r="AH4826">
        <v>38.384794707926901</v>
      </c>
      <c r="AI4826">
        <v>91.6085151528533</v>
      </c>
      <c r="AJ4826">
        <v>104.394269091038</v>
      </c>
      <c r="AK4826">
        <v>39.644443160173601</v>
      </c>
      <c r="AL4826">
        <v>83.544223494576997</v>
      </c>
      <c r="AM4826">
        <v>93.718454737168301</v>
      </c>
      <c r="AN4826">
        <v>1.0000000349387399</v>
      </c>
    </row>
    <row r="4827" spans="1:40" x14ac:dyDescent="0.25">
      <c r="A4827" t="str">
        <f>"20190312164606155"</f>
        <v>20190312164606155</v>
      </c>
      <c r="B4827" t="str">
        <f>"1552380366146515"</f>
        <v>1552380366146515</v>
      </c>
      <c r="C4827" t="s">
        <v>40</v>
      </c>
      <c r="D4827">
        <v>4.724977</v>
      </c>
      <c r="E4827">
        <v>0.43217939999999999</v>
      </c>
      <c r="F4827" t="s">
        <v>42</v>
      </c>
      <c r="G4827">
        <v>-355.61320000000001</v>
      </c>
      <c r="H4827" s="1">
        <v>-2.4447340000000002E-6</v>
      </c>
      <c r="I4827">
        <v>16.343720000000001</v>
      </c>
      <c r="J4827">
        <v>-395.30360000000002</v>
      </c>
      <c r="K4827">
        <v>1.112827</v>
      </c>
      <c r="L4827">
        <v>18.198730000000001</v>
      </c>
      <c r="M4827">
        <v>0.95602200000000004</v>
      </c>
      <c r="N4827">
        <v>0</v>
      </c>
      <c r="O4827">
        <v>-0.29299309999999901</v>
      </c>
      <c r="P4827">
        <v>0.9678814</v>
      </c>
      <c r="Q4827">
        <v>0.1000467</v>
      </c>
      <c r="R4827">
        <v>-0.2306436</v>
      </c>
      <c r="S4827">
        <v>3.0751949999999999</v>
      </c>
      <c r="T4827">
        <v>-8.5945610000000006E-2</v>
      </c>
      <c r="U4827">
        <v>-0.1460571</v>
      </c>
      <c r="V4827">
        <v>-6.4186720000000003E-2</v>
      </c>
      <c r="W4827">
        <v>0.1126249</v>
      </c>
      <c r="X4827">
        <v>0.99156219999999995</v>
      </c>
      <c r="Y4827">
        <v>-0.2471226</v>
      </c>
      <c r="Z4827">
        <v>1.152777E-2</v>
      </c>
      <c r="AA4827">
        <v>0.96891559999999999</v>
      </c>
      <c r="AB4827">
        <v>26</v>
      </c>
      <c r="AC4827">
        <v>39.690399999999997</v>
      </c>
      <c r="AD4827">
        <v>-1.1128294447339999</v>
      </c>
      <c r="AE4827">
        <v>-1.8550099999999901</v>
      </c>
      <c r="AF4827">
        <v>-9.84872983413117</v>
      </c>
      <c r="AG4827">
        <v>-1.1128294447339999</v>
      </c>
      <c r="AH4827">
        <v>38.461637605650701</v>
      </c>
      <c r="AI4827">
        <v>91.6055313567539</v>
      </c>
      <c r="AJ4827">
        <v>104.362902396748</v>
      </c>
      <c r="AK4827">
        <v>39.718175134655603</v>
      </c>
      <c r="AL4827">
        <v>83.533347882440495</v>
      </c>
      <c r="AM4827">
        <v>93.703755732093597</v>
      </c>
      <c r="AN4827">
        <v>0.99999994979660201</v>
      </c>
    </row>
    <row r="4828" spans="1:40" x14ac:dyDescent="0.25">
      <c r="A4828" t="str">
        <f>"20190312164606165"</f>
        <v>20190312164606165</v>
      </c>
      <c r="B4828" t="str">
        <f>"1552380366156276"</f>
        <v>1552380366156276</v>
      </c>
      <c r="C4828" t="s">
        <v>40</v>
      </c>
      <c r="D4828">
        <v>4.7203809999999997</v>
      </c>
      <c r="E4828">
        <v>0.44198539999999997</v>
      </c>
      <c r="F4828" t="s">
        <v>42</v>
      </c>
      <c r="G4828">
        <v>-355.36579999999998</v>
      </c>
      <c r="H4828" s="1">
        <v>-2.539962E-6</v>
      </c>
      <c r="I4828">
        <v>16.40502</v>
      </c>
      <c r="J4828">
        <v>-395.18340000000001</v>
      </c>
      <c r="K4828">
        <v>1.112827</v>
      </c>
      <c r="L4828">
        <v>18.164829999999998</v>
      </c>
      <c r="M4828">
        <v>0.9568217</v>
      </c>
      <c r="N4828">
        <v>0</v>
      </c>
      <c r="O4828">
        <v>-0.29037180000000001</v>
      </c>
      <c r="P4828">
        <v>0.96847709999999998</v>
      </c>
      <c r="Q4828">
        <v>0.10029200000000001</v>
      </c>
      <c r="R4828">
        <v>-0.22802140000000001</v>
      </c>
      <c r="S4828">
        <v>3.0754999999999999</v>
      </c>
      <c r="T4828">
        <v>-8.5696220000000004E-2</v>
      </c>
      <c r="U4828">
        <v>-0.13812260000000001</v>
      </c>
      <c r="V4828">
        <v>-6.4149510000000007E-2</v>
      </c>
      <c r="W4828">
        <v>0.11286359999999999</v>
      </c>
      <c r="X4828">
        <v>0.99153749999999996</v>
      </c>
      <c r="Y4828">
        <v>-0.2469681</v>
      </c>
      <c r="Z4828">
        <v>1.142224E-2</v>
      </c>
      <c r="AA4828">
        <v>0.96895629999999999</v>
      </c>
      <c r="AB4828">
        <v>26</v>
      </c>
      <c r="AC4828">
        <v>39.817599999999999</v>
      </c>
      <c r="AD4828">
        <v>-1.1128295399619901</v>
      </c>
      <c r="AE4828">
        <v>-1.7598099999999901</v>
      </c>
      <c r="AF4828">
        <v>-9.8712599897723106</v>
      </c>
      <c r="AG4828">
        <v>-1.1128295399619901</v>
      </c>
      <c r="AH4828">
        <v>38.582671515811597</v>
      </c>
      <c r="AI4828">
        <v>91.600581848899097</v>
      </c>
      <c r="AJ4828">
        <v>104.351108085227</v>
      </c>
      <c r="AK4828">
        <v>39.840967667310899</v>
      </c>
      <c r="AL4828">
        <v>83.519583834017396</v>
      </c>
      <c r="AM4828">
        <v>93.701706534678493</v>
      </c>
      <c r="AN4828">
        <v>0.99999998287222402</v>
      </c>
    </row>
    <row r="4829" spans="1:40" x14ac:dyDescent="0.25">
      <c r="A4829" t="str">
        <f>"20190312164606176"</f>
        <v>20190312164606176</v>
      </c>
      <c r="B4829" t="str">
        <f>"1552380366166036"</f>
        <v>1552380366166036</v>
      </c>
      <c r="C4829" t="s">
        <v>40</v>
      </c>
      <c r="D4829">
        <v>4.8511959999999998</v>
      </c>
      <c r="E4829">
        <v>0.44576709999999897</v>
      </c>
      <c r="F4829" t="s">
        <v>81</v>
      </c>
      <c r="G4829">
        <v>-380.58089999999999</v>
      </c>
      <c r="H4829" s="1">
        <v>-4.8760130000000001E-6</v>
      </c>
      <c r="I4829">
        <v>17.23114</v>
      </c>
      <c r="J4829">
        <v>-395.0566</v>
      </c>
      <c r="K4829">
        <v>1.11283</v>
      </c>
      <c r="L4829">
        <v>18.129580000000001</v>
      </c>
      <c r="M4829">
        <v>0.95765549999999999</v>
      </c>
      <c r="N4829">
        <v>0</v>
      </c>
      <c r="O4829">
        <v>-0.28761009999999998</v>
      </c>
      <c r="P4829">
        <v>0.96913899999999997</v>
      </c>
      <c r="Q4829">
        <v>0.10051359999999999</v>
      </c>
      <c r="R4829">
        <v>-0.2250933</v>
      </c>
      <c r="S4829">
        <v>3.0756230000000002</v>
      </c>
      <c r="T4829">
        <v>-0.23438800000000001</v>
      </c>
      <c r="U4829">
        <v>-0.19665530000000001</v>
      </c>
      <c r="V4829">
        <v>-6.4280320000000002E-2</v>
      </c>
      <c r="W4829">
        <v>0.11307689999999999</v>
      </c>
      <c r="X4829">
        <v>0.99150470000000002</v>
      </c>
      <c r="Y4829">
        <v>-0.22448190000000001</v>
      </c>
      <c r="Z4829">
        <v>3.0112659999999999E-2</v>
      </c>
      <c r="AA4829">
        <v>0.97401289999999996</v>
      </c>
      <c r="AB4829">
        <v>26</v>
      </c>
      <c r="AC4829">
        <v>14.4757</v>
      </c>
      <c r="AD4829">
        <v>-1.112834876013</v>
      </c>
      <c r="AE4829">
        <v>-0.89843999999999702</v>
      </c>
      <c r="AF4829">
        <v>-3.28391957385189</v>
      </c>
      <c r="AG4829">
        <v>-1.112834876013</v>
      </c>
      <c r="AH4829">
        <v>14.039724218771401</v>
      </c>
      <c r="AI4829">
        <v>94.413347330410403</v>
      </c>
      <c r="AJ4829">
        <v>103.164918287603</v>
      </c>
      <c r="AK4829">
        <v>14.461548512104599</v>
      </c>
      <c r="AL4829">
        <v>83.507283738898394</v>
      </c>
      <c r="AM4829">
        <v>93.709356153739094</v>
      </c>
      <c r="AN4829">
        <v>0.99999995748750004</v>
      </c>
    </row>
    <row r="4830" spans="1:40" x14ac:dyDescent="0.25">
      <c r="A4830" t="str">
        <f>"20190312164606187"</f>
        <v>20190312164606187</v>
      </c>
      <c r="B4830" t="str">
        <f>"1552380366176772"</f>
        <v>1552380366176772</v>
      </c>
      <c r="C4830" t="s">
        <v>40</v>
      </c>
      <c r="D4830">
        <v>4.9025780000000001</v>
      </c>
      <c r="E4830">
        <v>0.45052789999999998</v>
      </c>
      <c r="F4830" t="s">
        <v>79</v>
      </c>
      <c r="G4830">
        <v>-376.63200000000001</v>
      </c>
      <c r="H4830" s="1">
        <v>-2.0712179999999998E-6</v>
      </c>
      <c r="I4830">
        <v>16.805019999999999</v>
      </c>
      <c r="J4830">
        <v>-394.93869999999998</v>
      </c>
      <c r="K4830">
        <v>1.1128279999999999</v>
      </c>
      <c r="L4830">
        <v>18.096979999999999</v>
      </c>
      <c r="M4830">
        <v>0.95842369999999999</v>
      </c>
      <c r="N4830">
        <v>0</v>
      </c>
      <c r="O4830">
        <v>-0.28504059999999998</v>
      </c>
      <c r="P4830">
        <v>0.96967099999999995</v>
      </c>
      <c r="Q4830">
        <v>0.1007962</v>
      </c>
      <c r="R4830">
        <v>-0.2226629</v>
      </c>
      <c r="S4830">
        <v>3.063599</v>
      </c>
      <c r="T4830">
        <v>-0.18503900000000001</v>
      </c>
      <c r="U4830">
        <v>-0.22024540000000001</v>
      </c>
      <c r="V4830">
        <v>-6.4100050000000006E-2</v>
      </c>
      <c r="W4830">
        <v>0.113355</v>
      </c>
      <c r="X4830">
        <v>0.99148460000000005</v>
      </c>
      <c r="Y4830">
        <v>-0.2147106</v>
      </c>
      <c r="Z4830">
        <v>2.3424110000000001E-2</v>
      </c>
      <c r="AA4830">
        <v>0.97639679999999995</v>
      </c>
      <c r="AB4830">
        <v>26</v>
      </c>
      <c r="AC4830">
        <v>18.306699999999999</v>
      </c>
      <c r="AD4830">
        <v>-1.1128300712179999</v>
      </c>
      <c r="AE4830">
        <v>-1.29195999999999</v>
      </c>
      <c r="AF4830">
        <v>-3.9656763516970801</v>
      </c>
      <c r="AG4830">
        <v>-1.1128300712179999</v>
      </c>
      <c r="AH4830">
        <v>17.8497800732796</v>
      </c>
      <c r="AI4830">
        <v>93.482740899506098</v>
      </c>
      <c r="AJ4830">
        <v>102.525927961425</v>
      </c>
      <c r="AK4830">
        <v>18.3188326145054</v>
      </c>
      <c r="AL4830">
        <v>83.491246570312398</v>
      </c>
      <c r="AM4830">
        <v>93.699057205498505</v>
      </c>
      <c r="AN4830">
        <v>0.99999994223607902</v>
      </c>
    </row>
    <row r="4831" spans="1:40" x14ac:dyDescent="0.25">
      <c r="A4831" t="str">
        <f>"20190312164606198"</f>
        <v>20190312164606198</v>
      </c>
      <c r="B4831" t="str">
        <f>"1552380366186532"</f>
        <v>1552380366186532</v>
      </c>
      <c r="C4831" t="s">
        <v>40</v>
      </c>
      <c r="D4831">
        <v>4.8830679999999997</v>
      </c>
      <c r="E4831">
        <v>0.45528940000000001</v>
      </c>
      <c r="F4831" t="s">
        <v>79</v>
      </c>
      <c r="G4831">
        <v>-375.15190000000001</v>
      </c>
      <c r="H4831" s="1">
        <v>-2.8299429999999999E-6</v>
      </c>
      <c r="I4831">
        <v>16.47214</v>
      </c>
      <c r="J4831">
        <v>-394.82069999999999</v>
      </c>
      <c r="K4831">
        <v>1.112824</v>
      </c>
      <c r="L4831">
        <v>18.06494</v>
      </c>
      <c r="M4831">
        <v>0.95918349999999997</v>
      </c>
      <c r="N4831">
        <v>0</v>
      </c>
      <c r="O4831">
        <v>-0.28247319999999998</v>
      </c>
      <c r="P4831">
        <v>0.9702674</v>
      </c>
      <c r="Q4831">
        <v>0.1009954</v>
      </c>
      <c r="R4831">
        <v>-0.21995729999999999</v>
      </c>
      <c r="S4831">
        <v>3.0540769999999999</v>
      </c>
      <c r="T4831">
        <v>-0.17176429999999901</v>
      </c>
      <c r="U4831">
        <v>-0.2507935</v>
      </c>
      <c r="V4831">
        <v>-6.4205490000000004E-2</v>
      </c>
      <c r="W4831">
        <v>0.1135449</v>
      </c>
      <c r="X4831">
        <v>0.99145609999999995</v>
      </c>
      <c r="Y4831">
        <v>-0.20229449999999999</v>
      </c>
      <c r="Z4831">
        <v>2.131299E-2</v>
      </c>
      <c r="AA4831">
        <v>0.97909279999999999</v>
      </c>
      <c r="AB4831">
        <v>26</v>
      </c>
      <c r="AC4831">
        <v>19.668799999999901</v>
      </c>
      <c r="AD4831">
        <v>-1.112826829943</v>
      </c>
      <c r="AE4831">
        <v>-1.5928</v>
      </c>
      <c r="AF4831">
        <v>-4.0157047987962402</v>
      </c>
      <c r="AG4831">
        <v>-1.112826829943</v>
      </c>
      <c r="AH4831">
        <v>19.256370850512099</v>
      </c>
      <c r="AI4831">
        <v>93.2379434593079</v>
      </c>
      <c r="AJ4831">
        <v>101.779583487048</v>
      </c>
      <c r="AK4831">
        <v>19.702083314131301</v>
      </c>
      <c r="AL4831">
        <v>83.480295734485907</v>
      </c>
      <c r="AM4831">
        <v>93.705231164378802</v>
      </c>
      <c r="AN4831">
        <v>0.99999999374467996</v>
      </c>
    </row>
    <row r="4832" spans="1:40" x14ac:dyDescent="0.25">
      <c r="A4832" t="str">
        <f>"20190312164606209"</f>
        <v>20190312164606209</v>
      </c>
      <c r="B4832" t="str">
        <f>"1552380366206052"</f>
        <v>1552380366206052</v>
      </c>
      <c r="C4832" t="s">
        <v>40</v>
      </c>
      <c r="D4832">
        <v>4.8277269999999897</v>
      </c>
      <c r="E4832">
        <v>0.46279300000000001</v>
      </c>
      <c r="F4832" t="s">
        <v>79</v>
      </c>
      <c r="G4832">
        <v>-374.2765</v>
      </c>
      <c r="H4832" s="1">
        <v>-3.296266E-6</v>
      </c>
      <c r="I4832">
        <v>16.175999999999998</v>
      </c>
      <c r="J4832">
        <v>-394.69819999999999</v>
      </c>
      <c r="K4832">
        <v>1.1128180000000001</v>
      </c>
      <c r="L4832">
        <v>18.031770000000002</v>
      </c>
      <c r="M4832">
        <v>0.95996499999999996</v>
      </c>
      <c r="N4832">
        <v>0</v>
      </c>
      <c r="O4832">
        <v>-0.27980559999999899</v>
      </c>
      <c r="P4832">
        <v>0.97076240000000003</v>
      </c>
      <c r="Q4832">
        <v>0.1014063</v>
      </c>
      <c r="R4832">
        <v>-0.21756990000000001</v>
      </c>
      <c r="S4832">
        <v>3.0456240000000001</v>
      </c>
      <c r="T4832">
        <v>-0.16497329999999999</v>
      </c>
      <c r="U4832">
        <v>-0.28002929999999998</v>
      </c>
      <c r="V4832">
        <v>-6.3878660000000004E-2</v>
      </c>
      <c r="W4832">
        <v>0.1139505</v>
      </c>
      <c r="X4832">
        <v>0.9914307</v>
      </c>
      <c r="Y4832">
        <v>-0.19008349999999999</v>
      </c>
      <c r="Z4832">
        <v>2.0046040000000001E-2</v>
      </c>
      <c r="AA4832">
        <v>0.98156330000000003</v>
      </c>
      <c r="AB4832">
        <v>26</v>
      </c>
      <c r="AC4832">
        <v>20.421699999999898</v>
      </c>
      <c r="AD4832">
        <v>-1.112821296266</v>
      </c>
      <c r="AE4832">
        <v>-1.8557699999999999</v>
      </c>
      <c r="AF4832">
        <v>-3.9214290605601998</v>
      </c>
      <c r="AG4832">
        <v>-1.112821296266</v>
      </c>
      <c r="AH4832">
        <v>20.0660475253929</v>
      </c>
      <c r="AI4832">
        <v>93.115438715045897</v>
      </c>
      <c r="AJ4832">
        <v>101.057725563777</v>
      </c>
      <c r="AK4832">
        <v>20.4758941295797</v>
      </c>
      <c r="AL4832">
        <v>83.456904898836498</v>
      </c>
      <c r="AM4832">
        <v>93.686516475055996</v>
      </c>
      <c r="AN4832">
        <v>1.00000001627806</v>
      </c>
    </row>
    <row r="4833" spans="1:40" x14ac:dyDescent="0.25">
      <c r="A4833" t="str">
        <f>"20190312164606222"</f>
        <v>20190312164606222</v>
      </c>
      <c r="B4833" t="str">
        <f>"1552380366216788"</f>
        <v>1552380366216788</v>
      </c>
      <c r="C4833" t="s">
        <v>40</v>
      </c>
      <c r="D4833">
        <v>4.7358770000000003</v>
      </c>
      <c r="E4833">
        <v>0.46502650000000001</v>
      </c>
      <c r="F4833" t="s">
        <v>79</v>
      </c>
      <c r="G4833">
        <v>-373.33049999999997</v>
      </c>
      <c r="H4833" s="1">
        <v>-3.8288590000000002E-6</v>
      </c>
      <c r="I4833">
        <v>15.69454</v>
      </c>
      <c r="J4833">
        <v>-394.54360000000003</v>
      </c>
      <c r="K4833">
        <v>1.1128129999999901</v>
      </c>
      <c r="L4833">
        <v>17.990659999999998</v>
      </c>
      <c r="M4833">
        <v>0.96093879999999998</v>
      </c>
      <c r="N4833">
        <v>0</v>
      </c>
      <c r="O4833">
        <v>-0.27644419999999997</v>
      </c>
      <c r="P4833">
        <v>0.97142039999999996</v>
      </c>
      <c r="Q4833">
        <v>0.1019615</v>
      </c>
      <c r="R4833">
        <v>-0.2143514</v>
      </c>
      <c r="S4833">
        <v>3.0324710000000001</v>
      </c>
      <c r="T4833">
        <v>-0.15792989999999901</v>
      </c>
      <c r="U4833">
        <v>-0.33169559999999998</v>
      </c>
      <c r="V4833">
        <v>-6.3682269999999999E-2</v>
      </c>
      <c r="W4833">
        <v>0.114491</v>
      </c>
      <c r="X4833">
        <v>0.99138099999999996</v>
      </c>
      <c r="Y4833">
        <v>-0.16974879999999901</v>
      </c>
      <c r="Z4833">
        <v>1.8553799999999999E-2</v>
      </c>
      <c r="AA4833">
        <v>0.98531270000000004</v>
      </c>
      <c r="AB4833">
        <v>26</v>
      </c>
      <c r="AC4833">
        <v>21.213100000000001</v>
      </c>
      <c r="AD4833">
        <v>-1.1128168288589999</v>
      </c>
      <c r="AE4833">
        <v>-2.2961200000000002</v>
      </c>
      <c r="AF4833">
        <v>-3.64820479593378</v>
      </c>
      <c r="AG4833">
        <v>-1.1128168288589999</v>
      </c>
      <c r="AH4833">
        <v>20.964057971055201</v>
      </c>
      <c r="AI4833">
        <v>92.993623098769703</v>
      </c>
      <c r="AJ4833">
        <v>99.871859674503995</v>
      </c>
      <c r="AK4833">
        <v>21.308202320736299</v>
      </c>
      <c r="AL4833">
        <v>83.425732107136696</v>
      </c>
      <c r="AM4833">
        <v>93.675397417615002</v>
      </c>
      <c r="AN4833">
        <v>0.999999953877175</v>
      </c>
    </row>
    <row r="4834" spans="1:40" x14ac:dyDescent="0.25">
      <c r="A4834" t="str">
        <f>"20190312164606233"</f>
        <v>20190312164606233</v>
      </c>
      <c r="B4834" t="str">
        <f>"1552380366226548"</f>
        <v>1552380366226548</v>
      </c>
      <c r="C4834" t="s">
        <v>40</v>
      </c>
      <c r="D4834">
        <v>4.7429750000000004</v>
      </c>
      <c r="E4834">
        <v>0.46678340000000001</v>
      </c>
      <c r="F4834" t="s">
        <v>79</v>
      </c>
      <c r="G4834">
        <v>-373.86349999999999</v>
      </c>
      <c r="H4834" s="1">
        <v>-3.5797589999999999E-6</v>
      </c>
      <c r="I4834">
        <v>15.67834</v>
      </c>
      <c r="J4834">
        <v>-394.4314</v>
      </c>
      <c r="K4834">
        <v>1.1128089999999999</v>
      </c>
      <c r="L4834">
        <v>17.961120000000001</v>
      </c>
      <c r="M4834">
        <v>0.96163730000000003</v>
      </c>
      <c r="N4834">
        <v>0</v>
      </c>
      <c r="O4834">
        <v>-0.27400469999999999</v>
      </c>
      <c r="P4834">
        <v>0.97183529999999996</v>
      </c>
      <c r="Q4834">
        <v>0.1028</v>
      </c>
      <c r="R4834">
        <v>-0.21205669999999999</v>
      </c>
      <c r="S4834">
        <v>3.03064</v>
      </c>
      <c r="T4834">
        <v>-0.16308159999999999</v>
      </c>
      <c r="U4834">
        <v>-0.33886719999999998</v>
      </c>
      <c r="V4834">
        <v>-6.3489879999999999E-2</v>
      </c>
      <c r="W4834">
        <v>0.115319</v>
      </c>
      <c r="X4834">
        <v>0.9912974</v>
      </c>
      <c r="Y4834">
        <v>-0.1648492</v>
      </c>
      <c r="Z4834">
        <v>1.890882E-2</v>
      </c>
      <c r="AA4834">
        <v>0.9861375</v>
      </c>
      <c r="AB4834">
        <v>26</v>
      </c>
      <c r="AC4834">
        <v>20.567900000000002</v>
      </c>
      <c r="AD4834">
        <v>-1.1128125797589901</v>
      </c>
      <c r="AE4834">
        <v>-2.2827799999999998</v>
      </c>
      <c r="AF4834">
        <v>-3.4308752542171699</v>
      </c>
      <c r="AG4834">
        <v>-1.1128125797589901</v>
      </c>
      <c r="AH4834">
        <v>20.3473017291596</v>
      </c>
      <c r="AI4834">
        <v>93.086950691968795</v>
      </c>
      <c r="AJ4834">
        <v>99.570942985376206</v>
      </c>
      <c r="AK4834">
        <v>20.664509297467699</v>
      </c>
      <c r="AL4834">
        <v>83.377975090565201</v>
      </c>
      <c r="AM4834">
        <v>93.664632186770703</v>
      </c>
      <c r="AN4834">
        <v>0.99999998593508699</v>
      </c>
    </row>
    <row r="4835" spans="1:40" x14ac:dyDescent="0.25">
      <c r="A4835" t="str">
        <f>"20190312164606243"</f>
        <v>20190312164606243</v>
      </c>
      <c r="B4835" t="str">
        <f>"1552380366236308"</f>
        <v>1552380366236308</v>
      </c>
      <c r="C4835" t="s">
        <v>40</v>
      </c>
      <c r="D4835">
        <v>4.8667819999999997</v>
      </c>
      <c r="E4835">
        <v>0.46851939999999997</v>
      </c>
      <c r="F4835" t="s">
        <v>79</v>
      </c>
      <c r="G4835">
        <v>-373.83</v>
      </c>
      <c r="H4835" s="1">
        <v>-3.6073780000000002E-6</v>
      </c>
      <c r="I4835">
        <v>15.61204</v>
      </c>
      <c r="J4835">
        <v>-394.3098</v>
      </c>
      <c r="K4835">
        <v>1.112803</v>
      </c>
      <c r="L4835">
        <v>17.929469999999998</v>
      </c>
      <c r="M4835">
        <v>0.96238650000000003</v>
      </c>
      <c r="N4835">
        <v>0</v>
      </c>
      <c r="O4835">
        <v>-0.2713623</v>
      </c>
      <c r="P4835">
        <v>0.97227569999999996</v>
      </c>
      <c r="Q4835">
        <v>0.1034306</v>
      </c>
      <c r="R4835">
        <v>-0.2097193</v>
      </c>
      <c r="S4835">
        <v>3.02887</v>
      </c>
      <c r="T4835">
        <v>-0.163608</v>
      </c>
      <c r="U4835">
        <v>-0.34536739999999999</v>
      </c>
      <c r="V4835">
        <v>-6.3136929999999994E-2</v>
      </c>
      <c r="W4835">
        <v>0.115939899999999</v>
      </c>
      <c r="X4835">
        <v>0.99124749999999995</v>
      </c>
      <c r="Y4835">
        <v>-0.15999089999999999</v>
      </c>
      <c r="Z4835">
        <v>1.870983E-2</v>
      </c>
      <c r="AA4835">
        <v>0.98694119999999996</v>
      </c>
      <c r="AB4835">
        <v>26</v>
      </c>
      <c r="AC4835">
        <v>20.479800000000001</v>
      </c>
      <c r="AD4835">
        <v>-1.1128066073780001</v>
      </c>
      <c r="AE4835">
        <v>-2.3174299999999999</v>
      </c>
      <c r="AF4835">
        <v>-3.3178010767166501</v>
      </c>
      <c r="AG4835">
        <v>-1.1128066073780001</v>
      </c>
      <c r="AH4835">
        <v>20.2810008799336</v>
      </c>
      <c r="AI4835">
        <v>93.0995173274857</v>
      </c>
      <c r="AJ4835">
        <v>99.290809855335695</v>
      </c>
      <c r="AK4835">
        <v>20.580698219981599</v>
      </c>
      <c r="AL4835">
        <v>83.342159795459295</v>
      </c>
      <c r="AM4835">
        <v>93.644497949986999</v>
      </c>
      <c r="AN4835">
        <v>0.999999969299042</v>
      </c>
    </row>
    <row r="4836" spans="1:40" x14ac:dyDescent="0.25">
      <c r="A4836" t="str">
        <f>"20190312164606254"</f>
        <v>20190312164606254</v>
      </c>
      <c r="B4836" t="str">
        <f>"1552380366246069"</f>
        <v>1552380366246069</v>
      </c>
      <c r="C4836" t="s">
        <v>40</v>
      </c>
      <c r="D4836">
        <v>5.0891690000000001</v>
      </c>
      <c r="E4836">
        <v>0.46979009999999999</v>
      </c>
      <c r="F4836" t="s">
        <v>79</v>
      </c>
      <c r="G4836">
        <v>-373.06490000000002</v>
      </c>
      <c r="H4836" s="1">
        <v>-3.9962559999999998E-6</v>
      </c>
      <c r="I4836">
        <v>15.45861</v>
      </c>
      <c r="J4836">
        <v>-394.1891</v>
      </c>
      <c r="K4836">
        <v>1.1128</v>
      </c>
      <c r="L4836">
        <v>17.898440000000001</v>
      </c>
      <c r="M4836">
        <v>0.96312169999999997</v>
      </c>
      <c r="N4836">
        <v>0</v>
      </c>
      <c r="O4836">
        <v>-0.26874199999999998</v>
      </c>
      <c r="P4836">
        <v>0.97265270000000004</v>
      </c>
      <c r="Q4836">
        <v>0.1042942</v>
      </c>
      <c r="R4836">
        <v>-0.20753289999999999</v>
      </c>
      <c r="S4836">
        <v>3.026459</v>
      </c>
      <c r="T4836">
        <v>-0.1585259</v>
      </c>
      <c r="U4836">
        <v>-0.35198970000000002</v>
      </c>
      <c r="V4836">
        <v>-6.2649910000000003E-2</v>
      </c>
      <c r="W4836">
        <v>0.1167938</v>
      </c>
      <c r="X4836">
        <v>0.99117820000000001</v>
      </c>
      <c r="Y4836">
        <v>-0.15512899999999999</v>
      </c>
      <c r="Z4836">
        <v>1.7881979999999999E-2</v>
      </c>
      <c r="AA4836">
        <v>0.98773239999999995</v>
      </c>
      <c r="AB4836">
        <v>26</v>
      </c>
      <c r="AC4836">
        <v>21.124199999999899</v>
      </c>
      <c r="AD4836">
        <v>-1.1128039962559999</v>
      </c>
      <c r="AE4836">
        <v>-2.4398300000000002</v>
      </c>
      <c r="AF4836">
        <v>-3.3183092068124398</v>
      </c>
      <c r="AG4836">
        <v>-1.1128039962559999</v>
      </c>
      <c r="AH4836">
        <v>20.945331014734201</v>
      </c>
      <c r="AI4836">
        <v>93.003813709907305</v>
      </c>
      <c r="AJ4836">
        <v>99.002387473093194</v>
      </c>
      <c r="AK4836">
        <v>21.235734035886001</v>
      </c>
      <c r="AL4836">
        <v>83.292900570009905</v>
      </c>
      <c r="AM4836">
        <v>93.616712424890295</v>
      </c>
      <c r="AN4836">
        <v>1.00000001354834</v>
      </c>
    </row>
    <row r="4837" spans="1:40" x14ac:dyDescent="0.25">
      <c r="A4837" t="str">
        <f>"20190312164606266"</f>
        <v>20190312164606266</v>
      </c>
      <c r="B4837" t="str">
        <f>"1552380366256804"</f>
        <v>1552380366256804</v>
      </c>
      <c r="C4837" t="s">
        <v>40</v>
      </c>
      <c r="D4837">
        <v>4.9283809999999999</v>
      </c>
      <c r="E4837">
        <v>0.47099200000000002</v>
      </c>
      <c r="F4837" t="s">
        <v>79</v>
      </c>
      <c r="G4837">
        <v>-370.87349999999998</v>
      </c>
      <c r="H4837" s="1">
        <v>-5.0863739999999998E-6</v>
      </c>
      <c r="I4837">
        <v>15.152850000000001</v>
      </c>
      <c r="J4837">
        <v>-394.05579999999998</v>
      </c>
      <c r="K4837">
        <v>1.112798</v>
      </c>
      <c r="L4837">
        <v>17.864439999999998</v>
      </c>
      <c r="M4837">
        <v>0.96392489999999997</v>
      </c>
      <c r="N4837">
        <v>0</v>
      </c>
      <c r="O4837">
        <v>-0.26584760000000002</v>
      </c>
      <c r="P4837">
        <v>0.9731225</v>
      </c>
      <c r="Q4837">
        <v>0.1050097</v>
      </c>
      <c r="R4837">
        <v>-0.20495289999999999</v>
      </c>
      <c r="S4837">
        <v>3.0238339999999999</v>
      </c>
      <c r="T4837">
        <v>-0.14432139999999999</v>
      </c>
      <c r="U4837">
        <v>-0.35607909999999998</v>
      </c>
      <c r="V4837">
        <v>-6.2285029999999998E-2</v>
      </c>
      <c r="W4837">
        <v>0.11749660000000001</v>
      </c>
      <c r="X4837">
        <v>0.9911181</v>
      </c>
      <c r="Y4837">
        <v>-0.15084729999999999</v>
      </c>
      <c r="Z4837">
        <v>1.6059339999999998E-2</v>
      </c>
      <c r="AA4837">
        <v>0.98842660000000004</v>
      </c>
      <c r="AB4837">
        <v>26</v>
      </c>
      <c r="AC4837">
        <v>23.182300000000001</v>
      </c>
      <c r="AD4837">
        <v>-1.1128030863739999</v>
      </c>
      <c r="AE4837">
        <v>-2.71158999999999</v>
      </c>
      <c r="AF4837">
        <v>-3.5414481040617098</v>
      </c>
      <c r="AG4837">
        <v>-1.1128030863739999</v>
      </c>
      <c r="AH4837">
        <v>23.016551796949599</v>
      </c>
      <c r="AI4837">
        <v>92.735832516631206</v>
      </c>
      <c r="AJ4837">
        <v>98.747232568473095</v>
      </c>
      <c r="AK4837">
        <v>23.313983829548999</v>
      </c>
      <c r="AL4837">
        <v>83.252353710544298</v>
      </c>
      <c r="AM4837">
        <v>93.595921182278403</v>
      </c>
      <c r="AN4837">
        <v>0.99999998206063501</v>
      </c>
    </row>
    <row r="4838" spans="1:40" x14ac:dyDescent="0.25">
      <c r="A4838" t="str">
        <f>"20190312164606279"</f>
        <v>20190312164606279</v>
      </c>
      <c r="B4838" t="str">
        <f>"1552380366276324"</f>
        <v>1552380366276324</v>
      </c>
      <c r="C4838" t="s">
        <v>40</v>
      </c>
      <c r="D4838">
        <v>4.9237289999999998</v>
      </c>
      <c r="E4838">
        <v>0.47285670000000002</v>
      </c>
      <c r="F4838" t="s">
        <v>80</v>
      </c>
      <c r="G4838">
        <v>-369.0145</v>
      </c>
      <c r="H4838" s="1">
        <v>-1.6349539999999901E-6</v>
      </c>
      <c r="I4838">
        <v>14.895530000000001</v>
      </c>
      <c r="J4838">
        <v>-393.91739999999999</v>
      </c>
      <c r="K4838">
        <v>1.1127899999999999</v>
      </c>
      <c r="L4838">
        <v>17.829799999999999</v>
      </c>
      <c r="M4838">
        <v>0.9647483</v>
      </c>
      <c r="N4838">
        <v>0</v>
      </c>
      <c r="O4838">
        <v>-0.262845099999999</v>
      </c>
      <c r="P4838">
        <v>0.97355689999999995</v>
      </c>
      <c r="Q4838">
        <v>0.10599020000000001</v>
      </c>
      <c r="R4838">
        <v>-0.2023702</v>
      </c>
      <c r="S4838">
        <v>3.021881</v>
      </c>
      <c r="T4838">
        <v>-0.1342884</v>
      </c>
      <c r="U4838">
        <v>-0.35827639999999999</v>
      </c>
      <c r="V4838">
        <v>-6.1808599999999998E-2</v>
      </c>
      <c r="W4838">
        <v>0.1184582</v>
      </c>
      <c r="X4838">
        <v>0.99103350000000001</v>
      </c>
      <c r="Y4838">
        <v>-0.14705270000000001</v>
      </c>
      <c r="Z4838">
        <v>1.474053E-2</v>
      </c>
      <c r="AA4838">
        <v>0.98901879999999998</v>
      </c>
      <c r="AB4838">
        <v>26</v>
      </c>
      <c r="AC4838">
        <v>24.902899999999899</v>
      </c>
      <c r="AD4838">
        <v>-1.1127916349539999</v>
      </c>
      <c r="AE4838">
        <v>-2.9342700000000002</v>
      </c>
      <c r="AF4838">
        <v>-3.7077927086363598</v>
      </c>
      <c r="AG4838">
        <v>-1.1127916349539999</v>
      </c>
      <c r="AH4838">
        <v>24.749693507514198</v>
      </c>
      <c r="AI4838">
        <v>92.546015307151194</v>
      </c>
      <c r="AJ4838">
        <v>98.520211778120398</v>
      </c>
      <c r="AK4838">
        <v>25.050615974640799</v>
      </c>
      <c r="AL4838">
        <v>83.1968708881504</v>
      </c>
      <c r="AM4838">
        <v>93.568790486068806</v>
      </c>
      <c r="AN4838">
        <v>1.0000000231517201</v>
      </c>
    </row>
    <row r="4839" spans="1:40" x14ac:dyDescent="0.25">
      <c r="A4839" t="str">
        <f>"20190312164606291"</f>
        <v>20190312164606291</v>
      </c>
      <c r="B4839" t="str">
        <f>"1552380366286084"</f>
        <v>1552380366286084</v>
      </c>
      <c r="C4839" t="s">
        <v>40</v>
      </c>
      <c r="D4839">
        <v>5.0890190000000004</v>
      </c>
      <c r="E4839">
        <v>0.47366999999999998</v>
      </c>
      <c r="F4839" t="s">
        <v>80</v>
      </c>
      <c r="G4839">
        <v>-367.05489999999998</v>
      </c>
      <c r="H4839" s="1">
        <v>-2.4713730000000001E-6</v>
      </c>
      <c r="I4839">
        <v>14.580249999999999</v>
      </c>
      <c r="J4839">
        <v>-393.78210000000001</v>
      </c>
      <c r="K4839">
        <v>1.1127849999999999</v>
      </c>
      <c r="L4839">
        <v>17.79617</v>
      </c>
      <c r="M4839">
        <v>0.96554459999999998</v>
      </c>
      <c r="N4839">
        <v>0</v>
      </c>
      <c r="O4839">
        <v>-0.25990600000000003</v>
      </c>
      <c r="P4839">
        <v>0.97396590000000005</v>
      </c>
      <c r="Q4839">
        <v>0.10652880000000001</v>
      </c>
      <c r="R4839">
        <v>-0.2001058</v>
      </c>
      <c r="S4839">
        <v>3.0192260000000002</v>
      </c>
      <c r="T4839">
        <v>-0.12507260000000001</v>
      </c>
      <c r="U4839">
        <v>-0.36523440000000001</v>
      </c>
      <c r="V4839">
        <v>-6.1082690000000002E-2</v>
      </c>
      <c r="W4839">
        <v>0.1189791</v>
      </c>
      <c r="X4839">
        <v>0.99101609999999996</v>
      </c>
      <c r="Y4839">
        <v>-0.14174800000000001</v>
      </c>
      <c r="Z4839">
        <v>1.3512619999999999E-2</v>
      </c>
      <c r="AA4839">
        <v>0.98981050000000004</v>
      </c>
      <c r="AB4839">
        <v>26</v>
      </c>
      <c r="AC4839">
        <v>26.7272</v>
      </c>
      <c r="AD4839">
        <v>-1.1127874713729999</v>
      </c>
      <c r="AE4839">
        <v>-3.2159200000000001</v>
      </c>
      <c r="AF4839">
        <v>-3.8352234298344898</v>
      </c>
      <c r="AG4839">
        <v>-1.1127874713729999</v>
      </c>
      <c r="AH4839">
        <v>26.598988024884999</v>
      </c>
      <c r="AI4839">
        <v>92.371120089123806</v>
      </c>
      <c r="AJ4839">
        <v>98.204749461648603</v>
      </c>
      <c r="AK4839">
        <v>26.8970890369418</v>
      </c>
      <c r="AL4839">
        <v>83.166812895104798</v>
      </c>
      <c r="AM4839">
        <v>93.527045088044204</v>
      </c>
      <c r="AN4839">
        <v>1.0000000158568201</v>
      </c>
    </row>
    <row r="4840" spans="1:40" x14ac:dyDescent="0.25">
      <c r="A4840" t="str">
        <f>"20190312164606303"</f>
        <v>20190312164606303</v>
      </c>
      <c r="B4840" t="str">
        <f>"1552380366296821"</f>
        <v>1552380366296821</v>
      </c>
      <c r="C4840" t="s">
        <v>40</v>
      </c>
      <c r="D4840">
        <v>4.923495</v>
      </c>
      <c r="E4840">
        <v>0.4745066</v>
      </c>
      <c r="F4840" t="s">
        <v>80</v>
      </c>
      <c r="G4840">
        <v>-365.38389999999998</v>
      </c>
      <c r="H4840" s="1">
        <v>-3.171139E-6</v>
      </c>
      <c r="I4840">
        <v>14.36191</v>
      </c>
      <c r="J4840">
        <v>-393.64659999999998</v>
      </c>
      <c r="K4840">
        <v>1.1127800000000001</v>
      </c>
      <c r="L4840">
        <v>17.763059999999999</v>
      </c>
      <c r="M4840">
        <v>0.96633230000000003</v>
      </c>
      <c r="N4840">
        <v>0</v>
      </c>
      <c r="O4840">
        <v>-0.2569631</v>
      </c>
      <c r="P4840">
        <v>0.97434639999999995</v>
      </c>
      <c r="Q4840">
        <v>0.1072062</v>
      </c>
      <c r="R4840">
        <v>-0.19787830000000001</v>
      </c>
      <c r="S4840">
        <v>3.0181269999999998</v>
      </c>
      <c r="T4840">
        <v>-0.118266</v>
      </c>
      <c r="U4840">
        <v>-0.36499019999999999</v>
      </c>
      <c r="V4840">
        <v>-6.031425E-2</v>
      </c>
      <c r="W4840">
        <v>0.1196324</v>
      </c>
      <c r="X4840">
        <v>0.99098450000000005</v>
      </c>
      <c r="Y4840">
        <v>-0.13880670000000001</v>
      </c>
      <c r="Z4840">
        <v>1.2614179999999999E-2</v>
      </c>
      <c r="AA4840">
        <v>0.99023910000000004</v>
      </c>
      <c r="AB4840">
        <v>26</v>
      </c>
      <c r="AC4840">
        <v>28.262699999999899</v>
      </c>
      <c r="AD4840">
        <v>-1.1127831711389999</v>
      </c>
      <c r="AE4840">
        <v>-3.4011499999999901</v>
      </c>
      <c r="AF4840">
        <v>-3.97010488814762</v>
      </c>
      <c r="AG4840">
        <v>-1.1127831711389999</v>
      </c>
      <c r="AH4840">
        <v>28.144544624501201</v>
      </c>
      <c r="AI4840">
        <v>92.242016387064496</v>
      </c>
      <c r="AJ4840">
        <v>98.029238443456606</v>
      </c>
      <c r="AK4840">
        <v>28.444954057431801</v>
      </c>
      <c r="AL4840">
        <v>83.129112175486995</v>
      </c>
      <c r="AM4840">
        <v>93.482894415706497</v>
      </c>
      <c r="AN4840">
        <v>0.99999999956153596</v>
      </c>
    </row>
    <row r="4841" spans="1:40" x14ac:dyDescent="0.25">
      <c r="A4841" t="str">
        <f>"20190312164606322"</f>
        <v>20190312164606322</v>
      </c>
      <c r="B4841" t="str">
        <f>"1552380366316340"</f>
        <v>1552380366316340</v>
      </c>
      <c r="C4841" t="s">
        <v>40</v>
      </c>
      <c r="D4841">
        <v>4.8599949999999996</v>
      </c>
      <c r="E4841">
        <v>0.4759292</v>
      </c>
      <c r="F4841" t="s">
        <v>80</v>
      </c>
      <c r="G4841">
        <v>-363.4187</v>
      </c>
      <c r="H4841" s="1">
        <v>-4.0891170000000002E-6</v>
      </c>
      <c r="I4841">
        <v>14.10469</v>
      </c>
      <c r="J4841">
        <v>-393.44049999999999</v>
      </c>
      <c r="K4841">
        <v>1.1127739999999999</v>
      </c>
      <c r="L4841">
        <v>17.7135</v>
      </c>
      <c r="M4841">
        <v>0.96751259999999994</v>
      </c>
      <c r="N4841">
        <v>0</v>
      </c>
      <c r="O4841">
        <v>-0.25248559999999998</v>
      </c>
      <c r="P4841">
        <v>0.9747519</v>
      </c>
      <c r="Q4841">
        <v>0.10883089999999999</v>
      </c>
      <c r="R4841">
        <v>-0.1949738</v>
      </c>
      <c r="S4841">
        <v>3.0170590000000002</v>
      </c>
      <c r="T4841">
        <v>-0.1110674</v>
      </c>
      <c r="U4841">
        <v>-0.36514279999999999</v>
      </c>
      <c r="V4841">
        <v>-5.864465E-2</v>
      </c>
      <c r="W4841">
        <v>0.121221</v>
      </c>
      <c r="X4841">
        <v>0.99089159999999998</v>
      </c>
      <c r="Y4841">
        <v>-0.1341685</v>
      </c>
      <c r="Z4841">
        <v>1.160725E-2</v>
      </c>
      <c r="AA4841">
        <v>0.99089059999999995</v>
      </c>
      <c r="AB4841">
        <v>26</v>
      </c>
      <c r="AC4841">
        <v>30.021799999999899</v>
      </c>
      <c r="AD4841">
        <v>-1.1127780891169901</v>
      </c>
      <c r="AE4841">
        <v>-3.6088100000000001</v>
      </c>
      <c r="AF4841">
        <v>-4.0833213848843997</v>
      </c>
      <c r="AG4841">
        <v>-1.1127780891169901</v>
      </c>
      <c r="AH4841">
        <v>29.9196748490352</v>
      </c>
      <c r="AI4841">
        <v>92.110427982955997</v>
      </c>
      <c r="AJ4841">
        <v>97.771493576180006</v>
      </c>
      <c r="AK4841">
        <v>30.217523586155401</v>
      </c>
      <c r="AL4841">
        <v>83.037424423581896</v>
      </c>
      <c r="AM4841">
        <v>93.387026407489103</v>
      </c>
      <c r="AN4841">
        <v>0.99999994438258899</v>
      </c>
    </row>
    <row r="4842" spans="1:40" x14ac:dyDescent="0.25">
      <c r="A4842" t="str">
        <f>"20190312164606336"</f>
        <v>20190312164606336</v>
      </c>
      <c r="B4842" t="str">
        <f>"1552380366326100"</f>
        <v>1552380366326100</v>
      </c>
      <c r="C4842" t="s">
        <v>40</v>
      </c>
      <c r="D4842">
        <v>5.0379800000000001</v>
      </c>
      <c r="E4842">
        <v>0.47640369999999999</v>
      </c>
      <c r="F4842" t="s">
        <v>42</v>
      </c>
      <c r="G4842">
        <v>-359.45190000000002</v>
      </c>
      <c r="H4842" s="1">
        <v>-1.783202E-6</v>
      </c>
      <c r="I4842">
        <v>13.562889999999999</v>
      </c>
      <c r="J4842">
        <v>-393.267</v>
      </c>
      <c r="K4842">
        <v>1.1127609999999999</v>
      </c>
      <c r="L4842">
        <v>17.67258</v>
      </c>
      <c r="M4842">
        <v>0.96848909999999999</v>
      </c>
      <c r="N4842">
        <v>0</v>
      </c>
      <c r="O4842">
        <v>-0.24871599999999999</v>
      </c>
      <c r="P4842">
        <v>0.97520110000000004</v>
      </c>
      <c r="Q4842">
        <v>0.10988870000000001</v>
      </c>
      <c r="R4842">
        <v>-0.1921136</v>
      </c>
      <c r="S4842">
        <v>3.0151370000000002</v>
      </c>
      <c r="T4842">
        <v>-9.8714830000000003E-2</v>
      </c>
      <c r="U4842">
        <v>-0.36819459999999998</v>
      </c>
      <c r="V4842">
        <v>-5.7670649999999997E-2</v>
      </c>
      <c r="W4842">
        <v>0.1222386</v>
      </c>
      <c r="X4842">
        <v>0.99082380000000003</v>
      </c>
      <c r="Y4842">
        <v>-0.12930169999999999</v>
      </c>
      <c r="Z4842">
        <v>1.0124370000000001E-2</v>
      </c>
      <c r="AA4842">
        <v>0.99155360000000003</v>
      </c>
      <c r="AB4842">
        <v>26</v>
      </c>
      <c r="AC4842">
        <v>33.815099999999902</v>
      </c>
      <c r="AD4842">
        <v>-1.1127627832019999</v>
      </c>
      <c r="AE4842">
        <v>-4.1096899999999996</v>
      </c>
      <c r="AF4842">
        <v>-4.4258184051805003</v>
      </c>
      <c r="AG4842">
        <v>-1.1127627832019999</v>
      </c>
      <c r="AH4842">
        <v>33.738555804515698</v>
      </c>
      <c r="AI4842">
        <v>91.873005616504997</v>
      </c>
      <c r="AJ4842">
        <v>97.473378563201805</v>
      </c>
      <c r="AK4842">
        <v>34.045796470955601</v>
      </c>
      <c r="AL4842">
        <v>82.9786837199416</v>
      </c>
      <c r="AM4842">
        <v>93.331128100154899</v>
      </c>
      <c r="AN4842">
        <v>0.99999999092391101</v>
      </c>
    </row>
    <row r="4843" spans="1:40" x14ac:dyDescent="0.25">
      <c r="A4843" t="str">
        <f>"20190312164606347"</f>
        <v>20190312164606347</v>
      </c>
      <c r="B4843" t="str">
        <f>"1552380366336836"</f>
        <v>1552380366336836</v>
      </c>
      <c r="C4843" t="s">
        <v>40</v>
      </c>
      <c r="D4843">
        <v>5.1066000000000003</v>
      </c>
      <c r="E4843">
        <v>0.47688069999999999</v>
      </c>
      <c r="F4843" t="s">
        <v>42</v>
      </c>
      <c r="G4843">
        <v>-357.91129999999998</v>
      </c>
      <c r="H4843" s="1">
        <v>-2.346803E-6</v>
      </c>
      <c r="I4843">
        <v>13.41516</v>
      </c>
      <c r="J4843">
        <v>-393.14620000000002</v>
      </c>
      <c r="K4843">
        <v>1.112757</v>
      </c>
      <c r="L4843">
        <v>17.64432</v>
      </c>
      <c r="M4843">
        <v>0.96916089999999999</v>
      </c>
      <c r="N4843">
        <v>0</v>
      </c>
      <c r="O4843">
        <v>-0.246088</v>
      </c>
      <c r="P4843">
        <v>0.97542030000000002</v>
      </c>
      <c r="Q4843">
        <v>0.1106462</v>
      </c>
      <c r="R4843">
        <v>-0.1905596</v>
      </c>
      <c r="S4843">
        <v>3.0154109999999998</v>
      </c>
      <c r="T4843">
        <v>-9.4905139999999999E-2</v>
      </c>
      <c r="U4843">
        <v>-0.36309809999999998</v>
      </c>
      <c r="V4843">
        <v>-5.6544799999999999E-2</v>
      </c>
      <c r="W4843">
        <v>0.1229688</v>
      </c>
      <c r="X4843">
        <v>0.99079839999999997</v>
      </c>
      <c r="Y4843">
        <v>-0.1282906</v>
      </c>
      <c r="Z4843">
        <v>9.6386839999999998E-3</v>
      </c>
      <c r="AA4843">
        <v>0.99168979999999995</v>
      </c>
      <c r="AB4843">
        <v>26</v>
      </c>
      <c r="AC4843">
        <v>35.234900000000003</v>
      </c>
      <c r="AD4843">
        <v>-1.1127593468029999</v>
      </c>
      <c r="AE4843">
        <v>-4.2291600000000003</v>
      </c>
      <c r="AF4843">
        <v>-4.56804199212492</v>
      </c>
      <c r="AG4843">
        <v>-1.1127593468029999</v>
      </c>
      <c r="AH4843">
        <v>35.157419494010099</v>
      </c>
      <c r="AI4843">
        <v>91.797748936760399</v>
      </c>
      <c r="AJ4843">
        <v>97.403029708172795</v>
      </c>
      <c r="AK4843">
        <v>35.470401555149003</v>
      </c>
      <c r="AL4843">
        <v>82.936528761206006</v>
      </c>
      <c r="AM4843">
        <v>93.266323356857498</v>
      </c>
      <c r="AN4843">
        <v>1.00000005481151</v>
      </c>
    </row>
    <row r="4844" spans="1:40" x14ac:dyDescent="0.25">
      <c r="A4844" t="str">
        <f>"20190312164606367"</f>
        <v>20190312164606367</v>
      </c>
      <c r="B4844" t="str">
        <f>"1552380366356356"</f>
        <v>1552380366356356</v>
      </c>
      <c r="C4844" t="s">
        <v>40</v>
      </c>
      <c r="D4844">
        <v>5.0894969999999997</v>
      </c>
      <c r="E4844">
        <v>0.47775040000000002</v>
      </c>
      <c r="F4844" t="s">
        <v>42</v>
      </c>
      <c r="G4844">
        <v>-356.69600000000003</v>
      </c>
      <c r="H4844" s="1">
        <v>-2.7995399999999999E-6</v>
      </c>
      <c r="I4844">
        <v>13.26798</v>
      </c>
      <c r="J4844">
        <v>-392.93729999999999</v>
      </c>
      <c r="K4844">
        <v>1.1127419999999999</v>
      </c>
      <c r="L4844">
        <v>17.596589999999999</v>
      </c>
      <c r="M4844">
        <v>0.97030400000000006</v>
      </c>
      <c r="N4844">
        <v>0</v>
      </c>
      <c r="O4844">
        <v>-0.2415448</v>
      </c>
      <c r="P4844">
        <v>0.97565610000000003</v>
      </c>
      <c r="Q4844">
        <v>0.112069</v>
      </c>
      <c r="R4844">
        <v>-0.1885096</v>
      </c>
      <c r="S4844">
        <v>3.0153810000000001</v>
      </c>
      <c r="T4844">
        <v>-9.2054250000000004E-2</v>
      </c>
      <c r="U4844">
        <v>-0.36203000000000002</v>
      </c>
      <c r="V4844">
        <v>-5.395382E-2</v>
      </c>
      <c r="W4844">
        <v>0.1243438</v>
      </c>
      <c r="X4844">
        <v>0.99077119999999996</v>
      </c>
      <c r="Y4844">
        <v>-0.12400269999999999</v>
      </c>
      <c r="Z4844">
        <v>9.1504989999999994E-3</v>
      </c>
      <c r="AA4844">
        <v>0.99223969999999995</v>
      </c>
      <c r="AB4844">
        <v>26</v>
      </c>
      <c r="AC4844">
        <v>36.241300000000003</v>
      </c>
      <c r="AD4844">
        <v>-1.1127447995399999</v>
      </c>
      <c r="AE4844">
        <v>-4.3286099999999896</v>
      </c>
      <c r="AF4844">
        <v>-4.5499795276154096</v>
      </c>
      <c r="AG4844">
        <v>-1.1127447995399999</v>
      </c>
      <c r="AH4844">
        <v>36.180014135616098</v>
      </c>
      <c r="AI4844">
        <v>91.747862714899199</v>
      </c>
      <c r="AJ4844">
        <v>97.167857504781395</v>
      </c>
      <c r="AK4844">
        <v>36.481967292677602</v>
      </c>
      <c r="AL4844">
        <v>82.857137229198599</v>
      </c>
      <c r="AM4844">
        <v>93.117042387072701</v>
      </c>
      <c r="AN4844">
        <v>0.99999998302023596</v>
      </c>
    </row>
    <row r="4845" spans="1:40" x14ac:dyDescent="0.25">
      <c r="A4845" t="str">
        <f>"20190312164606377"</f>
        <v>20190312164606377</v>
      </c>
      <c r="B4845" t="str">
        <f>"1552380366366116"</f>
        <v>1552380366366116</v>
      </c>
      <c r="C4845" t="s">
        <v>40</v>
      </c>
      <c r="D4845">
        <v>5.0197609999999999</v>
      </c>
      <c r="E4845">
        <v>0.47815089999999999</v>
      </c>
      <c r="F4845" t="s">
        <v>42</v>
      </c>
      <c r="G4845">
        <v>-353.78100000000001</v>
      </c>
      <c r="H4845" s="1">
        <v>-3.8905929999999997E-6</v>
      </c>
      <c r="I4845">
        <v>12.89564</v>
      </c>
      <c r="J4845">
        <v>-392.815</v>
      </c>
      <c r="K4845">
        <v>1.1127359999999999</v>
      </c>
      <c r="L4845">
        <v>17.569179999999999</v>
      </c>
      <c r="M4845">
        <v>0.97096309999999997</v>
      </c>
      <c r="N4845">
        <v>0</v>
      </c>
      <c r="O4845">
        <v>-0.23888400000000001</v>
      </c>
      <c r="P4845">
        <v>0.97586669999999998</v>
      </c>
      <c r="Q4845">
        <v>0.1128545</v>
      </c>
      <c r="R4845">
        <v>-0.18694440000000001</v>
      </c>
      <c r="S4845">
        <v>3.0148009999999998</v>
      </c>
      <c r="T4845">
        <v>-8.5674760000000003E-2</v>
      </c>
      <c r="U4845">
        <v>-0.3619385</v>
      </c>
      <c r="V4845">
        <v>-5.281019E-2</v>
      </c>
      <c r="W4845">
        <v>0.125094699999999</v>
      </c>
      <c r="X4845">
        <v>0.99073829999999996</v>
      </c>
      <c r="Y4845">
        <v>-0.1213132</v>
      </c>
      <c r="Z4845">
        <v>8.4071040000000003E-3</v>
      </c>
      <c r="AA4845">
        <v>0.99257870000000004</v>
      </c>
      <c r="AB4845">
        <v>26</v>
      </c>
      <c r="AC4845">
        <v>39.033999999999899</v>
      </c>
      <c r="AD4845">
        <v>-1.1127398905929999</v>
      </c>
      <c r="AE4845">
        <v>-4.6735399999999903</v>
      </c>
      <c r="AF4845">
        <v>-4.78332613582986</v>
      </c>
      <c r="AG4845">
        <v>-1.1127398905929999</v>
      </c>
      <c r="AH4845">
        <v>38.988992239781702</v>
      </c>
      <c r="AI4845">
        <v>91.622609984285006</v>
      </c>
      <c r="AJ4845">
        <v>96.994324675291296</v>
      </c>
      <c r="AK4845">
        <v>39.297072599108297</v>
      </c>
      <c r="AL4845">
        <v>82.813775307042903</v>
      </c>
      <c r="AM4845">
        <v>93.0511994324428</v>
      </c>
      <c r="AN4845">
        <v>0.99999998961140801</v>
      </c>
    </row>
    <row r="4846" spans="1:40" x14ac:dyDescent="0.25">
      <c r="A4846" t="str">
        <f>"20190312164606387"</f>
        <v>20190312164606387</v>
      </c>
      <c r="B4846" t="str">
        <f>"1552380366376852"</f>
        <v>1552380366376852</v>
      </c>
      <c r="C4846" t="s">
        <v>40</v>
      </c>
      <c r="D4846">
        <v>4.996632</v>
      </c>
      <c r="E4846">
        <v>0.47854659999999899</v>
      </c>
      <c r="F4846" t="s">
        <v>42</v>
      </c>
      <c r="G4846">
        <v>-352.17349999999999</v>
      </c>
      <c r="H4846" s="1">
        <v>-4.564305E-6</v>
      </c>
      <c r="I4846">
        <v>12.713290000000001</v>
      </c>
      <c r="J4846">
        <v>-392.6925</v>
      </c>
      <c r="K4846">
        <v>1.1127309999999999</v>
      </c>
      <c r="L4846">
        <v>17.541869999999999</v>
      </c>
      <c r="M4846">
        <v>0.97161589999999998</v>
      </c>
      <c r="N4846">
        <v>0</v>
      </c>
      <c r="O4846">
        <v>-0.23621809999999999</v>
      </c>
      <c r="P4846">
        <v>0.97603629999999997</v>
      </c>
      <c r="Q4846">
        <v>0.1138632</v>
      </c>
      <c r="R4846">
        <v>-0.18544140000000001</v>
      </c>
      <c r="S4846">
        <v>3.0147400000000002</v>
      </c>
      <c r="T4846">
        <v>-8.2541939999999994E-2</v>
      </c>
      <c r="U4846">
        <v>-0.36019899999999999</v>
      </c>
      <c r="V4846">
        <v>-5.1595290000000002E-2</v>
      </c>
      <c r="W4846">
        <v>0.12606780000000001</v>
      </c>
      <c r="X4846">
        <v>0.99067899999999998</v>
      </c>
      <c r="Y4846">
        <v>-0.1191623</v>
      </c>
      <c r="Z4846">
        <v>8.0004069999999993E-3</v>
      </c>
      <c r="AA4846">
        <v>0.99284260000000002</v>
      </c>
      <c r="AB4846">
        <v>26</v>
      </c>
      <c r="AC4846">
        <v>40.518999999999998</v>
      </c>
      <c r="AD4846">
        <v>-1.1127355643050001</v>
      </c>
      <c r="AE4846">
        <v>-4.8285799999999997</v>
      </c>
      <c r="AF4846">
        <v>-4.8765689487444099</v>
      </c>
      <c r="AG4846">
        <v>-1.1127355643050001</v>
      </c>
      <c r="AH4846">
        <v>40.482712602401797</v>
      </c>
      <c r="AI4846">
        <v>91.563179670703207</v>
      </c>
      <c r="AJ4846">
        <v>96.868783754732405</v>
      </c>
      <c r="AK4846">
        <v>40.790551906006201</v>
      </c>
      <c r="AL4846">
        <v>82.757576109270701</v>
      </c>
      <c r="AM4846">
        <v>92.981312722126205</v>
      </c>
      <c r="AN4846">
        <v>1.00000002259401</v>
      </c>
    </row>
    <row r="4847" spans="1:40" x14ac:dyDescent="0.25">
      <c r="A4847" t="str">
        <f>"20190312164606399"</f>
        <v>20190312164606399</v>
      </c>
      <c r="B4847" t="str">
        <f>"1552380366396372"</f>
        <v>1552380366396372</v>
      </c>
      <c r="C4847" t="s">
        <v>40</v>
      </c>
      <c r="D4847">
        <v>5.0392190000000001</v>
      </c>
      <c r="E4847">
        <v>0.47934529999999997</v>
      </c>
      <c r="F4847" t="s">
        <v>42</v>
      </c>
      <c r="G4847">
        <v>-349.97519999999997</v>
      </c>
      <c r="H4847" s="1">
        <v>-5.5531269999999898E-6</v>
      </c>
      <c r="I4847">
        <v>12.45548</v>
      </c>
      <c r="J4847">
        <v>-392.56849999999997</v>
      </c>
      <c r="K4847">
        <v>1.1127320000000001</v>
      </c>
      <c r="L4847">
        <v>17.51483</v>
      </c>
      <c r="M4847">
        <v>0.97226900000000005</v>
      </c>
      <c r="N4847">
        <v>0</v>
      </c>
      <c r="O4847">
        <v>-0.2335179</v>
      </c>
      <c r="P4847">
        <v>0.97623950000000004</v>
      </c>
      <c r="Q4847">
        <v>0.1144138</v>
      </c>
      <c r="R4847">
        <v>-0.1840272</v>
      </c>
      <c r="S4847">
        <v>3.014618</v>
      </c>
      <c r="T4847">
        <v>-7.852721E-2</v>
      </c>
      <c r="U4847">
        <v>-0.35894779999999998</v>
      </c>
      <c r="V4847">
        <v>-5.0265919999999999E-2</v>
      </c>
      <c r="W4847">
        <v>0.12658239999999901</v>
      </c>
      <c r="X4847">
        <v>0.9906817</v>
      </c>
      <c r="Y4847">
        <v>-0.1168191</v>
      </c>
      <c r="Z4847">
        <v>7.5134900000000003E-3</v>
      </c>
      <c r="AA4847">
        <v>0.99312480000000003</v>
      </c>
      <c r="AB4847">
        <v>26</v>
      </c>
      <c r="AC4847">
        <v>42.593299999999999</v>
      </c>
      <c r="AD4847">
        <v>-1.1127375531270001</v>
      </c>
      <c r="AE4847">
        <v>-5.0593500000000002</v>
      </c>
      <c r="AF4847">
        <v>-5.0242756606768797</v>
      </c>
      <c r="AG4847">
        <v>-1.1127375531270001</v>
      </c>
      <c r="AH4847">
        <v>42.568403885337602</v>
      </c>
      <c r="AI4847">
        <v>91.487052664797801</v>
      </c>
      <c r="AJ4847">
        <v>96.7313802516029</v>
      </c>
      <c r="AK4847">
        <v>42.878322496593</v>
      </c>
      <c r="AL4847">
        <v>82.727853416636904</v>
      </c>
      <c r="AM4847">
        <v>92.904623571331001</v>
      </c>
      <c r="AN4847">
        <v>0.99999999870904799</v>
      </c>
    </row>
    <row r="4848" spans="1:40" x14ac:dyDescent="0.25">
      <c r="A4848" t="str">
        <f>"20190312164606411"</f>
        <v>20190312164606411</v>
      </c>
      <c r="B4848" t="str">
        <f>"1552380366406132"</f>
        <v>1552380366406132</v>
      </c>
      <c r="C4848" t="s">
        <v>40</v>
      </c>
      <c r="D4848">
        <v>5.036416</v>
      </c>
      <c r="E4848">
        <v>0.47976629999999998</v>
      </c>
      <c r="F4848" t="s">
        <v>42</v>
      </c>
      <c r="G4848">
        <v>-348.31040000000002</v>
      </c>
      <c r="H4848" s="1">
        <v>-2.5310520000000002E-6</v>
      </c>
      <c r="I4848">
        <v>12.21222</v>
      </c>
      <c r="J4848">
        <v>-392.43579999999997</v>
      </c>
      <c r="K4848">
        <v>1.112725</v>
      </c>
      <c r="L4848">
        <v>17.486049999999999</v>
      </c>
      <c r="M4848">
        <v>0.97295920000000002</v>
      </c>
      <c r="N4848">
        <v>0</v>
      </c>
      <c r="O4848">
        <v>-0.23062750000000001</v>
      </c>
      <c r="P4848">
        <v>0.97640170000000004</v>
      </c>
      <c r="Q4848">
        <v>0.1153498</v>
      </c>
      <c r="R4848">
        <v>-0.1825763</v>
      </c>
      <c r="S4848">
        <v>3.0138240000000001</v>
      </c>
      <c r="T4848">
        <v>-7.5773480000000004E-2</v>
      </c>
      <c r="U4848">
        <v>-0.36108400000000002</v>
      </c>
      <c r="V4848">
        <v>-4.8774539999999998E-2</v>
      </c>
      <c r="W4848">
        <v>0.1274797</v>
      </c>
      <c r="X4848">
        <v>0.9906412</v>
      </c>
      <c r="Y4848">
        <v>-0.1131518</v>
      </c>
      <c r="Z4848">
        <v>7.1352500000000001E-3</v>
      </c>
      <c r="AA4848">
        <v>0.99355210000000005</v>
      </c>
      <c r="AB4848">
        <v>26</v>
      </c>
      <c r="AC4848">
        <v>44.1253999999999</v>
      </c>
      <c r="AD4848">
        <v>-1.112727531052</v>
      </c>
      <c r="AE4848">
        <v>-5.2738299999999896</v>
      </c>
      <c r="AF4848">
        <v>-5.0425548693041202</v>
      </c>
      <c r="AG4848">
        <v>-1.112727531052</v>
      </c>
      <c r="AH4848">
        <v>44.124401981163999</v>
      </c>
      <c r="AI4848">
        <v>91.435238896740699</v>
      </c>
      <c r="AJ4848">
        <v>96.519501910266499</v>
      </c>
      <c r="AK4848">
        <v>44.425537389700203</v>
      </c>
      <c r="AL4848">
        <v>82.6760220835111</v>
      </c>
      <c r="AM4848">
        <v>92.818700092920906</v>
      </c>
      <c r="AN4848">
        <v>1.00000000840087</v>
      </c>
    </row>
    <row r="4849" spans="1:40" x14ac:dyDescent="0.25">
      <c r="A4849" t="str">
        <f>"20190312164606422"</f>
        <v>20190312164606422</v>
      </c>
      <c r="B4849" t="str">
        <f>"1552380366416868"</f>
        <v>1552380366416868</v>
      </c>
      <c r="C4849" t="s">
        <v>40</v>
      </c>
      <c r="D4849">
        <v>5.0976249999999999</v>
      </c>
      <c r="E4849">
        <v>0.48014519999999999</v>
      </c>
      <c r="F4849" t="s">
        <v>42</v>
      </c>
      <c r="G4849">
        <v>-346.03550000000001</v>
      </c>
      <c r="H4849" s="1">
        <v>-3.3764610000000002E-6</v>
      </c>
      <c r="I4849">
        <v>11.94448</v>
      </c>
      <c r="J4849">
        <v>-392.30169999999998</v>
      </c>
      <c r="K4849">
        <v>1.112719</v>
      </c>
      <c r="L4849">
        <v>17.457550000000001</v>
      </c>
      <c r="M4849">
        <v>0.97364729999999999</v>
      </c>
      <c r="N4849">
        <v>0</v>
      </c>
      <c r="O4849">
        <v>-0.22770850000000001</v>
      </c>
      <c r="P4849">
        <v>0.97663619999999995</v>
      </c>
      <c r="Q4849">
        <v>0.115955</v>
      </c>
      <c r="R4849">
        <v>-0.1809317</v>
      </c>
      <c r="S4849">
        <v>3.0137330000000002</v>
      </c>
      <c r="T4849">
        <v>-7.2272539999999996E-2</v>
      </c>
      <c r="U4849">
        <v>-0.35992429999999997</v>
      </c>
      <c r="V4849">
        <v>-4.7458760000000003E-2</v>
      </c>
      <c r="W4849">
        <v>0.12804389999999999</v>
      </c>
      <c r="X4849">
        <v>0.99063239999999997</v>
      </c>
      <c r="Y4849">
        <v>-0.1105559</v>
      </c>
      <c r="Z4849">
        <v>6.7072429999999999E-3</v>
      </c>
      <c r="AA4849">
        <v>0.99384729999999999</v>
      </c>
      <c r="AB4849">
        <v>26</v>
      </c>
      <c r="AC4849">
        <v>46.266199999999898</v>
      </c>
      <c r="AD4849">
        <v>-1.1127223764609999</v>
      </c>
      <c r="AE4849">
        <v>-5.5130699999999999</v>
      </c>
      <c r="AF4849">
        <v>-5.16488847479929</v>
      </c>
      <c r="AG4849">
        <v>-1.1127223764609999</v>
      </c>
      <c r="AH4849">
        <v>46.279638557050198</v>
      </c>
      <c r="AI4849">
        <v>91.368828392363994</v>
      </c>
      <c r="AJ4849">
        <v>96.367958745332899</v>
      </c>
      <c r="AK4849">
        <v>46.580244406995099</v>
      </c>
      <c r="AL4849">
        <v>82.643429102329804</v>
      </c>
      <c r="AM4849">
        <v>92.7428026897813</v>
      </c>
      <c r="AN4849">
        <v>1.0000000630788499</v>
      </c>
    </row>
    <row r="4850" spans="1:40" x14ac:dyDescent="0.25">
      <c r="A4850" t="str">
        <f>"20190312164606434"</f>
        <v>20190312164606434</v>
      </c>
      <c r="B4850" t="str">
        <f>"1552380366426628"</f>
        <v>1552380366426628</v>
      </c>
      <c r="C4850" t="s">
        <v>40</v>
      </c>
      <c r="D4850">
        <v>5.0677450000000004</v>
      </c>
      <c r="E4850">
        <v>0.48056579999999899</v>
      </c>
      <c r="F4850" t="s">
        <v>42</v>
      </c>
      <c r="G4850">
        <v>-344.55020000000002</v>
      </c>
      <c r="H4850" s="1">
        <v>-3.9232419999999999E-6</v>
      </c>
      <c r="I4850">
        <v>11.789110000000001</v>
      </c>
      <c r="J4850">
        <v>-392.173</v>
      </c>
      <c r="K4850">
        <v>1.1127129999999901</v>
      </c>
      <c r="L4850">
        <v>17.430540000000001</v>
      </c>
      <c r="M4850">
        <v>0.97429869999999996</v>
      </c>
      <c r="N4850">
        <v>0</v>
      </c>
      <c r="O4850">
        <v>-0.22490760000000001</v>
      </c>
      <c r="P4850">
        <v>0.97685829999999996</v>
      </c>
      <c r="Q4850">
        <v>0.11619589999999901</v>
      </c>
      <c r="R4850">
        <v>-0.17957319999999999</v>
      </c>
      <c r="S4850">
        <v>3.0138240000000001</v>
      </c>
      <c r="T4850">
        <v>-7.022929E-2</v>
      </c>
      <c r="U4850">
        <v>-0.35775759999999901</v>
      </c>
      <c r="V4850">
        <v>-4.598037E-2</v>
      </c>
      <c r="W4850">
        <v>0.12824959999999999</v>
      </c>
      <c r="X4850">
        <v>0.99067539999999998</v>
      </c>
      <c r="Y4850">
        <v>-0.10841199999999999</v>
      </c>
      <c r="Z4850">
        <v>6.4296639999999999E-3</v>
      </c>
      <c r="AA4850">
        <v>0.99408529999999995</v>
      </c>
      <c r="AB4850">
        <v>26</v>
      </c>
      <c r="AC4850">
        <v>47.622799999999899</v>
      </c>
      <c r="AD4850">
        <v>-1.11271692324199</v>
      </c>
      <c r="AE4850">
        <v>-5.6414299999999997</v>
      </c>
      <c r="AF4850">
        <v>-5.21189934581479</v>
      </c>
      <c r="AG4850">
        <v>-1.11271692324199</v>
      </c>
      <c r="AH4850">
        <v>47.645762014244298</v>
      </c>
      <c r="AI4850">
        <v>91.329909586165002</v>
      </c>
      <c r="AJ4850">
        <v>96.2426797741564</v>
      </c>
      <c r="AK4850">
        <v>47.942889688254901</v>
      </c>
      <c r="AL4850">
        <v>82.631544553913301</v>
      </c>
      <c r="AM4850">
        <v>92.657370786090198</v>
      </c>
      <c r="AN4850">
        <v>0.99999995124532703</v>
      </c>
    </row>
    <row r="4851" spans="1:40" x14ac:dyDescent="0.25">
      <c r="A4851" t="str">
        <f>"20190312164606445"</f>
        <v>20190312164606445</v>
      </c>
      <c r="B4851" t="str">
        <f>"1552380366436388"</f>
        <v>1552380366436388</v>
      </c>
      <c r="C4851" t="s">
        <v>40</v>
      </c>
      <c r="D4851">
        <v>5.0722950000000004</v>
      </c>
      <c r="E4851">
        <v>0.48095779999999999</v>
      </c>
      <c r="F4851" t="s">
        <v>42</v>
      </c>
      <c r="G4851">
        <v>-343.75740000000002</v>
      </c>
      <c r="H4851" s="1">
        <v>-4.2165659999999999E-6</v>
      </c>
      <c r="I4851">
        <v>11.70074</v>
      </c>
      <c r="J4851">
        <v>-392.04579999999999</v>
      </c>
      <c r="K4851">
        <v>1.112706</v>
      </c>
      <c r="L4851">
        <v>17.404139999999899</v>
      </c>
      <c r="M4851">
        <v>0.97493430000000003</v>
      </c>
      <c r="N4851">
        <v>0</v>
      </c>
      <c r="O4851">
        <v>-0.22213930000000001</v>
      </c>
      <c r="P4851">
        <v>0.97712540000000003</v>
      </c>
      <c r="Q4851">
        <v>0.1166408</v>
      </c>
      <c r="R4851">
        <v>-0.17782339999999999</v>
      </c>
      <c r="S4851">
        <v>3.0137330000000002</v>
      </c>
      <c r="T4851">
        <v>-6.9263459999999999E-2</v>
      </c>
      <c r="U4851">
        <v>-0.3566589</v>
      </c>
      <c r="V4851">
        <v>-4.4930669999999999E-2</v>
      </c>
      <c r="W4851">
        <v>0.12865579999999999</v>
      </c>
      <c r="X4851">
        <v>0.99067090000000002</v>
      </c>
      <c r="Y4851">
        <v>-0.1059455</v>
      </c>
      <c r="Z4851">
        <v>6.2516519999999999E-3</v>
      </c>
      <c r="AA4851">
        <v>0.99435229999999997</v>
      </c>
      <c r="AB4851">
        <v>26</v>
      </c>
      <c r="AC4851">
        <v>48.288399999999903</v>
      </c>
      <c r="AD4851">
        <v>-1.1127102165660001</v>
      </c>
      <c r="AE4851">
        <v>-5.7033999999999896</v>
      </c>
      <c r="AF4851">
        <v>-5.1640130514254201</v>
      </c>
      <c r="AG4851">
        <v>-1.1127102165660001</v>
      </c>
      <c r="AH4851">
        <v>48.3234623246232</v>
      </c>
      <c r="AI4851">
        <v>91.311611049163105</v>
      </c>
      <c r="AJ4851">
        <v>96.099677287387493</v>
      </c>
      <c r="AK4851">
        <v>48.611337832450403</v>
      </c>
      <c r="AL4851">
        <v>82.608076625473601</v>
      </c>
      <c r="AM4851">
        <v>92.596800641964606</v>
      </c>
      <c r="AN4851">
        <v>0.99999995604354797</v>
      </c>
    </row>
    <row r="4852" spans="1:40" x14ac:dyDescent="0.25">
      <c r="A4852" t="str">
        <f>"20190312164606455"</f>
        <v>20190312164606455</v>
      </c>
      <c r="B4852" t="str">
        <f>"1552380366446149"</f>
        <v>1552380366446149</v>
      </c>
      <c r="C4852" t="s">
        <v>40</v>
      </c>
      <c r="D4852">
        <v>4.8722390000000004</v>
      </c>
      <c r="E4852">
        <v>0.48135549999999999</v>
      </c>
      <c r="F4852" t="s">
        <v>42</v>
      </c>
      <c r="G4852">
        <v>-342.77429999999998</v>
      </c>
      <c r="H4852" s="1">
        <v>-4.5746570000000003E-6</v>
      </c>
      <c r="I4852">
        <v>11.61225</v>
      </c>
      <c r="J4852">
        <v>-391.92790000000002</v>
      </c>
      <c r="K4852">
        <v>1.1126990000000001</v>
      </c>
      <c r="L4852">
        <v>17.380099999999999</v>
      </c>
      <c r="M4852">
        <v>0.97551540000000003</v>
      </c>
      <c r="N4852">
        <v>0</v>
      </c>
      <c r="O4852">
        <v>-0.21957589999999999</v>
      </c>
      <c r="P4852">
        <v>0.97736129999999999</v>
      </c>
      <c r="Q4852">
        <v>0.1167892</v>
      </c>
      <c r="R4852">
        <v>-0.17642269999999999</v>
      </c>
      <c r="S4852">
        <v>3.0138850000000001</v>
      </c>
      <c r="T4852">
        <v>-6.8063380000000007E-2</v>
      </c>
      <c r="U4852">
        <v>-0.354278599999999</v>
      </c>
      <c r="V4852">
        <v>-4.3741460000000003E-2</v>
      </c>
      <c r="W4852">
        <v>0.12876969999999999</v>
      </c>
      <c r="X4852">
        <v>0.99070939999999996</v>
      </c>
      <c r="Y4852">
        <v>-0.104115899999999</v>
      </c>
      <c r="Z4852">
        <v>6.0666390000000004E-3</v>
      </c>
      <c r="AA4852">
        <v>0.99454670000000001</v>
      </c>
      <c r="AB4852">
        <v>26</v>
      </c>
      <c r="AC4852">
        <v>49.153599999999997</v>
      </c>
      <c r="AD4852">
        <v>-1.112703574657</v>
      </c>
      <c r="AE4852">
        <v>-5.7678499999999904</v>
      </c>
      <c r="AF4852">
        <v>-5.1641124241231298</v>
      </c>
      <c r="AG4852">
        <v>-1.112703574657</v>
      </c>
      <c r="AH4852">
        <v>49.1955494657728</v>
      </c>
      <c r="AI4852">
        <v>91.288615705525203</v>
      </c>
      <c r="AJ4852">
        <v>95.992456859555702</v>
      </c>
      <c r="AK4852">
        <v>49.478361468558496</v>
      </c>
      <c r="AL4852">
        <v>82.601496470183505</v>
      </c>
      <c r="AM4852">
        <v>92.528061656177698</v>
      </c>
      <c r="AN4852">
        <v>1.0000000331046901</v>
      </c>
    </row>
    <row r="4853" spans="1:40" x14ac:dyDescent="0.25">
      <c r="A4853" t="str">
        <f>"20190312164606466"</f>
        <v>20190312164606466</v>
      </c>
      <c r="B4853" t="str">
        <f>"1552380366455908"</f>
        <v>1552380366455908</v>
      </c>
      <c r="C4853" t="s">
        <v>40</v>
      </c>
      <c r="D4853">
        <v>4.9832299999999998</v>
      </c>
      <c r="E4853">
        <v>0.48174850000000002</v>
      </c>
      <c r="F4853" t="s">
        <v>42</v>
      </c>
      <c r="G4853">
        <v>-342.85849999999999</v>
      </c>
      <c r="H4853" s="1">
        <v>-4.5407630000000003E-6</v>
      </c>
      <c r="I4853">
        <v>11.63195</v>
      </c>
      <c r="J4853">
        <v>-391.80200000000002</v>
      </c>
      <c r="K4853">
        <v>1.1126940000000001</v>
      </c>
      <c r="L4853">
        <v>17.354710000000001</v>
      </c>
      <c r="M4853">
        <v>0.97612719999999997</v>
      </c>
      <c r="N4853">
        <v>0</v>
      </c>
      <c r="O4853">
        <v>-0.2168426</v>
      </c>
      <c r="P4853">
        <v>0.97772720000000002</v>
      </c>
      <c r="Q4853">
        <v>0.1166753</v>
      </c>
      <c r="R4853">
        <v>-0.17446120000000001</v>
      </c>
      <c r="S4853">
        <v>3.0139469999999999</v>
      </c>
      <c r="T4853">
        <v>-6.8344710000000003E-2</v>
      </c>
      <c r="U4853">
        <v>-0.35305789999999998</v>
      </c>
      <c r="V4853">
        <v>-4.2953869999999998E-2</v>
      </c>
      <c r="W4853">
        <v>0.12861320000000001</v>
      </c>
      <c r="X4853">
        <v>0.99076410000000004</v>
      </c>
      <c r="Y4853">
        <v>-0.1017299</v>
      </c>
      <c r="Z4853">
        <v>6.0045929999999999E-3</v>
      </c>
      <c r="AA4853">
        <v>0.99479399999999996</v>
      </c>
      <c r="AB4853">
        <v>26</v>
      </c>
      <c r="AC4853">
        <v>48.943499999999901</v>
      </c>
      <c r="AD4853">
        <v>-1.1126985407629999</v>
      </c>
      <c r="AE4853">
        <v>-5.7227600000000001</v>
      </c>
      <c r="AF4853">
        <v>-5.0247216645109898</v>
      </c>
      <c r="AG4853">
        <v>-1.1126985407629999</v>
      </c>
      <c r="AH4853">
        <v>48.994836900768398</v>
      </c>
      <c r="AI4853">
        <v>91.2942077227449</v>
      </c>
      <c r="AJ4853">
        <v>95.855562474067995</v>
      </c>
      <c r="AK4853">
        <v>49.264388444203</v>
      </c>
      <c r="AL4853">
        <v>82.610537799073498</v>
      </c>
      <c r="AM4853">
        <v>92.482463040778995</v>
      </c>
      <c r="AN4853">
        <v>0.99999994600551201</v>
      </c>
    </row>
    <row r="4854" spans="1:40" x14ac:dyDescent="0.25">
      <c r="A4854" t="str">
        <f>"20190312164606482"</f>
        <v>20190312164606482</v>
      </c>
      <c r="B4854" t="str">
        <f>"1552380366476403"</f>
        <v>1552380366476403</v>
      </c>
      <c r="C4854" t="s">
        <v>40</v>
      </c>
      <c r="D4854">
        <v>5.7350529999999997</v>
      </c>
      <c r="E4854">
        <v>0.48231160000000001</v>
      </c>
      <c r="F4854" t="s">
        <v>42</v>
      </c>
      <c r="G4854">
        <v>-343.4495</v>
      </c>
      <c r="H4854" s="1">
        <v>-4.3113440000000001E-6</v>
      </c>
      <c r="I4854">
        <v>11.73837</v>
      </c>
      <c r="J4854">
        <v>-391.64150000000001</v>
      </c>
      <c r="K4854">
        <v>1.112679</v>
      </c>
      <c r="L4854">
        <v>17.322970000000002</v>
      </c>
      <c r="M4854">
        <v>0.97689409999999999</v>
      </c>
      <c r="N4854">
        <v>0</v>
      </c>
      <c r="O4854">
        <v>-0.213365</v>
      </c>
      <c r="P4854">
        <v>0.97815870000000005</v>
      </c>
      <c r="Q4854">
        <v>0.1167112</v>
      </c>
      <c r="R4854">
        <v>-0.1720006</v>
      </c>
      <c r="S4854">
        <v>3.0141300000000002</v>
      </c>
      <c r="T4854">
        <v>-6.9361690000000004E-2</v>
      </c>
      <c r="U4854">
        <v>-0.35009770000000001</v>
      </c>
      <c r="V4854">
        <v>-4.1913659999999998E-2</v>
      </c>
      <c r="W4854">
        <v>0.12859380000000001</v>
      </c>
      <c r="X4854">
        <v>0.9908112</v>
      </c>
      <c r="Y4854">
        <v>-9.9156629999999996E-2</v>
      </c>
      <c r="Z4854">
        <v>5.9866939999999999E-3</v>
      </c>
      <c r="AA4854">
        <v>0.99505379999999999</v>
      </c>
      <c r="AB4854">
        <v>26</v>
      </c>
      <c r="AC4854">
        <v>48.192</v>
      </c>
      <c r="AD4854">
        <v>-1.112683311344</v>
      </c>
      <c r="AE4854">
        <v>-5.5846</v>
      </c>
      <c r="AF4854">
        <v>-4.82475539634705</v>
      </c>
      <c r="AG4854">
        <v>-1.112683311344</v>
      </c>
      <c r="AH4854">
        <v>48.248359356385699</v>
      </c>
      <c r="AI4854">
        <v>91.314543100025702</v>
      </c>
      <c r="AJ4854">
        <v>95.710498442600596</v>
      </c>
      <c r="AK4854">
        <v>48.501757796690796</v>
      </c>
      <c r="AL4854">
        <v>82.611658876188102</v>
      </c>
      <c r="AM4854">
        <v>92.422302942706807</v>
      </c>
      <c r="AN4854">
        <v>0.99999997716923705</v>
      </c>
    </row>
    <row r="4855" spans="1:40" x14ac:dyDescent="0.25">
      <c r="A4855" t="str">
        <f>"20190312164606495"</f>
        <v>20190312164606495</v>
      </c>
      <c r="B4855" t="str">
        <f>"1552380366486164"</f>
        <v>1552380366486164</v>
      </c>
      <c r="C4855" t="s">
        <v>40</v>
      </c>
      <c r="D4855">
        <v>5.1447940000000001</v>
      </c>
      <c r="E4855">
        <v>0.48231160000000001</v>
      </c>
      <c r="F4855" t="s">
        <v>42</v>
      </c>
      <c r="G4855">
        <v>-342.36279999999999</v>
      </c>
      <c r="H4855" s="1">
        <v>-4.7059089999999997E-6</v>
      </c>
      <c r="I4855">
        <v>11.645289999999999</v>
      </c>
      <c r="J4855">
        <v>-391.48399999999998</v>
      </c>
      <c r="K4855">
        <v>1.112663</v>
      </c>
      <c r="L4855">
        <v>17.292359999999999</v>
      </c>
      <c r="M4855">
        <v>0.97763250000000002</v>
      </c>
      <c r="N4855">
        <v>0</v>
      </c>
      <c r="O4855">
        <v>-0.2099597</v>
      </c>
      <c r="P4855">
        <v>0.97864150000000005</v>
      </c>
      <c r="Q4855">
        <v>0.1164356</v>
      </c>
      <c r="R4855">
        <v>-0.1694215</v>
      </c>
      <c r="S4855">
        <v>3.0140380000000002</v>
      </c>
      <c r="T4855">
        <v>-6.8055149999999995E-2</v>
      </c>
      <c r="U4855">
        <v>-0.3472595</v>
      </c>
      <c r="V4855">
        <v>-4.1073039999999998E-2</v>
      </c>
      <c r="W4855">
        <v>0.1282614</v>
      </c>
      <c r="X4855">
        <v>0.99088949999999998</v>
      </c>
      <c r="Y4855">
        <v>-9.6614350000000002E-2</v>
      </c>
      <c r="Z4855">
        <v>5.7711230000000004E-3</v>
      </c>
      <c r="AA4855">
        <v>0.9953052</v>
      </c>
      <c r="AB4855">
        <v>26</v>
      </c>
      <c r="AC4855">
        <v>49.121200000000002</v>
      </c>
      <c r="AD4855">
        <v>-1.112667705909</v>
      </c>
      <c r="AE4855">
        <v>-5.6470700000000003</v>
      </c>
      <c r="AF4855">
        <v>-4.7906506593765696</v>
      </c>
      <c r="AG4855">
        <v>-1.112667705909</v>
      </c>
      <c r="AH4855">
        <v>49.186961442745897</v>
      </c>
      <c r="AI4855">
        <v>91.289776847236993</v>
      </c>
      <c r="AJ4855">
        <v>95.562877482924804</v>
      </c>
      <c r="AK4855">
        <v>49.432231783868801</v>
      </c>
      <c r="AL4855">
        <v>82.630863130101005</v>
      </c>
      <c r="AM4855">
        <v>92.373590035878905</v>
      </c>
      <c r="AN4855">
        <v>0.99999999127752504</v>
      </c>
    </row>
    <row r="4856" spans="1:40" x14ac:dyDescent="0.25">
      <c r="A4856" t="str">
        <f>"20190312164606514"</f>
        <v>20190312164606514</v>
      </c>
      <c r="B4856" t="str">
        <f>"1552380366506660"</f>
        <v>1552380366506660</v>
      </c>
      <c r="C4856" t="s">
        <v>40</v>
      </c>
      <c r="D4856">
        <v>5.019088</v>
      </c>
      <c r="E4856">
        <v>0.45541930000000003</v>
      </c>
      <c r="F4856" t="s">
        <v>42</v>
      </c>
      <c r="G4856">
        <v>-342.83550000000002</v>
      </c>
      <c r="H4856" s="1">
        <v>-4.4999949999999998E-6</v>
      </c>
      <c r="I4856">
        <v>11.814550000000001</v>
      </c>
      <c r="J4856">
        <v>-391.274</v>
      </c>
      <c r="K4856">
        <v>1.1126370000000001</v>
      </c>
      <c r="L4856">
        <v>17.252320000000001</v>
      </c>
      <c r="M4856">
        <v>0.97859439999999998</v>
      </c>
      <c r="N4856">
        <v>0</v>
      </c>
      <c r="O4856">
        <v>-0.20543539999999999</v>
      </c>
      <c r="P4856">
        <v>0.97923740000000004</v>
      </c>
      <c r="Q4856">
        <v>0.116109199999999</v>
      </c>
      <c r="R4856">
        <v>-0.1661714</v>
      </c>
      <c r="S4856">
        <v>3.0149539999999999</v>
      </c>
      <c r="T4856">
        <v>-6.8956729999999994E-2</v>
      </c>
      <c r="U4856">
        <v>-0.33947749999999999</v>
      </c>
      <c r="V4856">
        <v>-3.977808E-2</v>
      </c>
      <c r="W4856">
        <v>0.1278627</v>
      </c>
      <c r="X4856">
        <v>0.99099389999999998</v>
      </c>
      <c r="Y4856">
        <v>-9.4580239999999996E-2</v>
      </c>
      <c r="Z4856">
        <v>5.72296E-3</v>
      </c>
      <c r="AA4856">
        <v>0.99550079999999996</v>
      </c>
      <c r="AB4856">
        <v>26</v>
      </c>
      <c r="AC4856">
        <v>48.438499999999898</v>
      </c>
      <c r="AD4856">
        <v>-1.1126414999950001</v>
      </c>
      <c r="AE4856">
        <v>-5.4377699999999898</v>
      </c>
      <c r="AF4856">
        <v>-4.62754574189875</v>
      </c>
      <c r="AG4856">
        <v>-1.1126414999950001</v>
      </c>
      <c r="AH4856">
        <v>48.497107510171297</v>
      </c>
      <c r="AI4856">
        <v>91.308333385622404</v>
      </c>
      <c r="AJ4856">
        <v>95.450604047048301</v>
      </c>
      <c r="AK4856">
        <v>48.730089139606498</v>
      </c>
      <c r="AL4856">
        <v>82.653896955226699</v>
      </c>
      <c r="AM4856">
        <v>92.298594629519002</v>
      </c>
      <c r="AN4856">
        <v>1.0000000377684899</v>
      </c>
    </row>
    <row r="4857" spans="1:40" x14ac:dyDescent="0.25">
      <c r="A4857" t="str">
        <f>"20190312164606535"</f>
        <v>20190312164606535</v>
      </c>
      <c r="B4857" t="str">
        <f>"1552380366526180"</f>
        <v>1552380366526180</v>
      </c>
      <c r="C4857" t="s">
        <v>40</v>
      </c>
      <c r="D4857">
        <v>4.9024799999999997</v>
      </c>
      <c r="E4857">
        <v>0.44755220000000001</v>
      </c>
      <c r="F4857" t="s">
        <v>64</v>
      </c>
      <c r="G4857">
        <v>-274.49669999999998</v>
      </c>
      <c r="H4857">
        <v>1.5555829999999999</v>
      </c>
      <c r="I4857">
        <v>12.525449999999999</v>
      </c>
      <c r="J4857">
        <v>-391.02289999999999</v>
      </c>
      <c r="K4857">
        <v>1.1126149999999999</v>
      </c>
      <c r="L4857">
        <v>17.205839999999998</v>
      </c>
      <c r="M4857">
        <v>0.97971160000000002</v>
      </c>
      <c r="N4857">
        <v>0</v>
      </c>
      <c r="O4857">
        <v>-0.2000461</v>
      </c>
      <c r="P4857">
        <v>0.97989749999999998</v>
      </c>
      <c r="Q4857">
        <v>0.1161768</v>
      </c>
      <c r="R4857">
        <v>-0.16218479999999999</v>
      </c>
      <c r="S4857">
        <v>3.041382</v>
      </c>
      <c r="T4857">
        <v>1.153624E-2</v>
      </c>
      <c r="U4857">
        <v>-0.12310790000000001</v>
      </c>
      <c r="V4857">
        <v>-3.834775E-2</v>
      </c>
      <c r="W4857">
        <v>0.12784239999999999</v>
      </c>
      <c r="X4857">
        <v>0.99105290000000001</v>
      </c>
      <c r="Y4857">
        <v>-0.16026770000000001</v>
      </c>
      <c r="Z4857">
        <v>-1.0577259999999999E-3</v>
      </c>
      <c r="AA4857">
        <v>0.98707299999999998</v>
      </c>
      <c r="AB4857">
        <v>26</v>
      </c>
      <c r="AC4857">
        <v>116.5262</v>
      </c>
      <c r="AD4857">
        <v>0.44296799999999997</v>
      </c>
      <c r="AE4857">
        <v>-4.6803899999999903</v>
      </c>
      <c r="AF4857">
        <v>-18.726283310345998</v>
      </c>
      <c r="AG4857">
        <v>0.44296799999999997</v>
      </c>
      <c r="AH4857">
        <v>115.105148527629</v>
      </c>
      <c r="AI4857">
        <v>89.782366605140894</v>
      </c>
      <c r="AJ4857">
        <v>99.240408013764494</v>
      </c>
      <c r="AK4857">
        <v>116.619317117002</v>
      </c>
      <c r="AL4857">
        <v>82.655069699488493</v>
      </c>
      <c r="AM4857">
        <v>92.215894495181303</v>
      </c>
      <c r="AN4857">
        <v>1.0000000398831099</v>
      </c>
    </row>
    <row r="4858" spans="1:40" x14ac:dyDescent="0.25">
      <c r="A4858" t="str">
        <f>"20190312164606547"</f>
        <v>20190312164606547</v>
      </c>
      <c r="B4858" t="str">
        <f>"1552380366535941"</f>
        <v>1552380366535941</v>
      </c>
      <c r="C4858" t="s">
        <v>40</v>
      </c>
      <c r="D4858">
        <v>4.8837699999999904</v>
      </c>
      <c r="E4858">
        <v>0.44577899999999998</v>
      </c>
      <c r="F4858" t="s">
        <v>82</v>
      </c>
      <c r="G4858">
        <v>-279.68</v>
      </c>
      <c r="H4858">
        <v>1.076025</v>
      </c>
      <c r="I4858">
        <v>15.46894</v>
      </c>
      <c r="J4858">
        <v>-390.8845</v>
      </c>
      <c r="K4858">
        <v>1.112603</v>
      </c>
      <c r="L4858">
        <v>17.180689999999998</v>
      </c>
      <c r="M4858">
        <v>0.98031250000000003</v>
      </c>
      <c r="N4858">
        <v>0</v>
      </c>
      <c r="O4858">
        <v>-0.19708400000000001</v>
      </c>
      <c r="P4858">
        <v>0.98023380000000004</v>
      </c>
      <c r="Q4858">
        <v>0.11636970000000001</v>
      </c>
      <c r="R4858">
        <v>-0.16000010000000001</v>
      </c>
      <c r="S4858">
        <v>3.0538020000000001</v>
      </c>
      <c r="T4858">
        <v>-1.0035039999999999E-3</v>
      </c>
      <c r="U4858">
        <v>-4.7637939999999997E-2</v>
      </c>
      <c r="V4858">
        <v>-3.7554530000000003E-2</v>
      </c>
      <c r="W4858">
        <v>0.12798760000000001</v>
      </c>
      <c r="X4858">
        <v>0.99106450000000001</v>
      </c>
      <c r="Y4858">
        <v>-0.18178269999999999</v>
      </c>
      <c r="Z4858" s="1">
        <v>9.4284320000000003E-5</v>
      </c>
      <c r="AA4858">
        <v>0.98333870000000001</v>
      </c>
      <c r="AB4858">
        <v>26</v>
      </c>
      <c r="AC4858">
        <v>111.2045</v>
      </c>
      <c r="AD4858">
        <v>-3.6577999999999999E-2</v>
      </c>
      <c r="AE4858">
        <v>-1.7117499999999899</v>
      </c>
      <c r="AF4858">
        <v>-20.240046052546301</v>
      </c>
      <c r="AG4858">
        <v>-3.6577999999999999E-2</v>
      </c>
      <c r="AH4858">
        <v>109.3604534016</v>
      </c>
      <c r="AI4858">
        <v>90.018843814183398</v>
      </c>
      <c r="AJ4858">
        <v>100.48545418868</v>
      </c>
      <c r="AK4858">
        <v>111.21766752797301</v>
      </c>
      <c r="AL4858">
        <v>82.646681192372697</v>
      </c>
      <c r="AM4858">
        <v>92.170077812215098</v>
      </c>
      <c r="AN4858">
        <v>1.0000000058187599</v>
      </c>
    </row>
    <row r="4859" spans="1:40" x14ac:dyDescent="0.25">
      <c r="A4859" t="str">
        <f>"20190312164606558"</f>
        <v>20190312164606558</v>
      </c>
      <c r="B4859" t="str">
        <f>"1552380366546677"</f>
        <v>1552380366546677</v>
      </c>
      <c r="C4859" t="s">
        <v>40</v>
      </c>
      <c r="D4859">
        <v>4.8566260000000003</v>
      </c>
      <c r="E4859">
        <v>0.44496829999999998</v>
      </c>
      <c r="F4859" t="s">
        <v>82</v>
      </c>
      <c r="G4859">
        <v>-279.68</v>
      </c>
      <c r="H4859">
        <v>0.76749880000000004</v>
      </c>
      <c r="I4859">
        <v>16.231629999999999</v>
      </c>
      <c r="J4859">
        <v>-390.76560000000001</v>
      </c>
      <c r="K4859">
        <v>1.112595</v>
      </c>
      <c r="L4859">
        <v>17.159610000000001</v>
      </c>
      <c r="M4859">
        <v>0.98081989999999997</v>
      </c>
      <c r="N4859">
        <v>0</v>
      </c>
      <c r="O4859">
        <v>-0.19454560000000001</v>
      </c>
      <c r="P4859">
        <v>0.98046739999999999</v>
      </c>
      <c r="Q4859">
        <v>0.1168845</v>
      </c>
      <c r="R4859">
        <v>-0.15818260000000001</v>
      </c>
      <c r="S4859">
        <v>3.0573429999999999</v>
      </c>
      <c r="T4859">
        <v>-9.4878670000000005E-3</v>
      </c>
      <c r="U4859">
        <v>-2.6092529999999999E-2</v>
      </c>
      <c r="V4859">
        <v>-3.6815970000000003E-2</v>
      </c>
      <c r="W4859">
        <v>0.12846050000000001</v>
      </c>
      <c r="X4859">
        <v>0.99103110000000005</v>
      </c>
      <c r="Y4859">
        <v>-0.1861797</v>
      </c>
      <c r="Z4859">
        <v>8.8960820000000003E-4</v>
      </c>
      <c r="AA4859">
        <v>0.98251529999999998</v>
      </c>
      <c r="AB4859">
        <v>26</v>
      </c>
      <c r="AC4859">
        <v>111.0856</v>
      </c>
      <c r="AD4859">
        <v>-0.34509620000000002</v>
      </c>
      <c r="AE4859">
        <v>-0.92798000000000103</v>
      </c>
      <c r="AF4859">
        <v>-20.702327757594301</v>
      </c>
      <c r="AG4859">
        <v>-0.34509620000000002</v>
      </c>
      <c r="AH4859">
        <v>109.142325063793</v>
      </c>
      <c r="AI4859">
        <v>90.177988804205498</v>
      </c>
      <c r="AJ4859">
        <v>100.740377414371</v>
      </c>
      <c r="AK4859">
        <v>111.088939981894</v>
      </c>
      <c r="AL4859">
        <v>82.619361030875098</v>
      </c>
      <c r="AM4859">
        <v>92.127511574992397</v>
      </c>
      <c r="AN4859">
        <v>1.00000007843724</v>
      </c>
    </row>
    <row r="4860" spans="1:40" x14ac:dyDescent="0.25">
      <c r="A4860" t="str">
        <f>"20190312164606568"</f>
        <v>20190312164606568</v>
      </c>
      <c r="B4860" t="str">
        <f>"1552380366556436"</f>
        <v>1552380366556436</v>
      </c>
      <c r="C4860" t="s">
        <v>40</v>
      </c>
      <c r="D4860">
        <v>4.8494529999999996</v>
      </c>
      <c r="E4860">
        <v>0.44455889999999998</v>
      </c>
      <c r="F4860" t="s">
        <v>82</v>
      </c>
      <c r="G4860">
        <v>-279.68</v>
      </c>
      <c r="H4860">
        <v>0.87846420000000003</v>
      </c>
      <c r="I4860">
        <v>16.654139999999899</v>
      </c>
      <c r="J4860">
        <v>-390.64830000000001</v>
      </c>
      <c r="K4860">
        <v>1.112584</v>
      </c>
      <c r="L4860">
        <v>17.138919999999999</v>
      </c>
      <c r="M4860">
        <v>0.98131369999999896</v>
      </c>
      <c r="N4860">
        <v>0</v>
      </c>
      <c r="O4860">
        <v>-0.19204260000000001</v>
      </c>
      <c r="P4860">
        <v>0.98073010000000005</v>
      </c>
      <c r="Q4860">
        <v>0.1174896</v>
      </c>
      <c r="R4860">
        <v>-0.15609219999999999</v>
      </c>
      <c r="S4860">
        <v>3.0582889999999998</v>
      </c>
      <c r="T4860">
        <v>-6.445765E-3</v>
      </c>
      <c r="U4860">
        <v>-1.3916019999999999E-2</v>
      </c>
      <c r="V4860">
        <v>-3.6389409999999997E-2</v>
      </c>
      <c r="W4860">
        <v>0.12902179999999999</v>
      </c>
      <c r="X4860">
        <v>0.99097389999999996</v>
      </c>
      <c r="Y4860">
        <v>-0.18758810000000001</v>
      </c>
      <c r="Z4860">
        <v>6.0051959999999998E-4</v>
      </c>
      <c r="AA4860">
        <v>0.9822476</v>
      </c>
      <c r="AB4860">
        <v>26</v>
      </c>
      <c r="AC4860">
        <v>110.9683</v>
      </c>
      <c r="AD4860">
        <v>-0.23411979999999999</v>
      </c>
      <c r="AE4860">
        <v>-0.48478000000000399</v>
      </c>
      <c r="AF4860">
        <v>-20.8363173512946</v>
      </c>
      <c r="AG4860">
        <v>-0.23411979999999999</v>
      </c>
      <c r="AH4860">
        <v>108.99512315853799</v>
      </c>
      <c r="AI4860">
        <v>90.120881262876296</v>
      </c>
      <c r="AJ4860">
        <v>100.82251138759899</v>
      </c>
      <c r="AK4860">
        <v>110.96911194197</v>
      </c>
      <c r="AL4860">
        <v>82.586930767367804</v>
      </c>
      <c r="AM4860">
        <v>92.103005169763605</v>
      </c>
      <c r="AN4860">
        <v>1.00000004225829</v>
      </c>
    </row>
    <row r="4861" spans="1:40" x14ac:dyDescent="0.25">
      <c r="A4861" t="str">
        <f>"20190312164606578"</f>
        <v>20190312164606578</v>
      </c>
      <c r="B4861" t="str">
        <f>"1552380366566197"</f>
        <v>1552380366566197</v>
      </c>
      <c r="C4861" t="s">
        <v>40</v>
      </c>
      <c r="D4861">
        <v>4.8287829999999996</v>
      </c>
      <c r="E4861">
        <v>0.44438860000000002</v>
      </c>
      <c r="F4861" t="s">
        <v>82</v>
      </c>
      <c r="G4861">
        <v>-279.68</v>
      </c>
      <c r="H4861">
        <v>1.022508</v>
      </c>
      <c r="I4861">
        <v>16.985009999999999</v>
      </c>
      <c r="J4861">
        <v>-390.53449999999998</v>
      </c>
      <c r="K4861">
        <v>1.1125769999999999</v>
      </c>
      <c r="L4861">
        <v>17.119350000000001</v>
      </c>
      <c r="M4861">
        <v>0.98178480000000001</v>
      </c>
      <c r="N4861">
        <v>0</v>
      </c>
      <c r="O4861">
        <v>-0.18962209999999999</v>
      </c>
      <c r="P4861">
        <v>0.98099020000000003</v>
      </c>
      <c r="Q4861">
        <v>0.1177329</v>
      </c>
      <c r="R4861">
        <v>-0.15426280000000001</v>
      </c>
      <c r="S4861">
        <v>3.0585629999999999</v>
      </c>
      <c r="T4861">
        <v>-2.482653E-3</v>
      </c>
      <c r="U4861">
        <v>-4.2419429999999998E-3</v>
      </c>
      <c r="V4861">
        <v>-3.5788349999999997E-2</v>
      </c>
      <c r="W4861">
        <v>0.1292189</v>
      </c>
      <c r="X4861">
        <v>0.99097009999999996</v>
      </c>
      <c r="Y4861">
        <v>-0.18827350000000001</v>
      </c>
      <c r="Z4861">
        <v>2.2962969999999999E-4</v>
      </c>
      <c r="AA4861">
        <v>0.98211660000000001</v>
      </c>
      <c r="AB4861">
        <v>26</v>
      </c>
      <c r="AC4861">
        <v>110.85449999999901</v>
      </c>
      <c r="AD4861">
        <v>-9.0069000000000093E-2</v>
      </c>
      <c r="AE4861">
        <v>-0.13434000000000099</v>
      </c>
      <c r="AF4861">
        <v>-20.890040256412</v>
      </c>
      <c r="AG4861">
        <v>-9.0069000000000093E-2</v>
      </c>
      <c r="AH4861">
        <v>108.868398586263</v>
      </c>
      <c r="AI4861">
        <v>90.046552661792902</v>
      </c>
      <c r="AJ4861">
        <v>100.862082939199</v>
      </c>
      <c r="AK4861">
        <v>110.85454481020101</v>
      </c>
      <c r="AL4861">
        <v>82.575542380031607</v>
      </c>
      <c r="AM4861">
        <v>92.068307248262002</v>
      </c>
      <c r="AN4861">
        <v>1.0000000346034701</v>
      </c>
    </row>
    <row r="4862" spans="1:40" x14ac:dyDescent="0.25">
      <c r="A4862" t="str">
        <f>"20190312164606589"</f>
        <v>20190312164606589</v>
      </c>
      <c r="B4862" t="str">
        <f>"1552380366586691"</f>
        <v>1552380366586691</v>
      </c>
      <c r="C4862" t="s">
        <v>40</v>
      </c>
      <c r="D4862">
        <v>4.8982279999999996</v>
      </c>
      <c r="E4862">
        <v>0.44342379999999998</v>
      </c>
      <c r="F4862" t="s">
        <v>82</v>
      </c>
      <c r="G4862">
        <v>-279.68</v>
      </c>
      <c r="H4862">
        <v>1.006027</v>
      </c>
      <c r="I4862">
        <v>17.217779999999902</v>
      </c>
      <c r="J4862">
        <v>-390.4083</v>
      </c>
      <c r="K4862">
        <v>1.112565</v>
      </c>
      <c r="L4862">
        <v>17.097719999999999</v>
      </c>
      <c r="M4862">
        <v>0.98230050000000002</v>
      </c>
      <c r="N4862">
        <v>0</v>
      </c>
      <c r="O4862">
        <v>-0.18693709999999999</v>
      </c>
      <c r="P4862">
        <v>0.98124210000000001</v>
      </c>
      <c r="Q4862">
        <v>0.11847149999999999</v>
      </c>
      <c r="R4862">
        <v>-0.15208070000000001</v>
      </c>
      <c r="S4862">
        <v>3.0588989999999998</v>
      </c>
      <c r="T4862">
        <v>-2.9400590000000001E-3</v>
      </c>
      <c r="U4862">
        <v>2.7160639999999998E-3</v>
      </c>
      <c r="V4862">
        <v>-3.5270580000000003E-2</v>
      </c>
      <c r="W4862">
        <v>0.12990450000000001</v>
      </c>
      <c r="X4862">
        <v>0.99089899999999997</v>
      </c>
      <c r="Y4862">
        <v>-0.1878223</v>
      </c>
      <c r="Z4862">
        <v>2.6915430000000001E-4</v>
      </c>
      <c r="AA4862">
        <v>0.98220300000000005</v>
      </c>
      <c r="AB4862">
        <v>26</v>
      </c>
      <c r="AC4862">
        <v>110.7283</v>
      </c>
      <c r="AD4862">
        <v>-0.10653799999999999</v>
      </c>
      <c r="AE4862">
        <v>0.120059999999995</v>
      </c>
      <c r="AF4862">
        <v>-20.818602955074901</v>
      </c>
      <c r="AG4862">
        <v>-0.10653799999999999</v>
      </c>
      <c r="AH4862">
        <v>108.753546634733</v>
      </c>
      <c r="AI4862">
        <v>90.055127532318593</v>
      </c>
      <c r="AJ4862">
        <v>100.836979581325</v>
      </c>
      <c r="AK4862">
        <v>110.728313836072</v>
      </c>
      <c r="AL4862">
        <v>82.535926305698794</v>
      </c>
      <c r="AM4862">
        <v>92.038555461874395</v>
      </c>
      <c r="AN4862">
        <v>1.0000000105673901</v>
      </c>
    </row>
    <row r="4863" spans="1:40" x14ac:dyDescent="0.25">
      <c r="A4863" t="str">
        <f>"20190312164606600"</f>
        <v>20190312164606600</v>
      </c>
      <c r="B4863" t="str">
        <f>"1552380366596452"</f>
        <v>1552380366596452</v>
      </c>
      <c r="C4863" t="s">
        <v>40</v>
      </c>
      <c r="D4863">
        <v>4.9038029999999999</v>
      </c>
      <c r="E4863">
        <v>0.44339400000000001</v>
      </c>
      <c r="F4863" t="s">
        <v>82</v>
      </c>
      <c r="G4863">
        <v>-279.68</v>
      </c>
      <c r="H4863">
        <v>0.558585</v>
      </c>
      <c r="I4863">
        <v>17.75103</v>
      </c>
      <c r="J4863">
        <v>-390.2765</v>
      </c>
      <c r="K4863">
        <v>1.112549</v>
      </c>
      <c r="L4863">
        <v>17.07574</v>
      </c>
      <c r="M4863">
        <v>0.98282890000000001</v>
      </c>
      <c r="N4863">
        <v>0</v>
      </c>
      <c r="O4863">
        <v>-0.18414259999999999</v>
      </c>
      <c r="P4863">
        <v>0.98161200000000004</v>
      </c>
      <c r="Q4863">
        <v>0.11866169999999999</v>
      </c>
      <c r="R4863">
        <v>-0.1495253</v>
      </c>
      <c r="S4863">
        <v>3.0620120000000002</v>
      </c>
      <c r="T4863">
        <v>-1.5319350000000001E-2</v>
      </c>
      <c r="U4863">
        <v>1.8066410000000001E-2</v>
      </c>
      <c r="V4863">
        <v>-3.5028070000000001E-2</v>
      </c>
      <c r="W4863">
        <v>0.1300327</v>
      </c>
      <c r="X4863">
        <v>0.99089079999999996</v>
      </c>
      <c r="Y4863">
        <v>-0.1899467</v>
      </c>
      <c r="Z4863">
        <v>1.392622E-3</v>
      </c>
      <c r="AA4863">
        <v>0.98179340000000004</v>
      </c>
      <c r="AB4863">
        <v>26</v>
      </c>
      <c r="AC4863">
        <v>110.59650000000001</v>
      </c>
      <c r="AD4863">
        <v>-0.55396400000000001</v>
      </c>
      <c r="AE4863">
        <v>0.67528999999999995</v>
      </c>
      <c r="AF4863">
        <v>-21.030154157459702</v>
      </c>
      <c r="AG4863">
        <v>-0.55396400000000001</v>
      </c>
      <c r="AH4863">
        <v>108.57790159980399</v>
      </c>
      <c r="AI4863">
        <v>90.286986824984993</v>
      </c>
      <c r="AJ4863">
        <v>100.96173089998599</v>
      </c>
      <c r="AK4863">
        <v>110.59717435728901</v>
      </c>
      <c r="AL4863">
        <v>82.528518246172595</v>
      </c>
      <c r="AM4863">
        <v>92.024567406289705</v>
      </c>
      <c r="AN4863">
        <v>1.0000000231409201</v>
      </c>
    </row>
    <row r="4864" spans="1:40" x14ac:dyDescent="0.25">
      <c r="A4864" t="str">
        <f>"20190312164606613"</f>
        <v>20190312164606613</v>
      </c>
      <c r="B4864" t="str">
        <f>"1552380366606212"</f>
        <v>1552380366606212</v>
      </c>
      <c r="C4864" t="s">
        <v>40</v>
      </c>
      <c r="D4864">
        <v>4.9588549999999998</v>
      </c>
      <c r="E4864">
        <v>0.44285249999999998</v>
      </c>
      <c r="F4864" t="s">
        <v>82</v>
      </c>
      <c r="G4864">
        <v>-279.68</v>
      </c>
      <c r="H4864">
        <v>0.26280589999999998</v>
      </c>
      <c r="I4864">
        <v>18.040970000000002</v>
      </c>
      <c r="J4864">
        <v>-390.142</v>
      </c>
      <c r="K4864">
        <v>1.112538</v>
      </c>
      <c r="L4864">
        <v>17.05359</v>
      </c>
      <c r="M4864">
        <v>0.98335890000000004</v>
      </c>
      <c r="N4864">
        <v>0</v>
      </c>
      <c r="O4864">
        <v>-0.18129529999999999</v>
      </c>
      <c r="P4864">
        <v>0.98201499999999997</v>
      </c>
      <c r="Q4864">
        <v>0.1187052</v>
      </c>
      <c r="R4864">
        <v>-0.14681930000000001</v>
      </c>
      <c r="S4864">
        <v>3.0631409999999999</v>
      </c>
      <c r="T4864">
        <v>-2.3534889999999999E-2</v>
      </c>
      <c r="U4864">
        <v>2.6733400000000001E-2</v>
      </c>
      <c r="V4864">
        <v>-3.4887370000000001E-2</v>
      </c>
      <c r="W4864">
        <v>0.13001190000000001</v>
      </c>
      <c r="X4864">
        <v>0.99089850000000002</v>
      </c>
      <c r="Y4864">
        <v>-0.1898724</v>
      </c>
      <c r="Z4864">
        <v>2.1168369999999999E-3</v>
      </c>
      <c r="AA4864">
        <v>0.98180650000000003</v>
      </c>
      <c r="AB4864">
        <v>26</v>
      </c>
      <c r="AC4864">
        <v>110.462</v>
      </c>
      <c r="AD4864">
        <v>-0.84973209999999999</v>
      </c>
      <c r="AE4864">
        <v>0.98738000000000103</v>
      </c>
      <c r="AF4864">
        <v>-20.997389397534501</v>
      </c>
      <c r="AG4864">
        <v>-0.84973209999999999</v>
      </c>
      <c r="AH4864">
        <v>108.445811540279</v>
      </c>
      <c r="AI4864">
        <v>90.440749203086</v>
      </c>
      <c r="AJ4864">
        <v>100.95807426407301</v>
      </c>
      <c r="AK4864">
        <v>110.463145196863</v>
      </c>
      <c r="AL4864">
        <v>82.529720253316597</v>
      </c>
      <c r="AM4864">
        <v>92.016426237932095</v>
      </c>
      <c r="AN4864">
        <v>1.0000000300146801</v>
      </c>
    </row>
    <row r="4865" spans="1:40" x14ac:dyDescent="0.25">
      <c r="A4865" t="str">
        <f>"20190312164606623"</f>
        <v>20190312164606623</v>
      </c>
      <c r="B4865" t="str">
        <f>"1552380366615972"</f>
        <v>1552380366615972</v>
      </c>
      <c r="C4865" t="s">
        <v>40</v>
      </c>
      <c r="D4865">
        <v>4.8825849999999997</v>
      </c>
      <c r="E4865">
        <v>0.44297059999999999</v>
      </c>
      <c r="F4865" t="s">
        <v>82</v>
      </c>
      <c r="G4865">
        <v>-279.68</v>
      </c>
      <c r="H4865">
        <v>0.25429170000000001</v>
      </c>
      <c r="I4865">
        <v>18.4785</v>
      </c>
      <c r="J4865">
        <v>-390.00639999999999</v>
      </c>
      <c r="K4865">
        <v>1.112527</v>
      </c>
      <c r="L4865">
        <v>17.031679999999898</v>
      </c>
      <c r="M4865">
        <v>0.98388399999999998</v>
      </c>
      <c r="N4865">
        <v>0</v>
      </c>
      <c r="O4865">
        <v>-0.17842740000000001</v>
      </c>
      <c r="P4865">
        <v>0.98237220000000003</v>
      </c>
      <c r="Q4865">
        <v>0.118655399999999</v>
      </c>
      <c r="R4865">
        <v>-0.14445</v>
      </c>
      <c r="S4865">
        <v>3.0636899999999998</v>
      </c>
      <c r="T4865">
        <v>-2.3803589999999999E-2</v>
      </c>
      <c r="U4865">
        <v>3.9520260000000001E-2</v>
      </c>
      <c r="V4865">
        <v>-3.4387010000000003E-2</v>
      </c>
      <c r="W4865">
        <v>0.12990080000000001</v>
      </c>
      <c r="X4865">
        <v>0.99093059999999999</v>
      </c>
      <c r="Y4865">
        <v>-0.191105</v>
      </c>
      <c r="Z4865">
        <v>2.1234740000000002E-3</v>
      </c>
      <c r="AA4865">
        <v>0.98156730000000003</v>
      </c>
      <c r="AB4865">
        <v>26</v>
      </c>
      <c r="AC4865">
        <v>110.326399999999</v>
      </c>
      <c r="AD4865">
        <v>-0.85823530000000003</v>
      </c>
      <c r="AE4865">
        <v>1.44682</v>
      </c>
      <c r="AF4865">
        <v>-21.108913474751201</v>
      </c>
      <c r="AG4865">
        <v>-0.85823530000000003</v>
      </c>
      <c r="AH4865">
        <v>108.29103654047699</v>
      </c>
      <c r="AI4865">
        <v>90.445686760808698</v>
      </c>
      <c r="AJ4865">
        <v>101.030213518087</v>
      </c>
      <c r="AK4865">
        <v>110.332549100099</v>
      </c>
      <c r="AL4865">
        <v>82.536140551506094</v>
      </c>
      <c r="AM4865">
        <v>91.987465375143401</v>
      </c>
      <c r="AN4865">
        <v>1.00000006915686</v>
      </c>
    </row>
    <row r="4866" spans="1:40" x14ac:dyDescent="0.25">
      <c r="A4866" t="str">
        <f>"20190312164606635"</f>
        <v>20190312164606635</v>
      </c>
      <c r="B4866" t="str">
        <f>"1552380366626708"</f>
        <v>1552380366626708</v>
      </c>
      <c r="C4866" t="s">
        <v>40</v>
      </c>
      <c r="D4866">
        <v>4.8001630000000004</v>
      </c>
      <c r="E4866">
        <v>0.44282589999999999</v>
      </c>
      <c r="F4866" t="s">
        <v>82</v>
      </c>
      <c r="G4866">
        <v>-279.68</v>
      </c>
      <c r="H4866">
        <v>4.9071910000000003E-2</v>
      </c>
      <c r="I4866">
        <v>18.70073</v>
      </c>
      <c r="J4866">
        <v>-389.88600000000002</v>
      </c>
      <c r="K4866">
        <v>1.112517</v>
      </c>
      <c r="L4866">
        <v>17.012539999999898</v>
      </c>
      <c r="M4866">
        <v>0.98434189999999999</v>
      </c>
      <c r="N4866">
        <v>0</v>
      </c>
      <c r="O4866">
        <v>-0.1758874</v>
      </c>
      <c r="P4866">
        <v>0.98268889999999998</v>
      </c>
      <c r="Q4866">
        <v>0.1188616</v>
      </c>
      <c r="R4866">
        <v>-0.1421067</v>
      </c>
      <c r="S4866">
        <v>3.064209</v>
      </c>
      <c r="T4866">
        <v>-2.9536369999999999E-2</v>
      </c>
      <c r="U4866">
        <v>4.6356199999999903E-2</v>
      </c>
      <c r="V4866">
        <v>-3.4188349999999999E-2</v>
      </c>
      <c r="W4866">
        <v>0.13005159999999999</v>
      </c>
      <c r="X4866">
        <v>0.99091759999999995</v>
      </c>
      <c r="Y4866">
        <v>-0.1907528</v>
      </c>
      <c r="Z4866">
        <v>2.6085589999999999E-3</v>
      </c>
      <c r="AA4866">
        <v>0.98163460000000002</v>
      </c>
      <c r="AB4866">
        <v>26</v>
      </c>
      <c r="AC4866">
        <v>110.20599999999899</v>
      </c>
      <c r="AD4866">
        <v>-1.0634450900000001</v>
      </c>
      <c r="AE4866">
        <v>1.6881900000000001</v>
      </c>
      <c r="AF4866">
        <v>-21.045060806092199</v>
      </c>
      <c r="AG4866">
        <v>-1.0634450900000001</v>
      </c>
      <c r="AH4866">
        <v>108.18066519497501</v>
      </c>
      <c r="AI4866">
        <v>90.552851463468201</v>
      </c>
      <c r="AJ4866">
        <v>101.008609141595</v>
      </c>
      <c r="AK4866">
        <v>110.21380050528499</v>
      </c>
      <c r="AL4866">
        <v>82.527425727269602</v>
      </c>
      <c r="AM4866">
        <v>91.976018458241299</v>
      </c>
      <c r="AN4866">
        <v>0.99999997596402002</v>
      </c>
    </row>
    <row r="4867" spans="1:40" x14ac:dyDescent="0.25">
      <c r="A4867" t="str">
        <f>"20190312164606645"</f>
        <v>20190312164606645</v>
      </c>
      <c r="B4867" t="str">
        <f>"1552380366636468"</f>
        <v>1552380366636468</v>
      </c>
      <c r="C4867" t="s">
        <v>40</v>
      </c>
      <c r="D4867">
        <v>4.8449010000000001</v>
      </c>
      <c r="E4867">
        <v>0.44251699999999999</v>
      </c>
      <c r="F4867" t="s">
        <v>43</v>
      </c>
      <c r="G4867">
        <v>-299.31369999999998</v>
      </c>
      <c r="H4867">
        <v>-0.05</v>
      </c>
      <c r="I4867">
        <v>18.649920000000002</v>
      </c>
      <c r="J4867">
        <v>-389.75959999999998</v>
      </c>
      <c r="K4867">
        <v>1.1125069999999999</v>
      </c>
      <c r="L4867">
        <v>16.992739999999898</v>
      </c>
      <c r="M4867">
        <v>0.98481510000000005</v>
      </c>
      <c r="N4867">
        <v>0</v>
      </c>
      <c r="O4867">
        <v>-0.17322270000000001</v>
      </c>
      <c r="P4867">
        <v>0.98300080000000001</v>
      </c>
      <c r="Q4867">
        <v>0.1191161</v>
      </c>
      <c r="R4867">
        <v>-0.1397176</v>
      </c>
      <c r="S4867">
        <v>3.0656129999999999</v>
      </c>
      <c r="T4867">
        <v>-3.9347890000000003E-2</v>
      </c>
      <c r="U4867">
        <v>5.5419919999999998E-2</v>
      </c>
      <c r="V4867">
        <v>-3.3910099999999999E-2</v>
      </c>
      <c r="W4867">
        <v>0.13024820000000001</v>
      </c>
      <c r="X4867">
        <v>0.99090140000000004</v>
      </c>
      <c r="Y4867">
        <v>-0.1909777</v>
      </c>
      <c r="Z4867">
        <v>3.4411060000000002E-3</v>
      </c>
      <c r="AA4867">
        <v>0.98158840000000003</v>
      </c>
      <c r="AB4867">
        <v>26</v>
      </c>
      <c r="AC4867">
        <v>90.445899999999995</v>
      </c>
      <c r="AD4867">
        <v>-1.162507</v>
      </c>
      <c r="AE4867">
        <v>1.6571800000000001</v>
      </c>
      <c r="AF4867">
        <v>-17.2975937770588</v>
      </c>
      <c r="AG4867">
        <v>-1.162507</v>
      </c>
      <c r="AH4867">
        <v>88.776675688122793</v>
      </c>
      <c r="AI4867">
        <v>90.736383826090901</v>
      </c>
      <c r="AJ4867">
        <v>101.02559254734599</v>
      </c>
      <c r="AK4867">
        <v>90.453614185588705</v>
      </c>
      <c r="AL4867">
        <v>82.516065199599495</v>
      </c>
      <c r="AM4867">
        <v>91.959980775130205</v>
      </c>
      <c r="AN4867">
        <v>1.0000000365035999</v>
      </c>
    </row>
    <row r="4868" spans="1:40" x14ac:dyDescent="0.25">
      <c r="A4868" t="str">
        <f>"20190312164606656"</f>
        <v>20190312164606656</v>
      </c>
      <c r="B4868" t="str">
        <f>"1552380366646229"</f>
        <v>1552380366646229</v>
      </c>
      <c r="C4868" t="s">
        <v>40</v>
      </c>
      <c r="D4868">
        <v>5.2078670000000002</v>
      </c>
      <c r="E4868">
        <v>0.44284609999999902</v>
      </c>
      <c r="F4868" t="s">
        <v>42</v>
      </c>
      <c r="G4868">
        <v>-320.22949999999997</v>
      </c>
      <c r="H4868" s="1">
        <v>-4.7993820000000001E-6</v>
      </c>
      <c r="I4868">
        <v>18.487010000000001</v>
      </c>
      <c r="J4868">
        <v>-389.63499999999999</v>
      </c>
      <c r="K4868">
        <v>1.112498</v>
      </c>
      <c r="L4868">
        <v>16.973689999999898</v>
      </c>
      <c r="M4868">
        <v>0.98527279999999995</v>
      </c>
      <c r="N4868">
        <v>0</v>
      </c>
      <c r="O4868">
        <v>-0.17060410000000001</v>
      </c>
      <c r="P4868">
        <v>0.98332759999999997</v>
      </c>
      <c r="Q4868">
        <v>0.1194026</v>
      </c>
      <c r="R4868">
        <v>-0.1371482</v>
      </c>
      <c r="S4868">
        <v>3.0672299999999999</v>
      </c>
      <c r="T4868">
        <v>-4.9077030000000001E-2</v>
      </c>
      <c r="U4868">
        <v>6.5917970000000006E-2</v>
      </c>
      <c r="V4868">
        <v>-3.3860889999999998E-2</v>
      </c>
      <c r="W4868">
        <v>0.1304747</v>
      </c>
      <c r="X4868">
        <v>0.99087329999999996</v>
      </c>
      <c r="Y4868">
        <v>-0.1917008</v>
      </c>
      <c r="Z4868">
        <v>4.2539769999999999E-3</v>
      </c>
      <c r="AA4868">
        <v>0.98144419999999999</v>
      </c>
      <c r="AB4868">
        <v>26</v>
      </c>
      <c r="AC4868">
        <v>69.405500000000004</v>
      </c>
      <c r="AD4868">
        <v>-1.112502799382</v>
      </c>
      <c r="AE4868">
        <v>1.51332</v>
      </c>
      <c r="AF4868">
        <v>-13.3293511460546</v>
      </c>
      <c r="AG4868">
        <v>-1.112502799382</v>
      </c>
      <c r="AH4868">
        <v>68.112169205933</v>
      </c>
      <c r="AI4868">
        <v>90.918334649844297</v>
      </c>
      <c r="AJ4868">
        <v>101.072679427232</v>
      </c>
      <c r="AK4868">
        <v>69.413088523643097</v>
      </c>
      <c r="AL4868">
        <v>82.502976126198803</v>
      </c>
      <c r="AM4868">
        <v>91.957194143084493</v>
      </c>
      <c r="AN4868">
        <v>1.00000005193228</v>
      </c>
    </row>
    <row r="4869" spans="1:40" x14ac:dyDescent="0.25">
      <c r="A4869" t="str">
        <f>"20190312164606667"</f>
        <v>20190312164606667</v>
      </c>
      <c r="B4869" t="str">
        <f>"1552380366655988"</f>
        <v>1552380366655988</v>
      </c>
      <c r="C4869" t="s">
        <v>40</v>
      </c>
      <c r="D4869">
        <v>4.7907580000000003</v>
      </c>
      <c r="E4869">
        <v>0.44315870000000002</v>
      </c>
      <c r="F4869" t="s">
        <v>43</v>
      </c>
      <c r="G4869">
        <v>-313.85180000000003</v>
      </c>
      <c r="H4869">
        <v>-0.05</v>
      </c>
      <c r="I4869">
        <v>18.733180000000001</v>
      </c>
      <c r="J4869">
        <v>-389.5061</v>
      </c>
      <c r="K4869">
        <v>1.1124860000000001</v>
      </c>
      <c r="L4869">
        <v>16.9541</v>
      </c>
      <c r="M4869">
        <v>0.98573940000000004</v>
      </c>
      <c r="N4869">
        <v>0</v>
      </c>
      <c r="O4869">
        <v>-0.16789219999999999</v>
      </c>
      <c r="P4869">
        <v>0.98362769999999999</v>
      </c>
      <c r="Q4869">
        <v>0.1198663</v>
      </c>
      <c r="R4869">
        <v>-0.13456899999999999</v>
      </c>
      <c r="S4869">
        <v>3.0665279999999999</v>
      </c>
      <c r="T4869">
        <v>-4.7039869999999998E-2</v>
      </c>
      <c r="U4869">
        <v>7.1197510000000006E-2</v>
      </c>
      <c r="V4869">
        <v>-3.3725379999999999E-2</v>
      </c>
      <c r="W4869">
        <v>0.13087560000000001</v>
      </c>
      <c r="X4869">
        <v>0.99082499999999996</v>
      </c>
      <c r="Y4869">
        <v>-0.1906977</v>
      </c>
      <c r="Z4869">
        <v>4.0294969999999999E-3</v>
      </c>
      <c r="AA4869">
        <v>0.98164050000000003</v>
      </c>
      <c r="AB4869">
        <v>26</v>
      </c>
      <c r="AC4869">
        <v>75.654299999999907</v>
      </c>
      <c r="AD4869">
        <v>-1.1624859999999999</v>
      </c>
      <c r="AE4869">
        <v>1.77907999999999</v>
      </c>
      <c r="AF4869">
        <v>-14.453005572476799</v>
      </c>
      <c r="AG4869">
        <v>-1.1624859999999999</v>
      </c>
      <c r="AH4869">
        <v>74.264036202141398</v>
      </c>
      <c r="AI4869">
        <v>90.880288432463701</v>
      </c>
      <c r="AJ4869">
        <v>101.013038547888</v>
      </c>
      <c r="AK4869">
        <v>75.666292474332394</v>
      </c>
      <c r="AL4869">
        <v>82.479807208973995</v>
      </c>
      <c r="AM4869">
        <v>91.949462534403096</v>
      </c>
      <c r="AN4869">
        <v>1.00000000227825</v>
      </c>
    </row>
    <row r="4870" spans="1:40" x14ac:dyDescent="0.25">
      <c r="A4870" t="str">
        <f>"20190312164606680"</f>
        <v>20190312164606680</v>
      </c>
      <c r="B4870" t="str">
        <f>"1552380366676485"</f>
        <v>1552380366676485</v>
      </c>
      <c r="C4870" t="s">
        <v>40</v>
      </c>
      <c r="D4870">
        <v>4.7907929999999999</v>
      </c>
      <c r="E4870">
        <v>0.44373210000000002</v>
      </c>
      <c r="F4870" t="s">
        <v>43</v>
      </c>
      <c r="G4870">
        <v>-309.74189999999999</v>
      </c>
      <c r="H4870">
        <v>-0.05</v>
      </c>
      <c r="I4870">
        <v>18.948560000000001</v>
      </c>
      <c r="J4870">
        <v>-389.36559999999997</v>
      </c>
      <c r="K4870">
        <v>1.1124719999999999</v>
      </c>
      <c r="L4870">
        <v>16.933440000000001</v>
      </c>
      <c r="M4870">
        <v>0.98623620000000001</v>
      </c>
      <c r="N4870">
        <v>0</v>
      </c>
      <c r="O4870">
        <v>-0.1649534</v>
      </c>
      <c r="P4870">
        <v>0.9839156</v>
      </c>
      <c r="Q4870">
        <v>0.12048929999999999</v>
      </c>
      <c r="R4870">
        <v>-0.13188169999999999</v>
      </c>
      <c r="S4870">
        <v>3.0658569999999998</v>
      </c>
      <c r="T4870">
        <v>-4.4681909999999998E-2</v>
      </c>
      <c r="U4870">
        <v>7.6660160000000005E-2</v>
      </c>
      <c r="V4870">
        <v>-3.346872E-2</v>
      </c>
      <c r="W4870">
        <v>0.13143009999999999</v>
      </c>
      <c r="X4870">
        <v>0.99076030000000004</v>
      </c>
      <c r="Y4870">
        <v>-0.18952910000000001</v>
      </c>
      <c r="Z4870">
        <v>3.7774499999999999E-3</v>
      </c>
      <c r="AA4870">
        <v>0.98186779999999996</v>
      </c>
      <c r="AB4870">
        <v>26</v>
      </c>
      <c r="AC4870">
        <v>79.6236999999999</v>
      </c>
      <c r="AD4870">
        <v>-1.1624719999999999</v>
      </c>
      <c r="AE4870">
        <v>2.01512</v>
      </c>
      <c r="AF4870">
        <v>-15.1193356505546</v>
      </c>
      <c r="AG4870">
        <v>-1.1624719999999999</v>
      </c>
      <c r="AH4870">
        <v>78.183746269895806</v>
      </c>
      <c r="AI4870">
        <v>90.836344863341097</v>
      </c>
      <c r="AJ4870">
        <v>100.94487785236601</v>
      </c>
      <c r="AK4870">
        <v>79.640717176959001</v>
      </c>
      <c r="AL4870">
        <v>82.447759855972905</v>
      </c>
      <c r="AM4870">
        <v>91.934764114284206</v>
      </c>
      <c r="AN4870">
        <v>0.99999999923026905</v>
      </c>
    </row>
    <row r="4871" spans="1:40" x14ac:dyDescent="0.25">
      <c r="A4871" t="str">
        <f>"20190312164606693"</f>
        <v>20190312164606693</v>
      </c>
      <c r="B4871" t="str">
        <f>"1552380366686244"</f>
        <v>1552380366686244</v>
      </c>
      <c r="C4871" t="s">
        <v>40</v>
      </c>
      <c r="D4871">
        <v>4.7681959999999997</v>
      </c>
      <c r="E4871">
        <v>0.44401400000000002</v>
      </c>
      <c r="F4871" t="s">
        <v>43</v>
      </c>
      <c r="G4871">
        <v>-301.81479999999999</v>
      </c>
      <c r="H4871">
        <v>-0.05</v>
      </c>
      <c r="I4871">
        <v>19.230609999999999</v>
      </c>
      <c r="J4871">
        <v>-389.2269</v>
      </c>
      <c r="K4871">
        <v>1.1124579999999999</v>
      </c>
      <c r="L4871">
        <v>16.913239999999998</v>
      </c>
      <c r="M4871">
        <v>0.98671750000000003</v>
      </c>
      <c r="N4871">
        <v>0</v>
      </c>
      <c r="O4871">
        <v>-0.1620549</v>
      </c>
      <c r="P4871">
        <v>0.98419559999999995</v>
      </c>
      <c r="Q4871">
        <v>0.1210357</v>
      </c>
      <c r="R4871">
        <v>-0.12926569999999901</v>
      </c>
      <c r="S4871">
        <v>3.0647890000000002</v>
      </c>
      <c r="T4871">
        <v>-4.0693279999999998E-2</v>
      </c>
      <c r="U4871">
        <v>8.0413819999999997E-2</v>
      </c>
      <c r="V4871">
        <v>-3.3182179999999999E-2</v>
      </c>
      <c r="W4871">
        <v>0.1319089</v>
      </c>
      <c r="X4871">
        <v>0.99070630000000004</v>
      </c>
      <c r="Y4871">
        <v>-0.1878609</v>
      </c>
      <c r="Z4871">
        <v>3.3922800000000001E-3</v>
      </c>
      <c r="AA4871">
        <v>0.9821898</v>
      </c>
      <c r="AB4871">
        <v>26</v>
      </c>
      <c r="AC4871">
        <v>87.412099999999995</v>
      </c>
      <c r="AD4871">
        <v>-1.162458</v>
      </c>
      <c r="AE4871">
        <v>2.3173699999999999</v>
      </c>
      <c r="AF4871">
        <v>-16.450284463627</v>
      </c>
      <c r="AG4871">
        <v>-1.162458</v>
      </c>
      <c r="AH4871">
        <v>85.865777060852906</v>
      </c>
      <c r="AI4871">
        <v>90.761775393742596</v>
      </c>
      <c r="AJ4871">
        <v>100.84539139908399</v>
      </c>
      <c r="AK4871">
        <v>87.435089282278994</v>
      </c>
      <c r="AL4871">
        <v>82.420085655575804</v>
      </c>
      <c r="AM4871">
        <v>91.918316677816193</v>
      </c>
      <c r="AN4871">
        <v>0.999999993914226</v>
      </c>
    </row>
    <row r="4872" spans="1:40" x14ac:dyDescent="0.25">
      <c r="A4872" t="str">
        <f>"20190312164606703"</f>
        <v>20190312164606703</v>
      </c>
      <c r="B4872" t="str">
        <f>"1552380366696004"</f>
        <v>1552380366696004</v>
      </c>
      <c r="C4872" t="s">
        <v>40</v>
      </c>
      <c r="D4872">
        <v>4.8410449999999896</v>
      </c>
      <c r="E4872">
        <v>0.44432100000000002</v>
      </c>
      <c r="F4872" t="s">
        <v>43</v>
      </c>
      <c r="G4872">
        <v>-294.75170000000003</v>
      </c>
      <c r="H4872">
        <v>-0.05</v>
      </c>
      <c r="I4872">
        <v>19.576049999999999</v>
      </c>
      <c r="J4872">
        <v>-389.0822</v>
      </c>
      <c r="K4872">
        <v>1.1124419999999999</v>
      </c>
      <c r="L4872">
        <v>16.892700000000001</v>
      </c>
      <c r="M4872">
        <v>0.98720770000000002</v>
      </c>
      <c r="N4872">
        <v>0</v>
      </c>
      <c r="O4872">
        <v>-0.1590462</v>
      </c>
      <c r="P4872">
        <v>0.98448619999999998</v>
      </c>
      <c r="Q4872">
        <v>0.1216396</v>
      </c>
      <c r="R4872">
        <v>-0.12645580000000001</v>
      </c>
      <c r="S4872">
        <v>3.0641780000000001</v>
      </c>
      <c r="T4872">
        <v>-3.7702800000000002E-2</v>
      </c>
      <c r="U4872">
        <v>8.6364750000000004E-2</v>
      </c>
      <c r="V4872">
        <v>-3.2979519999999998E-2</v>
      </c>
      <c r="W4872">
        <v>0.13244059999999999</v>
      </c>
      <c r="X4872">
        <v>0.99064209999999997</v>
      </c>
      <c r="Y4872">
        <v>-0.18678230000000001</v>
      </c>
      <c r="Z4872">
        <v>3.1003020000000001E-3</v>
      </c>
      <c r="AA4872">
        <v>0.98239639999999995</v>
      </c>
      <c r="AB4872">
        <v>26</v>
      </c>
      <c r="AC4872">
        <v>94.330499999999901</v>
      </c>
      <c r="AD4872">
        <v>-1.162442</v>
      </c>
      <c r="AE4872">
        <v>2.6833499999999901</v>
      </c>
      <c r="AF4872">
        <v>-17.650358839623301</v>
      </c>
      <c r="AG4872">
        <v>-1.162442</v>
      </c>
      <c r="AH4872">
        <v>92.688761468050402</v>
      </c>
      <c r="AI4872">
        <v>90.705846179544807</v>
      </c>
      <c r="AJ4872">
        <v>100.781528039107</v>
      </c>
      <c r="AK4872">
        <v>94.361501371332494</v>
      </c>
      <c r="AL4872">
        <v>82.389351628397904</v>
      </c>
      <c r="AM4872">
        <v>91.906732711294097</v>
      </c>
      <c r="AN4872">
        <v>0.99999996578009898</v>
      </c>
    </row>
    <row r="4873" spans="1:40" x14ac:dyDescent="0.25">
      <c r="A4873" t="str">
        <f>"20190312164606718"</f>
        <v>20190312164606718</v>
      </c>
      <c r="B4873" t="str">
        <f>"1552380366706741"</f>
        <v>1552380366706741</v>
      </c>
      <c r="C4873" t="s">
        <v>40</v>
      </c>
      <c r="D4873">
        <v>4.9922719999999998</v>
      </c>
      <c r="E4873">
        <v>0.44432100000000002</v>
      </c>
      <c r="F4873" t="s">
        <v>43</v>
      </c>
      <c r="G4873">
        <v>-287.0462</v>
      </c>
      <c r="H4873">
        <v>-0.05</v>
      </c>
      <c r="I4873">
        <v>19.982669999999999</v>
      </c>
      <c r="J4873">
        <v>-388.93329999999997</v>
      </c>
      <c r="K4873">
        <v>1.112422</v>
      </c>
      <c r="L4873">
        <v>16.872039999999998</v>
      </c>
      <c r="M4873">
        <v>0.98769969999999996</v>
      </c>
      <c r="N4873">
        <v>0</v>
      </c>
      <c r="O4873">
        <v>-0.15596650000000001</v>
      </c>
      <c r="P4873">
        <v>0.98479720000000004</v>
      </c>
      <c r="Q4873">
        <v>0.1220376</v>
      </c>
      <c r="R4873">
        <v>-0.12361809999999999</v>
      </c>
      <c r="S4873">
        <v>3.0635379999999999</v>
      </c>
      <c r="T4873">
        <v>-3.4901260000000003E-2</v>
      </c>
      <c r="U4873">
        <v>9.2773439999999999E-2</v>
      </c>
      <c r="V4873">
        <v>-3.2736710000000002E-2</v>
      </c>
      <c r="W4873">
        <v>0.13276489999999999</v>
      </c>
      <c r="X4873">
        <v>0.99060680000000001</v>
      </c>
      <c r="Y4873">
        <v>-0.18578140000000001</v>
      </c>
      <c r="Z4873">
        <v>2.8300479999999999E-3</v>
      </c>
      <c r="AA4873">
        <v>0.98258699999999999</v>
      </c>
      <c r="AB4873">
        <v>26</v>
      </c>
      <c r="AC4873">
        <v>101.88709999999899</v>
      </c>
      <c r="AD4873">
        <v>-1.1624219999999901</v>
      </c>
      <c r="AE4873">
        <v>3.11063</v>
      </c>
      <c r="AF4873">
        <v>-18.962050330327699</v>
      </c>
      <c r="AG4873">
        <v>-1.1624219999999901</v>
      </c>
      <c r="AH4873">
        <v>100.141878801641</v>
      </c>
      <c r="AI4873">
        <v>90.653435294969697</v>
      </c>
      <c r="AJ4873">
        <v>100.72212065674699</v>
      </c>
      <c r="AK4873">
        <v>101.927947431303</v>
      </c>
      <c r="AL4873">
        <v>82.370605488251002</v>
      </c>
      <c r="AM4873">
        <v>91.892772136180795</v>
      </c>
      <c r="AN4873">
        <v>1.0000000215299301</v>
      </c>
    </row>
    <row r="4874" spans="1:40" x14ac:dyDescent="0.25">
      <c r="A4874" t="str">
        <f>"20190312164606736"</f>
        <v>20190312164606736</v>
      </c>
      <c r="B4874" t="str">
        <f>"1552380366726260"</f>
        <v>1552380366726260</v>
      </c>
      <c r="C4874" t="s">
        <v>40</v>
      </c>
      <c r="D4874">
        <v>4.9237570000000002</v>
      </c>
      <c r="E4874">
        <v>0.44446000000000002</v>
      </c>
      <c r="F4874" t="s">
        <v>43</v>
      </c>
      <c r="G4874">
        <v>-283.11489999999998</v>
      </c>
      <c r="H4874">
        <v>-0.05</v>
      </c>
      <c r="I4874">
        <v>20.381550000000001</v>
      </c>
      <c r="J4874">
        <v>-388.72140000000002</v>
      </c>
      <c r="K4874">
        <v>1.1123940000000001</v>
      </c>
      <c r="L4874">
        <v>16.843319999999999</v>
      </c>
      <c r="M4874">
        <v>0.98838000000000004</v>
      </c>
      <c r="N4874">
        <v>0</v>
      </c>
      <c r="O4874">
        <v>-0.1516045</v>
      </c>
      <c r="P4874">
        <v>0.98521239999999999</v>
      </c>
      <c r="Q4874">
        <v>0.12243270000000001</v>
      </c>
      <c r="R4874">
        <v>-0.1198616</v>
      </c>
      <c r="S4874">
        <v>3.0632320000000002</v>
      </c>
      <c r="T4874">
        <v>-3.3649800000000001E-2</v>
      </c>
      <c r="U4874">
        <v>0.101593</v>
      </c>
      <c r="V4874">
        <v>-3.2128919999999998E-2</v>
      </c>
      <c r="W4874">
        <v>0.13305739999999999</v>
      </c>
      <c r="X4874">
        <v>0.99058740000000001</v>
      </c>
      <c r="Y4874">
        <v>-0.1842741</v>
      </c>
      <c r="Z4874">
        <v>2.6730090000000001E-3</v>
      </c>
      <c r="AA4874">
        <v>0.98287119999999994</v>
      </c>
      <c r="AB4874">
        <v>26</v>
      </c>
      <c r="AC4874">
        <v>105.6065</v>
      </c>
      <c r="AD4874">
        <v>-1.1623939999999999</v>
      </c>
      <c r="AE4874">
        <v>3.5382299999999902</v>
      </c>
      <c r="AF4874">
        <v>-19.506356652753801</v>
      </c>
      <c r="AG4874">
        <v>-1.1623939999999999</v>
      </c>
      <c r="AH4874">
        <v>103.836660841667</v>
      </c>
      <c r="AI4874">
        <v>90.630342746582897</v>
      </c>
      <c r="AJ4874">
        <v>100.63936756792501</v>
      </c>
      <c r="AK4874">
        <v>105.659364206033</v>
      </c>
      <c r="AL4874">
        <v>82.353696044517903</v>
      </c>
      <c r="AM4874">
        <v>91.857692124575806</v>
      </c>
      <c r="AN4874">
        <v>0.99999996811694203</v>
      </c>
    </row>
    <row r="4875" spans="1:40" x14ac:dyDescent="0.25">
      <c r="A4875" t="str">
        <f>"20190312164606745"</f>
        <v>20190312164606745</v>
      </c>
      <c r="B4875" t="str">
        <f>"1552380366736021"</f>
        <v>1552380366736021</v>
      </c>
      <c r="C4875" t="s">
        <v>40</v>
      </c>
      <c r="D4875">
        <v>4.8896470000000001</v>
      </c>
      <c r="E4875">
        <v>0.44470900000000002</v>
      </c>
      <c r="F4875" t="s">
        <v>43</v>
      </c>
      <c r="G4875">
        <v>-299.1001</v>
      </c>
      <c r="H4875">
        <v>-0.05</v>
      </c>
      <c r="I4875">
        <v>20.149930000000001</v>
      </c>
      <c r="J4875">
        <v>-388.59539999999998</v>
      </c>
      <c r="K4875">
        <v>1.1123730000000001</v>
      </c>
      <c r="L4875">
        <v>16.826599999999999</v>
      </c>
      <c r="M4875">
        <v>0.98877320000000002</v>
      </c>
      <c r="N4875">
        <v>0</v>
      </c>
      <c r="O4875">
        <v>-0.1490234</v>
      </c>
      <c r="P4875">
        <v>0.98543199999999997</v>
      </c>
      <c r="Q4875">
        <v>0.122739</v>
      </c>
      <c r="R4875">
        <v>-0.117724</v>
      </c>
      <c r="S4875">
        <v>3.0637210000000001</v>
      </c>
      <c r="T4875">
        <v>-3.9736630000000002E-2</v>
      </c>
      <c r="U4875">
        <v>0.1130371</v>
      </c>
      <c r="V4875">
        <v>-3.1683860000000001E-2</v>
      </c>
      <c r="W4875">
        <v>0.13330220000000001</v>
      </c>
      <c r="X4875">
        <v>0.99056889999999997</v>
      </c>
      <c r="Y4875">
        <v>-0.18536150000000001</v>
      </c>
      <c r="Z4875">
        <v>3.1297389999999999E-3</v>
      </c>
      <c r="AA4875">
        <v>0.98266540000000002</v>
      </c>
      <c r="AB4875">
        <v>26</v>
      </c>
      <c r="AC4875">
        <v>89.495299999999901</v>
      </c>
      <c r="AD4875">
        <v>-1.1623729999999901</v>
      </c>
      <c r="AE4875">
        <v>3.3233299999999901</v>
      </c>
      <c r="AF4875">
        <v>-16.621107583661299</v>
      </c>
      <c r="AG4875">
        <v>-1.1623729999999901</v>
      </c>
      <c r="AH4875">
        <v>87.985740252343007</v>
      </c>
      <c r="AI4875">
        <v>90.743733683828495</v>
      </c>
      <c r="AJ4875">
        <v>100.697503463001</v>
      </c>
      <c r="AK4875">
        <v>89.549443415643495</v>
      </c>
      <c r="AL4875">
        <v>82.339544558244697</v>
      </c>
      <c r="AM4875">
        <v>91.832010632638102</v>
      </c>
      <c r="AN4875">
        <v>1.00000004457827</v>
      </c>
    </row>
    <row r="4876" spans="1:40" x14ac:dyDescent="0.25">
      <c r="A4876" t="str">
        <f>"20190312164606757"</f>
        <v>20190312164606757</v>
      </c>
      <c r="B4876" t="str">
        <f>"1552380366746757"</f>
        <v>1552380366746757</v>
      </c>
      <c r="C4876" t="s">
        <v>40</v>
      </c>
      <c r="D4876">
        <v>4.8211849999999998</v>
      </c>
      <c r="E4876">
        <v>0.44495129999999999</v>
      </c>
      <c r="F4876" t="s">
        <v>43</v>
      </c>
      <c r="G4876">
        <v>-300.59410000000003</v>
      </c>
      <c r="H4876">
        <v>-0.05</v>
      </c>
      <c r="I4876">
        <v>20.21312</v>
      </c>
      <c r="J4876">
        <v>-388.46719999999999</v>
      </c>
      <c r="K4876">
        <v>1.1123479999999999</v>
      </c>
      <c r="L4876">
        <v>16.810120000000001</v>
      </c>
      <c r="M4876">
        <v>0.98916280000000001</v>
      </c>
      <c r="N4876">
        <v>0</v>
      </c>
      <c r="O4876">
        <v>-0.1464192</v>
      </c>
      <c r="P4876">
        <v>0.98563009999999995</v>
      </c>
      <c r="Q4876">
        <v>0.12314799999999999</v>
      </c>
      <c r="R4876">
        <v>-0.11562</v>
      </c>
      <c r="S4876">
        <v>3.0634459999999999</v>
      </c>
      <c r="T4876">
        <v>-4.0463810000000003E-2</v>
      </c>
      <c r="U4876">
        <v>0.11788940000000001</v>
      </c>
      <c r="V4876">
        <v>-3.1179829999999999E-2</v>
      </c>
      <c r="W4876">
        <v>0.13364719999999999</v>
      </c>
      <c r="X4876">
        <v>0.99053840000000004</v>
      </c>
      <c r="Y4876">
        <v>-0.18433040000000001</v>
      </c>
      <c r="Z4876">
        <v>3.1462999999999999E-3</v>
      </c>
      <c r="AA4876">
        <v>0.98285929999999999</v>
      </c>
      <c r="AB4876">
        <v>26</v>
      </c>
      <c r="AC4876">
        <v>87.873099999999894</v>
      </c>
      <c r="AD4876">
        <v>-1.1623479999999999</v>
      </c>
      <c r="AE4876">
        <v>3.4029999999999898</v>
      </c>
      <c r="AF4876">
        <v>-16.2305552505759</v>
      </c>
      <c r="AG4876">
        <v>-1.1623479999999999</v>
      </c>
      <c r="AH4876">
        <v>86.412555748982001</v>
      </c>
      <c r="AI4876">
        <v>90.757404723209305</v>
      </c>
      <c r="AJ4876">
        <v>100.63771784143999</v>
      </c>
      <c r="AK4876">
        <v>87.931290037653994</v>
      </c>
      <c r="AL4876">
        <v>82.319599002974201</v>
      </c>
      <c r="AM4876">
        <v>91.802941690579303</v>
      </c>
      <c r="AN4876">
        <v>1.0000000388706101</v>
      </c>
    </row>
    <row r="4877" spans="1:40" x14ac:dyDescent="0.25">
      <c r="A4877" t="str">
        <f>"20190312164606768"</f>
        <v>20190312164606768</v>
      </c>
      <c r="B4877" t="str">
        <f>"1552380366756517"</f>
        <v>1552380366756517</v>
      </c>
      <c r="C4877" t="s">
        <v>40</v>
      </c>
      <c r="D4877">
        <v>4.9981809999999998</v>
      </c>
      <c r="E4877">
        <v>0.44512170000000001</v>
      </c>
      <c r="F4877" t="s">
        <v>43</v>
      </c>
      <c r="G4877">
        <v>-297.07530000000003</v>
      </c>
      <c r="H4877">
        <v>-0.05</v>
      </c>
      <c r="I4877">
        <v>20.468830000000001</v>
      </c>
      <c r="J4877">
        <v>-388.33949999999999</v>
      </c>
      <c r="K4877">
        <v>1.1123270000000001</v>
      </c>
      <c r="L4877">
        <v>16.793759999999999</v>
      </c>
      <c r="M4877">
        <v>0.98954379999999997</v>
      </c>
      <c r="N4877">
        <v>0</v>
      </c>
      <c r="O4877">
        <v>-0.14382779999999901</v>
      </c>
      <c r="P4877">
        <v>0.98583410000000005</v>
      </c>
      <c r="Q4877">
        <v>0.1233443</v>
      </c>
      <c r="R4877">
        <v>-0.11365599999999999</v>
      </c>
      <c r="S4877">
        <v>3.0629580000000001</v>
      </c>
      <c r="T4877">
        <v>-3.8955570000000002E-2</v>
      </c>
      <c r="U4877">
        <v>0.1226196</v>
      </c>
      <c r="V4877">
        <v>-3.0551539999999999E-2</v>
      </c>
      <c r="W4877">
        <v>0.13378039999999999</v>
      </c>
      <c r="X4877">
        <v>0.99053999999999998</v>
      </c>
      <c r="Y4877">
        <v>-0.18327979999999999</v>
      </c>
      <c r="Z4877">
        <v>2.990071E-3</v>
      </c>
      <c r="AA4877">
        <v>0.98305620000000005</v>
      </c>
      <c r="AB4877">
        <v>26</v>
      </c>
      <c r="AC4877">
        <v>91.264199999999903</v>
      </c>
      <c r="AD4877">
        <v>-1.1623270000000001</v>
      </c>
      <c r="AE4877">
        <v>3.6750699999999998</v>
      </c>
      <c r="AF4877">
        <v>-16.761235169730199</v>
      </c>
      <c r="AG4877">
        <v>-1.1623270000000001</v>
      </c>
      <c r="AH4877">
        <v>89.772044561879298</v>
      </c>
      <c r="AI4877">
        <v>90.729198139804097</v>
      </c>
      <c r="AJ4877">
        <v>100.57585892685999</v>
      </c>
      <c r="AK4877">
        <v>91.330772433446398</v>
      </c>
      <c r="AL4877">
        <v>82.311898073545095</v>
      </c>
      <c r="AM4877">
        <v>91.766631872372997</v>
      </c>
      <c r="AN4877">
        <v>1.0000000418102599</v>
      </c>
    </row>
    <row r="4878" spans="1:40" x14ac:dyDescent="0.25">
      <c r="A4878" t="str">
        <f>"20190312164606779"</f>
        <v>20190312164606779</v>
      </c>
      <c r="B4878" t="str">
        <f>"1552380366776037"</f>
        <v>1552380366776037</v>
      </c>
      <c r="C4878" t="s">
        <v>40</v>
      </c>
      <c r="D4878">
        <v>4.8137220000000003</v>
      </c>
      <c r="E4878">
        <v>0.445467</v>
      </c>
      <c r="F4878" t="s">
        <v>43</v>
      </c>
      <c r="G4878">
        <v>-296.18860000000001</v>
      </c>
      <c r="H4878">
        <v>-0.05</v>
      </c>
      <c r="I4878">
        <v>20.628329999999998</v>
      </c>
      <c r="J4878">
        <v>-388.21010000000001</v>
      </c>
      <c r="K4878">
        <v>1.112301</v>
      </c>
      <c r="L4878">
        <v>16.777799999999999</v>
      </c>
      <c r="M4878">
        <v>0.98991810000000002</v>
      </c>
      <c r="N4878">
        <v>0</v>
      </c>
      <c r="O4878">
        <v>-0.1412349</v>
      </c>
      <c r="P4878">
        <v>0.9860411</v>
      </c>
      <c r="Q4878">
        <v>0.12363059999999999</v>
      </c>
      <c r="R4878">
        <v>-0.11152720000000001</v>
      </c>
      <c r="S4878">
        <v>3.0626220000000002</v>
      </c>
      <c r="T4878">
        <v>-3.8629770000000001E-2</v>
      </c>
      <c r="U4878">
        <v>0.12744140000000001</v>
      </c>
      <c r="V4878">
        <v>-3.0085879999999999E-2</v>
      </c>
      <c r="W4878">
        <v>0.133998799999999</v>
      </c>
      <c r="X4878">
        <v>0.99052470000000004</v>
      </c>
      <c r="Y4878">
        <v>-0.18225430000000001</v>
      </c>
      <c r="Z4878">
        <v>2.9263940000000001E-3</v>
      </c>
      <c r="AA4878">
        <v>0.98324710000000004</v>
      </c>
      <c r="AB4878">
        <v>26</v>
      </c>
      <c r="AC4878">
        <v>92.021500000000003</v>
      </c>
      <c r="AD4878">
        <v>-1.162301</v>
      </c>
      <c r="AE4878">
        <v>3.8505299999999898</v>
      </c>
      <c r="AF4878">
        <v>-16.8066454868714</v>
      </c>
      <c r="AG4878">
        <v>-1.162301</v>
      </c>
      <c r="AH4878">
        <v>90.540700621794699</v>
      </c>
      <c r="AI4878">
        <v>90.723132969297794</v>
      </c>
      <c r="AJ4878">
        <v>100.51585618511299</v>
      </c>
      <c r="AK4878">
        <v>92.094694446647907</v>
      </c>
      <c r="AL4878">
        <v>82.299270737815903</v>
      </c>
      <c r="AM4878">
        <v>91.739748780437395</v>
      </c>
      <c r="AN4878">
        <v>1.0000000099434501</v>
      </c>
    </row>
    <row r="4879" spans="1:40" x14ac:dyDescent="0.25">
      <c r="A4879" t="str">
        <f>"20190312164606790"</f>
        <v>20190312164606790</v>
      </c>
      <c r="B4879" t="str">
        <f>"1552380366786772"</f>
        <v>1552380366786772</v>
      </c>
      <c r="C4879" t="s">
        <v>40</v>
      </c>
      <c r="D4879">
        <v>4.8337120000000002</v>
      </c>
      <c r="E4879">
        <v>0.44552249999999999</v>
      </c>
      <c r="F4879" t="s">
        <v>43</v>
      </c>
      <c r="G4879">
        <v>-290.84280000000001</v>
      </c>
      <c r="H4879">
        <v>-0.05</v>
      </c>
      <c r="I4879">
        <v>20.953610000000001</v>
      </c>
      <c r="J4879">
        <v>-388.07979999999998</v>
      </c>
      <c r="K4879">
        <v>1.112276</v>
      </c>
      <c r="L4879">
        <v>16.761810000000001</v>
      </c>
      <c r="M4879">
        <v>0.99028729999999998</v>
      </c>
      <c r="N4879">
        <v>0</v>
      </c>
      <c r="O4879">
        <v>-0.13862720000000001</v>
      </c>
      <c r="P4879">
        <v>0.98621029999999998</v>
      </c>
      <c r="Q4879">
        <v>0.1240906</v>
      </c>
      <c r="R4879">
        <v>-0.1095021</v>
      </c>
      <c r="S4879">
        <v>3.0619200000000002</v>
      </c>
      <c r="T4879">
        <v>-3.6551E-2</v>
      </c>
      <c r="U4879">
        <v>0.13131709999999999</v>
      </c>
      <c r="V4879">
        <v>-2.950003E-2</v>
      </c>
      <c r="W4879">
        <v>0.13439100000000001</v>
      </c>
      <c r="X4879">
        <v>0.99048919999999996</v>
      </c>
      <c r="Y4879">
        <v>-0.1809191</v>
      </c>
      <c r="Z4879">
        <v>2.7306299999999999E-3</v>
      </c>
      <c r="AA4879">
        <v>0.98349419999999999</v>
      </c>
      <c r="AB4879">
        <v>26</v>
      </c>
      <c r="AC4879">
        <v>97.236999999999895</v>
      </c>
      <c r="AD4879">
        <v>-1.1622760000000001</v>
      </c>
      <c r="AE4879">
        <v>4.1917999999999997</v>
      </c>
      <c r="AF4879">
        <v>-17.629266432275301</v>
      </c>
      <c r="AG4879">
        <v>-1.1622760000000001</v>
      </c>
      <c r="AH4879">
        <v>95.703255577528694</v>
      </c>
      <c r="AI4879">
        <v>90.684287270480993</v>
      </c>
      <c r="AJ4879">
        <v>100.437312846701</v>
      </c>
      <c r="AK4879">
        <v>97.320373245164404</v>
      </c>
      <c r="AL4879">
        <v>82.276594332237394</v>
      </c>
      <c r="AM4879">
        <v>91.705952686199296</v>
      </c>
      <c r="AN4879">
        <v>1.00000002398382</v>
      </c>
    </row>
    <row r="4880" spans="1:40" x14ac:dyDescent="0.25">
      <c r="A4880" t="str">
        <f>"20190312164606802"</f>
        <v>20190312164606802</v>
      </c>
      <c r="B4880" t="str">
        <f>"1552380366796532"</f>
        <v>1552380366796532</v>
      </c>
      <c r="C4880" t="s">
        <v>40</v>
      </c>
      <c r="D4880">
        <v>4.8567309999999999</v>
      </c>
      <c r="E4880">
        <v>0.44572509999999999</v>
      </c>
      <c r="F4880" t="s">
        <v>43</v>
      </c>
      <c r="G4880">
        <v>-299.41890000000001</v>
      </c>
      <c r="H4880">
        <v>-0.05</v>
      </c>
      <c r="I4880">
        <v>20.744890000000002</v>
      </c>
      <c r="J4880">
        <v>-387.94099999999997</v>
      </c>
      <c r="K4880">
        <v>1.112247</v>
      </c>
      <c r="L4880">
        <v>16.745329999999999</v>
      </c>
      <c r="M4880">
        <v>0.9906684</v>
      </c>
      <c r="N4880">
        <v>0</v>
      </c>
      <c r="O4880">
        <v>-0.13588349999999999</v>
      </c>
      <c r="P4880">
        <v>0.98634840000000001</v>
      </c>
      <c r="Q4880">
        <v>0.12468700000000001</v>
      </c>
      <c r="R4880">
        <v>-0.10756540000000001</v>
      </c>
      <c r="S4880">
        <v>3.0622859999999998</v>
      </c>
      <c r="T4880">
        <v>-4.014421E-2</v>
      </c>
      <c r="U4880">
        <v>0.13757320000000001</v>
      </c>
      <c r="V4880">
        <v>-2.8687959999999998E-2</v>
      </c>
      <c r="W4880">
        <v>0.13491500000000001</v>
      </c>
      <c r="X4880">
        <v>0.99044180000000004</v>
      </c>
      <c r="Y4880">
        <v>-0.1801905</v>
      </c>
      <c r="Z4880">
        <v>2.9580969999999998E-3</v>
      </c>
      <c r="AA4880">
        <v>0.98362729999999998</v>
      </c>
      <c r="AB4880">
        <v>27</v>
      </c>
      <c r="AC4880">
        <v>88.522099999999895</v>
      </c>
      <c r="AD4880">
        <v>-1.162247</v>
      </c>
      <c r="AE4880">
        <v>3.99955999999999</v>
      </c>
      <c r="AF4880">
        <v>-15.989073791356899</v>
      </c>
      <c r="AG4880">
        <v>-1.162247</v>
      </c>
      <c r="AH4880">
        <v>87.142453768009901</v>
      </c>
      <c r="AI4880">
        <v>90.751581926444402</v>
      </c>
      <c r="AJ4880">
        <v>100.397099910872</v>
      </c>
      <c r="AK4880">
        <v>88.6047885133992</v>
      </c>
      <c r="AL4880">
        <v>82.246295279395596</v>
      </c>
      <c r="AM4880">
        <v>91.659097582520701</v>
      </c>
      <c r="AN4880">
        <v>1.0000000077305999</v>
      </c>
    </row>
    <row r="4881" spans="1:40" x14ac:dyDescent="0.25">
      <c r="A4881" t="str">
        <f>"20190312164606814"</f>
        <v>20190312164606814</v>
      </c>
      <c r="B4881" t="str">
        <f>"1552380366806293"</f>
        <v>1552380366806293</v>
      </c>
      <c r="C4881" t="s">
        <v>40</v>
      </c>
      <c r="D4881">
        <v>4.9215629999999999</v>
      </c>
      <c r="E4881">
        <v>0.44596910000000001</v>
      </c>
      <c r="F4881" t="s">
        <v>43</v>
      </c>
      <c r="G4881">
        <v>-295.48070000000001</v>
      </c>
      <c r="H4881">
        <v>-0.05</v>
      </c>
      <c r="I4881">
        <v>21.034189999999999</v>
      </c>
      <c r="J4881">
        <v>-387.8066</v>
      </c>
      <c r="K4881">
        <v>1.1122179999999999</v>
      </c>
      <c r="L4881">
        <v>16.729610000000001</v>
      </c>
      <c r="M4881">
        <v>0.99102800000000002</v>
      </c>
      <c r="N4881">
        <v>0</v>
      </c>
      <c r="O4881">
        <v>-0.13324250000000001</v>
      </c>
      <c r="P4881">
        <v>0.98653659999999999</v>
      </c>
      <c r="Q4881">
        <v>0.1248861</v>
      </c>
      <c r="R4881">
        <v>-0.10559010000000001</v>
      </c>
      <c r="S4881">
        <v>3.06189</v>
      </c>
      <c r="T4881">
        <v>-3.8488630000000003E-2</v>
      </c>
      <c r="U4881">
        <v>0.14202879999999901</v>
      </c>
      <c r="V4881">
        <v>-2.8021069999999999E-2</v>
      </c>
      <c r="W4881">
        <v>0.135043</v>
      </c>
      <c r="X4881">
        <v>0.99044339999999997</v>
      </c>
      <c r="Y4881">
        <v>-0.1790051</v>
      </c>
      <c r="Z4881">
        <v>2.7959769999999998E-3</v>
      </c>
      <c r="AA4881">
        <v>0.98384419999999995</v>
      </c>
      <c r="AB4881">
        <v>27</v>
      </c>
      <c r="AC4881">
        <v>92.325900000000004</v>
      </c>
      <c r="AD4881">
        <v>-1.162218</v>
      </c>
      <c r="AE4881">
        <v>4.3045799999999899</v>
      </c>
      <c r="AF4881">
        <v>-16.5659844323493</v>
      </c>
      <c r="AG4881">
        <v>-1.162218</v>
      </c>
      <c r="AH4881">
        <v>90.914622139779993</v>
      </c>
      <c r="AI4881">
        <v>90.720544706900597</v>
      </c>
      <c r="AJ4881">
        <v>100.326839087493</v>
      </c>
      <c r="AK4881">
        <v>92.418889355538894</v>
      </c>
      <c r="AL4881">
        <v>82.238893314129896</v>
      </c>
      <c r="AM4881">
        <v>91.620547834002394</v>
      </c>
      <c r="AN4881">
        <v>0.99999996040825101</v>
      </c>
    </row>
    <row r="4882" spans="1:40" x14ac:dyDescent="0.25">
      <c r="A4882" t="str">
        <f>"20190312164606824"</f>
        <v>20190312164606824</v>
      </c>
      <c r="B4882" t="str">
        <f>"1552380366816052"</f>
        <v>1552380366816052</v>
      </c>
      <c r="C4882" t="s">
        <v>40</v>
      </c>
      <c r="D4882">
        <v>5.0184850000000001</v>
      </c>
      <c r="E4882">
        <v>0.44613459999999999</v>
      </c>
      <c r="F4882" t="s">
        <v>43</v>
      </c>
      <c r="G4882">
        <v>-297.06299999999999</v>
      </c>
      <c r="H4882">
        <v>-0.05</v>
      </c>
      <c r="I4882">
        <v>21.071370000000002</v>
      </c>
      <c r="J4882">
        <v>-387.67250000000001</v>
      </c>
      <c r="K4882">
        <v>1.112188</v>
      </c>
      <c r="L4882">
        <v>16.714289999999998</v>
      </c>
      <c r="M4882">
        <v>0.99137679999999995</v>
      </c>
      <c r="N4882">
        <v>0</v>
      </c>
      <c r="O4882">
        <v>-0.1306282</v>
      </c>
      <c r="P4882">
        <v>0.98668040000000001</v>
      </c>
      <c r="Q4882">
        <v>0.12518299999999999</v>
      </c>
      <c r="R4882">
        <v>-0.10388219999999999</v>
      </c>
      <c r="S4882">
        <v>3.0615540000000001</v>
      </c>
      <c r="T4882">
        <v>-3.9211509999999998E-2</v>
      </c>
      <c r="U4882">
        <v>0.14648439999999999</v>
      </c>
      <c r="V4882">
        <v>-2.711154E-2</v>
      </c>
      <c r="W4882">
        <v>0.13527220000000001</v>
      </c>
      <c r="X4882">
        <v>0.99043749999999997</v>
      </c>
      <c r="Y4882">
        <v>-0.177843</v>
      </c>
      <c r="Z4882">
        <v>2.8080079999999999E-3</v>
      </c>
      <c r="AA4882">
        <v>0.98405489999999995</v>
      </c>
      <c r="AB4882">
        <v>27</v>
      </c>
      <c r="AC4882">
        <v>90.609499999999997</v>
      </c>
      <c r="AD4882">
        <v>-1.162188</v>
      </c>
      <c r="AE4882">
        <v>4.3570799999999998</v>
      </c>
      <c r="AF4882">
        <v>-16.153887502569699</v>
      </c>
      <c r="AG4882">
        <v>-1.162188</v>
      </c>
      <c r="AH4882">
        <v>89.249184074556993</v>
      </c>
      <c r="AI4882">
        <v>90.734127116999503</v>
      </c>
      <c r="AJ4882">
        <v>100.25932815413999</v>
      </c>
      <c r="AK4882">
        <v>90.706756200225698</v>
      </c>
      <c r="AL4882">
        <v>82.225639991556307</v>
      </c>
      <c r="AM4882">
        <v>91.567982848016399</v>
      </c>
      <c r="AN4882">
        <v>1.00000002255013</v>
      </c>
    </row>
    <row r="4883" spans="1:40" x14ac:dyDescent="0.25">
      <c r="A4883" t="str">
        <f>"20190312164606836"</f>
        <v>20190312164606836</v>
      </c>
      <c r="B4883" t="str">
        <f>"1552380366826789"</f>
        <v>1552380366826789</v>
      </c>
      <c r="C4883" t="s">
        <v>40</v>
      </c>
      <c r="D4883">
        <v>4.857437</v>
      </c>
      <c r="E4883">
        <v>0.44631340000000003</v>
      </c>
      <c r="F4883" t="s">
        <v>43</v>
      </c>
      <c r="G4883">
        <v>-294.37689999999998</v>
      </c>
      <c r="H4883">
        <v>-0.05</v>
      </c>
      <c r="I4883">
        <v>21.303280000000001</v>
      </c>
      <c r="J4883">
        <v>-387.54450000000003</v>
      </c>
      <c r="K4883">
        <v>1.1121490000000001</v>
      </c>
      <c r="L4883">
        <v>16.700009999999999</v>
      </c>
      <c r="M4883">
        <v>0.99170000000000003</v>
      </c>
      <c r="N4883">
        <v>0</v>
      </c>
      <c r="O4883">
        <v>-0.1281581</v>
      </c>
      <c r="P4883">
        <v>0.98682700000000001</v>
      </c>
      <c r="Q4883">
        <v>0.1254277</v>
      </c>
      <c r="R4883">
        <v>-0.1021808</v>
      </c>
      <c r="S4883">
        <v>3.0612180000000002</v>
      </c>
      <c r="T4883">
        <v>-3.8133739999999999E-2</v>
      </c>
      <c r="U4883">
        <v>0.1505737</v>
      </c>
      <c r="V4883">
        <v>-2.634154E-2</v>
      </c>
      <c r="W4883">
        <v>0.13545260000000001</v>
      </c>
      <c r="X4883">
        <v>0.99043360000000003</v>
      </c>
      <c r="Y4883">
        <v>-0.17670959999999999</v>
      </c>
      <c r="Z4883">
        <v>2.6934179999999999E-3</v>
      </c>
      <c r="AA4883">
        <v>0.98425940000000001</v>
      </c>
      <c r="AB4883">
        <v>27</v>
      </c>
      <c r="AC4883">
        <v>93.167599999999993</v>
      </c>
      <c r="AD4883">
        <v>-1.1621489999999901</v>
      </c>
      <c r="AE4883">
        <v>4.6032699999999904</v>
      </c>
      <c r="AF4883">
        <v>-16.503563742813299</v>
      </c>
      <c r="AG4883">
        <v>-1.1621489999999901</v>
      </c>
      <c r="AH4883">
        <v>91.795008668285604</v>
      </c>
      <c r="AI4883">
        <v>90.713896104766903</v>
      </c>
      <c r="AJ4883">
        <v>100.19216106108</v>
      </c>
      <c r="AK4883">
        <v>93.274014725013004</v>
      </c>
      <c r="AL4883">
        <v>82.215207638776107</v>
      </c>
      <c r="AM4883">
        <v>91.523477558675907</v>
      </c>
      <c r="AN4883">
        <v>0.99999999979264498</v>
      </c>
    </row>
    <row r="4884" spans="1:40" x14ac:dyDescent="0.25">
      <c r="A4884" t="str">
        <f>"20190312164606846"</f>
        <v>20190312164606846</v>
      </c>
      <c r="B4884" t="str">
        <f>"1552380366836549"</f>
        <v>1552380366836549</v>
      </c>
      <c r="C4884" t="s">
        <v>40</v>
      </c>
      <c r="D4884">
        <v>4.865691</v>
      </c>
      <c r="E4884">
        <v>0.4466</v>
      </c>
      <c r="F4884" t="s">
        <v>43</v>
      </c>
      <c r="G4884">
        <v>-292.48500000000001</v>
      </c>
      <c r="H4884">
        <v>-0.05</v>
      </c>
      <c r="I4884">
        <v>21.50056</v>
      </c>
      <c r="J4884">
        <v>-387.41770000000002</v>
      </c>
      <c r="K4884">
        <v>1.1121179999999999</v>
      </c>
      <c r="L4884">
        <v>16.686070000000001</v>
      </c>
      <c r="M4884">
        <v>0.99201269999999997</v>
      </c>
      <c r="N4884">
        <v>0</v>
      </c>
      <c r="O4884">
        <v>-0.12571930000000001</v>
      </c>
      <c r="P4884">
        <v>0.9869289</v>
      </c>
      <c r="Q4884">
        <v>0.12578319999999901</v>
      </c>
      <c r="R4884">
        <v>-0.1007489</v>
      </c>
      <c r="S4884">
        <v>3.060791</v>
      </c>
      <c r="T4884">
        <v>-3.7419679999999997E-2</v>
      </c>
      <c r="U4884">
        <v>0.1545715</v>
      </c>
      <c r="V4884">
        <v>-2.5331240000000001E-2</v>
      </c>
      <c r="W4884">
        <v>0.13574739999999999</v>
      </c>
      <c r="X4884">
        <v>0.99041959999999996</v>
      </c>
      <c r="Y4884">
        <v>-0.1755795</v>
      </c>
      <c r="Z4884">
        <v>2.6067360000000001E-3</v>
      </c>
      <c r="AA4884">
        <v>0.98446180000000005</v>
      </c>
      <c r="AB4884">
        <v>27</v>
      </c>
      <c r="AC4884">
        <v>94.932699999999997</v>
      </c>
      <c r="AD4884">
        <v>-1.162118</v>
      </c>
      <c r="AE4884">
        <v>4.8144899999999904</v>
      </c>
      <c r="AF4884">
        <v>-16.709291523261001</v>
      </c>
      <c r="AG4884">
        <v>-1.162118</v>
      </c>
      <c r="AH4884">
        <v>93.560119650484694</v>
      </c>
      <c r="AI4884">
        <v>90.700555440986406</v>
      </c>
      <c r="AJ4884">
        <v>100.125934140982</v>
      </c>
      <c r="AK4884">
        <v>95.047603496712398</v>
      </c>
      <c r="AL4884">
        <v>82.1981594297377</v>
      </c>
      <c r="AM4884">
        <v>91.4650929729018</v>
      </c>
      <c r="AN4884">
        <v>1.00000000619542</v>
      </c>
    </row>
    <row r="4885" spans="1:40" x14ac:dyDescent="0.25">
      <c r="A4885" t="str">
        <f>"20190312164606858"</f>
        <v>20190312164606858</v>
      </c>
      <c r="B4885" t="str">
        <f>"1552380366846309"</f>
        <v>1552380366846309</v>
      </c>
      <c r="C4885" t="s">
        <v>40</v>
      </c>
      <c r="D4885">
        <v>4.7933339999999998</v>
      </c>
      <c r="E4885">
        <v>0.44691510000000001</v>
      </c>
      <c r="F4885" t="s">
        <v>43</v>
      </c>
      <c r="G4885">
        <v>-293.01170000000002</v>
      </c>
      <c r="H4885">
        <v>-0.05</v>
      </c>
      <c r="I4885">
        <v>21.527480000000001</v>
      </c>
      <c r="J4885">
        <v>-387.28739999999999</v>
      </c>
      <c r="K4885">
        <v>1.1120859999999999</v>
      </c>
      <c r="L4885">
        <v>16.672179999999901</v>
      </c>
      <c r="M4885">
        <v>0.99232350000000002</v>
      </c>
      <c r="N4885">
        <v>0</v>
      </c>
      <c r="O4885">
        <v>-0.1232487</v>
      </c>
      <c r="P4885">
        <v>0.98704800000000004</v>
      </c>
      <c r="Q4885">
        <v>0.12595629999999999</v>
      </c>
      <c r="R4885">
        <v>-9.9355529999999997E-2</v>
      </c>
      <c r="S4885">
        <v>3.0605159999999998</v>
      </c>
      <c r="T4885">
        <v>-3.7674310000000003E-2</v>
      </c>
      <c r="U4885">
        <v>0.15695190000000001</v>
      </c>
      <c r="V4885">
        <v>-2.4252659999999999E-2</v>
      </c>
      <c r="W4885">
        <v>0.1358598</v>
      </c>
      <c r="X4885">
        <v>0.99043119999999996</v>
      </c>
      <c r="Y4885">
        <v>-0.17389589999999999</v>
      </c>
      <c r="Z4885">
        <v>2.5840559999999999E-3</v>
      </c>
      <c r="AA4885">
        <v>0.98476059999999999</v>
      </c>
      <c r="AB4885">
        <v>27</v>
      </c>
      <c r="AC4885">
        <v>94.275699999999901</v>
      </c>
      <c r="AD4885">
        <v>-1.162086</v>
      </c>
      <c r="AE4885">
        <v>4.8552999999999997</v>
      </c>
      <c r="AF4885">
        <v>-16.4357484941333</v>
      </c>
      <c r="AG4885">
        <v>-1.162086</v>
      </c>
      <c r="AH4885">
        <v>92.944324442585696</v>
      </c>
      <c r="AI4885">
        <v>90.705390831487705</v>
      </c>
      <c r="AJ4885">
        <v>100.02819067809099</v>
      </c>
      <c r="AK4885">
        <v>94.393494047643102</v>
      </c>
      <c r="AL4885">
        <v>82.191659267638201</v>
      </c>
      <c r="AM4885">
        <v>91.402719769598605</v>
      </c>
      <c r="AN4885">
        <v>1.0000000193532701</v>
      </c>
    </row>
    <row r="4886" spans="1:40" x14ac:dyDescent="0.25">
      <c r="A4886" t="str">
        <f>"20190312164606870"</f>
        <v>20190312164606870</v>
      </c>
      <c r="B4886" t="str">
        <f>"1552380366866806"</f>
        <v>1552380366866806</v>
      </c>
      <c r="C4886" t="s">
        <v>40</v>
      </c>
      <c r="D4886">
        <v>4.7542390000000001</v>
      </c>
      <c r="E4886">
        <v>0.44755810000000001</v>
      </c>
      <c r="F4886" t="s">
        <v>43</v>
      </c>
      <c r="G4886">
        <v>-289.49720000000002</v>
      </c>
      <c r="H4886">
        <v>-0.05</v>
      </c>
      <c r="I4886">
        <v>21.74944</v>
      </c>
      <c r="J4886">
        <v>-387.14940000000001</v>
      </c>
      <c r="K4886">
        <v>1.1120490000000001</v>
      </c>
      <c r="L4886">
        <v>16.65765</v>
      </c>
      <c r="M4886">
        <v>0.99264450000000004</v>
      </c>
      <c r="N4886">
        <v>0</v>
      </c>
      <c r="O4886">
        <v>-0.1206421</v>
      </c>
      <c r="P4886">
        <v>0.98720019999999997</v>
      </c>
      <c r="Q4886">
        <v>0.12609719999999999</v>
      </c>
      <c r="R4886">
        <v>-9.7650539999999994E-2</v>
      </c>
      <c r="S4886">
        <v>3.0599980000000002</v>
      </c>
      <c r="T4886">
        <v>-3.6363359999999997E-2</v>
      </c>
      <c r="U4886">
        <v>0.1588745</v>
      </c>
      <c r="V4886">
        <v>-2.335083E-2</v>
      </c>
      <c r="W4886">
        <v>0.135935</v>
      </c>
      <c r="X4886">
        <v>0.9904425</v>
      </c>
      <c r="Y4886">
        <v>-0.17193659999999999</v>
      </c>
      <c r="Z4886">
        <v>2.4520779999999999E-3</v>
      </c>
      <c r="AA4886">
        <v>0.98510500000000001</v>
      </c>
      <c r="AB4886">
        <v>27</v>
      </c>
      <c r="AC4886">
        <v>97.652199999999993</v>
      </c>
      <c r="AD4886">
        <v>-1.1620489999999899</v>
      </c>
      <c r="AE4886">
        <v>5.0917899999999996</v>
      </c>
      <c r="AF4886">
        <v>-16.833788365063601</v>
      </c>
      <c r="AG4886">
        <v>-1.1620489999999899</v>
      </c>
      <c r="AH4886">
        <v>96.310964670513499</v>
      </c>
      <c r="AI4886">
        <v>90.680951753982797</v>
      </c>
      <c r="AJ4886">
        <v>99.914336630853697</v>
      </c>
      <c r="AK4886">
        <v>97.777956126946407</v>
      </c>
      <c r="AL4886">
        <v>82.187309856957498</v>
      </c>
      <c r="AM4886">
        <v>91.350564222572302</v>
      </c>
      <c r="AN4886">
        <v>0.99999996564646798</v>
      </c>
    </row>
    <row r="4887" spans="1:40" x14ac:dyDescent="0.25">
      <c r="A4887" t="str">
        <f>"20190312164606883"</f>
        <v>20190312164606883</v>
      </c>
      <c r="B4887" t="str">
        <f>"1552380366876564"</f>
        <v>1552380366876564</v>
      </c>
      <c r="C4887" t="s">
        <v>40</v>
      </c>
      <c r="D4887">
        <v>4.8839030000000001</v>
      </c>
      <c r="E4887">
        <v>0.44784859999999999</v>
      </c>
      <c r="F4887" t="s">
        <v>43</v>
      </c>
      <c r="G4887">
        <v>-285.16559999999998</v>
      </c>
      <c r="H4887">
        <v>-0.05</v>
      </c>
      <c r="I4887">
        <v>21.96133</v>
      </c>
      <c r="J4887">
        <v>-386.99299999999999</v>
      </c>
      <c r="K4887">
        <v>1.1120099999999999</v>
      </c>
      <c r="L4887">
        <v>16.641749999999998</v>
      </c>
      <c r="M4887">
        <v>0.99299479999999996</v>
      </c>
      <c r="N4887">
        <v>0</v>
      </c>
      <c r="O4887">
        <v>-0.1177305</v>
      </c>
      <c r="P4887">
        <v>0.98735799999999996</v>
      </c>
      <c r="Q4887">
        <v>0.12649179999999999</v>
      </c>
      <c r="R4887">
        <v>-9.5520129999999995E-2</v>
      </c>
      <c r="S4887">
        <v>3.0590820000000001</v>
      </c>
      <c r="T4887">
        <v>-3.4856560000000002E-2</v>
      </c>
      <c r="U4887">
        <v>0.15908810000000001</v>
      </c>
      <c r="V4887">
        <v>-2.2570090000000001E-2</v>
      </c>
      <c r="W4887">
        <v>0.13625379999999901</v>
      </c>
      <c r="X4887">
        <v>0.99041679999999999</v>
      </c>
      <c r="Y4887">
        <v>-0.1691328</v>
      </c>
      <c r="Z4887">
        <v>2.3021869999999998E-3</v>
      </c>
      <c r="AA4887">
        <v>0.98559059999999998</v>
      </c>
      <c r="AB4887">
        <v>27</v>
      </c>
      <c r="AC4887">
        <v>101.8274</v>
      </c>
      <c r="AD4887">
        <v>-1.16201</v>
      </c>
      <c r="AE4887">
        <v>5.3195800000000002</v>
      </c>
      <c r="AF4887">
        <v>-17.269134249673499</v>
      </c>
      <c r="AG4887">
        <v>-1.16201</v>
      </c>
      <c r="AH4887">
        <v>100.479820441255</v>
      </c>
      <c r="AI4887">
        <v>90.653000658400501</v>
      </c>
      <c r="AJ4887">
        <v>99.751962529439098</v>
      </c>
      <c r="AK4887">
        <v>101.959637018186</v>
      </c>
      <c r="AL4887">
        <v>82.168872470284299</v>
      </c>
      <c r="AM4887">
        <v>91.3054575768018</v>
      </c>
      <c r="AN4887">
        <v>0.999999972349643</v>
      </c>
    </row>
    <row r="4888" spans="1:40" x14ac:dyDescent="0.25">
      <c r="A4888" t="str">
        <f>"20190312164606896"</f>
        <v>20190312164606896</v>
      </c>
      <c r="B4888" t="str">
        <f>"1552380366886325"</f>
        <v>1552380366886325</v>
      </c>
      <c r="C4888" t="s">
        <v>40</v>
      </c>
      <c r="D4888">
        <v>4.8719999999999999</v>
      </c>
      <c r="E4888">
        <v>0.4479843</v>
      </c>
      <c r="F4888" t="s">
        <v>43</v>
      </c>
      <c r="G4888">
        <v>-280.22480000000002</v>
      </c>
      <c r="H4888">
        <v>-0.05</v>
      </c>
      <c r="I4888">
        <v>22.346579999999999</v>
      </c>
      <c r="J4888">
        <v>-386.83890000000002</v>
      </c>
      <c r="K4888">
        <v>1.111974</v>
      </c>
      <c r="L4888">
        <v>16.626460000000002</v>
      </c>
      <c r="M4888">
        <v>0.99332869999999995</v>
      </c>
      <c r="N4888">
        <v>0</v>
      </c>
      <c r="O4888">
        <v>-0.1148863</v>
      </c>
      <c r="P4888">
        <v>0.98754660000000005</v>
      </c>
      <c r="Q4888">
        <v>0.12657560000000001</v>
      </c>
      <c r="R4888">
        <v>-9.343535E-2</v>
      </c>
      <c r="S4888">
        <v>3.0585019999999998</v>
      </c>
      <c r="T4888">
        <v>-3.3287169999999998E-2</v>
      </c>
      <c r="U4888">
        <v>0.1634216</v>
      </c>
      <c r="V4888">
        <v>-2.1813470000000001E-2</v>
      </c>
      <c r="W4888">
        <v>0.1362661</v>
      </c>
      <c r="X4888">
        <v>0.99043210000000004</v>
      </c>
      <c r="Y4888">
        <v>-0.1677141</v>
      </c>
      <c r="Z4888">
        <v>2.1603619999999999E-3</v>
      </c>
      <c r="AA4888">
        <v>0.98583330000000002</v>
      </c>
      <c r="AB4888">
        <v>27</v>
      </c>
      <c r="AC4888">
        <v>106.61409999999999</v>
      </c>
      <c r="AD4888">
        <v>-1.1619740000000001</v>
      </c>
      <c r="AE4888">
        <v>5.7201199999999899</v>
      </c>
      <c r="AF4888">
        <v>-17.9292249232039</v>
      </c>
      <c r="AG4888">
        <v>-1.1619740000000001</v>
      </c>
      <c r="AH4888">
        <v>105.238439259684</v>
      </c>
      <c r="AI4888">
        <v>90.623612056844095</v>
      </c>
      <c r="AJ4888">
        <v>99.668516840975798</v>
      </c>
      <c r="AK4888">
        <v>106.761118333116</v>
      </c>
      <c r="AL4888">
        <v>82.168161402647698</v>
      </c>
      <c r="AM4888">
        <v>91.261689463597605</v>
      </c>
      <c r="AN4888">
        <v>1.0000000110965299</v>
      </c>
    </row>
    <row r="4889" spans="1:40" x14ac:dyDescent="0.25">
      <c r="A4889" t="str">
        <f>"20190312164606916"</f>
        <v>20190312164606916</v>
      </c>
      <c r="B4889" t="str">
        <f>"1552380366906820"</f>
        <v>1552380366906820</v>
      </c>
      <c r="C4889" t="s">
        <v>40</v>
      </c>
      <c r="D4889">
        <v>5.7452949999999996</v>
      </c>
      <c r="E4889">
        <v>0.44763180000000002</v>
      </c>
      <c r="F4889" t="s">
        <v>43</v>
      </c>
      <c r="G4889">
        <v>-281.33260000000001</v>
      </c>
      <c r="H4889">
        <v>-0.05</v>
      </c>
      <c r="I4889">
        <v>22.45505</v>
      </c>
      <c r="J4889">
        <v>-386.60050000000001</v>
      </c>
      <c r="K4889">
        <v>1.1119319999999999</v>
      </c>
      <c r="L4889">
        <v>16.60361</v>
      </c>
      <c r="M4889">
        <v>0.99382340000000002</v>
      </c>
      <c r="N4889">
        <v>0</v>
      </c>
      <c r="O4889">
        <v>-0.11053590000000001</v>
      </c>
      <c r="P4889">
        <v>0.98776090000000005</v>
      </c>
      <c r="Q4889">
        <v>0.1268775</v>
      </c>
      <c r="R4889">
        <v>-9.0722430000000007E-2</v>
      </c>
      <c r="S4889">
        <v>3.0581670000000001</v>
      </c>
      <c r="T4889">
        <v>-3.3680559999999998E-2</v>
      </c>
      <c r="U4889">
        <v>0.16894529999999999</v>
      </c>
      <c r="V4889">
        <v>-2.018023E-2</v>
      </c>
      <c r="W4889">
        <v>0.13646549999999999</v>
      </c>
      <c r="X4889">
        <v>0.99043919999999996</v>
      </c>
      <c r="Y4889">
        <v>-0.16517809999999999</v>
      </c>
      <c r="Z4889">
        <v>2.1243809999999998E-3</v>
      </c>
      <c r="AA4889">
        <v>0.98626150000000001</v>
      </c>
      <c r="AB4889">
        <v>27</v>
      </c>
      <c r="AC4889">
        <v>105.2679</v>
      </c>
      <c r="AD4889">
        <v>-1.161932</v>
      </c>
      <c r="AE4889">
        <v>5.8514400000000002</v>
      </c>
      <c r="AF4889">
        <v>-17.4499058759367</v>
      </c>
      <c r="AG4889">
        <v>-1.161932</v>
      </c>
      <c r="AH4889">
        <v>103.963316729122</v>
      </c>
      <c r="AI4889">
        <v>90.631498950291999</v>
      </c>
      <c r="AJ4889">
        <v>99.528096546415796</v>
      </c>
      <c r="AK4889">
        <v>105.424003558827</v>
      </c>
      <c r="AL4889">
        <v>82.156628345760595</v>
      </c>
      <c r="AM4889">
        <v>91.167241812459594</v>
      </c>
      <c r="AN4889">
        <v>0.99999994163486905</v>
      </c>
    </row>
    <row r="4890" spans="1:40" x14ac:dyDescent="0.25">
      <c r="A4890" t="str">
        <f>"20190312164606926"</f>
        <v>20190312164606926</v>
      </c>
      <c r="B4890" t="str">
        <f>"1552380366916580"</f>
        <v>1552380366916580</v>
      </c>
      <c r="C4890" t="s">
        <v>40</v>
      </c>
      <c r="D4890">
        <v>4.7699360000000004</v>
      </c>
      <c r="E4890">
        <v>0.44763180000000002</v>
      </c>
      <c r="F4890" t="s">
        <v>83</v>
      </c>
      <c r="G4890">
        <v>-279.68</v>
      </c>
      <c r="H4890">
        <v>3.9826380000000002E-2</v>
      </c>
      <c r="I4890">
        <v>22.90297</v>
      </c>
      <c r="J4890">
        <v>-386.46820000000002</v>
      </c>
      <c r="K4890">
        <v>1.1119030000000001</v>
      </c>
      <c r="L4890">
        <v>16.591249999999999</v>
      </c>
      <c r="M4890">
        <v>0.99408730000000001</v>
      </c>
      <c r="N4890">
        <v>0</v>
      </c>
      <c r="O4890">
        <v>-0.10814360000000001</v>
      </c>
      <c r="P4890">
        <v>0.98785049999999996</v>
      </c>
      <c r="Q4890">
        <v>0.12726799999999999</v>
      </c>
      <c r="R4890">
        <v>-8.9187199999999994E-2</v>
      </c>
      <c r="S4890">
        <v>3.0576479999999999</v>
      </c>
      <c r="T4890">
        <v>-3.065932E-2</v>
      </c>
      <c r="U4890">
        <v>0.18014530000000001</v>
      </c>
      <c r="V4890">
        <v>-1.9325930000000002E-2</v>
      </c>
      <c r="W4890">
        <v>0.136798</v>
      </c>
      <c r="X4890">
        <v>0.99041040000000002</v>
      </c>
      <c r="Y4890">
        <v>-0.16641710000000001</v>
      </c>
      <c r="Z4890">
        <v>1.916318E-3</v>
      </c>
      <c r="AA4890">
        <v>0.98605359999999997</v>
      </c>
      <c r="AB4890">
        <v>27</v>
      </c>
      <c r="AC4890">
        <v>106.7882</v>
      </c>
      <c r="AD4890">
        <v>-1.07207662</v>
      </c>
      <c r="AE4890">
        <v>6.3117200000000002</v>
      </c>
      <c r="AF4890">
        <v>-17.821921338265199</v>
      </c>
      <c r="AG4890">
        <v>-1.07207662</v>
      </c>
      <c r="AH4890">
        <v>105.468659980655</v>
      </c>
      <c r="AI4890">
        <v>90.574244712083299</v>
      </c>
      <c r="AJ4890">
        <v>99.5911443096293</v>
      </c>
      <c r="AK4890">
        <v>106.96919400734799</v>
      </c>
      <c r="AL4890">
        <v>82.137397389319901</v>
      </c>
      <c r="AM4890">
        <v>91.117873680214501</v>
      </c>
      <c r="AN4890">
        <v>0.99999997240126204</v>
      </c>
    </row>
    <row r="4891" spans="1:40" x14ac:dyDescent="0.25">
      <c r="A4891" t="str">
        <f>"20190312164606938"</f>
        <v>20190312164606938</v>
      </c>
      <c r="B4891" t="str">
        <f>"1552380366926340"</f>
        <v>1552380366926340</v>
      </c>
      <c r="C4891" t="s">
        <v>40</v>
      </c>
      <c r="D4891">
        <v>4.78111</v>
      </c>
      <c r="E4891">
        <v>0.42647780000000002</v>
      </c>
      <c r="F4891" t="s">
        <v>83</v>
      </c>
      <c r="G4891">
        <v>-279.68</v>
      </c>
      <c r="H4891">
        <v>8.6448029999999995E-2</v>
      </c>
      <c r="I4891">
        <v>23.051729999999999</v>
      </c>
      <c r="J4891">
        <v>-386.3442</v>
      </c>
      <c r="K4891">
        <v>1.1118859999999999</v>
      </c>
      <c r="L4891">
        <v>16.580110000000001</v>
      </c>
      <c r="M4891">
        <v>0.99432640000000005</v>
      </c>
      <c r="N4891">
        <v>0</v>
      </c>
      <c r="O4891">
        <v>-0.1059277</v>
      </c>
      <c r="P4891">
        <v>0.98790420000000001</v>
      </c>
      <c r="Q4891">
        <v>0.1276621</v>
      </c>
      <c r="R4891">
        <v>-8.8020329999999994E-2</v>
      </c>
      <c r="S4891">
        <v>3.057404</v>
      </c>
      <c r="T4891">
        <v>-2.9359219999999998E-2</v>
      </c>
      <c r="U4891">
        <v>0.18496699999999999</v>
      </c>
      <c r="V4891">
        <v>-1.8278030000000001E-2</v>
      </c>
      <c r="W4891">
        <v>0.13714279999999901</v>
      </c>
      <c r="X4891">
        <v>0.9903826</v>
      </c>
      <c r="Y4891">
        <v>-0.165774799999999</v>
      </c>
      <c r="Z4891">
        <v>1.8108600000000001E-3</v>
      </c>
      <c r="AA4891">
        <v>0.98616190000000004</v>
      </c>
      <c r="AB4891">
        <v>27</v>
      </c>
      <c r="AC4891">
        <v>106.66419999999999</v>
      </c>
      <c r="AD4891">
        <v>-1.02543797</v>
      </c>
      <c r="AE4891">
        <v>6.4716199999999899</v>
      </c>
      <c r="AF4891">
        <v>-17.732799570090201</v>
      </c>
      <c r="AG4891">
        <v>-1.02543797</v>
      </c>
      <c r="AH4891">
        <v>105.368773794048</v>
      </c>
      <c r="AI4891">
        <v>90.549847317359294</v>
      </c>
      <c r="AJ4891">
        <v>99.552947300658701</v>
      </c>
      <c r="AK4891">
        <v>106.855426602885</v>
      </c>
      <c r="AL4891">
        <v>82.117453773490695</v>
      </c>
      <c r="AM4891">
        <v>91.057303612409299</v>
      </c>
      <c r="AN4891">
        <v>0.99999996417763903</v>
      </c>
    </row>
    <row r="4892" spans="1:40" x14ac:dyDescent="0.25">
      <c r="A4892" t="str">
        <f>"20190312164606948"</f>
        <v>20190312164606948</v>
      </c>
      <c r="B4892" t="str">
        <f>"1552380366946837"</f>
        <v>1552380366946837</v>
      </c>
      <c r="C4892" t="s">
        <v>40</v>
      </c>
      <c r="D4892">
        <v>4.7435869999999998</v>
      </c>
      <c r="E4892">
        <v>0.42672929999999998</v>
      </c>
      <c r="F4892" t="s">
        <v>64</v>
      </c>
      <c r="G4892">
        <v>-274.49669999999998</v>
      </c>
      <c r="H4892">
        <v>2.5250149999999998</v>
      </c>
      <c r="I4892">
        <v>29.426089999999999</v>
      </c>
      <c r="J4892">
        <v>-386.20940000000002</v>
      </c>
      <c r="K4892">
        <v>1.111861</v>
      </c>
      <c r="L4892">
        <v>16.568079999999998</v>
      </c>
      <c r="M4892">
        <v>0.99458009999999997</v>
      </c>
      <c r="N4892">
        <v>0</v>
      </c>
      <c r="O4892">
        <v>-0.1035254</v>
      </c>
      <c r="P4892">
        <v>0.9879791</v>
      </c>
      <c r="Q4892">
        <v>0.128221</v>
      </c>
      <c r="R4892">
        <v>-8.6355790000000002E-2</v>
      </c>
      <c r="S4892">
        <v>3.06311</v>
      </c>
      <c r="T4892">
        <v>3.8700819999999997E-2</v>
      </c>
      <c r="U4892">
        <v>0.35180660000000002</v>
      </c>
      <c r="V4892">
        <v>-1.754433E-2</v>
      </c>
      <c r="W4892">
        <v>0.13764399999999999</v>
      </c>
      <c r="X4892">
        <v>0.99032640000000005</v>
      </c>
      <c r="Y4892">
        <v>-0.21631829999999999</v>
      </c>
      <c r="Z4892">
        <v>-2.6659000000000001E-3</v>
      </c>
      <c r="AA4892">
        <v>0.9763193</v>
      </c>
      <c r="AB4892">
        <v>27</v>
      </c>
      <c r="AC4892">
        <v>111.7127</v>
      </c>
      <c r="AD4892">
        <v>1.413154</v>
      </c>
      <c r="AE4892">
        <v>12.85801</v>
      </c>
      <c r="AF4892">
        <v>-24.3507086665096</v>
      </c>
      <c r="AG4892">
        <v>1.413154</v>
      </c>
      <c r="AH4892">
        <v>109.763863303825</v>
      </c>
      <c r="AI4892">
        <v>89.279892285056306</v>
      </c>
      <c r="AJ4892">
        <v>102.508281762884</v>
      </c>
      <c r="AK4892">
        <v>112.441361180705</v>
      </c>
      <c r="AL4892">
        <v>82.088462682810004</v>
      </c>
      <c r="AM4892">
        <v>91.014928938686694</v>
      </c>
      <c r="AN4892">
        <v>1.0000000263940501</v>
      </c>
    </row>
    <row r="4893" spans="1:40" x14ac:dyDescent="0.25">
      <c r="A4893" t="str">
        <f>"20190312164606959"</f>
        <v>20190312164606959</v>
      </c>
      <c r="B4893" t="str">
        <f>"1552380366956596"</f>
        <v>1552380366956596</v>
      </c>
      <c r="C4893" t="s">
        <v>40</v>
      </c>
      <c r="D4893">
        <v>4.9069839999999996</v>
      </c>
      <c r="E4893">
        <v>0.42794900000000002</v>
      </c>
      <c r="F4893" t="s">
        <v>84</v>
      </c>
      <c r="G4893">
        <v>-168.5008</v>
      </c>
      <c r="H4893">
        <v>2.1620560000000002</v>
      </c>
      <c r="I4893">
        <v>41.946950000000001</v>
      </c>
      <c r="J4893">
        <v>-386.07429999999999</v>
      </c>
      <c r="K4893">
        <v>1.1118319999999999</v>
      </c>
      <c r="L4893">
        <v>16.556550000000001</v>
      </c>
      <c r="M4893">
        <v>0.99482429999999999</v>
      </c>
      <c r="N4893">
        <v>0</v>
      </c>
      <c r="O4893">
        <v>-0.10115730000000001</v>
      </c>
      <c r="P4893">
        <v>0.9880177</v>
      </c>
      <c r="Q4893">
        <v>0.12878290000000001</v>
      </c>
      <c r="R4893">
        <v>-8.5066069999999994E-2</v>
      </c>
      <c r="S4893">
        <v>3.0658259999999999</v>
      </c>
      <c r="T4893">
        <v>1.4789099999999999E-2</v>
      </c>
      <c r="U4893">
        <v>0.35739140000000003</v>
      </c>
      <c r="V4893">
        <v>-1.646742E-2</v>
      </c>
      <c r="W4893">
        <v>0.1381512</v>
      </c>
      <c r="X4893">
        <v>0.99027430000000005</v>
      </c>
      <c r="Y4893">
        <v>-0.21567249999999999</v>
      </c>
      <c r="Z4893">
        <v>-1.0048609999999999E-3</v>
      </c>
      <c r="AA4893">
        <v>0.97646520000000003</v>
      </c>
      <c r="AB4893">
        <v>27</v>
      </c>
      <c r="AC4893">
        <v>217.5735</v>
      </c>
      <c r="AD4893">
        <v>1.050224</v>
      </c>
      <c r="AE4893">
        <v>25.3904</v>
      </c>
      <c r="AF4893">
        <v>-47.269218212049097</v>
      </c>
      <c r="AG4893">
        <v>1.050224</v>
      </c>
      <c r="AH4893">
        <v>213.88388312163701</v>
      </c>
      <c r="AI4893">
        <v>89.725294105385601</v>
      </c>
      <c r="AJ4893">
        <v>102.462282501277</v>
      </c>
      <c r="AK4893">
        <v>219.04747754771901</v>
      </c>
      <c r="AL4893">
        <v>82.059122222483595</v>
      </c>
      <c r="AM4893">
        <v>90.952692309980307</v>
      </c>
      <c r="AN4893">
        <v>1.00000005961169</v>
      </c>
    </row>
    <row r="4894" spans="1:40" x14ac:dyDescent="0.25">
      <c r="A4894" t="str">
        <f>"20190312164606971"</f>
        <v>20190312164606971</v>
      </c>
      <c r="B4894" t="str">
        <f>"1552380366966356"</f>
        <v>1552380366966356</v>
      </c>
      <c r="C4894" t="s">
        <v>40</v>
      </c>
      <c r="D4894">
        <v>4.8925910000000004</v>
      </c>
      <c r="E4894">
        <v>0.42718440000000002</v>
      </c>
      <c r="F4894" t="s">
        <v>64</v>
      </c>
      <c r="G4894">
        <v>-274.49669999999998</v>
      </c>
      <c r="H4894">
        <v>1.251466</v>
      </c>
      <c r="I4894">
        <v>29.39838</v>
      </c>
      <c r="J4894">
        <v>-385.94940000000003</v>
      </c>
      <c r="K4894">
        <v>1.1118030000000001</v>
      </c>
      <c r="L4894">
        <v>16.54599</v>
      </c>
      <c r="M4894">
        <v>0.9950445</v>
      </c>
      <c r="N4894">
        <v>0</v>
      </c>
      <c r="O4894">
        <v>-9.8973430000000001E-2</v>
      </c>
      <c r="P4894">
        <v>0.98804510000000001</v>
      </c>
      <c r="Q4894">
        <v>0.12920789999999999</v>
      </c>
      <c r="R4894">
        <v>-8.4097140000000001E-2</v>
      </c>
      <c r="S4894">
        <v>3.0662539999999998</v>
      </c>
      <c r="T4894">
        <v>3.8372279999999998E-3</v>
      </c>
      <c r="U4894">
        <v>0.35290529999999998</v>
      </c>
      <c r="V4894">
        <v>-1.525399E-2</v>
      </c>
      <c r="W4894">
        <v>0.13852799999999901</v>
      </c>
      <c r="X4894">
        <v>0.99024109999999999</v>
      </c>
      <c r="Y4894">
        <v>-0.21210570000000001</v>
      </c>
      <c r="Z4894">
        <v>-2.55763E-4</v>
      </c>
      <c r="AA4894">
        <v>0.97724670000000002</v>
      </c>
      <c r="AB4894">
        <v>27</v>
      </c>
      <c r="AC4894">
        <v>111.45269999999999</v>
      </c>
      <c r="AD4894">
        <v>0.13966299999999901</v>
      </c>
      <c r="AE4894">
        <v>12.85239</v>
      </c>
      <c r="AF4894">
        <v>-23.820599396767001</v>
      </c>
      <c r="AG4894">
        <v>0.13966299999999901</v>
      </c>
      <c r="AH4894">
        <v>109.63315328386901</v>
      </c>
      <c r="AI4894">
        <v>89.928674428660699</v>
      </c>
      <c r="AJ4894">
        <v>102.258438492202</v>
      </c>
      <c r="AK4894">
        <v>112.19121516562301</v>
      </c>
      <c r="AL4894">
        <v>82.037323608391901</v>
      </c>
      <c r="AM4894">
        <v>90.882532675174502</v>
      </c>
      <c r="AN4894">
        <v>1.0000000635620601</v>
      </c>
    </row>
    <row r="4895" spans="1:40" x14ac:dyDescent="0.25">
      <c r="A4895" t="str">
        <f>"20190312164606983"</f>
        <v>20190312164606983</v>
      </c>
      <c r="B4895" t="str">
        <f>"1552380366976117"</f>
        <v>1552380366976117</v>
      </c>
      <c r="C4895" t="s">
        <v>40</v>
      </c>
      <c r="D4895">
        <v>4.7881309999999999</v>
      </c>
      <c r="E4895">
        <v>0.42717080000000002</v>
      </c>
      <c r="F4895" t="s">
        <v>84</v>
      </c>
      <c r="G4895">
        <v>-168.50030000000001</v>
      </c>
      <c r="H4895">
        <v>0.77622000000000002</v>
      </c>
      <c r="I4895">
        <v>42.28246</v>
      </c>
      <c r="J4895">
        <v>-385.78609999999998</v>
      </c>
      <c r="K4895">
        <v>1.1117680000000001</v>
      </c>
      <c r="L4895">
        <v>16.532710000000002</v>
      </c>
      <c r="M4895">
        <v>0.99532120000000002</v>
      </c>
      <c r="N4895">
        <v>0</v>
      </c>
      <c r="O4895">
        <v>-9.6159030000000006E-2</v>
      </c>
      <c r="P4895">
        <v>0.98816179999999998</v>
      </c>
      <c r="Q4895">
        <v>0.12938740000000001</v>
      </c>
      <c r="R4895">
        <v>-8.24347E-2</v>
      </c>
      <c r="S4895">
        <v>3.067841</v>
      </c>
      <c r="T4895">
        <v>-4.7345159999999898E-3</v>
      </c>
      <c r="U4895">
        <v>0.36309809999999998</v>
      </c>
      <c r="V4895">
        <v>-1.410775E-2</v>
      </c>
      <c r="W4895">
        <v>0.13864470000000001</v>
      </c>
      <c r="X4895">
        <v>0.9902417</v>
      </c>
      <c r="Y4895">
        <v>-0.2124876</v>
      </c>
      <c r="Z4895">
        <v>3.1132149999999999E-4</v>
      </c>
      <c r="AA4895">
        <v>0.97716369999999997</v>
      </c>
      <c r="AB4895">
        <v>27</v>
      </c>
      <c r="AC4895">
        <v>217.28579999999999</v>
      </c>
      <c r="AD4895">
        <v>-0.33554800000000001</v>
      </c>
      <c r="AE4895">
        <v>25.749749999999999</v>
      </c>
      <c r="AF4895">
        <v>-46.525228323113701</v>
      </c>
      <c r="AG4895">
        <v>-0.33554800000000001</v>
      </c>
      <c r="AH4895">
        <v>213.80211984930901</v>
      </c>
      <c r="AI4895">
        <v>90.087865477690002</v>
      </c>
      <c r="AJ4895">
        <v>102.276673856741</v>
      </c>
      <c r="AK4895">
        <v>218.80597778634001</v>
      </c>
      <c r="AL4895">
        <v>82.030571554802506</v>
      </c>
      <c r="AM4895">
        <v>90.816224818710495</v>
      </c>
      <c r="AN4895">
        <v>1.0000000029335201</v>
      </c>
    </row>
    <row r="4896" spans="1:40" x14ac:dyDescent="0.25">
      <c r="A4896" t="str">
        <f>"20190312164606997"</f>
        <v>20190312164606997</v>
      </c>
      <c r="B4896" t="str">
        <f>"1552380366986853"</f>
        <v>1552380366986853</v>
      </c>
      <c r="C4896" t="s">
        <v>40</v>
      </c>
      <c r="D4896">
        <v>4.9766640000000004</v>
      </c>
      <c r="E4896">
        <v>0.42776120000000001</v>
      </c>
      <c r="F4896" t="s">
        <v>84</v>
      </c>
      <c r="G4896">
        <v>-168.50030000000001</v>
      </c>
      <c r="H4896">
        <v>0.74974549999999995</v>
      </c>
      <c r="I4896">
        <v>42.645479999999999</v>
      </c>
      <c r="J4896">
        <v>-385.63389999999998</v>
      </c>
      <c r="K4896">
        <v>1.1117330000000001</v>
      </c>
      <c r="L4896">
        <v>16.520689999999998</v>
      </c>
      <c r="M4896">
        <v>0.99556909999999998</v>
      </c>
      <c r="N4896">
        <v>0</v>
      </c>
      <c r="O4896">
        <v>-9.356254E-2</v>
      </c>
      <c r="P4896">
        <v>0.98820010000000003</v>
      </c>
      <c r="Q4896">
        <v>0.12993460000000001</v>
      </c>
      <c r="R4896">
        <v>-8.1101790000000007E-2</v>
      </c>
      <c r="S4896">
        <v>3.0673219999999999</v>
      </c>
      <c r="T4896">
        <v>-5.1105020000000003E-3</v>
      </c>
      <c r="U4896">
        <v>0.3686218</v>
      </c>
      <c r="V4896">
        <v>-1.284659E-2</v>
      </c>
      <c r="W4896">
        <v>0.1391358</v>
      </c>
      <c r="X4896">
        <v>0.99019000000000001</v>
      </c>
      <c r="Y4896">
        <v>-0.21169289999999999</v>
      </c>
      <c r="Z4896">
        <v>3.3110080000000003E-4</v>
      </c>
      <c r="AA4896">
        <v>0.97733619999999999</v>
      </c>
      <c r="AB4896">
        <v>27</v>
      </c>
      <c r="AC4896">
        <v>217.1336</v>
      </c>
      <c r="AD4896">
        <v>-0.36198750000000002</v>
      </c>
      <c r="AE4896">
        <v>26.124790000000001</v>
      </c>
      <c r="AF4896">
        <v>-46.326521358611899</v>
      </c>
      <c r="AG4896">
        <v>-0.36198750000000002</v>
      </c>
      <c r="AH4896">
        <v>213.736043407495</v>
      </c>
      <c r="AI4896">
        <v>90.094835089159403</v>
      </c>
      <c r="AJ4896">
        <v>102.229487013754</v>
      </c>
      <c r="AK4896">
        <v>218.69927724533201</v>
      </c>
      <c r="AL4896">
        <v>82.002158353552005</v>
      </c>
      <c r="AM4896">
        <v>90.743305925541605</v>
      </c>
      <c r="AN4896">
        <v>1.0000000209081299</v>
      </c>
    </row>
    <row r="4897" spans="1:40" x14ac:dyDescent="0.25">
      <c r="A4897" t="str">
        <f>"20190312164607016"</f>
        <v>20190312164607016</v>
      </c>
      <c r="B4897" t="str">
        <f>"1552380367006376"</f>
        <v>1552380367006376</v>
      </c>
      <c r="C4897" t="s">
        <v>40</v>
      </c>
      <c r="D4897">
        <v>4.823048</v>
      </c>
      <c r="E4897">
        <v>0.42885699999999999</v>
      </c>
      <c r="F4897" t="s">
        <v>84</v>
      </c>
      <c r="G4897">
        <v>-168.50020000000001</v>
      </c>
      <c r="H4897">
        <v>0.39567669999999999</v>
      </c>
      <c r="I4897">
        <v>42.627380000000002</v>
      </c>
      <c r="J4897">
        <v>-385.41219999999998</v>
      </c>
      <c r="K4897">
        <v>1.1116820000000001</v>
      </c>
      <c r="L4897">
        <v>16.50385</v>
      </c>
      <c r="M4897">
        <v>0.99591430000000003</v>
      </c>
      <c r="N4897">
        <v>0</v>
      </c>
      <c r="O4897">
        <v>-8.9824139999999997E-2</v>
      </c>
      <c r="P4897">
        <v>0.98833919999999997</v>
      </c>
      <c r="Q4897">
        <v>0.12999859999999999</v>
      </c>
      <c r="R4897">
        <v>-7.9286629999999997E-2</v>
      </c>
      <c r="S4897">
        <v>3.0674130000000002</v>
      </c>
      <c r="T4897">
        <v>-1.0115620000000001E-2</v>
      </c>
      <c r="U4897">
        <v>0.36880489999999999</v>
      </c>
      <c r="V4897">
        <v>-1.0931980000000001E-2</v>
      </c>
      <c r="W4897">
        <v>0.13912349999999901</v>
      </c>
      <c r="X4897">
        <v>0.9902147</v>
      </c>
      <c r="Y4897">
        <v>-0.20807500000000001</v>
      </c>
      <c r="Z4897">
        <v>6.3712739999999995E-4</v>
      </c>
      <c r="AA4897">
        <v>0.97811269999999995</v>
      </c>
      <c r="AB4897">
        <v>27</v>
      </c>
      <c r="AC4897">
        <v>216.91200000000001</v>
      </c>
      <c r="AD4897">
        <v>-0.71600529999999996</v>
      </c>
      <c r="AE4897">
        <v>26.123529999999999</v>
      </c>
      <c r="AF4897">
        <v>-45.502206434780298</v>
      </c>
      <c r="AG4897">
        <v>-0.71600529999999996</v>
      </c>
      <c r="AH4897">
        <v>213.68616815921001</v>
      </c>
      <c r="AI4897">
        <v>90.187772269643304</v>
      </c>
      <c r="AJ4897">
        <v>102.02098570733099</v>
      </c>
      <c r="AK4897">
        <v>218.47824128866699</v>
      </c>
      <c r="AL4897">
        <v>82.002869879153593</v>
      </c>
      <c r="AM4897">
        <v>90.632520271041898</v>
      </c>
      <c r="AN4897">
        <v>1.0000000042675301</v>
      </c>
    </row>
    <row r="4898" spans="1:40" x14ac:dyDescent="0.25">
      <c r="A4898" t="str">
        <f>"20190312164607025"</f>
        <v>20190312164607025</v>
      </c>
      <c r="B4898" t="str">
        <f>"1552380367016132"</f>
        <v>1552380367016132</v>
      </c>
      <c r="C4898" t="s">
        <v>40</v>
      </c>
      <c r="D4898">
        <v>4.729393</v>
      </c>
      <c r="E4898">
        <v>0.4295775</v>
      </c>
      <c r="F4898" t="s">
        <v>84</v>
      </c>
      <c r="G4898">
        <v>-168.5001</v>
      </c>
      <c r="H4898">
        <v>0.1109687</v>
      </c>
      <c r="I4898">
        <v>42.428220000000003</v>
      </c>
      <c r="J4898">
        <v>-385.27859999999998</v>
      </c>
      <c r="K4898">
        <v>1.1116509999999999</v>
      </c>
      <c r="L4898">
        <v>16.49399</v>
      </c>
      <c r="M4898">
        <v>0.99611329999999998</v>
      </c>
      <c r="N4898">
        <v>0</v>
      </c>
      <c r="O4898">
        <v>-8.7596129999999994E-2</v>
      </c>
      <c r="P4898">
        <v>0.9884096</v>
      </c>
      <c r="Q4898">
        <v>0.13010949999999999</v>
      </c>
      <c r="R4898">
        <v>-7.8216620000000001E-2</v>
      </c>
      <c r="S4898">
        <v>3.066681</v>
      </c>
      <c r="T4898">
        <v>-1.4148000000000001E-2</v>
      </c>
      <c r="U4898">
        <v>0.36651610000000001</v>
      </c>
      <c r="V4898">
        <v>-9.7783620000000005E-3</v>
      </c>
      <c r="W4898">
        <v>0.1391906</v>
      </c>
      <c r="X4898">
        <v>0.99021729999999997</v>
      </c>
      <c r="Y4898">
        <v>-0.2051926</v>
      </c>
      <c r="Z4898">
        <v>8.7448460000000001E-4</v>
      </c>
      <c r="AA4898">
        <v>0.97872119999999996</v>
      </c>
      <c r="AB4898">
        <v>27</v>
      </c>
      <c r="AC4898">
        <v>216.77850000000001</v>
      </c>
      <c r="AD4898">
        <v>-1.0006823</v>
      </c>
      <c r="AE4898">
        <v>25.934229999999999</v>
      </c>
      <c r="AF4898">
        <v>-44.823357253846503</v>
      </c>
      <c r="AG4898">
        <v>-1.0006823</v>
      </c>
      <c r="AH4898">
        <v>213.668823943538</v>
      </c>
      <c r="AI4898">
        <v>90.262617005866403</v>
      </c>
      <c r="AJ4898">
        <v>101.847683154718</v>
      </c>
      <c r="AK4898">
        <v>218.322012279994</v>
      </c>
      <c r="AL4898">
        <v>81.998987285537297</v>
      </c>
      <c r="AM4898">
        <v>90.565775474747994</v>
      </c>
      <c r="AN4898">
        <v>0.99999997035552601</v>
      </c>
    </row>
    <row r="4899" spans="1:40" x14ac:dyDescent="0.25">
      <c r="A4899" t="str">
        <f>"20190312164607037"</f>
        <v>20190312164607037</v>
      </c>
      <c r="B4899" t="str">
        <f>"1552380367026869"</f>
        <v>1552380367026869</v>
      </c>
      <c r="C4899" t="s">
        <v>40</v>
      </c>
      <c r="D4899">
        <v>4.72797</v>
      </c>
      <c r="E4899">
        <v>0.43016860000000001</v>
      </c>
      <c r="F4899" t="s">
        <v>84</v>
      </c>
      <c r="G4899">
        <v>-168.50020000000001</v>
      </c>
      <c r="H4899">
        <v>0.34758719999999999</v>
      </c>
      <c r="I4899">
        <v>42.212769999999999</v>
      </c>
      <c r="J4899">
        <v>-385.14640000000003</v>
      </c>
      <c r="K4899">
        <v>1.1116269999999999</v>
      </c>
      <c r="L4899">
        <v>16.48462</v>
      </c>
      <c r="M4899">
        <v>0.9963033</v>
      </c>
      <c r="N4899">
        <v>0</v>
      </c>
      <c r="O4899">
        <v>-8.5412699999999994E-2</v>
      </c>
      <c r="P4899">
        <v>0.98849180000000003</v>
      </c>
      <c r="Q4899">
        <v>0.1301552</v>
      </c>
      <c r="R4899">
        <v>-7.7093469999999997E-2</v>
      </c>
      <c r="S4899">
        <v>3.065369</v>
      </c>
      <c r="T4899">
        <v>-1.0804299999999999E-2</v>
      </c>
      <c r="U4899">
        <v>0.363678</v>
      </c>
      <c r="V4899">
        <v>-8.7244660000000002E-3</v>
      </c>
      <c r="W4899">
        <v>0.1391944</v>
      </c>
      <c r="X4899">
        <v>0.99022659999999996</v>
      </c>
      <c r="Y4899">
        <v>-0.20220369999999999</v>
      </c>
      <c r="Z4899">
        <v>6.552137E-4</v>
      </c>
      <c r="AA4899">
        <v>0.97934319999999997</v>
      </c>
      <c r="AB4899">
        <v>27</v>
      </c>
      <c r="AC4899">
        <v>216.64619999999999</v>
      </c>
      <c r="AD4899">
        <v>-0.76403980000000005</v>
      </c>
      <c r="AE4899">
        <v>25.728149999999999</v>
      </c>
      <c r="AF4899">
        <v>-44.138699125782601</v>
      </c>
      <c r="AG4899">
        <v>-0.76403980000000005</v>
      </c>
      <c r="AH4899">
        <v>213.654209937909</v>
      </c>
      <c r="AI4899">
        <v>90.200655021114201</v>
      </c>
      <c r="AJ4899">
        <v>101.67249310244701</v>
      </c>
      <c r="AK4899">
        <v>218.16720638428799</v>
      </c>
      <c r="AL4899">
        <v>81.998767324358894</v>
      </c>
      <c r="AM4899">
        <v>90.504795716893497</v>
      </c>
      <c r="AN4899">
        <v>0.99999995832295097</v>
      </c>
    </row>
    <row r="4900" spans="1:40" x14ac:dyDescent="0.25">
      <c r="A4900" t="str">
        <f>"20190312164607048"</f>
        <v>20190312164607048</v>
      </c>
      <c r="B4900" t="str">
        <f>"1552380367036629"</f>
        <v>1552380367036629</v>
      </c>
      <c r="C4900" t="s">
        <v>40</v>
      </c>
      <c r="D4900">
        <v>4.7771059999999999</v>
      </c>
      <c r="E4900">
        <v>0.43077070000000001</v>
      </c>
      <c r="F4900" t="s">
        <v>84</v>
      </c>
      <c r="G4900">
        <v>-168.50020000000001</v>
      </c>
      <c r="H4900">
        <v>0.5643994</v>
      </c>
      <c r="I4900">
        <v>42.091700000000003</v>
      </c>
      <c r="J4900">
        <v>-385.0172</v>
      </c>
      <c r="K4900">
        <v>1.111604</v>
      </c>
      <c r="L4900">
        <v>16.475619999999999</v>
      </c>
      <c r="M4900">
        <v>0.99648360000000002</v>
      </c>
      <c r="N4900">
        <v>0</v>
      </c>
      <c r="O4900">
        <v>-8.3288390000000004E-2</v>
      </c>
      <c r="P4900">
        <v>0.98863120000000004</v>
      </c>
      <c r="Q4900">
        <v>0.1298685</v>
      </c>
      <c r="R4900">
        <v>-7.5781130000000002E-2</v>
      </c>
      <c r="S4900">
        <v>3.064209</v>
      </c>
      <c r="T4900">
        <v>-7.7399019999999999E-3</v>
      </c>
      <c r="U4900">
        <v>0.36218260000000002</v>
      </c>
      <c r="V4900">
        <v>-7.9211869999999997E-3</v>
      </c>
      <c r="W4900">
        <v>0.13886519999999999</v>
      </c>
      <c r="X4900">
        <v>0.99027960000000004</v>
      </c>
      <c r="Y4900">
        <v>-0.1996879</v>
      </c>
      <c r="Z4900">
        <v>4.6105380000000001E-4</v>
      </c>
      <c r="AA4900">
        <v>0.97985940000000005</v>
      </c>
      <c r="AB4900">
        <v>27</v>
      </c>
      <c r="AC4900">
        <v>216.517</v>
      </c>
      <c r="AD4900">
        <v>-0.54720459999999904</v>
      </c>
      <c r="AE4900">
        <v>25.61608</v>
      </c>
      <c r="AF4900">
        <v>-43.560899819380502</v>
      </c>
      <c r="AG4900">
        <v>-0.54720459999999904</v>
      </c>
      <c r="AH4900">
        <v>213.629688925491</v>
      </c>
      <c r="AI4900">
        <v>90.143801632265806</v>
      </c>
      <c r="AJ4900">
        <v>101.525094719325</v>
      </c>
      <c r="AK4900">
        <v>218.02636403965101</v>
      </c>
      <c r="AL4900">
        <v>82.017814309155</v>
      </c>
      <c r="AM4900">
        <v>90.458295722365193</v>
      </c>
      <c r="AN4900">
        <v>0.99999998757534403</v>
      </c>
    </row>
    <row r="4901" spans="1:40" x14ac:dyDescent="0.25">
      <c r="A4901" t="str">
        <f>"20190312164607059"</f>
        <v>20190312164607059</v>
      </c>
      <c r="B4901" t="str">
        <f>"1552380367046389"</f>
        <v>1552380367046389</v>
      </c>
      <c r="C4901" t="s">
        <v>40</v>
      </c>
      <c r="D4901">
        <v>4.7975050000000001</v>
      </c>
      <c r="E4901">
        <v>0.43120649999999999</v>
      </c>
      <c r="F4901" t="s">
        <v>84</v>
      </c>
      <c r="G4901">
        <v>-168.50020000000001</v>
      </c>
      <c r="H4901">
        <v>0.53840219999999905</v>
      </c>
      <c r="I4901">
        <v>42.018999999999998</v>
      </c>
      <c r="J4901">
        <v>-384.88959999999997</v>
      </c>
      <c r="K4901">
        <v>1.1115870000000001</v>
      </c>
      <c r="L4901">
        <v>16.467099999999999</v>
      </c>
      <c r="M4901">
        <v>0.99665539999999997</v>
      </c>
      <c r="N4901">
        <v>0</v>
      </c>
      <c r="O4901">
        <v>-8.1212720000000002E-2</v>
      </c>
      <c r="P4901">
        <v>0.98873259999999996</v>
      </c>
      <c r="Q4901">
        <v>0.1296832</v>
      </c>
      <c r="R4901">
        <v>-7.4769790000000003E-2</v>
      </c>
      <c r="S4901">
        <v>3.0632929999999998</v>
      </c>
      <c r="T4901">
        <v>-8.1096889999999998E-3</v>
      </c>
      <c r="U4901">
        <v>0.36138920000000002</v>
      </c>
      <c r="V4901">
        <v>-6.8650839999999996E-3</v>
      </c>
      <c r="W4901">
        <v>0.138642299999999</v>
      </c>
      <c r="X4901">
        <v>0.9903187</v>
      </c>
      <c r="Y4901">
        <v>-0.1974303</v>
      </c>
      <c r="Z4901">
        <v>4.7477780000000001E-4</v>
      </c>
      <c r="AA4901">
        <v>0.98031679999999999</v>
      </c>
      <c r="AB4901">
        <v>27</v>
      </c>
      <c r="AC4901">
        <v>216.38939999999999</v>
      </c>
      <c r="AD4901">
        <v>-0.57318480000000005</v>
      </c>
      <c r="AE4901">
        <v>25.5519</v>
      </c>
      <c r="AF4901">
        <v>-43.041488700402503</v>
      </c>
      <c r="AG4901">
        <v>-0.57318480000000005</v>
      </c>
      <c r="AH4901">
        <v>213.59785860727499</v>
      </c>
      <c r="AI4901">
        <v>90.150721921594794</v>
      </c>
      <c r="AJ4901">
        <v>101.392938596112</v>
      </c>
      <c r="AK4901">
        <v>217.892045499544</v>
      </c>
      <c r="AL4901">
        <v>82.030710158717099</v>
      </c>
      <c r="AM4901">
        <v>90.397179250156299</v>
      </c>
      <c r="AN4901">
        <v>0.99999997214865299</v>
      </c>
    </row>
    <row r="4902" spans="1:40" x14ac:dyDescent="0.25">
      <c r="A4902" t="str">
        <f>"20190312164607070"</f>
        <v>20190312164607070</v>
      </c>
      <c r="B4902" t="str">
        <f>"1552380367066885"</f>
        <v>1552380367066885</v>
      </c>
      <c r="C4902" t="s">
        <v>40</v>
      </c>
      <c r="D4902">
        <v>4.8595319999999997</v>
      </c>
      <c r="E4902">
        <v>0.4316565</v>
      </c>
      <c r="F4902" t="s">
        <v>84</v>
      </c>
      <c r="G4902">
        <v>-168.50030000000001</v>
      </c>
      <c r="H4902">
        <v>0.61157379999999995</v>
      </c>
      <c r="I4902">
        <v>41.97719</v>
      </c>
      <c r="J4902">
        <v>-384.75510000000003</v>
      </c>
      <c r="K4902">
        <v>1.1115729999999999</v>
      </c>
      <c r="L4902">
        <v>16.458279999999998</v>
      </c>
      <c r="M4902">
        <v>0.99683140000000003</v>
      </c>
      <c r="N4902">
        <v>0</v>
      </c>
      <c r="O4902">
        <v>-7.9029050000000003E-2</v>
      </c>
      <c r="P4902">
        <v>0.9888169</v>
      </c>
      <c r="Q4902">
        <v>0.1296515</v>
      </c>
      <c r="R4902">
        <v>-7.3700970000000005E-2</v>
      </c>
      <c r="S4902">
        <v>3.0623779999999998</v>
      </c>
      <c r="T4902">
        <v>-7.0762630000000002E-3</v>
      </c>
      <c r="U4902">
        <v>0.36102289999999998</v>
      </c>
      <c r="V4902">
        <v>-5.7596670000000004E-3</v>
      </c>
      <c r="W4902">
        <v>0.13857249999999999</v>
      </c>
      <c r="X4902">
        <v>0.99033550000000004</v>
      </c>
      <c r="Y4902">
        <v>-0.19520080000000001</v>
      </c>
      <c r="Z4902">
        <v>4.0680689999999999E-4</v>
      </c>
      <c r="AA4902">
        <v>0.98076319999999995</v>
      </c>
      <c r="AB4902">
        <v>27</v>
      </c>
      <c r="AC4902">
        <v>216.25479999999999</v>
      </c>
      <c r="AD4902">
        <v>-0.49999919999999898</v>
      </c>
      <c r="AE4902">
        <v>25.518910000000002</v>
      </c>
      <c r="AF4902">
        <v>-42.529972565400897</v>
      </c>
      <c r="AG4902">
        <v>-0.49999919999999898</v>
      </c>
      <c r="AH4902">
        <v>213.56042407189699</v>
      </c>
      <c r="AI4902">
        <v>90.131560287466499</v>
      </c>
      <c r="AJ4902">
        <v>101.26294535642</v>
      </c>
      <c r="AK4902">
        <v>217.75468604689601</v>
      </c>
      <c r="AL4902">
        <v>82.034748262454499</v>
      </c>
      <c r="AM4902">
        <v>90.333221307163697</v>
      </c>
      <c r="AN4902">
        <v>0.99999995704022404</v>
      </c>
    </row>
    <row r="4903" spans="1:40" x14ac:dyDescent="0.25">
      <c r="A4903" t="str">
        <f>"20190312164607081"</f>
        <v>20190312164607081</v>
      </c>
      <c r="B4903" t="str">
        <f>"1552380367076645"</f>
        <v>1552380367076645</v>
      </c>
      <c r="C4903" t="s">
        <v>40</v>
      </c>
      <c r="D4903">
        <v>4.8113760000000001</v>
      </c>
      <c r="E4903">
        <v>0.43197180000000002</v>
      </c>
      <c r="F4903" t="s">
        <v>64</v>
      </c>
      <c r="G4903">
        <v>-274.49669999999998</v>
      </c>
      <c r="H4903">
        <v>0.94072699999999998</v>
      </c>
      <c r="I4903">
        <v>29.44744</v>
      </c>
      <c r="J4903">
        <v>-384.60770000000002</v>
      </c>
      <c r="K4903">
        <v>1.1115569999999999</v>
      </c>
      <c r="L4903">
        <v>16.44904</v>
      </c>
      <c r="M4903">
        <v>0.99701680000000004</v>
      </c>
      <c r="N4903">
        <v>0</v>
      </c>
      <c r="O4903">
        <v>-7.6660240000000004E-2</v>
      </c>
      <c r="P4903">
        <v>0.98885659999999997</v>
      </c>
      <c r="Q4903">
        <v>0.13008929999999999</v>
      </c>
      <c r="R4903">
        <v>-7.2386699999999998E-2</v>
      </c>
      <c r="S4903">
        <v>3.0614319999999999</v>
      </c>
      <c r="T4903">
        <v>-4.743695E-3</v>
      </c>
      <c r="U4903">
        <v>0.3606567</v>
      </c>
      <c r="V4903">
        <v>-4.716245E-3</v>
      </c>
      <c r="W4903">
        <v>0.1389705</v>
      </c>
      <c r="X4903">
        <v>0.99028530000000003</v>
      </c>
      <c r="Y4903">
        <v>-0.19278970000000001</v>
      </c>
      <c r="Z4903">
        <v>2.6727609999999997E-4</v>
      </c>
      <c r="AA4903">
        <v>0.98124009999999995</v>
      </c>
      <c r="AB4903">
        <v>27</v>
      </c>
      <c r="AC4903">
        <v>110.111</v>
      </c>
      <c r="AD4903">
        <v>-0.17082999999999901</v>
      </c>
      <c r="AE4903">
        <v>12.9984</v>
      </c>
      <c r="AF4903">
        <v>-21.401571715045499</v>
      </c>
      <c r="AG4903">
        <v>-0.17082999999999901</v>
      </c>
      <c r="AH4903">
        <v>108.790188372462</v>
      </c>
      <c r="AI4903">
        <v>90.088277823702995</v>
      </c>
      <c r="AJ4903">
        <v>101.129302452375</v>
      </c>
      <c r="AK4903">
        <v>110.87543253976</v>
      </c>
      <c r="AL4903">
        <v>82.011722165027194</v>
      </c>
      <c r="AM4903">
        <v>90.272869738317596</v>
      </c>
      <c r="AN4903">
        <v>1.0000000091166199</v>
      </c>
    </row>
    <row r="4904" spans="1:40" x14ac:dyDescent="0.25">
      <c r="A4904" t="str">
        <f>"20190312164607095"</f>
        <v>20190312164607095</v>
      </c>
      <c r="B4904" t="str">
        <f>"1552380367086404"</f>
        <v>1552380367086404</v>
      </c>
      <c r="C4904" t="s">
        <v>40</v>
      </c>
      <c r="D4904">
        <v>4.8709870000000004</v>
      </c>
      <c r="E4904">
        <v>0.43234329999999999</v>
      </c>
      <c r="F4904" t="s">
        <v>84</v>
      </c>
      <c r="G4904">
        <v>-168.50030000000001</v>
      </c>
      <c r="H4904">
        <v>0.86694199999999999</v>
      </c>
      <c r="I4904">
        <v>42.037939999999999</v>
      </c>
      <c r="J4904">
        <v>-384.45319999999998</v>
      </c>
      <c r="K4904">
        <v>1.1115409999999999</v>
      </c>
      <c r="L4904">
        <v>16.43967</v>
      </c>
      <c r="M4904">
        <v>0.99720410000000004</v>
      </c>
      <c r="N4904">
        <v>0</v>
      </c>
      <c r="O4904">
        <v>-7.4188669999999998E-2</v>
      </c>
      <c r="P4904">
        <v>0.98883180000000004</v>
      </c>
      <c r="Q4904">
        <v>0.1308232</v>
      </c>
      <c r="R4904">
        <v>-7.1394589999999994E-2</v>
      </c>
      <c r="S4904">
        <v>3.0608219999999999</v>
      </c>
      <c r="T4904">
        <v>-3.4645800000000001E-3</v>
      </c>
      <c r="U4904">
        <v>0.36242679999999999</v>
      </c>
      <c r="V4904">
        <v>-3.2478339999999998E-3</v>
      </c>
      <c r="W4904">
        <v>0.1396665</v>
      </c>
      <c r="X4904">
        <v>0.9901932</v>
      </c>
      <c r="Y4904">
        <v>-0.19093959999999999</v>
      </c>
      <c r="Z4904">
        <v>1.9140730000000001E-4</v>
      </c>
      <c r="AA4904">
        <v>0.98160179999999997</v>
      </c>
      <c r="AB4904">
        <v>27</v>
      </c>
      <c r="AC4904">
        <v>215.9529</v>
      </c>
      <c r="AD4904">
        <v>-0.24459899999999901</v>
      </c>
      <c r="AE4904">
        <v>25.598269999999999</v>
      </c>
      <c r="AF4904">
        <v>-41.549568185950903</v>
      </c>
      <c r="AG4904">
        <v>-0.24459899999999901</v>
      </c>
      <c r="AH4904">
        <v>213.458286725649</v>
      </c>
      <c r="AI4904">
        <v>90.064444931265996</v>
      </c>
      <c r="AJ4904">
        <v>101.01486622894301</v>
      </c>
      <c r="AK4904">
        <v>217.46463302559999</v>
      </c>
      <c r="AL4904">
        <v>81.971450900185403</v>
      </c>
      <c r="AM4904">
        <v>90.187929500454899</v>
      </c>
      <c r="AN4904">
        <v>0.99999992648708802</v>
      </c>
    </row>
    <row r="4905" spans="1:40" x14ac:dyDescent="0.25">
      <c r="A4905" t="str">
        <f>"20190312164607106"</f>
        <v>20190312164607106</v>
      </c>
      <c r="B4905" t="str">
        <f>"1552380367096164"</f>
        <v>1552380367096164</v>
      </c>
      <c r="C4905" t="s">
        <v>40</v>
      </c>
      <c r="D4905">
        <v>4.824897</v>
      </c>
      <c r="E4905">
        <v>0.43266250000000001</v>
      </c>
      <c r="F4905" t="s">
        <v>64</v>
      </c>
      <c r="G4905">
        <v>-274.49669999999998</v>
      </c>
      <c r="H4905">
        <v>1.051474</v>
      </c>
      <c r="I4905">
        <v>29.46725</v>
      </c>
      <c r="J4905">
        <v>-384.29759999999999</v>
      </c>
      <c r="K4905">
        <v>1.1115299999999999</v>
      </c>
      <c r="L4905">
        <v>16.430510000000002</v>
      </c>
      <c r="M4905">
        <v>0.99738590000000005</v>
      </c>
      <c r="N4905">
        <v>0</v>
      </c>
      <c r="O4905">
        <v>-7.1709480000000006E-2</v>
      </c>
      <c r="P4905">
        <v>0.98880900000000005</v>
      </c>
      <c r="Q4905">
        <v>0.13163169999999999</v>
      </c>
      <c r="R4905">
        <v>-7.0214380000000007E-2</v>
      </c>
      <c r="S4905">
        <v>3.0602719999999999</v>
      </c>
      <c r="T4905">
        <v>-1.6715530000000001E-3</v>
      </c>
      <c r="U4905">
        <v>0.36257929999999999</v>
      </c>
      <c r="V4905">
        <v>-1.9619220000000001E-3</v>
      </c>
      <c r="W4905">
        <v>0.14043559999999999</v>
      </c>
      <c r="X4905">
        <v>0.99008790000000002</v>
      </c>
      <c r="Y4905">
        <v>-0.18856780000000001</v>
      </c>
      <c r="Z4905" s="1">
        <v>9.0369129999999997E-5</v>
      </c>
      <c r="AA4905">
        <v>0.98206020000000005</v>
      </c>
      <c r="AB4905">
        <v>27</v>
      </c>
      <c r="AC4905">
        <v>109.8009</v>
      </c>
      <c r="AD4905">
        <v>-6.0055999999999797E-2</v>
      </c>
      <c r="AE4905">
        <v>13.036739999999901</v>
      </c>
      <c r="AF4905">
        <v>-20.877245830401499</v>
      </c>
      <c r="AG4905">
        <v>-6.0055999999999797E-2</v>
      </c>
      <c r="AH4905">
        <v>108.58327506449299</v>
      </c>
      <c r="AI4905">
        <v>90.031119561960793</v>
      </c>
      <c r="AJ4905">
        <v>100.88341368027299</v>
      </c>
      <c r="AK4905">
        <v>110.572105993861</v>
      </c>
      <c r="AL4905">
        <v>81.926946912340298</v>
      </c>
      <c r="AM4905">
        <v>90.113535074213999</v>
      </c>
      <c r="AN4905">
        <v>1.0000000283058501</v>
      </c>
    </row>
    <row r="4906" spans="1:40" x14ac:dyDescent="0.25">
      <c r="A4906" t="str">
        <f>"20190312164607126"</f>
        <v>20190312164607126</v>
      </c>
      <c r="B4906" t="str">
        <f>"1552380367116660"</f>
        <v>1552380367116660</v>
      </c>
      <c r="C4906" t="s">
        <v>40</v>
      </c>
      <c r="D4906">
        <v>4.9134229999999999</v>
      </c>
      <c r="E4906">
        <v>0.43274980000000002</v>
      </c>
      <c r="F4906" t="s">
        <v>84</v>
      </c>
      <c r="G4906">
        <v>-168.50040000000001</v>
      </c>
      <c r="H4906">
        <v>0.88079079999999998</v>
      </c>
      <c r="I4906">
        <v>42.092739999999999</v>
      </c>
      <c r="J4906">
        <v>-384.06630000000001</v>
      </c>
      <c r="K4906">
        <v>1.111521</v>
      </c>
      <c r="L4906">
        <v>16.417760000000001</v>
      </c>
      <c r="M4906">
        <v>0.99764280000000005</v>
      </c>
      <c r="N4906">
        <v>0</v>
      </c>
      <c r="O4906">
        <v>-6.8051059999999997E-2</v>
      </c>
      <c r="P4906">
        <v>0.98859470000000005</v>
      </c>
      <c r="Q4906">
        <v>0.13366929999999999</v>
      </c>
      <c r="R4906">
        <v>-6.9374859999999997E-2</v>
      </c>
      <c r="S4906">
        <v>3.0602719999999999</v>
      </c>
      <c r="T4906">
        <v>-3.2721759999999999E-3</v>
      </c>
      <c r="U4906">
        <v>0.36392210000000003</v>
      </c>
      <c r="V4906">
        <v>8.3819310000000002E-4</v>
      </c>
      <c r="W4906">
        <v>0.1424253</v>
      </c>
      <c r="X4906">
        <v>0.98980520000000005</v>
      </c>
      <c r="Y4906">
        <v>-0.18538979999999999</v>
      </c>
      <c r="Z4906">
        <v>1.713071E-4</v>
      </c>
      <c r="AA4906">
        <v>0.98266509999999996</v>
      </c>
      <c r="AB4906">
        <v>27</v>
      </c>
      <c r="AC4906">
        <v>215.5659</v>
      </c>
      <c r="AD4906">
        <v>-0.230730199999999</v>
      </c>
      <c r="AE4906">
        <v>25.674980000000001</v>
      </c>
      <c r="AF4906">
        <v>-40.285470512629097</v>
      </c>
      <c r="AG4906">
        <v>-0.230730199999999</v>
      </c>
      <c r="AH4906">
        <v>213.318626082479</v>
      </c>
      <c r="AI4906">
        <v>90.060895967343995</v>
      </c>
      <c r="AJ4906">
        <v>100.69442362258501</v>
      </c>
      <c r="AK4906">
        <v>217.08940233131</v>
      </c>
      <c r="AL4906">
        <v>81.811787704382496</v>
      </c>
      <c r="AM4906">
        <v>89.951480437193894</v>
      </c>
      <c r="AN4906">
        <v>1.0000000012974</v>
      </c>
    </row>
    <row r="4907" spans="1:40" x14ac:dyDescent="0.25">
      <c r="A4907" t="str">
        <f>"20190312164607138"</f>
        <v>20190312164607138</v>
      </c>
      <c r="B4907" t="str">
        <f>"1552380367126422"</f>
        <v>1552380367126422</v>
      </c>
      <c r="C4907" t="s">
        <v>40</v>
      </c>
      <c r="D4907">
        <v>4.795445</v>
      </c>
      <c r="E4907">
        <v>0.43312089999999998</v>
      </c>
      <c r="F4907" t="s">
        <v>84</v>
      </c>
      <c r="G4907">
        <v>-168.50040000000001</v>
      </c>
      <c r="H4907">
        <v>1.0713509999999999</v>
      </c>
      <c r="I4907">
        <v>42.21481</v>
      </c>
      <c r="J4907">
        <v>-383.93090000000001</v>
      </c>
      <c r="K4907">
        <v>1.1115120000000001</v>
      </c>
      <c r="L4907">
        <v>16.410710000000002</v>
      </c>
      <c r="M4907">
        <v>0.99778599999999995</v>
      </c>
      <c r="N4907">
        <v>0</v>
      </c>
      <c r="O4907">
        <v>-6.5923049999999997E-2</v>
      </c>
      <c r="P4907">
        <v>0.98853489999999999</v>
      </c>
      <c r="Q4907">
        <v>0.13434289999999999</v>
      </c>
      <c r="R4907">
        <v>-6.8928630000000005E-2</v>
      </c>
      <c r="S4907">
        <v>3.0603940000000001</v>
      </c>
      <c r="T4907">
        <v>-5.7029719999999995E-4</v>
      </c>
      <c r="U4907">
        <v>0.3662415</v>
      </c>
      <c r="V4907">
        <v>2.5066200000000002E-3</v>
      </c>
      <c r="W4907">
        <v>0.1430747</v>
      </c>
      <c r="X4907">
        <v>0.9897087</v>
      </c>
      <c r="Y4907">
        <v>-0.18402360000000001</v>
      </c>
      <c r="Z4907" s="1">
        <v>2.9332020000000001E-5</v>
      </c>
      <c r="AA4907">
        <v>0.98292179999999996</v>
      </c>
      <c r="AB4907">
        <v>27</v>
      </c>
      <c r="AC4907">
        <v>215.43049999999999</v>
      </c>
      <c r="AD4907">
        <v>-4.0161000000000099E-2</v>
      </c>
      <c r="AE4907">
        <v>25.804099999999998</v>
      </c>
      <c r="AF4907">
        <v>-39.950347082533199</v>
      </c>
      <c r="AG4907">
        <v>-4.0161000000000099E-2</v>
      </c>
      <c r="AH4907">
        <v>213.260681911208</v>
      </c>
      <c r="AI4907">
        <v>90.010605390948996</v>
      </c>
      <c r="AJ4907">
        <v>100.61030352739699</v>
      </c>
      <c r="AK4907">
        <v>216.97039036272699</v>
      </c>
      <c r="AL4907">
        <v>81.774194666738595</v>
      </c>
      <c r="AM4907">
        <v>89.854888170869003</v>
      </c>
      <c r="AN4907">
        <v>0.99999998188980199</v>
      </c>
    </row>
    <row r="4908" spans="1:40" x14ac:dyDescent="0.25">
      <c r="A4908" t="str">
        <f>"20190312164607147"</f>
        <v>20190312164607147</v>
      </c>
      <c r="B4908" t="str">
        <f>"1552380367136181"</f>
        <v>1552380367136181</v>
      </c>
      <c r="C4908" t="s">
        <v>40</v>
      </c>
      <c r="D4908">
        <v>4.9630470000000004</v>
      </c>
      <c r="E4908">
        <v>0.43343540000000003</v>
      </c>
      <c r="F4908" t="s">
        <v>84</v>
      </c>
      <c r="G4908">
        <v>-168.50040000000001</v>
      </c>
      <c r="H4908">
        <v>1.0331950000000001</v>
      </c>
      <c r="I4908">
        <v>42.12471</v>
      </c>
      <c r="J4908">
        <v>-383.79590000000002</v>
      </c>
      <c r="K4908">
        <v>1.1115079999999999</v>
      </c>
      <c r="L4908">
        <v>16.40381</v>
      </c>
      <c r="M4908">
        <v>0.99792409999999998</v>
      </c>
      <c r="N4908">
        <v>0</v>
      </c>
      <c r="O4908">
        <v>-6.3804099999999905E-2</v>
      </c>
      <c r="P4908">
        <v>0.98846860000000003</v>
      </c>
      <c r="Q4908">
        <v>0.13512660000000001</v>
      </c>
      <c r="R4908">
        <v>-6.8342650000000005E-2</v>
      </c>
      <c r="S4908">
        <v>3.060425</v>
      </c>
      <c r="T4908">
        <v>-1.1125799999999999E-3</v>
      </c>
      <c r="U4908">
        <v>0.36529539999999999</v>
      </c>
      <c r="V4908">
        <v>4.0259529999999996E-3</v>
      </c>
      <c r="W4908">
        <v>0.1438335</v>
      </c>
      <c r="X4908">
        <v>0.98959370000000002</v>
      </c>
      <c r="Y4908">
        <v>-0.18163499999999999</v>
      </c>
      <c r="Z4908" s="1">
        <v>5.6023080000000001E-5</v>
      </c>
      <c r="AA4908">
        <v>0.98336599999999996</v>
      </c>
      <c r="AB4908">
        <v>28</v>
      </c>
      <c r="AC4908">
        <v>215.2955</v>
      </c>
      <c r="AD4908">
        <v>-7.8312999999999799E-2</v>
      </c>
      <c r="AE4908">
        <v>25.7209</v>
      </c>
      <c r="AF4908">
        <v>-39.405744294623901</v>
      </c>
      <c r="AG4908">
        <v>-7.8312999999999799E-2</v>
      </c>
      <c r="AH4908">
        <v>213.21559996350399</v>
      </c>
      <c r="AI4908">
        <v>90.020693990095197</v>
      </c>
      <c r="AJ4908">
        <v>100.471047638378</v>
      </c>
      <c r="AK4908">
        <v>216.82645337720299</v>
      </c>
      <c r="AL4908">
        <v>81.730264300927999</v>
      </c>
      <c r="AM4908">
        <v>89.766905505940798</v>
      </c>
      <c r="AN4908">
        <v>0.99999998754974895</v>
      </c>
    </row>
    <row r="4909" spans="1:40" x14ac:dyDescent="0.25">
      <c r="A4909" t="str">
        <f>"20190312164607159"</f>
        <v>20190312164607159</v>
      </c>
      <c r="B4909" t="str">
        <f>"1552380367156677"</f>
        <v>1552380367156677</v>
      </c>
      <c r="C4909" t="s">
        <v>40</v>
      </c>
      <c r="D4909">
        <v>4.8638430000000001</v>
      </c>
      <c r="E4909">
        <v>0.43353409999999898</v>
      </c>
      <c r="F4909" t="s">
        <v>64</v>
      </c>
      <c r="G4909">
        <v>-274.49669999999998</v>
      </c>
      <c r="H4909">
        <v>1.190895</v>
      </c>
      <c r="I4909">
        <v>29.445270000000001</v>
      </c>
      <c r="J4909">
        <v>-383.66019999999997</v>
      </c>
      <c r="K4909">
        <v>1.111504</v>
      </c>
      <c r="L4909">
        <v>16.39734</v>
      </c>
      <c r="M4909">
        <v>0.99805750000000004</v>
      </c>
      <c r="N4909">
        <v>0</v>
      </c>
      <c r="O4909">
        <v>-6.1685160000000003E-2</v>
      </c>
      <c r="P4909">
        <v>0.98841909999999999</v>
      </c>
      <c r="Q4909">
        <v>0.13576640000000001</v>
      </c>
      <c r="R4909">
        <v>-6.7788249999999994E-2</v>
      </c>
      <c r="S4909">
        <v>3.0599669999999999</v>
      </c>
      <c r="T4909">
        <v>2.222538E-3</v>
      </c>
      <c r="U4909">
        <v>0.3651123</v>
      </c>
      <c r="V4909">
        <v>5.5758739999999998E-3</v>
      </c>
      <c r="W4909">
        <v>0.1444502</v>
      </c>
      <c r="X4909">
        <v>0.98949640000000005</v>
      </c>
      <c r="Y4909">
        <v>-0.1795059</v>
      </c>
      <c r="Z4909">
        <v>-1.096263E-4</v>
      </c>
      <c r="AA4909">
        <v>0.98375690000000005</v>
      </c>
      <c r="AB4909">
        <v>28</v>
      </c>
      <c r="AC4909">
        <v>109.1635</v>
      </c>
      <c r="AD4909">
        <v>7.9390999999999906E-2</v>
      </c>
      <c r="AE4909">
        <v>13.047929999999999</v>
      </c>
      <c r="AF4909">
        <v>-19.757094498194601</v>
      </c>
      <c r="AG4909">
        <v>7.9390999999999906E-2</v>
      </c>
      <c r="AH4909">
        <v>108.15064872978</v>
      </c>
      <c r="AI4909">
        <v>89.958625166030103</v>
      </c>
      <c r="AJ4909">
        <v>100.35270633138001</v>
      </c>
      <c r="AK4909">
        <v>109.940492570362</v>
      </c>
      <c r="AL4909">
        <v>81.694557526736503</v>
      </c>
      <c r="AM4909">
        <v>89.677138122137194</v>
      </c>
      <c r="AN4909">
        <v>1.0000000381319301</v>
      </c>
    </row>
    <row r="4910" spans="1:40" x14ac:dyDescent="0.25">
      <c r="A4910" t="str">
        <f>"20190312164607171"</f>
        <v>20190312164607171</v>
      </c>
      <c r="B4910" t="str">
        <f>"1552380367166436"</f>
        <v>1552380367166436</v>
      </c>
      <c r="C4910" t="s">
        <v>40</v>
      </c>
      <c r="D4910">
        <v>4.8941999999999997</v>
      </c>
      <c r="E4910">
        <v>0.43359900000000001</v>
      </c>
      <c r="F4910" t="s">
        <v>84</v>
      </c>
      <c r="G4910">
        <v>-168.50040000000001</v>
      </c>
      <c r="H4910">
        <v>1.1454489999999999</v>
      </c>
      <c r="I4910">
        <v>42.177370000000003</v>
      </c>
      <c r="J4910">
        <v>-383.51819999999998</v>
      </c>
      <c r="K4910">
        <v>1.1114930000000001</v>
      </c>
      <c r="L4910">
        <v>16.390689999999999</v>
      </c>
      <c r="M4910">
        <v>0.99819199999999997</v>
      </c>
      <c r="N4910">
        <v>0</v>
      </c>
      <c r="O4910">
        <v>-5.9474300000000001E-2</v>
      </c>
      <c r="P4910">
        <v>0.98838749999999997</v>
      </c>
      <c r="Q4910">
        <v>0.1363066</v>
      </c>
      <c r="R4910">
        <v>-6.7160339999999999E-2</v>
      </c>
      <c r="S4910">
        <v>3.0602109999999998</v>
      </c>
      <c r="T4910">
        <v>4.8279760000000002E-4</v>
      </c>
      <c r="U4910">
        <v>0.36666870000000001</v>
      </c>
      <c r="V4910">
        <v>7.1429309999999999E-3</v>
      </c>
      <c r="W4910">
        <v>0.1449664</v>
      </c>
      <c r="X4910">
        <v>0.98941080000000003</v>
      </c>
      <c r="Y4910">
        <v>-0.17781069999999999</v>
      </c>
      <c r="Z4910" s="1">
        <v>-2.3330389999999999E-5</v>
      </c>
      <c r="AA4910">
        <v>0.98406470000000001</v>
      </c>
      <c r="AB4910">
        <v>28</v>
      </c>
      <c r="AC4910">
        <v>215.01779999999999</v>
      </c>
      <c r="AD4910">
        <v>3.3955999999999799E-2</v>
      </c>
      <c r="AE4910">
        <v>25.78668</v>
      </c>
      <c r="AF4910">
        <v>-38.529545142673598</v>
      </c>
      <c r="AG4910">
        <v>3.3955999999999799E-2</v>
      </c>
      <c r="AH4910">
        <v>213.10344677489601</v>
      </c>
      <c r="AI4910">
        <v>89.991016122486201</v>
      </c>
      <c r="AJ4910">
        <v>100.248480712524</v>
      </c>
      <c r="AK4910">
        <v>216.55855104163501</v>
      </c>
      <c r="AL4910">
        <v>81.664666548203598</v>
      </c>
      <c r="AM4910">
        <v>89.586367270554305</v>
      </c>
      <c r="AN4910">
        <v>1.00000000487443</v>
      </c>
    </row>
    <row r="4911" spans="1:40" x14ac:dyDescent="0.25">
      <c r="A4911" t="str">
        <f>"20190312164607183"</f>
        <v>20190312164607183</v>
      </c>
      <c r="B4911" t="str">
        <f>"1552380367176198"</f>
        <v>1552380367176198</v>
      </c>
      <c r="C4911" t="s">
        <v>40</v>
      </c>
      <c r="D4911">
        <v>4.8721059999999996</v>
      </c>
      <c r="E4911">
        <v>0.43359900000000001</v>
      </c>
      <c r="F4911" t="s">
        <v>84</v>
      </c>
      <c r="G4911">
        <v>-168.50049999999999</v>
      </c>
      <c r="H4911">
        <v>1.183371</v>
      </c>
      <c r="I4911">
        <v>42.264099999999999</v>
      </c>
      <c r="J4911">
        <v>-383.37040000000002</v>
      </c>
      <c r="K4911">
        <v>1.1114850000000001</v>
      </c>
      <c r="L4911">
        <v>16.384250000000002</v>
      </c>
      <c r="M4911">
        <v>0.99832639999999995</v>
      </c>
      <c r="N4911">
        <v>0</v>
      </c>
      <c r="O4911">
        <v>-5.7181660000000002E-2</v>
      </c>
      <c r="P4911">
        <v>0.98837540000000002</v>
      </c>
      <c r="Q4911">
        <v>0.13669029999999999</v>
      </c>
      <c r="R4911">
        <v>-6.6558339999999994E-2</v>
      </c>
      <c r="S4911">
        <v>3.0600890000000001</v>
      </c>
      <c r="T4911">
        <v>1.022935E-3</v>
      </c>
      <c r="U4911">
        <v>0.36822510000000003</v>
      </c>
      <c r="V4911">
        <v>8.8164750000000007E-3</v>
      </c>
      <c r="W4911">
        <v>0.14532690000000001</v>
      </c>
      <c r="X4911">
        <v>0.98934440000000001</v>
      </c>
      <c r="Y4911">
        <v>-0.17604839999999999</v>
      </c>
      <c r="Z4911" s="1">
        <v>-4.8374629999999998E-5</v>
      </c>
      <c r="AA4911">
        <v>0.98438150000000002</v>
      </c>
      <c r="AB4911">
        <v>28</v>
      </c>
      <c r="AC4911">
        <v>214.8699</v>
      </c>
      <c r="AD4911">
        <v>7.1885999999999894E-2</v>
      </c>
      <c r="AE4911">
        <v>25.879850000000001</v>
      </c>
      <c r="AF4911">
        <v>-38.124573999397498</v>
      </c>
      <c r="AG4911">
        <v>7.1885999999999894E-2</v>
      </c>
      <c r="AH4911">
        <v>213.038369981101</v>
      </c>
      <c r="AI4911">
        <v>89.980968898967504</v>
      </c>
      <c r="AJ4911">
        <v>100.146044348508</v>
      </c>
      <c r="AK4911">
        <v>216.422816251977</v>
      </c>
      <c r="AL4911">
        <v>81.643790218274603</v>
      </c>
      <c r="AM4911">
        <v>89.489426092192801</v>
      </c>
      <c r="AN4911">
        <v>0.99999998995319705</v>
      </c>
    </row>
    <row r="4912" spans="1:40" x14ac:dyDescent="0.25">
      <c r="A4912" t="str">
        <f>"20190312164607194"</f>
        <v>20190312164607194</v>
      </c>
      <c r="B4912" t="str">
        <f>"1552380367186933"</f>
        <v>1552380367186933</v>
      </c>
      <c r="C4912" t="s">
        <v>40</v>
      </c>
      <c r="D4912">
        <v>4.8827319999999999</v>
      </c>
      <c r="E4912">
        <v>0.43368309999999999</v>
      </c>
      <c r="F4912" t="s">
        <v>84</v>
      </c>
      <c r="G4912">
        <v>-168.50049999999999</v>
      </c>
      <c r="H4912">
        <v>1.2536889999999901</v>
      </c>
      <c r="I4912">
        <v>42.358759999999997</v>
      </c>
      <c r="J4912">
        <v>-383.2321</v>
      </c>
      <c r="K4912">
        <v>1.11148</v>
      </c>
      <c r="L4912">
        <v>16.378450000000001</v>
      </c>
      <c r="M4912">
        <v>0.99844679999999997</v>
      </c>
      <c r="N4912">
        <v>0</v>
      </c>
      <c r="O4912">
        <v>-5.5043170000000002E-2</v>
      </c>
      <c r="P4912">
        <v>0.98835949999999995</v>
      </c>
      <c r="Q4912">
        <v>0.1371183</v>
      </c>
      <c r="R4912">
        <v>-6.5911150000000002E-2</v>
      </c>
      <c r="S4912">
        <v>3.0599669999999999</v>
      </c>
      <c r="T4912">
        <v>2.0251269999999998E-3</v>
      </c>
      <c r="U4912">
        <v>0.3699036</v>
      </c>
      <c r="V4912">
        <v>1.0291099999999999E-2</v>
      </c>
      <c r="W4912">
        <v>0.145734</v>
      </c>
      <c r="X4912">
        <v>0.98927030000000005</v>
      </c>
      <c r="Y4912">
        <v>-0.17447650000000001</v>
      </c>
      <c r="Z4912" s="1">
        <v>-9.3839950000000006E-5</v>
      </c>
      <c r="AA4912">
        <v>0.98466129999999996</v>
      </c>
      <c r="AB4912">
        <v>28</v>
      </c>
      <c r="AC4912">
        <v>214.73159999999999</v>
      </c>
      <c r="AD4912">
        <v>0.142208999999999</v>
      </c>
      <c r="AE4912">
        <v>25.980309999999999</v>
      </c>
      <c r="AF4912">
        <v>-37.760850675825701</v>
      </c>
      <c r="AG4912">
        <v>0.142208999999999</v>
      </c>
      <c r="AH4912">
        <v>212.97585369172899</v>
      </c>
      <c r="AI4912">
        <v>89.962329775355101</v>
      </c>
      <c r="AJ4912">
        <v>100.054120285876</v>
      </c>
      <c r="AK4912">
        <v>216.297518069169</v>
      </c>
      <c r="AL4912">
        <v>81.620214329069299</v>
      </c>
      <c r="AM4912">
        <v>89.403989659398405</v>
      </c>
      <c r="AN4912">
        <v>1.00000001597865</v>
      </c>
    </row>
    <row r="4913" spans="1:40" x14ac:dyDescent="0.25">
      <c r="A4913" t="str">
        <f>"20190312164607205"</f>
        <v>20190312164607205</v>
      </c>
      <c r="B4913" t="str">
        <f>"1552380367196693"</f>
        <v>1552380367196693</v>
      </c>
      <c r="C4913" t="s">
        <v>40</v>
      </c>
      <c r="D4913">
        <v>4.8288279999999997</v>
      </c>
      <c r="E4913">
        <v>0.43398700000000001</v>
      </c>
      <c r="F4913" t="s">
        <v>84</v>
      </c>
      <c r="G4913">
        <v>-168.50049999999999</v>
      </c>
      <c r="H4913">
        <v>1.1885520000000001</v>
      </c>
      <c r="I4913">
        <v>42.452150000000003</v>
      </c>
      <c r="J4913">
        <v>-383.08909999999997</v>
      </c>
      <c r="K4913">
        <v>1.111472</v>
      </c>
      <c r="L4913">
        <v>16.372710000000001</v>
      </c>
      <c r="M4913">
        <v>0.99856619999999996</v>
      </c>
      <c r="N4913">
        <v>0</v>
      </c>
      <c r="O4913">
        <v>-5.2838749999999997E-2</v>
      </c>
      <c r="P4913">
        <v>0.98828570000000004</v>
      </c>
      <c r="Q4913">
        <v>0.13783960000000001</v>
      </c>
      <c r="R4913">
        <v>-6.5513199999999994E-2</v>
      </c>
      <c r="S4913">
        <v>3.0599370000000001</v>
      </c>
      <c r="T4913">
        <v>1.0982749999999999E-3</v>
      </c>
      <c r="U4913">
        <v>0.37155149999999998</v>
      </c>
      <c r="V4913">
        <v>1.208042E-2</v>
      </c>
      <c r="W4913">
        <v>0.14643689999999901</v>
      </c>
      <c r="X4913">
        <v>0.98914619999999998</v>
      </c>
      <c r="Y4913">
        <v>-0.17282620000000001</v>
      </c>
      <c r="Z4913" s="1">
        <v>-4.9806730000000001E-5</v>
      </c>
      <c r="AA4913">
        <v>0.9849523</v>
      </c>
      <c r="AB4913">
        <v>28</v>
      </c>
      <c r="AC4913">
        <v>214.58860000000001</v>
      </c>
      <c r="AD4913">
        <v>7.7079999999999996E-2</v>
      </c>
      <c r="AE4913">
        <v>26.079439999999899</v>
      </c>
      <c r="AF4913">
        <v>-37.382011818030399</v>
      </c>
      <c r="AG4913">
        <v>7.7079999999999996E-2</v>
      </c>
      <c r="AH4913">
        <v>212.91072718503301</v>
      </c>
      <c r="AI4913">
        <v>89.979569739739006</v>
      </c>
      <c r="AJ4913">
        <v>99.958263549183499</v>
      </c>
      <c r="AK4913">
        <v>216.167524155108</v>
      </c>
      <c r="AL4913">
        <v>81.5795038590974</v>
      </c>
      <c r="AM4913">
        <v>89.300282738274404</v>
      </c>
      <c r="AN4913">
        <v>0.99999995360171201</v>
      </c>
    </row>
    <row r="4914" spans="1:40" x14ac:dyDescent="0.25">
      <c r="A4914" t="str">
        <f>"20190312164607216"</f>
        <v>20190312164607216</v>
      </c>
      <c r="B4914" t="str">
        <f>"1552380367206453"</f>
        <v>1552380367206453</v>
      </c>
      <c r="C4914" t="s">
        <v>40</v>
      </c>
      <c r="D4914">
        <v>4.9052340000000001</v>
      </c>
      <c r="E4914">
        <v>0.4342549</v>
      </c>
      <c r="F4914" t="s">
        <v>84</v>
      </c>
      <c r="G4914">
        <v>-168.50040000000001</v>
      </c>
      <c r="H4914">
        <v>1.119046</v>
      </c>
      <c r="I4914">
        <v>42.369709999999998</v>
      </c>
      <c r="J4914">
        <v>-382.96339999999998</v>
      </c>
      <c r="K4914">
        <v>1.111464</v>
      </c>
      <c r="L4914">
        <v>16.367979999999999</v>
      </c>
      <c r="M4914">
        <v>0.99866650000000001</v>
      </c>
      <c r="N4914">
        <v>0</v>
      </c>
      <c r="O4914">
        <v>-5.0911730000000002E-2</v>
      </c>
      <c r="P4914">
        <v>0.98817960000000005</v>
      </c>
      <c r="Q4914">
        <v>0.13869279999999901</v>
      </c>
      <c r="R4914">
        <v>-6.5312980000000007E-2</v>
      </c>
      <c r="S4914">
        <v>3.06012</v>
      </c>
      <c r="T4914">
        <v>1.080036E-4</v>
      </c>
      <c r="U4914">
        <v>0.37072749999999999</v>
      </c>
      <c r="V4914">
        <v>1.379206E-2</v>
      </c>
      <c r="W4914">
        <v>0.147277399999999</v>
      </c>
      <c r="X4914">
        <v>0.98899910000000002</v>
      </c>
      <c r="Y4914">
        <v>-0.17065669999999999</v>
      </c>
      <c r="Z4914" s="1">
        <v>-4.7917939999999998E-6</v>
      </c>
      <c r="AA4914">
        <v>0.9853305</v>
      </c>
      <c r="AB4914">
        <v>28</v>
      </c>
      <c r="AC4914">
        <v>214.46299999999999</v>
      </c>
      <c r="AD4914">
        <v>7.5819999999999698E-3</v>
      </c>
      <c r="AE4914">
        <v>26.001729999999998</v>
      </c>
      <c r="AF4914">
        <v>-36.887089414036602</v>
      </c>
      <c r="AG4914">
        <v>7.5819999999999698E-3</v>
      </c>
      <c r="AH4914">
        <v>212.86101299105999</v>
      </c>
      <c r="AI4914">
        <v>89.997989123802896</v>
      </c>
      <c r="AJ4914">
        <v>99.8312592464208</v>
      </c>
      <c r="AK4914">
        <v>216.03348878010999</v>
      </c>
      <c r="AL4914">
        <v>81.530819604550103</v>
      </c>
      <c r="AM4914">
        <v>89.201035058581098</v>
      </c>
      <c r="AN4914">
        <v>1.0000000366352999</v>
      </c>
    </row>
    <row r="4915" spans="1:40" x14ac:dyDescent="0.25">
      <c r="A4915" t="str">
        <f>"20190312164607226"</f>
        <v>20190312164607226</v>
      </c>
      <c r="B4915" t="str">
        <f>"1552380367216213"</f>
        <v>1552380367216213</v>
      </c>
      <c r="C4915" t="s">
        <v>40</v>
      </c>
      <c r="D4915">
        <v>4.8482399999999997</v>
      </c>
      <c r="E4915">
        <v>0.43449779999999999</v>
      </c>
      <c r="F4915" t="s">
        <v>64</v>
      </c>
      <c r="G4915">
        <v>-274.49669999999998</v>
      </c>
      <c r="H4915">
        <v>1.1930379999999901</v>
      </c>
      <c r="I4915">
        <v>29.451830000000001</v>
      </c>
      <c r="J4915">
        <v>-382.82650000000001</v>
      </c>
      <c r="K4915">
        <v>1.1114580000000001</v>
      </c>
      <c r="L4915">
        <v>16.363039999999899</v>
      </c>
      <c r="M4915">
        <v>0.99877130000000003</v>
      </c>
      <c r="N4915">
        <v>0</v>
      </c>
      <c r="O4915">
        <v>-4.8816270000000002E-2</v>
      </c>
      <c r="P4915">
        <v>0.98808399999999996</v>
      </c>
      <c r="Q4915">
        <v>0.13950270000000001</v>
      </c>
      <c r="R4915">
        <v>-6.5029149999999994E-2</v>
      </c>
      <c r="S4915">
        <v>3.0599669999999999</v>
      </c>
      <c r="T4915">
        <v>2.301455E-3</v>
      </c>
      <c r="U4915">
        <v>0.3691101</v>
      </c>
      <c r="V4915">
        <v>1.558672E-2</v>
      </c>
      <c r="W4915">
        <v>0.14807339999999999</v>
      </c>
      <c r="X4915">
        <v>0.98885350000000005</v>
      </c>
      <c r="Y4915">
        <v>-0.16808129999999999</v>
      </c>
      <c r="Z4915" s="1">
        <v>-9.9580429999999995E-5</v>
      </c>
      <c r="AA4915">
        <v>0.98577309999999996</v>
      </c>
      <c r="AB4915">
        <v>28</v>
      </c>
      <c r="AC4915">
        <v>108.32980000000001</v>
      </c>
      <c r="AD4915">
        <v>8.1579999999999694E-2</v>
      </c>
      <c r="AE4915">
        <v>13.088789999999999</v>
      </c>
      <c r="AF4915">
        <v>-18.361623251826</v>
      </c>
      <c r="AG4915">
        <v>8.1579999999999694E-2</v>
      </c>
      <c r="AH4915">
        <v>107.561607800741</v>
      </c>
      <c r="AI4915">
        <v>89.957163746230805</v>
      </c>
      <c r="AJ4915">
        <v>99.687464787587999</v>
      </c>
      <c r="AK4915">
        <v>109.117621566907</v>
      </c>
      <c r="AL4915">
        <v>81.484705927317506</v>
      </c>
      <c r="AM4915">
        <v>89.096954884961207</v>
      </c>
      <c r="AN4915">
        <v>0.99999996104508304</v>
      </c>
    </row>
    <row r="4916" spans="1:40" x14ac:dyDescent="0.25">
      <c r="A4916" t="str">
        <f>"20190312164607237"</f>
        <v>20190312164607237</v>
      </c>
      <c r="B4916" t="str">
        <f>"1552380367225973"</f>
        <v>1552380367225973</v>
      </c>
      <c r="C4916" t="s">
        <v>40</v>
      </c>
      <c r="D4916">
        <v>4.8700390000000002</v>
      </c>
      <c r="E4916">
        <v>0.43475269999999999</v>
      </c>
      <c r="F4916" t="s">
        <v>64</v>
      </c>
      <c r="G4916">
        <v>-274.49669999999998</v>
      </c>
      <c r="H4916">
        <v>1.2606329999999999</v>
      </c>
      <c r="I4916">
        <v>29.39968</v>
      </c>
      <c r="J4916">
        <v>-382.69830000000002</v>
      </c>
      <c r="K4916">
        <v>1.1114459999999999</v>
      </c>
      <c r="L4916">
        <v>16.358729999999898</v>
      </c>
      <c r="M4916">
        <v>0.99886490000000006</v>
      </c>
      <c r="N4916">
        <v>0</v>
      </c>
      <c r="O4916">
        <v>-4.6868750000000001E-2</v>
      </c>
      <c r="P4916">
        <v>0.98793489999999995</v>
      </c>
      <c r="Q4916">
        <v>0.1405448</v>
      </c>
      <c r="R4916">
        <v>-6.5051349999999994E-2</v>
      </c>
      <c r="S4916">
        <v>3.0598139999999998</v>
      </c>
      <c r="T4916">
        <v>4.2135719999999996E-3</v>
      </c>
      <c r="U4916">
        <v>0.36822510000000003</v>
      </c>
      <c r="V4916">
        <v>1.754037E-2</v>
      </c>
      <c r="W4916">
        <v>0.14910419999999999</v>
      </c>
      <c r="X4916">
        <v>0.98866589999999999</v>
      </c>
      <c r="Y4916">
        <v>-0.16588339999999999</v>
      </c>
      <c r="Z4916">
        <v>-1.78145E-4</v>
      </c>
      <c r="AA4916">
        <v>0.98614539999999995</v>
      </c>
      <c r="AB4916">
        <v>28</v>
      </c>
      <c r="AC4916">
        <v>108.2016</v>
      </c>
      <c r="AD4916">
        <v>0.14918699999999899</v>
      </c>
      <c r="AE4916">
        <v>13.04095</v>
      </c>
      <c r="AF4916">
        <v>-18.098040685163099</v>
      </c>
      <c r="AG4916">
        <v>0.14918699999999899</v>
      </c>
      <c r="AH4916">
        <v>107.47124745448799</v>
      </c>
      <c r="AI4916">
        <v>89.921568802488395</v>
      </c>
      <c r="AJ4916">
        <v>99.558862665630798</v>
      </c>
      <c r="AK4916">
        <v>108.984541852625</v>
      </c>
      <c r="AL4916">
        <v>81.424982734775597</v>
      </c>
      <c r="AM4916">
        <v>88.983596229199904</v>
      </c>
      <c r="AN4916">
        <v>0.99999999443009302</v>
      </c>
    </row>
    <row r="4917" spans="1:40" x14ac:dyDescent="0.25">
      <c r="A4917" t="str">
        <f>"20190312164607249"</f>
        <v>20190312164607249</v>
      </c>
      <c r="B4917" t="str">
        <f>"1552380367246468"</f>
        <v>1552380367246468</v>
      </c>
      <c r="C4917" t="s">
        <v>40</v>
      </c>
      <c r="D4917">
        <v>4.9636060000000004</v>
      </c>
      <c r="E4917">
        <v>0.4353187</v>
      </c>
      <c r="F4917" t="s">
        <v>64</v>
      </c>
      <c r="G4917">
        <v>-274.49669999999998</v>
      </c>
      <c r="H4917">
        <v>1.3457629999999901</v>
      </c>
      <c r="I4917">
        <v>29.307780000000001</v>
      </c>
      <c r="J4917">
        <v>-382.55419999999998</v>
      </c>
      <c r="K4917">
        <v>1.1114379999999999</v>
      </c>
      <c r="L4917">
        <v>16.353999999999999</v>
      </c>
      <c r="M4917">
        <v>0.9989654</v>
      </c>
      <c r="N4917">
        <v>0</v>
      </c>
      <c r="O4917">
        <v>-4.4682340000000001E-2</v>
      </c>
      <c r="P4917">
        <v>0.98782829999999999</v>
      </c>
      <c r="Q4917">
        <v>0.14132639999999999</v>
      </c>
      <c r="R4917">
        <v>-6.4978659999999994E-2</v>
      </c>
      <c r="S4917">
        <v>3.0597840000000001</v>
      </c>
      <c r="T4917">
        <v>6.6263679999999997E-3</v>
      </c>
      <c r="U4917">
        <v>0.36618040000000002</v>
      </c>
      <c r="V4917">
        <v>1.9635590000000001E-2</v>
      </c>
      <c r="W4917">
        <v>0.149871799999999</v>
      </c>
      <c r="X4917">
        <v>0.98851040000000001</v>
      </c>
      <c r="Y4917">
        <v>-0.16307550000000001</v>
      </c>
      <c r="Z4917">
        <v>-2.7241789999999999E-4</v>
      </c>
      <c r="AA4917">
        <v>0.98661359999999998</v>
      </c>
      <c r="AB4917">
        <v>28</v>
      </c>
      <c r="AC4917">
        <v>108.0575</v>
      </c>
      <c r="AD4917">
        <v>0.23432499999999901</v>
      </c>
      <c r="AE4917">
        <v>12.953779999999901</v>
      </c>
      <c r="AF4917">
        <v>-17.769193910454</v>
      </c>
      <c r="AG4917">
        <v>0.23432499999999901</v>
      </c>
      <c r="AH4917">
        <v>107.37024566733299</v>
      </c>
      <c r="AI4917">
        <v>89.876635756671206</v>
      </c>
      <c r="AJ4917">
        <v>99.396969315840906</v>
      </c>
      <c r="AK4917">
        <v>108.830918470333</v>
      </c>
      <c r="AL4917">
        <v>81.380502411999998</v>
      </c>
      <c r="AM4917">
        <v>88.862036756251101</v>
      </c>
      <c r="AN4917">
        <v>0.99999996186902296</v>
      </c>
    </row>
    <row r="4918" spans="1:40" x14ac:dyDescent="0.25">
      <c r="A4918" t="str">
        <f>"20190312164607259"</f>
        <v>20190312164607259</v>
      </c>
      <c r="B4918" t="str">
        <f>"1552380367256229"</f>
        <v>1552380367256229</v>
      </c>
      <c r="C4918" t="s">
        <v>40</v>
      </c>
      <c r="D4918">
        <v>5.2913639999999997</v>
      </c>
      <c r="E4918">
        <v>0.43565989999999999</v>
      </c>
      <c r="F4918" t="s">
        <v>64</v>
      </c>
      <c r="G4918">
        <v>-274.49669999999998</v>
      </c>
      <c r="H4918">
        <v>1.3878090000000001</v>
      </c>
      <c r="I4918">
        <v>29.13758</v>
      </c>
      <c r="J4918">
        <v>-382.4246</v>
      </c>
      <c r="K4918">
        <v>1.1114280000000001</v>
      </c>
      <c r="L4918">
        <v>16.35022</v>
      </c>
      <c r="M4918">
        <v>0.99905060000000001</v>
      </c>
      <c r="N4918">
        <v>0</v>
      </c>
      <c r="O4918">
        <v>-4.2735769999999999E-2</v>
      </c>
      <c r="P4918">
        <v>0.98770460000000004</v>
      </c>
      <c r="Q4918">
        <v>0.1420981</v>
      </c>
      <c r="R4918">
        <v>-6.517307E-2</v>
      </c>
      <c r="S4918">
        <v>3.0596619999999999</v>
      </c>
      <c r="T4918">
        <v>7.8256130000000004E-3</v>
      </c>
      <c r="U4918">
        <v>0.36196899999999999</v>
      </c>
      <c r="V4918">
        <v>2.1760600000000001E-2</v>
      </c>
      <c r="W4918">
        <v>0.15063409999999999</v>
      </c>
      <c r="X4918">
        <v>0.98834999999999995</v>
      </c>
      <c r="Y4918">
        <v>-0.15981770000000001</v>
      </c>
      <c r="Z4918">
        <v>-3.1264189999999999E-4</v>
      </c>
      <c r="AA4918">
        <v>0.98714650000000004</v>
      </c>
      <c r="AB4918">
        <v>28</v>
      </c>
      <c r="AC4918">
        <v>107.92789999999999</v>
      </c>
      <c r="AD4918">
        <v>0.27638099999999999</v>
      </c>
      <c r="AE4918">
        <v>12.78736</v>
      </c>
      <c r="AF4918">
        <v>-17.388111242015899</v>
      </c>
      <c r="AG4918">
        <v>0.27638099999999999</v>
      </c>
      <c r="AH4918">
        <v>107.28210004554499</v>
      </c>
      <c r="AI4918">
        <v>89.854295849825306</v>
      </c>
      <c r="AJ4918">
        <v>99.206350291261202</v>
      </c>
      <c r="AK4918">
        <v>108.682435513768</v>
      </c>
      <c r="AL4918">
        <v>81.336324109966696</v>
      </c>
      <c r="AM4918">
        <v>88.738716915493697</v>
      </c>
      <c r="AN4918">
        <v>0.99999993914758301</v>
      </c>
    </row>
    <row r="4919" spans="1:40" x14ac:dyDescent="0.25">
      <c r="A4919" t="str">
        <f>"20190312164607271"</f>
        <v>20190312164607271</v>
      </c>
      <c r="B4919" t="str">
        <f>"1552380367265990"</f>
        <v>1552380367265990</v>
      </c>
      <c r="C4919" t="s">
        <v>40</v>
      </c>
      <c r="D4919">
        <v>4.889742</v>
      </c>
      <c r="E4919">
        <v>0.43565989999999999</v>
      </c>
      <c r="F4919" t="s">
        <v>64</v>
      </c>
      <c r="G4919">
        <v>-274.49669999999998</v>
      </c>
      <c r="H4919">
        <v>1.4269080000000001</v>
      </c>
      <c r="I4919">
        <v>29.005179999999999</v>
      </c>
      <c r="J4919">
        <v>-382.27780000000001</v>
      </c>
      <c r="K4919">
        <v>1.111421</v>
      </c>
      <c r="L4919">
        <v>16.346070000000001</v>
      </c>
      <c r="M4919">
        <v>0.99914250000000004</v>
      </c>
      <c r="N4919">
        <v>0</v>
      </c>
      <c r="O4919">
        <v>-4.0536599999999999E-2</v>
      </c>
      <c r="P4919">
        <v>0.98759039999999998</v>
      </c>
      <c r="Q4919">
        <v>0.14293069999999999</v>
      </c>
      <c r="R4919">
        <v>-6.5088060000000003E-2</v>
      </c>
      <c r="S4919">
        <v>3.059723</v>
      </c>
      <c r="T4919">
        <v>8.9437960000000004E-3</v>
      </c>
      <c r="U4919">
        <v>0.35876459999999999</v>
      </c>
      <c r="V4919">
        <v>2.385528E-2</v>
      </c>
      <c r="W4919">
        <v>0.15145330000000001</v>
      </c>
      <c r="X4919">
        <v>0.98817650000000001</v>
      </c>
      <c r="Y4919">
        <v>-0.15662179999999901</v>
      </c>
      <c r="Z4919">
        <v>-3.4626330000000002E-4</v>
      </c>
      <c r="AA4919">
        <v>0.98765860000000005</v>
      </c>
      <c r="AB4919">
        <v>28</v>
      </c>
      <c r="AC4919">
        <v>107.7811</v>
      </c>
      <c r="AD4919">
        <v>0.31548700000000002</v>
      </c>
      <c r="AE4919">
        <v>12.659109999999901</v>
      </c>
      <c r="AF4919">
        <v>-17.017794890011899</v>
      </c>
      <c r="AG4919">
        <v>0.31548700000000002</v>
      </c>
      <c r="AH4919">
        <v>107.178422169356</v>
      </c>
      <c r="AI4919">
        <v>89.8334330369524</v>
      </c>
      <c r="AJ4919">
        <v>99.022110539117804</v>
      </c>
      <c r="AK4919">
        <v>108.52151424339</v>
      </c>
      <c r="AL4919">
        <v>81.288843062004204</v>
      </c>
      <c r="AM4919">
        <v>88.617107932799897</v>
      </c>
      <c r="AN4919">
        <v>0.99999998580850902</v>
      </c>
    </row>
    <row r="4920" spans="1:40" x14ac:dyDescent="0.25">
      <c r="A4920" t="str">
        <f>"20190312164607283"</f>
        <v>20190312164607283</v>
      </c>
      <c r="B4920" t="str">
        <f>"1552380367276725"</f>
        <v>1552380367276725</v>
      </c>
      <c r="C4920" t="s">
        <v>40</v>
      </c>
      <c r="D4920">
        <v>4.9364910000000002</v>
      </c>
      <c r="E4920">
        <v>0.46392450000000002</v>
      </c>
      <c r="F4920" t="s">
        <v>64</v>
      </c>
      <c r="G4920">
        <v>-274.49669999999998</v>
      </c>
      <c r="H4920">
        <v>1.5143949999999999</v>
      </c>
      <c r="I4920">
        <v>28.99268</v>
      </c>
      <c r="J4920">
        <v>-382.12090000000001</v>
      </c>
      <c r="K4920">
        <v>1.111407</v>
      </c>
      <c r="L4920">
        <v>16.342040000000001</v>
      </c>
      <c r="M4920">
        <v>0.99923470000000003</v>
      </c>
      <c r="N4920">
        <v>0</v>
      </c>
      <c r="O4920">
        <v>-3.8204149999999999E-2</v>
      </c>
      <c r="P4920">
        <v>0.98752240000000002</v>
      </c>
      <c r="Q4920">
        <v>0.14353460000000001</v>
      </c>
      <c r="R4920">
        <v>-6.4790739999999999E-2</v>
      </c>
      <c r="S4920">
        <v>3.0596619999999999</v>
      </c>
      <c r="T4920">
        <v>1.1439680000000001E-2</v>
      </c>
      <c r="U4920">
        <v>0.35900880000000002</v>
      </c>
      <c r="V4920">
        <v>2.5869570000000001E-2</v>
      </c>
      <c r="W4920">
        <v>0.1520415</v>
      </c>
      <c r="X4920">
        <v>0.98803549999999996</v>
      </c>
      <c r="Y4920">
        <v>-0.15439539999999999</v>
      </c>
      <c r="Z4920">
        <v>-4.3005479999999997E-4</v>
      </c>
      <c r="AA4920">
        <v>0.98800900000000003</v>
      </c>
      <c r="AB4920">
        <v>28</v>
      </c>
      <c r="AC4920">
        <v>107.6242</v>
      </c>
      <c r="AD4920">
        <v>0.40298800000000001</v>
      </c>
      <c r="AE4920">
        <v>12.650639999999999</v>
      </c>
      <c r="AF4920">
        <v>-16.753008064654999</v>
      </c>
      <c r="AG4920">
        <v>0.40298800000000001</v>
      </c>
      <c r="AH4920">
        <v>107.060819382799</v>
      </c>
      <c r="AI4920">
        <v>89.786926672389299</v>
      </c>
      <c r="AJ4920">
        <v>98.893591123190703</v>
      </c>
      <c r="AK4920">
        <v>108.364407096883</v>
      </c>
      <c r="AL4920">
        <v>81.254746957710907</v>
      </c>
      <c r="AM4920">
        <v>88.500176753493903</v>
      </c>
      <c r="AN4920">
        <v>1.0000000008172401</v>
      </c>
    </row>
    <row r="4921" spans="1:40" x14ac:dyDescent="0.25">
      <c r="A4921" t="str">
        <f>"20190312164607296"</f>
        <v>20190312164607296</v>
      </c>
      <c r="B4921" t="str">
        <f>"1552380367286485"</f>
        <v>1552380367286485</v>
      </c>
      <c r="C4921" t="s">
        <v>40</v>
      </c>
      <c r="D4921">
        <v>4.8374610000000002</v>
      </c>
      <c r="E4921">
        <v>0.46928029999999998</v>
      </c>
      <c r="F4921" t="s">
        <v>64</v>
      </c>
      <c r="G4921">
        <v>-273.40989999999999</v>
      </c>
      <c r="H4921">
        <v>2.125391</v>
      </c>
      <c r="I4921">
        <v>21.070170000000001</v>
      </c>
      <c r="J4921">
        <v>-381.96539999999999</v>
      </c>
      <c r="K4921">
        <v>1.1113980000000001</v>
      </c>
      <c r="L4921">
        <v>16.33841</v>
      </c>
      <c r="M4921">
        <v>0.99932010000000004</v>
      </c>
      <c r="N4921">
        <v>0</v>
      </c>
      <c r="O4921">
        <v>-3.5905689999999997E-2</v>
      </c>
      <c r="P4921">
        <v>0.98746420000000001</v>
      </c>
      <c r="Q4921">
        <v>0.14388870000000001</v>
      </c>
      <c r="R4921">
        <v>-6.4888020000000005E-2</v>
      </c>
      <c r="S4921">
        <v>3.0424500000000001</v>
      </c>
      <c r="T4921">
        <v>2.8378009999999999E-2</v>
      </c>
      <c r="U4921">
        <v>0.1323242</v>
      </c>
      <c r="V4921">
        <v>2.8245949999999999E-2</v>
      </c>
      <c r="W4921">
        <v>0.15238370000000001</v>
      </c>
      <c r="X4921">
        <v>0.98791770000000001</v>
      </c>
      <c r="Y4921">
        <v>-7.9291589999999995E-2</v>
      </c>
      <c r="Z4921">
        <v>-7.0437029999999995E-4</v>
      </c>
      <c r="AA4921">
        <v>0.99685119999999905</v>
      </c>
      <c r="AB4921">
        <v>28</v>
      </c>
      <c r="AC4921">
        <v>108.55549999999999</v>
      </c>
      <c r="AD4921">
        <v>1.0139929999999999</v>
      </c>
      <c r="AE4921">
        <v>4.7317600000000004</v>
      </c>
      <c r="AF4921">
        <v>-8.6258542776506104</v>
      </c>
      <c r="AG4921">
        <v>1.0139929999999999</v>
      </c>
      <c r="AH4921">
        <v>108.306161763335</v>
      </c>
      <c r="AI4921">
        <v>89.465289403814893</v>
      </c>
      <c r="AJ4921">
        <v>94.553610169830094</v>
      </c>
      <c r="AK4921">
        <v>108.653845857977</v>
      </c>
      <c r="AL4921">
        <v>81.2349092144633</v>
      </c>
      <c r="AM4921">
        <v>88.362279621215094</v>
      </c>
      <c r="AN4921">
        <v>1.0000000038451899</v>
      </c>
    </row>
    <row r="4922" spans="1:40" x14ac:dyDescent="0.25">
      <c r="A4922" t="str">
        <f>"20190312164607308"</f>
        <v>20190312164607308</v>
      </c>
      <c r="B4922" t="str">
        <f>"1552380367296246"</f>
        <v>1552380367296246</v>
      </c>
      <c r="C4922" t="s">
        <v>40</v>
      </c>
      <c r="D4922">
        <v>5.0096860000000003</v>
      </c>
      <c r="E4922">
        <v>0.4710126</v>
      </c>
      <c r="F4922" t="s">
        <v>85</v>
      </c>
      <c r="G4922">
        <v>-276.33909999999997</v>
      </c>
      <c r="H4922">
        <v>1.6713690000000001</v>
      </c>
      <c r="I4922">
        <v>19.482679999999998</v>
      </c>
      <c r="J4922">
        <v>-381.81009999999998</v>
      </c>
      <c r="K4922">
        <v>1.111386</v>
      </c>
      <c r="L4922">
        <v>16.334989999999902</v>
      </c>
      <c r="M4922">
        <v>0.9993997</v>
      </c>
      <c r="N4922">
        <v>0</v>
      </c>
      <c r="O4922">
        <v>-3.3623430000000003E-2</v>
      </c>
      <c r="P4922">
        <v>0.98736760000000001</v>
      </c>
      <c r="Q4922">
        <v>0.14452089999999901</v>
      </c>
      <c r="R4922">
        <v>-6.4951480000000006E-2</v>
      </c>
      <c r="S4922">
        <v>3.0417179999999999</v>
      </c>
      <c r="T4922">
        <v>1.6125560000000001E-2</v>
      </c>
      <c r="U4922">
        <v>9.0545650000000005E-2</v>
      </c>
      <c r="V4922">
        <v>3.057112E-2</v>
      </c>
      <c r="W4922">
        <v>0.15300339999999901</v>
      </c>
      <c r="X4922">
        <v>0.98775270000000004</v>
      </c>
      <c r="Y4922">
        <v>-6.334629E-2</v>
      </c>
      <c r="Z4922">
        <v>-3.4609179999999998E-4</v>
      </c>
      <c r="AA4922">
        <v>0.99799159999999998</v>
      </c>
      <c r="AB4922">
        <v>28</v>
      </c>
      <c r="AC4922">
        <v>105.471</v>
      </c>
      <c r="AD4922">
        <v>0.55998299999999901</v>
      </c>
      <c r="AE4922">
        <v>3.1476899999999999</v>
      </c>
      <c r="AF4922">
        <v>-6.6921419957728903</v>
      </c>
      <c r="AG4922">
        <v>0.55998299999999901</v>
      </c>
      <c r="AH4922">
        <v>105.302554068826</v>
      </c>
      <c r="AI4922">
        <v>89.6959260297253</v>
      </c>
      <c r="AJ4922">
        <v>93.636346162246795</v>
      </c>
      <c r="AK4922">
        <v>105.51647377954799</v>
      </c>
      <c r="AL4922">
        <v>81.198981818312902</v>
      </c>
      <c r="AM4922">
        <v>88.227251436776001</v>
      </c>
      <c r="AN4922">
        <v>1.00000001507345</v>
      </c>
    </row>
    <row r="4923" spans="1:40" x14ac:dyDescent="0.25">
      <c r="A4923" t="str">
        <f>"20190312164607328"</f>
        <v>20190312164607328</v>
      </c>
      <c r="B4923" t="str">
        <f>"1552380367316310"</f>
        <v>1552380367316310</v>
      </c>
      <c r="C4923" t="s">
        <v>40</v>
      </c>
      <c r="D4923">
        <v>4.8482190000000003</v>
      </c>
      <c r="E4923">
        <v>0.47365580000000002</v>
      </c>
      <c r="F4923" t="s">
        <v>85</v>
      </c>
      <c r="G4923">
        <v>-276.18880000000001</v>
      </c>
      <c r="H4923">
        <v>1.557393</v>
      </c>
      <c r="I4923">
        <v>19.014040000000001</v>
      </c>
      <c r="J4923">
        <v>-381.56509999999997</v>
      </c>
      <c r="K4923">
        <v>1.1113660000000001</v>
      </c>
      <c r="L4923">
        <v>16.330439999999999</v>
      </c>
      <c r="M4923">
        <v>0.99951350000000005</v>
      </c>
      <c r="N4923">
        <v>0</v>
      </c>
      <c r="O4923">
        <v>-3.0067429999999999E-2</v>
      </c>
      <c r="P4923">
        <v>0.98694729999999997</v>
      </c>
      <c r="Q4923">
        <v>0.1467569</v>
      </c>
      <c r="R4923">
        <v>-6.6313730000000001E-2</v>
      </c>
      <c r="S4923">
        <v>3.0415649999999999</v>
      </c>
      <c r="T4923">
        <v>1.284361E-2</v>
      </c>
      <c r="U4923">
        <v>7.7148439999999999E-2</v>
      </c>
      <c r="V4923">
        <v>3.5455599999999997E-2</v>
      </c>
      <c r="W4923">
        <v>0.15522529999999901</v>
      </c>
      <c r="X4923">
        <v>0.98724259999999997</v>
      </c>
      <c r="Y4923">
        <v>-5.5403130000000002E-2</v>
      </c>
      <c r="Z4923">
        <v>-2.439028E-4</v>
      </c>
      <c r="AA4923">
        <v>0.99846400000000002</v>
      </c>
      <c r="AB4923">
        <v>28</v>
      </c>
      <c r="AC4923">
        <v>105.37629999999901</v>
      </c>
      <c r="AD4923">
        <v>0.44602700000000001</v>
      </c>
      <c r="AE4923">
        <v>2.68359999999999</v>
      </c>
      <c r="AF4923">
        <v>-5.8507852183708797</v>
      </c>
      <c r="AG4923">
        <v>0.44602700000000001</v>
      </c>
      <c r="AH4923">
        <v>105.246077140643</v>
      </c>
      <c r="AI4923">
        <v>89.757559465564398</v>
      </c>
      <c r="AJ4923">
        <v>93.181882115611003</v>
      </c>
      <c r="AK4923">
        <v>105.409522251315</v>
      </c>
      <c r="AL4923">
        <v>81.070136607080798</v>
      </c>
      <c r="AM4923">
        <v>87.943176757597797</v>
      </c>
      <c r="AN4923">
        <v>0.999999972293104</v>
      </c>
    </row>
    <row r="4924" spans="1:40" x14ac:dyDescent="0.25">
      <c r="A4924" t="str">
        <f>"20190312164607338"</f>
        <v>20190312164607338</v>
      </c>
      <c r="B4924" t="str">
        <f>"1552380367326072"</f>
        <v>1552380367326072</v>
      </c>
      <c r="C4924" t="s">
        <v>40</v>
      </c>
      <c r="D4924">
        <v>4.9156370000000003</v>
      </c>
      <c r="E4924">
        <v>0.47441739999999999</v>
      </c>
      <c r="F4924" t="s">
        <v>64</v>
      </c>
      <c r="G4924">
        <v>-273.40989999999999</v>
      </c>
      <c r="H4924">
        <v>1.532438</v>
      </c>
      <c r="I4924">
        <v>18.200240000000001</v>
      </c>
      <c r="J4924">
        <v>-381.43439999999998</v>
      </c>
      <c r="K4924">
        <v>1.1113470000000001</v>
      </c>
      <c r="L4924">
        <v>16.328399999999998</v>
      </c>
      <c r="M4924">
        <v>0.99956809999999996</v>
      </c>
      <c r="N4924">
        <v>0</v>
      </c>
      <c r="O4924">
        <v>-2.8199539999999999E-2</v>
      </c>
      <c r="P4924">
        <v>0.98671189999999998</v>
      </c>
      <c r="Q4924">
        <v>0.14805550000000001</v>
      </c>
      <c r="R4924">
        <v>-6.6928890000000005E-2</v>
      </c>
      <c r="S4924">
        <v>3.0415040000000002</v>
      </c>
      <c r="T4924">
        <v>1.1841300000000001E-2</v>
      </c>
      <c r="U4924">
        <v>5.2581790000000003E-2</v>
      </c>
      <c r="V4924">
        <v>3.792003E-2</v>
      </c>
      <c r="W4924">
        <v>0.156515299999999</v>
      </c>
      <c r="X4924">
        <v>0.98694729999999997</v>
      </c>
      <c r="Y4924">
        <v>-4.5474380000000002E-2</v>
      </c>
      <c r="Z4924">
        <v>-1.9829280000000001E-4</v>
      </c>
      <c r="AA4924">
        <v>0.99896549999999995</v>
      </c>
      <c r="AB4924">
        <v>28</v>
      </c>
      <c r="AC4924">
        <v>108.0245</v>
      </c>
      <c r="AD4924">
        <v>0.42109099999999999</v>
      </c>
      <c r="AE4924">
        <v>1.8718399999999999</v>
      </c>
      <c r="AF4924">
        <v>-4.91736624082845</v>
      </c>
      <c r="AG4924">
        <v>0.42109099999999999</v>
      </c>
      <c r="AH4924">
        <v>107.927110900408</v>
      </c>
      <c r="AI4924">
        <v>89.776686213863101</v>
      </c>
      <c r="AJ4924">
        <v>92.608701515651305</v>
      </c>
      <c r="AK4924">
        <v>108.03989575932501</v>
      </c>
      <c r="AL4924">
        <v>80.995310466498594</v>
      </c>
      <c r="AM4924">
        <v>87.799690499031897</v>
      </c>
      <c r="AN4924">
        <v>0.99999997039329003</v>
      </c>
    </row>
    <row r="4925" spans="1:40" x14ac:dyDescent="0.25">
      <c r="A4925" t="str">
        <f>"20190312164607350"</f>
        <v>20190312164607350</v>
      </c>
      <c r="B4925" t="str">
        <f>"1552380367346567"</f>
        <v>1552380367346567</v>
      </c>
      <c r="C4925" t="s">
        <v>40</v>
      </c>
      <c r="D4925">
        <v>4.9251319999999996</v>
      </c>
      <c r="E4925">
        <v>0.47495730000000003</v>
      </c>
      <c r="F4925" t="s">
        <v>64</v>
      </c>
      <c r="G4925">
        <v>-273.40989999999999</v>
      </c>
      <c r="H4925">
        <v>1.718445</v>
      </c>
      <c r="I4925">
        <v>17.901479999999999</v>
      </c>
      <c r="J4925">
        <v>-381.29509999999999</v>
      </c>
      <c r="K4925">
        <v>1.111329</v>
      </c>
      <c r="L4925">
        <v>16.326319999999999</v>
      </c>
      <c r="M4925">
        <v>0.99962229999999996</v>
      </c>
      <c r="N4925">
        <v>0</v>
      </c>
      <c r="O4925">
        <v>-2.621269E-2</v>
      </c>
      <c r="P4925">
        <v>0.98650090000000001</v>
      </c>
      <c r="Q4925">
        <v>0.14925469999999999</v>
      </c>
      <c r="R4925">
        <v>-6.7372260000000003E-2</v>
      </c>
      <c r="S4925">
        <v>3.0408019999999998</v>
      </c>
      <c r="T4925">
        <v>1.708937E-2</v>
      </c>
      <c r="U4925">
        <v>4.4281010000000003E-2</v>
      </c>
      <c r="V4925">
        <v>4.0330129999999999E-2</v>
      </c>
      <c r="W4925">
        <v>0.15770399999999901</v>
      </c>
      <c r="X4925">
        <v>0.9866625</v>
      </c>
      <c r="Y4925">
        <v>-4.076548E-2</v>
      </c>
      <c r="Z4925">
        <v>-2.6185070000000002E-4</v>
      </c>
      <c r="AA4925">
        <v>0.99916870000000002</v>
      </c>
      <c r="AB4925">
        <v>28</v>
      </c>
      <c r="AC4925">
        <v>107.8852</v>
      </c>
      <c r="AD4925">
        <v>0.60711599999999999</v>
      </c>
      <c r="AE4925">
        <v>1.5751599999999899</v>
      </c>
      <c r="AF4925">
        <v>-4.4025370044094698</v>
      </c>
      <c r="AG4925">
        <v>0.60711599999999999</v>
      </c>
      <c r="AH4925">
        <v>107.80342309650401</v>
      </c>
      <c r="AI4925">
        <v>89.677599785576305</v>
      </c>
      <c r="AJ4925">
        <v>92.338577857771199</v>
      </c>
      <c r="AK4925">
        <v>107.89499039916799</v>
      </c>
      <c r="AL4925">
        <v>80.926346602463497</v>
      </c>
      <c r="AM4925">
        <v>87.659320587847802</v>
      </c>
      <c r="AN4925">
        <v>0.999999979954033</v>
      </c>
    </row>
    <row r="4926" spans="1:40" x14ac:dyDescent="0.25">
      <c r="A4926" t="str">
        <f>"20190312164607360"</f>
        <v>20190312164607360</v>
      </c>
      <c r="B4926" t="str">
        <f>"1552380367356327"</f>
        <v>1552380367356327</v>
      </c>
      <c r="C4926" t="s">
        <v>40</v>
      </c>
      <c r="D4926">
        <v>4.9467160000000003</v>
      </c>
      <c r="E4926">
        <v>0.4748599</v>
      </c>
      <c r="F4926" t="s">
        <v>64</v>
      </c>
      <c r="G4926">
        <v>-273.40989999999999</v>
      </c>
      <c r="H4926">
        <v>1.8086610000000001</v>
      </c>
      <c r="I4926">
        <v>17.691700000000001</v>
      </c>
      <c r="J4926">
        <v>-381.15609999999998</v>
      </c>
      <c r="K4926">
        <v>1.1113059999999999</v>
      </c>
      <c r="L4926">
        <v>16.324679999999901</v>
      </c>
      <c r="M4926">
        <v>0.9996718</v>
      </c>
      <c r="N4926">
        <v>0</v>
      </c>
      <c r="O4926">
        <v>-2.4262800000000001E-2</v>
      </c>
      <c r="P4926">
        <v>0.98630139999999999</v>
      </c>
      <c r="Q4926">
        <v>0.150395</v>
      </c>
      <c r="R4926">
        <v>-6.7757650000000003E-2</v>
      </c>
      <c r="S4926">
        <v>3.0407099999999998</v>
      </c>
      <c r="T4926">
        <v>1.9654149999999999E-2</v>
      </c>
      <c r="U4926">
        <v>3.8482669999999997E-2</v>
      </c>
      <c r="V4926">
        <v>4.2646389999999999E-2</v>
      </c>
      <c r="W4926">
        <v>0.1588321</v>
      </c>
      <c r="X4926">
        <v>0.98638419999999905</v>
      </c>
      <c r="Y4926">
        <v>-3.6911480000000003E-2</v>
      </c>
      <c r="Z4926">
        <v>-2.7610440000000003E-4</v>
      </c>
      <c r="AA4926">
        <v>0.9993185</v>
      </c>
      <c r="AB4926">
        <v>28</v>
      </c>
      <c r="AC4926">
        <v>107.7462</v>
      </c>
      <c r="AD4926">
        <v>0.69735499999999995</v>
      </c>
      <c r="AE4926">
        <v>1.3670199999999999</v>
      </c>
      <c r="AF4926">
        <v>-3.98076369579851</v>
      </c>
      <c r="AG4926">
        <v>0.69735499999999995</v>
      </c>
      <c r="AH4926">
        <v>107.67680034077</v>
      </c>
      <c r="AI4926">
        <v>89.6291897220717</v>
      </c>
      <c r="AJ4926">
        <v>92.117235408811496</v>
      </c>
      <c r="AK4926">
        <v>107.752615352129</v>
      </c>
      <c r="AL4926">
        <v>80.860887009996205</v>
      </c>
      <c r="AM4926">
        <v>87.524354740904201</v>
      </c>
      <c r="AN4926">
        <v>1.00000007029003</v>
      </c>
    </row>
    <row r="4927" spans="1:40" x14ac:dyDescent="0.25">
      <c r="A4927" t="str">
        <f>"20190312164607372"</f>
        <v>20190312164607372</v>
      </c>
      <c r="B4927" t="str">
        <f>"1552380367366086"</f>
        <v>1552380367366086</v>
      </c>
      <c r="C4927" t="s">
        <v>40</v>
      </c>
      <c r="D4927">
        <v>5.0004410000000004</v>
      </c>
      <c r="E4927">
        <v>0.47500779999999898</v>
      </c>
      <c r="F4927" t="s">
        <v>64</v>
      </c>
      <c r="G4927">
        <v>-273.40989999999999</v>
      </c>
      <c r="H4927">
        <v>1.5301990000000001</v>
      </c>
      <c r="I4927">
        <v>17.700469999999999</v>
      </c>
      <c r="J4927">
        <v>-381.00990000000002</v>
      </c>
      <c r="K4927">
        <v>1.111289</v>
      </c>
      <c r="L4927">
        <v>16.323090000000001</v>
      </c>
      <c r="M4927">
        <v>0.99971940000000004</v>
      </c>
      <c r="N4927">
        <v>0</v>
      </c>
      <c r="O4927">
        <v>-2.2223139999999999E-2</v>
      </c>
      <c r="P4927">
        <v>0.98617619999999895</v>
      </c>
      <c r="Q4927">
        <v>0.15110599999999999</v>
      </c>
      <c r="R4927">
        <v>-6.7996609999999999E-2</v>
      </c>
      <c r="S4927">
        <v>3.0424799999999999</v>
      </c>
      <c r="T4927">
        <v>1.182854E-2</v>
      </c>
      <c r="U4927">
        <v>3.8848880000000002E-2</v>
      </c>
      <c r="V4927">
        <v>4.4905929999999997E-2</v>
      </c>
      <c r="W4927">
        <v>0.15952930000000001</v>
      </c>
      <c r="X4927">
        <v>0.98617129999999997</v>
      </c>
      <c r="Y4927">
        <v>-3.498627E-2</v>
      </c>
      <c r="Z4927">
        <v>-1.544025E-4</v>
      </c>
      <c r="AA4927">
        <v>0.99938780000000005</v>
      </c>
      <c r="AB4927">
        <v>28</v>
      </c>
      <c r="AC4927">
        <v>107.6</v>
      </c>
      <c r="AD4927">
        <v>0.41891</v>
      </c>
      <c r="AE4927">
        <v>1.37738</v>
      </c>
      <c r="AF4927">
        <v>-3.7682729828050601</v>
      </c>
      <c r="AG4927">
        <v>0.41891</v>
      </c>
      <c r="AH4927">
        <v>107.541184349036</v>
      </c>
      <c r="AI4927">
        <v>89.776951197077096</v>
      </c>
      <c r="AJ4927">
        <v>92.006838957677701</v>
      </c>
      <c r="AK4927">
        <v>107.608000158233</v>
      </c>
      <c r="AL4927">
        <v>80.820423699946502</v>
      </c>
      <c r="AM4927">
        <v>87.392801674406101</v>
      </c>
      <c r="AN4927">
        <v>0.99999998652567201</v>
      </c>
    </row>
    <row r="4928" spans="1:40" x14ac:dyDescent="0.25">
      <c r="A4928" t="str">
        <f>"20190312164607382"</f>
        <v>20190312164607382</v>
      </c>
      <c r="B4928" t="str">
        <f>"1552380367376822"</f>
        <v>1552380367376822</v>
      </c>
      <c r="C4928" t="s">
        <v>40</v>
      </c>
      <c r="D4928">
        <v>4.7760619999999996</v>
      </c>
      <c r="E4928">
        <v>0.47516789999999998</v>
      </c>
      <c r="F4928" t="s">
        <v>64</v>
      </c>
      <c r="G4928">
        <v>-273.40989999999999</v>
      </c>
      <c r="H4928">
        <v>1.581375</v>
      </c>
      <c r="I4928">
        <v>17.620349999999998</v>
      </c>
      <c r="J4928">
        <v>-380.87</v>
      </c>
      <c r="K4928">
        <v>1.111267</v>
      </c>
      <c r="L4928">
        <v>16.321899999999999</v>
      </c>
      <c r="M4928">
        <v>0.99976069999999995</v>
      </c>
      <c r="N4928">
        <v>0</v>
      </c>
      <c r="O4928">
        <v>-2.029483E-2</v>
      </c>
      <c r="P4928">
        <v>0.98602630000000002</v>
      </c>
      <c r="Q4928">
        <v>0.15186549999999999</v>
      </c>
      <c r="R4928">
        <v>-6.847992E-2</v>
      </c>
      <c r="S4928">
        <v>3.0425719999999998</v>
      </c>
      <c r="T4928">
        <v>1.329255E-2</v>
      </c>
      <c r="U4928">
        <v>3.668213E-2</v>
      </c>
      <c r="V4928">
        <v>4.7299149999999998E-2</v>
      </c>
      <c r="W4928">
        <v>0.16027720000000001</v>
      </c>
      <c r="X4928">
        <v>0.98593810000000004</v>
      </c>
      <c r="Y4928">
        <v>-3.234646E-2</v>
      </c>
      <c r="Z4928">
        <v>-1.593182E-4</v>
      </c>
      <c r="AA4928">
        <v>0.9994767</v>
      </c>
      <c r="AB4928">
        <v>28</v>
      </c>
      <c r="AC4928">
        <v>107.4601</v>
      </c>
      <c r="AD4928">
        <v>0.47010800000000003</v>
      </c>
      <c r="AE4928">
        <v>1.2984499999999899</v>
      </c>
      <c r="AF4928">
        <v>-3.47907313496495</v>
      </c>
      <c r="AG4928">
        <v>0.47010800000000003</v>
      </c>
      <c r="AH4928">
        <v>107.40955788083799</v>
      </c>
      <c r="AI4928">
        <v>89.749362025309097</v>
      </c>
      <c r="AJ4928">
        <v>91.855203049421704</v>
      </c>
      <c r="AK4928">
        <v>107.46691619083199</v>
      </c>
      <c r="AL4928">
        <v>80.777013401711002</v>
      </c>
      <c r="AM4928">
        <v>87.253412258446502</v>
      </c>
      <c r="AN4928">
        <v>0.99999996373108502</v>
      </c>
    </row>
    <row r="4929" spans="1:40" x14ac:dyDescent="0.25">
      <c r="A4929" t="str">
        <f>"20190312164607395"</f>
        <v>20190312164607395</v>
      </c>
      <c r="B4929" t="str">
        <f>"1552380367386582"</f>
        <v>1552380367386582</v>
      </c>
      <c r="C4929" t="s">
        <v>40</v>
      </c>
      <c r="D4929">
        <v>4.9501150000000003</v>
      </c>
      <c r="E4929">
        <v>0.47530699999999998</v>
      </c>
      <c r="F4929" t="s">
        <v>64</v>
      </c>
      <c r="G4929">
        <v>-273.40989999999999</v>
      </c>
      <c r="H4929">
        <v>1.633518</v>
      </c>
      <c r="I4929">
        <v>17.515059999999998</v>
      </c>
      <c r="J4929">
        <v>-380.71929999999998</v>
      </c>
      <c r="K4929">
        <v>1.1112420000000001</v>
      </c>
      <c r="L4929">
        <v>16.32086</v>
      </c>
      <c r="M4929">
        <v>0.99980040000000003</v>
      </c>
      <c r="N4929">
        <v>0</v>
      </c>
      <c r="O4929">
        <v>-1.8239439999999999E-2</v>
      </c>
      <c r="P4929">
        <v>0.9859002</v>
      </c>
      <c r="Q4929">
        <v>0.15252360000000001</v>
      </c>
      <c r="R4929">
        <v>-6.8827689999999997E-2</v>
      </c>
      <c r="S4929">
        <v>3.0426030000000002</v>
      </c>
      <c r="T4929">
        <v>1.478696E-2</v>
      </c>
      <c r="U4929">
        <v>3.3782960000000001E-2</v>
      </c>
      <c r="V4929">
        <v>4.9682949999999997E-2</v>
      </c>
      <c r="W4929">
        <v>0.16092290000000001</v>
      </c>
      <c r="X4929">
        <v>0.98571569999999997</v>
      </c>
      <c r="Y4929">
        <v>-2.9339150000000001E-2</v>
      </c>
      <c r="Z4929">
        <v>-1.5993250000000001E-4</v>
      </c>
      <c r="AA4929">
        <v>0.9995695</v>
      </c>
      <c r="AB4929">
        <v>28</v>
      </c>
      <c r="AC4929">
        <v>107.309399999999</v>
      </c>
      <c r="AD4929">
        <v>0.52227599999999996</v>
      </c>
      <c r="AE4929">
        <v>1.1941999999999999</v>
      </c>
      <c r="AF4929">
        <v>-3.1512551200302799</v>
      </c>
      <c r="AG4929">
        <v>0.52227599999999996</v>
      </c>
      <c r="AH4929">
        <v>107.26722476184899</v>
      </c>
      <c r="AI4929">
        <v>89.721153690278499</v>
      </c>
      <c r="AJ4929">
        <v>91.682729313729396</v>
      </c>
      <c r="AK4929">
        <v>107.314773862506</v>
      </c>
      <c r="AL4929">
        <v>80.739531392505</v>
      </c>
      <c r="AM4929">
        <v>87.114567167576993</v>
      </c>
      <c r="AN4929">
        <v>1.0000000082458</v>
      </c>
    </row>
    <row r="4930" spans="1:40" x14ac:dyDescent="0.25">
      <c r="A4930" t="str">
        <f>"20190312164607405"</f>
        <v>20190312164607405</v>
      </c>
      <c r="B4930" t="str">
        <f>"1552380367396342"</f>
        <v>1552380367396342</v>
      </c>
      <c r="C4930" t="s">
        <v>40</v>
      </c>
      <c r="D4930">
        <v>4.765587</v>
      </c>
      <c r="E4930">
        <v>0.475408</v>
      </c>
      <c r="F4930" t="s">
        <v>64</v>
      </c>
      <c r="G4930">
        <v>-273.40989999999999</v>
      </c>
      <c r="H4930">
        <v>1.6882470000000001</v>
      </c>
      <c r="I4930">
        <v>17.442399999999999</v>
      </c>
      <c r="J4930">
        <v>-380.58460000000002</v>
      </c>
      <c r="K4930">
        <v>1.1112200000000001</v>
      </c>
      <c r="L4930">
        <v>16.320129999999999</v>
      </c>
      <c r="M4930">
        <v>0.99983219999999995</v>
      </c>
      <c r="N4930">
        <v>0</v>
      </c>
      <c r="O4930">
        <v>-1.641782E-2</v>
      </c>
      <c r="P4930">
        <v>0.98580809999999996</v>
      </c>
      <c r="Q4930">
        <v>0.1529459</v>
      </c>
      <c r="R4930">
        <v>-6.9210750000000001E-2</v>
      </c>
      <c r="S4930">
        <v>3.0425719999999998</v>
      </c>
      <c r="T4930">
        <v>1.6360039999999999E-2</v>
      </c>
      <c r="U4930">
        <v>3.1799319999999999E-2</v>
      </c>
      <c r="V4930">
        <v>5.1870819999999998E-2</v>
      </c>
      <c r="W4930">
        <v>0.16133520000000001</v>
      </c>
      <c r="X4930">
        <v>0.98553559999999996</v>
      </c>
      <c r="Y4930">
        <v>-2.6866330000000001E-2</v>
      </c>
      <c r="Z4930">
        <v>-1.6050640000000001E-4</v>
      </c>
      <c r="AA4930">
        <v>0.99963900000000006</v>
      </c>
      <c r="AB4930">
        <v>28</v>
      </c>
      <c r="AC4930">
        <v>107.1747</v>
      </c>
      <c r="AD4930">
        <v>0.57702699999999996</v>
      </c>
      <c r="AE4930">
        <v>1.1222700000000001</v>
      </c>
      <c r="AF4930">
        <v>-2.8816682319587001</v>
      </c>
      <c r="AG4930">
        <v>0.57702699999999996</v>
      </c>
      <c r="AH4930">
        <v>107.138722723751</v>
      </c>
      <c r="AI4930">
        <v>89.691531321263099</v>
      </c>
      <c r="AJ4930">
        <v>91.540690670051504</v>
      </c>
      <c r="AK4930">
        <v>107.179022568946</v>
      </c>
      <c r="AL4930">
        <v>80.715595727325507</v>
      </c>
      <c r="AM4930">
        <v>86.987182043111602</v>
      </c>
      <c r="AN4930">
        <v>1.00000002379693</v>
      </c>
    </row>
    <row r="4931" spans="1:40" x14ac:dyDescent="0.25">
      <c r="A4931" t="str">
        <f>"20190312164607416"</f>
        <v>20190312164607416</v>
      </c>
      <c r="B4931" t="str">
        <f>"1552380367406103"</f>
        <v>1552380367406103</v>
      </c>
      <c r="C4931" t="s">
        <v>40</v>
      </c>
      <c r="D4931">
        <v>4.9878580000000001</v>
      </c>
      <c r="E4931">
        <v>0.47534029999999999</v>
      </c>
      <c r="F4931" t="s">
        <v>64</v>
      </c>
      <c r="G4931">
        <v>-273.40989999999999</v>
      </c>
      <c r="H4931">
        <v>1.6965250000000001</v>
      </c>
      <c r="I4931">
        <v>17.377859999999998</v>
      </c>
      <c r="J4931">
        <v>-380.44959999999998</v>
      </c>
      <c r="K4931">
        <v>1.1111960000000001</v>
      </c>
      <c r="L4931">
        <v>16.319669999999999</v>
      </c>
      <c r="M4931">
        <v>0.99986019999999998</v>
      </c>
      <c r="N4931">
        <v>0</v>
      </c>
      <c r="O4931">
        <v>-1.4622909999999999E-2</v>
      </c>
      <c r="P4931">
        <v>0.98575420000000002</v>
      </c>
      <c r="Q4931">
        <v>0.15302460000000001</v>
      </c>
      <c r="R4931">
        <v>-6.9802470000000005E-2</v>
      </c>
      <c r="S4931">
        <v>3.0427249999999999</v>
      </c>
      <c r="T4931">
        <v>1.6617059999999999E-2</v>
      </c>
      <c r="U4931">
        <v>3.0029299999999998E-2</v>
      </c>
      <c r="V4931">
        <v>5.424321E-2</v>
      </c>
      <c r="W4931">
        <v>0.1614062</v>
      </c>
      <c r="X4931">
        <v>0.98539620000000006</v>
      </c>
      <c r="Y4931">
        <v>-2.4489779999999999E-2</v>
      </c>
      <c r="Z4931">
        <v>-1.467289E-4</v>
      </c>
      <c r="AA4931">
        <v>0.99970009999999998</v>
      </c>
      <c r="AB4931">
        <v>28</v>
      </c>
      <c r="AC4931">
        <v>107.039699999999</v>
      </c>
      <c r="AD4931">
        <v>0.58532899999999999</v>
      </c>
      <c r="AE4931">
        <v>1.05818999999999</v>
      </c>
      <c r="AF4931">
        <v>-2.6232817746810801</v>
      </c>
      <c r="AG4931">
        <v>0.58532899999999999</v>
      </c>
      <c r="AH4931">
        <v>107.00958062505801</v>
      </c>
      <c r="AI4931">
        <v>89.686696514744298</v>
      </c>
      <c r="AJ4931">
        <v>91.404293667116505</v>
      </c>
      <c r="AK4931">
        <v>107.043330305341</v>
      </c>
      <c r="AL4931">
        <v>80.711473284441595</v>
      </c>
      <c r="AM4931">
        <v>86.849213018461896</v>
      </c>
      <c r="AN4931">
        <v>0.99999997910199101</v>
      </c>
    </row>
    <row r="4932" spans="1:40" x14ac:dyDescent="0.25">
      <c r="A4932" t="str">
        <f>"20190312164607427"</f>
        <v>20190312164607427</v>
      </c>
      <c r="B4932" t="str">
        <f>"1552380367416753"</f>
        <v>1552380367416753</v>
      </c>
      <c r="C4932" t="s">
        <v>40</v>
      </c>
      <c r="D4932">
        <v>4.9135629999999999</v>
      </c>
      <c r="E4932">
        <v>0.47534029999999999</v>
      </c>
      <c r="F4932" t="s">
        <v>64</v>
      </c>
      <c r="G4932">
        <v>-273.40989999999999</v>
      </c>
      <c r="H4932">
        <v>1.6445449999999999</v>
      </c>
      <c r="I4932">
        <v>17.333029999999901</v>
      </c>
      <c r="J4932">
        <v>-380.3109</v>
      </c>
      <c r="K4932">
        <v>1.11117</v>
      </c>
      <c r="L4932">
        <v>16.319369999999999</v>
      </c>
      <c r="M4932">
        <v>0.99988560000000004</v>
      </c>
      <c r="N4932">
        <v>0</v>
      </c>
      <c r="O4932">
        <v>-1.279045E-2</v>
      </c>
      <c r="P4932">
        <v>0.98566109999999896</v>
      </c>
      <c r="Q4932">
        <v>0.1534433</v>
      </c>
      <c r="R4932">
        <v>-7.0196599999999998E-2</v>
      </c>
      <c r="S4932">
        <v>3.042999</v>
      </c>
      <c r="T4932">
        <v>1.5162470000000001E-2</v>
      </c>
      <c r="U4932">
        <v>2.8808589999999999E-2</v>
      </c>
      <c r="V4932">
        <v>5.6453290000000003E-2</v>
      </c>
      <c r="W4932">
        <v>0.16181519999999999</v>
      </c>
      <c r="X4932">
        <v>0.985205</v>
      </c>
      <c r="Y4932">
        <v>-2.2255839999999999E-2</v>
      </c>
      <c r="Z4932">
        <v>-1.1917729999999999E-4</v>
      </c>
      <c r="AA4932">
        <v>0.99975230000000004</v>
      </c>
      <c r="AB4932">
        <v>29</v>
      </c>
      <c r="AC4932">
        <v>106.901</v>
      </c>
      <c r="AD4932">
        <v>0.53337500000000004</v>
      </c>
      <c r="AE4932">
        <v>1.01365999999999</v>
      </c>
      <c r="AF4932">
        <v>-2.3808742769657099</v>
      </c>
      <c r="AG4932">
        <v>0.53337500000000004</v>
      </c>
      <c r="AH4932">
        <v>106.876628823777</v>
      </c>
      <c r="AI4932">
        <v>89.714134856372993</v>
      </c>
      <c r="AJ4932">
        <v>91.276158223952393</v>
      </c>
      <c r="AK4932">
        <v>106.90447530365</v>
      </c>
      <c r="AL4932">
        <v>80.687727470798606</v>
      </c>
      <c r="AM4932">
        <v>86.720477351221106</v>
      </c>
      <c r="AN4932">
        <v>1.0000000124639301</v>
      </c>
    </row>
    <row r="4933" spans="1:40" x14ac:dyDescent="0.25">
      <c r="A4933" t="str">
        <f>"20190312164607438"</f>
        <v>20190312164607438</v>
      </c>
      <c r="B4933" t="str">
        <f>"1552380367426512"</f>
        <v>1552380367426512</v>
      </c>
      <c r="C4933" t="s">
        <v>40</v>
      </c>
      <c r="D4933">
        <v>4.8387169999999999</v>
      </c>
      <c r="E4933">
        <v>0.47533720000000002</v>
      </c>
      <c r="F4933" t="s">
        <v>64</v>
      </c>
      <c r="G4933">
        <v>-273.40989999999999</v>
      </c>
      <c r="H4933">
        <v>1.686879</v>
      </c>
      <c r="I4933">
        <v>17.285299999999999</v>
      </c>
      <c r="J4933">
        <v>-380.17349999999999</v>
      </c>
      <c r="K4933">
        <v>1.1111439999999999</v>
      </c>
      <c r="L4933">
        <v>16.319430000000001</v>
      </c>
      <c r="M4933">
        <v>0.99990679999999998</v>
      </c>
      <c r="N4933">
        <v>0</v>
      </c>
      <c r="O4933">
        <v>-1.101653E-2</v>
      </c>
      <c r="P4933">
        <v>0.98559810000000003</v>
      </c>
      <c r="Q4933">
        <v>0.15368119999999999</v>
      </c>
      <c r="R4933">
        <v>-7.0561070000000004E-2</v>
      </c>
      <c r="S4933">
        <v>3.0430600000000001</v>
      </c>
      <c r="T4933">
        <v>1.6388299999999901E-2</v>
      </c>
      <c r="U4933">
        <v>2.7496340000000001E-2</v>
      </c>
      <c r="V4933">
        <v>5.8577820000000003E-2</v>
      </c>
      <c r="W4933">
        <v>0.1620434</v>
      </c>
      <c r="X4933">
        <v>0.98504349999999996</v>
      </c>
      <c r="Y4933">
        <v>-2.005082E-2</v>
      </c>
      <c r="Z4933">
        <v>-1.133193E-4</v>
      </c>
      <c r="AA4933">
        <v>0.99979899999999999</v>
      </c>
      <c r="AB4933">
        <v>29</v>
      </c>
      <c r="AC4933">
        <v>106.7636</v>
      </c>
      <c r="AD4933">
        <v>0.575734999999999</v>
      </c>
      <c r="AE4933">
        <v>0.96586999999999801</v>
      </c>
      <c r="AF4933">
        <v>-2.1419517456405699</v>
      </c>
      <c r="AG4933">
        <v>0.575734999999999</v>
      </c>
      <c r="AH4933">
        <v>106.743375999965</v>
      </c>
      <c r="AI4933">
        <v>89.691032569117098</v>
      </c>
      <c r="AJ4933">
        <v>91.149563855278501</v>
      </c>
      <c r="AK4933">
        <v>106.7664167608</v>
      </c>
      <c r="AL4933">
        <v>80.674478162192301</v>
      </c>
      <c r="AM4933">
        <v>86.596785904637102</v>
      </c>
      <c r="AN4933">
        <v>1.0000000606858701</v>
      </c>
    </row>
    <row r="4934" spans="1:40" x14ac:dyDescent="0.25">
      <c r="A4934" t="str">
        <f>"20190312164607449"</f>
        <v>20190312164607449</v>
      </c>
      <c r="B4934" t="str">
        <f>"1552380367446032"</f>
        <v>1552380367446032</v>
      </c>
      <c r="C4934" t="s">
        <v>40</v>
      </c>
      <c r="D4934">
        <v>4.9399249999999997</v>
      </c>
      <c r="E4934">
        <v>0.47539690000000001</v>
      </c>
      <c r="F4934" t="s">
        <v>64</v>
      </c>
      <c r="G4934">
        <v>-273.40989999999999</v>
      </c>
      <c r="H4934">
        <v>1.6665019999999999</v>
      </c>
      <c r="I4934">
        <v>17.2423</v>
      </c>
      <c r="J4934">
        <v>-380.02800000000002</v>
      </c>
      <c r="K4934">
        <v>1.111113</v>
      </c>
      <c r="L4934">
        <v>16.319579999999998</v>
      </c>
      <c r="M4934">
        <v>0.99992590000000003</v>
      </c>
      <c r="N4934">
        <v>0</v>
      </c>
      <c r="O4934">
        <v>-9.1483199999999997E-3</v>
      </c>
      <c r="P4934">
        <v>0.98551580000000005</v>
      </c>
      <c r="Q4934">
        <v>0.1539249</v>
      </c>
      <c r="R4934">
        <v>-7.1175009999999997E-2</v>
      </c>
      <c r="S4934">
        <v>3.0432429999999999</v>
      </c>
      <c r="T4934">
        <v>1.5830279999999999E-2</v>
      </c>
      <c r="U4934">
        <v>2.630615E-2</v>
      </c>
      <c r="V4934">
        <v>6.1045679999999998E-2</v>
      </c>
      <c r="W4934">
        <v>0.1622786</v>
      </c>
      <c r="X4934">
        <v>0.98485489999999998</v>
      </c>
      <c r="Y4934">
        <v>-1.7791350000000001E-2</v>
      </c>
      <c r="Z4934" s="1">
        <v>-9.3859999999999999E-5</v>
      </c>
      <c r="AA4934">
        <v>0.99984170000000006</v>
      </c>
      <c r="AB4934">
        <v>29</v>
      </c>
      <c r="AC4934">
        <v>106.6181</v>
      </c>
      <c r="AD4934">
        <v>0.55538900000000002</v>
      </c>
      <c r="AE4934">
        <v>0.92272000000000098</v>
      </c>
      <c r="AF4934">
        <v>-1.8980378402818301</v>
      </c>
      <c r="AG4934">
        <v>0.55538900000000002</v>
      </c>
      <c r="AH4934">
        <v>106.602304024772</v>
      </c>
      <c r="AI4934">
        <v>89.701543831463795</v>
      </c>
      <c r="AJ4934">
        <v>91.020034877516395</v>
      </c>
      <c r="AK4934">
        <v>106.620646349449</v>
      </c>
      <c r="AL4934">
        <v>80.660821306443097</v>
      </c>
      <c r="AM4934">
        <v>86.453091008200502</v>
      </c>
      <c r="AN4934">
        <v>1.00000004655931</v>
      </c>
    </row>
    <row r="4935" spans="1:40" x14ac:dyDescent="0.25">
      <c r="A4935" t="str">
        <f>"20190312164607461"</f>
        <v>20190312164607461</v>
      </c>
      <c r="B4935" t="str">
        <f>"1552380367456769"</f>
        <v>1552380367456769</v>
      </c>
      <c r="C4935" t="s">
        <v>40</v>
      </c>
      <c r="D4935">
        <v>4.8624559999999999</v>
      </c>
      <c r="E4935">
        <v>0.4754024</v>
      </c>
      <c r="F4935" t="s">
        <v>86</v>
      </c>
      <c r="G4935">
        <v>-276.1388</v>
      </c>
      <c r="H4935">
        <v>1.621953</v>
      </c>
      <c r="I4935">
        <v>17.136209999999998</v>
      </c>
      <c r="J4935">
        <v>-379.87479999999999</v>
      </c>
      <c r="K4935">
        <v>1.111073</v>
      </c>
      <c r="L4935">
        <v>16.3201</v>
      </c>
      <c r="M4935">
        <v>0.99994170000000004</v>
      </c>
      <c r="N4935">
        <v>0</v>
      </c>
      <c r="O4935">
        <v>-7.2351799999999999E-3</v>
      </c>
      <c r="P4935">
        <v>0.98537830000000004</v>
      </c>
      <c r="Q4935">
        <v>0.1544731</v>
      </c>
      <c r="R4935">
        <v>-7.1888740000000007E-2</v>
      </c>
      <c r="S4935">
        <v>3.0435180000000002</v>
      </c>
      <c r="T4935">
        <v>1.496542E-2</v>
      </c>
      <c r="U4935">
        <v>2.3925780000000001E-2</v>
      </c>
      <c r="V4935">
        <v>6.3657729999999996E-2</v>
      </c>
      <c r="W4935">
        <v>0.1628174</v>
      </c>
      <c r="X4935">
        <v>0.98460049999999999</v>
      </c>
      <c r="Y4935">
        <v>-1.50957E-2</v>
      </c>
      <c r="Z4935" s="1">
        <v>-7.2689890000000003E-5</v>
      </c>
      <c r="AA4935">
        <v>0.99988600000000005</v>
      </c>
      <c r="AB4935">
        <v>29</v>
      </c>
      <c r="AC4935">
        <v>103.736</v>
      </c>
      <c r="AD4935">
        <v>0.51088</v>
      </c>
      <c r="AE4935">
        <v>0.816110000000001</v>
      </c>
      <c r="AF4935">
        <v>-1.5666233879773901</v>
      </c>
      <c r="AG4935">
        <v>0.51088</v>
      </c>
      <c r="AH4935">
        <v>103.724864159623</v>
      </c>
      <c r="AI4935">
        <v>89.717833391714194</v>
      </c>
      <c r="AJ4935">
        <v>90.865309243427902</v>
      </c>
      <c r="AK4935">
        <v>103.737952322891</v>
      </c>
      <c r="AL4935">
        <v>80.629533599688401</v>
      </c>
      <c r="AM4935">
        <v>86.300783952862403</v>
      </c>
      <c r="AN4935">
        <v>0.99999997846588096</v>
      </c>
    </row>
    <row r="4936" spans="1:40" x14ac:dyDescent="0.25">
      <c r="A4936" t="str">
        <f>"20190312164607473"</f>
        <v>20190312164607473</v>
      </c>
      <c r="B4936" t="str">
        <f>"1552380367466529"</f>
        <v>1552380367466529</v>
      </c>
      <c r="C4936" t="s">
        <v>40</v>
      </c>
      <c r="D4936">
        <v>4.7664289999999996</v>
      </c>
      <c r="E4936">
        <v>0.47544209999999898</v>
      </c>
      <c r="F4936" t="s">
        <v>86</v>
      </c>
      <c r="G4936">
        <v>-276.14159999999998</v>
      </c>
      <c r="H4936">
        <v>1.641791</v>
      </c>
      <c r="I4936">
        <v>17.061610000000002</v>
      </c>
      <c r="J4936">
        <v>-379.72199999999998</v>
      </c>
      <c r="K4936">
        <v>1.111032</v>
      </c>
      <c r="L4936">
        <v>16.32086</v>
      </c>
      <c r="M4936">
        <v>0.99995369999999995</v>
      </c>
      <c r="N4936">
        <v>0</v>
      </c>
      <c r="O4936">
        <v>-5.3483890000000003E-3</v>
      </c>
      <c r="P4936">
        <v>0.98527719999999996</v>
      </c>
      <c r="Q4936">
        <v>0.1548657</v>
      </c>
      <c r="R4936">
        <v>-7.2426770000000001E-2</v>
      </c>
      <c r="S4936">
        <v>3.0436709999999998</v>
      </c>
      <c r="T4936">
        <v>1.5571949999999999E-2</v>
      </c>
      <c r="U4936">
        <v>2.1759029999999999E-2</v>
      </c>
      <c r="V4936">
        <v>6.6068550000000004E-2</v>
      </c>
      <c r="W4936">
        <v>0.16319979999999901</v>
      </c>
      <c r="X4936">
        <v>0.98437830000000004</v>
      </c>
      <c r="Y4936">
        <v>-1.249685E-2</v>
      </c>
      <c r="Z4936" s="1">
        <v>-5.9331089999999998E-5</v>
      </c>
      <c r="AA4936">
        <v>0.99992190000000003</v>
      </c>
      <c r="AB4936">
        <v>29</v>
      </c>
      <c r="AC4936">
        <v>103.5804</v>
      </c>
      <c r="AD4936">
        <v>0.53075899999999998</v>
      </c>
      <c r="AE4936">
        <v>0.74075000000000202</v>
      </c>
      <c r="AF4936">
        <v>-1.29471140990463</v>
      </c>
      <c r="AG4936">
        <v>0.53075899999999998</v>
      </c>
      <c r="AH4936">
        <v>103.572237153801</v>
      </c>
      <c r="AI4936">
        <v>89.7064115866891</v>
      </c>
      <c r="AJ4936">
        <v>90.7161922722442</v>
      </c>
      <c r="AK4936">
        <v>103.581688979251</v>
      </c>
      <c r="AL4936">
        <v>80.607326234296707</v>
      </c>
      <c r="AM4936">
        <v>86.160236071571603</v>
      </c>
      <c r="AN4936">
        <v>0.99999993276501398</v>
      </c>
    </row>
    <row r="4937" spans="1:40" x14ac:dyDescent="0.25">
      <c r="A4937" t="str">
        <f>"20190312164607485"</f>
        <v>20190312164607485</v>
      </c>
      <c r="B4937" t="str">
        <f>"1552380367476288"</f>
        <v>1552380367476288</v>
      </c>
      <c r="C4937" t="s">
        <v>40</v>
      </c>
      <c r="D4937">
        <v>4.7083740000000001</v>
      </c>
      <c r="E4937">
        <v>0.4754661</v>
      </c>
      <c r="F4937" t="s">
        <v>86</v>
      </c>
      <c r="G4937">
        <v>-276.14299999999997</v>
      </c>
      <c r="H4937">
        <v>1.634636</v>
      </c>
      <c r="I4937">
        <v>17.004110000000001</v>
      </c>
      <c r="J4937">
        <v>-379.56810000000002</v>
      </c>
      <c r="K4937">
        <v>1.110992</v>
      </c>
      <c r="L4937">
        <v>16.321839999999899</v>
      </c>
      <c r="M4937">
        <v>0.99996200000000002</v>
      </c>
      <c r="N4937">
        <v>0</v>
      </c>
      <c r="O4937">
        <v>-3.4799610000000002E-3</v>
      </c>
      <c r="P4937">
        <v>0.9852012</v>
      </c>
      <c r="Q4937">
        <v>0.15508829999999901</v>
      </c>
      <c r="R4937">
        <v>-7.2981240000000003E-2</v>
      </c>
      <c r="S4937">
        <v>3.0438839999999998</v>
      </c>
      <c r="T4937">
        <v>1.538718E-2</v>
      </c>
      <c r="U4937">
        <v>2.0080569999999999E-2</v>
      </c>
      <c r="V4937">
        <v>6.8478639999999993E-2</v>
      </c>
      <c r="W4937">
        <v>0.16341249999999999</v>
      </c>
      <c r="X4937">
        <v>0.98417840000000001</v>
      </c>
      <c r="Y4937">
        <v>-1.0076659999999999E-2</v>
      </c>
      <c r="Z4937" s="1">
        <v>-4.3060779999999998E-5</v>
      </c>
      <c r="AA4937">
        <v>0.99994919999999998</v>
      </c>
      <c r="AB4937">
        <v>29</v>
      </c>
      <c r="AC4937">
        <v>103.4251</v>
      </c>
      <c r="AD4937">
        <v>0.523644</v>
      </c>
      <c r="AE4937">
        <v>0.68227000000000204</v>
      </c>
      <c r="AF4937">
        <v>-1.0421659667536201</v>
      </c>
      <c r="AG4937">
        <v>0.523644</v>
      </c>
      <c r="AH4937">
        <v>103.419448400523</v>
      </c>
      <c r="AI4937">
        <v>89.7099113169389</v>
      </c>
      <c r="AJ4937">
        <v>90.577354562430997</v>
      </c>
      <c r="AK4937">
        <v>103.426024869998</v>
      </c>
      <c r="AL4937">
        <v>80.594974668521502</v>
      </c>
      <c r="AM4937">
        <v>86.019803212971794</v>
      </c>
      <c r="AN4937">
        <v>1.00000004615952</v>
      </c>
    </row>
    <row r="4938" spans="1:40" x14ac:dyDescent="0.25">
      <c r="A4938" t="str">
        <f>"20190312164607508"</f>
        <v>20190312164607508</v>
      </c>
      <c r="B4938" t="str">
        <f>"1552380367496785"</f>
        <v>1552380367496785</v>
      </c>
      <c r="C4938" t="s">
        <v>40</v>
      </c>
      <c r="D4938">
        <v>4.6440109999999999</v>
      </c>
      <c r="E4938">
        <v>0.4754525</v>
      </c>
      <c r="F4938" t="s">
        <v>86</v>
      </c>
      <c r="G4938">
        <v>-276.14400000000001</v>
      </c>
      <c r="H4938">
        <v>1.620101</v>
      </c>
      <c r="I4938">
        <v>16.949069999999999</v>
      </c>
      <c r="J4938">
        <v>-379.28460000000001</v>
      </c>
      <c r="K4938">
        <v>1.1109089999999999</v>
      </c>
      <c r="L4938">
        <v>16.324339999999999</v>
      </c>
      <c r="M4938">
        <v>0.99996830000000003</v>
      </c>
      <c r="N4938">
        <v>0</v>
      </c>
      <c r="O4938">
        <v>-1.2696619999999999E-4</v>
      </c>
      <c r="P4938">
        <v>0.98500909999999997</v>
      </c>
      <c r="Q4938">
        <v>0.15554780000000001</v>
      </c>
      <c r="R4938">
        <v>-7.4577850000000001E-2</v>
      </c>
      <c r="S4938">
        <v>3.0440670000000001</v>
      </c>
      <c r="T4938">
        <v>1.498449E-2</v>
      </c>
      <c r="U4938">
        <v>1.8463130000000001E-2</v>
      </c>
      <c r="V4938">
        <v>7.3404709999999998E-2</v>
      </c>
      <c r="W4938">
        <v>0.1638589</v>
      </c>
      <c r="X4938">
        <v>0.98374899999999998</v>
      </c>
      <c r="Y4938">
        <v>-6.1920650000000001E-3</v>
      </c>
      <c r="Z4938" s="1">
        <v>-1.5865059999999999E-5</v>
      </c>
      <c r="AA4938">
        <v>0.9999808</v>
      </c>
      <c r="AB4938">
        <v>29</v>
      </c>
      <c r="AC4938">
        <v>103.14060000000001</v>
      </c>
      <c r="AD4938">
        <v>0.50919199999999998</v>
      </c>
      <c r="AE4938">
        <v>0.62473000000000301</v>
      </c>
      <c r="AF4938">
        <v>-0.63781023544862303</v>
      </c>
      <c r="AG4938">
        <v>0.50919199999999998</v>
      </c>
      <c r="AH4938">
        <v>103.138006185921</v>
      </c>
      <c r="AI4938">
        <v>89.717138630191499</v>
      </c>
      <c r="AJ4938">
        <v>90.354315253336907</v>
      </c>
      <c r="AK4938">
        <v>103.141235199102</v>
      </c>
      <c r="AL4938">
        <v>80.569048336485906</v>
      </c>
      <c r="AM4938">
        <v>85.732650825514199</v>
      </c>
      <c r="AN4938">
        <v>1.0000000427801901</v>
      </c>
    </row>
    <row r="4939" spans="1:40" x14ac:dyDescent="0.25">
      <c r="A4939" t="str">
        <f>"20190312164607523"</f>
        <v>20190312164607523</v>
      </c>
      <c r="B4939" t="str">
        <f>"1552380367516357"</f>
        <v>1552380367516357</v>
      </c>
      <c r="C4939" t="s">
        <v>40</v>
      </c>
      <c r="D4939">
        <v>4.7534140000000003</v>
      </c>
      <c r="E4939">
        <v>0.4995714</v>
      </c>
      <c r="F4939" t="s">
        <v>86</v>
      </c>
      <c r="G4939">
        <v>-276.14699999999999</v>
      </c>
      <c r="H4939">
        <v>1.592937</v>
      </c>
      <c r="I4939">
        <v>16.806039999999999</v>
      </c>
      <c r="J4939">
        <v>-379.09320000000002</v>
      </c>
      <c r="K4939">
        <v>1.1108559999999901</v>
      </c>
      <c r="L4939">
        <v>16.326539999999898</v>
      </c>
      <c r="M4939">
        <v>0.99996640000000003</v>
      </c>
      <c r="N4939">
        <v>0</v>
      </c>
      <c r="O4939">
        <v>2.052496E-3</v>
      </c>
      <c r="P4939">
        <v>0.98497999999999997</v>
      </c>
      <c r="Q4939">
        <v>0.15561359999999999</v>
      </c>
      <c r="R4939">
        <v>-7.4827160000000004E-2</v>
      </c>
      <c r="S4939">
        <v>3.044495</v>
      </c>
      <c r="T4939">
        <v>1.422882E-2</v>
      </c>
      <c r="U4939">
        <v>1.422119E-2</v>
      </c>
      <c r="V4939">
        <v>7.5821E-2</v>
      </c>
      <c r="W4939">
        <v>0.16391020000000001</v>
      </c>
      <c r="X4939">
        <v>0.98355709999999996</v>
      </c>
      <c r="Y4939">
        <v>-2.6185119999999999E-3</v>
      </c>
      <c r="Z4939" s="1">
        <v>3.4738710000000002E-6</v>
      </c>
      <c r="AA4939">
        <v>0.99999649999999995</v>
      </c>
      <c r="AB4939">
        <v>29</v>
      </c>
      <c r="AC4939">
        <v>102.9462</v>
      </c>
      <c r="AD4939">
        <v>0.48208099999999998</v>
      </c>
      <c r="AE4939">
        <v>0.47950000000000098</v>
      </c>
      <c r="AF4939">
        <v>-0.268189790507743</v>
      </c>
      <c r="AG4939">
        <v>0.48208099999999998</v>
      </c>
      <c r="AH4939">
        <v>102.94470991767</v>
      </c>
      <c r="AI4939">
        <v>89.731691788042795</v>
      </c>
      <c r="AJ4939">
        <v>90.149265643215699</v>
      </c>
      <c r="AK4939">
        <v>102.94618802018699</v>
      </c>
      <c r="AL4939">
        <v>80.566068116934105</v>
      </c>
      <c r="AM4939">
        <v>85.591869085827</v>
      </c>
      <c r="AN4939">
        <v>0.99999997333272395</v>
      </c>
    </row>
    <row r="4940" spans="1:40" x14ac:dyDescent="0.25">
      <c r="A4940" t="str">
        <f>"20190312164607540"</f>
        <v>20190312164607540</v>
      </c>
      <c r="B4940" t="str">
        <f>"1552380367536829"</f>
        <v>1552380367536829</v>
      </c>
      <c r="C4940" t="s">
        <v>40</v>
      </c>
      <c r="D4940">
        <v>4.907394</v>
      </c>
      <c r="E4940">
        <v>0.50864229999999999</v>
      </c>
      <c r="F4940" t="s">
        <v>87</v>
      </c>
      <c r="G4940">
        <v>-241.07</v>
      </c>
      <c r="H4940">
        <v>0.48872949999999998</v>
      </c>
      <c r="I4940">
        <v>8.2979970000000005</v>
      </c>
      <c r="J4940">
        <v>-378.86320000000001</v>
      </c>
      <c r="K4940">
        <v>1.1107880000000001</v>
      </c>
      <c r="L4940">
        <v>16.329619999999998</v>
      </c>
      <c r="M4940">
        <v>0.99995800000000001</v>
      </c>
      <c r="N4940">
        <v>0</v>
      </c>
      <c r="O4940">
        <v>4.5969959999999999E-3</v>
      </c>
      <c r="P4940">
        <v>0.98460460000000005</v>
      </c>
      <c r="Q4940">
        <v>0.15673090000000001</v>
      </c>
      <c r="R4940">
        <v>-7.73898999999999E-2</v>
      </c>
      <c r="S4940">
        <v>3.0345460000000002</v>
      </c>
      <c r="T4940">
        <v>-1.3678070000000001E-2</v>
      </c>
      <c r="U4940">
        <v>-0.1765137</v>
      </c>
      <c r="V4940">
        <v>8.0908049999999995E-2</v>
      </c>
      <c r="W4940">
        <v>0.16502059999999999</v>
      </c>
      <c r="X4940">
        <v>0.98296589999999995</v>
      </c>
      <c r="Y4940">
        <v>6.2658000000000005E-2</v>
      </c>
      <c r="Z4940">
        <v>-1.6179850000000001E-4</v>
      </c>
      <c r="AA4940">
        <v>0.99803509999999995</v>
      </c>
      <c r="AB4940">
        <v>29</v>
      </c>
      <c r="AC4940">
        <v>137.79320000000001</v>
      </c>
      <c r="AD4940">
        <v>-0.62205849999999896</v>
      </c>
      <c r="AE4940">
        <v>-8.0316229999999997</v>
      </c>
      <c r="AF4940">
        <v>8.6648168393257095</v>
      </c>
      <c r="AG4940">
        <v>-0.62205849999999896</v>
      </c>
      <c r="AH4940">
        <v>137.752023554712</v>
      </c>
      <c r="AI4940">
        <v>90.258223321223497</v>
      </c>
      <c r="AJ4940">
        <v>86.400748169001901</v>
      </c>
      <c r="AK4940">
        <v>138.02567152908401</v>
      </c>
      <c r="AL4940">
        <v>80.501568218181603</v>
      </c>
      <c r="AM4940">
        <v>85.294584199105401</v>
      </c>
      <c r="AN4940">
        <v>0.99999993577098401</v>
      </c>
    </row>
    <row r="4941" spans="1:40" x14ac:dyDescent="0.25">
      <c r="A4941" t="str">
        <f>"20190312164607553"</f>
        <v>20190312164607553</v>
      </c>
      <c r="B4941" t="str">
        <f>"1552380367546588"</f>
        <v>1552380367546588</v>
      </c>
      <c r="C4941" t="s">
        <v>40</v>
      </c>
      <c r="D4941">
        <v>5.1306629999999904</v>
      </c>
      <c r="E4941">
        <v>0.51033289999999998</v>
      </c>
      <c r="F4941" t="s">
        <v>87</v>
      </c>
      <c r="G4941">
        <v>-241.47579999999999</v>
      </c>
      <c r="H4941">
        <v>0.4485111</v>
      </c>
      <c r="I4941">
        <v>4.7236890000000002</v>
      </c>
      <c r="J4941">
        <v>-378.6943</v>
      </c>
      <c r="K4941">
        <v>1.1107359999999999</v>
      </c>
      <c r="L4941">
        <v>16.332149999999999</v>
      </c>
      <c r="M4941">
        <v>0.99994830000000001</v>
      </c>
      <c r="N4941">
        <v>0</v>
      </c>
      <c r="O4941">
        <v>6.4122569999999898E-3</v>
      </c>
      <c r="P4941">
        <v>0.98445669999999996</v>
      </c>
      <c r="Q4941">
        <v>0.15718099999999999</v>
      </c>
      <c r="R4941">
        <v>-7.8354489999999999E-2</v>
      </c>
      <c r="S4941">
        <v>3.0291440000000001</v>
      </c>
      <c r="T4941">
        <v>-1.460207E-2</v>
      </c>
      <c r="U4941">
        <v>-0.2558899</v>
      </c>
      <c r="V4941">
        <v>8.3676399999999901E-2</v>
      </c>
      <c r="W4941">
        <v>0.16546129999999901</v>
      </c>
      <c r="X4941">
        <v>0.98266010000000004</v>
      </c>
      <c r="Y4941">
        <v>9.0562989999999996E-2</v>
      </c>
      <c r="Z4941">
        <v>-2.4874940000000001E-4</v>
      </c>
      <c r="AA4941">
        <v>0.99589070000000002</v>
      </c>
      <c r="AB4941">
        <v>29</v>
      </c>
      <c r="AC4941">
        <v>137.21850000000001</v>
      </c>
      <c r="AD4941">
        <v>-0.66222490000000001</v>
      </c>
      <c r="AE4941">
        <v>-11.608460999999901</v>
      </c>
      <c r="AF4941">
        <v>12.4878412320809</v>
      </c>
      <c r="AG4941">
        <v>-0.66222490000000001</v>
      </c>
      <c r="AH4941">
        <v>137.13806866507801</v>
      </c>
      <c r="AI4941">
        <v>90.275532989225297</v>
      </c>
      <c r="AJ4941">
        <v>84.796975448464593</v>
      </c>
      <c r="AK4941">
        <v>137.70706081259399</v>
      </c>
      <c r="AL4941">
        <v>80.475966894861699</v>
      </c>
      <c r="AM4941">
        <v>85.132837033467197</v>
      </c>
      <c r="AN4941">
        <v>1.00000002692332</v>
      </c>
    </row>
    <row r="4942" spans="1:40" x14ac:dyDescent="0.25">
      <c r="A4942" t="str">
        <f>"20190312164607565"</f>
        <v>20190312164607565</v>
      </c>
      <c r="B4942" t="str">
        <f>"1552380367556349"</f>
        <v>1552380367556349</v>
      </c>
      <c r="C4942" t="s">
        <v>40</v>
      </c>
      <c r="D4942">
        <v>4.9559800000000003</v>
      </c>
      <c r="E4942">
        <v>0.51162669999999999</v>
      </c>
      <c r="F4942" t="s">
        <v>88</v>
      </c>
      <c r="G4942">
        <v>-252.1508</v>
      </c>
      <c r="H4942">
        <v>0.39772940000000001</v>
      </c>
      <c r="I4942">
        <v>4.9831919999999998</v>
      </c>
      <c r="J4942">
        <v>-378.541</v>
      </c>
      <c r="K4942">
        <v>1.1106860000000001</v>
      </c>
      <c r="L4942">
        <v>16.33475</v>
      </c>
      <c r="M4942">
        <v>0.99993670000000001</v>
      </c>
      <c r="N4942">
        <v>0</v>
      </c>
      <c r="O4942">
        <v>8.0175309999999996E-3</v>
      </c>
      <c r="P4942">
        <v>0.98430470000000003</v>
      </c>
      <c r="Q4942">
        <v>0.15766289999999999</v>
      </c>
      <c r="R4942">
        <v>-7.9289789999999999E-2</v>
      </c>
      <c r="S4942">
        <v>3.028473</v>
      </c>
      <c r="T4942">
        <v>-1.706386E-2</v>
      </c>
      <c r="U4942">
        <v>-0.27160640000000003</v>
      </c>
      <c r="V4942">
        <v>8.6206489999999997E-2</v>
      </c>
      <c r="W4942">
        <v>0.1659339</v>
      </c>
      <c r="X4942">
        <v>0.98236159999999995</v>
      </c>
      <c r="Y4942">
        <v>9.7306970000000007E-2</v>
      </c>
      <c r="Z4942">
        <v>-3.1867450000000003E-4</v>
      </c>
      <c r="AA4942">
        <v>0.99525430000000004</v>
      </c>
      <c r="AB4942">
        <v>29</v>
      </c>
      <c r="AC4942">
        <v>126.39019999999999</v>
      </c>
      <c r="AD4942">
        <v>-0.71295659999999905</v>
      </c>
      <c r="AE4942">
        <v>-11.351558000000001</v>
      </c>
      <c r="AF4942">
        <v>12.364171769940601</v>
      </c>
      <c r="AG4942">
        <v>-0.71295659999999905</v>
      </c>
      <c r="AH4942">
        <v>126.291136725489</v>
      </c>
      <c r="AI4942">
        <v>90.321911785142603</v>
      </c>
      <c r="AJ4942">
        <v>84.4084402049548</v>
      </c>
      <c r="AK4942">
        <v>126.896935605579</v>
      </c>
      <c r="AL4942">
        <v>80.448508762606593</v>
      </c>
      <c r="AM4942">
        <v>84.984894060181105</v>
      </c>
      <c r="AN4942">
        <v>0.99999996562094395</v>
      </c>
    </row>
    <row r="4943" spans="1:40" x14ac:dyDescent="0.25">
      <c r="A4943" t="str">
        <f>"20190312164607575"</f>
        <v>20190312164607575</v>
      </c>
      <c r="B4943" t="str">
        <f>"1552380367566108"</f>
        <v>1552380367566108</v>
      </c>
      <c r="C4943" t="s">
        <v>40</v>
      </c>
      <c r="D4943">
        <v>4.8590739999999997</v>
      </c>
      <c r="E4943">
        <v>0.51176379999999999</v>
      </c>
      <c r="F4943" t="s">
        <v>43</v>
      </c>
      <c r="G4943">
        <v>-240.71459999999999</v>
      </c>
      <c r="H4943">
        <v>-0.05</v>
      </c>
      <c r="I4943">
        <v>3.4334410000000002</v>
      </c>
      <c r="J4943">
        <v>-378.40069999999997</v>
      </c>
      <c r="K4943">
        <v>1.1106370000000001</v>
      </c>
      <c r="L4943">
        <v>16.33728</v>
      </c>
      <c r="M4943">
        <v>0.99992429999999999</v>
      </c>
      <c r="N4943">
        <v>0</v>
      </c>
      <c r="O4943">
        <v>9.4475110000000005E-3</v>
      </c>
      <c r="P4943">
        <v>0.98422200000000004</v>
      </c>
      <c r="Q4943">
        <v>0.1575059</v>
      </c>
      <c r="R4943">
        <v>-8.0614179999999994E-2</v>
      </c>
      <c r="S4943">
        <v>3.029083</v>
      </c>
      <c r="T4943">
        <v>-2.5509E-2</v>
      </c>
      <c r="U4943">
        <v>-0.28353879999999998</v>
      </c>
      <c r="V4943">
        <v>8.8955489999999998E-2</v>
      </c>
      <c r="W4943">
        <v>0.16577169999999999</v>
      </c>
      <c r="X4943">
        <v>0.98214389999999996</v>
      </c>
      <c r="Y4943">
        <v>0.1025967</v>
      </c>
      <c r="Z4943">
        <v>-5.1044839999999996E-4</v>
      </c>
      <c r="AA4943">
        <v>0.99472289999999997</v>
      </c>
      <c r="AB4943">
        <v>29</v>
      </c>
      <c r="AC4943">
        <v>137.68609999999899</v>
      </c>
      <c r="AD4943">
        <v>-1.1606369999999999</v>
      </c>
      <c r="AE4943">
        <v>-12.903839</v>
      </c>
      <c r="AF4943">
        <v>14.2030939879398</v>
      </c>
      <c r="AG4943">
        <v>-1.1606369999999999</v>
      </c>
      <c r="AH4943">
        <v>137.548353110682</v>
      </c>
      <c r="AI4943">
        <v>90.480895148108402</v>
      </c>
      <c r="AJ4943">
        <v>84.1045936767283</v>
      </c>
      <c r="AK4943">
        <v>138.28457759467199</v>
      </c>
      <c r="AL4943">
        <v>80.457932870060802</v>
      </c>
      <c r="AM4943">
        <v>84.824683696934798</v>
      </c>
      <c r="AN4943">
        <v>0.99999998801461898</v>
      </c>
    </row>
    <row r="4944" spans="1:40" x14ac:dyDescent="0.25">
      <c r="A4944" t="str">
        <f>"20190312164607585"</f>
        <v>20190312164607585</v>
      </c>
      <c r="B4944" t="str">
        <f>"1552380367576846"</f>
        <v>1552380367576846</v>
      </c>
      <c r="C4944" t="s">
        <v>40</v>
      </c>
      <c r="D4944">
        <v>5.0050030000000003</v>
      </c>
      <c r="E4944">
        <v>0.5123354</v>
      </c>
      <c r="F4944" t="s">
        <v>43</v>
      </c>
      <c r="G4944">
        <v>-291.44170000000003</v>
      </c>
      <c r="H4944">
        <v>-0.05</v>
      </c>
      <c r="I4944">
        <v>8.1038209999999999</v>
      </c>
      <c r="J4944">
        <v>-378.26499999999999</v>
      </c>
      <c r="K4944">
        <v>1.110592</v>
      </c>
      <c r="L4944">
        <v>16.339839999999999</v>
      </c>
      <c r="M4944">
        <v>0.99991059999999998</v>
      </c>
      <c r="N4944">
        <v>0</v>
      </c>
      <c r="O4944">
        <v>1.081037E-2</v>
      </c>
      <c r="P4944">
        <v>0.98413019999999996</v>
      </c>
      <c r="Q4944">
        <v>0.15746370000000001</v>
      </c>
      <c r="R4944">
        <v>-8.1812179999999998E-2</v>
      </c>
      <c r="S4944">
        <v>3.0310670000000002</v>
      </c>
      <c r="T4944">
        <v>-4.0455459999999999E-2</v>
      </c>
      <c r="U4944">
        <v>-0.2869873</v>
      </c>
      <c r="V4944">
        <v>9.1510170000000002E-2</v>
      </c>
      <c r="W4944">
        <v>0.16572319999999999</v>
      </c>
      <c r="X4944">
        <v>0.98191740000000005</v>
      </c>
      <c r="Y4944">
        <v>0.10500719999999999</v>
      </c>
      <c r="Z4944">
        <v>-8.4314600000000002E-4</v>
      </c>
      <c r="AA4944">
        <v>0.99447110000000005</v>
      </c>
      <c r="AB4944">
        <v>29</v>
      </c>
      <c r="AC4944">
        <v>86.823299999999904</v>
      </c>
      <c r="AD4944">
        <v>-1.1605920000000001</v>
      </c>
      <c r="AE4944">
        <v>-8.23601899999999</v>
      </c>
      <c r="AF4944">
        <v>9.1725343982508001</v>
      </c>
      <c r="AG4944">
        <v>-1.1605920000000001</v>
      </c>
      <c r="AH4944">
        <v>86.713832878218398</v>
      </c>
      <c r="AI4944">
        <v>90.762556366041906</v>
      </c>
      <c r="AJ4944">
        <v>83.961743110916601</v>
      </c>
      <c r="AK4944">
        <v>87.205339134190297</v>
      </c>
      <c r="AL4944">
        <v>80.460751146387096</v>
      </c>
      <c r="AM4944">
        <v>84.675676826400306</v>
      </c>
      <c r="AN4944">
        <v>1.00000003532721</v>
      </c>
    </row>
    <row r="4945" spans="1:40" x14ac:dyDescent="0.25">
      <c r="A4945" t="str">
        <f>"20190312164607596"</f>
        <v>20190312164607596</v>
      </c>
      <c r="B4945" t="str">
        <f>"1552380367586604"</f>
        <v>1552380367586604</v>
      </c>
      <c r="C4945" t="s">
        <v>40</v>
      </c>
      <c r="D4945">
        <v>4.9841160000000002</v>
      </c>
      <c r="E4945">
        <v>0.5135805</v>
      </c>
      <c r="F4945" t="s">
        <v>43</v>
      </c>
      <c r="G4945">
        <v>-306.73610000000002</v>
      </c>
      <c r="H4945">
        <v>-0.05</v>
      </c>
      <c r="I4945">
        <v>9.3939360000000001</v>
      </c>
      <c r="J4945">
        <v>-378.1361</v>
      </c>
      <c r="K4945">
        <v>1.11054599999999</v>
      </c>
      <c r="L4945">
        <v>16.342500000000001</v>
      </c>
      <c r="M4945">
        <v>0.99989649999999997</v>
      </c>
      <c r="N4945">
        <v>0</v>
      </c>
      <c r="O4945">
        <v>1.2057180000000001E-2</v>
      </c>
      <c r="P4945">
        <v>0.98403750000000001</v>
      </c>
      <c r="Q4945">
        <v>0.15743799999999999</v>
      </c>
      <c r="R4945">
        <v>-8.2968089999999994E-2</v>
      </c>
      <c r="S4945">
        <v>3.0317690000000002</v>
      </c>
      <c r="T4945">
        <v>-4.9191949999999998E-2</v>
      </c>
      <c r="U4945">
        <v>-0.29440309999999997</v>
      </c>
      <c r="V4945">
        <v>9.3908530000000004E-2</v>
      </c>
      <c r="W4945">
        <v>0.1656908</v>
      </c>
      <c r="X4945">
        <v>0.98169640000000002</v>
      </c>
      <c r="Y4945">
        <v>0.1086298</v>
      </c>
      <c r="Z4945">
        <v>-1.074354E-3</v>
      </c>
      <c r="AA4945">
        <v>0.99408169999999996</v>
      </c>
      <c r="AB4945">
        <v>29</v>
      </c>
      <c r="AC4945">
        <v>71.399999999999906</v>
      </c>
      <c r="AD4945">
        <v>-1.1605460000000001</v>
      </c>
      <c r="AE4945">
        <v>-6.9485640000000002</v>
      </c>
      <c r="AF4945">
        <v>7.8069248321637401</v>
      </c>
      <c r="AG4945">
        <v>-1.1605460000000001</v>
      </c>
      <c r="AH4945">
        <v>71.292368381349604</v>
      </c>
      <c r="AI4945">
        <v>90.927076582258294</v>
      </c>
      <c r="AJ4945">
        <v>83.750682446379997</v>
      </c>
      <c r="AK4945">
        <v>71.727935504761504</v>
      </c>
      <c r="AL4945">
        <v>80.462633574642595</v>
      </c>
      <c r="AM4945">
        <v>84.535744522458401</v>
      </c>
      <c r="AN4945">
        <v>1.00000003749217</v>
      </c>
    </row>
    <row r="4946" spans="1:40" x14ac:dyDescent="0.25">
      <c r="A4946" t="str">
        <f>"20190312164607607"</f>
        <v>20190312164607607</v>
      </c>
      <c r="B4946" t="str">
        <f>"1552380367596364"</f>
        <v>1552380367596364</v>
      </c>
      <c r="C4946" t="s">
        <v>40</v>
      </c>
      <c r="D4946">
        <v>4.8518189999999999</v>
      </c>
      <c r="E4946">
        <v>0.51295939999999995</v>
      </c>
      <c r="F4946" t="s">
        <v>43</v>
      </c>
      <c r="G4946">
        <v>-312.45030000000003</v>
      </c>
      <c r="H4946">
        <v>-0.05</v>
      </c>
      <c r="I4946">
        <v>9.6800080000000008</v>
      </c>
      <c r="J4946">
        <v>-377.99270000000001</v>
      </c>
      <c r="K4946">
        <v>1.110492</v>
      </c>
      <c r="L4946">
        <v>16.34552</v>
      </c>
      <c r="M4946">
        <v>0.99987910000000002</v>
      </c>
      <c r="N4946">
        <v>0</v>
      </c>
      <c r="O4946">
        <v>1.342758E-2</v>
      </c>
      <c r="P4946">
        <v>0.98397639999999997</v>
      </c>
      <c r="Q4946">
        <v>0.1573117</v>
      </c>
      <c r="R4946">
        <v>-8.3927509999999997E-2</v>
      </c>
      <c r="S4946">
        <v>3.0313110000000001</v>
      </c>
      <c r="T4946">
        <v>-5.3557630000000002E-2</v>
      </c>
      <c r="U4946">
        <v>-0.30746459999999998</v>
      </c>
      <c r="V4946">
        <v>9.6234940000000005E-2</v>
      </c>
      <c r="W4946">
        <v>0.1655549</v>
      </c>
      <c r="X4946">
        <v>0.98149390000000003</v>
      </c>
      <c r="Y4946">
        <v>0.11424239999999999</v>
      </c>
      <c r="Z4946">
        <v>-1.2432229999999999E-3</v>
      </c>
      <c r="AA4946">
        <v>0.99345209999999995</v>
      </c>
      <c r="AB4946">
        <v>29</v>
      </c>
      <c r="AC4946">
        <v>65.542399999999901</v>
      </c>
      <c r="AD4946">
        <v>-1.1604920000000001</v>
      </c>
      <c r="AE4946">
        <v>-6.6655119999999997</v>
      </c>
      <c r="AF4946">
        <v>7.5426734832676203</v>
      </c>
      <c r="AG4946">
        <v>-1.1604920000000001</v>
      </c>
      <c r="AH4946">
        <v>65.426684880675296</v>
      </c>
      <c r="AI4946">
        <v>91.009480524335004</v>
      </c>
      <c r="AJ4946">
        <v>83.423724157300896</v>
      </c>
      <c r="AK4946">
        <v>65.870249425916299</v>
      </c>
      <c r="AL4946">
        <v>80.4705281016969</v>
      </c>
      <c r="AM4946">
        <v>84.4000796943278</v>
      </c>
      <c r="AN4946">
        <v>0.99999993216400895</v>
      </c>
    </row>
    <row r="4947" spans="1:40" x14ac:dyDescent="0.25">
      <c r="A4947" t="str">
        <f>"20190312164607617"</f>
        <v>20190312164607617</v>
      </c>
      <c r="B4947" t="str">
        <f>"1552380367606124"</f>
        <v>1552380367606124</v>
      </c>
      <c r="C4947" t="s">
        <v>40</v>
      </c>
      <c r="D4947">
        <v>4.8009069999999996</v>
      </c>
      <c r="E4947">
        <v>0.51290259999999999</v>
      </c>
      <c r="F4947" t="s">
        <v>42</v>
      </c>
      <c r="G4947">
        <v>-324.25729999999999</v>
      </c>
      <c r="H4947" s="1">
        <v>-4.4959699999999901E-6</v>
      </c>
      <c r="I4947">
        <v>10.947760000000001</v>
      </c>
      <c r="J4947">
        <v>-377.8605</v>
      </c>
      <c r="K4947">
        <v>1.1104400000000001</v>
      </c>
      <c r="L4947">
        <v>16.348510000000001</v>
      </c>
      <c r="M4947">
        <v>0.99986220000000003</v>
      </c>
      <c r="N4947">
        <v>0</v>
      </c>
      <c r="O4947">
        <v>1.4630840000000001E-2</v>
      </c>
      <c r="P4947">
        <v>0.98392120000000005</v>
      </c>
      <c r="Q4947">
        <v>0.1570203</v>
      </c>
      <c r="R4947">
        <v>-8.5111039999999999E-2</v>
      </c>
      <c r="S4947">
        <v>3.0328979999999999</v>
      </c>
      <c r="T4947">
        <v>-6.2677979999999994E-2</v>
      </c>
      <c r="U4947">
        <v>-0.30465700000000001</v>
      </c>
      <c r="V4947">
        <v>9.8621819999999999E-2</v>
      </c>
      <c r="W4947">
        <v>0.16525529999999999</v>
      </c>
      <c r="X4947">
        <v>0.9813075</v>
      </c>
      <c r="Y4947">
        <v>0.11446779999999999</v>
      </c>
      <c r="Z4947">
        <v>-1.4813319999999999E-3</v>
      </c>
      <c r="AA4947">
        <v>0.99342580000000003</v>
      </c>
      <c r="AB4947">
        <v>29</v>
      </c>
      <c r="AC4947">
        <v>53.603200000000001</v>
      </c>
      <c r="AD4947">
        <v>-1.1104444959699999</v>
      </c>
      <c r="AE4947">
        <v>-5.4007500000000004</v>
      </c>
      <c r="AF4947">
        <v>6.1818295637898402</v>
      </c>
      <c r="AG4947">
        <v>-1.1104444959699999</v>
      </c>
      <c r="AH4947">
        <v>53.495715069481797</v>
      </c>
      <c r="AI4947">
        <v>91.181295245836694</v>
      </c>
      <c r="AJ4947">
        <v>83.408281742038298</v>
      </c>
      <c r="AK4947">
        <v>53.863156559280498</v>
      </c>
      <c r="AL4947">
        <v>80.487934257208195</v>
      </c>
      <c r="AM4947">
        <v>84.2610199609896</v>
      </c>
      <c r="AN4947">
        <v>0.99999999355722602</v>
      </c>
    </row>
    <row r="4948" spans="1:40" x14ac:dyDescent="0.25">
      <c r="A4948" t="str">
        <f>"20190312164607627"</f>
        <v>20190312164607627</v>
      </c>
      <c r="B4948" t="str">
        <f>"1552380367616860"</f>
        <v>1552380367616860</v>
      </c>
      <c r="C4948" t="s">
        <v>40</v>
      </c>
      <c r="D4948">
        <v>4.917662</v>
      </c>
      <c r="E4948">
        <v>0.51286529999999997</v>
      </c>
      <c r="F4948" t="s">
        <v>42</v>
      </c>
      <c r="G4948">
        <v>-329.62400000000002</v>
      </c>
      <c r="H4948" s="1">
        <v>-2.297999E-6</v>
      </c>
      <c r="I4948">
        <v>11.462999999999999</v>
      </c>
      <c r="J4948">
        <v>-377.7208</v>
      </c>
      <c r="K4948">
        <v>1.1103829999999999</v>
      </c>
      <c r="L4948">
        <v>16.351779999999899</v>
      </c>
      <c r="M4948">
        <v>0.99984300000000004</v>
      </c>
      <c r="N4948">
        <v>0</v>
      </c>
      <c r="O4948">
        <v>1.5890410000000001E-2</v>
      </c>
      <c r="P4948">
        <v>0.98382119999999995</v>
      </c>
      <c r="Q4948">
        <v>0.15700929999999999</v>
      </c>
      <c r="R4948">
        <v>-8.6280270000000006E-2</v>
      </c>
      <c r="S4948">
        <v>3.0335999999999999</v>
      </c>
      <c r="T4948">
        <v>-6.9835899999999895E-2</v>
      </c>
      <c r="U4948">
        <v>-0.307251</v>
      </c>
      <c r="V4948">
        <v>0.1010486</v>
      </c>
      <c r="W4948">
        <v>0.1652342</v>
      </c>
      <c r="X4948">
        <v>0.98106409999999999</v>
      </c>
      <c r="Y4948">
        <v>0.1165297</v>
      </c>
      <c r="Z4948">
        <v>-1.702606E-3</v>
      </c>
      <c r="AA4948">
        <v>0.99318580000000001</v>
      </c>
      <c r="AB4948">
        <v>29</v>
      </c>
      <c r="AC4948">
        <v>48.096799999999902</v>
      </c>
      <c r="AD4948">
        <v>-1.1103852979990001</v>
      </c>
      <c r="AE4948">
        <v>-4.8887799999999899</v>
      </c>
      <c r="AF4948">
        <v>5.6494837658597996</v>
      </c>
      <c r="AG4948">
        <v>-1.1103852979990001</v>
      </c>
      <c r="AH4948">
        <v>47.987724599076302</v>
      </c>
      <c r="AI4948">
        <v>91.3164391593224</v>
      </c>
      <c r="AJ4948">
        <v>83.285606713071104</v>
      </c>
      <c r="AK4948">
        <v>48.331887347045701</v>
      </c>
      <c r="AL4948">
        <v>80.489159769367006</v>
      </c>
      <c r="AM4948">
        <v>84.119330335487703</v>
      </c>
      <c r="AN4948">
        <v>0.999999964360204</v>
      </c>
    </row>
    <row r="4949" spans="1:40" x14ac:dyDescent="0.25">
      <c r="A4949" t="str">
        <f>"20190312164607640"</f>
        <v>20190312164607640</v>
      </c>
      <c r="B4949" t="str">
        <f>"1552380367636381"</f>
        <v>1552380367636381</v>
      </c>
      <c r="C4949" t="s">
        <v>40</v>
      </c>
      <c r="D4949">
        <v>4.8266049999999998</v>
      </c>
      <c r="E4949">
        <v>0.51286670000000001</v>
      </c>
      <c r="F4949" t="s">
        <v>42</v>
      </c>
      <c r="G4949">
        <v>-333.26929999999999</v>
      </c>
      <c r="H4949" s="1">
        <v>-4.3541240000000002E-6</v>
      </c>
      <c r="I4949">
        <v>11.808</v>
      </c>
      <c r="J4949">
        <v>-377.57319999999999</v>
      </c>
      <c r="K4949">
        <v>1.1103179999999999</v>
      </c>
      <c r="L4949">
        <v>16.355409999999999</v>
      </c>
      <c r="M4949">
        <v>0.99982249999999995</v>
      </c>
      <c r="N4949">
        <v>0</v>
      </c>
      <c r="O4949">
        <v>1.7139629999999999E-2</v>
      </c>
      <c r="P4949">
        <v>0.98379589999999995</v>
      </c>
      <c r="Q4949">
        <v>0.15669040000000001</v>
      </c>
      <c r="R4949">
        <v>-8.7143230000000002E-2</v>
      </c>
      <c r="S4949">
        <v>3.0342410000000002</v>
      </c>
      <c r="T4949">
        <v>-7.5794459999999994E-2</v>
      </c>
      <c r="U4949">
        <v>-0.31015009999999998</v>
      </c>
      <c r="V4949">
        <v>0.1031656</v>
      </c>
      <c r="W4949">
        <v>0.16490070000000001</v>
      </c>
      <c r="X4949">
        <v>0.98089990000000005</v>
      </c>
      <c r="Y4949">
        <v>0.1186813</v>
      </c>
      <c r="Z4949">
        <v>-1.9052870000000001E-3</v>
      </c>
      <c r="AA4949">
        <v>0.9929306</v>
      </c>
      <c r="AB4949">
        <v>29</v>
      </c>
      <c r="AC4949">
        <v>44.303899999999999</v>
      </c>
      <c r="AD4949">
        <v>-1.1103223541239999</v>
      </c>
      <c r="AE4949">
        <v>-4.5474099999999904</v>
      </c>
      <c r="AF4949">
        <v>5.3028217940622202</v>
      </c>
      <c r="AG4949">
        <v>-1.1103223541239999</v>
      </c>
      <c r="AH4949">
        <v>44.191981617420801</v>
      </c>
      <c r="AI4949">
        <v>91.429005193382096</v>
      </c>
      <c r="AJ4949">
        <v>83.157502660394499</v>
      </c>
      <c r="AK4949">
        <v>44.522847774868403</v>
      </c>
      <c r="AL4949">
        <v>80.508533999308696</v>
      </c>
      <c r="AM4949">
        <v>83.996021409875596</v>
      </c>
      <c r="AN4949">
        <v>0.99999999785192994</v>
      </c>
    </row>
    <row r="4950" spans="1:40" x14ac:dyDescent="0.25">
      <c r="A4950" t="str">
        <f>"20190312164607651"</f>
        <v>20190312164607651</v>
      </c>
      <c r="B4950" t="str">
        <f>"1552380367646141"</f>
        <v>1552380367646141</v>
      </c>
      <c r="C4950" t="s">
        <v>40</v>
      </c>
      <c r="D4950">
        <v>4.8494519999999897</v>
      </c>
      <c r="E4950">
        <v>0.51281769999999904</v>
      </c>
      <c r="F4950" t="s">
        <v>42</v>
      </c>
      <c r="G4950">
        <v>-333.27480000000003</v>
      </c>
      <c r="H4950" s="1">
        <v>-4.3577319999999998E-6</v>
      </c>
      <c r="I4950">
        <v>11.78749</v>
      </c>
      <c r="J4950">
        <v>-377.42380000000003</v>
      </c>
      <c r="K4950">
        <v>1.1102479999999999</v>
      </c>
      <c r="L4950">
        <v>16.359159999999999</v>
      </c>
      <c r="M4950">
        <v>0.99980049999999998</v>
      </c>
      <c r="N4950">
        <v>0</v>
      </c>
      <c r="O4950">
        <v>1.8381789999999999E-2</v>
      </c>
      <c r="P4950">
        <v>0.98370519999999995</v>
      </c>
      <c r="Q4950">
        <v>0.1566939</v>
      </c>
      <c r="R4950">
        <v>-8.8153229999999999E-2</v>
      </c>
      <c r="S4950">
        <v>3.0338440000000002</v>
      </c>
      <c r="T4950">
        <v>-7.6042059999999995E-2</v>
      </c>
      <c r="U4950">
        <v>-0.31283569999999999</v>
      </c>
      <c r="V4950">
        <v>0.1054208</v>
      </c>
      <c r="W4950">
        <v>0.16488849999999999</v>
      </c>
      <c r="X4950">
        <v>0.98066220000000004</v>
      </c>
      <c r="Y4950">
        <v>0.12079620000000001</v>
      </c>
      <c r="Z4950">
        <v>-1.969162E-3</v>
      </c>
      <c r="AA4950">
        <v>0.99267539999999999</v>
      </c>
      <c r="AB4950">
        <v>29</v>
      </c>
      <c r="AC4950">
        <v>44.148999999999901</v>
      </c>
      <c r="AD4950">
        <v>-1.11025235773199</v>
      </c>
      <c r="AE4950">
        <v>-4.5716699999999904</v>
      </c>
      <c r="AF4950">
        <v>5.3790942284577001</v>
      </c>
      <c r="AG4950">
        <v>-1.11025235773199</v>
      </c>
      <c r="AH4950">
        <v>44.029952352810099</v>
      </c>
      <c r="AI4950">
        <v>91.433799490182395</v>
      </c>
      <c r="AJ4950">
        <v>83.034749112636007</v>
      </c>
      <c r="AK4950">
        <v>44.371207096575603</v>
      </c>
      <c r="AL4950">
        <v>80.509243271040603</v>
      </c>
      <c r="AM4950">
        <v>83.864288983333196</v>
      </c>
      <c r="AN4950">
        <v>1.0000000565068601</v>
      </c>
    </row>
    <row r="4951" spans="1:40" x14ac:dyDescent="0.25">
      <c r="A4951" t="str">
        <f>"20190312164607661"</f>
        <v>20190312164607661</v>
      </c>
      <c r="B4951" t="str">
        <f>"1552380367656876"</f>
        <v>1552380367656876</v>
      </c>
      <c r="C4951" t="s">
        <v>40</v>
      </c>
      <c r="D4951">
        <v>4.8202800000000003</v>
      </c>
      <c r="E4951">
        <v>0.51287380000000005</v>
      </c>
      <c r="F4951" t="s">
        <v>42</v>
      </c>
      <c r="G4951">
        <v>-332.48809999999997</v>
      </c>
      <c r="H4951" s="1">
        <v>-4.6526119999999996E-6</v>
      </c>
      <c r="I4951">
        <v>11.685359999999999</v>
      </c>
      <c r="J4951">
        <v>-377.2747</v>
      </c>
      <c r="K4951">
        <v>1.1101730000000001</v>
      </c>
      <c r="L4951">
        <v>16.363099999999999</v>
      </c>
      <c r="M4951">
        <v>0.99977839999999996</v>
      </c>
      <c r="N4951">
        <v>0</v>
      </c>
      <c r="O4951">
        <v>1.9544869999999999E-2</v>
      </c>
      <c r="P4951">
        <v>0.98363590000000001</v>
      </c>
      <c r="Q4951">
        <v>0.15667729999999999</v>
      </c>
      <c r="R4951">
        <v>-8.8953089999999999E-2</v>
      </c>
      <c r="S4951">
        <v>3.0332949999999999</v>
      </c>
      <c r="T4951">
        <v>-7.4945330000000004E-2</v>
      </c>
      <c r="U4951">
        <v>-0.31549070000000001</v>
      </c>
      <c r="V4951">
        <v>0.1073904</v>
      </c>
      <c r="W4951">
        <v>0.16485320000000001</v>
      </c>
      <c r="X4951">
        <v>0.9804543</v>
      </c>
      <c r="Y4951">
        <v>0.12282899999999999</v>
      </c>
      <c r="Z4951">
        <v>-1.994741E-3</v>
      </c>
      <c r="AA4951">
        <v>0.99242589999999997</v>
      </c>
      <c r="AB4951">
        <v>29</v>
      </c>
      <c r="AC4951">
        <v>44.7866</v>
      </c>
      <c r="AD4951">
        <v>-1.11017765261199</v>
      </c>
      <c r="AE4951">
        <v>-4.6777399999999902</v>
      </c>
      <c r="AF4951">
        <v>5.5488487310283299</v>
      </c>
      <c r="AG4951">
        <v>-1.11017765261199</v>
      </c>
      <c r="AH4951">
        <v>44.659470726607999</v>
      </c>
      <c r="AI4951">
        <v>91.413145418771094</v>
      </c>
      <c r="AJ4951">
        <v>82.917412629001205</v>
      </c>
      <c r="AK4951">
        <v>45.016558533954502</v>
      </c>
      <c r="AL4951">
        <v>80.511292901799493</v>
      </c>
      <c r="AM4951">
        <v>83.749238304350399</v>
      </c>
      <c r="AN4951">
        <v>0.99999995497544403</v>
      </c>
    </row>
    <row r="4952" spans="1:40" x14ac:dyDescent="0.25">
      <c r="A4952" t="str">
        <f>"20190312164607673"</f>
        <v>20190312164607673</v>
      </c>
      <c r="B4952" t="str">
        <f>"1552380367666639"</f>
        <v>1552380367666639</v>
      </c>
      <c r="C4952" t="s">
        <v>40</v>
      </c>
      <c r="D4952">
        <v>4.9221969999999997</v>
      </c>
      <c r="E4952">
        <v>0.51293140000000004</v>
      </c>
      <c r="F4952" t="s">
        <v>42</v>
      </c>
      <c r="G4952">
        <v>-332.26409999999998</v>
      </c>
      <c r="H4952" s="1">
        <v>-4.7422799999999998E-6</v>
      </c>
      <c r="I4952">
        <v>11.634829999999999</v>
      </c>
      <c r="J4952">
        <v>-377.12270000000001</v>
      </c>
      <c r="K4952">
        <v>1.110104</v>
      </c>
      <c r="L4952">
        <v>16.36722</v>
      </c>
      <c r="M4952">
        <v>0.99975559999999997</v>
      </c>
      <c r="N4952">
        <v>0</v>
      </c>
      <c r="O4952">
        <v>2.06894E-2</v>
      </c>
      <c r="P4952">
        <v>0.9835277</v>
      </c>
      <c r="Q4952">
        <v>0.1568591</v>
      </c>
      <c r="R4952">
        <v>-8.9824959999999995E-2</v>
      </c>
      <c r="S4952">
        <v>3.0329899999999999</v>
      </c>
      <c r="T4952">
        <v>-7.4808120000000006E-2</v>
      </c>
      <c r="U4952">
        <v>-0.31860349999999998</v>
      </c>
      <c r="V4952">
        <v>0.109413</v>
      </c>
      <c r="W4952">
        <v>0.16501689999999999</v>
      </c>
      <c r="X4952">
        <v>0.98020320000000005</v>
      </c>
      <c r="Y4952">
        <v>0.1249818</v>
      </c>
      <c r="Z4952">
        <v>-2.0458160000000002E-3</v>
      </c>
      <c r="AA4952">
        <v>0.99215690000000001</v>
      </c>
      <c r="AB4952">
        <v>29</v>
      </c>
      <c r="AC4952">
        <v>44.858600000000003</v>
      </c>
      <c r="AD4952">
        <v>-1.11010874227999</v>
      </c>
      <c r="AE4952">
        <v>-4.7323899999999899</v>
      </c>
      <c r="AF4952">
        <v>5.65607696890953</v>
      </c>
      <c r="AG4952">
        <v>-1.11010874227999</v>
      </c>
      <c r="AH4952">
        <v>44.723996432653401</v>
      </c>
      <c r="AI4952">
        <v>91.4106337737758</v>
      </c>
      <c r="AJ4952">
        <v>82.792280078849302</v>
      </c>
      <c r="AK4952">
        <v>45.093895429491504</v>
      </c>
      <c r="AL4952">
        <v>80.501784231080606</v>
      </c>
      <c r="AM4952">
        <v>83.630851287820605</v>
      </c>
      <c r="AN4952">
        <v>1.00000004757242</v>
      </c>
    </row>
    <row r="4953" spans="1:40" x14ac:dyDescent="0.25">
      <c r="A4953" t="str">
        <f>"20190312164607685"</f>
        <v>20190312164607685</v>
      </c>
      <c r="B4953" t="str">
        <f>"1552380367676396"</f>
        <v>1552380367676396</v>
      </c>
      <c r="C4953" t="s">
        <v>40</v>
      </c>
      <c r="D4953">
        <v>4.8244160000000003</v>
      </c>
      <c r="E4953">
        <v>0.51303609999999999</v>
      </c>
      <c r="F4953" t="s">
        <v>42</v>
      </c>
      <c r="G4953">
        <v>-331.51979999999998</v>
      </c>
      <c r="H4953" s="1">
        <v>-5.0555839999999999E-6</v>
      </c>
      <c r="I4953">
        <v>11.524649999999999</v>
      </c>
      <c r="J4953">
        <v>-376.97030000000001</v>
      </c>
      <c r="K4953">
        <v>1.110028</v>
      </c>
      <c r="L4953">
        <v>16.371459999999999</v>
      </c>
      <c r="M4953">
        <v>0.99973210000000001</v>
      </c>
      <c r="N4953">
        <v>0</v>
      </c>
      <c r="O4953">
        <v>2.1785369999999998E-2</v>
      </c>
      <c r="P4953">
        <v>0.98347010000000001</v>
      </c>
      <c r="Q4953">
        <v>0.15679179999999901</v>
      </c>
      <c r="R4953">
        <v>-9.0569120000000003E-2</v>
      </c>
      <c r="S4953">
        <v>3.032562</v>
      </c>
      <c r="T4953">
        <v>-7.3821429999999993E-2</v>
      </c>
      <c r="U4953">
        <v>-0.32202150000000002</v>
      </c>
      <c r="V4953">
        <v>0.1112626</v>
      </c>
      <c r="W4953">
        <v>0.16493169999999999</v>
      </c>
      <c r="X4953">
        <v>0.98000929999999997</v>
      </c>
      <c r="Y4953">
        <v>0.12718979999999999</v>
      </c>
      <c r="Z4953">
        <v>-2.072412E-3</v>
      </c>
      <c r="AA4953">
        <v>0.99187619999999999</v>
      </c>
      <c r="AB4953">
        <v>29</v>
      </c>
      <c r="AC4953">
        <v>45.450499999999998</v>
      </c>
      <c r="AD4953">
        <v>-1.1100330555839999</v>
      </c>
      <c r="AE4953">
        <v>-4.8468099999999996</v>
      </c>
      <c r="AF4953">
        <v>5.8324060767547596</v>
      </c>
      <c r="AG4953">
        <v>-1.1100330555839999</v>
      </c>
      <c r="AH4953">
        <v>45.307398826252999</v>
      </c>
      <c r="AI4953">
        <v>91.391986521944403</v>
      </c>
      <c r="AJ4953">
        <v>82.664674916887293</v>
      </c>
      <c r="AK4953">
        <v>45.694742831422197</v>
      </c>
      <c r="AL4953">
        <v>80.506733480050102</v>
      </c>
      <c r="AM4953">
        <v>83.522819111261995</v>
      </c>
      <c r="AN4953">
        <v>1.00000002995506</v>
      </c>
    </row>
    <row r="4954" spans="1:40" x14ac:dyDescent="0.25">
      <c r="A4954" t="str">
        <f>"20190312164607696"</f>
        <v>20190312164607696</v>
      </c>
      <c r="B4954" t="str">
        <f>"1552380367686157"</f>
        <v>1552380367686157</v>
      </c>
      <c r="C4954" t="s">
        <v>40</v>
      </c>
      <c r="D4954">
        <v>4.8282339999999904</v>
      </c>
      <c r="E4954">
        <v>0.51303719999999997</v>
      </c>
      <c r="F4954" t="s">
        <v>42</v>
      </c>
      <c r="G4954">
        <v>-330.8578</v>
      </c>
      <c r="H4954" s="1">
        <v>-5.3576360000000003E-6</v>
      </c>
      <c r="I4954">
        <v>11.42299</v>
      </c>
      <c r="J4954">
        <v>-376.8263</v>
      </c>
      <c r="K4954">
        <v>1.1099540000000001</v>
      </c>
      <c r="L4954">
        <v>16.375610000000002</v>
      </c>
      <c r="M4954">
        <v>0.9997106</v>
      </c>
      <c r="N4954">
        <v>0</v>
      </c>
      <c r="O4954">
        <v>2.2755879999999999E-2</v>
      </c>
      <c r="P4954">
        <v>0.98341369999999895</v>
      </c>
      <c r="Q4954">
        <v>0.1567355</v>
      </c>
      <c r="R4954">
        <v>-9.1278460000000006E-2</v>
      </c>
      <c r="S4954">
        <v>3.0321039999999999</v>
      </c>
      <c r="T4954">
        <v>-7.2989579999999998E-2</v>
      </c>
      <c r="U4954">
        <v>-0.32537840000000001</v>
      </c>
      <c r="V4954">
        <v>0.11295280000000001</v>
      </c>
      <c r="W4954">
        <v>0.16485839999999999</v>
      </c>
      <c r="X4954">
        <v>0.97982820000000004</v>
      </c>
      <c r="Y4954">
        <v>0.12925400000000001</v>
      </c>
      <c r="Z4954">
        <v>-2.097327E-3</v>
      </c>
      <c r="AA4954">
        <v>0.99160930000000003</v>
      </c>
      <c r="AB4954">
        <v>29</v>
      </c>
      <c r="AC4954">
        <v>45.968499999999999</v>
      </c>
      <c r="AD4954">
        <v>-1.1099593576360001</v>
      </c>
      <c r="AE4954">
        <v>-4.9526199999999996</v>
      </c>
      <c r="AF4954">
        <v>5.9939683802671802</v>
      </c>
      <c r="AG4954">
        <v>-1.1099593576360001</v>
      </c>
      <c r="AH4954">
        <v>45.8174845355557</v>
      </c>
      <c r="AI4954">
        <v>91.376036698316398</v>
      </c>
      <c r="AJ4954">
        <v>82.546737243666101</v>
      </c>
      <c r="AK4954">
        <v>46.221224084668499</v>
      </c>
      <c r="AL4954">
        <v>80.5109909199669</v>
      </c>
      <c r="AM4954">
        <v>83.424074262359099</v>
      </c>
      <c r="AN4954">
        <v>0.99999996429681903</v>
      </c>
    </row>
    <row r="4955" spans="1:40" x14ac:dyDescent="0.25">
      <c r="A4955" t="str">
        <f>"20190312164607709"</f>
        <v>20190312164607709</v>
      </c>
      <c r="B4955" t="str">
        <f>"1552380367706651"</f>
        <v>1552380367706651</v>
      </c>
      <c r="C4955" t="s">
        <v>40</v>
      </c>
      <c r="D4955">
        <v>4.8551609999999998</v>
      </c>
      <c r="E4955">
        <v>0.51317869999999999</v>
      </c>
      <c r="F4955" t="s">
        <v>42</v>
      </c>
      <c r="G4955">
        <v>-330.6798</v>
      </c>
      <c r="H4955" s="1">
        <v>-5.440752E-6</v>
      </c>
      <c r="I4955">
        <v>11.38486</v>
      </c>
      <c r="J4955">
        <v>-376.65769999999998</v>
      </c>
      <c r="K4955">
        <v>1.1098629999999901</v>
      </c>
      <c r="L4955">
        <v>16.380520000000001</v>
      </c>
      <c r="M4955">
        <v>0.99968509999999999</v>
      </c>
      <c r="N4955">
        <v>0</v>
      </c>
      <c r="O4955">
        <v>2.3853610000000001E-2</v>
      </c>
      <c r="P4955">
        <v>0.98337390000000002</v>
      </c>
      <c r="Q4955">
        <v>0.15668750000000001</v>
      </c>
      <c r="R4955">
        <v>-9.1790419999999998E-2</v>
      </c>
      <c r="S4955">
        <v>3.0317690000000002</v>
      </c>
      <c r="T4955">
        <v>-7.292295E-2</v>
      </c>
      <c r="U4955">
        <v>-0.32788089999999998</v>
      </c>
      <c r="V4955">
        <v>0.11457630000000001</v>
      </c>
      <c r="W4955">
        <v>0.164789299999999</v>
      </c>
      <c r="X4955">
        <v>0.9796513</v>
      </c>
      <c r="Y4955">
        <v>0.13116249999999999</v>
      </c>
      <c r="Z4955">
        <v>-2.1447710000000002E-3</v>
      </c>
      <c r="AA4955">
        <v>0.99135859999999998</v>
      </c>
      <c r="AB4955">
        <v>30</v>
      </c>
      <c r="AC4955">
        <v>45.977899999999899</v>
      </c>
      <c r="AD4955">
        <v>-1.1098684407520001</v>
      </c>
      <c r="AE4955">
        <v>-4.99566</v>
      </c>
      <c r="AF4955">
        <v>6.087504846711</v>
      </c>
      <c r="AG4955">
        <v>-1.1098684407520001</v>
      </c>
      <c r="AH4955">
        <v>45.819261262484503</v>
      </c>
      <c r="AI4955">
        <v>91.375507809834303</v>
      </c>
      <c r="AJ4955">
        <v>82.432056432712599</v>
      </c>
      <c r="AK4955">
        <v>46.235205480827297</v>
      </c>
      <c r="AL4955">
        <v>80.515004876625895</v>
      </c>
      <c r="AM4955">
        <v>83.329208842635794</v>
      </c>
      <c r="AN4955">
        <v>0.99999995575393397</v>
      </c>
    </row>
    <row r="4956" spans="1:40" x14ac:dyDescent="0.25">
      <c r="A4956" t="str">
        <f>"20190312164607722"</f>
        <v>20190312164607722</v>
      </c>
      <c r="B4956" t="str">
        <f>"1552380367716412"</f>
        <v>1552380367716412</v>
      </c>
      <c r="C4956" t="s">
        <v>40</v>
      </c>
      <c r="D4956">
        <v>4.8116620000000001</v>
      </c>
      <c r="E4956">
        <v>0.51327990000000001</v>
      </c>
      <c r="F4956" t="s">
        <v>42</v>
      </c>
      <c r="G4956">
        <v>-333.29969999999997</v>
      </c>
      <c r="H4956" s="1">
        <v>-4.384758E-6</v>
      </c>
      <c r="I4956">
        <v>11.654030000000001</v>
      </c>
      <c r="J4956">
        <v>-376.48680000000002</v>
      </c>
      <c r="K4956">
        <v>1.1097709999999901</v>
      </c>
      <c r="L4956">
        <v>16.385679999999901</v>
      </c>
      <c r="M4956">
        <v>0.99966080000000002</v>
      </c>
      <c r="N4956">
        <v>0</v>
      </c>
      <c r="O4956">
        <v>2.4844049999999999E-2</v>
      </c>
      <c r="P4956">
        <v>0.98335629999999996</v>
      </c>
      <c r="Q4956">
        <v>0.1565945</v>
      </c>
      <c r="R4956">
        <v>-9.2133140000000002E-2</v>
      </c>
      <c r="S4956">
        <v>3.0321959999999999</v>
      </c>
      <c r="T4956">
        <v>-7.7617290000000005E-2</v>
      </c>
      <c r="U4956">
        <v>-0.33053589999999999</v>
      </c>
      <c r="V4956">
        <v>0.11592909999999999</v>
      </c>
      <c r="W4956">
        <v>0.1646745</v>
      </c>
      <c r="X4956">
        <v>0.97951149999999998</v>
      </c>
      <c r="Y4956">
        <v>0.13298070000000001</v>
      </c>
      <c r="Z4956">
        <v>-2.3308539999999998E-3</v>
      </c>
      <c r="AA4956">
        <v>0.99111590000000005</v>
      </c>
      <c r="AB4956">
        <v>30</v>
      </c>
      <c r="AC4956">
        <v>43.187100000000001</v>
      </c>
      <c r="AD4956">
        <v>-1.1097753847580001</v>
      </c>
      <c r="AE4956">
        <v>-4.7316499999999904</v>
      </c>
      <c r="AF4956">
        <v>5.7993805729116996</v>
      </c>
      <c r="AG4956">
        <v>-1.1097753847580001</v>
      </c>
      <c r="AH4956">
        <v>43.028136248910101</v>
      </c>
      <c r="AI4956">
        <v>91.464203176590004</v>
      </c>
      <c r="AJ4956">
        <v>82.323868788069504</v>
      </c>
      <c r="AK4956">
        <v>43.431381804967401</v>
      </c>
      <c r="AL4956">
        <v>80.521674083807795</v>
      </c>
      <c r="AM4956">
        <v>83.250214930734401</v>
      </c>
      <c r="AN4956">
        <v>1.00000001290465</v>
      </c>
    </row>
    <row r="4957" spans="1:40" x14ac:dyDescent="0.25">
      <c r="A4957" t="str">
        <f>"20190312164607741"</f>
        <v>20190312164607741</v>
      </c>
      <c r="B4957" t="str">
        <f>"1552380367736909"</f>
        <v>1552380367736909</v>
      </c>
      <c r="C4957" t="s">
        <v>40</v>
      </c>
      <c r="D4957">
        <v>4.7861029999999998</v>
      </c>
      <c r="E4957">
        <v>0.51360240000000001</v>
      </c>
      <c r="F4957" t="s">
        <v>42</v>
      </c>
      <c r="G4957">
        <v>-334.76249999999999</v>
      </c>
      <c r="H4957" s="1">
        <v>-3.8451130000000004E-6</v>
      </c>
      <c r="I4957">
        <v>11.81124</v>
      </c>
      <c r="J4957">
        <v>-376.24040000000002</v>
      </c>
      <c r="K4957">
        <v>1.109634</v>
      </c>
      <c r="L4957">
        <v>16.393219999999999</v>
      </c>
      <c r="M4957">
        <v>0.99962720000000005</v>
      </c>
      <c r="N4957">
        <v>0</v>
      </c>
      <c r="O4957">
        <v>2.616574E-2</v>
      </c>
      <c r="P4957">
        <v>0.98320719999999995</v>
      </c>
      <c r="Q4957">
        <v>0.15693109999999999</v>
      </c>
      <c r="R4957">
        <v>-9.3148129999999996E-2</v>
      </c>
      <c r="S4957">
        <v>3.0324710000000001</v>
      </c>
      <c r="T4957">
        <v>-8.0657010000000001E-2</v>
      </c>
      <c r="U4957">
        <v>-0.33245849999999999</v>
      </c>
      <c r="V4957">
        <v>0.1182902</v>
      </c>
      <c r="W4957">
        <v>0.16498119999999999</v>
      </c>
      <c r="X4957">
        <v>0.97917750000000003</v>
      </c>
      <c r="Y4957">
        <v>0.13489689999999999</v>
      </c>
      <c r="Z4957">
        <v>-2.4822680000000001E-3</v>
      </c>
      <c r="AA4957">
        <v>0.99085650000000003</v>
      </c>
      <c r="AB4957">
        <v>30</v>
      </c>
      <c r="AC4957">
        <v>41.477899999999998</v>
      </c>
      <c r="AD4957">
        <v>-1.109637845113</v>
      </c>
      <c r="AE4957">
        <v>-4.5819799999999997</v>
      </c>
      <c r="AF4957">
        <v>5.6617408320424696</v>
      </c>
      <c r="AG4957">
        <v>-1.109637845113</v>
      </c>
      <c r="AH4957">
        <v>41.314591090285099</v>
      </c>
      <c r="AI4957">
        <v>91.524255532707102</v>
      </c>
      <c r="AJ4957">
        <v>82.196806711986298</v>
      </c>
      <c r="AK4957">
        <v>41.7154892378597</v>
      </c>
      <c r="AL4957">
        <v>80.503857392569103</v>
      </c>
      <c r="AM4957">
        <v>83.111724382542903</v>
      </c>
      <c r="AN4957">
        <v>0.99999997213786396</v>
      </c>
    </row>
    <row r="4958" spans="1:40" x14ac:dyDescent="0.25">
      <c r="A4958" t="str">
        <f>"20190312164607752"</f>
        <v>20190312164607752</v>
      </c>
      <c r="B4958" t="str">
        <f>"1552380367746670"</f>
        <v>1552380367746670</v>
      </c>
      <c r="C4958" t="s">
        <v>40</v>
      </c>
      <c r="D4958">
        <v>4.835744</v>
      </c>
      <c r="E4958">
        <v>0.51358530000000002</v>
      </c>
      <c r="F4958" t="s">
        <v>42</v>
      </c>
      <c r="G4958">
        <v>-334.16840000000002</v>
      </c>
      <c r="H4958" s="1">
        <v>-4.0796769999999997E-6</v>
      </c>
      <c r="I4958">
        <v>11.68962</v>
      </c>
      <c r="J4958">
        <v>-376.08580000000001</v>
      </c>
      <c r="K4958">
        <v>1.109548</v>
      </c>
      <c r="L4958">
        <v>16.398039999999899</v>
      </c>
      <c r="M4958">
        <v>0.99960700000000002</v>
      </c>
      <c r="N4958">
        <v>0</v>
      </c>
      <c r="O4958">
        <v>2.6924E-2</v>
      </c>
      <c r="P4958">
        <v>0.98321320000000001</v>
      </c>
      <c r="Q4958">
        <v>0.1568039</v>
      </c>
      <c r="R4958">
        <v>-9.329838E-2</v>
      </c>
      <c r="S4958">
        <v>3.0319210000000001</v>
      </c>
      <c r="T4958">
        <v>-7.9965949999999994E-2</v>
      </c>
      <c r="U4958">
        <v>-0.3389587</v>
      </c>
      <c r="V4958">
        <v>0.1192196</v>
      </c>
      <c r="W4958">
        <v>0.16483390000000001</v>
      </c>
      <c r="X4958">
        <v>0.9790896</v>
      </c>
      <c r="Y4958">
        <v>0.13776579999999999</v>
      </c>
      <c r="Z4958">
        <v>-2.5188179999999999E-3</v>
      </c>
      <c r="AA4958">
        <v>0.99046160000000005</v>
      </c>
      <c r="AB4958">
        <v>30</v>
      </c>
      <c r="AC4958">
        <v>41.917400000000001</v>
      </c>
      <c r="AD4958">
        <v>-1.109552079677</v>
      </c>
      <c r="AE4958">
        <v>-4.7084199999999896</v>
      </c>
      <c r="AF4958">
        <v>5.8312966425576001</v>
      </c>
      <c r="AG4958">
        <v>-1.109552079677</v>
      </c>
      <c r="AH4958">
        <v>41.746544319800599</v>
      </c>
      <c r="AI4958">
        <v>91.507833773258596</v>
      </c>
      <c r="AJ4958">
        <v>82.048185024635899</v>
      </c>
      <c r="AK4958">
        <v>42.166445059977399</v>
      </c>
      <c r="AL4958">
        <v>80.512414347163201</v>
      </c>
      <c r="AM4958">
        <v>83.057512476782804</v>
      </c>
      <c r="AN4958">
        <v>0.99999998622076403</v>
      </c>
    </row>
    <row r="4959" spans="1:40" x14ac:dyDescent="0.25">
      <c r="A4959" t="str">
        <f>"20190312164607763"</f>
        <v>20190312164607763</v>
      </c>
      <c r="B4959" t="str">
        <f>"1552380367756431"</f>
        <v>1552380367756431</v>
      </c>
      <c r="C4959" t="s">
        <v>40</v>
      </c>
      <c r="D4959">
        <v>4.8065480000000003</v>
      </c>
      <c r="E4959">
        <v>0.51361049999999997</v>
      </c>
      <c r="F4959" t="s">
        <v>42</v>
      </c>
      <c r="G4959">
        <v>-334.10919999999999</v>
      </c>
      <c r="H4959" s="1">
        <v>-4.0979829999999997E-6</v>
      </c>
      <c r="I4959">
        <v>11.696479999999999</v>
      </c>
      <c r="J4959">
        <v>-375.93599999999998</v>
      </c>
      <c r="K4959">
        <v>1.1094630000000001</v>
      </c>
      <c r="L4959">
        <v>16.40277</v>
      </c>
      <c r="M4959">
        <v>0.99958899999999995</v>
      </c>
      <c r="N4959">
        <v>0</v>
      </c>
      <c r="O4959">
        <v>2.7583300000000002E-2</v>
      </c>
      <c r="P4959">
        <v>0.98322639999999994</v>
      </c>
      <c r="Q4959">
        <v>0.1566514</v>
      </c>
      <c r="R4959">
        <v>-9.3415040000000005E-2</v>
      </c>
      <c r="S4959">
        <v>3.0317989999999999</v>
      </c>
      <c r="T4959">
        <v>-8.0138440000000005E-2</v>
      </c>
      <c r="U4959">
        <v>-0.33956910000000001</v>
      </c>
      <c r="V4959">
        <v>0.120018</v>
      </c>
      <c r="W4959">
        <v>0.1646608</v>
      </c>
      <c r="X4959">
        <v>0.97902120000000004</v>
      </c>
      <c r="Y4959">
        <v>0.13861960000000001</v>
      </c>
      <c r="Z4959">
        <v>-2.5529490000000001E-3</v>
      </c>
      <c r="AA4959">
        <v>0.99034239999999996</v>
      </c>
      <c r="AB4959">
        <v>30</v>
      </c>
      <c r="AC4959">
        <v>41.826799999999899</v>
      </c>
      <c r="AD4959">
        <v>-1.1094670979829999</v>
      </c>
      <c r="AE4959">
        <v>-4.7062899999999903</v>
      </c>
      <c r="AF4959">
        <v>5.8541880934402002</v>
      </c>
      <c r="AG4959">
        <v>-1.1094670979829999</v>
      </c>
      <c r="AH4959">
        <v>41.652125689006297</v>
      </c>
      <c r="AI4959">
        <v>91.510954726122506</v>
      </c>
      <c r="AJ4959">
        <v>81.999509552145597</v>
      </c>
      <c r="AK4959">
        <v>42.076145378202902</v>
      </c>
      <c r="AL4959">
        <v>80.522469821237806</v>
      </c>
      <c r="AM4959">
        <v>83.010994257465001</v>
      </c>
      <c r="AN4959">
        <v>1.0000000047150399</v>
      </c>
    </row>
    <row r="4960" spans="1:40" x14ac:dyDescent="0.25">
      <c r="A4960" t="str">
        <f>"20190312164607774"</f>
        <v>20190312164607774</v>
      </c>
      <c r="B4960" t="str">
        <f>"1552380367766189"</f>
        <v>1552380367766189</v>
      </c>
      <c r="C4960" t="s">
        <v>40</v>
      </c>
      <c r="D4960">
        <v>5.6217569999999997</v>
      </c>
      <c r="E4960">
        <v>0.5136191</v>
      </c>
      <c r="F4960" t="s">
        <v>42</v>
      </c>
      <c r="G4960">
        <v>-334.11259999999999</v>
      </c>
      <c r="H4960" s="1">
        <v>-4.0937430000000004E-6</v>
      </c>
      <c r="I4960">
        <v>11.708019999999999</v>
      </c>
      <c r="J4960">
        <v>-375.78750000000002</v>
      </c>
      <c r="K4960">
        <v>1.10938</v>
      </c>
      <c r="L4960">
        <v>16.407499999999999</v>
      </c>
      <c r="M4960">
        <v>0.99957240000000003</v>
      </c>
      <c r="N4960">
        <v>0</v>
      </c>
      <c r="O4960">
        <v>2.818095E-2</v>
      </c>
      <c r="P4960">
        <v>0.9832187</v>
      </c>
      <c r="Q4960">
        <v>0.15657789999999999</v>
      </c>
      <c r="R4960">
        <v>-9.3620610000000007E-2</v>
      </c>
      <c r="S4960">
        <v>3.031647</v>
      </c>
      <c r="T4960">
        <v>-8.0421690000000004E-2</v>
      </c>
      <c r="U4960">
        <v>-0.34030149999999998</v>
      </c>
      <c r="V4960">
        <v>0.1208441</v>
      </c>
      <c r="W4960">
        <v>0.164566299999999</v>
      </c>
      <c r="X4960">
        <v>0.97893549999999996</v>
      </c>
      <c r="Y4960">
        <v>0.13945250000000001</v>
      </c>
      <c r="Z4960">
        <v>-2.5888840000000001E-3</v>
      </c>
      <c r="AA4960">
        <v>0.99022540000000003</v>
      </c>
      <c r="AB4960">
        <v>30</v>
      </c>
      <c r="AC4960">
        <v>41.674900000000001</v>
      </c>
      <c r="AD4960">
        <v>-1.109384093743</v>
      </c>
      <c r="AE4960">
        <v>-4.6994799999999897</v>
      </c>
      <c r="AF4960">
        <v>5.8679814697939801</v>
      </c>
      <c r="AG4960">
        <v>-1.109384093743</v>
      </c>
      <c r="AH4960">
        <v>41.496871095656999</v>
      </c>
      <c r="AI4960">
        <v>91.516311884627797</v>
      </c>
      <c r="AJ4960">
        <v>81.951294211848705</v>
      </c>
      <c r="AK4960">
        <v>41.924387298168902</v>
      </c>
      <c r="AL4960">
        <v>80.527959478949398</v>
      </c>
      <c r="AM4960">
        <v>82.962758795462605</v>
      </c>
      <c r="AN4960">
        <v>1.00000003838037</v>
      </c>
    </row>
    <row r="4961" spans="1:40" x14ac:dyDescent="0.25">
      <c r="A4961" t="str">
        <f>"20190312164607785"</f>
        <v>20190312164607785</v>
      </c>
      <c r="B4961" t="str">
        <f>"1552380367776924"</f>
        <v>1552380367776924</v>
      </c>
      <c r="C4961" t="s">
        <v>40</v>
      </c>
      <c r="D4961">
        <v>4.8388339999999896</v>
      </c>
      <c r="E4961">
        <v>0.51338760000000006</v>
      </c>
      <c r="F4961" t="s">
        <v>42</v>
      </c>
      <c r="G4961">
        <v>-334.23050000000001</v>
      </c>
      <c r="H4961" s="1">
        <v>-4.0474520000000002E-6</v>
      </c>
      <c r="I4961">
        <v>11.731260000000001</v>
      </c>
      <c r="J4961">
        <v>-375.6379</v>
      </c>
      <c r="K4961">
        <v>1.1092919999999999</v>
      </c>
      <c r="L4961">
        <v>16.412320000000001</v>
      </c>
      <c r="M4961">
        <v>0.99955660000000002</v>
      </c>
      <c r="N4961">
        <v>0</v>
      </c>
      <c r="O4961">
        <v>2.873237E-2</v>
      </c>
      <c r="P4961">
        <v>0.98319789999999996</v>
      </c>
      <c r="Q4961">
        <v>0.15669439999999901</v>
      </c>
      <c r="R4961">
        <v>-9.3642639999999999E-2</v>
      </c>
      <c r="S4961">
        <v>3.0315859999999999</v>
      </c>
      <c r="T4961">
        <v>-8.0929520000000005E-2</v>
      </c>
      <c r="U4961">
        <v>-0.34112550000000003</v>
      </c>
      <c r="V4961">
        <v>0.1214412</v>
      </c>
      <c r="W4961">
        <v>0.16466040000000001</v>
      </c>
      <c r="X4961">
        <v>0.97884570000000004</v>
      </c>
      <c r="Y4961">
        <v>0.14026549999999999</v>
      </c>
      <c r="Z4961">
        <v>-2.6307349999999999E-3</v>
      </c>
      <c r="AA4961">
        <v>0.9901105</v>
      </c>
      <c r="AB4961">
        <v>30</v>
      </c>
      <c r="AC4961">
        <v>41.407400000000003</v>
      </c>
      <c r="AD4961">
        <v>-1.1092960474519999</v>
      </c>
      <c r="AE4961">
        <v>-4.6810599999999898</v>
      </c>
      <c r="AF4961">
        <v>5.86474034653122</v>
      </c>
      <c r="AG4961">
        <v>-1.1092960474519999</v>
      </c>
      <c r="AH4961">
        <v>41.226586764537998</v>
      </c>
      <c r="AI4961">
        <v>91.525947233799002</v>
      </c>
      <c r="AJ4961">
        <v>81.903639561320603</v>
      </c>
      <c r="AK4961">
        <v>41.656418152634103</v>
      </c>
      <c r="AL4961">
        <v>80.522492613679802</v>
      </c>
      <c r="AM4961">
        <v>82.927696255884598</v>
      </c>
      <c r="AN4961">
        <v>0.99999995839704403</v>
      </c>
    </row>
    <row r="4962" spans="1:40" x14ac:dyDescent="0.25">
      <c r="A4962" t="str">
        <f>"20190312164607797"</f>
        <v>20190312164607797</v>
      </c>
      <c r="B4962" t="str">
        <f>"1552380367786684"</f>
        <v>1552380367786684</v>
      </c>
      <c r="C4962" t="s">
        <v>40</v>
      </c>
      <c r="D4962">
        <v>4.8374189999999997</v>
      </c>
      <c r="E4962">
        <v>0.5133356</v>
      </c>
      <c r="F4962" t="s">
        <v>42</v>
      </c>
      <c r="G4962">
        <v>-335.09109999999998</v>
      </c>
      <c r="H4962" s="1">
        <v>-3.7170909999999999E-6</v>
      </c>
      <c r="I4962">
        <v>11.872210000000001</v>
      </c>
      <c r="J4962">
        <v>-375.49079999999998</v>
      </c>
      <c r="K4962">
        <v>1.1092029999999999</v>
      </c>
      <c r="L4962">
        <v>16.41705</v>
      </c>
      <c r="M4962">
        <v>0.99954310000000002</v>
      </c>
      <c r="N4962">
        <v>0</v>
      </c>
      <c r="O4962">
        <v>2.9194290000000001E-2</v>
      </c>
      <c r="P4962">
        <v>0.9831879</v>
      </c>
      <c r="Q4962">
        <v>0.1566977</v>
      </c>
      <c r="R4962">
        <v>-9.374151E-2</v>
      </c>
      <c r="S4962">
        <v>3.0321349999999998</v>
      </c>
      <c r="T4962">
        <v>-8.2954169999999994E-2</v>
      </c>
      <c r="U4962">
        <v>-0.33950809999999998</v>
      </c>
      <c r="V4962">
        <v>0.122028</v>
      </c>
      <c r="W4962">
        <v>0.1646416</v>
      </c>
      <c r="X4962">
        <v>0.97877590000000003</v>
      </c>
      <c r="Y4962">
        <v>0.14017839999999901</v>
      </c>
      <c r="Z4962">
        <v>-2.7075329999999998E-3</v>
      </c>
      <c r="AA4962">
        <v>0.99012259999999996</v>
      </c>
      <c r="AB4962">
        <v>30</v>
      </c>
      <c r="AC4962">
        <v>40.399700000000003</v>
      </c>
      <c r="AD4962">
        <v>-1.109206717091</v>
      </c>
      <c r="AE4962">
        <v>-4.54483999999999</v>
      </c>
      <c r="AF4962">
        <v>5.7181227936787096</v>
      </c>
      <c r="AG4962">
        <v>-1.109206717091</v>
      </c>
      <c r="AH4962">
        <v>40.219851668336403</v>
      </c>
      <c r="AI4962">
        <v>91.564016716095296</v>
      </c>
      <c r="AJ4962">
        <v>81.908391498439698</v>
      </c>
      <c r="AK4962">
        <v>40.6394357250173</v>
      </c>
      <c r="AL4962">
        <v>80.523584845712804</v>
      </c>
      <c r="AM4962">
        <v>82.893370065866193</v>
      </c>
      <c r="AN4962">
        <v>0.99999997582768396</v>
      </c>
    </row>
    <row r="4963" spans="1:40" x14ac:dyDescent="0.25">
      <c r="A4963" t="str">
        <f>"20190312164607808"</f>
        <v>20190312164607808</v>
      </c>
      <c r="B4963" t="str">
        <f>"1552380367796445"</f>
        <v>1552380367796445</v>
      </c>
      <c r="C4963" t="s">
        <v>40</v>
      </c>
      <c r="D4963">
        <v>4.8546680000000002</v>
      </c>
      <c r="E4963">
        <v>0.5134396</v>
      </c>
      <c r="F4963" t="s">
        <v>42</v>
      </c>
      <c r="G4963">
        <v>-336.04109999999997</v>
      </c>
      <c r="H4963" s="1">
        <v>-3.3600049999999999E-6</v>
      </c>
      <c r="I4963">
        <v>11.999129999999999</v>
      </c>
      <c r="J4963">
        <v>-375.33960000000002</v>
      </c>
      <c r="K4963">
        <v>1.109113</v>
      </c>
      <c r="L4963">
        <v>16.421970000000002</v>
      </c>
      <c r="M4963">
        <v>0.99953009999999998</v>
      </c>
      <c r="N4963">
        <v>0</v>
      </c>
      <c r="O4963">
        <v>2.9639720000000001E-2</v>
      </c>
      <c r="P4963">
        <v>0.9831936</v>
      </c>
      <c r="Q4963">
        <v>0.15673110000000001</v>
      </c>
      <c r="R4963">
        <v>-9.3627680000000005E-2</v>
      </c>
      <c r="S4963">
        <v>3.0325009999999999</v>
      </c>
      <c r="T4963">
        <v>-8.5264679999999995E-2</v>
      </c>
      <c r="U4963">
        <v>-0.339599599999999</v>
      </c>
      <c r="V4963">
        <v>0.12238789999999999</v>
      </c>
      <c r="W4963">
        <v>0.16465099999999999</v>
      </c>
      <c r="X4963">
        <v>0.97872939999999997</v>
      </c>
      <c r="Y4963">
        <v>0.14063200000000001</v>
      </c>
      <c r="Z4963">
        <v>-2.8014229999999999E-3</v>
      </c>
      <c r="AA4963">
        <v>0.99005790000000005</v>
      </c>
      <c r="AB4963">
        <v>30</v>
      </c>
      <c r="AC4963">
        <v>39.298499999999997</v>
      </c>
      <c r="AD4963">
        <v>-1.109116360005</v>
      </c>
      <c r="AE4963">
        <v>-4.4228399999999999</v>
      </c>
      <c r="AF4963">
        <v>5.5813386973842798</v>
      </c>
      <c r="AG4963">
        <v>-1.109116360005</v>
      </c>
      <c r="AH4963">
        <v>39.119367272247999</v>
      </c>
      <c r="AI4963">
        <v>91.607748253483393</v>
      </c>
      <c r="AJ4963">
        <v>81.880149645779696</v>
      </c>
      <c r="AK4963">
        <v>39.531081145549003</v>
      </c>
      <c r="AL4963">
        <v>80.523038988693401</v>
      </c>
      <c r="AM4963">
        <v>82.872290421532398</v>
      </c>
      <c r="AN4963">
        <v>0.99999999414588403</v>
      </c>
    </row>
    <row r="4964" spans="1:40" x14ac:dyDescent="0.25">
      <c r="A4964" t="str">
        <f>"20190312164607818"</f>
        <v>20190312164607818</v>
      </c>
      <c r="B4964" t="str">
        <f>"1552380367806204"</f>
        <v>1552380367806204</v>
      </c>
      <c r="C4964" t="s">
        <v>40</v>
      </c>
      <c r="D4964">
        <v>4.804538</v>
      </c>
      <c r="E4964">
        <v>0.51342840000000001</v>
      </c>
      <c r="F4964" t="s">
        <v>42</v>
      </c>
      <c r="G4964">
        <v>-336.22059999999999</v>
      </c>
      <c r="H4964" s="1">
        <v>-3.2903789999999999E-6</v>
      </c>
      <c r="I4964">
        <v>12.031359999999999</v>
      </c>
      <c r="J4964">
        <v>-375.2063</v>
      </c>
      <c r="K4964">
        <v>1.109029</v>
      </c>
      <c r="L4964">
        <v>16.426269999999999</v>
      </c>
      <c r="M4964">
        <v>0.99952110000000005</v>
      </c>
      <c r="N4964">
        <v>0</v>
      </c>
      <c r="O4964">
        <v>2.9939210000000001E-2</v>
      </c>
      <c r="P4964">
        <v>0.98311530000000003</v>
      </c>
      <c r="Q4964">
        <v>0.15713360000000001</v>
      </c>
      <c r="R4964">
        <v>-9.3776029999999996E-2</v>
      </c>
      <c r="S4964">
        <v>3.0325929999999999</v>
      </c>
      <c r="T4964">
        <v>-8.5980890000000004E-2</v>
      </c>
      <c r="U4964">
        <v>-0.34036250000000001</v>
      </c>
      <c r="V4964">
        <v>0.12286030000000001</v>
      </c>
      <c r="W4964">
        <v>0.16503139999999999</v>
      </c>
      <c r="X4964">
        <v>0.97860619999999998</v>
      </c>
      <c r="Y4964">
        <v>0.14116989999999999</v>
      </c>
      <c r="Z4964">
        <v>-2.8408890000000001E-3</v>
      </c>
      <c r="AA4964">
        <v>0.98998129999999995</v>
      </c>
      <c r="AB4964">
        <v>30</v>
      </c>
      <c r="AC4964">
        <v>38.985700000000001</v>
      </c>
      <c r="AD4964">
        <v>-1.109032290379</v>
      </c>
      <c r="AE4964">
        <v>-4.3949100000000003</v>
      </c>
      <c r="AF4964">
        <v>5.5557370112552498</v>
      </c>
      <c r="AG4964">
        <v>-1.109032290379</v>
      </c>
      <c r="AH4964">
        <v>38.8056292925611</v>
      </c>
      <c r="AI4964">
        <v>91.620504966661699</v>
      </c>
      <c r="AJ4964">
        <v>81.852425478735398</v>
      </c>
      <c r="AK4964">
        <v>39.216999262450102</v>
      </c>
      <c r="AL4964">
        <v>80.500941969379298</v>
      </c>
      <c r="AM4964">
        <v>82.844171638107696</v>
      </c>
      <c r="AN4964">
        <v>1.00000005549024</v>
      </c>
    </row>
    <row r="4965" spans="1:40" x14ac:dyDescent="0.25">
      <c r="A4965" t="str">
        <f>"20190312164607829"</f>
        <v>20190312164607829</v>
      </c>
      <c r="B4965" t="str">
        <f>"1552380367826700"</f>
        <v>1552380367826700</v>
      </c>
      <c r="C4965" t="s">
        <v>40</v>
      </c>
      <c r="D4965">
        <v>4.7768169999999897</v>
      </c>
      <c r="E4965">
        <v>0.51351029999999998</v>
      </c>
      <c r="F4965" t="s">
        <v>42</v>
      </c>
      <c r="G4965">
        <v>-336.24889999999999</v>
      </c>
      <c r="H4965" s="1">
        <v>-3.2766659999999998E-6</v>
      </c>
      <c r="I4965">
        <v>12.046659999999999</v>
      </c>
      <c r="J4965">
        <v>-375.05959999999999</v>
      </c>
      <c r="K4965">
        <v>1.108938</v>
      </c>
      <c r="L4965">
        <v>16.43103</v>
      </c>
      <c r="M4965">
        <v>0.9995115</v>
      </c>
      <c r="N4965">
        <v>0</v>
      </c>
      <c r="O4965">
        <v>3.025912E-2</v>
      </c>
      <c r="P4965">
        <v>0.98312560000000004</v>
      </c>
      <c r="Q4965">
        <v>0.15708459999999999</v>
      </c>
      <c r="R4965">
        <v>-9.374905E-2</v>
      </c>
      <c r="S4965">
        <v>3.0328059999999999</v>
      </c>
      <c r="T4965">
        <v>-8.6337330000000004E-2</v>
      </c>
      <c r="U4965">
        <v>-0.34094239999999998</v>
      </c>
      <c r="V4965">
        <v>0.1231845</v>
      </c>
      <c r="W4965">
        <v>0.16495760000000001</v>
      </c>
      <c r="X4965">
        <v>0.9785779</v>
      </c>
      <c r="Y4965">
        <v>0.14166509999999999</v>
      </c>
      <c r="Z4965">
        <v>-2.8685379999999999E-3</v>
      </c>
      <c r="AA4965">
        <v>0.98991050000000003</v>
      </c>
      <c r="AB4965">
        <v>30</v>
      </c>
      <c r="AC4965">
        <v>38.810699999999997</v>
      </c>
      <c r="AD4965">
        <v>-1.1089412766660001</v>
      </c>
      <c r="AE4965">
        <v>-4.3843699999999899</v>
      </c>
      <c r="AF4965">
        <v>5.5522998629944498</v>
      </c>
      <c r="AG4965">
        <v>-1.1089412766660001</v>
      </c>
      <c r="AH4965">
        <v>38.629115578067001</v>
      </c>
      <c r="AI4965">
        <v>91.6276430334498</v>
      </c>
      <c r="AJ4965">
        <v>81.820693629473496</v>
      </c>
      <c r="AK4965">
        <v>39.041853886148402</v>
      </c>
      <c r="AL4965">
        <v>80.505229281412994</v>
      </c>
      <c r="AM4965">
        <v>82.825280246233703</v>
      </c>
      <c r="AN4965">
        <v>1.0000000686032</v>
      </c>
    </row>
    <row r="4966" spans="1:40" x14ac:dyDescent="0.25">
      <c r="A4966" t="str">
        <f>"20190312164607840"</f>
        <v>20190312164607840</v>
      </c>
      <c r="B4966" t="str">
        <f>"1552380367836460"</f>
        <v>1552380367836460</v>
      </c>
      <c r="C4966" t="s">
        <v>40</v>
      </c>
      <c r="D4966">
        <v>4.8759589999999999</v>
      </c>
      <c r="E4966">
        <v>0.51328949999999995</v>
      </c>
      <c r="F4966" t="s">
        <v>42</v>
      </c>
      <c r="G4966">
        <v>-337.70370000000003</v>
      </c>
      <c r="H4966" s="1">
        <v>-2.7340309999999998E-6</v>
      </c>
      <c r="I4966">
        <v>12.22537</v>
      </c>
      <c r="J4966">
        <v>-374.90870000000001</v>
      </c>
      <c r="K4966">
        <v>1.1088359999999999</v>
      </c>
      <c r="L4966">
        <v>16.43591</v>
      </c>
      <c r="M4966">
        <v>0.99950459999999997</v>
      </c>
      <c r="N4966">
        <v>0</v>
      </c>
      <c r="O4966">
        <v>3.0481279999999999E-2</v>
      </c>
      <c r="P4966">
        <v>0.98317399999999999</v>
      </c>
      <c r="Q4966">
        <v>0.15700919999999999</v>
      </c>
      <c r="R4966">
        <v>-9.3364779999999994E-2</v>
      </c>
      <c r="S4966">
        <v>3.0332949999999999</v>
      </c>
      <c r="T4966">
        <v>-9.0045689999999998E-2</v>
      </c>
      <c r="U4966">
        <v>-0.34149170000000001</v>
      </c>
      <c r="V4966">
        <v>0.1230585</v>
      </c>
      <c r="W4966">
        <v>0.164857</v>
      </c>
      <c r="X4966">
        <v>0.9786106</v>
      </c>
      <c r="Y4966">
        <v>0.1420382</v>
      </c>
      <c r="Z4966">
        <v>-3.0032829999999998E-3</v>
      </c>
      <c r="AA4966">
        <v>0.98985659999999998</v>
      </c>
      <c r="AB4966">
        <v>30</v>
      </c>
      <c r="AC4966">
        <v>37.204999999999899</v>
      </c>
      <c r="AD4966">
        <v>-1.108838734031</v>
      </c>
      <c r="AE4966">
        <v>-4.2105399999999999</v>
      </c>
      <c r="AF4966">
        <v>5.3379927657651596</v>
      </c>
      <c r="AG4966">
        <v>-1.108838734031</v>
      </c>
      <c r="AH4966">
        <v>37.026891441242398</v>
      </c>
      <c r="AI4966">
        <v>91.697773629507793</v>
      </c>
      <c r="AJ4966">
        <v>81.796458513068899</v>
      </c>
      <c r="AK4966">
        <v>37.426118953305803</v>
      </c>
      <c r="AL4966">
        <v>80.511072259803399</v>
      </c>
      <c r="AM4966">
        <v>82.832779597879806</v>
      </c>
      <c r="AN4966">
        <v>0.99999996565180405</v>
      </c>
    </row>
    <row r="4967" spans="1:40" x14ac:dyDescent="0.25">
      <c r="A4967" t="str">
        <f>"20190312164607853"</f>
        <v>20190312164607853</v>
      </c>
      <c r="B4967" t="str">
        <f>"1552380367846220"</f>
        <v>1552380367846220</v>
      </c>
      <c r="C4967" t="s">
        <v>40</v>
      </c>
      <c r="D4967">
        <v>4.8452289999999998</v>
      </c>
      <c r="E4967">
        <v>0.5131464</v>
      </c>
      <c r="F4967" t="s">
        <v>42</v>
      </c>
      <c r="G4967">
        <v>-338.36599999999999</v>
      </c>
      <c r="H4967" s="1">
        <v>-2.4745779999999998E-6</v>
      </c>
      <c r="I4967">
        <v>12.353429999999999</v>
      </c>
      <c r="J4967">
        <v>-374.74450000000002</v>
      </c>
      <c r="K4967">
        <v>1.1087320000000001</v>
      </c>
      <c r="L4967">
        <v>16.441220000000001</v>
      </c>
      <c r="M4967">
        <v>0.9994982</v>
      </c>
      <c r="N4967">
        <v>0</v>
      </c>
      <c r="O4967">
        <v>3.0692400000000002E-2</v>
      </c>
      <c r="P4967">
        <v>0.98322399999999999</v>
      </c>
      <c r="Q4967">
        <v>0.1567818</v>
      </c>
      <c r="R4967">
        <v>-9.3222120000000006E-2</v>
      </c>
      <c r="S4967">
        <v>3.0338440000000002</v>
      </c>
      <c r="T4967">
        <v>-9.2057700000000006E-2</v>
      </c>
      <c r="U4967">
        <v>-0.33892820000000001</v>
      </c>
      <c r="V4967">
        <v>0.1231657</v>
      </c>
      <c r="W4967">
        <v>0.16460250000000001</v>
      </c>
      <c r="X4967">
        <v>0.97863999999999995</v>
      </c>
      <c r="Y4967">
        <v>0.1413981</v>
      </c>
      <c r="Z4967">
        <v>-3.066657E-3</v>
      </c>
      <c r="AA4967">
        <v>0.9899481</v>
      </c>
      <c r="AB4967">
        <v>30</v>
      </c>
      <c r="AC4967">
        <v>36.378500000000003</v>
      </c>
      <c r="AD4967">
        <v>-1.1087344745779999</v>
      </c>
      <c r="AE4967">
        <v>-4.08779</v>
      </c>
      <c r="AF4967">
        <v>5.1976738633170303</v>
      </c>
      <c r="AG4967">
        <v>-1.1087344745779999</v>
      </c>
      <c r="AH4967">
        <v>36.202683191552602</v>
      </c>
      <c r="AI4967">
        <v>91.736384651695104</v>
      </c>
      <c r="AJ4967">
        <v>81.829790090015905</v>
      </c>
      <c r="AK4967">
        <v>36.590700676434899</v>
      </c>
      <c r="AL4967">
        <v>80.525856435632093</v>
      </c>
      <c r="AM4967">
        <v>82.826814283482904</v>
      </c>
      <c r="AN4967">
        <v>1.0000000111313601</v>
      </c>
    </row>
    <row r="4968" spans="1:40" x14ac:dyDescent="0.25">
      <c r="A4968" t="str">
        <f>"20190312164607863"</f>
        <v>20190312164607863</v>
      </c>
      <c r="B4968" t="str">
        <f>"1552380367856956"</f>
        <v>1552380367856956</v>
      </c>
      <c r="C4968" t="s">
        <v>40</v>
      </c>
      <c r="D4968">
        <v>4.9727839999999999</v>
      </c>
      <c r="E4968">
        <v>0.51332900000000004</v>
      </c>
      <c r="F4968" t="s">
        <v>42</v>
      </c>
      <c r="G4968">
        <v>-339.37729999999999</v>
      </c>
      <c r="H4968" s="1">
        <v>-2.0904279999999999E-6</v>
      </c>
      <c r="I4968">
        <v>12.503819999999999</v>
      </c>
      <c r="J4968">
        <v>-374.58199999999999</v>
      </c>
      <c r="K4968">
        <v>1.108638</v>
      </c>
      <c r="L4968">
        <v>16.44641</v>
      </c>
      <c r="M4968">
        <v>0.99949379999999999</v>
      </c>
      <c r="N4968">
        <v>0</v>
      </c>
      <c r="O4968">
        <v>3.0833989999999999E-2</v>
      </c>
      <c r="P4968">
        <v>0.98325340000000006</v>
      </c>
      <c r="Q4968">
        <v>0.1567807</v>
      </c>
      <c r="R4968">
        <v>-9.2912019999999998E-2</v>
      </c>
      <c r="S4968">
        <v>3.0343019999999998</v>
      </c>
      <c r="T4968">
        <v>-9.5122810000000002E-2</v>
      </c>
      <c r="U4968">
        <v>-0.33779910000000002</v>
      </c>
      <c r="V4968">
        <v>0.12303360000000001</v>
      </c>
      <c r="W4968">
        <v>0.16457620000000001</v>
      </c>
      <c r="X4968">
        <v>0.97866109999999995</v>
      </c>
      <c r="Y4968">
        <v>0.141152799999999</v>
      </c>
      <c r="Z4968">
        <v>-3.1688969999999999E-3</v>
      </c>
      <c r="AA4968">
        <v>0.98998280000000005</v>
      </c>
      <c r="AB4968">
        <v>30</v>
      </c>
      <c r="AC4968">
        <v>35.204700000000003</v>
      </c>
      <c r="AD4968">
        <v>-1.108640090428</v>
      </c>
      <c r="AE4968">
        <v>-3.94259</v>
      </c>
      <c r="AF4968">
        <v>5.0213319898154296</v>
      </c>
      <c r="AG4968">
        <v>-1.108640090428</v>
      </c>
      <c r="AH4968">
        <v>35.0320793556889</v>
      </c>
      <c r="AI4968">
        <v>91.794275862802607</v>
      </c>
      <c r="AJ4968">
        <v>81.843053573475999</v>
      </c>
      <c r="AK4968">
        <v>35.407477201649499</v>
      </c>
      <c r="AL4968">
        <v>80.527384716805699</v>
      </c>
      <c r="AM4968">
        <v>82.834580675293296</v>
      </c>
      <c r="AN4968">
        <v>1.0000000704943</v>
      </c>
    </row>
    <row r="4969" spans="1:40" x14ac:dyDescent="0.25">
      <c r="A4969" t="str">
        <f>"20190312164607875"</f>
        <v>20190312164607875</v>
      </c>
      <c r="B4969" t="str">
        <f>"1552380367866716"</f>
        <v>1552380367866716</v>
      </c>
      <c r="C4969" t="s">
        <v>40</v>
      </c>
      <c r="D4969">
        <v>4.9252330000000004</v>
      </c>
      <c r="E4969">
        <v>0.51333279999999903</v>
      </c>
      <c r="F4969" t="s">
        <v>42</v>
      </c>
      <c r="G4969">
        <v>-339.75799999999998</v>
      </c>
      <c r="H4969" s="1">
        <v>-1.9456239999999999E-6</v>
      </c>
      <c r="I4969">
        <v>12.561030000000001</v>
      </c>
      <c r="J4969">
        <v>-374.44080000000002</v>
      </c>
      <c r="K4969">
        <v>1.1085700000000001</v>
      </c>
      <c r="L4969">
        <v>16.450869999999998</v>
      </c>
      <c r="M4969">
        <v>0.99949129999999997</v>
      </c>
      <c r="N4969">
        <v>0</v>
      </c>
      <c r="O4969">
        <v>3.091404E-2</v>
      </c>
      <c r="P4969">
        <v>0.98330280000000003</v>
      </c>
      <c r="Q4969">
        <v>0.1567125</v>
      </c>
      <c r="R4969">
        <v>-9.2503630000000003E-2</v>
      </c>
      <c r="S4969">
        <v>3.0345460000000002</v>
      </c>
      <c r="T4969">
        <v>-9.6606139999999993E-2</v>
      </c>
      <c r="U4969">
        <v>-0.33856199999999997</v>
      </c>
      <c r="V4969">
        <v>0.12273539999999999</v>
      </c>
      <c r="W4969">
        <v>0.16448869999999999</v>
      </c>
      <c r="X4969">
        <v>0.97871319999999995</v>
      </c>
      <c r="Y4969">
        <v>0.14146629999999999</v>
      </c>
      <c r="Z4969">
        <v>-3.2255029999999998E-3</v>
      </c>
      <c r="AA4969">
        <v>0.98993779999999998</v>
      </c>
      <c r="AB4969">
        <v>30</v>
      </c>
      <c r="AC4969">
        <v>34.682799999999901</v>
      </c>
      <c r="AD4969">
        <v>-1.108571945624</v>
      </c>
      <c r="AE4969">
        <v>-3.88984</v>
      </c>
      <c r="AF4969">
        <v>4.9551995819016099</v>
      </c>
      <c r="AG4969">
        <v>-1.108571945624</v>
      </c>
      <c r="AH4969">
        <v>34.511147756268997</v>
      </c>
      <c r="AI4969">
        <v>91.821166464415697</v>
      </c>
      <c r="AJ4969">
        <v>81.829168676447395</v>
      </c>
      <c r="AK4969">
        <v>34.882692758875898</v>
      </c>
      <c r="AL4969">
        <v>80.532466876467296</v>
      </c>
      <c r="AM4969">
        <v>82.8521444233143</v>
      </c>
      <c r="AN4969">
        <v>1.00000001934754</v>
      </c>
    </row>
    <row r="4970" spans="1:40" x14ac:dyDescent="0.25">
      <c r="A4970" t="str">
        <f>"20190312164607885"</f>
        <v>20190312164607885</v>
      </c>
      <c r="B4970" t="str">
        <f>"1552380367876477"</f>
        <v>1552380367876477</v>
      </c>
      <c r="C4970" t="s">
        <v>40</v>
      </c>
      <c r="D4970">
        <v>5.1694529999999999</v>
      </c>
      <c r="E4970">
        <v>0.51343809999999901</v>
      </c>
      <c r="F4970" t="s">
        <v>42</v>
      </c>
      <c r="G4970">
        <v>-340.37079999999997</v>
      </c>
      <c r="H4970" s="1">
        <v>-5.3467330000000003E-6</v>
      </c>
      <c r="I4970">
        <v>12.66207</v>
      </c>
      <c r="J4970">
        <v>-374.29289999999997</v>
      </c>
      <c r="K4970">
        <v>1.1084959999999999</v>
      </c>
      <c r="L4970">
        <v>16.455570000000002</v>
      </c>
      <c r="M4970">
        <v>0.99948959999999998</v>
      </c>
      <c r="N4970">
        <v>0</v>
      </c>
      <c r="O4970">
        <v>3.0967620000000001E-2</v>
      </c>
      <c r="P4970">
        <v>0.98333250000000005</v>
      </c>
      <c r="Q4970">
        <v>0.15670290000000001</v>
      </c>
      <c r="R4970">
        <v>-9.220217E-2</v>
      </c>
      <c r="S4970">
        <v>3.0349119999999998</v>
      </c>
      <c r="T4970">
        <v>-9.8750470000000007E-2</v>
      </c>
      <c r="U4970">
        <v>-0.33749390000000001</v>
      </c>
      <c r="V4970">
        <v>0.1225175</v>
      </c>
      <c r="W4970">
        <v>0.16446</v>
      </c>
      <c r="X4970">
        <v>0.97874530000000004</v>
      </c>
      <c r="Y4970">
        <v>0.14115839999999999</v>
      </c>
      <c r="Z4970">
        <v>-3.293472E-3</v>
      </c>
      <c r="AA4970">
        <v>0.98998149999999996</v>
      </c>
      <c r="AB4970">
        <v>30</v>
      </c>
      <c r="AC4970">
        <v>33.9221</v>
      </c>
      <c r="AD4970">
        <v>-1.1085013467329901</v>
      </c>
      <c r="AE4970">
        <v>-3.7934999999999999</v>
      </c>
      <c r="AF4970">
        <v>4.83709805323896</v>
      </c>
      <c r="AG4970">
        <v>-1.1085013467329901</v>
      </c>
      <c r="AH4970">
        <v>33.752752849880501</v>
      </c>
      <c r="AI4970">
        <v>91.862010849649494</v>
      </c>
      <c r="AJ4970">
        <v>81.844486292367506</v>
      </c>
      <c r="AK4970">
        <v>34.115606659672302</v>
      </c>
      <c r="AL4970">
        <v>80.534133744262704</v>
      </c>
      <c r="AM4970">
        <v>82.864935160077493</v>
      </c>
      <c r="AN4970">
        <v>0.99999999583916999</v>
      </c>
    </row>
    <row r="4971" spans="1:40" x14ac:dyDescent="0.25">
      <c r="A4971" t="str">
        <f>"20190312164607896"</f>
        <v>20190312164607896</v>
      </c>
      <c r="B4971" t="str">
        <f>"1552380367886236"</f>
        <v>1552380367886236</v>
      </c>
      <c r="C4971" t="s">
        <v>40</v>
      </c>
      <c r="D4971">
        <v>4.7843299999999997</v>
      </c>
      <c r="E4971">
        <v>0.51350620000000002</v>
      </c>
      <c r="F4971" t="s">
        <v>42</v>
      </c>
      <c r="G4971">
        <v>-340.00069999999999</v>
      </c>
      <c r="H4971" s="1">
        <v>-5.509509E-6</v>
      </c>
      <c r="I4971">
        <v>12.639519999999999</v>
      </c>
      <c r="J4971">
        <v>-374.14780000000002</v>
      </c>
      <c r="K4971">
        <v>1.10843</v>
      </c>
      <c r="L4971">
        <v>16.46011</v>
      </c>
      <c r="M4971">
        <v>0.99948950000000003</v>
      </c>
      <c r="N4971">
        <v>0</v>
      </c>
      <c r="O4971">
        <v>3.096935E-2</v>
      </c>
      <c r="P4971">
        <v>0.98335130000000004</v>
      </c>
      <c r="Q4971">
        <v>0.1568166</v>
      </c>
      <c r="R4971">
        <v>-9.1809429999999997E-2</v>
      </c>
      <c r="S4971">
        <v>3.034821</v>
      </c>
      <c r="T4971">
        <v>-9.8101140000000003E-2</v>
      </c>
      <c r="U4971">
        <v>-0.33770749999999999</v>
      </c>
      <c r="V4971">
        <v>0.1221532</v>
      </c>
      <c r="W4971">
        <v>0.16455690000000001</v>
      </c>
      <c r="X4971">
        <v>0.97877449999999999</v>
      </c>
      <c r="Y4971">
        <v>0.14123329999999901</v>
      </c>
      <c r="Z4971">
        <v>-3.2731769999999999E-3</v>
      </c>
      <c r="AA4971">
        <v>0.98997089999999999</v>
      </c>
      <c r="AB4971">
        <v>30</v>
      </c>
      <c r="AC4971">
        <v>34.147100000000002</v>
      </c>
      <c r="AD4971">
        <v>-1.1084355095089999</v>
      </c>
      <c r="AE4971">
        <v>-3.8205900000000002</v>
      </c>
      <c r="AF4971">
        <v>4.8712340527383198</v>
      </c>
      <c r="AG4971">
        <v>-1.1084355095089999</v>
      </c>
      <c r="AH4971">
        <v>33.977036319502098</v>
      </c>
      <c r="AI4971">
        <v>91.849603205354796</v>
      </c>
      <c r="AJ4971">
        <v>81.841191496010296</v>
      </c>
      <c r="AK4971">
        <v>34.342343361105399</v>
      </c>
      <c r="AL4971">
        <v>80.528504655916905</v>
      </c>
      <c r="AM4971">
        <v>82.886143300848701</v>
      </c>
      <c r="AN4971">
        <v>0.99999994972904804</v>
      </c>
    </row>
    <row r="4972" spans="1:40" x14ac:dyDescent="0.25">
      <c r="A4972" t="str">
        <f>"20190312164607909"</f>
        <v>20190312164607909</v>
      </c>
      <c r="B4972" t="str">
        <f>"1552380367896972"</f>
        <v>1552380367896972</v>
      </c>
      <c r="C4972" t="s">
        <v>40</v>
      </c>
      <c r="D4972">
        <v>4.9151579999999999</v>
      </c>
      <c r="E4972">
        <v>0.5136887</v>
      </c>
      <c r="F4972" t="s">
        <v>42</v>
      </c>
      <c r="G4972">
        <v>-340.0489</v>
      </c>
      <c r="H4972" s="1">
        <v>-5.4825350000000004E-6</v>
      </c>
      <c r="I4972">
        <v>12.675140000000001</v>
      </c>
      <c r="J4972">
        <v>-373.97919999999999</v>
      </c>
      <c r="K4972">
        <v>1.1083609999999999</v>
      </c>
      <c r="L4972">
        <v>16.465389999999999</v>
      </c>
      <c r="M4972">
        <v>0.99949010000000005</v>
      </c>
      <c r="N4972">
        <v>0</v>
      </c>
      <c r="O4972">
        <v>3.094877E-2</v>
      </c>
      <c r="P4972">
        <v>0.98342229999999997</v>
      </c>
      <c r="Q4972">
        <v>0.15657760000000001</v>
      </c>
      <c r="R4972">
        <v>-9.1453919999999994E-2</v>
      </c>
      <c r="S4972">
        <v>3.0350649999999999</v>
      </c>
      <c r="T4972">
        <v>-9.8659159999999996E-2</v>
      </c>
      <c r="U4972">
        <v>-0.3368835</v>
      </c>
      <c r="V4972">
        <v>0.12180879999999999</v>
      </c>
      <c r="W4972">
        <v>0.1643001</v>
      </c>
      <c r="X4972">
        <v>0.97886059999999997</v>
      </c>
      <c r="Y4972">
        <v>0.14093789999999901</v>
      </c>
      <c r="Z4972">
        <v>-3.2861180000000002E-3</v>
      </c>
      <c r="AA4972">
        <v>0.99001300000000003</v>
      </c>
      <c r="AB4972">
        <v>30</v>
      </c>
      <c r="AC4972">
        <v>33.930299999999903</v>
      </c>
      <c r="AD4972">
        <v>-1.1083664825349999</v>
      </c>
      <c r="AE4972">
        <v>-3.7902499999999999</v>
      </c>
      <c r="AF4972">
        <v>4.8334736370087299</v>
      </c>
      <c r="AG4972">
        <v>-1.1083664825349999</v>
      </c>
      <c r="AH4972">
        <v>33.761156850905003</v>
      </c>
      <c r="AI4972">
        <v>91.861358691791494</v>
      </c>
      <c r="AJ4972">
        <v>81.852516438190904</v>
      </c>
      <c r="AK4972">
        <v>34.123403340972303</v>
      </c>
      <c r="AL4972">
        <v>80.543421630869005</v>
      </c>
      <c r="AM4972">
        <v>82.906613174165201</v>
      </c>
      <c r="AN4972">
        <v>0.99999999042490495</v>
      </c>
    </row>
    <row r="4973" spans="1:40" x14ac:dyDescent="0.25">
      <c r="A4973" t="str">
        <f>"20190312164607931"</f>
        <v>20190312164607931</v>
      </c>
      <c r="B4973" t="str">
        <f>"1552380367926253"</f>
        <v>1552380367926253</v>
      </c>
      <c r="C4973" t="s">
        <v>40</v>
      </c>
      <c r="D4973">
        <v>4.6850959999999997</v>
      </c>
      <c r="E4973">
        <v>0.51385559999999997</v>
      </c>
      <c r="F4973" t="s">
        <v>42</v>
      </c>
      <c r="G4973">
        <v>-340.30380000000002</v>
      </c>
      <c r="H4973" s="1">
        <v>-5.3644989999999998E-6</v>
      </c>
      <c r="I4973">
        <v>12.72411</v>
      </c>
      <c r="J4973">
        <v>-373.68349999999998</v>
      </c>
      <c r="K4973">
        <v>1.1082510000000001</v>
      </c>
      <c r="L4973">
        <v>16.474489999999999</v>
      </c>
      <c r="M4973">
        <v>0.99949489999999996</v>
      </c>
      <c r="N4973">
        <v>0</v>
      </c>
      <c r="O4973">
        <v>3.078991E-2</v>
      </c>
      <c r="P4973">
        <v>0.9835351</v>
      </c>
      <c r="Q4973">
        <v>0.15633540000000001</v>
      </c>
      <c r="R4973">
        <v>-9.06531E-2</v>
      </c>
      <c r="S4973">
        <v>3.035126</v>
      </c>
      <c r="T4973">
        <v>-9.9895479999999995E-2</v>
      </c>
      <c r="U4973">
        <v>-0.33718870000000001</v>
      </c>
      <c r="V4973">
        <v>0.1208988</v>
      </c>
      <c r="W4973">
        <v>0.16403199999999901</v>
      </c>
      <c r="X4973">
        <v>0.97901839999999996</v>
      </c>
      <c r="Y4973">
        <v>0.14087450000000001</v>
      </c>
      <c r="Z4973">
        <v>-3.3209379999999998E-3</v>
      </c>
      <c r="AA4973">
        <v>0.99002190000000001</v>
      </c>
      <c r="AB4973">
        <v>30</v>
      </c>
      <c r="AC4973">
        <v>33.3796999999999</v>
      </c>
      <c r="AD4973">
        <v>-1.108256364499</v>
      </c>
      <c r="AE4973">
        <v>-3.7503799999999901</v>
      </c>
      <c r="AF4973">
        <v>4.7711976201311002</v>
      </c>
      <c r="AG4973">
        <v>-1.108256364499</v>
      </c>
      <c r="AH4973">
        <v>33.212240763072302</v>
      </c>
      <c r="AI4973">
        <v>91.891781852990206</v>
      </c>
      <c r="AJ4973">
        <v>81.824945601558397</v>
      </c>
      <c r="AK4973">
        <v>33.571498259745297</v>
      </c>
      <c r="AL4973">
        <v>80.5589942057114</v>
      </c>
      <c r="AM4973">
        <v>82.960195528463004</v>
      </c>
      <c r="AN4973">
        <v>1.00000002220199</v>
      </c>
    </row>
    <row r="4974" spans="1:40" x14ac:dyDescent="0.25">
      <c r="A4974" t="str">
        <f>"20190312164607942"</f>
        <v>20190312164607942</v>
      </c>
      <c r="B4974" t="str">
        <f>"1552380367936988"</f>
        <v>1552380367936988</v>
      </c>
      <c r="C4974" t="s">
        <v>40</v>
      </c>
      <c r="D4974">
        <v>4.8809670000000001</v>
      </c>
      <c r="E4974">
        <v>0.51372470000000003</v>
      </c>
      <c r="F4974" t="s">
        <v>42</v>
      </c>
      <c r="G4974">
        <v>-339.89389999999997</v>
      </c>
      <c r="H4974" s="1">
        <v>-1.8547269999999999E-6</v>
      </c>
      <c r="I4974">
        <v>12.72894</v>
      </c>
      <c r="J4974">
        <v>-373.52460000000002</v>
      </c>
      <c r="K4974">
        <v>1.1082019999999999</v>
      </c>
      <c r="L4974">
        <v>16.479310000000002</v>
      </c>
      <c r="M4974">
        <v>0.99949889999999997</v>
      </c>
      <c r="N4974">
        <v>0</v>
      </c>
      <c r="O4974">
        <v>3.0663119999999999E-2</v>
      </c>
      <c r="P4974">
        <v>0.98361909999999997</v>
      </c>
      <c r="Q4974">
        <v>0.15599289999999999</v>
      </c>
      <c r="R4974">
        <v>-9.0331869999999995E-2</v>
      </c>
      <c r="S4974">
        <v>3.0350649999999999</v>
      </c>
      <c r="T4974">
        <v>-9.9545720000000004E-2</v>
      </c>
      <c r="U4974">
        <v>-0.3364258</v>
      </c>
      <c r="V4974">
        <v>0.1204755</v>
      </c>
      <c r="W4974">
        <v>0.16367880000000001</v>
      </c>
      <c r="X4974">
        <v>0.97912969999999999</v>
      </c>
      <c r="Y4974">
        <v>0.1405062</v>
      </c>
      <c r="Z4974">
        <v>-3.2992590000000001E-3</v>
      </c>
      <c r="AA4974">
        <v>0.99007429999999996</v>
      </c>
      <c r="AB4974">
        <v>30</v>
      </c>
      <c r="AC4974">
        <v>33.630699999999997</v>
      </c>
      <c r="AD4974">
        <v>-1.1082038547269999</v>
      </c>
      <c r="AE4974">
        <v>-3.7503700000000002</v>
      </c>
      <c r="AF4974">
        <v>4.7747394532892802</v>
      </c>
      <c r="AG4974">
        <v>-1.1082038547269999</v>
      </c>
      <c r="AH4974">
        <v>33.463993112845699</v>
      </c>
      <c r="AI4974">
        <v>91.877727776650403</v>
      </c>
      <c r="AJ4974">
        <v>81.879681814658596</v>
      </c>
      <c r="AK4974">
        <v>33.821074608696499</v>
      </c>
      <c r="AL4974">
        <v>80.579508434464898</v>
      </c>
      <c r="AM4974">
        <v>82.985387296664499</v>
      </c>
      <c r="AN4974">
        <v>1.00000003254588</v>
      </c>
    </row>
    <row r="4975" spans="1:40" x14ac:dyDescent="0.25">
      <c r="A4975" t="str">
        <f>"20190312164607952"</f>
        <v>20190312164607952</v>
      </c>
      <c r="B4975" t="str">
        <f>"1552380367946750"</f>
        <v>1552380367946750</v>
      </c>
      <c r="C4975" t="s">
        <v>40</v>
      </c>
      <c r="D4975">
        <v>4.807302</v>
      </c>
      <c r="E4975">
        <v>0.51361899999999905</v>
      </c>
      <c r="F4975" t="s">
        <v>42</v>
      </c>
      <c r="G4975">
        <v>-339.57209999999998</v>
      </c>
      <c r="H4975" s="1">
        <v>-1.961317E-6</v>
      </c>
      <c r="I4975">
        <v>12.739879999999999</v>
      </c>
      <c r="J4975">
        <v>-373.38729999999998</v>
      </c>
      <c r="K4975">
        <v>1.1081589999999999</v>
      </c>
      <c r="L4975">
        <v>16.483460000000001</v>
      </c>
      <c r="M4975">
        <v>0.99950249999999996</v>
      </c>
      <c r="N4975">
        <v>0</v>
      </c>
      <c r="O4975">
        <v>3.0543710000000002E-2</v>
      </c>
      <c r="P4975">
        <v>0.98364039999999997</v>
      </c>
      <c r="Q4975">
        <v>0.15593119999999999</v>
      </c>
      <c r="R4975">
        <v>-9.0207739999999995E-2</v>
      </c>
      <c r="S4975">
        <v>3.0350039999999998</v>
      </c>
      <c r="T4975">
        <v>-9.9061850000000007E-2</v>
      </c>
      <c r="U4975">
        <v>-0.33425899999999997</v>
      </c>
      <c r="V4975">
        <v>0.1202502</v>
      </c>
      <c r="W4975">
        <v>0.16360820000000001</v>
      </c>
      <c r="X4975">
        <v>0.97916919999999996</v>
      </c>
      <c r="Y4975">
        <v>0.13969309999999999</v>
      </c>
      <c r="Z4975">
        <v>-3.2663079999999999E-3</v>
      </c>
      <c r="AA4975">
        <v>0.99018949999999994</v>
      </c>
      <c r="AB4975">
        <v>30</v>
      </c>
      <c r="AC4975">
        <v>33.815199999999997</v>
      </c>
      <c r="AD4975">
        <v>-1.108160961317</v>
      </c>
      <c r="AE4975">
        <v>-3.7435800000000001</v>
      </c>
      <c r="AF4975">
        <v>4.7696465384462297</v>
      </c>
      <c r="AG4975">
        <v>-1.108160961317</v>
      </c>
      <c r="AH4975">
        <v>33.649375562922998</v>
      </c>
      <c r="AI4975">
        <v>91.867561893674605</v>
      </c>
      <c r="AJ4975">
        <v>81.932327643619999</v>
      </c>
      <c r="AK4975">
        <v>34.003794267589299</v>
      </c>
      <c r="AL4975">
        <v>80.583608842573796</v>
      </c>
      <c r="AM4975">
        <v>82.998654570788602</v>
      </c>
      <c r="AN4975">
        <v>1.0000000379679499</v>
      </c>
    </row>
    <row r="4976" spans="1:40" x14ac:dyDescent="0.25">
      <c r="A4976" t="str">
        <f>"20190312164607964"</f>
        <v>20190312164607964</v>
      </c>
      <c r="B4976" t="str">
        <f>"1552380367956508"</f>
        <v>1552380367956508</v>
      </c>
      <c r="C4976" t="s">
        <v>40</v>
      </c>
      <c r="D4976">
        <v>4.6782389999999996</v>
      </c>
      <c r="E4976">
        <v>0.5134862</v>
      </c>
      <c r="F4976" t="s">
        <v>42</v>
      </c>
      <c r="G4976">
        <v>-339.34840000000003</v>
      </c>
      <c r="H4976" s="1">
        <v>-2.0342139999999999E-6</v>
      </c>
      <c r="I4976">
        <v>12.752039999999999</v>
      </c>
      <c r="J4976">
        <v>-373.2251</v>
      </c>
      <c r="K4976">
        <v>1.1081179999999999</v>
      </c>
      <c r="L4976">
        <v>16.488309999999998</v>
      </c>
      <c r="M4976">
        <v>0.99950740000000005</v>
      </c>
      <c r="N4976">
        <v>0</v>
      </c>
      <c r="O4976">
        <v>3.0385300000000001E-2</v>
      </c>
      <c r="P4976">
        <v>0.98371989999999998</v>
      </c>
      <c r="Q4976">
        <v>0.1555387</v>
      </c>
      <c r="R4976">
        <v>-9.0017899999999998E-2</v>
      </c>
      <c r="S4976">
        <v>3.0350649999999999</v>
      </c>
      <c r="T4976">
        <v>-9.8808530000000006E-2</v>
      </c>
      <c r="U4976">
        <v>-0.33270260000000001</v>
      </c>
      <c r="V4976">
        <v>0.1199228</v>
      </c>
      <c r="W4976">
        <v>0.16320779999999999</v>
      </c>
      <c r="X4976">
        <v>0.97927609999999998</v>
      </c>
      <c r="Y4976">
        <v>0.13903309999999999</v>
      </c>
      <c r="Z4976">
        <v>-3.2421350000000002E-3</v>
      </c>
      <c r="AA4976">
        <v>0.99028240000000001</v>
      </c>
      <c r="AB4976">
        <v>30</v>
      </c>
      <c r="AC4976">
        <v>33.8766999999999</v>
      </c>
      <c r="AD4976">
        <v>-1.1081200342139901</v>
      </c>
      <c r="AE4976">
        <v>-3.7362700000000002</v>
      </c>
      <c r="AF4976">
        <v>4.7588994691596698</v>
      </c>
      <c r="AG4976">
        <v>-1.1081200342139901</v>
      </c>
      <c r="AH4976">
        <v>33.711888421119198</v>
      </c>
      <c r="AI4976">
        <v>91.864182726327101</v>
      </c>
      <c r="AJ4976">
        <v>81.964999085100999</v>
      </c>
      <c r="AK4976">
        <v>34.064152346503299</v>
      </c>
      <c r="AL4976">
        <v>80.606862010653501</v>
      </c>
      <c r="AM4976">
        <v>83.018283099685704</v>
      </c>
      <c r="AN4976">
        <v>0.99999997198594404</v>
      </c>
    </row>
    <row r="4977" spans="1:40" x14ac:dyDescent="0.25">
      <c r="A4977" t="str">
        <f>"20190312164607976"</f>
        <v>20190312164607976</v>
      </c>
      <c r="B4977" t="str">
        <f>"1552380367966268"</f>
        <v>1552380367966268</v>
      </c>
      <c r="C4977" t="s">
        <v>40</v>
      </c>
      <c r="D4977">
        <v>4.822838</v>
      </c>
      <c r="E4977">
        <v>0.51342049999999995</v>
      </c>
      <c r="F4977" t="s">
        <v>42</v>
      </c>
      <c r="G4977">
        <v>-339.05500000000001</v>
      </c>
      <c r="H4977" s="1">
        <v>-2.1301449999999999E-6</v>
      </c>
      <c r="I4977">
        <v>12.76675</v>
      </c>
      <c r="J4977">
        <v>-373.06869999999998</v>
      </c>
      <c r="K4977">
        <v>1.1080760000000001</v>
      </c>
      <c r="L4977">
        <v>16.49295</v>
      </c>
      <c r="M4977">
        <v>0.99951230000000002</v>
      </c>
      <c r="N4977">
        <v>0</v>
      </c>
      <c r="O4977">
        <v>3.0221970000000001E-2</v>
      </c>
      <c r="P4977">
        <v>0.98380630000000002</v>
      </c>
      <c r="Q4977">
        <v>0.15511329999999901</v>
      </c>
      <c r="R4977">
        <v>-8.9805300000000005E-2</v>
      </c>
      <c r="S4977">
        <v>3.0349430000000002</v>
      </c>
      <c r="T4977">
        <v>-9.8421449999999994E-2</v>
      </c>
      <c r="U4977">
        <v>-0.33053589999999999</v>
      </c>
      <c r="V4977">
        <v>0.119565</v>
      </c>
      <c r="W4977">
        <v>0.1627769</v>
      </c>
      <c r="X4977">
        <v>0.97939160000000003</v>
      </c>
      <c r="Y4977">
        <v>0.1381781</v>
      </c>
      <c r="Z4977">
        <v>-3.2105889999999998E-3</v>
      </c>
      <c r="AA4977">
        <v>0.99040220000000001</v>
      </c>
      <c r="AB4977">
        <v>30</v>
      </c>
      <c r="AC4977">
        <v>34.013699999999901</v>
      </c>
      <c r="AD4977">
        <v>-1.108078130145</v>
      </c>
      <c r="AE4977">
        <v>-3.7262</v>
      </c>
      <c r="AF4977">
        <v>4.7475118708923896</v>
      </c>
      <c r="AG4977">
        <v>-1.108078130145</v>
      </c>
      <c r="AH4977">
        <v>33.850046800428998</v>
      </c>
      <c r="AI4977">
        <v>91.856742883452597</v>
      </c>
      <c r="AJ4977">
        <v>82.016270436618697</v>
      </c>
      <c r="AK4977">
        <v>34.199303713643197</v>
      </c>
      <c r="AL4977">
        <v>80.631885725889404</v>
      </c>
      <c r="AM4977">
        <v>83.039721843867099</v>
      </c>
      <c r="AN4977">
        <v>1.00000000727458</v>
      </c>
    </row>
    <row r="4978" spans="1:40" x14ac:dyDescent="0.25">
      <c r="A4978" t="str">
        <f>"20190312164607988"</f>
        <v>20190312164607988</v>
      </c>
      <c r="B4978" t="str">
        <f>"1552380367977005"</f>
        <v>1552380367977005</v>
      </c>
      <c r="C4978" t="s">
        <v>40</v>
      </c>
      <c r="D4978">
        <v>4.7066039999999996</v>
      </c>
      <c r="E4978">
        <v>0.51327100000000003</v>
      </c>
      <c r="F4978" t="s">
        <v>42</v>
      </c>
      <c r="G4978">
        <v>-339.31830000000002</v>
      </c>
      <c r="H4978" s="1">
        <v>-2.022057E-6</v>
      </c>
      <c r="I4978">
        <v>12.836220000000001</v>
      </c>
      <c r="J4978">
        <v>-372.9006</v>
      </c>
      <c r="K4978">
        <v>1.108044</v>
      </c>
      <c r="L4978">
        <v>16.497920000000001</v>
      </c>
      <c r="M4978">
        <v>0.99951769999999995</v>
      </c>
      <c r="N4978">
        <v>0</v>
      </c>
      <c r="O4978">
        <v>3.0039989999999999E-2</v>
      </c>
      <c r="P4978">
        <v>0.98397060000000003</v>
      </c>
      <c r="Q4978">
        <v>0.15439600000000001</v>
      </c>
      <c r="R4978">
        <v>-8.9240920000000001E-2</v>
      </c>
      <c r="S4978">
        <v>3.035034</v>
      </c>
      <c r="T4978">
        <v>-9.9644659999999996E-2</v>
      </c>
      <c r="U4978">
        <v>-0.32882689999999998</v>
      </c>
      <c r="V4978">
        <v>0.1188386</v>
      </c>
      <c r="W4978">
        <v>0.1620547</v>
      </c>
      <c r="X4978">
        <v>0.97959980000000002</v>
      </c>
      <c r="Y4978">
        <v>0.1374416</v>
      </c>
      <c r="Z4978">
        <v>-3.2324599999999999E-3</v>
      </c>
      <c r="AA4978">
        <v>0.99050459999999996</v>
      </c>
      <c r="AB4978">
        <v>31</v>
      </c>
      <c r="AC4978">
        <v>33.582299999999897</v>
      </c>
      <c r="AD4978">
        <v>-1.1080460220569901</v>
      </c>
      <c r="AE4978">
        <v>-3.6617000000000002</v>
      </c>
      <c r="AF4978">
        <v>4.6638728329901404</v>
      </c>
      <c r="AG4978">
        <v>-1.1080460220569901</v>
      </c>
      <c r="AH4978">
        <v>33.421185429235003</v>
      </c>
      <c r="AI4978">
        <v>91.880678436706702</v>
      </c>
      <c r="AJ4978">
        <v>82.055768756557597</v>
      </c>
      <c r="AK4978">
        <v>33.7632212812197</v>
      </c>
      <c r="AL4978">
        <v>80.673821979321005</v>
      </c>
      <c r="AM4978">
        <v>83.083053110425098</v>
      </c>
      <c r="AN4978">
        <v>1.00000005340104</v>
      </c>
    </row>
    <row r="4979" spans="1:40" x14ac:dyDescent="0.25">
      <c r="A4979" t="str">
        <f>"20190312164607999"</f>
        <v>20190312164607999</v>
      </c>
      <c r="B4979" t="str">
        <f>"1552380367996524"</f>
        <v>1552380367996524</v>
      </c>
      <c r="C4979" t="s">
        <v>40</v>
      </c>
      <c r="D4979">
        <v>4.9585889999999999</v>
      </c>
      <c r="E4979">
        <v>0.51306819999999997</v>
      </c>
      <c r="F4979" t="s">
        <v>42</v>
      </c>
      <c r="G4979">
        <v>-339.33</v>
      </c>
      <c r="H4979" s="1">
        <v>-2.0018329999999999E-6</v>
      </c>
      <c r="I4979">
        <v>12.897209999999999</v>
      </c>
      <c r="J4979">
        <v>-372.7543</v>
      </c>
      <c r="K4979">
        <v>1.108023</v>
      </c>
      <c r="L4979">
        <v>16.502199999999998</v>
      </c>
      <c r="M4979">
        <v>0.99952269999999999</v>
      </c>
      <c r="N4979">
        <v>0</v>
      </c>
      <c r="O4979">
        <v>2.98753E-2</v>
      </c>
      <c r="P4979">
        <v>0.98408470000000003</v>
      </c>
      <c r="Q4979">
        <v>0.15382290000000001</v>
      </c>
      <c r="R4979">
        <v>-8.8974709999999999E-2</v>
      </c>
      <c r="S4979">
        <v>3.0350950000000001</v>
      </c>
      <c r="T4979">
        <v>-0.10017760000000001</v>
      </c>
      <c r="U4979">
        <v>-0.32553100000000001</v>
      </c>
      <c r="V4979">
        <v>0.1184205</v>
      </c>
      <c r="W4979">
        <v>0.16148009999999999</v>
      </c>
      <c r="X4979">
        <v>0.97974530000000004</v>
      </c>
      <c r="Y4979">
        <v>0.13621269999999999</v>
      </c>
      <c r="Z4979">
        <v>-3.2242199999999999E-3</v>
      </c>
      <c r="AA4979">
        <v>0.99067439999999996</v>
      </c>
      <c r="AB4979">
        <v>31</v>
      </c>
      <c r="AC4979">
        <v>33.424300000000002</v>
      </c>
      <c r="AD4979">
        <v>-1.108025001833</v>
      </c>
      <c r="AE4979">
        <v>-3.6049899999999901</v>
      </c>
      <c r="AF4979">
        <v>4.5969789011656799</v>
      </c>
      <c r="AG4979">
        <v>-1.108025001833</v>
      </c>
      <c r="AH4979">
        <v>33.265539598916902</v>
      </c>
      <c r="AI4979">
        <v>91.889785093762697</v>
      </c>
      <c r="AJ4979">
        <v>82.132102958448598</v>
      </c>
      <c r="AK4979">
        <v>33.599941357531598</v>
      </c>
      <c r="AL4979">
        <v>80.707183463934797</v>
      </c>
      <c r="AM4979">
        <v>83.108167700302602</v>
      </c>
      <c r="AN4979">
        <v>1.00000004519417</v>
      </c>
    </row>
    <row r="4980" spans="1:40" x14ac:dyDescent="0.25">
      <c r="A4980" t="str">
        <f>"20190312164608010"</f>
        <v>20190312164608010</v>
      </c>
      <c r="B4980" t="str">
        <f>"1552380368006284"</f>
        <v>1552380368006284</v>
      </c>
      <c r="C4980" t="s">
        <v>40</v>
      </c>
      <c r="D4980">
        <v>4.9346969999999999</v>
      </c>
      <c r="E4980">
        <v>0.51297139999999997</v>
      </c>
      <c r="F4980" t="s">
        <v>42</v>
      </c>
      <c r="G4980">
        <v>-338.80849999999998</v>
      </c>
      <c r="H4980" s="1">
        <v>-2.181959E-6</v>
      </c>
      <c r="I4980">
        <v>12.8872</v>
      </c>
      <c r="J4980">
        <v>-372.61079999999998</v>
      </c>
      <c r="K4980">
        <v>1.1080030000000001</v>
      </c>
      <c r="L4980">
        <v>16.506350000000001</v>
      </c>
      <c r="M4980">
        <v>0.99952739999999995</v>
      </c>
      <c r="N4980">
        <v>0</v>
      </c>
      <c r="O4980">
        <v>2.97142E-2</v>
      </c>
      <c r="P4980">
        <v>0.98419559999999995</v>
      </c>
      <c r="Q4980">
        <v>0.15342149999999999</v>
      </c>
      <c r="R4980">
        <v>-8.8436340000000002E-2</v>
      </c>
      <c r="S4980">
        <v>3.034821</v>
      </c>
      <c r="T4980">
        <v>-9.9059579999999994E-2</v>
      </c>
      <c r="U4980">
        <v>-0.3231812</v>
      </c>
      <c r="V4980">
        <v>0.1177338</v>
      </c>
      <c r="W4980">
        <v>0.16107729999999901</v>
      </c>
      <c r="X4980">
        <v>0.9798943</v>
      </c>
      <c r="Y4980">
        <v>0.1353066</v>
      </c>
      <c r="Z4980">
        <v>-3.168681E-3</v>
      </c>
      <c r="AA4980">
        <v>0.99079870000000003</v>
      </c>
      <c r="AB4980">
        <v>31</v>
      </c>
      <c r="AC4980">
        <v>33.802300000000002</v>
      </c>
      <c r="AD4980">
        <v>-1.108005181959</v>
      </c>
      <c r="AE4980">
        <v>-3.6191499999999999</v>
      </c>
      <c r="AF4980">
        <v>4.6170866162936397</v>
      </c>
      <c r="AG4980">
        <v>-1.108005181959</v>
      </c>
      <c r="AH4980">
        <v>33.644090106752103</v>
      </c>
      <c r="AI4980">
        <v>91.868745273079</v>
      </c>
      <c r="AJ4980">
        <v>82.185926110450595</v>
      </c>
      <c r="AK4980">
        <v>33.977492011872499</v>
      </c>
      <c r="AL4980">
        <v>80.7305678365001</v>
      </c>
      <c r="AM4980">
        <v>83.1487832009051</v>
      </c>
      <c r="AN4980">
        <v>0.99999999170511</v>
      </c>
    </row>
    <row r="4981" spans="1:40" x14ac:dyDescent="0.25">
      <c r="A4981" t="str">
        <f>"20190312164608019"</f>
        <v>20190312164608019</v>
      </c>
      <c r="B4981" t="str">
        <f>"1552380368017020"</f>
        <v>1552380368017020</v>
      </c>
      <c r="C4981" t="s">
        <v>40</v>
      </c>
      <c r="D4981">
        <v>4.9799699999999998</v>
      </c>
      <c r="E4981">
        <v>0.51287519999999998</v>
      </c>
      <c r="F4981" t="s">
        <v>42</v>
      </c>
      <c r="G4981">
        <v>-338.64370000000002</v>
      </c>
      <c r="H4981" s="1">
        <v>-2.230841E-6</v>
      </c>
      <c r="I4981">
        <v>12.91431</v>
      </c>
      <c r="J4981">
        <v>-372.46550000000002</v>
      </c>
      <c r="K4981">
        <v>1.107993</v>
      </c>
      <c r="L4981">
        <v>16.510560000000002</v>
      </c>
      <c r="M4981">
        <v>0.99953219999999998</v>
      </c>
      <c r="N4981">
        <v>0</v>
      </c>
      <c r="O4981">
        <v>2.9554730000000001E-2</v>
      </c>
      <c r="P4981">
        <v>0.98438930000000002</v>
      </c>
      <c r="Q4981">
        <v>0.1525367</v>
      </c>
      <c r="R4981">
        <v>-8.7810330000000006E-2</v>
      </c>
      <c r="S4981">
        <v>3.0347900000000001</v>
      </c>
      <c r="T4981">
        <v>-9.8994369999999998E-2</v>
      </c>
      <c r="U4981">
        <v>-0.32092290000000001</v>
      </c>
      <c r="V4981">
        <v>0.1169596</v>
      </c>
      <c r="W4981">
        <v>0.1601948</v>
      </c>
      <c r="X4981">
        <v>0.98013159999999999</v>
      </c>
      <c r="Y4981">
        <v>0.13442109999999999</v>
      </c>
      <c r="Z4981">
        <v>-3.1471630000000001E-3</v>
      </c>
      <c r="AA4981">
        <v>0.99091929999999995</v>
      </c>
      <c r="AB4981">
        <v>31</v>
      </c>
      <c r="AC4981">
        <v>33.821800000000003</v>
      </c>
      <c r="AD4981">
        <v>-1.1079952308409999</v>
      </c>
      <c r="AE4981">
        <v>-3.5962499999999999</v>
      </c>
      <c r="AF4981">
        <v>4.5894336995345997</v>
      </c>
      <c r="AG4981">
        <v>-1.1079952308409999</v>
      </c>
      <c r="AH4981">
        <v>33.665009484843097</v>
      </c>
      <c r="AI4981">
        <v>91.867795308967303</v>
      </c>
      <c r="AJ4981">
        <v>82.236921595456806</v>
      </c>
      <c r="AK4981">
        <v>33.994461589037797</v>
      </c>
      <c r="AL4981">
        <v>80.781796133685305</v>
      </c>
      <c r="AM4981">
        <v>83.195044213652395</v>
      </c>
      <c r="AN4981">
        <v>0.99999993764887796</v>
      </c>
    </row>
    <row r="4982" spans="1:40" x14ac:dyDescent="0.25">
      <c r="A4982" t="str">
        <f>"20190312164608030"</f>
        <v>20190312164608030</v>
      </c>
      <c r="B4982" t="str">
        <f>"1552380368026780"</f>
        <v>1552380368026780</v>
      </c>
      <c r="C4982" t="s">
        <v>40</v>
      </c>
      <c r="D4982">
        <v>4.7398619999999996</v>
      </c>
      <c r="E4982">
        <v>0.51280099999999995</v>
      </c>
      <c r="F4982" t="s">
        <v>42</v>
      </c>
      <c r="G4982">
        <v>-339.0018</v>
      </c>
      <c r="H4982" s="1">
        <v>-2.086458E-6</v>
      </c>
      <c r="I4982">
        <v>12.998939999999999</v>
      </c>
      <c r="J4982">
        <v>-372.32220000000001</v>
      </c>
      <c r="K4982">
        <v>1.1079810000000001</v>
      </c>
      <c r="L4982">
        <v>16.514679999999998</v>
      </c>
      <c r="M4982">
        <v>0.99953669999999994</v>
      </c>
      <c r="N4982">
        <v>0</v>
      </c>
      <c r="O4982">
        <v>2.939951E-2</v>
      </c>
      <c r="P4982">
        <v>0.98452099999999998</v>
      </c>
      <c r="Q4982">
        <v>0.15198619999999999</v>
      </c>
      <c r="R4982">
        <v>-8.7285210000000002E-2</v>
      </c>
      <c r="S4982">
        <v>3.034729</v>
      </c>
      <c r="T4982">
        <v>-0.10048070000000001</v>
      </c>
      <c r="U4982">
        <v>-0.31845089999999998</v>
      </c>
      <c r="V4982">
        <v>0.11628860000000001</v>
      </c>
      <c r="W4982">
        <v>0.15964600000000001</v>
      </c>
      <c r="X4982">
        <v>0.98030099999999998</v>
      </c>
      <c r="Y4982">
        <v>0.133469</v>
      </c>
      <c r="Z4982">
        <v>-3.173744E-3</v>
      </c>
      <c r="AA4982">
        <v>0.99104789999999998</v>
      </c>
      <c r="AB4982">
        <v>31</v>
      </c>
      <c r="AC4982">
        <v>33.320399999999999</v>
      </c>
      <c r="AD4982">
        <v>-1.10798308645799</v>
      </c>
      <c r="AE4982">
        <v>-3.5157399999999899</v>
      </c>
      <c r="AF4982">
        <v>4.4889451503561197</v>
      </c>
      <c r="AG4982">
        <v>-1.10798308645799</v>
      </c>
      <c r="AH4982">
        <v>33.166362837121298</v>
      </c>
      <c r="AI4982">
        <v>91.896083651266196</v>
      </c>
      <c r="AJ4982">
        <v>82.292065623802301</v>
      </c>
      <c r="AK4982">
        <v>33.487100186883403</v>
      </c>
      <c r="AL4982">
        <v>80.813650296088994</v>
      </c>
      <c r="AM4982">
        <v>83.234879817636795</v>
      </c>
      <c r="AN4982">
        <v>0.99999996720347895</v>
      </c>
    </row>
    <row r="4983" spans="1:40" x14ac:dyDescent="0.25">
      <c r="A4983" t="str">
        <f>"20190312164608042"</f>
        <v>20190312164608042</v>
      </c>
      <c r="B4983" t="str">
        <f>"1552380368036540"</f>
        <v>1552380368036540</v>
      </c>
      <c r="C4983" t="s">
        <v>40</v>
      </c>
      <c r="D4983">
        <v>4.9494030000000002</v>
      </c>
      <c r="E4983">
        <v>0.5127176</v>
      </c>
      <c r="F4983" t="s">
        <v>42</v>
      </c>
      <c r="G4983">
        <v>-338.99919999999997</v>
      </c>
      <c r="H4983" s="1">
        <v>-2.0768070000000002E-6</v>
      </c>
      <c r="I4983">
        <v>13.03853</v>
      </c>
      <c r="J4983">
        <v>-372.15910000000002</v>
      </c>
      <c r="K4983">
        <v>1.107974</v>
      </c>
      <c r="L4983">
        <v>16.51932</v>
      </c>
      <c r="M4983">
        <v>0.99954160000000003</v>
      </c>
      <c r="N4983">
        <v>0</v>
      </c>
      <c r="O4983">
        <v>2.9234759999999999E-2</v>
      </c>
      <c r="P4983">
        <v>0.98473299999999997</v>
      </c>
      <c r="Q4983">
        <v>0.15092829999999999</v>
      </c>
      <c r="R4983">
        <v>-8.6728749999999993E-2</v>
      </c>
      <c r="S4983">
        <v>3.0346679999999999</v>
      </c>
      <c r="T4983">
        <v>-0.10090200000000001</v>
      </c>
      <c r="U4983">
        <v>-0.31655879999999997</v>
      </c>
      <c r="V4983">
        <v>0.1155757</v>
      </c>
      <c r="W4983">
        <v>0.15859239999999999</v>
      </c>
      <c r="X4983">
        <v>0.98055630000000005</v>
      </c>
      <c r="Y4983">
        <v>0.13269619999999999</v>
      </c>
      <c r="Z4983">
        <v>-3.168934E-3</v>
      </c>
      <c r="AA4983">
        <v>0.99115169999999997</v>
      </c>
      <c r="AB4983">
        <v>31</v>
      </c>
      <c r="AC4983">
        <v>33.1599</v>
      </c>
      <c r="AD4983">
        <v>-1.1079760768069999</v>
      </c>
      <c r="AE4983">
        <v>-3.4807899999999998</v>
      </c>
      <c r="AF4983">
        <v>4.4438466512708104</v>
      </c>
      <c r="AG4983">
        <v>-1.1079760768069999</v>
      </c>
      <c r="AH4983">
        <v>33.007513278977598</v>
      </c>
      <c r="AI4983">
        <v>91.905370308338306</v>
      </c>
      <c r="AJ4983">
        <v>82.332296286230701</v>
      </c>
      <c r="AK4983">
        <v>33.323735038387703</v>
      </c>
      <c r="AL4983">
        <v>80.874796239204599</v>
      </c>
      <c r="AM4983">
        <v>83.277706724811793</v>
      </c>
      <c r="AN4983">
        <v>0.99999997461896895</v>
      </c>
    </row>
    <row r="4984" spans="1:40" x14ac:dyDescent="0.25">
      <c r="A4984" t="str">
        <f>"20190312164608054"</f>
        <v>20190312164608054</v>
      </c>
      <c r="B4984" t="str">
        <f>"1552380368046300"</f>
        <v>1552380368046300</v>
      </c>
      <c r="C4984" t="s">
        <v>40</v>
      </c>
      <c r="D4984">
        <v>4.9173629999999999</v>
      </c>
      <c r="E4984">
        <v>0.51266659999999997</v>
      </c>
      <c r="F4984" t="s">
        <v>42</v>
      </c>
      <c r="G4984">
        <v>-339.48090000000002</v>
      </c>
      <c r="H4984" s="1">
        <v>-1.887948E-6</v>
      </c>
      <c r="I4984">
        <v>13.13231</v>
      </c>
      <c r="J4984">
        <v>-372</v>
      </c>
      <c r="K4984">
        <v>1.1079760000000001</v>
      </c>
      <c r="L4984">
        <v>16.523859999999999</v>
      </c>
      <c r="M4984">
        <v>0.99954589999999999</v>
      </c>
      <c r="N4984">
        <v>0</v>
      </c>
      <c r="O4984">
        <v>2.908562E-2</v>
      </c>
      <c r="P4984">
        <v>0.98488350000000002</v>
      </c>
      <c r="Q4984">
        <v>0.1503178</v>
      </c>
      <c r="R4984">
        <v>-8.607948E-2</v>
      </c>
      <c r="S4984">
        <v>3.0345460000000002</v>
      </c>
      <c r="T4984">
        <v>-0.1028879</v>
      </c>
      <c r="U4984">
        <v>-0.31451420000000002</v>
      </c>
      <c r="V4984">
        <v>0.114782</v>
      </c>
      <c r="W4984">
        <v>0.15798789999999999</v>
      </c>
      <c r="X4984">
        <v>0.98074709999999998</v>
      </c>
      <c r="Y4984">
        <v>0.1318887</v>
      </c>
      <c r="Z4984">
        <v>-3.212814E-3</v>
      </c>
      <c r="AA4984">
        <v>0.99125929999999995</v>
      </c>
      <c r="AB4984">
        <v>31</v>
      </c>
      <c r="AC4984">
        <v>32.519099999999902</v>
      </c>
      <c r="AD4984">
        <v>-1.107977887948</v>
      </c>
      <c r="AE4984">
        <v>-3.3915499999999899</v>
      </c>
      <c r="AF4984">
        <v>4.3310088878380197</v>
      </c>
      <c r="AG4984">
        <v>-1.107977887948</v>
      </c>
      <c r="AH4984">
        <v>32.369520093374199</v>
      </c>
      <c r="AI4984">
        <v>91.943112299765502</v>
      </c>
      <c r="AJ4984">
        <v>82.379144460327694</v>
      </c>
      <c r="AK4984">
        <v>32.676766732069296</v>
      </c>
      <c r="AL4984">
        <v>80.909873815678694</v>
      </c>
      <c r="AM4984">
        <v>83.324740117265506</v>
      </c>
      <c r="AN4984">
        <v>0.99999997911440897</v>
      </c>
    </row>
    <row r="4985" spans="1:40" x14ac:dyDescent="0.25">
      <c r="A4985" t="str">
        <f>"20190312164608064"</f>
        <v>20190312164608064</v>
      </c>
      <c r="B4985" t="str">
        <f>"1552380368056061"</f>
        <v>1552380368056061</v>
      </c>
      <c r="C4985" t="s">
        <v>40</v>
      </c>
      <c r="D4985">
        <v>4.9644779999999997</v>
      </c>
      <c r="E4985">
        <v>0.51266</v>
      </c>
      <c r="F4985" t="s">
        <v>42</v>
      </c>
      <c r="G4985">
        <v>-339.51769999999999</v>
      </c>
      <c r="H4985" s="1">
        <v>-1.862548E-6</v>
      </c>
      <c r="I4985">
        <v>13.180680000000001</v>
      </c>
      <c r="J4985">
        <v>-371.8494</v>
      </c>
      <c r="K4985">
        <v>1.1079840000000001</v>
      </c>
      <c r="L4985">
        <v>16.52814</v>
      </c>
      <c r="M4985">
        <v>0.99954960000000004</v>
      </c>
      <c r="N4985">
        <v>0</v>
      </c>
      <c r="O4985">
        <v>2.8958290000000001E-2</v>
      </c>
      <c r="P4985">
        <v>0.98507319999999998</v>
      </c>
      <c r="Q4985">
        <v>0.149426</v>
      </c>
      <c r="R4985">
        <v>-8.5457569999999997E-2</v>
      </c>
      <c r="S4985">
        <v>3.0345460000000002</v>
      </c>
      <c r="T4985">
        <v>-0.10350860000000001</v>
      </c>
      <c r="U4985">
        <v>-0.31231690000000001</v>
      </c>
      <c r="V4985">
        <v>0.1140365</v>
      </c>
      <c r="W4985">
        <v>0.15710260000000001</v>
      </c>
      <c r="X4985">
        <v>0.98097630000000002</v>
      </c>
      <c r="Y4985">
        <v>0.13105159999999999</v>
      </c>
      <c r="Z4985">
        <v>-3.2137369999999999E-3</v>
      </c>
      <c r="AA4985">
        <v>0.99137030000000004</v>
      </c>
      <c r="AB4985">
        <v>31</v>
      </c>
      <c r="AC4985">
        <v>32.331699999999998</v>
      </c>
      <c r="AD4985">
        <v>-1.1079858625479999</v>
      </c>
      <c r="AE4985">
        <v>-3.3474599999999999</v>
      </c>
      <c r="AF4985">
        <v>4.2773858035764398</v>
      </c>
      <c r="AG4985">
        <v>-1.1079858625479999</v>
      </c>
      <c r="AH4985">
        <v>32.183804799042399</v>
      </c>
      <c r="AI4985">
        <v>91.954559104533402</v>
      </c>
      <c r="AJ4985">
        <v>82.429475850920596</v>
      </c>
      <c r="AK4985">
        <v>32.4857038299482</v>
      </c>
      <c r="AL4985">
        <v>80.961239660114501</v>
      </c>
      <c r="AM4985">
        <v>83.3692437067035</v>
      </c>
      <c r="AN4985">
        <v>1.0000000257103401</v>
      </c>
    </row>
    <row r="4986" spans="1:40" x14ac:dyDescent="0.25">
      <c r="A4986" t="str">
        <f>"20190312164608075"</f>
        <v>20190312164608075</v>
      </c>
      <c r="B4986" t="str">
        <f>"1552380368066796"</f>
        <v>1552380368066796</v>
      </c>
      <c r="C4986" t="s">
        <v>40</v>
      </c>
      <c r="D4986">
        <v>5.4394749999999998</v>
      </c>
      <c r="E4986">
        <v>0.51246570000000002</v>
      </c>
      <c r="F4986" t="s">
        <v>42</v>
      </c>
      <c r="G4986">
        <v>-340.2439</v>
      </c>
      <c r="H4986" s="1">
        <v>-5.2893579999999998E-6</v>
      </c>
      <c r="I4986">
        <v>13.292450000000001</v>
      </c>
      <c r="J4986">
        <v>-371.69749999999999</v>
      </c>
      <c r="K4986">
        <v>1.1080019999999999</v>
      </c>
      <c r="L4986">
        <v>16.532409999999999</v>
      </c>
      <c r="M4986">
        <v>0.99955260000000001</v>
      </c>
      <c r="N4986">
        <v>0</v>
      </c>
      <c r="O4986">
        <v>2.8851999999999999E-2</v>
      </c>
      <c r="P4986">
        <v>0.98519840000000003</v>
      </c>
      <c r="Q4986">
        <v>0.14881629999999901</v>
      </c>
      <c r="R4986">
        <v>-8.5077349999999996E-2</v>
      </c>
      <c r="S4986">
        <v>3.034637</v>
      </c>
      <c r="T4986">
        <v>-0.1063848</v>
      </c>
      <c r="U4986">
        <v>-0.31066890000000003</v>
      </c>
      <c r="V4986">
        <v>0.1135487</v>
      </c>
      <c r="W4986">
        <v>0.15650120000000001</v>
      </c>
      <c r="X4986">
        <v>0.98112900000000003</v>
      </c>
      <c r="Y4986">
        <v>0.13040560000000001</v>
      </c>
      <c r="Z4986">
        <v>-3.2879649999999999E-3</v>
      </c>
      <c r="AA4986">
        <v>0.99145530000000004</v>
      </c>
      <c r="AB4986">
        <v>31</v>
      </c>
      <c r="AC4986">
        <v>31.453599999999899</v>
      </c>
      <c r="AD4986">
        <v>-1.108007289358</v>
      </c>
      <c r="AE4986">
        <v>-3.23996</v>
      </c>
      <c r="AF4986">
        <v>4.1410538042592497</v>
      </c>
      <c r="AG4986">
        <v>-1.108007289358</v>
      </c>
      <c r="AH4986">
        <v>31.308579045269202</v>
      </c>
      <c r="AI4986">
        <v>92.009360291881606</v>
      </c>
      <c r="AJ4986">
        <v>82.465462592076605</v>
      </c>
      <c r="AK4986">
        <v>31.6006824071398</v>
      </c>
      <c r="AL4986">
        <v>80.996128901377503</v>
      </c>
      <c r="AM4986">
        <v>83.398374854938893</v>
      </c>
      <c r="AN4986">
        <v>1.0000000237570601</v>
      </c>
    </row>
    <row r="4987" spans="1:40" x14ac:dyDescent="0.25">
      <c r="A4987" t="str">
        <f>"20190312164608087"</f>
        <v>20190312164608087</v>
      </c>
      <c r="B4987" t="str">
        <f>"1552380368076557"</f>
        <v>1552380368076557</v>
      </c>
      <c r="C4987" t="s">
        <v>40</v>
      </c>
      <c r="D4987">
        <v>4.9518060000000004</v>
      </c>
      <c r="E4987">
        <v>0.51246570000000002</v>
      </c>
      <c r="F4987" t="s">
        <v>42</v>
      </c>
      <c r="G4987">
        <v>-340.31049999999999</v>
      </c>
      <c r="H4987" s="1">
        <v>-5.2511600000000004E-6</v>
      </c>
      <c r="I4987">
        <v>13.3469</v>
      </c>
      <c r="J4987">
        <v>-371.53879999999998</v>
      </c>
      <c r="K4987">
        <v>1.1080209999999999</v>
      </c>
      <c r="L4987">
        <v>16.536929999999899</v>
      </c>
      <c r="M4987">
        <v>0.99955539999999998</v>
      </c>
      <c r="N4987">
        <v>0</v>
      </c>
      <c r="O4987">
        <v>2.8753859999999999E-2</v>
      </c>
      <c r="P4987">
        <v>0.98533839999999995</v>
      </c>
      <c r="Q4987">
        <v>0.14826420000000001</v>
      </c>
      <c r="R4987">
        <v>-8.4415530000000003E-2</v>
      </c>
      <c r="S4987">
        <v>3.0346679999999999</v>
      </c>
      <c r="T4987">
        <v>-0.1071279</v>
      </c>
      <c r="U4987">
        <v>-0.30798340000000002</v>
      </c>
      <c r="V4987">
        <v>0.1127866</v>
      </c>
      <c r="W4987">
        <v>0.15595819999999999</v>
      </c>
      <c r="X4987">
        <v>0.98130329999999999</v>
      </c>
      <c r="Y4987">
        <v>0.1294381</v>
      </c>
      <c r="Z4987">
        <v>-3.290547E-3</v>
      </c>
      <c r="AA4987">
        <v>0.99158199999999996</v>
      </c>
      <c r="AB4987">
        <v>31</v>
      </c>
      <c r="AC4987">
        <v>31.228299999999901</v>
      </c>
      <c r="AD4987">
        <v>-1.1080262511600001</v>
      </c>
      <c r="AE4987">
        <v>-3.1900299999999899</v>
      </c>
      <c r="AF4987">
        <v>4.0815876242219797</v>
      </c>
      <c r="AG4987">
        <v>-1.1080262511600001</v>
      </c>
      <c r="AH4987">
        <v>31.084928691906399</v>
      </c>
      <c r="AI4987">
        <v>92.024091740916603</v>
      </c>
      <c r="AJ4987">
        <v>82.5196061279741</v>
      </c>
      <c r="AK4987">
        <v>31.3713224376718</v>
      </c>
      <c r="AL4987">
        <v>81.027626817069901</v>
      </c>
      <c r="AM4987">
        <v>83.443450128608305</v>
      </c>
      <c r="AN4987">
        <v>0.99999997193884405</v>
      </c>
    </row>
    <row r="4988" spans="1:40" x14ac:dyDescent="0.25">
      <c r="A4988" t="str">
        <f>"20190312164608099"</f>
        <v>20190312164608099</v>
      </c>
      <c r="B4988" t="str">
        <f>"1552380368096077"</f>
        <v>1552380368096077</v>
      </c>
      <c r="C4988" t="s">
        <v>40</v>
      </c>
      <c r="D4988">
        <v>4.7941029999999998</v>
      </c>
      <c r="E4988">
        <v>0.46511659999999999</v>
      </c>
      <c r="F4988" t="s">
        <v>42</v>
      </c>
      <c r="G4988">
        <v>-340.64159999999998</v>
      </c>
      <c r="H4988" s="1">
        <v>-5.0957519999999999E-6</v>
      </c>
      <c r="I4988">
        <v>13.422079999999999</v>
      </c>
      <c r="J4988">
        <v>-371.38130000000001</v>
      </c>
      <c r="K4988">
        <v>1.1080460000000001</v>
      </c>
      <c r="L4988">
        <v>16.54138</v>
      </c>
      <c r="M4988">
        <v>0.99955709999999998</v>
      </c>
      <c r="N4988">
        <v>0</v>
      </c>
      <c r="O4988">
        <v>2.8693159999999999E-2</v>
      </c>
      <c r="P4988">
        <v>0.98540910000000004</v>
      </c>
      <c r="Q4988">
        <v>0.1480948</v>
      </c>
      <c r="R4988">
        <v>-8.3885849999999998E-2</v>
      </c>
      <c r="S4988">
        <v>3.0347900000000001</v>
      </c>
      <c r="T4988">
        <v>-0.1088327</v>
      </c>
      <c r="U4988">
        <v>-0.30593870000000001</v>
      </c>
      <c r="V4988">
        <v>0.1121887</v>
      </c>
      <c r="W4988">
        <v>0.15579949999999901</v>
      </c>
      <c r="X4988">
        <v>0.98139710000000002</v>
      </c>
      <c r="Y4988">
        <v>0.12870989999999999</v>
      </c>
      <c r="Z4988">
        <v>-3.3276640000000001E-3</v>
      </c>
      <c r="AA4988">
        <v>0.99167669999999997</v>
      </c>
      <c r="AB4988">
        <v>31</v>
      </c>
      <c r="AC4988">
        <v>30.739699999999999</v>
      </c>
      <c r="AD4988">
        <v>-1.10805109575199</v>
      </c>
      <c r="AE4988">
        <v>-3.1193</v>
      </c>
      <c r="AF4988">
        <v>3.9949243785796802</v>
      </c>
      <c r="AG4988">
        <v>-1.10805109575199</v>
      </c>
      <c r="AH4988">
        <v>30.598185278089002</v>
      </c>
      <c r="AI4988">
        <v>92.056505468503502</v>
      </c>
      <c r="AJ4988">
        <v>82.561491135660901</v>
      </c>
      <c r="AK4988">
        <v>30.8777612584467</v>
      </c>
      <c r="AL4988">
        <v>81.036832691134705</v>
      </c>
      <c r="AM4988">
        <v>83.4785251975471</v>
      </c>
      <c r="AN4988">
        <v>1.00000002824817</v>
      </c>
    </row>
    <row r="4989" spans="1:40" x14ac:dyDescent="0.25">
      <c r="A4989" t="str">
        <f>"20190312164608113"</f>
        <v>20190312164608113</v>
      </c>
      <c r="B4989" t="str">
        <f>"1552380368106812"</f>
        <v>1552380368106812</v>
      </c>
      <c r="C4989" t="s">
        <v>40</v>
      </c>
      <c r="D4989">
        <v>4.8588040000000001</v>
      </c>
      <c r="E4989">
        <v>0.46052320000000002</v>
      </c>
      <c r="F4989" t="s">
        <v>82</v>
      </c>
      <c r="G4989">
        <v>-279.68</v>
      </c>
      <c r="H4989">
        <v>1.050559</v>
      </c>
      <c r="I4989">
        <v>18.491910000000001</v>
      </c>
      <c r="J4989">
        <v>-371.18950000000001</v>
      </c>
      <c r="K4989">
        <v>1.1080840000000001</v>
      </c>
      <c r="L4989">
        <v>16.546810000000001</v>
      </c>
      <c r="M4989">
        <v>0.99955859999999996</v>
      </c>
      <c r="N4989">
        <v>0</v>
      </c>
      <c r="O4989">
        <v>2.864365E-2</v>
      </c>
      <c r="P4989">
        <v>0.98552379999999995</v>
      </c>
      <c r="Q4989">
        <v>0.1475958</v>
      </c>
      <c r="R4989">
        <v>-8.3418499999999896E-2</v>
      </c>
      <c r="S4989">
        <v>3.050262</v>
      </c>
      <c r="T4989">
        <v>-1.9121170000000001E-3</v>
      </c>
      <c r="U4989">
        <v>6.4880370000000007E-2</v>
      </c>
      <c r="V4989">
        <v>0.1116613</v>
      </c>
      <c r="W4989">
        <v>0.1553148</v>
      </c>
      <c r="X4989">
        <v>0.98153409999999996</v>
      </c>
      <c r="Y4989">
        <v>7.3811700000000003E-3</v>
      </c>
      <c r="Z4989" s="1">
        <v>-2.0264409999999999E-5</v>
      </c>
      <c r="AA4989">
        <v>0.9999728</v>
      </c>
      <c r="AB4989">
        <v>31</v>
      </c>
      <c r="AC4989">
        <v>91.509500000000003</v>
      </c>
      <c r="AD4989">
        <v>-5.7525E-2</v>
      </c>
      <c r="AE4989">
        <v>1.9451000000000001</v>
      </c>
      <c r="AF4989">
        <v>0.67694542465219698</v>
      </c>
      <c r="AG4989">
        <v>-5.7525E-2</v>
      </c>
      <c r="AH4989">
        <v>91.527630423302796</v>
      </c>
      <c r="AI4989">
        <v>90.036009335364895</v>
      </c>
      <c r="AJ4989">
        <v>89.576243715568793</v>
      </c>
      <c r="AK4989">
        <v>91.530151836093296</v>
      </c>
      <c r="AL4989">
        <v>81.064946480668894</v>
      </c>
      <c r="AM4989">
        <v>83.509818722922105</v>
      </c>
      <c r="AN4989">
        <v>1.0000000612397599</v>
      </c>
    </row>
    <row r="4990" spans="1:40" x14ac:dyDescent="0.25">
      <c r="A4990" t="str">
        <f>"20190312164608133"</f>
        <v>20190312164608133</v>
      </c>
      <c r="B4990" t="str">
        <f>"1552380368126332"</f>
        <v>1552380368126332</v>
      </c>
      <c r="C4990" t="s">
        <v>40</v>
      </c>
      <c r="D4990">
        <v>4.9144649999999999</v>
      </c>
      <c r="E4990">
        <v>0.43356159999999999</v>
      </c>
      <c r="F4990" t="s">
        <v>82</v>
      </c>
      <c r="G4990">
        <v>-279.68</v>
      </c>
      <c r="H4990">
        <v>1.2418830000000001</v>
      </c>
      <c r="I4990">
        <v>19.615739999999999</v>
      </c>
      <c r="J4990">
        <v>-370.91609999999997</v>
      </c>
      <c r="K4990">
        <v>1.1081479999999999</v>
      </c>
      <c r="L4990">
        <v>16.554659999999998</v>
      </c>
      <c r="M4990">
        <v>0.99955819999999995</v>
      </c>
      <c r="N4990">
        <v>0</v>
      </c>
      <c r="O4990">
        <v>2.8658980000000001E-2</v>
      </c>
      <c r="P4990">
        <v>0.98565020000000003</v>
      </c>
      <c r="Q4990">
        <v>0.1471026</v>
      </c>
      <c r="R4990">
        <v>-8.279338E-2</v>
      </c>
      <c r="S4990">
        <v>3.052063</v>
      </c>
      <c r="T4990">
        <v>4.4625999999999997E-3</v>
      </c>
      <c r="U4990">
        <v>0.102356</v>
      </c>
      <c r="V4990">
        <v>0.1110289</v>
      </c>
      <c r="W4990">
        <v>0.15484510000000001</v>
      </c>
      <c r="X4990">
        <v>0.98168</v>
      </c>
      <c r="Y4990">
        <v>-4.8602940000000002E-3</v>
      </c>
      <c r="Z4990" s="1">
        <v>3.8331879999999997E-5</v>
      </c>
      <c r="AA4990">
        <v>0.99998819999999999</v>
      </c>
      <c r="AB4990">
        <v>31</v>
      </c>
      <c r="AC4990">
        <v>91.236099999999894</v>
      </c>
      <c r="AD4990">
        <v>0.13373499999999999</v>
      </c>
      <c r="AE4990">
        <v>3.0610799999999898</v>
      </c>
      <c r="AF4990">
        <v>-0.44500690512530899</v>
      </c>
      <c r="AG4990">
        <v>0.13373499999999999</v>
      </c>
      <c r="AH4990">
        <v>91.286156414022997</v>
      </c>
      <c r="AI4990">
        <v>89.916062250311995</v>
      </c>
      <c r="AJ4990">
        <v>90.279306485780893</v>
      </c>
      <c r="AK4990">
        <v>91.287339040204898</v>
      </c>
      <c r="AL4990">
        <v>81.092187523132495</v>
      </c>
      <c r="AM4990">
        <v>83.547216316696804</v>
      </c>
      <c r="AN4990">
        <v>1.0000000220145999</v>
      </c>
    </row>
    <row r="4991" spans="1:40" x14ac:dyDescent="0.25">
      <c r="A4991" t="str">
        <f>"20190312164608145"</f>
        <v>20190312164608145</v>
      </c>
      <c r="B4991" t="str">
        <f>"1552380368136094"</f>
        <v>1552380368136094</v>
      </c>
      <c r="C4991" t="s">
        <v>40</v>
      </c>
      <c r="D4991">
        <v>4.8936449999999896</v>
      </c>
      <c r="E4991">
        <v>0.43356159999999999</v>
      </c>
      <c r="F4991" t="s">
        <v>42</v>
      </c>
      <c r="G4991">
        <v>-358.75569999999999</v>
      </c>
      <c r="H4991" s="1">
        <v>-8.6542119999999898E-7</v>
      </c>
      <c r="I4991">
        <v>17.90269</v>
      </c>
      <c r="J4991">
        <v>-370.72969999999998</v>
      </c>
      <c r="K4991">
        <v>1.108193</v>
      </c>
      <c r="L4991">
        <v>16.56006</v>
      </c>
      <c r="M4991">
        <v>0.99955609999999995</v>
      </c>
      <c r="N4991">
        <v>0</v>
      </c>
      <c r="O4991">
        <v>2.872475E-2</v>
      </c>
      <c r="P4991">
        <v>0.98572789999999999</v>
      </c>
      <c r="Q4991">
        <v>0.14663209999999999</v>
      </c>
      <c r="R4991">
        <v>-8.2701040000000003E-2</v>
      </c>
      <c r="S4991">
        <v>3.115021</v>
      </c>
      <c r="T4991">
        <v>-0.28386519999999998</v>
      </c>
      <c r="U4991">
        <v>0.3453369</v>
      </c>
      <c r="V4991">
        <v>0.1109837</v>
      </c>
      <c r="W4991">
        <v>0.1543919</v>
      </c>
      <c r="X4991">
        <v>0.98175639999999997</v>
      </c>
      <c r="Y4991">
        <v>-8.1375210000000003E-2</v>
      </c>
      <c r="Z4991">
        <v>1.085812E-3</v>
      </c>
      <c r="AA4991">
        <v>0.99668290000000004</v>
      </c>
      <c r="AB4991">
        <v>31</v>
      </c>
      <c r="AC4991">
        <v>11.973999999999901</v>
      </c>
      <c r="AD4991">
        <v>-1.1081938654212</v>
      </c>
      <c r="AE4991">
        <v>1.34262999999999</v>
      </c>
      <c r="AF4991">
        <v>-0.98974265654730398</v>
      </c>
      <c r="AG4991">
        <v>-1.1081938654212</v>
      </c>
      <c r="AH4991">
        <v>11.906904364707801</v>
      </c>
      <c r="AI4991">
        <v>95.299117070942302</v>
      </c>
      <c r="AJ4991">
        <v>94.751697492126993</v>
      </c>
      <c r="AK4991">
        <v>11.9992522983661</v>
      </c>
      <c r="AL4991">
        <v>81.118469255203493</v>
      </c>
      <c r="AM4991">
        <v>83.550318830728997</v>
      </c>
      <c r="AN4991">
        <v>0.99999993469612702</v>
      </c>
    </row>
    <row r="4992" spans="1:40" x14ac:dyDescent="0.25">
      <c r="A4992" t="str">
        <f>"20190312164608156"</f>
        <v>20190312164608156</v>
      </c>
      <c r="B4992" t="str">
        <f>"1552380368146829"</f>
        <v>1552380368146829</v>
      </c>
      <c r="C4992" t="s">
        <v>40</v>
      </c>
      <c r="D4992">
        <v>4.5925409999999998</v>
      </c>
      <c r="E4992">
        <v>0.44226939999999998</v>
      </c>
      <c r="F4992" t="s">
        <v>42</v>
      </c>
      <c r="G4992">
        <v>-358.59210000000002</v>
      </c>
      <c r="H4992" s="1">
        <v>-9.1883500000000001E-7</v>
      </c>
      <c r="I4992">
        <v>17.911249999999999</v>
      </c>
      <c r="J4992">
        <v>-370.58210000000003</v>
      </c>
      <c r="K4992">
        <v>1.108233</v>
      </c>
      <c r="L4992">
        <v>16.564360000000001</v>
      </c>
      <c r="M4992">
        <v>0.99955360000000004</v>
      </c>
      <c r="N4992">
        <v>0</v>
      </c>
      <c r="O4992">
        <v>2.8813249999999999E-2</v>
      </c>
      <c r="P4992">
        <v>0.98583909999999997</v>
      </c>
      <c r="Q4992">
        <v>0.14605399999999999</v>
      </c>
      <c r="R4992">
        <v>-8.2401169999999996E-2</v>
      </c>
      <c r="S4992">
        <v>3.1148380000000002</v>
      </c>
      <c r="T4992">
        <v>-0.2843908</v>
      </c>
      <c r="U4992">
        <v>0.3467712</v>
      </c>
      <c r="V4992">
        <v>0.1107578</v>
      </c>
      <c r="W4992">
        <v>0.15382799999999999</v>
      </c>
      <c r="X4992">
        <v>0.98187049999999998</v>
      </c>
      <c r="Y4992">
        <v>-8.1744799999999895E-2</v>
      </c>
      <c r="Z4992">
        <v>1.0966109999999999E-3</v>
      </c>
      <c r="AA4992">
        <v>0.99665269999999995</v>
      </c>
      <c r="AB4992">
        <v>31</v>
      </c>
      <c r="AC4992">
        <v>11.99</v>
      </c>
      <c r="AD4992">
        <v>-1.1082339188349899</v>
      </c>
      <c r="AE4992">
        <v>1.3468899999999899</v>
      </c>
      <c r="AF4992">
        <v>-0.99247577388572505</v>
      </c>
      <c r="AG4992">
        <v>-1.1082339188349899</v>
      </c>
      <c r="AH4992">
        <v>11.923236954481</v>
      </c>
      <c r="AI4992">
        <v>95.292039548651005</v>
      </c>
      <c r="AJ4992">
        <v>94.758261867202094</v>
      </c>
      <c r="AK4992">
        <v>12.015688496849</v>
      </c>
      <c r="AL4992">
        <v>81.151169671938106</v>
      </c>
      <c r="AM4992">
        <v>83.564078152715595</v>
      </c>
      <c r="AN4992">
        <v>1.00000001130754</v>
      </c>
    </row>
    <row r="4993" spans="1:40" x14ac:dyDescent="0.25">
      <c r="A4993" t="str">
        <f>"20190312164608167"</f>
        <v>20190312164608167</v>
      </c>
      <c r="B4993" t="str">
        <f>"1552380368156590"</f>
        <v>1552380368156590</v>
      </c>
      <c r="C4993" t="s">
        <v>40</v>
      </c>
      <c r="D4993">
        <v>4.8039639999999997</v>
      </c>
      <c r="E4993">
        <v>0.44250669999999998</v>
      </c>
      <c r="F4993" t="s">
        <v>64</v>
      </c>
      <c r="G4993">
        <v>-273.40989999999999</v>
      </c>
      <c r="H4993">
        <v>1.5176320000000001</v>
      </c>
      <c r="I4993">
        <v>24.567060000000001</v>
      </c>
      <c r="J4993">
        <v>-370.42450000000002</v>
      </c>
      <c r="K4993">
        <v>1.1082780000000001</v>
      </c>
      <c r="L4993">
        <v>16.568999999999999</v>
      </c>
      <c r="M4993">
        <v>0.9995503</v>
      </c>
      <c r="N4993">
        <v>0</v>
      </c>
      <c r="O4993">
        <v>2.8924120000000001E-2</v>
      </c>
      <c r="P4993">
        <v>0.98599360000000003</v>
      </c>
      <c r="Q4993">
        <v>0.1452649</v>
      </c>
      <c r="R4993">
        <v>-8.1945660000000003E-2</v>
      </c>
      <c r="S4993">
        <v>3.0622859999999998</v>
      </c>
      <c r="T4993">
        <v>1.2901899999999999E-2</v>
      </c>
      <c r="U4993">
        <v>0.25219730000000001</v>
      </c>
      <c r="V4993">
        <v>0.1103987</v>
      </c>
      <c r="W4993">
        <v>0.15305479999999999</v>
      </c>
      <c r="X4993">
        <v>0.98203180000000001</v>
      </c>
      <c r="Y4993">
        <v>-5.3216010000000001E-2</v>
      </c>
      <c r="Z4993" s="1">
        <v>9.6965740000000002E-6</v>
      </c>
      <c r="AA4993">
        <v>0.998583</v>
      </c>
      <c r="AB4993">
        <v>31</v>
      </c>
      <c r="AC4993">
        <v>97.014600000000002</v>
      </c>
      <c r="AD4993">
        <v>0.409353999999999</v>
      </c>
      <c r="AE4993">
        <v>7.99805999999999</v>
      </c>
      <c r="AF4993">
        <v>-5.1884719735479496</v>
      </c>
      <c r="AG4993">
        <v>0.409353999999999</v>
      </c>
      <c r="AH4993">
        <v>97.203632663591605</v>
      </c>
      <c r="AI4993">
        <v>89.759054504369701</v>
      </c>
      <c r="AJ4993">
        <v>93.055397120095407</v>
      </c>
      <c r="AK4993">
        <v>97.342868332076904</v>
      </c>
      <c r="AL4993">
        <v>81.196002028952293</v>
      </c>
      <c r="AM4993">
        <v>83.585815447857001</v>
      </c>
      <c r="AN4993">
        <v>1.00000005048798</v>
      </c>
    </row>
    <row r="4994" spans="1:40" x14ac:dyDescent="0.25">
      <c r="A4994" t="str">
        <f>"20190312164608178"</f>
        <v>20190312164608178</v>
      </c>
      <c r="B4994" t="str">
        <f>"1552380368166348"</f>
        <v>1552380368166348</v>
      </c>
      <c r="C4994" t="s">
        <v>40</v>
      </c>
      <c r="D4994">
        <v>4.7807930000000001</v>
      </c>
      <c r="E4994">
        <v>0.44263409999999898</v>
      </c>
      <c r="F4994" t="s">
        <v>64</v>
      </c>
      <c r="G4994">
        <v>-273.40989999999999</v>
      </c>
      <c r="H4994">
        <v>1.40486</v>
      </c>
      <c r="I4994">
        <v>24.55517</v>
      </c>
      <c r="J4994">
        <v>-370.28030000000001</v>
      </c>
      <c r="K4994">
        <v>1.1083259999999999</v>
      </c>
      <c r="L4994">
        <v>16.573270000000001</v>
      </c>
      <c r="M4994">
        <v>0.99954589999999999</v>
      </c>
      <c r="N4994">
        <v>0</v>
      </c>
      <c r="O4994">
        <v>2.90797E-2</v>
      </c>
      <c r="P4994">
        <v>0.98617440000000001</v>
      </c>
      <c r="Q4994">
        <v>0.14440310000000001</v>
      </c>
      <c r="R4994">
        <v>-8.1288199999999894E-2</v>
      </c>
      <c r="S4994">
        <v>3.0621640000000001</v>
      </c>
      <c r="T4994">
        <v>9.3613859999999993E-3</v>
      </c>
      <c r="U4994">
        <v>0.2520752</v>
      </c>
      <c r="V4994">
        <v>0.1098828</v>
      </c>
      <c r="W4994">
        <v>0.15220880000000001</v>
      </c>
      <c r="X4994">
        <v>0.98222109999999996</v>
      </c>
      <c r="Y4994">
        <v>-5.3024399999999999E-2</v>
      </c>
      <c r="Z4994" s="1">
        <v>7.8027510000000002E-6</v>
      </c>
      <c r="AA4994">
        <v>0.99859319999999896</v>
      </c>
      <c r="AB4994">
        <v>31</v>
      </c>
      <c r="AC4994">
        <v>96.870400000000004</v>
      </c>
      <c r="AD4994">
        <v>0.29653400000000002</v>
      </c>
      <c r="AE4994">
        <v>7.9818999999999898</v>
      </c>
      <c r="AF4994">
        <v>-5.1614261586629002</v>
      </c>
      <c r="AG4994">
        <v>0.29653400000000002</v>
      </c>
      <c r="AH4994">
        <v>97.060645688186099</v>
      </c>
      <c r="AI4994">
        <v>89.825200809846194</v>
      </c>
      <c r="AJ4994">
        <v>93.043969562573494</v>
      </c>
      <c r="AK4994">
        <v>97.198236577687396</v>
      </c>
      <c r="AL4994">
        <v>81.245048655351695</v>
      </c>
      <c r="AM4994">
        <v>83.616761554829694</v>
      </c>
      <c r="AN4994">
        <v>1.00000001890924</v>
      </c>
    </row>
    <row r="4995" spans="1:40" x14ac:dyDescent="0.25">
      <c r="A4995" t="str">
        <f>"20190312164608188"</f>
        <v>20190312164608188</v>
      </c>
      <c r="B4995" t="str">
        <f>"1552380368176109"</f>
        <v>1552380368176109</v>
      </c>
      <c r="C4995" t="s">
        <v>40</v>
      </c>
      <c r="D4995">
        <v>4.906161</v>
      </c>
      <c r="E4995">
        <v>0.44296550000000001</v>
      </c>
      <c r="F4995" t="s">
        <v>83</v>
      </c>
      <c r="G4995">
        <v>-279.68</v>
      </c>
      <c r="H4995">
        <v>1.2724770000000001</v>
      </c>
      <c r="I4995">
        <v>24.06129</v>
      </c>
      <c r="J4995">
        <v>-370.1268</v>
      </c>
      <c r="K4995">
        <v>1.108374</v>
      </c>
      <c r="L4995">
        <v>16.57788</v>
      </c>
      <c r="M4995">
        <v>0.99954089999999995</v>
      </c>
      <c r="N4995">
        <v>0</v>
      </c>
      <c r="O4995">
        <v>2.9253600000000001E-2</v>
      </c>
      <c r="P4995">
        <v>0.98644379999999998</v>
      </c>
      <c r="Q4995">
        <v>0.14303089999999999</v>
      </c>
      <c r="R4995">
        <v>-8.0442769999999997E-2</v>
      </c>
      <c r="S4995">
        <v>3.0621339999999999</v>
      </c>
      <c r="T4995">
        <v>5.5481200000000001E-3</v>
      </c>
      <c r="U4995">
        <v>0.25308229999999998</v>
      </c>
      <c r="V4995">
        <v>0.1091985</v>
      </c>
      <c r="W4995">
        <v>0.15085419999999999</v>
      </c>
      <c r="X4995">
        <v>0.98250630000000005</v>
      </c>
      <c r="Y4995">
        <v>-5.3177750000000003E-2</v>
      </c>
      <c r="Z4995" s="1">
        <v>4.7998950000000001E-6</v>
      </c>
      <c r="AA4995">
        <v>0.99858499999999994</v>
      </c>
      <c r="AB4995">
        <v>31</v>
      </c>
      <c r="AC4995">
        <v>90.446799999999996</v>
      </c>
      <c r="AD4995">
        <v>0.164103</v>
      </c>
      <c r="AE4995">
        <v>7.4834099999999903</v>
      </c>
      <c r="AF4995">
        <v>-4.8342144382871197</v>
      </c>
      <c r="AG4995">
        <v>0.164103</v>
      </c>
      <c r="AH4995">
        <v>90.626715525322197</v>
      </c>
      <c r="AI4995">
        <v>89.896398641259395</v>
      </c>
      <c r="AJ4995">
        <v>93.0533803039189</v>
      </c>
      <c r="AK4995">
        <v>90.755705748661498</v>
      </c>
      <c r="AL4995">
        <v>81.323567769325393</v>
      </c>
      <c r="AM4995">
        <v>83.658014831788407</v>
      </c>
      <c r="AN4995">
        <v>0.999999965799789</v>
      </c>
    </row>
    <row r="4996" spans="1:40" x14ac:dyDescent="0.25">
      <c r="A4996" t="str">
        <f>"20190312164608199"</f>
        <v>20190312164608199</v>
      </c>
      <c r="B4996" t="str">
        <f>"1552380368196604"</f>
        <v>1552380368196604</v>
      </c>
      <c r="C4996" t="s">
        <v>40</v>
      </c>
      <c r="D4996">
        <v>4.711678</v>
      </c>
      <c r="E4996">
        <v>0.44329429999999997</v>
      </c>
      <c r="F4996" t="s">
        <v>83</v>
      </c>
      <c r="G4996">
        <v>-279.68</v>
      </c>
      <c r="H4996">
        <v>1.1392409999999999</v>
      </c>
      <c r="I4996">
        <v>24.044419999999999</v>
      </c>
      <c r="J4996">
        <v>-369.98079999999999</v>
      </c>
      <c r="K4996">
        <v>1.108422</v>
      </c>
      <c r="L4996">
        <v>16.582339999999999</v>
      </c>
      <c r="M4996">
        <v>0.99953409999999998</v>
      </c>
      <c r="N4996">
        <v>0</v>
      </c>
      <c r="O4996">
        <v>2.9480070000000001E-2</v>
      </c>
      <c r="P4996">
        <v>0.98667870000000002</v>
      </c>
      <c r="Q4996">
        <v>0.14183380000000001</v>
      </c>
      <c r="R4996">
        <v>-7.9676839999999999E-2</v>
      </c>
      <c r="S4996">
        <v>3.0616759999999998</v>
      </c>
      <c r="T4996">
        <v>1.0449890000000001E-3</v>
      </c>
      <c r="U4996">
        <v>0.25274659999999999</v>
      </c>
      <c r="V4996">
        <v>0.108644699999999</v>
      </c>
      <c r="W4996">
        <v>0.1496738</v>
      </c>
      <c r="X4996">
        <v>0.98274819999999996</v>
      </c>
      <c r="Y4996">
        <v>-5.2855039999999999E-2</v>
      </c>
      <c r="Z4996" s="1">
        <v>1.0362799999999901E-6</v>
      </c>
      <c r="AA4996">
        <v>0.9986022</v>
      </c>
      <c r="AB4996">
        <v>31</v>
      </c>
      <c r="AC4996">
        <v>90.300799999999896</v>
      </c>
      <c r="AD4996">
        <v>3.0818999999999899E-2</v>
      </c>
      <c r="AE4996">
        <v>7.4620800000000003</v>
      </c>
      <c r="AF4996">
        <v>-4.7966788756860801</v>
      </c>
      <c r="AG4996">
        <v>3.0818999999999899E-2</v>
      </c>
      <c r="AH4996">
        <v>90.481529002933698</v>
      </c>
      <c r="AI4996">
        <v>89.980511795765906</v>
      </c>
      <c r="AJ4996">
        <v>93.034568881434097</v>
      </c>
      <c r="AK4996">
        <v>90.608587720789203</v>
      </c>
      <c r="AL4996">
        <v>81.391976476860293</v>
      </c>
      <c r="AM4996">
        <v>83.691458783224803</v>
      </c>
      <c r="AN4996">
        <v>0.99999997092388404</v>
      </c>
    </row>
    <row r="4997" spans="1:40" x14ac:dyDescent="0.25">
      <c r="A4997" t="str">
        <f>"20190312164608209"</f>
        <v>20190312164608209</v>
      </c>
      <c r="B4997" t="str">
        <f>"1552380368206365"</f>
        <v>1552380368206365</v>
      </c>
      <c r="C4997" t="s">
        <v>40</v>
      </c>
      <c r="D4997">
        <v>4.8783510000000003</v>
      </c>
      <c r="E4997">
        <v>0.44329429999999997</v>
      </c>
      <c r="F4997" t="s">
        <v>83</v>
      </c>
      <c r="G4997">
        <v>-279.68</v>
      </c>
      <c r="H4997">
        <v>1.0137350000000001</v>
      </c>
      <c r="I4997">
        <v>24.024139999999999</v>
      </c>
      <c r="J4997">
        <v>-369.8458</v>
      </c>
      <c r="K4997">
        <v>1.108463</v>
      </c>
      <c r="L4997">
        <v>16.586489999999898</v>
      </c>
      <c r="M4997">
        <v>0.99952790000000002</v>
      </c>
      <c r="N4997">
        <v>0</v>
      </c>
      <c r="O4997">
        <v>2.969041E-2</v>
      </c>
      <c r="P4997">
        <v>0.98689499999999997</v>
      </c>
      <c r="Q4997">
        <v>0.14084249999999901</v>
      </c>
      <c r="R4997">
        <v>-7.8753199999999995E-2</v>
      </c>
      <c r="S4997">
        <v>3.06134</v>
      </c>
      <c r="T4997">
        <v>-3.2099490000000001E-3</v>
      </c>
      <c r="U4997">
        <v>0.25228879999999998</v>
      </c>
      <c r="V4997">
        <v>0.10791829999999999</v>
      </c>
      <c r="W4997">
        <v>0.14869869999999999</v>
      </c>
      <c r="X4997">
        <v>0.98297630000000003</v>
      </c>
      <c r="Y4997">
        <v>-5.2505549999999998E-2</v>
      </c>
      <c r="Z4997" s="1">
        <v>-3.586465E-6</v>
      </c>
      <c r="AA4997">
        <v>0.99862059999999997</v>
      </c>
      <c r="AB4997">
        <v>31</v>
      </c>
      <c r="AC4997">
        <v>90.165800000000004</v>
      </c>
      <c r="AD4997">
        <v>-9.4727999999999896E-2</v>
      </c>
      <c r="AE4997">
        <v>7.4376499999999997</v>
      </c>
      <c r="AF4997">
        <v>-4.7572224627641102</v>
      </c>
      <c r="AG4997">
        <v>-9.4727999999999896E-2</v>
      </c>
      <c r="AH4997">
        <v>90.346781983885904</v>
      </c>
      <c r="AI4997">
        <v>90.059991114752506</v>
      </c>
      <c r="AJ4997">
        <v>93.014133727853306</v>
      </c>
      <c r="AK4997">
        <v>90.471990990571399</v>
      </c>
      <c r="AL4997">
        <v>81.448478445207598</v>
      </c>
      <c r="AM4997">
        <v>83.734743706318099</v>
      </c>
      <c r="AN4997">
        <v>1.00000003460913</v>
      </c>
    </row>
    <row r="4998" spans="1:40" x14ac:dyDescent="0.25">
      <c r="A4998" t="str">
        <f>"20190312164608220"</f>
        <v>20190312164608220</v>
      </c>
      <c r="B4998" t="str">
        <f>"1552380368216125"</f>
        <v>1552380368216125</v>
      </c>
      <c r="C4998" t="s">
        <v>40</v>
      </c>
      <c r="D4998">
        <v>4.8161120000000004</v>
      </c>
      <c r="E4998">
        <v>0.44324479999999999</v>
      </c>
      <c r="F4998" t="s">
        <v>83</v>
      </c>
      <c r="G4998">
        <v>-279.68</v>
      </c>
      <c r="H4998">
        <v>0.91770200000000002</v>
      </c>
      <c r="I4998">
        <v>24.098659999999999</v>
      </c>
      <c r="J4998">
        <v>-369.69279999999998</v>
      </c>
      <c r="K4998">
        <v>1.1085100000000001</v>
      </c>
      <c r="L4998">
        <v>16.591279999999902</v>
      </c>
      <c r="M4998">
        <v>0.99951909999999999</v>
      </c>
      <c r="N4998">
        <v>0</v>
      </c>
      <c r="O4998">
        <v>2.998112E-2</v>
      </c>
      <c r="P4998">
        <v>0.9870681</v>
      </c>
      <c r="Q4998">
        <v>0.1401973</v>
      </c>
      <c r="R4998">
        <v>-7.7725050000000004E-2</v>
      </c>
      <c r="S4998">
        <v>3.061096</v>
      </c>
      <c r="T4998">
        <v>-6.4761640000000004E-3</v>
      </c>
      <c r="U4998">
        <v>0.25503540000000002</v>
      </c>
      <c r="V4998">
        <v>0.1071641</v>
      </c>
      <c r="W4998">
        <v>0.1480697</v>
      </c>
      <c r="X4998">
        <v>0.98315370000000002</v>
      </c>
      <c r="Y4998">
        <v>-5.3111470000000001E-2</v>
      </c>
      <c r="Z4998" s="1">
        <v>-7.2094589999999997E-6</v>
      </c>
      <c r="AA4998">
        <v>0.99858860000000005</v>
      </c>
      <c r="AB4998">
        <v>31</v>
      </c>
      <c r="AC4998">
        <v>90.012799999999899</v>
      </c>
      <c r="AD4998">
        <v>-0.19080800000000001</v>
      </c>
      <c r="AE4998">
        <v>7.5073800000000004</v>
      </c>
      <c r="AF4998">
        <v>-4.8052143488943502</v>
      </c>
      <c r="AG4998">
        <v>-0.19080800000000001</v>
      </c>
      <c r="AH4998">
        <v>90.197017791428294</v>
      </c>
      <c r="AI4998">
        <v>90.121034994682901</v>
      </c>
      <c r="AJ4998">
        <v>93.049529603928704</v>
      </c>
      <c r="AK4998">
        <v>90.325126687422497</v>
      </c>
      <c r="AL4998">
        <v>81.484920525355506</v>
      </c>
      <c r="AM4998">
        <v>83.779298466761105</v>
      </c>
      <c r="AN4998">
        <v>0.99999998910529397</v>
      </c>
    </row>
    <row r="4999" spans="1:40" x14ac:dyDescent="0.25">
      <c r="A4999" t="str">
        <f>"20190312164608232"</f>
        <v>20190312164608232</v>
      </c>
      <c r="B4999" t="str">
        <f>"1552380368226861"</f>
        <v>1552380368226861</v>
      </c>
      <c r="C4999" t="s">
        <v>40</v>
      </c>
      <c r="D4999">
        <v>4.8057819999999998</v>
      </c>
      <c r="E4999">
        <v>0.44279639999999998</v>
      </c>
      <c r="F4999" t="s">
        <v>42</v>
      </c>
      <c r="G4999">
        <v>-341.09280000000001</v>
      </c>
      <c r="H4999" s="1">
        <v>-3.8982680000000004E-6</v>
      </c>
      <c r="I4999">
        <v>19.081939999999999</v>
      </c>
      <c r="J4999">
        <v>-369.51609999999999</v>
      </c>
      <c r="K4999">
        <v>1.1085640000000001</v>
      </c>
      <c r="L4999">
        <v>16.596889999999998</v>
      </c>
      <c r="M4999">
        <v>0.99950850000000002</v>
      </c>
      <c r="N4999">
        <v>0</v>
      </c>
      <c r="O4999">
        <v>3.0332069999999999E-2</v>
      </c>
      <c r="P4999">
        <v>0.98721440000000005</v>
      </c>
      <c r="Q4999">
        <v>0.13966589999999901</v>
      </c>
      <c r="R4999">
        <v>-7.6819700000000005E-2</v>
      </c>
      <c r="S4999">
        <v>3.0773929999999998</v>
      </c>
      <c r="T4999">
        <v>-0.1192768</v>
      </c>
      <c r="U4999">
        <v>0.2680054</v>
      </c>
      <c r="V4999">
        <v>0.106589</v>
      </c>
      <c r="W4999">
        <v>0.14755699999999999</v>
      </c>
      <c r="X4999">
        <v>0.98329330000000004</v>
      </c>
      <c r="Y4999">
        <v>-5.6482020000000001E-2</v>
      </c>
      <c r="Z4999" s="1">
        <v>-8.0379769999999997E-5</v>
      </c>
      <c r="AA4999">
        <v>0.99840359999999995</v>
      </c>
      <c r="AB4999">
        <v>31</v>
      </c>
      <c r="AC4999">
        <v>28.423299999999902</v>
      </c>
      <c r="AD4999">
        <v>-1.1085678982679901</v>
      </c>
      <c r="AE4999">
        <v>2.4850500000000002</v>
      </c>
      <c r="AF4999">
        <v>-1.61929740610569</v>
      </c>
      <c r="AG4999">
        <v>-1.1085678982679901</v>
      </c>
      <c r="AH4999">
        <v>28.442662343410198</v>
      </c>
      <c r="AI4999">
        <v>92.228398910316002</v>
      </c>
      <c r="AJ4999">
        <v>93.258445380064103</v>
      </c>
      <c r="AK4999">
        <v>28.510280392443299</v>
      </c>
      <c r="AL4999">
        <v>81.514622418732003</v>
      </c>
      <c r="AM4999">
        <v>83.813294089323605</v>
      </c>
      <c r="AN4999">
        <v>0.99999999849744503</v>
      </c>
    </row>
    <row r="5000" spans="1:40" x14ac:dyDescent="0.25">
      <c r="A5000" t="str">
        <f>"20190312164608243"</f>
        <v>20190312164608243</v>
      </c>
      <c r="B5000" t="str">
        <f>"1552380368236620"</f>
        <v>1552380368236620</v>
      </c>
      <c r="C5000" t="s">
        <v>40</v>
      </c>
      <c r="D5000">
        <v>4.87575</v>
      </c>
      <c r="E5000">
        <v>0.44315310000000002</v>
      </c>
      <c r="F5000" t="s">
        <v>42</v>
      </c>
      <c r="G5000">
        <v>-338.29270000000002</v>
      </c>
      <c r="H5000" s="1">
        <v>-7.5838830000000003E-7</v>
      </c>
      <c r="I5000">
        <v>19.3703</v>
      </c>
      <c r="J5000">
        <v>-369.36250000000001</v>
      </c>
      <c r="K5000">
        <v>1.108606</v>
      </c>
      <c r="L5000">
        <v>16.601870000000002</v>
      </c>
      <c r="M5000">
        <v>0.9994982</v>
      </c>
      <c r="N5000">
        <v>0</v>
      </c>
      <c r="O5000">
        <v>3.066806E-2</v>
      </c>
      <c r="P5000">
        <v>0.98738179999999998</v>
      </c>
      <c r="Q5000">
        <v>0.1390265</v>
      </c>
      <c r="R5000">
        <v>-7.5821730000000004E-2</v>
      </c>
      <c r="S5000">
        <v>3.0755620000000001</v>
      </c>
      <c r="T5000">
        <v>-0.1091955</v>
      </c>
      <c r="U5000">
        <v>0.27319339999999998</v>
      </c>
      <c r="V5000">
        <v>0.1059121</v>
      </c>
      <c r="W5000">
        <v>0.14693489999999901</v>
      </c>
      <c r="X5000">
        <v>0.98345959999999999</v>
      </c>
      <c r="Y5000">
        <v>-5.787142E-2</v>
      </c>
      <c r="Z5000" s="1">
        <v>-6.0903019999999997E-5</v>
      </c>
      <c r="AA5000">
        <v>0.99832399999999999</v>
      </c>
      <c r="AB5000">
        <v>31</v>
      </c>
      <c r="AC5000">
        <v>31.069799999999901</v>
      </c>
      <c r="AD5000">
        <v>-1.1086067583882999</v>
      </c>
      <c r="AE5000">
        <v>2.7684299999999902</v>
      </c>
      <c r="AF5000">
        <v>-1.8119585798447999</v>
      </c>
      <c r="AG5000">
        <v>-1.1086067583882999</v>
      </c>
      <c r="AH5000">
        <v>31.100805684688499</v>
      </c>
      <c r="AI5000">
        <v>92.038024862716497</v>
      </c>
      <c r="AJ5000">
        <v>93.334330161323194</v>
      </c>
      <c r="AK5000">
        <v>31.173262855796299</v>
      </c>
      <c r="AL5000">
        <v>81.550659033992005</v>
      </c>
      <c r="AM5000">
        <v>83.853312938973303</v>
      </c>
      <c r="AN5000">
        <v>1.0000000112982801</v>
      </c>
    </row>
    <row r="5001" spans="1:40" x14ac:dyDescent="0.25">
      <c r="A5001" t="str">
        <f>"20190312164608255"</f>
        <v>20190312164608255</v>
      </c>
      <c r="B5001" t="str">
        <f>"1552380368246380"</f>
        <v>1552380368246380</v>
      </c>
      <c r="C5001" t="s">
        <v>40</v>
      </c>
      <c r="D5001">
        <v>4.8217080000000001</v>
      </c>
      <c r="E5001">
        <v>0.44311319999999998</v>
      </c>
      <c r="F5001" t="s">
        <v>42</v>
      </c>
      <c r="G5001">
        <v>-339.3972</v>
      </c>
      <c r="H5001" s="1">
        <v>-3.0307680000000002E-7</v>
      </c>
      <c r="I5001">
        <v>19.26576</v>
      </c>
      <c r="J5001">
        <v>-369.19709999999998</v>
      </c>
      <c r="K5001">
        <v>1.108649</v>
      </c>
      <c r="L5001">
        <v>16.60727</v>
      </c>
      <c r="M5001">
        <v>0.9994864</v>
      </c>
      <c r="N5001">
        <v>0</v>
      </c>
      <c r="O5001">
        <v>3.1049799999999999E-2</v>
      </c>
      <c r="P5001">
        <v>0.98751650000000002</v>
      </c>
      <c r="Q5001">
        <v>0.13862739999999901</v>
      </c>
      <c r="R5001">
        <v>-7.4793070000000003E-2</v>
      </c>
      <c r="S5001">
        <v>3.0753780000000002</v>
      </c>
      <c r="T5001">
        <v>-0.1137775</v>
      </c>
      <c r="U5001">
        <v>0.27340700000000001</v>
      </c>
      <c r="V5001">
        <v>0.1052488</v>
      </c>
      <c r="W5001">
        <v>0.1465562</v>
      </c>
      <c r="X5001">
        <v>0.98358730000000005</v>
      </c>
      <c r="Y5001">
        <v>-5.7563179999999999E-2</v>
      </c>
      <c r="Z5001" s="1">
        <v>-8.3225079999999996E-5</v>
      </c>
      <c r="AA5001">
        <v>0.9983419</v>
      </c>
      <c r="AB5001">
        <v>31</v>
      </c>
      <c r="AC5001">
        <v>29.799899999999901</v>
      </c>
      <c r="AD5001">
        <v>-1.1086493030768001</v>
      </c>
      <c r="AE5001">
        <v>2.65849</v>
      </c>
      <c r="AF5001">
        <v>-1.7295232027576399</v>
      </c>
      <c r="AG5001">
        <v>-1.1086493030768001</v>
      </c>
      <c r="AH5001">
        <v>29.8271219861976</v>
      </c>
      <c r="AI5001">
        <v>92.125090261863903</v>
      </c>
      <c r="AJ5001">
        <v>93.3185750739394</v>
      </c>
      <c r="AK5001">
        <v>29.897785198331999</v>
      </c>
      <c r="AL5001">
        <v>81.572594343160901</v>
      </c>
      <c r="AM5001">
        <v>83.892303176975204</v>
      </c>
      <c r="AN5001">
        <v>1.00000000319058</v>
      </c>
    </row>
    <row r="5002" spans="1:40" x14ac:dyDescent="0.25">
      <c r="A5002" t="str">
        <f>"20190312164608264"</f>
        <v>20190312164608264</v>
      </c>
      <c r="B5002" t="str">
        <f>"1552380368256140"</f>
        <v>1552380368256140</v>
      </c>
      <c r="C5002" t="s">
        <v>40</v>
      </c>
      <c r="D5002">
        <v>4.7739560000000001</v>
      </c>
      <c r="E5002">
        <v>0.44270880000000001</v>
      </c>
      <c r="F5002" t="s">
        <v>42</v>
      </c>
      <c r="G5002">
        <v>-338.9228</v>
      </c>
      <c r="H5002" s="1">
        <v>-4.956489E-7</v>
      </c>
      <c r="I5002">
        <v>19.32752</v>
      </c>
      <c r="J5002">
        <v>-369.05110000000002</v>
      </c>
      <c r="K5002">
        <v>1.1086830000000001</v>
      </c>
      <c r="L5002">
        <v>16.61206</v>
      </c>
      <c r="M5002">
        <v>0.99947549999999996</v>
      </c>
      <c r="N5002">
        <v>0</v>
      </c>
      <c r="O5002">
        <v>3.1400989999999997E-2</v>
      </c>
      <c r="P5002">
        <v>0.98762510000000003</v>
      </c>
      <c r="Q5002">
        <v>0.13834089999999999</v>
      </c>
      <c r="R5002">
        <v>-7.3883879999999999E-2</v>
      </c>
      <c r="S5002">
        <v>3.074646</v>
      </c>
      <c r="T5002">
        <v>-0.11259379999999999</v>
      </c>
      <c r="U5002">
        <v>0.27627560000000001</v>
      </c>
      <c r="V5002">
        <v>0.10467750000000001</v>
      </c>
      <c r="W5002">
        <v>0.14628969999999999</v>
      </c>
      <c r="X5002">
        <v>0.98368789999999995</v>
      </c>
      <c r="Y5002">
        <v>-5.815762E-2</v>
      </c>
      <c r="Z5002" s="1">
        <v>-8.4330210000000002E-5</v>
      </c>
      <c r="AA5002">
        <v>0.99830739999999996</v>
      </c>
      <c r="AB5002">
        <v>31</v>
      </c>
      <c r="AC5002">
        <v>30.128299999999999</v>
      </c>
      <c r="AD5002">
        <v>-1.1086834956489</v>
      </c>
      <c r="AE5002">
        <v>2.71545999999999</v>
      </c>
      <c r="AF5002">
        <v>-1.76566102643937</v>
      </c>
      <c r="AG5002">
        <v>-1.1086834956489</v>
      </c>
      <c r="AH5002">
        <v>30.1582030504076</v>
      </c>
      <c r="AI5002">
        <v>92.101778025955298</v>
      </c>
      <c r="AJ5002">
        <v>93.350649702745997</v>
      </c>
      <c r="AK5002">
        <v>30.230182751406399</v>
      </c>
      <c r="AL5002">
        <v>81.588029751580294</v>
      </c>
      <c r="AM5002">
        <v>83.925824353703305</v>
      </c>
      <c r="AN5002">
        <v>0.99999996996937401</v>
      </c>
    </row>
    <row r="5003" spans="1:40" x14ac:dyDescent="0.25">
      <c r="A5003" t="str">
        <f>"20190312164608276"</f>
        <v>20190312164608276</v>
      </c>
      <c r="B5003" t="str">
        <f>"1552380368266876"</f>
        <v>1552380368266876</v>
      </c>
      <c r="C5003" t="s">
        <v>40</v>
      </c>
      <c r="D5003">
        <v>5.1718460000000004</v>
      </c>
      <c r="E5003">
        <v>0.44206499999999999</v>
      </c>
      <c r="F5003" t="s">
        <v>42</v>
      </c>
      <c r="G5003">
        <v>-341.62720000000002</v>
      </c>
      <c r="H5003" s="1">
        <v>-3.6602460000000001E-6</v>
      </c>
      <c r="I5003">
        <v>19.1313</v>
      </c>
      <c r="J5003">
        <v>-368.8997</v>
      </c>
      <c r="K5003">
        <v>1.1087149999999999</v>
      </c>
      <c r="L5003">
        <v>16.617190000000001</v>
      </c>
      <c r="M5003">
        <v>0.9994632</v>
      </c>
      <c r="N5003">
        <v>0</v>
      </c>
      <c r="O5003">
        <v>3.1781200000000003E-2</v>
      </c>
      <c r="P5003">
        <v>0.98776079999999999</v>
      </c>
      <c r="Q5003">
        <v>0.13796710000000001</v>
      </c>
      <c r="R5003">
        <v>-7.2758619999999996E-2</v>
      </c>
      <c r="S5003">
        <v>3.0761409999999998</v>
      </c>
      <c r="T5003">
        <v>-0.1243614</v>
      </c>
      <c r="U5003">
        <v>0.28259279999999998</v>
      </c>
      <c r="V5003">
        <v>0.1039219</v>
      </c>
      <c r="W5003">
        <v>0.14593970000000001</v>
      </c>
      <c r="X5003">
        <v>0.98382000000000003</v>
      </c>
      <c r="Y5003">
        <v>-5.976298E-2</v>
      </c>
      <c r="Z5003" s="1">
        <v>-7.6021070000000001E-5</v>
      </c>
      <c r="AA5003">
        <v>0.99821260000000001</v>
      </c>
      <c r="AB5003">
        <v>31</v>
      </c>
      <c r="AC5003">
        <v>27.272499999999901</v>
      </c>
      <c r="AD5003">
        <v>-1.108718660246</v>
      </c>
      <c r="AE5003">
        <v>2.5141099999999899</v>
      </c>
      <c r="AF5003">
        <v>-1.6433666219749701</v>
      </c>
      <c r="AG5003">
        <v>-1.108718660246</v>
      </c>
      <c r="AH5003">
        <v>27.2938979916769</v>
      </c>
      <c r="AI5003">
        <v>92.321960305746003</v>
      </c>
      <c r="AJ5003">
        <v>93.445621306838603</v>
      </c>
      <c r="AK5003">
        <v>27.365795776879299</v>
      </c>
      <c r="AL5003">
        <v>81.608300872748799</v>
      </c>
      <c r="AM5003">
        <v>83.9701494574158</v>
      </c>
      <c r="AN5003">
        <v>0.99999997486784897</v>
      </c>
    </row>
    <row r="5004" spans="1:40" x14ac:dyDescent="0.25">
      <c r="A5004" t="str">
        <f>"20190312164608286"</f>
        <v>20190312164608286</v>
      </c>
      <c r="B5004" t="str">
        <f>"1552380368276637"</f>
        <v>1552380368276637</v>
      </c>
      <c r="C5004" t="s">
        <v>40</v>
      </c>
      <c r="D5004">
        <v>4.9471369999999997</v>
      </c>
      <c r="E5004">
        <v>0.44225209999999998</v>
      </c>
      <c r="F5004" t="s">
        <v>42</v>
      </c>
      <c r="G5004">
        <v>-342.66079999999999</v>
      </c>
      <c r="H5004" s="1">
        <v>-3.222668E-6</v>
      </c>
      <c r="I5004">
        <v>19.098420000000001</v>
      </c>
      <c r="J5004">
        <v>-368.74590000000001</v>
      </c>
      <c r="K5004">
        <v>1.108744</v>
      </c>
      <c r="L5004">
        <v>16.62238</v>
      </c>
      <c r="M5004">
        <v>0.99945059999999997</v>
      </c>
      <c r="N5004">
        <v>0</v>
      </c>
      <c r="O5004">
        <v>3.2173970000000003E-2</v>
      </c>
      <c r="P5004">
        <v>0.98790480000000003</v>
      </c>
      <c r="Q5004">
        <v>0.13752779999999901</v>
      </c>
      <c r="R5004">
        <v>-7.1626410000000001E-2</v>
      </c>
      <c r="S5004">
        <v>3.076721</v>
      </c>
      <c r="T5004">
        <v>-0.13000599999999901</v>
      </c>
      <c r="U5004">
        <v>0.29095460000000001</v>
      </c>
      <c r="V5004">
        <v>0.1031729</v>
      </c>
      <c r="W5004">
        <v>0.14552590000000001</v>
      </c>
      <c r="X5004">
        <v>0.98396019999999895</v>
      </c>
      <c r="Y5004">
        <v>-6.2039200000000003E-2</v>
      </c>
      <c r="Z5004" s="1">
        <v>-4.8000600000000003E-5</v>
      </c>
      <c r="AA5004">
        <v>0.99807369999999995</v>
      </c>
      <c r="AB5004">
        <v>32</v>
      </c>
      <c r="AC5004">
        <v>26.085100000000001</v>
      </c>
      <c r="AD5004">
        <v>-1.108747222668</v>
      </c>
      <c r="AE5004">
        <v>2.4760399999999998</v>
      </c>
      <c r="AF5004">
        <v>-1.6325470854488799</v>
      </c>
      <c r="AG5004">
        <v>-1.108747222668</v>
      </c>
      <c r="AH5004">
        <v>26.104519781413</v>
      </c>
      <c r="AI5004">
        <v>92.427347220618302</v>
      </c>
      <c r="AJ5004">
        <v>93.578552608152293</v>
      </c>
      <c r="AK5004">
        <v>26.179008449675202</v>
      </c>
      <c r="AL5004">
        <v>81.632266391626501</v>
      </c>
      <c r="AM5004">
        <v>84.0141386801142</v>
      </c>
      <c r="AN5004">
        <v>1.00000005502462</v>
      </c>
    </row>
    <row r="5005" spans="1:40" x14ac:dyDescent="0.25">
      <c r="A5005" t="str">
        <f>"20190312164608299"</f>
        <v>20190312164608299</v>
      </c>
      <c r="B5005" t="str">
        <f>"1552380368286397"</f>
        <v>1552380368286397</v>
      </c>
      <c r="C5005" t="s">
        <v>40</v>
      </c>
      <c r="D5005">
        <v>4.7707739999999896</v>
      </c>
      <c r="E5005">
        <v>0.44219429999999998</v>
      </c>
      <c r="F5005" t="s">
        <v>42</v>
      </c>
      <c r="G5005">
        <v>-342.44009999999997</v>
      </c>
      <c r="H5005" s="1">
        <v>-3.3128810000000002E-6</v>
      </c>
      <c r="I5005">
        <v>19.12359</v>
      </c>
      <c r="J5005">
        <v>-368.589</v>
      </c>
      <c r="K5005">
        <v>1.108768</v>
      </c>
      <c r="L5005">
        <v>16.627839999999999</v>
      </c>
      <c r="M5005">
        <v>0.99943689999999996</v>
      </c>
      <c r="N5005">
        <v>0</v>
      </c>
      <c r="O5005">
        <v>3.2587449999999997E-2</v>
      </c>
      <c r="P5005">
        <v>0.98803350000000001</v>
      </c>
      <c r="Q5005">
        <v>0.13717879999999999</v>
      </c>
      <c r="R5005">
        <v>-7.0513629999999994E-2</v>
      </c>
      <c r="S5005">
        <v>3.0759889999999999</v>
      </c>
      <c r="T5005">
        <v>-0.1296475</v>
      </c>
      <c r="U5005">
        <v>0.29248049999999998</v>
      </c>
      <c r="V5005">
        <v>0.1024656</v>
      </c>
      <c r="W5005">
        <v>0.145207</v>
      </c>
      <c r="X5005">
        <v>0.98408110000000004</v>
      </c>
      <c r="Y5005">
        <v>-6.2139649999999998E-2</v>
      </c>
      <c r="Z5005" s="1">
        <v>-6.3126790000000006E-5</v>
      </c>
      <c r="AA5005">
        <v>0.99806740000000005</v>
      </c>
      <c r="AB5005">
        <v>32</v>
      </c>
      <c r="AC5005">
        <v>26.148900000000001</v>
      </c>
      <c r="AD5005">
        <v>-1.1087713128809999</v>
      </c>
      <c r="AE5005">
        <v>2.4957500000000001</v>
      </c>
      <c r="AF5005">
        <v>-1.63935031803467</v>
      </c>
      <c r="AG5005">
        <v>-1.1087713128809999</v>
      </c>
      <c r="AH5005">
        <v>26.169716807271801</v>
      </c>
      <c r="AI5005">
        <v>92.421343978924398</v>
      </c>
      <c r="AJ5005">
        <v>93.584497349654896</v>
      </c>
      <c r="AK5005">
        <v>26.244445527812399</v>
      </c>
      <c r="AL5005">
        <v>81.650733228907797</v>
      </c>
      <c r="AM5005">
        <v>84.055604896196698</v>
      </c>
      <c r="AN5005">
        <v>0.99999994170478301</v>
      </c>
    </row>
    <row r="5006" spans="1:40" x14ac:dyDescent="0.25">
      <c r="A5006" t="str">
        <f>"20190312164608310"</f>
        <v>20190312164608310</v>
      </c>
      <c r="B5006" t="str">
        <f>"1552380368306893"</f>
        <v>1552380368306893</v>
      </c>
      <c r="C5006" t="s">
        <v>40</v>
      </c>
      <c r="D5006">
        <v>4.9485720000000004</v>
      </c>
      <c r="E5006">
        <v>0.44278390000000001</v>
      </c>
      <c r="F5006" t="s">
        <v>42</v>
      </c>
      <c r="G5006">
        <v>-344.76389999999998</v>
      </c>
      <c r="H5006" s="1">
        <v>-2.3506E-6</v>
      </c>
      <c r="I5006">
        <v>18.9285</v>
      </c>
      <c r="J5006">
        <v>-368.42630000000003</v>
      </c>
      <c r="K5006">
        <v>1.1087849999999999</v>
      </c>
      <c r="L5006">
        <v>16.633479999999999</v>
      </c>
      <c r="M5006">
        <v>0.99942260000000005</v>
      </c>
      <c r="N5006">
        <v>0</v>
      </c>
      <c r="O5006">
        <v>3.3018449999999998E-2</v>
      </c>
      <c r="P5006">
        <v>0.98819380000000001</v>
      </c>
      <c r="Q5006">
        <v>0.1365662</v>
      </c>
      <c r="R5006">
        <v>-6.9446690000000005E-2</v>
      </c>
      <c r="S5006">
        <v>3.077423</v>
      </c>
      <c r="T5006">
        <v>-0.14321629999999999</v>
      </c>
      <c r="U5006">
        <v>0.29718020000000001</v>
      </c>
      <c r="V5006">
        <v>0.1018236</v>
      </c>
      <c r="W5006">
        <v>0.1446277</v>
      </c>
      <c r="X5006">
        <v>0.98423309999999997</v>
      </c>
      <c r="Y5006">
        <v>-6.3169379999999997E-2</v>
      </c>
      <c r="Z5006" s="1">
        <v>-6.5764760000000002E-5</v>
      </c>
      <c r="AA5006">
        <v>0.99800279999999997</v>
      </c>
      <c r="AB5006">
        <v>32</v>
      </c>
      <c r="AC5006">
        <v>23.662400000000002</v>
      </c>
      <c r="AD5006">
        <v>-1.1087873506000001</v>
      </c>
      <c r="AE5006">
        <v>2.2950200000000001</v>
      </c>
      <c r="AF5006">
        <v>-1.5091648346428601</v>
      </c>
      <c r="AG5006">
        <v>-1.1087873506000001</v>
      </c>
      <c r="AH5006">
        <v>23.673780706930799</v>
      </c>
      <c r="AI5006">
        <v>92.676126469558298</v>
      </c>
      <c r="AJ5006">
        <v>93.647576586842703</v>
      </c>
      <c r="AK5006">
        <v>23.747734225538601</v>
      </c>
      <c r="AL5006">
        <v>81.684279330877402</v>
      </c>
      <c r="AM5006">
        <v>84.093491257139902</v>
      </c>
      <c r="AN5006">
        <v>1.0000000061299299</v>
      </c>
    </row>
    <row r="5007" spans="1:40" x14ac:dyDescent="0.25">
      <c r="A5007" t="str">
        <f>"20190312164608322"</f>
        <v>20190312164608322</v>
      </c>
      <c r="B5007" t="str">
        <f>"1552380368316652"</f>
        <v>1552380368316652</v>
      </c>
      <c r="C5007" t="s">
        <v>40</v>
      </c>
      <c r="D5007">
        <v>4.8892790000000002</v>
      </c>
      <c r="E5007">
        <v>0.44321700000000003</v>
      </c>
      <c r="F5007" t="s">
        <v>42</v>
      </c>
      <c r="G5007">
        <v>-343.64319999999998</v>
      </c>
      <c r="H5007" s="1">
        <v>-2.8168170000000001E-6</v>
      </c>
      <c r="I5007">
        <v>19.010400000000001</v>
      </c>
      <c r="J5007">
        <v>-368.25220000000002</v>
      </c>
      <c r="K5007">
        <v>1.1088039999999999</v>
      </c>
      <c r="L5007">
        <v>16.639679999999998</v>
      </c>
      <c r="M5007">
        <v>0.99940669999999998</v>
      </c>
      <c r="N5007">
        <v>0</v>
      </c>
      <c r="O5007">
        <v>3.3486380000000003E-2</v>
      </c>
      <c r="P5007">
        <v>0.98833959999999998</v>
      </c>
      <c r="Q5007">
        <v>0.13599890000000001</v>
      </c>
      <c r="R5007">
        <v>-6.8478380000000005E-2</v>
      </c>
      <c r="S5007">
        <v>3.0755620000000001</v>
      </c>
      <c r="T5007">
        <v>-0.1375992</v>
      </c>
      <c r="U5007">
        <v>0.29498289999999999</v>
      </c>
      <c r="V5007">
        <v>0.1013178</v>
      </c>
      <c r="W5007">
        <v>0.14410390000000001</v>
      </c>
      <c r="X5007">
        <v>0.98436210000000002</v>
      </c>
      <c r="Y5007">
        <v>-6.205741E-2</v>
      </c>
      <c r="Z5007">
        <v>-1.088901E-4</v>
      </c>
      <c r="AA5007">
        <v>0.99807259999999998</v>
      </c>
      <c r="AB5007">
        <v>32</v>
      </c>
      <c r="AC5007">
        <v>24.609000000000002</v>
      </c>
      <c r="AD5007">
        <v>-1.108806816817</v>
      </c>
      <c r="AE5007">
        <v>2.3707199999999999</v>
      </c>
      <c r="AF5007">
        <v>-1.5421952122173599</v>
      </c>
      <c r="AG5007">
        <v>-1.108806816817</v>
      </c>
      <c r="AH5007">
        <v>24.625054766996801</v>
      </c>
      <c r="AI5007">
        <v>92.573114962250898</v>
      </c>
      <c r="AJ5007">
        <v>93.583586988655497</v>
      </c>
      <c r="AK5007">
        <v>24.698201167437201</v>
      </c>
      <c r="AL5007">
        <v>81.714608420281493</v>
      </c>
      <c r="AM5007">
        <v>84.123390271996598</v>
      </c>
      <c r="AN5007">
        <v>0.99999998725422901</v>
      </c>
    </row>
    <row r="5008" spans="1:40" x14ac:dyDescent="0.25">
      <c r="A5008" t="str">
        <f>"20190312164608335"</f>
        <v>20190312164608335</v>
      </c>
      <c r="B5008" t="str">
        <f>"1552380368326413"</f>
        <v>1552380368326413</v>
      </c>
      <c r="C5008" t="s">
        <v>40</v>
      </c>
      <c r="D5008">
        <v>9.490297</v>
      </c>
      <c r="E5008">
        <v>0.4436158</v>
      </c>
      <c r="F5008" t="s">
        <v>42</v>
      </c>
      <c r="G5008">
        <v>-342.0779</v>
      </c>
      <c r="H5008" s="1">
        <v>-3.465167E-6</v>
      </c>
      <c r="I5008">
        <v>19.141159999999999</v>
      </c>
      <c r="J5008">
        <v>-368.07409999999999</v>
      </c>
      <c r="K5008">
        <v>1.108824</v>
      </c>
      <c r="L5008">
        <v>16.646059999999999</v>
      </c>
      <c r="M5008">
        <v>0.99939009999999995</v>
      </c>
      <c r="N5008">
        <v>0</v>
      </c>
      <c r="O5008">
        <v>3.3965370000000002E-2</v>
      </c>
      <c r="P5008">
        <v>0.98841730000000005</v>
      </c>
      <c r="Q5008">
        <v>0.13591149999999999</v>
      </c>
      <c r="R5008">
        <v>-6.7525080000000001E-2</v>
      </c>
      <c r="S5008">
        <v>3.0737000000000001</v>
      </c>
      <c r="T5008">
        <v>-0.13020909999999999</v>
      </c>
      <c r="U5008">
        <v>0.29376219999999997</v>
      </c>
      <c r="V5008">
        <v>0.1008353</v>
      </c>
      <c r="W5008">
        <v>0.14406289999999999</v>
      </c>
      <c r="X5008">
        <v>0.98441769999999995</v>
      </c>
      <c r="Y5008">
        <v>-6.1247759999999998E-2</v>
      </c>
      <c r="Z5008">
        <v>-1.404283E-4</v>
      </c>
      <c r="AA5008">
        <v>0.99812259999999997</v>
      </c>
      <c r="AB5008">
        <v>32</v>
      </c>
      <c r="AC5008">
        <v>25.996199999999899</v>
      </c>
      <c r="AD5008">
        <v>-1.108827465167</v>
      </c>
      <c r="AE5008">
        <v>2.4950999999999901</v>
      </c>
      <c r="AF5008">
        <v>-1.6077623350761301</v>
      </c>
      <c r="AG5008">
        <v>-1.108827465167</v>
      </c>
      <c r="AH5008">
        <v>26.019044474540799</v>
      </c>
      <c r="AI5008">
        <v>92.435600311011498</v>
      </c>
      <c r="AJ5008">
        <v>93.535910857045707</v>
      </c>
      <c r="AK5008">
        <v>26.0922416331317</v>
      </c>
      <c r="AL5008">
        <v>81.716982778221706</v>
      </c>
      <c r="AM5008">
        <v>84.151509695349105</v>
      </c>
      <c r="AN5008">
        <v>1.0000000424778901</v>
      </c>
    </row>
    <row r="5009" spans="1:40" x14ac:dyDescent="0.25">
      <c r="A5009" t="str">
        <f>"20190312164608346"</f>
        <v>20190312164608346</v>
      </c>
      <c r="B5009" t="str">
        <f>"1552380368336173"</f>
        <v>1552380368336173</v>
      </c>
      <c r="C5009" t="s">
        <v>40</v>
      </c>
      <c r="D5009">
        <v>4.7370919999999996</v>
      </c>
      <c r="E5009">
        <v>0.44400590000000001</v>
      </c>
      <c r="F5009" t="s">
        <v>42</v>
      </c>
      <c r="G5009">
        <v>-340.35340000000002</v>
      </c>
      <c r="H5009" s="1">
        <v>-4.1788469999999999E-6</v>
      </c>
      <c r="I5009">
        <v>19.288229999999999</v>
      </c>
      <c r="J5009">
        <v>-367.8954</v>
      </c>
      <c r="K5009">
        <v>1.1088439999999999</v>
      </c>
      <c r="L5009">
        <v>16.652529999999999</v>
      </c>
      <c r="M5009">
        <v>0.99937319999999996</v>
      </c>
      <c r="N5009">
        <v>0</v>
      </c>
      <c r="O5009">
        <v>3.4446949999999997E-2</v>
      </c>
      <c r="P5009">
        <v>0.98850289999999996</v>
      </c>
      <c r="Q5009">
        <v>0.1357516</v>
      </c>
      <c r="R5009">
        <v>-6.6587339999999995E-2</v>
      </c>
      <c r="S5009">
        <v>3.0720209999999999</v>
      </c>
      <c r="T5009">
        <v>-0.1228807</v>
      </c>
      <c r="U5009">
        <v>0.29281620000000003</v>
      </c>
      <c r="V5009">
        <v>0.1003723</v>
      </c>
      <c r="W5009">
        <v>0.143952</v>
      </c>
      <c r="X5009">
        <v>0.98448119999999995</v>
      </c>
      <c r="Y5009">
        <v>-6.0517410000000001E-2</v>
      </c>
      <c r="Z5009">
        <v>-1.6636439999999901E-4</v>
      </c>
      <c r="AA5009">
        <v>0.99816720000000003</v>
      </c>
      <c r="AB5009">
        <v>32</v>
      </c>
      <c r="AC5009">
        <v>27.541999999999899</v>
      </c>
      <c r="AD5009">
        <v>-1.1088481788469999</v>
      </c>
      <c r="AE5009">
        <v>2.6356999999999999</v>
      </c>
      <c r="AF5009">
        <v>-1.68266352288665</v>
      </c>
      <c r="AG5009">
        <v>-1.1088481788469999</v>
      </c>
      <c r="AH5009">
        <v>27.572162507407601</v>
      </c>
      <c r="AI5009">
        <v>92.298706653093603</v>
      </c>
      <c r="AJ5009">
        <v>93.492293963638701</v>
      </c>
      <c r="AK5009">
        <v>27.645705745194501</v>
      </c>
      <c r="AL5009">
        <v>81.723403496749896</v>
      </c>
      <c r="AM5009">
        <v>84.178551948069796</v>
      </c>
      <c r="AN5009">
        <v>1.0000000050323601</v>
      </c>
    </row>
    <row r="5010" spans="1:40" x14ac:dyDescent="0.25">
      <c r="A5010" t="str">
        <f>"20190312164608366"</f>
        <v>20190312164608366</v>
      </c>
      <c r="B5010" t="str">
        <f>"1552380368356670"</f>
        <v>1552380368356670</v>
      </c>
      <c r="C5010" t="s">
        <v>40</v>
      </c>
      <c r="D5010">
        <v>4.8322570000000002</v>
      </c>
      <c r="E5010">
        <v>0.44465840000000001</v>
      </c>
      <c r="F5010" t="s">
        <v>42</v>
      </c>
      <c r="G5010">
        <v>-338.67649999999998</v>
      </c>
      <c r="H5010" s="1">
        <v>-5.8280609999999995E-7</v>
      </c>
      <c r="I5010">
        <v>19.43186</v>
      </c>
      <c r="J5010">
        <v>-367.62950000000001</v>
      </c>
      <c r="K5010">
        <v>1.1088720000000001</v>
      </c>
      <c r="L5010">
        <v>16.662379999999999</v>
      </c>
      <c r="M5010">
        <v>0.99934800000000001</v>
      </c>
      <c r="N5010">
        <v>0</v>
      </c>
      <c r="O5010">
        <v>3.5154989999999997E-2</v>
      </c>
      <c r="P5010">
        <v>0.98856750000000004</v>
      </c>
      <c r="Q5010">
        <v>0.1360867</v>
      </c>
      <c r="R5010">
        <v>-6.492262E-2</v>
      </c>
      <c r="S5010">
        <v>3.070557</v>
      </c>
      <c r="T5010">
        <v>-0.11652609999999999</v>
      </c>
      <c r="U5010">
        <v>0.2920837</v>
      </c>
      <c r="V5010">
        <v>9.9404569999999998E-2</v>
      </c>
      <c r="W5010">
        <v>0.14436479999999999</v>
      </c>
      <c r="X5010">
        <v>0.98451889999999997</v>
      </c>
      <c r="Y5010">
        <v>-5.9622399999999999E-2</v>
      </c>
      <c r="Z5010">
        <v>-2.015501E-4</v>
      </c>
      <c r="AA5010">
        <v>0.99822100000000002</v>
      </c>
      <c r="AB5010">
        <v>32</v>
      </c>
      <c r="AC5010">
        <v>28.952999999999999</v>
      </c>
      <c r="AD5010">
        <v>-1.1088725828060999</v>
      </c>
      <c r="AE5010">
        <v>2.7694800000000002</v>
      </c>
      <c r="AF5010">
        <v>-1.7473513025019001</v>
      </c>
      <c r="AG5010">
        <v>-1.1088725828060999</v>
      </c>
      <c r="AH5010">
        <v>28.990328498408399</v>
      </c>
      <c r="AI5010">
        <v>92.186516696915405</v>
      </c>
      <c r="AJ5010">
        <v>93.449249682633294</v>
      </c>
      <c r="AK5010">
        <v>29.064101249219501</v>
      </c>
      <c r="AL5010">
        <v>81.6995017992583</v>
      </c>
      <c r="AM5010">
        <v>84.234518217585702</v>
      </c>
      <c r="AN5010">
        <v>0.99999996423656601</v>
      </c>
    </row>
    <row r="5011" spans="1:40" x14ac:dyDescent="0.25">
      <c r="A5011" t="str">
        <f>"20190312164608377"</f>
        <v>20190312164608377</v>
      </c>
      <c r="B5011" t="str">
        <f>"1552380368366429"</f>
        <v>1552380368366429</v>
      </c>
      <c r="C5011" t="s">
        <v>40</v>
      </c>
      <c r="D5011">
        <v>4.8394879999999896</v>
      </c>
      <c r="E5011">
        <v>0.44456960000000001</v>
      </c>
      <c r="F5011" t="s">
        <v>42</v>
      </c>
      <c r="G5011">
        <v>-335.3297</v>
      </c>
      <c r="H5011" s="1">
        <v>-2.0149930000000002E-6</v>
      </c>
      <c r="I5011">
        <v>19.725819999999999</v>
      </c>
      <c r="J5011">
        <v>-367.47379999999998</v>
      </c>
      <c r="K5011">
        <v>1.1088910000000001</v>
      </c>
      <c r="L5011">
        <v>16.668240000000001</v>
      </c>
      <c r="M5011">
        <v>0.99933309999999997</v>
      </c>
      <c r="N5011">
        <v>0</v>
      </c>
      <c r="O5011">
        <v>3.5563780000000003E-2</v>
      </c>
      <c r="P5011">
        <v>0.98859889999999995</v>
      </c>
      <c r="Q5011">
        <v>0.13627719999999999</v>
      </c>
      <c r="R5011">
        <v>-6.4038380000000006E-2</v>
      </c>
      <c r="S5011">
        <v>3.068298</v>
      </c>
      <c r="T5011">
        <v>-0.1053364</v>
      </c>
      <c r="U5011">
        <v>0.29101559999999999</v>
      </c>
      <c r="V5011">
        <v>9.8923479999999994E-2</v>
      </c>
      <c r="W5011">
        <v>0.1446074</v>
      </c>
      <c r="X5011">
        <v>0.98453179999999996</v>
      </c>
      <c r="Y5011">
        <v>-5.8942700000000001E-2</v>
      </c>
      <c r="Z5011">
        <v>-2.079646E-4</v>
      </c>
      <c r="AA5011">
        <v>0.99826130000000002</v>
      </c>
      <c r="AB5011">
        <v>32</v>
      </c>
      <c r="AC5011">
        <v>32.144099999999902</v>
      </c>
      <c r="AD5011">
        <v>-1.1088930149930001</v>
      </c>
      <c r="AE5011">
        <v>3.0575800000000002</v>
      </c>
      <c r="AF5011">
        <v>-1.91018787573403</v>
      </c>
      <c r="AG5011">
        <v>-1.1088930149930001</v>
      </c>
      <c r="AH5011">
        <v>32.1945367887188</v>
      </c>
      <c r="AI5011">
        <v>91.9692277697565</v>
      </c>
      <c r="AJ5011">
        <v>93.395530894710006</v>
      </c>
      <c r="AK5011">
        <v>32.2702132078402</v>
      </c>
      <c r="AL5011">
        <v>81.685454825496706</v>
      </c>
      <c r="AM5011">
        <v>84.262309568905593</v>
      </c>
      <c r="AN5011">
        <v>1.0000000101206501</v>
      </c>
    </row>
    <row r="5012" spans="1:40" x14ac:dyDescent="0.25">
      <c r="A5012" t="str">
        <f>"20190312164608387"</f>
        <v>20190312164608387</v>
      </c>
      <c r="B5012" t="str">
        <f>"1552380368376189"</f>
        <v>1552380368376189</v>
      </c>
      <c r="C5012" t="s">
        <v>40</v>
      </c>
      <c r="D5012">
        <v>5.2001189999999999</v>
      </c>
      <c r="E5012">
        <v>0.4447759</v>
      </c>
      <c r="F5012" t="s">
        <v>42</v>
      </c>
      <c r="G5012">
        <v>-334.45440000000002</v>
      </c>
      <c r="H5012" s="1">
        <v>-2.4195089999999999E-6</v>
      </c>
      <c r="I5012">
        <v>19.834849999999999</v>
      </c>
      <c r="J5012">
        <v>-367.32310000000001</v>
      </c>
      <c r="K5012">
        <v>1.1089070000000001</v>
      </c>
      <c r="L5012">
        <v>16.673919999999999</v>
      </c>
      <c r="M5012">
        <v>0.9993185</v>
      </c>
      <c r="N5012">
        <v>0</v>
      </c>
      <c r="O5012">
        <v>3.5957120000000002E-2</v>
      </c>
      <c r="P5012">
        <v>0.98864589999999997</v>
      </c>
      <c r="Q5012">
        <v>0.13651869999999999</v>
      </c>
      <c r="R5012">
        <v>-6.2785949999999993E-2</v>
      </c>
      <c r="S5012">
        <v>3.0678709999999998</v>
      </c>
      <c r="T5012">
        <v>-0.1030285</v>
      </c>
      <c r="U5012">
        <v>0.29421999999999998</v>
      </c>
      <c r="V5012">
        <v>9.8059919999999995E-2</v>
      </c>
      <c r="W5012">
        <v>0.144900799999999</v>
      </c>
      <c r="X5012">
        <v>0.98457499999999998</v>
      </c>
      <c r="Y5012">
        <v>-5.9596530000000002E-2</v>
      </c>
      <c r="Z5012">
        <v>-2.0563170000000001E-4</v>
      </c>
      <c r="AA5012">
        <v>0.99822250000000001</v>
      </c>
      <c r="AB5012">
        <v>32</v>
      </c>
      <c r="AC5012">
        <v>32.868699999999897</v>
      </c>
      <c r="AD5012">
        <v>-1.1089094195089999</v>
      </c>
      <c r="AE5012">
        <v>3.1609299999999898</v>
      </c>
      <c r="AF5012">
        <v>-1.9747537454076101</v>
      </c>
      <c r="AG5012">
        <v>-1.1089094195089999</v>
      </c>
      <c r="AH5012">
        <v>32.9239739372629</v>
      </c>
      <c r="AI5012">
        <v>91.925586871463807</v>
      </c>
      <c r="AJ5012">
        <v>93.432443105336006</v>
      </c>
      <c r="AK5012">
        <v>33.001778622935603</v>
      </c>
      <c r="AL5012">
        <v>81.668464885514297</v>
      </c>
      <c r="AM5012">
        <v>84.312315239659796</v>
      </c>
      <c r="AN5012">
        <v>0.99999996018802195</v>
      </c>
    </row>
    <row r="5013" spans="1:40" x14ac:dyDescent="0.25">
      <c r="A5013" t="str">
        <f>"20190312164608400"</f>
        <v>20190312164608400</v>
      </c>
      <c r="B5013" t="str">
        <f>"1552380368396685"</f>
        <v>1552380368396685</v>
      </c>
      <c r="C5013" t="s">
        <v>40</v>
      </c>
      <c r="D5013">
        <v>5.3248949999999997</v>
      </c>
      <c r="E5013">
        <v>0.44516889999999998</v>
      </c>
      <c r="F5013" t="s">
        <v>42</v>
      </c>
      <c r="G5013">
        <v>-332.80700000000002</v>
      </c>
      <c r="H5013" s="1">
        <v>-3.1706920000000002E-6</v>
      </c>
      <c r="I5013">
        <v>20.002009999999999</v>
      </c>
      <c r="J5013">
        <v>-367.14699999999999</v>
      </c>
      <c r="K5013">
        <v>1.108922</v>
      </c>
      <c r="L5013">
        <v>16.680730000000001</v>
      </c>
      <c r="M5013">
        <v>0.99930169999999996</v>
      </c>
      <c r="N5013">
        <v>0</v>
      </c>
      <c r="O5013">
        <v>3.6407719999999998E-2</v>
      </c>
      <c r="P5013">
        <v>0.98868009999999995</v>
      </c>
      <c r="Q5013">
        <v>0.13678299999999999</v>
      </c>
      <c r="R5013">
        <v>-6.1664900000000002E-2</v>
      </c>
      <c r="S5013">
        <v>3.0668329999999999</v>
      </c>
      <c r="T5013">
        <v>-9.8529099999999994E-2</v>
      </c>
      <c r="U5013">
        <v>0.29571530000000001</v>
      </c>
      <c r="V5013">
        <v>9.7384090000000006E-2</v>
      </c>
      <c r="W5013">
        <v>0.1452358</v>
      </c>
      <c r="X5013">
        <v>0.98459269999999999</v>
      </c>
      <c r="Y5013">
        <v>-5.9662090000000001E-2</v>
      </c>
      <c r="Z5013">
        <v>-2.1008560000000001E-4</v>
      </c>
      <c r="AA5013">
        <v>0.99821859999999996</v>
      </c>
      <c r="AB5013">
        <v>32</v>
      </c>
      <c r="AC5013">
        <v>34.340000000000003</v>
      </c>
      <c r="AD5013">
        <v>-1.108925170692</v>
      </c>
      <c r="AE5013">
        <v>3.3212799999999998</v>
      </c>
      <c r="AF5013">
        <v>-2.0666575130854001</v>
      </c>
      <c r="AG5013">
        <v>-1.108925170692</v>
      </c>
      <c r="AH5013">
        <v>34.402613326069599</v>
      </c>
      <c r="AI5013">
        <v>91.842898515015605</v>
      </c>
      <c r="AJ5013">
        <v>93.437780214369397</v>
      </c>
      <c r="AK5013">
        <v>34.482467892737198</v>
      </c>
      <c r="AL5013">
        <v>81.649065430629804</v>
      </c>
      <c r="AM5013">
        <v>84.351361327818594</v>
      </c>
      <c r="AN5013">
        <v>0.99999994174002704</v>
      </c>
    </row>
    <row r="5014" spans="1:40" x14ac:dyDescent="0.25">
      <c r="A5014" t="str">
        <f>"20190312164608412"</f>
        <v>20190312164608412</v>
      </c>
      <c r="B5014" t="str">
        <f>"1552380368406445"</f>
        <v>1552380368406445</v>
      </c>
      <c r="C5014" t="s">
        <v>40</v>
      </c>
      <c r="D5014">
        <v>5.056737</v>
      </c>
      <c r="E5014">
        <v>0.44539800000000002</v>
      </c>
      <c r="F5014" t="s">
        <v>42</v>
      </c>
      <c r="G5014">
        <v>-329.84</v>
      </c>
      <c r="H5014" s="1">
        <v>-2.3063169999999999E-7</v>
      </c>
      <c r="I5014">
        <v>20.272290000000002</v>
      </c>
      <c r="J5014">
        <v>-366.97190000000001</v>
      </c>
      <c r="K5014">
        <v>1.1089290000000001</v>
      </c>
      <c r="L5014">
        <v>16.6875</v>
      </c>
      <c r="M5014">
        <v>0.99928479999999997</v>
      </c>
      <c r="N5014">
        <v>0</v>
      </c>
      <c r="O5014">
        <v>3.6851920000000003E-2</v>
      </c>
      <c r="P5014">
        <v>0.98873350000000004</v>
      </c>
      <c r="Q5014">
        <v>0.1369187</v>
      </c>
      <c r="R5014">
        <v>-6.0496960000000002E-2</v>
      </c>
      <c r="S5014">
        <v>3.065369</v>
      </c>
      <c r="T5014">
        <v>-9.1115710000000003E-2</v>
      </c>
      <c r="U5014">
        <v>0.29510500000000001</v>
      </c>
      <c r="V5014">
        <v>9.6656870000000006E-2</v>
      </c>
      <c r="W5014">
        <v>0.1454443</v>
      </c>
      <c r="X5014">
        <v>0.9846336</v>
      </c>
      <c r="Y5014">
        <v>-5.9069129999999997E-2</v>
      </c>
      <c r="Z5014">
        <v>-2.1632420000000001E-4</v>
      </c>
      <c r="AA5014">
        <v>0.99825390000000003</v>
      </c>
      <c r="AB5014">
        <v>32</v>
      </c>
      <c r="AC5014">
        <v>37.131900000000002</v>
      </c>
      <c r="AD5014">
        <v>-1.1089292306317</v>
      </c>
      <c r="AE5014">
        <v>3.5847899999999902</v>
      </c>
      <c r="AF5014">
        <v>-2.2119692337272401</v>
      </c>
      <c r="AG5014">
        <v>-1.1089292306317</v>
      </c>
      <c r="AH5014">
        <v>37.2059097068773</v>
      </c>
      <c r="AI5014">
        <v>91.704198863889204</v>
      </c>
      <c r="AJ5014">
        <v>93.402349236323403</v>
      </c>
      <c r="AK5014">
        <v>37.288097954251</v>
      </c>
      <c r="AL5014">
        <v>81.636991209953806</v>
      </c>
      <c r="AM5014">
        <v>84.393504431712302</v>
      </c>
      <c r="AN5014">
        <v>0.99999996058482199</v>
      </c>
    </row>
    <row r="5015" spans="1:40" x14ac:dyDescent="0.25">
      <c r="A5015" t="str">
        <f>"20190312164608433"</f>
        <v>20190312164608433</v>
      </c>
      <c r="B5015" t="str">
        <f>"1552380368426941"</f>
        <v>1552380368426941</v>
      </c>
      <c r="C5015" t="s">
        <v>40</v>
      </c>
      <c r="D5015">
        <v>4.7061739999999999</v>
      </c>
      <c r="E5015">
        <v>0.4457158</v>
      </c>
      <c r="F5015" t="s">
        <v>42</v>
      </c>
      <c r="G5015">
        <v>-328.58640000000003</v>
      </c>
      <c r="H5015" s="1">
        <v>-8.5719110000000003E-7</v>
      </c>
      <c r="I5015">
        <v>20.39987</v>
      </c>
      <c r="J5015">
        <v>-366.66930000000002</v>
      </c>
      <c r="K5015">
        <v>1.1089530000000001</v>
      </c>
      <c r="L5015">
        <v>16.699400000000001</v>
      </c>
      <c r="M5015">
        <v>0.99925560000000002</v>
      </c>
      <c r="N5015">
        <v>0</v>
      </c>
      <c r="O5015">
        <v>3.7601830000000003E-2</v>
      </c>
      <c r="P5015">
        <v>0.98881870000000005</v>
      </c>
      <c r="Q5015">
        <v>0.13726179999999999</v>
      </c>
      <c r="R5015">
        <v>-5.8283620000000001E-2</v>
      </c>
      <c r="S5015">
        <v>3.0646059999999999</v>
      </c>
      <c r="T5015">
        <v>-8.853424E-2</v>
      </c>
      <c r="U5015">
        <v>0.2963867</v>
      </c>
      <c r="V5015">
        <v>9.5188919999999996E-2</v>
      </c>
      <c r="W5015">
        <v>0.14592550000000001</v>
      </c>
      <c r="X5015">
        <v>0.98470539999999995</v>
      </c>
      <c r="Y5015">
        <v>-5.8758270000000001E-2</v>
      </c>
      <c r="Z5015">
        <v>-2.3630339999999999E-4</v>
      </c>
      <c r="AA5015">
        <v>0.99827220000000005</v>
      </c>
      <c r="AB5015">
        <v>32</v>
      </c>
      <c r="AC5015">
        <v>38.082900000000002</v>
      </c>
      <c r="AD5015">
        <v>-1.1089538571911</v>
      </c>
      <c r="AE5015">
        <v>3.7004699999999899</v>
      </c>
      <c r="AF5015">
        <v>-2.2639111563528602</v>
      </c>
      <c r="AG5015">
        <v>-1.1089538571911</v>
      </c>
      <c r="AH5015">
        <v>38.163057990844202</v>
      </c>
      <c r="AI5015">
        <v>91.661530637881796</v>
      </c>
      <c r="AJ5015">
        <v>93.394924943279193</v>
      </c>
      <c r="AK5015">
        <v>38.2462294559055</v>
      </c>
      <c r="AL5015">
        <v>81.6091230957542</v>
      </c>
      <c r="AM5015">
        <v>84.478521426162501</v>
      </c>
      <c r="AN5015">
        <v>0.99999995341508696</v>
      </c>
    </row>
    <row r="5016" spans="1:40" x14ac:dyDescent="0.25">
      <c r="A5016" t="str">
        <f>"20190312164608444"</f>
        <v>20190312164608444</v>
      </c>
      <c r="B5016" t="str">
        <f>"1552380368436700"</f>
        <v>1552380368436700</v>
      </c>
      <c r="C5016" t="s">
        <v>40</v>
      </c>
      <c r="D5016">
        <v>4.8215570000000003</v>
      </c>
      <c r="E5016">
        <v>0.4457158</v>
      </c>
      <c r="F5016" t="s">
        <v>42</v>
      </c>
      <c r="G5016">
        <v>-325.81560000000002</v>
      </c>
      <c r="H5016" s="1">
        <v>-2.2474209999999998E-6</v>
      </c>
      <c r="I5016">
        <v>20.702380000000002</v>
      </c>
      <c r="J5016">
        <v>-366.49950000000001</v>
      </c>
      <c r="K5016">
        <v>1.1089629999999999</v>
      </c>
      <c r="L5016">
        <v>16.706209999999999</v>
      </c>
      <c r="M5016">
        <v>0.99923919999999999</v>
      </c>
      <c r="N5016">
        <v>0</v>
      </c>
      <c r="O5016">
        <v>3.8014600000000003E-2</v>
      </c>
      <c r="P5016">
        <v>0.98884890000000003</v>
      </c>
      <c r="Q5016">
        <v>0.13750190000000001</v>
      </c>
      <c r="R5016">
        <v>-5.7194250000000002E-2</v>
      </c>
      <c r="S5016">
        <v>3.0631710000000001</v>
      </c>
      <c r="T5016">
        <v>-8.3148600000000003E-2</v>
      </c>
      <c r="U5016">
        <v>0.30014039999999997</v>
      </c>
      <c r="V5016">
        <v>9.4509709999999997E-2</v>
      </c>
      <c r="W5016">
        <v>0.1462463</v>
      </c>
      <c r="X5016">
        <v>0.98472329999999997</v>
      </c>
      <c r="Y5016">
        <v>-5.9603330000000003E-2</v>
      </c>
      <c r="Z5016">
        <v>-2.2173909999999999E-4</v>
      </c>
      <c r="AA5016">
        <v>0.9982221</v>
      </c>
      <c r="AB5016">
        <v>32</v>
      </c>
      <c r="AC5016">
        <v>40.683900000000001</v>
      </c>
      <c r="AD5016">
        <v>-1.1089652474210001</v>
      </c>
      <c r="AE5016">
        <v>3.99616999999999</v>
      </c>
      <c r="AF5016">
        <v>-2.44484122818259</v>
      </c>
      <c r="AG5016">
        <v>-1.1089652474210001</v>
      </c>
      <c r="AH5016">
        <v>40.776401874076001</v>
      </c>
      <c r="AI5016">
        <v>91.555055148536894</v>
      </c>
      <c r="AJ5016">
        <v>93.431190177542604</v>
      </c>
      <c r="AK5016">
        <v>40.864679153850702</v>
      </c>
      <c r="AL5016">
        <v>81.590543859974204</v>
      </c>
      <c r="AM5016">
        <v>84.517777487368093</v>
      </c>
      <c r="AN5016">
        <v>1.0000000215554301</v>
      </c>
    </row>
    <row r="5017" spans="1:40" x14ac:dyDescent="0.25">
      <c r="A5017" t="str">
        <f>"20190312164608456"</f>
        <v>20190312164608456</v>
      </c>
      <c r="B5017" t="str">
        <f>"1552380368446460"</f>
        <v>1552380368446460</v>
      </c>
      <c r="C5017" t="s">
        <v>40</v>
      </c>
      <c r="D5017">
        <v>4.7866900000000001</v>
      </c>
      <c r="E5017">
        <v>0.42597479999999999</v>
      </c>
      <c r="F5017" t="s">
        <v>42</v>
      </c>
      <c r="G5017">
        <v>-325.41840000000002</v>
      </c>
      <c r="H5017" s="1">
        <v>-2.454357E-6</v>
      </c>
      <c r="I5017">
        <v>20.774450000000002</v>
      </c>
      <c r="J5017">
        <v>-366.35019999999997</v>
      </c>
      <c r="K5017">
        <v>1.1089709999999999</v>
      </c>
      <c r="L5017">
        <v>16.712219999999999</v>
      </c>
      <c r="M5017">
        <v>0.99922500000000003</v>
      </c>
      <c r="N5017">
        <v>0</v>
      </c>
      <c r="O5017">
        <v>3.837136E-2</v>
      </c>
      <c r="P5017">
        <v>0.98889280000000002</v>
      </c>
      <c r="Q5017">
        <v>0.13760520000000001</v>
      </c>
      <c r="R5017">
        <v>-5.6179949999999999E-2</v>
      </c>
      <c r="S5017">
        <v>3.0628660000000001</v>
      </c>
      <c r="T5017">
        <v>-8.2680820000000002E-2</v>
      </c>
      <c r="U5017">
        <v>0.30331419999999998</v>
      </c>
      <c r="V5017">
        <v>9.3851270000000001E-2</v>
      </c>
      <c r="W5017">
        <v>0.1464232</v>
      </c>
      <c r="X5017">
        <v>0.98475999999999997</v>
      </c>
      <c r="Y5017">
        <v>-6.0280960000000001E-2</v>
      </c>
      <c r="Z5017">
        <v>-2.209678E-4</v>
      </c>
      <c r="AA5017">
        <v>0.9981814</v>
      </c>
      <c r="AB5017">
        <v>32</v>
      </c>
      <c r="AC5017">
        <v>40.931799999999903</v>
      </c>
      <c r="AD5017">
        <v>-1.108973454357</v>
      </c>
      <c r="AE5017">
        <v>4.0622299999999996</v>
      </c>
      <c r="AF5017">
        <v>-2.4867612152315601</v>
      </c>
      <c r="AG5017">
        <v>-1.108973454357</v>
      </c>
      <c r="AH5017">
        <v>41.027710360645003</v>
      </c>
      <c r="AI5017">
        <v>91.545485251605797</v>
      </c>
      <c r="AJ5017">
        <v>93.468553893521204</v>
      </c>
      <c r="AK5017">
        <v>41.117962265912702</v>
      </c>
      <c r="AL5017">
        <v>81.580298063203799</v>
      </c>
      <c r="AM5017">
        <v>84.555942996686994</v>
      </c>
      <c r="AN5017">
        <v>1.0000000359894201</v>
      </c>
    </row>
    <row r="5018" spans="1:40" x14ac:dyDescent="0.25">
      <c r="A5018" t="str">
        <f>"20190312164608465"</f>
        <v>20190312164608465</v>
      </c>
      <c r="B5018" t="str">
        <f>"1552380368456221"</f>
        <v>1552380368456221</v>
      </c>
      <c r="C5018" t="s">
        <v>40</v>
      </c>
      <c r="D5018">
        <v>4.7328919999999997</v>
      </c>
      <c r="E5018">
        <v>0.42311530000000003</v>
      </c>
      <c r="F5018" t="s">
        <v>42</v>
      </c>
      <c r="G5018">
        <v>-340.9477</v>
      </c>
      <c r="H5018" s="1">
        <v>-4.1210479999999996E-6</v>
      </c>
      <c r="I5018">
        <v>20.575900000000001</v>
      </c>
      <c r="J5018">
        <v>-366.19659999999999</v>
      </c>
      <c r="K5018">
        <v>1.1089789999999999</v>
      </c>
      <c r="L5018">
        <v>16.71848</v>
      </c>
      <c r="M5018">
        <v>0.99921009999999999</v>
      </c>
      <c r="N5018">
        <v>0</v>
      </c>
      <c r="O5018">
        <v>3.873567E-2</v>
      </c>
      <c r="P5018">
        <v>0.98896130000000004</v>
      </c>
      <c r="Q5018">
        <v>0.1376125</v>
      </c>
      <c r="R5018">
        <v>-5.493895E-2</v>
      </c>
      <c r="S5018">
        <v>3.0790099999999998</v>
      </c>
      <c r="T5018">
        <v>-0.1344177</v>
      </c>
      <c r="U5018">
        <v>0.46832279999999998</v>
      </c>
      <c r="V5018">
        <v>9.2975050000000004E-2</v>
      </c>
      <c r="W5018">
        <v>0.1465071</v>
      </c>
      <c r="X5018">
        <v>0.9848306</v>
      </c>
      <c r="Y5018">
        <v>-0.1118946</v>
      </c>
      <c r="Z5018">
        <v>7.4822599999999995E-4</v>
      </c>
      <c r="AA5018">
        <v>0.99371980000000004</v>
      </c>
      <c r="AB5018">
        <v>32</v>
      </c>
      <c r="AC5018">
        <v>25.2488999999999</v>
      </c>
      <c r="AD5018">
        <v>-1.1089831210479999</v>
      </c>
      <c r="AE5018">
        <v>3.8574199999999998</v>
      </c>
      <c r="AF5018">
        <v>-2.8710408617692198</v>
      </c>
      <c r="AG5018">
        <v>-1.1089831210479999</v>
      </c>
      <c r="AH5018">
        <v>25.3316208595276</v>
      </c>
      <c r="AI5018">
        <v>92.490802358707199</v>
      </c>
      <c r="AJ5018">
        <v>96.466208631404697</v>
      </c>
      <c r="AK5018">
        <v>25.5179100743688</v>
      </c>
      <c r="AL5018">
        <v>81.575438240287596</v>
      </c>
      <c r="AM5018">
        <v>84.606853372406107</v>
      </c>
      <c r="AN5018">
        <v>1.0000000004846299</v>
      </c>
    </row>
    <row r="5019" spans="1:40" x14ac:dyDescent="0.25">
      <c r="A5019" t="str">
        <f>"20190312164608478"</f>
        <v>20190312164608478</v>
      </c>
      <c r="B5019" t="str">
        <f>"1552380368466958"</f>
        <v>1552380368466958</v>
      </c>
      <c r="C5019" t="s">
        <v>40</v>
      </c>
      <c r="D5019">
        <v>4.7091399999999997</v>
      </c>
      <c r="E5019">
        <v>0.42237849999999999</v>
      </c>
      <c r="F5019" t="s">
        <v>42</v>
      </c>
      <c r="G5019">
        <v>-341.64030000000002</v>
      </c>
      <c r="H5019" s="1">
        <v>-3.847567E-6</v>
      </c>
      <c r="I5019">
        <v>20.664739999999998</v>
      </c>
      <c r="J5019">
        <v>-366.03629999999998</v>
      </c>
      <c r="K5019">
        <v>1.108986</v>
      </c>
      <c r="L5019">
        <v>16.725069999999999</v>
      </c>
      <c r="M5019">
        <v>0.99919500000000006</v>
      </c>
      <c r="N5019">
        <v>0</v>
      </c>
      <c r="O5019">
        <v>3.9103110000000003E-2</v>
      </c>
      <c r="P5019">
        <v>0.98898680000000005</v>
      </c>
      <c r="Q5019">
        <v>0.13777919999999999</v>
      </c>
      <c r="R5019">
        <v>-5.4056069999999998E-2</v>
      </c>
      <c r="S5019">
        <v>3.0803219999999998</v>
      </c>
      <c r="T5019">
        <v>-0.1391096</v>
      </c>
      <c r="U5019">
        <v>0.49502560000000001</v>
      </c>
      <c r="V5019">
        <v>9.2458750000000006E-2</v>
      </c>
      <c r="W5019">
        <v>0.14676330000000001</v>
      </c>
      <c r="X5019">
        <v>0.98484099999999997</v>
      </c>
      <c r="Y5019">
        <v>-0.1198591</v>
      </c>
      <c r="Z5019">
        <v>9.3570640000000004E-4</v>
      </c>
      <c r="AA5019">
        <v>0.99279050000000002</v>
      </c>
      <c r="AB5019">
        <v>32</v>
      </c>
      <c r="AC5019">
        <v>24.395999999999901</v>
      </c>
      <c r="AD5019">
        <v>-1.1089898475669999</v>
      </c>
      <c r="AE5019">
        <v>3.9396699999999898</v>
      </c>
      <c r="AF5019">
        <v>-2.9766641526652799</v>
      </c>
      <c r="AG5019">
        <v>-1.1089898475669999</v>
      </c>
      <c r="AH5019">
        <v>24.482095085815299</v>
      </c>
      <c r="AI5019">
        <v>92.574675915655504</v>
      </c>
      <c r="AJ5019">
        <v>96.932301096023195</v>
      </c>
      <c r="AK5019">
        <v>24.687311877777798</v>
      </c>
      <c r="AL5019">
        <v>81.560598149240704</v>
      </c>
      <c r="AM5019">
        <v>84.636683248708906</v>
      </c>
      <c r="AN5019">
        <v>0.999999940979724</v>
      </c>
    </row>
    <row r="5020" spans="1:40" x14ac:dyDescent="0.25">
      <c r="A5020" t="str">
        <f>"20190312164608490"</f>
        <v>20190312164608490</v>
      </c>
      <c r="B5020" t="str">
        <f>"1552380368486477"</f>
        <v>1552380368486477</v>
      </c>
      <c r="C5020" t="s">
        <v>40</v>
      </c>
      <c r="D5020">
        <v>4.6558909999999996</v>
      </c>
      <c r="E5020">
        <v>0.42205819999999999</v>
      </c>
      <c r="F5020" t="s">
        <v>42</v>
      </c>
      <c r="G5020">
        <v>-339.13099999999997</v>
      </c>
      <c r="H5020" s="1">
        <v>-7.5354050000000002E-7</v>
      </c>
      <c r="I5020">
        <v>21.113759999999999</v>
      </c>
      <c r="J5020">
        <v>-365.86340000000001</v>
      </c>
      <c r="K5020">
        <v>1.108992</v>
      </c>
      <c r="L5020">
        <v>16.73218</v>
      </c>
      <c r="M5020">
        <v>0.99917880000000003</v>
      </c>
      <c r="N5020">
        <v>0</v>
      </c>
      <c r="O5020">
        <v>3.9493260000000002E-2</v>
      </c>
      <c r="P5020">
        <v>0.98901090000000003</v>
      </c>
      <c r="Q5020">
        <v>0.1379283</v>
      </c>
      <c r="R5020">
        <v>-5.3229720000000001E-2</v>
      </c>
      <c r="S5020">
        <v>3.078522</v>
      </c>
      <c r="T5020">
        <v>-0.12689130000000001</v>
      </c>
      <c r="U5020">
        <v>0.50216669999999997</v>
      </c>
      <c r="V5020">
        <v>9.2022140000000002E-2</v>
      </c>
      <c r="W5020">
        <v>0.1470118</v>
      </c>
      <c r="X5020">
        <v>0.98484490000000002</v>
      </c>
      <c r="Y5020">
        <v>-0.12181839999999999</v>
      </c>
      <c r="Z5020">
        <v>8.7810729999999895E-4</v>
      </c>
      <c r="AA5020">
        <v>0.99255199999999999</v>
      </c>
      <c r="AB5020">
        <v>32</v>
      </c>
      <c r="AC5020">
        <v>26.732399999999998</v>
      </c>
      <c r="AD5020">
        <v>-1.1089927535405</v>
      </c>
      <c r="AE5020">
        <v>4.3815799999999996</v>
      </c>
      <c r="AF5020">
        <v>-3.3168095577953198</v>
      </c>
      <c r="AG5020">
        <v>-1.1089927535405</v>
      </c>
      <c r="AH5020">
        <v>26.839610046488001</v>
      </c>
      <c r="AI5020">
        <v>92.348230527964105</v>
      </c>
      <c r="AJ5020">
        <v>97.044832157412401</v>
      </c>
      <c r="AK5020">
        <v>27.066506202641399</v>
      </c>
      <c r="AL5020">
        <v>81.546204607320803</v>
      </c>
      <c r="AM5020">
        <v>84.661884343092794</v>
      </c>
      <c r="AN5020">
        <v>1.00000001032271</v>
      </c>
    </row>
    <row r="5021" spans="1:40" x14ac:dyDescent="0.25">
      <c r="A5021" t="str">
        <f>"20190312164608502"</f>
        <v>20190312164608502</v>
      </c>
      <c r="B5021" t="str">
        <f>"1552380368496237"</f>
        <v>1552380368496237</v>
      </c>
      <c r="C5021" t="s">
        <v>40</v>
      </c>
      <c r="D5021">
        <v>4.7308440000000003</v>
      </c>
      <c r="E5021">
        <v>0.42205819999999999</v>
      </c>
      <c r="F5021" t="s">
        <v>42</v>
      </c>
      <c r="G5021">
        <v>-334.73970000000003</v>
      </c>
      <c r="H5021" s="1">
        <v>-2.8326479999999998E-6</v>
      </c>
      <c r="I5021">
        <v>21.847629999999999</v>
      </c>
      <c r="J5021">
        <v>-365.69380000000001</v>
      </c>
      <c r="K5021">
        <v>1.108992</v>
      </c>
      <c r="L5021">
        <v>16.739260000000002</v>
      </c>
      <c r="M5021">
        <v>0.99916329999999998</v>
      </c>
      <c r="N5021">
        <v>0</v>
      </c>
      <c r="O5021">
        <v>3.9852970000000001E-2</v>
      </c>
      <c r="P5021">
        <v>0.98900710000000003</v>
      </c>
      <c r="Q5021">
        <v>0.13822870000000001</v>
      </c>
      <c r="R5021">
        <v>-5.2516889999999997E-2</v>
      </c>
      <c r="S5021">
        <v>3.0758670000000001</v>
      </c>
      <c r="T5021">
        <v>-0.109599</v>
      </c>
      <c r="U5021">
        <v>0.50555419999999995</v>
      </c>
      <c r="V5021">
        <v>9.1669920000000002E-2</v>
      </c>
      <c r="W5021">
        <v>0.14741699999999999</v>
      </c>
      <c r="X5021">
        <v>0.9848171</v>
      </c>
      <c r="Y5021">
        <v>-0.1226785</v>
      </c>
      <c r="Z5021">
        <v>7.6162440000000005E-4</v>
      </c>
      <c r="AA5021">
        <v>0.99244619999999995</v>
      </c>
      <c r="AB5021">
        <v>32</v>
      </c>
      <c r="AC5021">
        <v>30.954099999999901</v>
      </c>
      <c r="AD5021">
        <v>-1.1089948326479999</v>
      </c>
      <c r="AE5021">
        <v>5.1083699999999901</v>
      </c>
      <c r="AF5021">
        <v>-3.8658159101841201</v>
      </c>
      <c r="AG5021">
        <v>-1.1089948326479999</v>
      </c>
      <c r="AH5021">
        <v>31.094245155827501</v>
      </c>
      <c r="AI5021">
        <v>92.027029855521704</v>
      </c>
      <c r="AJ5021">
        <v>97.086976868993801</v>
      </c>
      <c r="AK5021">
        <v>31.3532531645597</v>
      </c>
      <c r="AL5021">
        <v>81.522731963121899</v>
      </c>
      <c r="AM5021">
        <v>84.682049673842101</v>
      </c>
      <c r="AN5021">
        <v>0.99999993328710501</v>
      </c>
    </row>
    <row r="5022" spans="1:40" x14ac:dyDescent="0.25">
      <c r="A5022" t="str">
        <f>"20190312164608514"</f>
        <v>20190312164608514</v>
      </c>
      <c r="B5022" t="str">
        <f>"1552380368506973"</f>
        <v>1552380368506973</v>
      </c>
      <c r="C5022" t="s">
        <v>40</v>
      </c>
      <c r="D5022">
        <v>4.6837939999999998</v>
      </c>
      <c r="E5022">
        <v>0.42227219999999999</v>
      </c>
      <c r="F5022" t="s">
        <v>42</v>
      </c>
      <c r="G5022">
        <v>-334.41340000000002</v>
      </c>
      <c r="H5022" s="1">
        <v>-2.9867300000000001E-6</v>
      </c>
      <c r="I5022">
        <v>21.900539999999999</v>
      </c>
      <c r="J5022">
        <v>-365.52019999999999</v>
      </c>
      <c r="K5022">
        <v>1.108986</v>
      </c>
      <c r="L5022">
        <v>16.746579999999899</v>
      </c>
      <c r="M5022">
        <v>0.99914809999999998</v>
      </c>
      <c r="N5022">
        <v>0</v>
      </c>
      <c r="O5022">
        <v>4.0207619999999999E-2</v>
      </c>
      <c r="P5022">
        <v>0.98905399999999999</v>
      </c>
      <c r="Q5022">
        <v>0.1381386</v>
      </c>
      <c r="R5022">
        <v>-5.186375E-2</v>
      </c>
      <c r="S5022">
        <v>3.0755620000000001</v>
      </c>
      <c r="T5022">
        <v>-0.10903889999999999</v>
      </c>
      <c r="U5022">
        <v>0.50747679999999995</v>
      </c>
      <c r="V5022">
        <v>9.1376150000000003E-2</v>
      </c>
      <c r="W5022">
        <v>0.14743439999999999</v>
      </c>
      <c r="X5022">
        <v>0.98484190000000005</v>
      </c>
      <c r="Y5022">
        <v>-0.1229465</v>
      </c>
      <c r="Z5022">
        <v>7.5003389999999997E-4</v>
      </c>
      <c r="AA5022">
        <v>0.99241299999999999</v>
      </c>
      <c r="AB5022">
        <v>32</v>
      </c>
      <c r="AC5022">
        <v>31.1067999999999</v>
      </c>
      <c r="AD5022">
        <v>-1.10898898673</v>
      </c>
      <c r="AE5022">
        <v>5.1539599999999997</v>
      </c>
      <c r="AF5022">
        <v>-3.89419017722361</v>
      </c>
      <c r="AG5022">
        <v>-1.10898898673</v>
      </c>
      <c r="AH5022">
        <v>31.2502229792658</v>
      </c>
      <c r="AI5022">
        <v>92.016839190689197</v>
      </c>
      <c r="AJ5022">
        <v>97.103194060861895</v>
      </c>
      <c r="AK5022">
        <v>31.511442524310201</v>
      </c>
      <c r="AL5022">
        <v>81.521724875985399</v>
      </c>
      <c r="AM5022">
        <v>84.699127329063003</v>
      </c>
      <c r="AN5022">
        <v>1.0000000355438901</v>
      </c>
    </row>
    <row r="5023" spans="1:40" x14ac:dyDescent="0.25">
      <c r="A5023" t="str">
        <f>"20190312164608527"</f>
        <v>20190312164608527</v>
      </c>
      <c r="B5023" t="str">
        <f>"1552380368516733"</f>
        <v>1552380368516733</v>
      </c>
      <c r="C5023" t="s">
        <v>40</v>
      </c>
      <c r="D5023">
        <v>4.7000679999999999</v>
      </c>
      <c r="E5023">
        <v>0.42248920000000001</v>
      </c>
      <c r="F5023" t="s">
        <v>42</v>
      </c>
      <c r="G5023">
        <v>-332.8759</v>
      </c>
      <c r="H5023" s="1">
        <v>-3.707291E-6</v>
      </c>
      <c r="I5023">
        <v>22.129799999999999</v>
      </c>
      <c r="J5023">
        <v>-365.3229</v>
      </c>
      <c r="K5023">
        <v>1.1089770000000001</v>
      </c>
      <c r="L5023">
        <v>16.75488</v>
      </c>
      <c r="M5023">
        <v>0.99913149999999995</v>
      </c>
      <c r="N5023">
        <v>0</v>
      </c>
      <c r="O5023">
        <v>4.0590309999999998E-2</v>
      </c>
      <c r="P5023">
        <v>0.98906519999999998</v>
      </c>
      <c r="Q5023">
        <v>0.1382668</v>
      </c>
      <c r="R5023">
        <v>-5.1307569999999997E-2</v>
      </c>
      <c r="S5023">
        <v>3.0743710000000002</v>
      </c>
      <c r="T5023">
        <v>-0.10444249999999999</v>
      </c>
      <c r="U5023">
        <v>0.50698849999999995</v>
      </c>
      <c r="V5023">
        <v>9.1207910000000003E-2</v>
      </c>
      <c r="W5023">
        <v>0.14768529999999999</v>
      </c>
      <c r="X5023">
        <v>0.98481989999999997</v>
      </c>
      <c r="Y5023">
        <v>-0.1224792</v>
      </c>
      <c r="Z5023">
        <v>6.9795320000000003E-4</v>
      </c>
      <c r="AA5023">
        <v>0.99247090000000004</v>
      </c>
      <c r="AB5023">
        <v>32</v>
      </c>
      <c r="AC5023">
        <v>32.446999999999903</v>
      </c>
      <c r="AD5023">
        <v>-1.1089807072910001</v>
      </c>
      <c r="AE5023">
        <v>5.3749200000000004</v>
      </c>
      <c r="AF5023">
        <v>-4.0487945247435997</v>
      </c>
      <c r="AG5023">
        <v>-1.1089807072910001</v>
      </c>
      <c r="AH5023">
        <v>32.601370353644498</v>
      </c>
      <c r="AI5023">
        <v>91.933402621900896</v>
      </c>
      <c r="AJ5023">
        <v>97.0793687273014</v>
      </c>
      <c r="AK5023">
        <v>32.870532764897902</v>
      </c>
      <c r="AL5023">
        <v>81.507190235518806</v>
      </c>
      <c r="AM5023">
        <v>84.708714218702397</v>
      </c>
      <c r="AN5023">
        <v>1.0000000330593299</v>
      </c>
    </row>
    <row r="5024" spans="1:40" x14ac:dyDescent="0.25">
      <c r="A5024" t="str">
        <f>"20190312164608548"</f>
        <v>20190312164608548</v>
      </c>
      <c r="B5024" t="str">
        <f>"1552380368536618"</f>
        <v>1552380368536618</v>
      </c>
      <c r="C5024" t="s">
        <v>40</v>
      </c>
      <c r="D5024">
        <v>4.7000769999999896</v>
      </c>
      <c r="E5024">
        <v>0.42185119999999998</v>
      </c>
      <c r="F5024" t="s">
        <v>42</v>
      </c>
      <c r="G5024">
        <v>-332.13670000000002</v>
      </c>
      <c r="H5024" s="1">
        <v>-4.0115030000000003E-6</v>
      </c>
      <c r="I5024">
        <v>22.224240000000002</v>
      </c>
      <c r="J5024">
        <v>-365.04430000000002</v>
      </c>
      <c r="K5024">
        <v>1.108946</v>
      </c>
      <c r="L5024">
        <v>16.766749999999998</v>
      </c>
      <c r="M5024">
        <v>0.99911019999999995</v>
      </c>
      <c r="N5024">
        <v>0</v>
      </c>
      <c r="O5024">
        <v>4.1062880000000003E-2</v>
      </c>
      <c r="P5024">
        <v>0.98908879999999999</v>
      </c>
      <c r="Q5024">
        <v>0.13845579999999999</v>
      </c>
      <c r="R5024">
        <v>-5.0329150000000003E-2</v>
      </c>
      <c r="S5024">
        <v>3.0737920000000001</v>
      </c>
      <c r="T5024">
        <v>-0.1027164</v>
      </c>
      <c r="U5024">
        <v>0.50659179999999904</v>
      </c>
      <c r="V5024">
        <v>9.0716359999999996E-2</v>
      </c>
      <c r="W5024">
        <v>0.14806069999999999</v>
      </c>
      <c r="X5024">
        <v>0.98480889999999999</v>
      </c>
      <c r="Y5024">
        <v>-0.1219171</v>
      </c>
      <c r="Z5024">
        <v>6.6158359999999997E-4</v>
      </c>
      <c r="AA5024">
        <v>0.99254010000000004</v>
      </c>
      <c r="AB5024">
        <v>32</v>
      </c>
      <c r="AC5024">
        <v>32.907600000000002</v>
      </c>
      <c r="AD5024">
        <v>-1.108950011503</v>
      </c>
      <c r="AE5024">
        <v>5.45749</v>
      </c>
      <c r="AF5024">
        <v>-4.0970150041754501</v>
      </c>
      <c r="AG5024">
        <v>-1.108950011503</v>
      </c>
      <c r="AH5024">
        <v>33.067405918102097</v>
      </c>
      <c r="AI5024">
        <v>91.906189685349801</v>
      </c>
      <c r="AJ5024">
        <v>97.062889794808697</v>
      </c>
      <c r="AK5024">
        <v>33.338695778704199</v>
      </c>
      <c r="AL5024">
        <v>81.485442021041393</v>
      </c>
      <c r="AM5024">
        <v>84.737011712878598</v>
      </c>
      <c r="AN5024">
        <v>0.99999999918767402</v>
      </c>
    </row>
    <row r="5025" spans="1:40" x14ac:dyDescent="0.25">
      <c r="A5025" t="str">
        <f>"20190312164608566"</f>
        <v>20190312164608566</v>
      </c>
      <c r="B5025" t="str">
        <f>"1552380368556138"</f>
        <v>1552380368556138</v>
      </c>
      <c r="C5025" t="s">
        <v>40</v>
      </c>
      <c r="D5025">
        <v>4.7518190000000002</v>
      </c>
      <c r="E5025">
        <v>0.42156969999999999</v>
      </c>
      <c r="F5025" t="s">
        <v>42</v>
      </c>
      <c r="G5025">
        <v>-335.23140000000001</v>
      </c>
      <c r="H5025" s="1">
        <v>-2.5986419999999999E-6</v>
      </c>
      <c r="I5025">
        <v>21.760840000000002</v>
      </c>
      <c r="J5025">
        <v>-364.76080000000002</v>
      </c>
      <c r="K5025">
        <v>1.1089</v>
      </c>
      <c r="L5025">
        <v>16.778870000000001</v>
      </c>
      <c r="M5025">
        <v>0.99909230000000004</v>
      </c>
      <c r="N5025">
        <v>0</v>
      </c>
      <c r="O5025">
        <v>4.1442409999999999E-2</v>
      </c>
      <c r="P5025">
        <v>0.98930079999999998</v>
      </c>
      <c r="Q5025">
        <v>0.1371578</v>
      </c>
      <c r="R5025">
        <v>-4.9719449999999998E-2</v>
      </c>
      <c r="S5025">
        <v>3.0753170000000001</v>
      </c>
      <c r="T5025">
        <v>-0.1143923</v>
      </c>
      <c r="U5025">
        <v>0.51516720000000005</v>
      </c>
      <c r="V5025">
        <v>9.051882E-2</v>
      </c>
      <c r="W5025">
        <v>0.1469722</v>
      </c>
      <c r="X5025">
        <v>0.98499009999999998</v>
      </c>
      <c r="Y5025">
        <v>-0.1241423</v>
      </c>
      <c r="Z5025">
        <v>7.6332989999999996E-4</v>
      </c>
      <c r="AA5025">
        <v>0.99226420000000004</v>
      </c>
      <c r="AB5025">
        <v>32</v>
      </c>
      <c r="AC5025">
        <v>29.529399999999999</v>
      </c>
      <c r="AD5025">
        <v>-1.108902598642</v>
      </c>
      <c r="AE5025">
        <v>4.9819699999999898</v>
      </c>
      <c r="AF5025">
        <v>-3.7487205229921599</v>
      </c>
      <c r="AG5025">
        <v>-1.108902598642</v>
      </c>
      <c r="AH5025">
        <v>29.6698214168912</v>
      </c>
      <c r="AI5025">
        <v>92.123552793352204</v>
      </c>
      <c r="AJ5025">
        <v>97.201046233093905</v>
      </c>
      <c r="AK5025">
        <v>29.926257257515399</v>
      </c>
      <c r="AL5025">
        <v>81.548498269606696</v>
      </c>
      <c r="AM5025">
        <v>84.749368707829703</v>
      </c>
      <c r="AN5025">
        <v>0.99999999072252099</v>
      </c>
    </row>
    <row r="5026" spans="1:40" x14ac:dyDescent="0.25">
      <c r="A5026" t="str">
        <f>"20190312164608578"</f>
        <v>20190312164608578</v>
      </c>
      <c r="B5026" t="str">
        <f>"1552380368566874"</f>
        <v>1552380368566874</v>
      </c>
      <c r="C5026" t="s">
        <v>40</v>
      </c>
      <c r="D5026">
        <v>4.7037449999999996</v>
      </c>
      <c r="E5026">
        <v>0.42162709999999998</v>
      </c>
      <c r="F5026" t="s">
        <v>42</v>
      </c>
      <c r="G5026">
        <v>-338.83350000000002</v>
      </c>
      <c r="H5026" s="1">
        <v>-8.9300550000000001E-7</v>
      </c>
      <c r="I5026">
        <v>21.158259999999999</v>
      </c>
      <c r="J5026">
        <v>-364.60629999999998</v>
      </c>
      <c r="K5026">
        <v>1.1088709999999999</v>
      </c>
      <c r="L5026">
        <v>16.78546</v>
      </c>
      <c r="M5026">
        <v>0.99908470000000005</v>
      </c>
      <c r="N5026">
        <v>0</v>
      </c>
      <c r="O5026">
        <v>4.1593049999999999E-2</v>
      </c>
      <c r="P5026">
        <v>0.9894155</v>
      </c>
      <c r="Q5026">
        <v>0.1364235</v>
      </c>
      <c r="R5026">
        <v>-4.9455319999999997E-2</v>
      </c>
      <c r="S5026">
        <v>3.076813</v>
      </c>
      <c r="T5026">
        <v>-0.13159409999999999</v>
      </c>
      <c r="U5026">
        <v>0.51971440000000002</v>
      </c>
      <c r="V5026">
        <v>9.0427149999999998E-2</v>
      </c>
      <c r="W5026">
        <v>0.1463585</v>
      </c>
      <c r="X5026">
        <v>0.98508989999999996</v>
      </c>
      <c r="Y5026">
        <v>-0.1253213</v>
      </c>
      <c r="Z5026">
        <v>8.9614619999999997E-4</v>
      </c>
      <c r="AA5026">
        <v>0.99211579999999999</v>
      </c>
      <c r="AB5026">
        <v>32</v>
      </c>
      <c r="AC5026">
        <v>25.772799999999901</v>
      </c>
      <c r="AD5026">
        <v>-1.1088718930054999</v>
      </c>
      <c r="AE5026">
        <v>4.3727999999999998</v>
      </c>
      <c r="AF5026">
        <v>-3.2910709416719199</v>
      </c>
      <c r="AG5026">
        <v>-1.1088718930054999</v>
      </c>
      <c r="AH5026">
        <v>25.8858045944107</v>
      </c>
      <c r="AI5026">
        <v>92.433319872498302</v>
      </c>
      <c r="AJ5026">
        <v>97.245601531936401</v>
      </c>
      <c r="AK5026">
        <v>26.1177262470956</v>
      </c>
      <c r="AL5026">
        <v>81.584045128504101</v>
      </c>
      <c r="AM5026">
        <v>84.755184883561796</v>
      </c>
      <c r="AN5026">
        <v>0.99999999553069097</v>
      </c>
    </row>
    <row r="5027" spans="1:40" x14ac:dyDescent="0.25">
      <c r="A5027" t="str">
        <f>"20190312164608588"</f>
        <v>20190312164608588</v>
      </c>
      <c r="B5027" t="str">
        <f>"1552380368576634"</f>
        <v>1552380368576634</v>
      </c>
      <c r="C5027" t="s">
        <v>40</v>
      </c>
      <c r="D5027">
        <v>4.8641079999999999</v>
      </c>
      <c r="E5027">
        <v>0.42205520000000002</v>
      </c>
      <c r="F5027" t="s">
        <v>42</v>
      </c>
      <c r="G5027">
        <v>-340.1046</v>
      </c>
      <c r="H5027" s="1">
        <v>-4.4729040000000001E-6</v>
      </c>
      <c r="I5027">
        <v>20.92698</v>
      </c>
      <c r="J5027">
        <v>-364.45609999999999</v>
      </c>
      <c r="K5027">
        <v>1.108835</v>
      </c>
      <c r="L5027">
        <v>16.791869999999999</v>
      </c>
      <c r="M5027">
        <v>0.99907780000000002</v>
      </c>
      <c r="N5027">
        <v>0</v>
      </c>
      <c r="O5027">
        <v>4.173002E-2</v>
      </c>
      <c r="P5027">
        <v>0.98952709999999999</v>
      </c>
      <c r="Q5027">
        <v>0.13575039999999999</v>
      </c>
      <c r="R5027">
        <v>-4.9071650000000001E-2</v>
      </c>
      <c r="S5027">
        <v>3.0773320000000002</v>
      </c>
      <c r="T5027">
        <v>-0.13927139999999999</v>
      </c>
      <c r="U5027">
        <v>0.52017209999999903</v>
      </c>
      <c r="V5027">
        <v>9.0202400000000002E-2</v>
      </c>
      <c r="W5027">
        <v>0.14580379999999901</v>
      </c>
      <c r="X5027">
        <v>0.98519279999999998</v>
      </c>
      <c r="Y5027">
        <v>-0.1252925</v>
      </c>
      <c r="Z5027">
        <v>9.4142360000000003E-4</v>
      </c>
      <c r="AA5027">
        <v>0.99211939999999998</v>
      </c>
      <c r="AB5027">
        <v>32</v>
      </c>
      <c r="AC5027">
        <v>24.351499999999898</v>
      </c>
      <c r="AD5027">
        <v>-1.1088394729040001</v>
      </c>
      <c r="AE5027">
        <v>4.1351100000000001</v>
      </c>
      <c r="AF5027">
        <v>-3.1090015668765099</v>
      </c>
      <c r="AG5027">
        <v>-1.1088394729040001</v>
      </c>
      <c r="AH5027">
        <v>24.453571516929198</v>
      </c>
      <c r="AI5027">
        <v>92.575576044250496</v>
      </c>
      <c r="AJ5027">
        <v>97.245652162436997</v>
      </c>
      <c r="AK5027">
        <v>24.675343475888699</v>
      </c>
      <c r="AL5027">
        <v>81.616172083742498</v>
      </c>
      <c r="AM5027">
        <v>84.768691471176595</v>
      </c>
      <c r="AN5027">
        <v>1.00000003711601</v>
      </c>
    </row>
    <row r="5028" spans="1:40" x14ac:dyDescent="0.25">
      <c r="A5028" t="str">
        <f>"20190312164608600"</f>
        <v>20190312164608600</v>
      </c>
      <c r="B5028" t="str">
        <f>"1552380368596154"</f>
        <v>1552380368596154</v>
      </c>
      <c r="C5028" t="s">
        <v>40</v>
      </c>
      <c r="D5028">
        <v>4.7239040000000001</v>
      </c>
      <c r="E5028">
        <v>0.4226781</v>
      </c>
      <c r="F5028" t="s">
        <v>42</v>
      </c>
      <c r="G5028">
        <v>-339.82569999999998</v>
      </c>
      <c r="H5028" s="1">
        <v>-4.0726340000000001E-7</v>
      </c>
      <c r="I5028">
        <v>20.932259999999999</v>
      </c>
      <c r="J5028">
        <v>-364.29169999999999</v>
      </c>
      <c r="K5028">
        <v>1.108797</v>
      </c>
      <c r="L5028">
        <v>16.79889</v>
      </c>
      <c r="M5028">
        <v>0.99907210000000002</v>
      </c>
      <c r="N5028">
        <v>0</v>
      </c>
      <c r="O5028">
        <v>4.1827620000000003E-2</v>
      </c>
      <c r="P5028">
        <v>0.98962930000000005</v>
      </c>
      <c r="Q5028">
        <v>0.134995899999999</v>
      </c>
      <c r="R5028">
        <v>-4.9094110000000003E-2</v>
      </c>
      <c r="S5028">
        <v>3.0763850000000001</v>
      </c>
      <c r="T5028">
        <v>-0.13849510000000001</v>
      </c>
      <c r="U5028">
        <v>0.51715089999999997</v>
      </c>
      <c r="V5028">
        <v>9.0345739999999994E-2</v>
      </c>
      <c r="W5028">
        <v>0.14518819999999999</v>
      </c>
      <c r="X5028">
        <v>0.9852706</v>
      </c>
      <c r="Y5028">
        <v>-0.1243001</v>
      </c>
      <c r="Z5028">
        <v>9.1000659999999998E-4</v>
      </c>
      <c r="AA5028">
        <v>0.99224420000000002</v>
      </c>
      <c r="AB5028">
        <v>32</v>
      </c>
      <c r="AC5028">
        <v>24.466000000000001</v>
      </c>
      <c r="AD5028">
        <v>-1.1087974072633999</v>
      </c>
      <c r="AE5028">
        <v>4.1333699999999904</v>
      </c>
      <c r="AF5028">
        <v>-3.1001530889044799</v>
      </c>
      <c r="AG5028">
        <v>-1.1087974072633999</v>
      </c>
      <c r="AH5028">
        <v>24.5684235676523</v>
      </c>
      <c r="AI5028">
        <v>92.563759398904097</v>
      </c>
      <c r="AJ5028">
        <v>97.191826672929807</v>
      </c>
      <c r="AK5028">
        <v>24.788057960731201</v>
      </c>
      <c r="AL5028">
        <v>81.651822927309297</v>
      </c>
      <c r="AM5028">
        <v>84.760836098551096</v>
      </c>
      <c r="AN5028">
        <v>1.00000006068987</v>
      </c>
    </row>
    <row r="5029" spans="1:40" x14ac:dyDescent="0.25">
      <c r="A5029" t="str">
        <f>"20190312164608612"</f>
        <v>20190312164608612</v>
      </c>
      <c r="B5029" t="str">
        <f>"1552380368606890"</f>
        <v>1552380368606890</v>
      </c>
      <c r="C5029" t="s">
        <v>40</v>
      </c>
      <c r="D5029">
        <v>4.7716450000000004</v>
      </c>
      <c r="E5029">
        <v>0.42292540000000001</v>
      </c>
      <c r="F5029" t="s">
        <v>42</v>
      </c>
      <c r="G5029">
        <v>-339.33769999999998</v>
      </c>
      <c r="H5029" s="1">
        <v>-6.2072840000000005E-7</v>
      </c>
      <c r="I5029">
        <v>20.947900000000001</v>
      </c>
      <c r="J5029">
        <v>-364.1191</v>
      </c>
      <c r="K5029">
        <v>1.1087629999999999</v>
      </c>
      <c r="L5029">
        <v>16.806239999999999</v>
      </c>
      <c r="M5029">
        <v>0.99906689999999998</v>
      </c>
      <c r="N5029">
        <v>0</v>
      </c>
      <c r="O5029">
        <v>4.1912100000000001E-2</v>
      </c>
      <c r="P5029">
        <v>0.98976359999999997</v>
      </c>
      <c r="Q5029">
        <v>0.13406799999999999</v>
      </c>
      <c r="R5029">
        <v>-4.8931219999999997E-2</v>
      </c>
      <c r="S5029">
        <v>3.0754389999999998</v>
      </c>
      <c r="T5029">
        <v>-0.13665339999999901</v>
      </c>
      <c r="U5029">
        <v>0.51135249999999999</v>
      </c>
      <c r="V5029">
        <v>9.0293109999999996E-2</v>
      </c>
      <c r="W5029">
        <v>0.14441109999999999</v>
      </c>
      <c r="X5029">
        <v>0.98538959999999998</v>
      </c>
      <c r="Y5029">
        <v>-0.1224499</v>
      </c>
      <c r="Z5029">
        <v>8.5378319999999995E-4</v>
      </c>
      <c r="AA5029">
        <v>0.99247430000000003</v>
      </c>
      <c r="AB5029">
        <v>32</v>
      </c>
      <c r="AC5029">
        <v>24.781400000000001</v>
      </c>
      <c r="AD5029">
        <v>-1.1087636207284</v>
      </c>
      <c r="AE5029">
        <v>4.1416599999999999</v>
      </c>
      <c r="AF5029">
        <v>-3.0932993768933299</v>
      </c>
      <c r="AG5029">
        <v>-1.1087636207284</v>
      </c>
      <c r="AH5029">
        <v>24.8847560286301</v>
      </c>
      <c r="AI5029">
        <v>92.531720696859097</v>
      </c>
      <c r="AJ5029">
        <v>97.085804556637598</v>
      </c>
      <c r="AK5029">
        <v>25.1007756933164</v>
      </c>
      <c r="AL5029">
        <v>81.696821525860898</v>
      </c>
      <c r="AM5029">
        <v>84.764499974873004</v>
      </c>
      <c r="AN5029">
        <v>1.0000000376524201</v>
      </c>
    </row>
    <row r="5030" spans="1:40" x14ac:dyDescent="0.25">
      <c r="A5030" t="str">
        <f>"20190312164608623"</f>
        <v>20190312164608623</v>
      </c>
      <c r="B5030" t="str">
        <f>"1552380368616650"</f>
        <v>1552380368616650</v>
      </c>
      <c r="C5030" t="s">
        <v>40</v>
      </c>
      <c r="D5030">
        <v>4.711767</v>
      </c>
      <c r="E5030">
        <v>0.42292980000000002</v>
      </c>
      <c r="F5030" t="s">
        <v>42</v>
      </c>
      <c r="G5030">
        <v>-339.4812</v>
      </c>
      <c r="H5030" s="1">
        <v>-5.4350390000000003E-7</v>
      </c>
      <c r="I5030">
        <v>20.888929999999998</v>
      </c>
      <c r="J5030">
        <v>-363.95299999999997</v>
      </c>
      <c r="K5030">
        <v>1.1087340000000001</v>
      </c>
      <c r="L5030">
        <v>16.813289999999999</v>
      </c>
      <c r="M5030">
        <v>0.99906340000000005</v>
      </c>
      <c r="N5030">
        <v>0</v>
      </c>
      <c r="O5030">
        <v>4.1951259999999997E-2</v>
      </c>
      <c r="P5030">
        <v>0.98982479999999995</v>
      </c>
      <c r="Q5030">
        <v>0.13366310000000001</v>
      </c>
      <c r="R5030">
        <v>-4.879323E-2</v>
      </c>
      <c r="S5030">
        <v>3.074951</v>
      </c>
      <c r="T5030">
        <v>-0.13837959999999999</v>
      </c>
      <c r="U5030">
        <v>0.509552</v>
      </c>
      <c r="V5030">
        <v>9.0215920000000005E-2</v>
      </c>
      <c r="W5030">
        <v>0.1441615</v>
      </c>
      <c r="X5030">
        <v>0.98543320000000001</v>
      </c>
      <c r="Y5030">
        <v>-0.12186950000000001</v>
      </c>
      <c r="Z5030">
        <v>8.500138E-4</v>
      </c>
      <c r="AA5030">
        <v>0.99254580000000003</v>
      </c>
      <c r="AB5030">
        <v>32</v>
      </c>
      <c r="AC5030">
        <v>24.471800000000002</v>
      </c>
      <c r="AD5030">
        <v>-1.1087345435039</v>
      </c>
      <c r="AE5030">
        <v>4.0756399999999999</v>
      </c>
      <c r="AF5030">
        <v>-3.03930072022604</v>
      </c>
      <c r="AG5030">
        <v>-1.1087345435039</v>
      </c>
      <c r="AH5030">
        <v>24.5721641171898</v>
      </c>
      <c r="AI5030">
        <v>92.564010513764401</v>
      </c>
      <c r="AJ5030">
        <v>97.051032237966197</v>
      </c>
      <c r="AK5030">
        <v>24.784226648375299</v>
      </c>
      <c r="AL5030">
        <v>81.711273641401405</v>
      </c>
      <c r="AM5030">
        <v>84.769181032678603</v>
      </c>
      <c r="AN5030">
        <v>1.00000002098296</v>
      </c>
    </row>
    <row r="5031" spans="1:40" x14ac:dyDescent="0.25">
      <c r="A5031" t="str">
        <f>"20190312164608635"</f>
        <v>20190312164608635</v>
      </c>
      <c r="B5031" t="str">
        <f>"1552380368626410"</f>
        <v>1552380368626410</v>
      </c>
      <c r="C5031" t="s">
        <v>40</v>
      </c>
      <c r="D5031">
        <v>4.7490730000000001</v>
      </c>
      <c r="E5031">
        <v>0.42318840000000002</v>
      </c>
      <c r="F5031" t="s">
        <v>42</v>
      </c>
      <c r="G5031">
        <v>-340.09589999999997</v>
      </c>
      <c r="H5031" s="1">
        <v>-4.4475329999999996E-6</v>
      </c>
      <c r="I5031">
        <v>20.767140000000001</v>
      </c>
      <c r="J5031">
        <v>-363.79469999999998</v>
      </c>
      <c r="K5031">
        <v>1.108708</v>
      </c>
      <c r="L5031">
        <v>16.819979999999902</v>
      </c>
      <c r="M5031">
        <v>0.99906130000000004</v>
      </c>
      <c r="N5031">
        <v>0</v>
      </c>
      <c r="O5031">
        <v>4.1958710000000003E-2</v>
      </c>
      <c r="P5031">
        <v>0.98980290000000004</v>
      </c>
      <c r="Q5031">
        <v>0.13378960000000001</v>
      </c>
      <c r="R5031">
        <v>-4.8895859999999999E-2</v>
      </c>
      <c r="S5031">
        <v>3.075256</v>
      </c>
      <c r="T5031">
        <v>-0.14291980000000001</v>
      </c>
      <c r="U5031">
        <v>0.50967410000000002</v>
      </c>
      <c r="V5031">
        <v>9.0342229999999996E-2</v>
      </c>
      <c r="W5031">
        <v>0.14443520000000001</v>
      </c>
      <c r="X5031">
        <v>0.98538150000000002</v>
      </c>
      <c r="Y5031">
        <v>-0.12187919999999999</v>
      </c>
      <c r="Z5031">
        <v>8.7766449999999996E-4</v>
      </c>
      <c r="AA5031">
        <v>0.99254450000000005</v>
      </c>
      <c r="AB5031">
        <v>32</v>
      </c>
      <c r="AC5031">
        <v>23.698799999999999</v>
      </c>
      <c r="AD5031">
        <v>-1.1087124475329999</v>
      </c>
      <c r="AE5031">
        <v>3.9471599999999998</v>
      </c>
      <c r="AF5031">
        <v>-2.9429873275318599</v>
      </c>
      <c r="AG5031">
        <v>-1.1087124475329999</v>
      </c>
      <c r="AH5031">
        <v>23.792884728974499</v>
      </c>
      <c r="AI5031">
        <v>92.647817250031807</v>
      </c>
      <c r="AJ5031">
        <v>97.051209448831699</v>
      </c>
      <c r="AK5031">
        <v>23.999828779130802</v>
      </c>
      <c r="AL5031">
        <v>81.695425527231293</v>
      </c>
      <c r="AM5031">
        <v>84.761624851146706</v>
      </c>
      <c r="AN5031">
        <v>0.99999997303133104</v>
      </c>
    </row>
    <row r="5032" spans="1:40" x14ac:dyDescent="0.25">
      <c r="A5032" t="str">
        <f>"20190312164608645"</f>
        <v>20190312164608645</v>
      </c>
      <c r="B5032" t="str">
        <f>"1552380368636170"</f>
        <v>1552380368636170</v>
      </c>
      <c r="C5032" t="s">
        <v>40</v>
      </c>
      <c r="D5032">
        <v>4.8606249999999998</v>
      </c>
      <c r="E5032">
        <v>0.42343769999999997</v>
      </c>
      <c r="F5032" t="s">
        <v>42</v>
      </c>
      <c r="G5032">
        <v>-339.77910000000003</v>
      </c>
      <c r="H5032" s="1">
        <v>-3.8718800000000001E-7</v>
      </c>
      <c r="I5032">
        <v>20.781669999999998</v>
      </c>
      <c r="J5032">
        <v>-363.62560000000002</v>
      </c>
      <c r="K5032">
        <v>1.108679</v>
      </c>
      <c r="L5032">
        <v>16.827120000000001</v>
      </c>
      <c r="M5032">
        <v>0.99906030000000001</v>
      </c>
      <c r="N5032">
        <v>0</v>
      </c>
      <c r="O5032">
        <v>4.1938919999999998E-2</v>
      </c>
      <c r="P5032">
        <v>0.98975310000000005</v>
      </c>
      <c r="Q5032">
        <v>0.13416349999999999</v>
      </c>
      <c r="R5032">
        <v>-4.8881239999999999E-2</v>
      </c>
      <c r="S5032">
        <v>3.0751339999999998</v>
      </c>
      <c r="T5032">
        <v>-0.141966799999999</v>
      </c>
      <c r="U5032">
        <v>0.50729369999999996</v>
      </c>
      <c r="V5032">
        <v>9.0324009999999996E-2</v>
      </c>
      <c r="W5032">
        <v>0.1449655</v>
      </c>
      <c r="X5032">
        <v>0.98530530000000005</v>
      </c>
      <c r="Y5032">
        <v>-0.12115910000000001</v>
      </c>
      <c r="Z5032">
        <v>8.5629740000000003E-4</v>
      </c>
      <c r="AA5032">
        <v>0.99263270000000003</v>
      </c>
      <c r="AB5032">
        <v>32</v>
      </c>
      <c r="AC5032">
        <v>23.846499999999899</v>
      </c>
      <c r="AD5032">
        <v>-1.1086793871880001</v>
      </c>
      <c r="AE5032">
        <v>3.9545499999999998</v>
      </c>
      <c r="AF5032">
        <v>-2.9447192297171001</v>
      </c>
      <c r="AG5032">
        <v>-1.1086793871880001</v>
      </c>
      <c r="AH5032">
        <v>23.9410119313584</v>
      </c>
      <c r="AI5032">
        <v>92.631600728809204</v>
      </c>
      <c r="AJ5032">
        <v>97.012100603654105</v>
      </c>
      <c r="AK5032">
        <v>24.146896148840501</v>
      </c>
      <c r="AL5032">
        <v>81.664718444288894</v>
      </c>
      <c r="AM5032">
        <v>84.762272654878103</v>
      </c>
      <c r="AN5032">
        <v>0.99999997859040901</v>
      </c>
    </row>
    <row r="5033" spans="1:40" x14ac:dyDescent="0.25">
      <c r="A5033" t="str">
        <f>"20190312164608656"</f>
        <v>20190312164608656</v>
      </c>
      <c r="B5033" t="str">
        <f>"1552380368646907"</f>
        <v>1552380368646907</v>
      </c>
      <c r="C5033" t="s">
        <v>40</v>
      </c>
      <c r="D5033">
        <v>4.7764519999999999</v>
      </c>
      <c r="E5033">
        <v>0.42339270000000001</v>
      </c>
      <c r="F5033" t="s">
        <v>42</v>
      </c>
      <c r="G5033">
        <v>-339.22559999999999</v>
      </c>
      <c r="H5033" s="1">
        <v>-6.3911000000000001E-7</v>
      </c>
      <c r="I5033">
        <v>20.83623</v>
      </c>
      <c r="J5033">
        <v>-363.48790000000002</v>
      </c>
      <c r="K5033">
        <v>1.1086579999999999</v>
      </c>
      <c r="L5033">
        <v>16.832889999999999</v>
      </c>
      <c r="M5033">
        <v>0.99906119999999998</v>
      </c>
      <c r="N5033">
        <v>0</v>
      </c>
      <c r="O5033">
        <v>4.1885159999999998E-2</v>
      </c>
      <c r="P5033">
        <v>0.98974629999999997</v>
      </c>
      <c r="Q5033">
        <v>0.13419110000000001</v>
      </c>
      <c r="R5033">
        <v>-4.8943779999999999E-2</v>
      </c>
      <c r="S5033">
        <v>3.074951</v>
      </c>
      <c r="T5033">
        <v>-0.1397187</v>
      </c>
      <c r="U5033">
        <v>0.50524899999999995</v>
      </c>
      <c r="V5033">
        <v>9.0347860000000002E-2</v>
      </c>
      <c r="W5033">
        <v>0.14511599999999999</v>
      </c>
      <c r="X5033">
        <v>0.98528099999999996</v>
      </c>
      <c r="Y5033">
        <v>-0.12058239999999899</v>
      </c>
      <c r="Z5033">
        <v>8.3224809999999998E-4</v>
      </c>
      <c r="AA5033">
        <v>0.992703</v>
      </c>
      <c r="AB5033">
        <v>32</v>
      </c>
      <c r="AC5033">
        <v>24.2623</v>
      </c>
      <c r="AD5033">
        <v>-1.10865863911</v>
      </c>
      <c r="AE5033">
        <v>4.0033399999999997</v>
      </c>
      <c r="AF5033">
        <v>-2.9774816502597599</v>
      </c>
      <c r="AG5033">
        <v>-1.10865863911</v>
      </c>
      <c r="AH5033">
        <v>24.359182302406001</v>
      </c>
      <c r="AI5033">
        <v>92.586677168091896</v>
      </c>
      <c r="AJ5033">
        <v>96.968832078727601</v>
      </c>
      <c r="AK5033">
        <v>24.5655100373991</v>
      </c>
      <c r="AL5033">
        <v>81.656003612798202</v>
      </c>
      <c r="AM5033">
        <v>84.760768838395293</v>
      </c>
      <c r="AN5033">
        <v>1.0000000191117799</v>
      </c>
    </row>
    <row r="5034" spans="1:40" x14ac:dyDescent="0.25">
      <c r="A5034" t="str">
        <f>"20190312164608667"</f>
        <v>20190312164608667</v>
      </c>
      <c r="B5034" t="str">
        <f>"1552380368656667"</f>
        <v>1552380368656667</v>
      </c>
      <c r="C5034" t="s">
        <v>40</v>
      </c>
      <c r="D5034">
        <v>4.7952440000000003</v>
      </c>
      <c r="E5034">
        <v>0.42343019999999998</v>
      </c>
      <c r="F5034" t="s">
        <v>42</v>
      </c>
      <c r="G5034">
        <v>-339.54109999999997</v>
      </c>
      <c r="H5034" s="1">
        <v>-4.8606449999999996E-7</v>
      </c>
      <c r="I5034">
        <v>20.76961</v>
      </c>
      <c r="J5034">
        <v>-363.327</v>
      </c>
      <c r="K5034">
        <v>1.108627</v>
      </c>
      <c r="L5034">
        <v>16.839600000000001</v>
      </c>
      <c r="M5034">
        <v>0.99906249999999996</v>
      </c>
      <c r="N5034">
        <v>0</v>
      </c>
      <c r="O5034">
        <v>4.1809699999999998E-2</v>
      </c>
      <c r="P5034">
        <v>0.98974899999999999</v>
      </c>
      <c r="Q5034">
        <v>0.13414619999999999</v>
      </c>
      <c r="R5034">
        <v>-4.9009509999999999E-2</v>
      </c>
      <c r="S5034">
        <v>3.0753780000000002</v>
      </c>
      <c r="T5034">
        <v>-0.1423796</v>
      </c>
      <c r="U5034">
        <v>0.5055847</v>
      </c>
      <c r="V5034">
        <v>9.0356160000000005E-2</v>
      </c>
      <c r="W5034">
        <v>0.1452136</v>
      </c>
      <c r="X5034">
        <v>0.98526590000000003</v>
      </c>
      <c r="Y5034">
        <v>-0.1207375</v>
      </c>
      <c r="Z5034">
        <v>8.5498149999999897E-4</v>
      </c>
      <c r="AA5034">
        <v>0.99268409999999996</v>
      </c>
      <c r="AB5034">
        <v>32</v>
      </c>
      <c r="AC5034">
        <v>23.785900000000002</v>
      </c>
      <c r="AD5034">
        <v>-1.1086274860645</v>
      </c>
      <c r="AE5034">
        <v>3.93000999999999</v>
      </c>
      <c r="AF5034">
        <v>-2.9258420138891101</v>
      </c>
      <c r="AG5034">
        <v>-1.1086274860645</v>
      </c>
      <c r="AH5034">
        <v>23.878926508369101</v>
      </c>
      <c r="AI5034">
        <v>92.638459914093502</v>
      </c>
      <c r="AJ5034">
        <v>96.985529617309098</v>
      </c>
      <c r="AK5034">
        <v>24.083038379431901</v>
      </c>
      <c r="AL5034">
        <v>81.650352016174295</v>
      </c>
      <c r="AM5034">
        <v>84.760210348279102</v>
      </c>
      <c r="AN5034">
        <v>1.0000000594888501</v>
      </c>
    </row>
    <row r="5035" spans="1:40" x14ac:dyDescent="0.25">
      <c r="A5035" t="str">
        <f>"20190312164608678"</f>
        <v>20190312164608678</v>
      </c>
      <c r="B5035" t="str">
        <f>"1552380368666426"</f>
        <v>1552380368666426</v>
      </c>
      <c r="C5035" t="s">
        <v>40</v>
      </c>
      <c r="D5035">
        <v>4.8952559999999998</v>
      </c>
      <c r="E5035">
        <v>0.42355730000000003</v>
      </c>
      <c r="F5035" t="s">
        <v>42</v>
      </c>
      <c r="G5035">
        <v>-339.85930000000002</v>
      </c>
      <c r="H5035" s="1">
        <v>-3.2964749999999997E-7</v>
      </c>
      <c r="I5035">
        <v>20.694739999999999</v>
      </c>
      <c r="J5035">
        <v>-363.178</v>
      </c>
      <c r="K5035">
        <v>1.108598</v>
      </c>
      <c r="L5035">
        <v>16.845790000000001</v>
      </c>
      <c r="M5035">
        <v>0.9990658</v>
      </c>
      <c r="N5035">
        <v>0</v>
      </c>
      <c r="O5035">
        <v>4.169668E-2</v>
      </c>
      <c r="P5035">
        <v>0.98973520000000004</v>
      </c>
      <c r="Q5035">
        <v>0.13420360000000001</v>
      </c>
      <c r="R5035">
        <v>-4.9129340000000001E-2</v>
      </c>
      <c r="S5035">
        <v>3.0757750000000001</v>
      </c>
      <c r="T5035">
        <v>-0.14530090000000001</v>
      </c>
      <c r="U5035">
        <v>0.50527949999999999</v>
      </c>
      <c r="V5035">
        <v>9.0379989999999993E-2</v>
      </c>
      <c r="W5035">
        <v>0.14539530000000001</v>
      </c>
      <c r="X5035">
        <v>0.98523689999999997</v>
      </c>
      <c r="Y5035">
        <v>-0.1207298</v>
      </c>
      <c r="Z5035">
        <v>8.7750440000000001E-4</v>
      </c>
      <c r="AA5035">
        <v>0.99268500000000004</v>
      </c>
      <c r="AB5035">
        <v>32</v>
      </c>
      <c r="AC5035">
        <v>23.3187</v>
      </c>
      <c r="AD5035">
        <v>-1.1085983296474999</v>
      </c>
      <c r="AE5035">
        <v>3.8489499999999901</v>
      </c>
      <c r="AF5035">
        <v>-2.8669192928370602</v>
      </c>
      <c r="AG5035">
        <v>-1.1085983296474999</v>
      </c>
      <c r="AH5035">
        <v>23.4074147966064</v>
      </c>
      <c r="AI5035">
        <v>92.691476090691594</v>
      </c>
      <c r="AJ5035">
        <v>96.982758150152193</v>
      </c>
      <c r="AK5035">
        <v>23.608373174543999</v>
      </c>
      <c r="AL5035">
        <v>81.639829557066804</v>
      </c>
      <c r="AM5035">
        <v>84.758682720153402</v>
      </c>
      <c r="AN5035">
        <v>1.00000004248804</v>
      </c>
    </row>
    <row r="5036" spans="1:40" x14ac:dyDescent="0.25">
      <c r="A5036" t="str">
        <f>"20190312164608689"</f>
        <v>20190312164608689</v>
      </c>
      <c r="B5036" t="str">
        <f>"1552380368676186"</f>
        <v>1552380368676186</v>
      </c>
      <c r="C5036" t="s">
        <v>40</v>
      </c>
      <c r="D5036">
        <v>4.8071729999999997</v>
      </c>
      <c r="E5036">
        <v>0.42357529999999999</v>
      </c>
      <c r="F5036" t="s">
        <v>42</v>
      </c>
      <c r="G5036">
        <v>-340.18290000000002</v>
      </c>
      <c r="H5036" s="1">
        <v>-4.3904140000000003E-6</v>
      </c>
      <c r="I5036">
        <v>20.611969999999999</v>
      </c>
      <c r="J5036">
        <v>-363.02050000000003</v>
      </c>
      <c r="K5036">
        <v>1.1085659999999999</v>
      </c>
      <c r="L5036">
        <v>16.85229</v>
      </c>
      <c r="M5036">
        <v>0.9990694</v>
      </c>
      <c r="N5036">
        <v>0</v>
      </c>
      <c r="O5036">
        <v>4.1570030000000001E-2</v>
      </c>
      <c r="P5036">
        <v>0.98976529999999996</v>
      </c>
      <c r="Q5036">
        <v>0.13388739999999999</v>
      </c>
      <c r="R5036">
        <v>-4.9381420000000002E-2</v>
      </c>
      <c r="S5036">
        <v>3.076263</v>
      </c>
      <c r="T5036">
        <v>-0.148307299999999</v>
      </c>
      <c r="U5036">
        <v>0.50384519999999999</v>
      </c>
      <c r="V5036">
        <v>9.0525250000000002E-2</v>
      </c>
      <c r="W5036">
        <v>0.14520939999999999</v>
      </c>
      <c r="X5036">
        <v>0.98525090000000004</v>
      </c>
      <c r="Y5036">
        <v>-0.12037639999999999</v>
      </c>
      <c r="Z5036">
        <v>8.9311479999999905E-4</v>
      </c>
      <c r="AA5036">
        <v>0.9927279</v>
      </c>
      <c r="AB5036">
        <v>32</v>
      </c>
      <c r="AC5036">
        <v>22.837599999999998</v>
      </c>
      <c r="AD5036">
        <v>-1.1085703904140001</v>
      </c>
      <c r="AE5036">
        <v>3.7596799999999999</v>
      </c>
      <c r="AF5036">
        <v>-2.8005823556185501</v>
      </c>
      <c r="AG5036">
        <v>-1.1085703904140001</v>
      </c>
      <c r="AH5036">
        <v>22.9215724015992</v>
      </c>
      <c r="AI5036">
        <v>92.7484670814232</v>
      </c>
      <c r="AJ5036">
        <v>96.965933864543302</v>
      </c>
      <c r="AK5036">
        <v>23.1186217409875</v>
      </c>
      <c r="AL5036">
        <v>81.650594427924503</v>
      </c>
      <c r="AM5036">
        <v>84.750380009516107</v>
      </c>
      <c r="AN5036">
        <v>0.99999996334336505</v>
      </c>
    </row>
    <row r="5037" spans="1:40" x14ac:dyDescent="0.25">
      <c r="A5037" t="str">
        <f>"20190312164608700"</f>
        <v>20190312164608700</v>
      </c>
      <c r="B5037" t="str">
        <f>"1552380368696683"</f>
        <v>1552380368696683</v>
      </c>
      <c r="C5037" t="s">
        <v>40</v>
      </c>
      <c r="D5037">
        <v>5.0314410000000001</v>
      </c>
      <c r="E5037">
        <v>0.42387599999999998</v>
      </c>
      <c r="F5037" t="s">
        <v>42</v>
      </c>
      <c r="G5037">
        <v>-340.50439999999998</v>
      </c>
      <c r="H5037" s="1">
        <v>-4.266986E-6</v>
      </c>
      <c r="I5037">
        <v>20.532959999999999</v>
      </c>
      <c r="J5037">
        <v>-362.8537</v>
      </c>
      <c r="K5037">
        <v>1.108528</v>
      </c>
      <c r="L5037">
        <v>16.859100000000002</v>
      </c>
      <c r="M5037">
        <v>0.99907539999999995</v>
      </c>
      <c r="N5037">
        <v>0</v>
      </c>
      <c r="O5037">
        <v>4.1389849999999999E-2</v>
      </c>
      <c r="P5037">
        <v>0.9897956</v>
      </c>
      <c r="Q5037">
        <v>0.13360540000000001</v>
      </c>
      <c r="R5037">
        <v>-4.9547859999999999E-2</v>
      </c>
      <c r="S5037">
        <v>3.0765690000000001</v>
      </c>
      <c r="T5037">
        <v>-0.15147289999999999</v>
      </c>
      <c r="U5037">
        <v>0.50292970000000004</v>
      </c>
      <c r="V5037">
        <v>9.0532749999999995E-2</v>
      </c>
      <c r="W5037">
        <v>0.14505370000000001</v>
      </c>
      <c r="X5037">
        <v>0.98527319999999996</v>
      </c>
      <c r="Y5037">
        <v>-0.12024799999999999</v>
      </c>
      <c r="Z5037">
        <v>9.1773319999999996E-4</v>
      </c>
      <c r="AA5037">
        <v>0.99274340000000005</v>
      </c>
      <c r="AB5037">
        <v>32</v>
      </c>
      <c r="AC5037">
        <v>22.349299999999999</v>
      </c>
      <c r="AD5037">
        <v>-1.108532266986</v>
      </c>
      <c r="AE5037">
        <v>3.6738599999999901</v>
      </c>
      <c r="AF5037">
        <v>-2.73905332406677</v>
      </c>
      <c r="AG5037">
        <v>-1.108532266986</v>
      </c>
      <c r="AH5037">
        <v>22.428489916263999</v>
      </c>
      <c r="AI5037">
        <v>92.808718320377693</v>
      </c>
      <c r="AJ5037">
        <v>96.962702780850606</v>
      </c>
      <c r="AK5037">
        <v>22.6222991055946</v>
      </c>
      <c r="AL5037">
        <v>81.659611291585605</v>
      </c>
      <c r="AM5037">
        <v>84.7500656719143</v>
      </c>
      <c r="AN5037">
        <v>1.00000001667224</v>
      </c>
    </row>
    <row r="5038" spans="1:40" x14ac:dyDescent="0.25">
      <c r="A5038" t="str">
        <f>"20190312164608712"</f>
        <v>20190312164608712</v>
      </c>
      <c r="B5038" t="str">
        <f>"1552380368706442"</f>
        <v>1552380368706442</v>
      </c>
      <c r="C5038" t="s">
        <v>40</v>
      </c>
      <c r="D5038">
        <v>4.8403890000000001</v>
      </c>
      <c r="E5038">
        <v>0.42396070000000002</v>
      </c>
      <c r="F5038" t="s">
        <v>42</v>
      </c>
      <c r="G5038">
        <v>-339.89569999999998</v>
      </c>
      <c r="H5038" s="1">
        <v>-2.8581440000000002E-7</v>
      </c>
      <c r="I5038">
        <v>20.588789999999999</v>
      </c>
      <c r="J5038">
        <v>-362.68770000000001</v>
      </c>
      <c r="K5038">
        <v>1.108493</v>
      </c>
      <c r="L5038">
        <v>16.865839999999999</v>
      </c>
      <c r="M5038">
        <v>0.99908160000000001</v>
      </c>
      <c r="N5038">
        <v>0</v>
      </c>
      <c r="O5038">
        <v>4.1199909999999999E-2</v>
      </c>
      <c r="P5038">
        <v>0.98979879999999998</v>
      </c>
      <c r="Q5038">
        <v>0.13338410000000001</v>
      </c>
      <c r="R5038">
        <v>-5.0074809999999997E-2</v>
      </c>
      <c r="S5038">
        <v>3.0759889999999999</v>
      </c>
      <c r="T5038">
        <v>-0.14852399999999999</v>
      </c>
      <c r="U5038">
        <v>0.49972529999999998</v>
      </c>
      <c r="V5038">
        <v>9.0889460000000005E-2</v>
      </c>
      <c r="W5038">
        <v>0.14495459999999999</v>
      </c>
      <c r="X5038">
        <v>0.98525490000000004</v>
      </c>
      <c r="Y5038">
        <v>-0.11946320000000001</v>
      </c>
      <c r="Z5038">
        <v>8.9038929999999902E-4</v>
      </c>
      <c r="AA5038">
        <v>0.9928382</v>
      </c>
      <c r="AB5038">
        <v>32</v>
      </c>
      <c r="AC5038">
        <v>22.792000000000002</v>
      </c>
      <c r="AD5038">
        <v>-1.1084932858144001</v>
      </c>
      <c r="AE5038">
        <v>3.72295</v>
      </c>
      <c r="AF5038">
        <v>-2.7743033513874602</v>
      </c>
      <c r="AG5038">
        <v>-1.1084932858144001</v>
      </c>
      <c r="AH5038">
        <v>22.8733428626715</v>
      </c>
      <c r="AI5038">
        <v>92.754356180647406</v>
      </c>
      <c r="AJ5038">
        <v>96.915613721236596</v>
      </c>
      <c r="AK5038">
        <v>23.067625152224501</v>
      </c>
      <c r="AL5038">
        <v>81.665349596608493</v>
      </c>
      <c r="AM5038">
        <v>84.729399217914903</v>
      </c>
      <c r="AN5038">
        <v>0.99999997398713003</v>
      </c>
    </row>
    <row r="5039" spans="1:40" x14ac:dyDescent="0.25">
      <c r="A5039" t="str">
        <f>"20190312164608724"</f>
        <v>20190312164608724</v>
      </c>
      <c r="B5039" t="str">
        <f>"1552380368716202"</f>
        <v>1552380368716202</v>
      </c>
      <c r="C5039" t="s">
        <v>40</v>
      </c>
      <c r="D5039">
        <v>5.1914360000000004</v>
      </c>
      <c r="E5039">
        <v>0.42403669999999999</v>
      </c>
      <c r="F5039" t="s">
        <v>42</v>
      </c>
      <c r="G5039">
        <v>-339.55459999999999</v>
      </c>
      <c r="H5039" s="1">
        <v>-4.3724909999999999E-7</v>
      </c>
      <c r="I5039">
        <v>20.607949999999999</v>
      </c>
      <c r="J5039">
        <v>-362.50909999999999</v>
      </c>
      <c r="K5039">
        <v>1.1084510000000001</v>
      </c>
      <c r="L5039">
        <v>16.87302</v>
      </c>
      <c r="M5039">
        <v>0.99908940000000002</v>
      </c>
      <c r="N5039">
        <v>0</v>
      </c>
      <c r="O5039">
        <v>4.0969449999999998E-2</v>
      </c>
      <c r="P5039">
        <v>0.98980040000000002</v>
      </c>
      <c r="Q5039">
        <v>0.1332411</v>
      </c>
      <c r="R5039">
        <v>-5.041992E-2</v>
      </c>
      <c r="S5039">
        <v>3.075958</v>
      </c>
      <c r="T5039">
        <v>-0.14739369999999999</v>
      </c>
      <c r="U5039">
        <v>0.49758910000000001</v>
      </c>
      <c r="V5039">
        <v>9.1024839999999996E-2</v>
      </c>
      <c r="W5039">
        <v>0.14493529999999999</v>
      </c>
      <c r="X5039">
        <v>0.98524529999999999</v>
      </c>
      <c r="Y5039">
        <v>-0.1190234</v>
      </c>
      <c r="Z5039">
        <v>8.8414570000000005E-4</v>
      </c>
      <c r="AA5039">
        <v>0.99289110000000003</v>
      </c>
      <c r="AB5039">
        <v>32</v>
      </c>
      <c r="AC5039">
        <v>22.954499999999999</v>
      </c>
      <c r="AD5039">
        <v>-1.1084514372490999</v>
      </c>
      <c r="AE5039">
        <v>3.7349299999999999</v>
      </c>
      <c r="AF5039">
        <v>-2.7849671592703702</v>
      </c>
      <c r="AG5039">
        <v>-1.1084514372490999</v>
      </c>
      <c r="AH5039">
        <v>23.035923017134699</v>
      </c>
      <c r="AI5039">
        <v>92.734971454834096</v>
      </c>
      <c r="AJ5039">
        <v>96.893416033160605</v>
      </c>
      <c r="AK5039">
        <v>23.230119584675201</v>
      </c>
      <c r="AL5039">
        <v>81.666467693747805</v>
      </c>
      <c r="AM5039">
        <v>84.721541819484003</v>
      </c>
      <c r="AN5039">
        <v>1.0000000319275999</v>
      </c>
    </row>
    <row r="5040" spans="1:40" x14ac:dyDescent="0.25">
      <c r="A5040" t="str">
        <f>"20190312164608736"</f>
        <v>20190312164608736</v>
      </c>
      <c r="B5040" t="str">
        <f>"1552380368726937"</f>
        <v>1552380368726937</v>
      </c>
      <c r="C5040" t="s">
        <v>40</v>
      </c>
      <c r="D5040">
        <v>4.6716730000000002</v>
      </c>
      <c r="E5040">
        <v>0.42403669999999999</v>
      </c>
      <c r="F5040" t="s">
        <v>42</v>
      </c>
      <c r="G5040">
        <v>-339.19830000000002</v>
      </c>
      <c r="H5040" s="1">
        <v>-5.9660700000000002E-7</v>
      </c>
      <c r="I5040">
        <v>20.63242</v>
      </c>
      <c r="J5040">
        <v>-362.34350000000001</v>
      </c>
      <c r="K5040">
        <v>1.10842</v>
      </c>
      <c r="L5040">
        <v>16.87961</v>
      </c>
      <c r="M5040">
        <v>0.99909749999999997</v>
      </c>
      <c r="N5040">
        <v>0</v>
      </c>
      <c r="O5040">
        <v>4.0735939999999998E-2</v>
      </c>
      <c r="P5040">
        <v>0.989757</v>
      </c>
      <c r="Q5040">
        <v>0.13324440000000001</v>
      </c>
      <c r="R5040">
        <v>-5.1257360000000002E-2</v>
      </c>
      <c r="S5040">
        <v>3.0758670000000001</v>
      </c>
      <c r="T5040">
        <v>-0.14626029999999901</v>
      </c>
      <c r="U5040">
        <v>0.49606319999999998</v>
      </c>
      <c r="V5040">
        <v>9.1643790000000003E-2</v>
      </c>
      <c r="W5040">
        <v>0.14504520000000001</v>
      </c>
      <c r="X5040">
        <v>0.98517169999999998</v>
      </c>
      <c r="Y5040">
        <v>-0.118781399999999</v>
      </c>
      <c r="Z5040">
        <v>8.826951E-4</v>
      </c>
      <c r="AA5040">
        <v>0.99292000000000002</v>
      </c>
      <c r="AB5040">
        <v>32</v>
      </c>
      <c r="AC5040">
        <v>23.1451999999999</v>
      </c>
      <c r="AD5040">
        <v>-1.108420596607</v>
      </c>
      <c r="AE5040">
        <v>3.75280999999999</v>
      </c>
      <c r="AF5040">
        <v>-2.80052647806703</v>
      </c>
      <c r="AG5040">
        <v>-1.108420596607</v>
      </c>
      <c r="AH5040">
        <v>23.2269657308834</v>
      </c>
      <c r="AI5040">
        <v>92.712539171352304</v>
      </c>
      <c r="AJ5040">
        <v>96.875090762710698</v>
      </c>
      <c r="AK5040">
        <v>23.4214321047405</v>
      </c>
      <c r="AL5040">
        <v>81.660103256823902</v>
      </c>
      <c r="AM5040">
        <v>84.685459465748806</v>
      </c>
      <c r="AN5040">
        <v>0.99999998638474596</v>
      </c>
    </row>
    <row r="5041" spans="1:40" x14ac:dyDescent="0.25">
      <c r="A5041" t="str">
        <f>"20190312164608751"</f>
        <v>20190312164608751</v>
      </c>
      <c r="B5041" t="str">
        <f>"1552380368746459"</f>
        <v>1552380368746459</v>
      </c>
      <c r="C5041" t="s">
        <v>40</v>
      </c>
      <c r="D5041">
        <v>5.265619</v>
      </c>
      <c r="E5041">
        <v>0.43642710000000001</v>
      </c>
      <c r="F5041" t="s">
        <v>42</v>
      </c>
      <c r="G5041">
        <v>-338.98180000000002</v>
      </c>
      <c r="H5041" s="1">
        <v>-6.8850069999999995E-7</v>
      </c>
      <c r="I5041">
        <v>20.62865</v>
      </c>
      <c r="J5041">
        <v>-362.14359999999999</v>
      </c>
      <c r="K5041">
        <v>1.108387</v>
      </c>
      <c r="L5041">
        <v>16.887509999999999</v>
      </c>
      <c r="M5041">
        <v>0.999108</v>
      </c>
      <c r="N5041">
        <v>0</v>
      </c>
      <c r="O5041">
        <v>4.0438929999999998E-2</v>
      </c>
      <c r="P5041">
        <v>0.98974960000000001</v>
      </c>
      <c r="Q5041">
        <v>0.1331601</v>
      </c>
      <c r="R5041">
        <v>-5.1617299999999998E-2</v>
      </c>
      <c r="S5041">
        <v>3.076263</v>
      </c>
      <c r="T5041">
        <v>-0.14595639999999999</v>
      </c>
      <c r="U5041">
        <v>0.49368289999999998</v>
      </c>
      <c r="V5041">
        <v>9.1725710000000002E-2</v>
      </c>
      <c r="W5041">
        <v>0.14508679999999999</v>
      </c>
      <c r="X5041">
        <v>0.98515799999999998</v>
      </c>
      <c r="Y5041">
        <v>-0.118308</v>
      </c>
      <c r="Z5041">
        <v>8.8360529999999997E-4</v>
      </c>
      <c r="AA5041">
        <v>0.99297650000000004</v>
      </c>
      <c r="AB5041">
        <v>32</v>
      </c>
      <c r="AC5041">
        <v>23.1617999999999</v>
      </c>
      <c r="AD5041">
        <v>-1.1083876885007</v>
      </c>
      <c r="AE5041">
        <v>3.7411400000000001</v>
      </c>
      <c r="AF5041">
        <v>-2.7951335047368899</v>
      </c>
      <c r="AG5041">
        <v>-1.1083876885007</v>
      </c>
      <c r="AH5041">
        <v>23.242278092058999</v>
      </c>
      <c r="AI5041">
        <v>92.710774481650304</v>
      </c>
      <c r="AJ5041">
        <v>96.857500046813499</v>
      </c>
      <c r="AK5041">
        <v>23.435972040560401</v>
      </c>
      <c r="AL5041">
        <v>81.657694680075593</v>
      </c>
      <c r="AM5041">
        <v>84.680662510935306</v>
      </c>
      <c r="AN5041">
        <v>1.0000000351866201</v>
      </c>
    </row>
    <row r="5042" spans="1:40" x14ac:dyDescent="0.25">
      <c r="A5042" t="str">
        <f>"20190312164608767"</f>
        <v>20190312164608767</v>
      </c>
      <c r="B5042" t="str">
        <f>"1552380368756218"</f>
        <v>1552380368756218</v>
      </c>
      <c r="C5042" t="s">
        <v>40</v>
      </c>
      <c r="D5042">
        <v>5.1365669999999897</v>
      </c>
      <c r="E5042">
        <v>0.48848619999999998</v>
      </c>
      <c r="F5042" t="s">
        <v>64</v>
      </c>
      <c r="G5042">
        <v>-274.49669999999998</v>
      </c>
      <c r="H5042">
        <v>1.4645820000000001</v>
      </c>
      <c r="I5042">
        <v>27.863430000000001</v>
      </c>
      <c r="J5042">
        <v>-361.8956</v>
      </c>
      <c r="K5042">
        <v>1.1083529999999999</v>
      </c>
      <c r="L5042">
        <v>16.89716</v>
      </c>
      <c r="M5042">
        <v>0.99912199999999995</v>
      </c>
      <c r="N5042">
        <v>0</v>
      </c>
      <c r="O5042">
        <v>4.0040489999999998E-2</v>
      </c>
      <c r="P5042">
        <v>0.98958360000000001</v>
      </c>
      <c r="Q5042">
        <v>0.13395279999999901</v>
      </c>
      <c r="R5042">
        <v>-5.2735030000000002E-2</v>
      </c>
      <c r="S5042">
        <v>3.049347</v>
      </c>
      <c r="T5042">
        <v>1.2392759999999999E-2</v>
      </c>
      <c r="U5042">
        <v>0.3818665</v>
      </c>
      <c r="V5042">
        <v>9.2458180000000001E-2</v>
      </c>
      <c r="W5042">
        <v>0.14601989999999901</v>
      </c>
      <c r="X5042">
        <v>0.98495160000000004</v>
      </c>
      <c r="Y5042">
        <v>-8.4425189999999997E-2</v>
      </c>
      <c r="Z5042" s="1">
        <v>-8.9144739999999997E-6</v>
      </c>
      <c r="AA5042">
        <v>0.99642980000000003</v>
      </c>
      <c r="AB5042">
        <v>32</v>
      </c>
      <c r="AC5042">
        <v>87.398899999999998</v>
      </c>
      <c r="AD5042">
        <v>0.35622899999999902</v>
      </c>
      <c r="AE5042">
        <v>10.9662699999999</v>
      </c>
      <c r="AF5042">
        <v>-7.4575916252698198</v>
      </c>
      <c r="AG5042">
        <v>0.35622899999999902</v>
      </c>
      <c r="AH5042">
        <v>87.766493231181698</v>
      </c>
      <c r="AI5042">
        <v>89.768282619202495</v>
      </c>
      <c r="AJ5042">
        <v>94.856803487993105</v>
      </c>
      <c r="AK5042">
        <v>88.083482594915594</v>
      </c>
      <c r="AL5042">
        <v>81.603656123625797</v>
      </c>
      <c r="AM5042">
        <v>84.637314850993803</v>
      </c>
      <c r="AN5042">
        <v>0.99999999029374098</v>
      </c>
    </row>
    <row r="5043" spans="1:40" x14ac:dyDescent="0.25">
      <c r="A5043" t="str">
        <f>"20190312164608778"</f>
        <v>20190312164608778</v>
      </c>
      <c r="B5043" t="str">
        <f>"1552380368766954"</f>
        <v>1552380368766954</v>
      </c>
      <c r="C5043" t="s">
        <v>40</v>
      </c>
      <c r="D5043">
        <v>4.9011950000000004</v>
      </c>
      <c r="E5043">
        <v>0.49652200000000002</v>
      </c>
      <c r="F5043" t="s">
        <v>42</v>
      </c>
      <c r="G5043">
        <v>-341.17200000000003</v>
      </c>
      <c r="H5043" s="1">
        <v>-4.2811149999999998E-6</v>
      </c>
      <c r="I5043">
        <v>16.731939999999899</v>
      </c>
      <c r="J5043">
        <v>-361.74889999999999</v>
      </c>
      <c r="K5043">
        <v>1.108344</v>
      </c>
      <c r="L5043">
        <v>16.902799999999999</v>
      </c>
      <c r="M5043">
        <v>0.99913099999999999</v>
      </c>
      <c r="N5043">
        <v>0</v>
      </c>
      <c r="O5043">
        <v>3.979187E-2</v>
      </c>
      <c r="P5043">
        <v>0.98952119999999999</v>
      </c>
      <c r="Q5043">
        <v>0.13416449999999999</v>
      </c>
      <c r="R5043">
        <v>-5.3369960000000001E-2</v>
      </c>
      <c r="S5043">
        <v>3.052368</v>
      </c>
      <c r="T5043">
        <v>-0.16324949999999999</v>
      </c>
      <c r="U5043">
        <v>-2.4322509999999999E-2</v>
      </c>
      <c r="V5043">
        <v>9.2850680000000005E-2</v>
      </c>
      <c r="W5043">
        <v>0.1463081</v>
      </c>
      <c r="X5043">
        <v>0.98487190000000002</v>
      </c>
      <c r="Y5043">
        <v>4.763059E-2</v>
      </c>
      <c r="Z5043">
        <v>-3.3992390000000001E-3</v>
      </c>
      <c r="AA5043">
        <v>0.99885919999999895</v>
      </c>
      <c r="AB5043">
        <v>32</v>
      </c>
      <c r="AC5043">
        <v>20.576899999999998</v>
      </c>
      <c r="AD5043">
        <v>-1.1083482811150001</v>
      </c>
      <c r="AE5043">
        <v>-0.17086000000000101</v>
      </c>
      <c r="AF5043">
        <v>0.986718411283244</v>
      </c>
      <c r="AG5043">
        <v>-1.1083482811150001</v>
      </c>
      <c r="AH5043">
        <v>20.494344877086199</v>
      </c>
      <c r="AI5043">
        <v>93.092005013146903</v>
      </c>
      <c r="AJ5043">
        <v>87.243572386727706</v>
      </c>
      <c r="AK5043">
        <v>20.5479979821969</v>
      </c>
      <c r="AL5043">
        <v>81.586964162853306</v>
      </c>
      <c r="AM5043">
        <v>84.614249703497094</v>
      </c>
      <c r="AN5043">
        <v>0.99999998415584102</v>
      </c>
    </row>
    <row r="5044" spans="1:40" x14ac:dyDescent="0.25">
      <c r="A5044" t="str">
        <f>"20190312164608790"</f>
        <v>20190312164608790</v>
      </c>
      <c r="B5044" t="str">
        <f>"1552380368786474"</f>
        <v>1552380368786474</v>
      </c>
      <c r="C5044" t="s">
        <v>40</v>
      </c>
      <c r="D5044">
        <v>5.1739480000000002</v>
      </c>
      <c r="E5044">
        <v>0.50303379999999998</v>
      </c>
      <c r="F5044" t="s">
        <v>41</v>
      </c>
      <c r="G5044">
        <v>-360.85789999999997</v>
      </c>
      <c r="H5044">
        <v>1.0536620000000001</v>
      </c>
      <c r="I5044">
        <v>16.876529999999999</v>
      </c>
      <c r="J5044">
        <v>-361.5872</v>
      </c>
      <c r="K5044">
        <v>1.108333</v>
      </c>
      <c r="L5044">
        <v>16.908999999999999</v>
      </c>
      <c r="M5044">
        <v>0.9991409</v>
      </c>
      <c r="N5044">
        <v>0</v>
      </c>
      <c r="O5044">
        <v>3.9515889999999998E-2</v>
      </c>
      <c r="P5044">
        <v>0.98943720000000002</v>
      </c>
      <c r="Q5044">
        <v>0.13454639999999901</v>
      </c>
      <c r="R5044">
        <v>-5.3962610000000001E-2</v>
      </c>
      <c r="S5044">
        <v>3.0523989999999999</v>
      </c>
      <c r="T5044">
        <v>-0.18725359999999999</v>
      </c>
      <c r="U5044">
        <v>-8.8562009999999997E-2</v>
      </c>
      <c r="V5044">
        <v>9.3173820000000004E-2</v>
      </c>
      <c r="W5044">
        <v>0.14677319999999999</v>
      </c>
      <c r="X5044">
        <v>0.98477219999999999</v>
      </c>
      <c r="Y5044">
        <v>6.8278889999999995E-2</v>
      </c>
      <c r="Z5044">
        <v>-4.5133600000000001E-3</v>
      </c>
      <c r="AA5044">
        <v>0.99765599999999999</v>
      </c>
      <c r="AB5044">
        <v>32</v>
      </c>
      <c r="AC5044">
        <v>0.72930000000002304</v>
      </c>
      <c r="AD5044">
        <v>-5.46709999999999E-2</v>
      </c>
      <c r="AE5044">
        <v>-3.2470000000003503E-2</v>
      </c>
      <c r="AF5044">
        <v>6.0924132226047298E-2</v>
      </c>
      <c r="AG5044">
        <v>-5.46709999999999E-2</v>
      </c>
      <c r="AH5044">
        <v>0.72339001965667304</v>
      </c>
      <c r="AI5044">
        <v>94.306786172963001</v>
      </c>
      <c r="AJ5044">
        <v>85.185892449264401</v>
      </c>
      <c r="AK5044">
        <v>0.72800672295479396</v>
      </c>
      <c r="AL5044">
        <v>81.560025293127296</v>
      </c>
      <c r="AM5044">
        <v>84.595073031654195</v>
      </c>
      <c r="AN5044">
        <v>1.0000000094322301</v>
      </c>
    </row>
    <row r="5045" spans="1:40" x14ac:dyDescent="0.25">
      <c r="A5045" t="str">
        <f>"20190312164608801"</f>
        <v>20190312164608801</v>
      </c>
      <c r="B5045" t="str">
        <f>"1552380368796235"</f>
        <v>1552380368796235</v>
      </c>
      <c r="C5045" t="s">
        <v>40</v>
      </c>
      <c r="D5045">
        <v>4.8572939999999996</v>
      </c>
      <c r="E5045">
        <v>0.50474479999999999</v>
      </c>
      <c r="F5045" t="s">
        <v>41</v>
      </c>
      <c r="G5045">
        <v>-360.58420000000001</v>
      </c>
      <c r="H5045">
        <v>1.0476760000000001</v>
      </c>
      <c r="I5045">
        <v>16.862089999999998</v>
      </c>
      <c r="J5045">
        <v>-361.42950000000002</v>
      </c>
      <c r="K5045">
        <v>1.108331</v>
      </c>
      <c r="L5045">
        <v>16.914950000000001</v>
      </c>
      <c r="M5045">
        <v>0.99915080000000001</v>
      </c>
      <c r="N5045">
        <v>0</v>
      </c>
      <c r="O5045">
        <v>3.92401E-2</v>
      </c>
      <c r="P5045">
        <v>0.9894058</v>
      </c>
      <c r="Q5045">
        <v>0.13448450000000001</v>
      </c>
      <c r="R5045">
        <v>-5.4686650000000003E-2</v>
      </c>
      <c r="S5045">
        <v>3.049347</v>
      </c>
      <c r="T5045">
        <v>-0.18436050000000001</v>
      </c>
      <c r="U5045">
        <v>-0.14242550000000001</v>
      </c>
      <c r="V5045">
        <v>9.3627639999999998E-2</v>
      </c>
      <c r="W5045">
        <v>0.14678540000000001</v>
      </c>
      <c r="X5045">
        <v>0.98472729999999997</v>
      </c>
      <c r="Y5045">
        <v>8.5593039999999995E-2</v>
      </c>
      <c r="Z5045">
        <v>-4.9529099999999996E-3</v>
      </c>
      <c r="AA5045">
        <v>0.99631789999999998</v>
      </c>
      <c r="AB5045">
        <v>32</v>
      </c>
      <c r="AC5045">
        <v>0.84530000000000804</v>
      </c>
      <c r="AD5045">
        <v>-6.0654999999999903E-2</v>
      </c>
      <c r="AE5045">
        <v>-5.2860000000002502E-2</v>
      </c>
      <c r="AF5045">
        <v>8.5552773051724207E-2</v>
      </c>
      <c r="AG5045">
        <v>-6.0654999999999903E-2</v>
      </c>
      <c r="AH5045">
        <v>0.83827510820874096</v>
      </c>
      <c r="AI5045">
        <v>94.117220861632902</v>
      </c>
      <c r="AJ5045">
        <v>84.172677338728306</v>
      </c>
      <c r="AK5045">
        <v>0.84480972002233501</v>
      </c>
      <c r="AL5045">
        <v>81.559318312654099</v>
      </c>
      <c r="AM5045">
        <v>84.568658230464706</v>
      </c>
      <c r="AN5045">
        <v>0.99999997199520896</v>
      </c>
    </row>
    <row r="5046" spans="1:40" x14ac:dyDescent="0.25">
      <c r="A5046" t="str">
        <f>"20190312164608813"</f>
        <v>20190312164608813</v>
      </c>
      <c r="B5046" t="str">
        <f>"1552380368806971"</f>
        <v>1552380368806971</v>
      </c>
      <c r="C5046" t="s">
        <v>40</v>
      </c>
      <c r="D5046">
        <v>4.3555089999999996</v>
      </c>
      <c r="E5046">
        <v>0.50634639999999997</v>
      </c>
      <c r="F5046" t="s">
        <v>41</v>
      </c>
      <c r="G5046">
        <v>-360.57569999999998</v>
      </c>
      <c r="H5046">
        <v>1.0539590000000001</v>
      </c>
      <c r="I5046">
        <v>16.87078</v>
      </c>
      <c r="J5046">
        <v>-361.24430000000001</v>
      </c>
      <c r="K5046">
        <v>1.1083259999999999</v>
      </c>
      <c r="L5046">
        <v>16.921939999999999</v>
      </c>
      <c r="M5046">
        <v>0.99916229999999995</v>
      </c>
      <c r="N5046">
        <v>0</v>
      </c>
      <c r="O5046">
        <v>3.8915239999999997E-2</v>
      </c>
      <c r="P5046">
        <v>0.98933919999999997</v>
      </c>
      <c r="Q5046">
        <v>0.1346849</v>
      </c>
      <c r="R5046">
        <v>-5.5392410000000003E-2</v>
      </c>
      <c r="S5046">
        <v>3.0497740000000002</v>
      </c>
      <c r="T5046">
        <v>-0.19416829999999999</v>
      </c>
      <c r="U5046">
        <v>-0.1575317</v>
      </c>
      <c r="V5046">
        <v>9.4013760000000002E-2</v>
      </c>
      <c r="W5046">
        <v>0.14706939999999999</v>
      </c>
      <c r="X5046">
        <v>0.98464819999999997</v>
      </c>
      <c r="Y5046">
        <v>9.0151560000000006E-2</v>
      </c>
      <c r="Z5046">
        <v>-5.3388059999999998E-3</v>
      </c>
      <c r="AA5046">
        <v>0.99591370000000001</v>
      </c>
      <c r="AB5046">
        <v>32</v>
      </c>
      <c r="AC5046">
        <v>0.66860000000002595</v>
      </c>
      <c r="AD5046">
        <v>-5.4366999999999797E-2</v>
      </c>
      <c r="AE5046">
        <v>-5.11599999999994E-2</v>
      </c>
      <c r="AF5046">
        <v>7.66382674660048E-2</v>
      </c>
      <c r="AG5046">
        <v>-5.4366999999999797E-2</v>
      </c>
      <c r="AH5046">
        <v>0.66175231281799995</v>
      </c>
      <c r="AI5046">
        <v>94.665606006265506</v>
      </c>
      <c r="AJ5046">
        <v>83.393941444617496</v>
      </c>
      <c r="AK5046">
        <v>0.66839009436792496</v>
      </c>
      <c r="AL5046">
        <v>81.542868328259601</v>
      </c>
      <c r="AM5046">
        <v>84.545958702691294</v>
      </c>
      <c r="AN5046">
        <v>1.0000000366244599</v>
      </c>
    </row>
    <row r="5047" spans="1:40" x14ac:dyDescent="0.25">
      <c r="A5047" t="str">
        <f>"20190312164608824"</f>
        <v>20190312164608824</v>
      </c>
      <c r="B5047" t="str">
        <f>"1552380368816730"</f>
        <v>1552380368816730</v>
      </c>
      <c r="C5047" t="s">
        <v>40</v>
      </c>
      <c r="D5047">
        <v>4.8741709999999996</v>
      </c>
      <c r="E5047">
        <v>0.50696629999999998</v>
      </c>
      <c r="F5047" t="s">
        <v>42</v>
      </c>
      <c r="G5047">
        <v>-341.47120000000001</v>
      </c>
      <c r="H5047" s="1">
        <v>-4.3194709999999997E-6</v>
      </c>
      <c r="I5047">
        <v>15.79219</v>
      </c>
      <c r="J5047">
        <v>-361.08690000000001</v>
      </c>
      <c r="K5047">
        <v>1.108328</v>
      </c>
      <c r="L5047">
        <v>16.927800000000001</v>
      </c>
      <c r="M5047">
        <v>0.99917199999999995</v>
      </c>
      <c r="N5047">
        <v>0</v>
      </c>
      <c r="O5047">
        <v>3.8638430000000001E-2</v>
      </c>
      <c r="P5047">
        <v>0.98932050000000005</v>
      </c>
      <c r="Q5047">
        <v>0.1345073</v>
      </c>
      <c r="R5047">
        <v>-5.614943E-2</v>
      </c>
      <c r="S5047">
        <v>3.0458370000000001</v>
      </c>
      <c r="T5047">
        <v>-0.1707265</v>
      </c>
      <c r="U5047">
        <v>-0.1740112</v>
      </c>
      <c r="V5047">
        <v>9.4498440000000003E-2</v>
      </c>
      <c r="W5047">
        <v>0.14695849999999999</v>
      </c>
      <c r="X5047">
        <v>0.98461829999999995</v>
      </c>
      <c r="Y5047">
        <v>9.536414E-2</v>
      </c>
      <c r="Z5047">
        <v>-4.8311170000000002E-3</v>
      </c>
      <c r="AA5047">
        <v>0.9954307</v>
      </c>
      <c r="AB5047">
        <v>32</v>
      </c>
      <c r="AC5047">
        <v>19.6157</v>
      </c>
      <c r="AD5047">
        <v>-1.108332319471</v>
      </c>
      <c r="AE5047">
        <v>-1.13561</v>
      </c>
      <c r="AF5047">
        <v>1.8867399332088299</v>
      </c>
      <c r="AG5047">
        <v>-1.108332319471</v>
      </c>
      <c r="AH5047">
        <v>19.4951374481636</v>
      </c>
      <c r="AI5047">
        <v>93.2387617303919</v>
      </c>
      <c r="AJ5047">
        <v>84.472128704080902</v>
      </c>
      <c r="AK5047">
        <v>19.617557753928999</v>
      </c>
      <c r="AL5047">
        <v>81.549291715791995</v>
      </c>
      <c r="AM5047">
        <v>84.517846248329903</v>
      </c>
      <c r="AN5047">
        <v>0.99999997628978599</v>
      </c>
    </row>
    <row r="5048" spans="1:40" x14ac:dyDescent="0.25">
      <c r="A5048" t="str">
        <f>"20190312164608835"</f>
        <v>20190312164608835</v>
      </c>
      <c r="B5048" t="str">
        <f>"1552380368826490"</f>
        <v>1552380368826490</v>
      </c>
      <c r="C5048" t="s">
        <v>40</v>
      </c>
      <c r="D5048">
        <v>5.2811589999999997</v>
      </c>
      <c r="E5048">
        <v>0.50825699999999996</v>
      </c>
      <c r="F5048" t="s">
        <v>42</v>
      </c>
      <c r="G5048">
        <v>-342.29610000000002</v>
      </c>
      <c r="H5048" s="1">
        <v>-3.9617950000000004E-6</v>
      </c>
      <c r="I5048">
        <v>15.81339</v>
      </c>
      <c r="J5048">
        <v>-360.9409</v>
      </c>
      <c r="K5048">
        <v>1.108325</v>
      </c>
      <c r="L5048">
        <v>16.933199999999999</v>
      </c>
      <c r="M5048">
        <v>0.99918119999999999</v>
      </c>
      <c r="N5048">
        <v>0</v>
      </c>
      <c r="O5048">
        <v>3.8382529999999998E-2</v>
      </c>
      <c r="P5048">
        <v>0.98929279999999997</v>
      </c>
      <c r="Q5048">
        <v>0.13435759999999999</v>
      </c>
      <c r="R5048">
        <v>-5.6990840000000001E-2</v>
      </c>
      <c r="S5048">
        <v>3.0465390000000001</v>
      </c>
      <c r="T5048">
        <v>-0.1796932</v>
      </c>
      <c r="U5048">
        <v>-0.18066409999999999</v>
      </c>
      <c r="V5048">
        <v>9.508693E-2</v>
      </c>
      <c r="W5048">
        <v>0.1468661</v>
      </c>
      <c r="X5048">
        <v>0.98457550000000005</v>
      </c>
      <c r="Y5048">
        <v>9.7237149999999994E-2</v>
      </c>
      <c r="Z5048">
        <v>-5.1230299999999998E-3</v>
      </c>
      <c r="AA5048">
        <v>0.99524809999999997</v>
      </c>
      <c r="AB5048">
        <v>32</v>
      </c>
      <c r="AC5048">
        <v>18.644799999999901</v>
      </c>
      <c r="AD5048">
        <v>-1.1083289617950001</v>
      </c>
      <c r="AE5048">
        <v>-1.11980999999999</v>
      </c>
      <c r="AF5048">
        <v>1.8282407608529601</v>
      </c>
      <c r="AG5048">
        <v>-1.1083289617950001</v>
      </c>
      <c r="AH5048">
        <v>18.522856303902</v>
      </c>
      <c r="AI5048">
        <v>93.407733445909201</v>
      </c>
      <c r="AJ5048">
        <v>84.363056617903496</v>
      </c>
      <c r="AK5048">
        <v>18.645832323127799</v>
      </c>
      <c r="AL5048">
        <v>81.554644507790698</v>
      </c>
      <c r="AM5048">
        <v>84.483677691487998</v>
      </c>
      <c r="AN5048">
        <v>1.0000000453931399</v>
      </c>
    </row>
    <row r="5049" spans="1:40" x14ac:dyDescent="0.25">
      <c r="A5049" t="str">
        <f>"20190312164608846"</f>
        <v>20190312164608846</v>
      </c>
      <c r="B5049" t="str">
        <f>"1552380368836251"</f>
        <v>1552380368836251</v>
      </c>
      <c r="C5049" t="s">
        <v>40</v>
      </c>
      <c r="D5049">
        <v>5.5141119999999999</v>
      </c>
      <c r="E5049">
        <v>0.51040070000000004</v>
      </c>
      <c r="F5049" t="s">
        <v>42</v>
      </c>
      <c r="G5049">
        <v>-341.53280000000001</v>
      </c>
      <c r="H5049" s="1">
        <v>-4.3098860000000001E-6</v>
      </c>
      <c r="I5049">
        <v>15.69712</v>
      </c>
      <c r="J5049">
        <v>-360.78680000000003</v>
      </c>
      <c r="K5049">
        <v>1.1083229999999999</v>
      </c>
      <c r="L5049">
        <v>16.938870000000001</v>
      </c>
      <c r="M5049">
        <v>0.99919069999999999</v>
      </c>
      <c r="N5049">
        <v>0</v>
      </c>
      <c r="O5049">
        <v>3.8113220000000003E-2</v>
      </c>
      <c r="P5049">
        <v>0.98923470000000002</v>
      </c>
      <c r="Q5049">
        <v>0.134541299999999</v>
      </c>
      <c r="R5049">
        <v>-5.7563490000000002E-2</v>
      </c>
      <c r="S5049">
        <v>3.044861</v>
      </c>
      <c r="T5049">
        <v>-0.17388129999999999</v>
      </c>
      <c r="U5049">
        <v>-0.19390869999999999</v>
      </c>
      <c r="V5049">
        <v>9.5392870000000005E-2</v>
      </c>
      <c r="W5049">
        <v>0.14710760000000001</v>
      </c>
      <c r="X5049">
        <v>0.98450979999999999</v>
      </c>
      <c r="Y5049">
        <v>0.10132190000000001</v>
      </c>
      <c r="Z5049">
        <v>-5.0607859999999899E-3</v>
      </c>
      <c r="AA5049">
        <v>0.99484079999999997</v>
      </c>
      <c r="AB5049">
        <v>32</v>
      </c>
      <c r="AC5049">
        <v>19.254000000000001</v>
      </c>
      <c r="AD5049">
        <v>-1.108327309886</v>
      </c>
      <c r="AE5049">
        <v>-1.2417499999999899</v>
      </c>
      <c r="AF5049">
        <v>1.9682453617729601</v>
      </c>
      <c r="AG5049">
        <v>-1.108327309886</v>
      </c>
      <c r="AH5049">
        <v>19.1295529887709</v>
      </c>
      <c r="AI5049">
        <v>93.298518707223295</v>
      </c>
      <c r="AJ5049">
        <v>84.125492098527999</v>
      </c>
      <c r="AK5049">
        <v>19.2624551078042</v>
      </c>
      <c r="AL5049">
        <v>81.540655215535097</v>
      </c>
      <c r="AM5049">
        <v>84.465672044784199</v>
      </c>
      <c r="AN5049">
        <v>0.99999999596031797</v>
      </c>
    </row>
    <row r="5050" spans="1:40" x14ac:dyDescent="0.25">
      <c r="A5050" t="str">
        <f>"20190312164608857"</f>
        <v>20190312164608857</v>
      </c>
      <c r="B5050" t="str">
        <f>"1552380368846986"</f>
        <v>1552380368846986</v>
      </c>
      <c r="C5050" t="s">
        <v>40</v>
      </c>
      <c r="D5050">
        <v>5.0724580000000001</v>
      </c>
      <c r="E5050">
        <v>0.51089010000000001</v>
      </c>
      <c r="F5050" t="s">
        <v>42</v>
      </c>
      <c r="G5050">
        <v>-340.52589999999998</v>
      </c>
      <c r="H5050" s="1">
        <v>-4.7735659999999998E-6</v>
      </c>
      <c r="I5050">
        <v>15.5184</v>
      </c>
      <c r="J5050">
        <v>-360.62720000000002</v>
      </c>
      <c r="K5050">
        <v>1.1083240000000001</v>
      </c>
      <c r="L5050">
        <v>16.944669999999999</v>
      </c>
      <c r="M5050">
        <v>0.99920039999999999</v>
      </c>
      <c r="N5050">
        <v>0</v>
      </c>
      <c r="O5050">
        <v>3.7837460000000003E-2</v>
      </c>
      <c r="P5050">
        <v>0.98921669999999995</v>
      </c>
      <c r="Q5050">
        <v>0.13441059999999999</v>
      </c>
      <c r="R5050">
        <v>-5.8175079999999997E-2</v>
      </c>
      <c r="S5050">
        <v>3.0428470000000001</v>
      </c>
      <c r="T5050">
        <v>-0.16645209999999999</v>
      </c>
      <c r="U5050">
        <v>-0.2133179</v>
      </c>
      <c r="V5050">
        <v>9.5731910000000003E-2</v>
      </c>
      <c r="W5050">
        <v>0.1470321</v>
      </c>
      <c r="X5050">
        <v>0.98448820000000004</v>
      </c>
      <c r="Y5050">
        <v>0.1074147</v>
      </c>
      <c r="Z5050">
        <v>-4.9983789999999998E-3</v>
      </c>
      <c r="AA5050">
        <v>0.99420169999999997</v>
      </c>
      <c r="AB5050">
        <v>32</v>
      </c>
      <c r="AC5050">
        <v>20.101299999999998</v>
      </c>
      <c r="AD5050">
        <v>-1.1083287735659999</v>
      </c>
      <c r="AE5050">
        <v>-1.4262699999999999</v>
      </c>
      <c r="AF5050">
        <v>2.1793019716741702</v>
      </c>
      <c r="AG5050">
        <v>-1.1083287735659999</v>
      </c>
      <c r="AH5050">
        <v>19.9725178133776</v>
      </c>
      <c r="AI5050">
        <v>93.157536278694295</v>
      </c>
      <c r="AJ5050">
        <v>83.7728049078476</v>
      </c>
      <c r="AK5050">
        <v>20.121610709874599</v>
      </c>
      <c r="AL5050">
        <v>81.545028862583294</v>
      </c>
      <c r="AM5050">
        <v>84.446003919898203</v>
      </c>
      <c r="AN5050">
        <v>1.0000000264809401</v>
      </c>
    </row>
    <row r="5051" spans="1:40" x14ac:dyDescent="0.25">
      <c r="A5051" t="str">
        <f>"20190312164608868"</f>
        <v>20190312164608868</v>
      </c>
      <c r="B5051" t="str">
        <f>"1552380368856747"</f>
        <v>1552380368856747</v>
      </c>
      <c r="C5051" t="s">
        <v>40</v>
      </c>
      <c r="D5051">
        <v>4.9637399999999996</v>
      </c>
      <c r="E5051">
        <v>0.51086469999999995</v>
      </c>
      <c r="F5051" t="s">
        <v>42</v>
      </c>
      <c r="G5051">
        <v>-339.90219999999999</v>
      </c>
      <c r="H5051" s="1">
        <v>-1.1283179999999999E-6</v>
      </c>
      <c r="I5051">
        <v>15.448359999999999</v>
      </c>
      <c r="J5051">
        <v>-360.47449999999998</v>
      </c>
      <c r="K5051">
        <v>1.1083229999999999</v>
      </c>
      <c r="L5051">
        <v>16.950199999999999</v>
      </c>
      <c r="M5051">
        <v>0.99920960000000003</v>
      </c>
      <c r="N5051">
        <v>0</v>
      </c>
      <c r="O5051">
        <v>3.7574240000000002E-2</v>
      </c>
      <c r="P5051">
        <v>0.98920390000000002</v>
      </c>
      <c r="Q5051">
        <v>0.13430710000000001</v>
      </c>
      <c r="R5051">
        <v>-5.8632879999999998E-2</v>
      </c>
      <c r="S5051">
        <v>3.0418699999999999</v>
      </c>
      <c r="T5051">
        <v>-0.16267179999999901</v>
      </c>
      <c r="U5051">
        <v>-0.21960450000000001</v>
      </c>
      <c r="V5051">
        <v>9.5930070000000006E-2</v>
      </c>
      <c r="W5051">
        <v>0.14697979999999899</v>
      </c>
      <c r="X5051">
        <v>0.98447669999999998</v>
      </c>
      <c r="Y5051">
        <v>0.1092267</v>
      </c>
      <c r="Z5051">
        <v>-4.9205519999999999E-3</v>
      </c>
      <c r="AA5051">
        <v>0.99400469999999996</v>
      </c>
      <c r="AB5051">
        <v>32</v>
      </c>
      <c r="AC5051">
        <v>20.572299999999899</v>
      </c>
      <c r="AD5051">
        <v>-1.1083241283180001</v>
      </c>
      <c r="AE5051">
        <v>-1.5018399999999901</v>
      </c>
      <c r="AF5051">
        <v>2.26728704413997</v>
      </c>
      <c r="AG5051">
        <v>-1.1083241283180001</v>
      </c>
      <c r="AH5051">
        <v>20.442316256009399</v>
      </c>
      <c r="AI5051">
        <v>93.084498563331707</v>
      </c>
      <c r="AJ5051">
        <v>83.671108435792206</v>
      </c>
      <c r="AK5051">
        <v>20.597506325394001</v>
      </c>
      <c r="AL5051">
        <v>81.548058174213807</v>
      </c>
      <c r="AM5051">
        <v>84.434514942022304</v>
      </c>
      <c r="AN5051">
        <v>1.0000000063905601</v>
      </c>
    </row>
    <row r="5052" spans="1:40" x14ac:dyDescent="0.25">
      <c r="A5052" t="str">
        <f>"20190312164608880"</f>
        <v>20190312164608880</v>
      </c>
      <c r="B5052" t="str">
        <f>"1552380368876267"</f>
        <v>1552380368876267</v>
      </c>
      <c r="C5052" t="s">
        <v>40</v>
      </c>
      <c r="D5052">
        <v>4.973096</v>
      </c>
      <c r="E5052">
        <v>0.51139409999999996</v>
      </c>
      <c r="F5052" t="s">
        <v>42</v>
      </c>
      <c r="G5052">
        <v>-339.58909999999997</v>
      </c>
      <c r="H5052" s="1">
        <v>-1.239178E-6</v>
      </c>
      <c r="I5052">
        <v>15.43211</v>
      </c>
      <c r="J5052">
        <v>-360.3168</v>
      </c>
      <c r="K5052">
        <v>1.1083270000000001</v>
      </c>
      <c r="L5052">
        <v>16.955870000000001</v>
      </c>
      <c r="M5052">
        <v>0.99921919999999997</v>
      </c>
      <c r="N5052">
        <v>0</v>
      </c>
      <c r="O5052">
        <v>3.7305650000000003E-2</v>
      </c>
      <c r="P5052">
        <v>0.98917339999999998</v>
      </c>
      <c r="Q5052">
        <v>0.134270899999999</v>
      </c>
      <c r="R5052">
        <v>-5.9226470000000003E-2</v>
      </c>
      <c r="S5052">
        <v>3.0415649999999999</v>
      </c>
      <c r="T5052">
        <v>-0.16140679999999999</v>
      </c>
      <c r="U5052">
        <v>-0.2210693</v>
      </c>
      <c r="V5052">
        <v>9.6257529999999994E-2</v>
      </c>
      <c r="W5052">
        <v>0.1469897</v>
      </c>
      <c r="X5052">
        <v>0.98444319999999996</v>
      </c>
      <c r="Y5052">
        <v>0.10944619999999999</v>
      </c>
      <c r="Z5052">
        <v>-4.8743340000000001E-3</v>
      </c>
      <c r="AA5052">
        <v>0.9939808</v>
      </c>
      <c r="AB5052">
        <v>32</v>
      </c>
      <c r="AC5052">
        <v>20.727699999999999</v>
      </c>
      <c r="AD5052">
        <v>-1.1083282391780001</v>
      </c>
      <c r="AE5052">
        <v>-1.52376</v>
      </c>
      <c r="AF5052">
        <v>2.2895140695733498</v>
      </c>
      <c r="AG5052">
        <v>-1.1083282391780001</v>
      </c>
      <c r="AH5052">
        <v>20.597843925040401</v>
      </c>
      <c r="AI5052">
        <v>93.0611833324229</v>
      </c>
      <c r="AJ5052">
        <v>83.657432191495204</v>
      </c>
      <c r="AK5052">
        <v>20.7543113718779</v>
      </c>
      <c r="AL5052">
        <v>81.547484228963896</v>
      </c>
      <c r="AM5052">
        <v>84.415448054303994</v>
      </c>
      <c r="AN5052">
        <v>0.99999994900701406</v>
      </c>
    </row>
    <row r="5053" spans="1:40" x14ac:dyDescent="0.25">
      <c r="A5053" t="str">
        <f>"20190312164608891"</f>
        <v>20190312164608891</v>
      </c>
      <c r="B5053" t="str">
        <f>"1552380368887002"</f>
        <v>1552380368887002</v>
      </c>
      <c r="C5053" t="s">
        <v>40</v>
      </c>
      <c r="D5053">
        <v>4.8817300000000001</v>
      </c>
      <c r="E5053">
        <v>0.51159319999999997</v>
      </c>
      <c r="F5053" t="s">
        <v>42</v>
      </c>
      <c r="G5053">
        <v>-337.78039999999999</v>
      </c>
      <c r="H5053" s="1">
        <v>-1.899556E-6</v>
      </c>
      <c r="I5053">
        <v>15.263479999999999</v>
      </c>
      <c r="J5053">
        <v>-360.15350000000001</v>
      </c>
      <c r="K5053">
        <v>1.1083259999999999</v>
      </c>
      <c r="L5053">
        <v>16.9617</v>
      </c>
      <c r="M5053">
        <v>0.99922880000000003</v>
      </c>
      <c r="N5053">
        <v>0</v>
      </c>
      <c r="O5053">
        <v>3.7028180000000001E-2</v>
      </c>
      <c r="P5053">
        <v>0.98910659999999895</v>
      </c>
      <c r="Q5053">
        <v>0.1345614</v>
      </c>
      <c r="R5053">
        <v>-5.9680049999999998E-2</v>
      </c>
      <c r="S5053">
        <v>3.0394899999999998</v>
      </c>
      <c r="T5053">
        <v>-0.14948049999999999</v>
      </c>
      <c r="U5053">
        <v>-0.228241</v>
      </c>
      <c r="V5053">
        <v>9.6435320000000005E-2</v>
      </c>
      <c r="W5053">
        <v>0.1473274</v>
      </c>
      <c r="X5053">
        <v>0.98437540000000001</v>
      </c>
      <c r="Y5053">
        <v>0.11157839999999999</v>
      </c>
      <c r="Z5053">
        <v>-4.5560239999999997E-3</v>
      </c>
      <c r="AA5053">
        <v>0.9937452</v>
      </c>
      <c r="AB5053">
        <v>32</v>
      </c>
      <c r="AC5053">
        <v>22.373100000000001</v>
      </c>
      <c r="AD5053">
        <v>-1.108327899556</v>
      </c>
      <c r="AE5053">
        <v>-1.6982200000000001</v>
      </c>
      <c r="AF5053">
        <v>2.5194137360958502</v>
      </c>
      <c r="AG5053">
        <v>-1.108327899556</v>
      </c>
      <c r="AH5053">
        <v>22.240600045450499</v>
      </c>
      <c r="AI5053">
        <v>92.8347909795812</v>
      </c>
      <c r="AJ5053">
        <v>83.537088597187903</v>
      </c>
      <c r="AK5053">
        <v>22.410268331464799</v>
      </c>
      <c r="AL5053">
        <v>81.527923171793304</v>
      </c>
      <c r="AM5053">
        <v>84.404815731300999</v>
      </c>
      <c r="AN5053">
        <v>1.0000000309297099</v>
      </c>
    </row>
    <row r="5054" spans="1:40" x14ac:dyDescent="0.25">
      <c r="A5054" t="str">
        <f>"20190312164608902"</f>
        <v>20190312164608902</v>
      </c>
      <c r="B5054" t="str">
        <f>"1552380368896762"</f>
        <v>1552380368896762</v>
      </c>
      <c r="C5054" t="s">
        <v>40</v>
      </c>
      <c r="D5054">
        <v>4.878552</v>
      </c>
      <c r="E5054">
        <v>0.51163420000000004</v>
      </c>
      <c r="F5054" t="s">
        <v>42</v>
      </c>
      <c r="G5054">
        <v>-336.85390000000001</v>
      </c>
      <c r="H5054" s="1">
        <v>-2.2356499999999999E-6</v>
      </c>
      <c r="I5054">
        <v>15.185359999999999</v>
      </c>
      <c r="J5054">
        <v>-359.99149999999997</v>
      </c>
      <c r="K5054">
        <v>1.1083289999999999</v>
      </c>
      <c r="L5054">
        <v>16.967410000000001</v>
      </c>
      <c r="M5054">
        <v>0.99923830000000002</v>
      </c>
      <c r="N5054">
        <v>0</v>
      </c>
      <c r="O5054">
        <v>3.6754519999999999E-2</v>
      </c>
      <c r="P5054">
        <v>0.98909860000000005</v>
      </c>
      <c r="Q5054">
        <v>0.13432649999999999</v>
      </c>
      <c r="R5054">
        <v>-6.0337250000000002E-2</v>
      </c>
      <c r="S5054">
        <v>3.0387270000000002</v>
      </c>
      <c r="T5054">
        <v>-0.1445475</v>
      </c>
      <c r="U5054">
        <v>-0.2316589</v>
      </c>
      <c r="V5054">
        <v>9.6821760000000007E-2</v>
      </c>
      <c r="W5054">
        <v>0.14713490000000001</v>
      </c>
      <c r="X5054">
        <v>0.98436619999999997</v>
      </c>
      <c r="Y5054">
        <v>0.11244709999999999</v>
      </c>
      <c r="Z5054">
        <v>-4.414393E-3</v>
      </c>
      <c r="AA5054">
        <v>0.99364790000000003</v>
      </c>
      <c r="AB5054">
        <v>32</v>
      </c>
      <c r="AC5054">
        <v>23.1375999999999</v>
      </c>
      <c r="AD5054">
        <v>-1.1083312356499999</v>
      </c>
      <c r="AE5054">
        <v>-1.7820499999999999</v>
      </c>
      <c r="AF5054">
        <v>2.6253416769559599</v>
      </c>
      <c r="AG5054">
        <v>-1.1083312356499999</v>
      </c>
      <c r="AH5054">
        <v>23.003986641174698</v>
      </c>
      <c r="AI5054">
        <v>92.740612925024095</v>
      </c>
      <c r="AJ5054">
        <v>83.489259172797006</v>
      </c>
      <c r="AK5054">
        <v>23.179823520381301</v>
      </c>
      <c r="AL5054">
        <v>81.539073644474001</v>
      </c>
      <c r="AM5054">
        <v>84.382485412141193</v>
      </c>
      <c r="AN5054">
        <v>0.99999997385497297</v>
      </c>
    </row>
    <row r="5055" spans="1:40" x14ac:dyDescent="0.25">
      <c r="A5055" t="str">
        <f>"20190312164608914"</f>
        <v>20190312164608914</v>
      </c>
      <c r="B5055" t="str">
        <f>"1552380368906522"</f>
        <v>1552380368906522</v>
      </c>
      <c r="C5055" t="s">
        <v>40</v>
      </c>
      <c r="D5055">
        <v>4.8505960000000004</v>
      </c>
      <c r="E5055">
        <v>0.51164609999999899</v>
      </c>
      <c r="F5055" t="s">
        <v>42</v>
      </c>
      <c r="G5055">
        <v>-336.2561</v>
      </c>
      <c r="H5055" s="1">
        <v>-2.4517580000000001E-6</v>
      </c>
      <c r="I5055">
        <v>15.137689999999999</v>
      </c>
      <c r="J5055">
        <v>-359.83030000000002</v>
      </c>
      <c r="K5055">
        <v>1.108336</v>
      </c>
      <c r="L5055">
        <v>16.97308</v>
      </c>
      <c r="M5055">
        <v>0.99924769999999896</v>
      </c>
      <c r="N5055">
        <v>0</v>
      </c>
      <c r="O5055">
        <v>3.6482899999999999E-2</v>
      </c>
      <c r="P5055">
        <v>0.9890871</v>
      </c>
      <c r="Q5055">
        <v>0.13416539999999999</v>
      </c>
      <c r="R5055">
        <v>-6.0880869999999997E-2</v>
      </c>
      <c r="S5055">
        <v>3.038116</v>
      </c>
      <c r="T5055">
        <v>-0.14186579999999999</v>
      </c>
      <c r="U5055">
        <v>-0.23419190000000001</v>
      </c>
      <c r="V5055">
        <v>9.7096470000000004E-2</v>
      </c>
      <c r="W5055">
        <v>0.14701420000000001</v>
      </c>
      <c r="X5055">
        <v>0.98435720000000004</v>
      </c>
      <c r="Y5055">
        <v>0.1130215</v>
      </c>
      <c r="Z5055">
        <v>-4.3340469999999997E-3</v>
      </c>
      <c r="AA5055">
        <v>0.99358310000000005</v>
      </c>
      <c r="AB5055">
        <v>32</v>
      </c>
      <c r="AC5055">
        <v>23.574200000000001</v>
      </c>
      <c r="AD5055">
        <v>-1.1083384517579999</v>
      </c>
      <c r="AE5055">
        <v>-1.8353900000000001</v>
      </c>
      <c r="AF5055">
        <v>2.6883909111633102</v>
      </c>
      <c r="AG5055">
        <v>-1.1083384517579999</v>
      </c>
      <c r="AH5055">
        <v>23.440037569942699</v>
      </c>
      <c r="AI5055">
        <v>92.689550951271897</v>
      </c>
      <c r="AJ5055">
        <v>83.457206200641906</v>
      </c>
      <c r="AK5055">
        <v>23.619721020689301</v>
      </c>
      <c r="AL5055">
        <v>81.546065484890804</v>
      </c>
      <c r="AM5055">
        <v>84.366598176665093</v>
      </c>
      <c r="AN5055">
        <v>0.99999999833997</v>
      </c>
    </row>
    <row r="5056" spans="1:40" x14ac:dyDescent="0.25">
      <c r="A5056" t="str">
        <f>"20190312164608925"</f>
        <v>20190312164608925</v>
      </c>
      <c r="B5056" t="str">
        <f>"1552380368916282"</f>
        <v>1552380368916282</v>
      </c>
      <c r="C5056" t="s">
        <v>40</v>
      </c>
      <c r="D5056">
        <v>5.0583410000000004</v>
      </c>
      <c r="E5056">
        <v>0.51168950000000002</v>
      </c>
      <c r="F5056" t="s">
        <v>42</v>
      </c>
      <c r="G5056">
        <v>-337.26209999999998</v>
      </c>
      <c r="H5056" s="1">
        <v>-2.0860130000000002E-6</v>
      </c>
      <c r="I5056">
        <v>15.22559</v>
      </c>
      <c r="J5056">
        <v>-359.66770000000002</v>
      </c>
      <c r="K5056">
        <v>1.1083419999999999</v>
      </c>
      <c r="L5056">
        <v>16.978729999999999</v>
      </c>
      <c r="M5056">
        <v>0.99925710000000001</v>
      </c>
      <c r="N5056">
        <v>0</v>
      </c>
      <c r="O5056">
        <v>3.6209690000000003E-2</v>
      </c>
      <c r="P5056">
        <v>0.9890603</v>
      </c>
      <c r="Q5056">
        <v>0.13416620000000001</v>
      </c>
      <c r="R5056">
        <v>-6.131139E-2</v>
      </c>
      <c r="S5056">
        <v>3.038818</v>
      </c>
      <c r="T5056">
        <v>-0.1492385</v>
      </c>
      <c r="U5056">
        <v>-0.23529050000000001</v>
      </c>
      <c r="V5056">
        <v>9.725636E-2</v>
      </c>
      <c r="W5056">
        <v>0.14705190000000001</v>
      </c>
      <c r="X5056">
        <v>0.98433579999999998</v>
      </c>
      <c r="Y5056">
        <v>0.1130724</v>
      </c>
      <c r="Z5056">
        <v>-4.545767E-3</v>
      </c>
      <c r="AA5056">
        <v>0.99357629999999997</v>
      </c>
      <c r="AB5056">
        <v>32</v>
      </c>
      <c r="AC5056">
        <v>22.4056</v>
      </c>
      <c r="AD5056">
        <v>-1.1083440860129901</v>
      </c>
      <c r="AE5056">
        <v>-1.7531399999999999</v>
      </c>
      <c r="AF5056">
        <v>2.5571413029522398</v>
      </c>
      <c r="AG5056">
        <v>-1.1083440860129901</v>
      </c>
      <c r="AH5056">
        <v>22.273246741793901</v>
      </c>
      <c r="AI5056">
        <v>92.830197914430002</v>
      </c>
      <c r="AJ5056">
        <v>83.450675279909404</v>
      </c>
      <c r="AK5056">
        <v>22.446935618856699</v>
      </c>
      <c r="AL5056">
        <v>81.543881833164207</v>
      </c>
      <c r="AM5056">
        <v>84.357259515851496</v>
      </c>
      <c r="AN5056">
        <v>1.00000001400784</v>
      </c>
    </row>
    <row r="5057" spans="1:40" x14ac:dyDescent="0.25">
      <c r="A5057" t="str">
        <f>"20190312164608937"</f>
        <v>20190312164608937</v>
      </c>
      <c r="B5057" t="str">
        <f>"1552380368926625"</f>
        <v>1552380368926625</v>
      </c>
      <c r="C5057" t="s">
        <v>40</v>
      </c>
      <c r="D5057">
        <v>4.9668330000000003</v>
      </c>
      <c r="E5057">
        <v>0.51156040000000003</v>
      </c>
      <c r="F5057" t="s">
        <v>42</v>
      </c>
      <c r="G5057">
        <v>-337.32530000000003</v>
      </c>
      <c r="H5057" s="1">
        <v>-2.0611099999999999E-6</v>
      </c>
      <c r="I5057">
        <v>15.23847</v>
      </c>
      <c r="J5057">
        <v>-359.50229999999999</v>
      </c>
      <c r="K5057">
        <v>1.108347</v>
      </c>
      <c r="L5057">
        <v>16.98441</v>
      </c>
      <c r="M5057">
        <v>0.99926680000000001</v>
      </c>
      <c r="N5057">
        <v>0</v>
      </c>
      <c r="O5057">
        <v>3.5931869999999998E-2</v>
      </c>
      <c r="P5057">
        <v>0.98904729999999996</v>
      </c>
      <c r="Q5057">
        <v>0.1340578</v>
      </c>
      <c r="R5057">
        <v>-6.1757890000000003E-2</v>
      </c>
      <c r="S5057">
        <v>3.0389710000000001</v>
      </c>
      <c r="T5057">
        <v>-0.1507542</v>
      </c>
      <c r="U5057">
        <v>-0.2366943</v>
      </c>
      <c r="V5057">
        <v>9.7427700000000006E-2</v>
      </c>
      <c r="W5057">
        <v>0.14697879999999899</v>
      </c>
      <c r="X5057">
        <v>0.98432980000000003</v>
      </c>
      <c r="Y5057">
        <v>0.1132451</v>
      </c>
      <c r="Z5057">
        <v>-4.5820879999999998E-3</v>
      </c>
      <c r="AA5057">
        <v>0.99355649999999995</v>
      </c>
      <c r="AB5057">
        <v>32</v>
      </c>
      <c r="AC5057">
        <v>22.1769999999999</v>
      </c>
      <c r="AD5057">
        <v>-1.10834906111</v>
      </c>
      <c r="AE5057">
        <v>-1.7459399999999901</v>
      </c>
      <c r="AF5057">
        <v>2.5354491815079001</v>
      </c>
      <c r="AG5057">
        <v>-1.10834906111</v>
      </c>
      <c r="AH5057">
        <v>22.0452120815923</v>
      </c>
      <c r="AI5057">
        <v>92.859371917477304</v>
      </c>
      <c r="AJ5057">
        <v>83.439162861197502</v>
      </c>
      <c r="AK5057">
        <v>22.218197854813901</v>
      </c>
      <c r="AL5057">
        <v>81.548116383285702</v>
      </c>
      <c r="AM5057">
        <v>84.347348589626094</v>
      </c>
      <c r="AN5057">
        <v>1.0000000397723801</v>
      </c>
    </row>
    <row r="5058" spans="1:40" x14ac:dyDescent="0.25">
      <c r="A5058" t="str">
        <f>"20190312164608950"</f>
        <v>20190312164608950</v>
      </c>
      <c r="B5058" t="str">
        <f>"1552380368946144"</f>
        <v>1552380368946144</v>
      </c>
      <c r="C5058" t="s">
        <v>40</v>
      </c>
      <c r="D5058">
        <v>5.1794989999999999</v>
      </c>
      <c r="E5058">
        <v>0.51170990000000005</v>
      </c>
      <c r="F5058" t="s">
        <v>42</v>
      </c>
      <c r="G5058">
        <v>-337.5317</v>
      </c>
      <c r="H5058" s="1">
        <v>-1.98219E-6</v>
      </c>
      <c r="I5058">
        <v>15.271039999999999</v>
      </c>
      <c r="J5058">
        <v>-359.32920000000001</v>
      </c>
      <c r="K5058">
        <v>1.108355</v>
      </c>
      <c r="L5058">
        <v>16.990359999999999</v>
      </c>
      <c r="M5058">
        <v>0.99927690000000002</v>
      </c>
      <c r="N5058">
        <v>0</v>
      </c>
      <c r="O5058">
        <v>3.5640989999999997E-2</v>
      </c>
      <c r="P5058">
        <v>0.98903750000000001</v>
      </c>
      <c r="Q5058">
        <v>0.13403689999999999</v>
      </c>
      <c r="R5058">
        <v>-6.1961500000000003E-2</v>
      </c>
      <c r="S5058">
        <v>3.039215</v>
      </c>
      <c r="T5058">
        <v>-0.1533185</v>
      </c>
      <c r="U5058">
        <v>-0.2369995</v>
      </c>
      <c r="V5058">
        <v>9.7343589999999994E-2</v>
      </c>
      <c r="W5058">
        <v>0.1469935</v>
      </c>
      <c r="X5058">
        <v>0.98433590000000004</v>
      </c>
      <c r="Y5058">
        <v>0.1130432</v>
      </c>
      <c r="Z5058">
        <v>-4.6398159999999997E-3</v>
      </c>
      <c r="AA5058">
        <v>0.9935792</v>
      </c>
      <c r="AB5058">
        <v>32</v>
      </c>
      <c r="AC5058">
        <v>21.797499999999999</v>
      </c>
      <c r="AD5058">
        <v>-1.1083569821899999</v>
      </c>
      <c r="AE5058">
        <v>-1.71931999999999</v>
      </c>
      <c r="AF5058">
        <v>2.4887850844960302</v>
      </c>
      <c r="AG5058">
        <v>-1.1083569821899999</v>
      </c>
      <c r="AH5058">
        <v>21.666692022641801</v>
      </c>
      <c r="AI5058">
        <v>92.909308803989205</v>
      </c>
      <c r="AJ5058">
        <v>83.447331969223399</v>
      </c>
      <c r="AK5058">
        <v>21.837308662030399</v>
      </c>
      <c r="AL5058">
        <v>81.547264665667996</v>
      </c>
      <c r="AM5058">
        <v>84.352231772585597</v>
      </c>
      <c r="AN5058">
        <v>1.00000001379257</v>
      </c>
    </row>
    <row r="5059" spans="1:40" x14ac:dyDescent="0.25">
      <c r="A5059" t="str">
        <f>"20190312164608969"</f>
        <v>20190312164608969</v>
      </c>
      <c r="B5059" t="str">
        <f>"1552380368966641"</f>
        <v>1552380368966641</v>
      </c>
      <c r="C5059" t="s">
        <v>40</v>
      </c>
      <c r="D5059">
        <v>5.0527879999999996</v>
      </c>
      <c r="E5059">
        <v>0.51178029999999997</v>
      </c>
      <c r="F5059" t="s">
        <v>42</v>
      </c>
      <c r="G5059">
        <v>-337.17239999999998</v>
      </c>
      <c r="H5059" s="1">
        <v>-2.110693E-6</v>
      </c>
      <c r="I5059">
        <v>15.24762</v>
      </c>
      <c r="J5059">
        <v>-359.04849999999999</v>
      </c>
      <c r="K5059">
        <v>1.1083639999999999</v>
      </c>
      <c r="L5059">
        <v>16.999879999999902</v>
      </c>
      <c r="M5059">
        <v>0.99929270000000003</v>
      </c>
      <c r="N5059">
        <v>0</v>
      </c>
      <c r="O5059">
        <v>3.5170720000000003E-2</v>
      </c>
      <c r="P5059">
        <v>0.98897579999999996</v>
      </c>
      <c r="Q5059">
        <v>0.1340459</v>
      </c>
      <c r="R5059">
        <v>-6.2920379999999998E-2</v>
      </c>
      <c r="S5059">
        <v>3.03891</v>
      </c>
      <c r="T5059">
        <v>-0.1520165</v>
      </c>
      <c r="U5059">
        <v>-0.2390137</v>
      </c>
      <c r="V5059">
        <v>9.7835240000000004E-2</v>
      </c>
      <c r="W5059">
        <v>0.1470515</v>
      </c>
      <c r="X5059">
        <v>0.98427849999999995</v>
      </c>
      <c r="Y5059">
        <v>0.11324140000000001</v>
      </c>
      <c r="Z5059">
        <v>-4.5822770000000001E-3</v>
      </c>
      <c r="AA5059">
        <v>0.99355689999999997</v>
      </c>
      <c r="AB5059">
        <v>32</v>
      </c>
      <c r="AC5059">
        <v>21.876100000000001</v>
      </c>
      <c r="AD5059">
        <v>-1.1083661106929901</v>
      </c>
      <c r="AE5059">
        <v>-1.7522599999999899</v>
      </c>
      <c r="AF5059">
        <v>2.5142291586657701</v>
      </c>
      <c r="AG5059">
        <v>-1.1083661106929901</v>
      </c>
      <c r="AH5059">
        <v>21.745464711378901</v>
      </c>
      <c r="AI5059">
        <v>92.898563561708997</v>
      </c>
      <c r="AJ5059">
        <v>83.404698176042402</v>
      </c>
      <c r="AK5059">
        <v>21.9183726405827</v>
      </c>
      <c r="AL5059">
        <v>81.5439050688869</v>
      </c>
      <c r="AM5059">
        <v>84.323563733052794</v>
      </c>
      <c r="AN5059">
        <v>1.0000000217001701</v>
      </c>
    </row>
    <row r="5060" spans="1:40" x14ac:dyDescent="0.25">
      <c r="A5060" t="str">
        <f>"20190312164608984"</f>
        <v>20190312164608984</v>
      </c>
      <c r="B5060" t="str">
        <f>"1552380368976403"</f>
        <v>1552380368976403</v>
      </c>
      <c r="C5060" t="s">
        <v>40</v>
      </c>
      <c r="D5060">
        <v>4.835871</v>
      </c>
      <c r="E5060">
        <v>0.51177410000000001</v>
      </c>
      <c r="F5060" t="s">
        <v>42</v>
      </c>
      <c r="G5060">
        <v>-336.31630000000001</v>
      </c>
      <c r="H5060" s="1">
        <v>-2.4193810000000002E-6</v>
      </c>
      <c r="I5060">
        <v>15.182410000000001</v>
      </c>
      <c r="J5060">
        <v>-358.8458</v>
      </c>
      <c r="K5060">
        <v>1.1083719999999999</v>
      </c>
      <c r="L5060">
        <v>17.006620000000002</v>
      </c>
      <c r="M5060">
        <v>0.99930419999999998</v>
      </c>
      <c r="N5060">
        <v>0</v>
      </c>
      <c r="O5060">
        <v>3.4830529999999998E-2</v>
      </c>
      <c r="P5060">
        <v>0.98891269999999998</v>
      </c>
      <c r="Q5060">
        <v>0.1343287</v>
      </c>
      <c r="R5060">
        <v>-6.3304639999999995E-2</v>
      </c>
      <c r="S5060">
        <v>3.038116</v>
      </c>
      <c r="T5060">
        <v>-0.14813090000000001</v>
      </c>
      <c r="U5060">
        <v>-0.24288940000000001</v>
      </c>
      <c r="V5060">
        <v>9.7881700000000002E-2</v>
      </c>
      <c r="W5060">
        <v>0.14736560000000001</v>
      </c>
      <c r="X5060">
        <v>0.98422690000000002</v>
      </c>
      <c r="Y5060">
        <v>0.1141915</v>
      </c>
      <c r="Z5060">
        <v>-4.4727940000000004E-3</v>
      </c>
      <c r="AA5060">
        <v>0.99344869999999996</v>
      </c>
      <c r="AB5060">
        <v>32</v>
      </c>
      <c r="AC5060">
        <v>22.529499999999899</v>
      </c>
      <c r="AD5060">
        <v>-1.1083744193809999</v>
      </c>
      <c r="AE5060">
        <v>-1.8242100000000001</v>
      </c>
      <c r="AF5060">
        <v>2.60163146222208</v>
      </c>
      <c r="AG5060">
        <v>-1.1083744193809999</v>
      </c>
      <c r="AH5060">
        <v>22.3984256580843</v>
      </c>
      <c r="AI5060">
        <v>92.814052520615505</v>
      </c>
      <c r="AJ5060">
        <v>83.374644883644905</v>
      </c>
      <c r="AK5060">
        <v>22.576236446305501</v>
      </c>
      <c r="AL5060">
        <v>81.525710217572694</v>
      </c>
      <c r="AM5060">
        <v>84.320589931684907</v>
      </c>
      <c r="AN5060">
        <v>1.0000000189709199</v>
      </c>
    </row>
    <row r="5061" spans="1:40" x14ac:dyDescent="0.25">
      <c r="A5061" t="str">
        <f>"20190312164608996"</f>
        <v>20190312164608996</v>
      </c>
      <c r="B5061" t="str">
        <f>"1552380368986161"</f>
        <v>1552380368986161</v>
      </c>
      <c r="C5061" t="s">
        <v>40</v>
      </c>
      <c r="D5061">
        <v>5.2346389999999996</v>
      </c>
      <c r="E5061">
        <v>0.51173400000000002</v>
      </c>
      <c r="F5061" t="s">
        <v>42</v>
      </c>
      <c r="G5061">
        <v>-335.81970000000001</v>
      </c>
      <c r="H5061" s="1">
        <v>-2.5951509999999999E-6</v>
      </c>
      <c r="I5061">
        <v>15.15696</v>
      </c>
      <c r="J5061">
        <v>-358.66669999999999</v>
      </c>
      <c r="K5061">
        <v>1.1083780000000001</v>
      </c>
      <c r="L5061">
        <v>17.01257</v>
      </c>
      <c r="M5061">
        <v>0.99931420000000004</v>
      </c>
      <c r="N5061">
        <v>0</v>
      </c>
      <c r="O5061">
        <v>3.4530239999999997E-2</v>
      </c>
      <c r="P5061">
        <v>0.98883560000000004</v>
      </c>
      <c r="Q5061">
        <v>0.13460420000000001</v>
      </c>
      <c r="R5061">
        <v>-6.3924690000000006E-2</v>
      </c>
      <c r="S5061">
        <v>3.0378720000000001</v>
      </c>
      <c r="T5061">
        <v>-0.1462299</v>
      </c>
      <c r="U5061">
        <v>-0.2440186</v>
      </c>
      <c r="V5061">
        <v>9.8202150000000002E-2</v>
      </c>
      <c r="W5061">
        <v>0.14766550000000001</v>
      </c>
      <c r="X5061">
        <v>0.98414999999999997</v>
      </c>
      <c r="Y5061">
        <v>0.114271</v>
      </c>
      <c r="Z5061">
        <v>-4.4032300000000002E-3</v>
      </c>
      <c r="AA5061">
        <v>0.99343990000000004</v>
      </c>
      <c r="AB5061">
        <v>32</v>
      </c>
      <c r="AC5061">
        <v>22.846999999999898</v>
      </c>
      <c r="AD5061">
        <v>-1.108380595151</v>
      </c>
      <c r="AE5061">
        <v>-1.85561</v>
      </c>
      <c r="AF5061">
        <v>2.63731981282517</v>
      </c>
      <c r="AG5061">
        <v>-1.108380595151</v>
      </c>
      <c r="AH5061">
        <v>22.716179629145302</v>
      </c>
      <c r="AI5061">
        <v>92.774783978605896</v>
      </c>
      <c r="AJ5061">
        <v>83.377679944062507</v>
      </c>
      <c r="AK5061">
        <v>22.895606134855299</v>
      </c>
      <c r="AL5061">
        <v>81.508336919678896</v>
      </c>
      <c r="AM5061">
        <v>84.301676250756501</v>
      </c>
      <c r="AN5061">
        <v>0.99999999232743597</v>
      </c>
    </row>
    <row r="5062" spans="1:40" x14ac:dyDescent="0.25">
      <c r="A5062" t="str">
        <f>"20190312164609014"</f>
        <v>20190312164609014</v>
      </c>
      <c r="B5062" t="str">
        <f>"1552380369006660"</f>
        <v>1552380369006660</v>
      </c>
      <c r="C5062" t="s">
        <v>40</v>
      </c>
      <c r="D5062">
        <v>5.0021709999999997</v>
      </c>
      <c r="E5062">
        <v>0.51153029999999999</v>
      </c>
      <c r="F5062" t="s">
        <v>42</v>
      </c>
      <c r="G5062">
        <v>-335.22890000000001</v>
      </c>
      <c r="H5062" s="1">
        <v>-2.8273870000000001E-6</v>
      </c>
      <c r="I5062">
        <v>15.115959999999999</v>
      </c>
      <c r="J5062">
        <v>-358.41129999999998</v>
      </c>
      <c r="K5062">
        <v>1.108385</v>
      </c>
      <c r="L5062">
        <v>17.02094</v>
      </c>
      <c r="M5062">
        <v>0.99932849999999995</v>
      </c>
      <c r="N5062">
        <v>0</v>
      </c>
      <c r="O5062">
        <v>3.4101579999999999E-2</v>
      </c>
      <c r="P5062">
        <v>0.98873560000000005</v>
      </c>
      <c r="Q5062">
        <v>0.13507649999999999</v>
      </c>
      <c r="R5062">
        <v>-6.4472329999999994E-2</v>
      </c>
      <c r="S5062">
        <v>3.0375369999999999</v>
      </c>
      <c r="T5062">
        <v>-0.14364540000000001</v>
      </c>
      <c r="U5062">
        <v>-0.2457886</v>
      </c>
      <c r="V5062">
        <v>9.8323549999999996E-2</v>
      </c>
      <c r="W5062">
        <v>0.14817060000000001</v>
      </c>
      <c r="X5062">
        <v>0.98406199999999999</v>
      </c>
      <c r="Y5062">
        <v>0.1144351</v>
      </c>
      <c r="Z5062">
        <v>-4.3095130000000001E-3</v>
      </c>
      <c r="AA5062">
        <v>0.99342140000000001</v>
      </c>
      <c r="AB5062">
        <v>31</v>
      </c>
      <c r="AC5062">
        <v>23.182399999999902</v>
      </c>
      <c r="AD5062">
        <v>-1.108387827387</v>
      </c>
      <c r="AE5062">
        <v>-1.9049799999999899</v>
      </c>
      <c r="AF5062">
        <v>2.6883949763976802</v>
      </c>
      <c r="AG5062">
        <v>-1.108387827387</v>
      </c>
      <c r="AH5062">
        <v>23.051604003131398</v>
      </c>
      <c r="AI5062">
        <v>92.734322606813805</v>
      </c>
      <c r="AJ5062">
        <v>83.347926162151396</v>
      </c>
      <c r="AK5062">
        <v>23.234294442530501</v>
      </c>
      <c r="AL5062">
        <v>81.479075281465697</v>
      </c>
      <c r="AM5062">
        <v>84.2941714495432</v>
      </c>
      <c r="AN5062">
        <v>1.00000003351648</v>
      </c>
    </row>
    <row r="5063" spans="1:40" x14ac:dyDescent="0.25">
      <c r="A5063" t="str">
        <f>"20190312164609025"</f>
        <v>20190312164609025</v>
      </c>
      <c r="B5063" t="str">
        <f>"1552380369016416"</f>
        <v>1552380369016416</v>
      </c>
      <c r="C5063" t="s">
        <v>40</v>
      </c>
      <c r="D5063">
        <v>4.9045239999999897</v>
      </c>
      <c r="E5063">
        <v>0.51159220000000005</v>
      </c>
      <c r="F5063" t="s">
        <v>42</v>
      </c>
      <c r="G5063">
        <v>-335.19869999999997</v>
      </c>
      <c r="H5063" s="1">
        <v>-2.8356629999999998E-6</v>
      </c>
      <c r="I5063">
        <v>15.142329999999999</v>
      </c>
      <c r="J5063">
        <v>-358.25799999999998</v>
      </c>
      <c r="K5063">
        <v>1.1083860000000001</v>
      </c>
      <c r="L5063">
        <v>17.02591</v>
      </c>
      <c r="M5063">
        <v>0.99933709999999998</v>
      </c>
      <c r="N5063">
        <v>0</v>
      </c>
      <c r="O5063">
        <v>3.3844329999999999E-2</v>
      </c>
      <c r="P5063">
        <v>0.98870559999999996</v>
      </c>
      <c r="Q5063">
        <v>0.13503609999999999</v>
      </c>
      <c r="R5063">
        <v>-6.5014740000000001E-2</v>
      </c>
      <c r="S5063">
        <v>3.0379330000000002</v>
      </c>
      <c r="T5063">
        <v>-0.1450591</v>
      </c>
      <c r="U5063">
        <v>-0.2458496</v>
      </c>
      <c r="V5063">
        <v>9.8610429999999999E-2</v>
      </c>
      <c r="W5063">
        <v>0.148148</v>
      </c>
      <c r="X5063">
        <v>0.98403669999999999</v>
      </c>
      <c r="Y5063">
        <v>0.1141861</v>
      </c>
      <c r="Z5063">
        <v>-4.3331180000000004E-3</v>
      </c>
      <c r="AA5063">
        <v>0.9934499</v>
      </c>
      <c r="AB5063">
        <v>31</v>
      </c>
      <c r="AC5063">
        <v>23.0593</v>
      </c>
      <c r="AD5063">
        <v>-1.1083888356630001</v>
      </c>
      <c r="AE5063">
        <v>-1.88358</v>
      </c>
      <c r="AF5063">
        <v>2.6568996273314198</v>
      </c>
      <c r="AG5063">
        <v>-1.1083888356630001</v>
      </c>
      <c r="AH5063">
        <v>22.929706841939201</v>
      </c>
      <c r="AI5063">
        <v>92.749076100925507</v>
      </c>
      <c r="AJ5063">
        <v>83.390526713031207</v>
      </c>
      <c r="AK5063">
        <v>23.109718676306102</v>
      </c>
      <c r="AL5063">
        <v>81.480384645353297</v>
      </c>
      <c r="AM5063">
        <v>84.277487653220803</v>
      </c>
      <c r="AN5063">
        <v>1.0000000368778299</v>
      </c>
    </row>
    <row r="5064" spans="1:40" x14ac:dyDescent="0.25">
      <c r="A5064" t="str">
        <f>"20190312164609036"</f>
        <v>20190312164609036</v>
      </c>
      <c r="B5064" t="str">
        <f>"1552380369026866"</f>
        <v>1552380369026866</v>
      </c>
      <c r="C5064" t="s">
        <v>40</v>
      </c>
      <c r="D5064">
        <v>4.907527</v>
      </c>
      <c r="E5064">
        <v>0.51159100000000002</v>
      </c>
      <c r="F5064" t="s">
        <v>42</v>
      </c>
      <c r="G5064">
        <v>-335.39780000000002</v>
      </c>
      <c r="H5064" s="1">
        <v>-2.7467989999999999E-6</v>
      </c>
      <c r="I5064">
        <v>15.16169</v>
      </c>
      <c r="J5064">
        <v>-358.10599999999999</v>
      </c>
      <c r="K5064">
        <v>1.1083829999999999</v>
      </c>
      <c r="L5064">
        <v>17.03079</v>
      </c>
      <c r="M5064">
        <v>0.9993455</v>
      </c>
      <c r="N5064">
        <v>0</v>
      </c>
      <c r="O5064">
        <v>3.3589170000000002E-2</v>
      </c>
      <c r="P5064">
        <v>0.98868319999999998</v>
      </c>
      <c r="Q5064">
        <v>0.13493659999999999</v>
      </c>
      <c r="R5064">
        <v>-6.5557870000000004E-2</v>
      </c>
      <c r="S5064">
        <v>3.0380859999999998</v>
      </c>
      <c r="T5064">
        <v>-0.1473032</v>
      </c>
      <c r="U5064">
        <v>-0.24774170000000001</v>
      </c>
      <c r="V5064">
        <v>9.8900799999999997E-2</v>
      </c>
      <c r="W5064">
        <v>0.148065</v>
      </c>
      <c r="X5064">
        <v>0.98402000000000001</v>
      </c>
      <c r="Y5064">
        <v>0.1145378</v>
      </c>
      <c r="Z5064">
        <v>-4.3959059999999998E-3</v>
      </c>
      <c r="AA5064">
        <v>0.99340919999999999</v>
      </c>
      <c r="AB5064">
        <v>31</v>
      </c>
      <c r="AC5064">
        <v>22.708199999999898</v>
      </c>
      <c r="AD5064">
        <v>-1.1083857467989999</v>
      </c>
      <c r="AE5064">
        <v>-1.86909999999999</v>
      </c>
      <c r="AF5064">
        <v>2.6246525793204998</v>
      </c>
      <c r="AG5064">
        <v>-1.1083857467989999</v>
      </c>
      <c r="AH5064">
        <v>22.579165993103601</v>
      </c>
      <c r="AI5064">
        <v>92.791562326617296</v>
      </c>
      <c r="AJ5064">
        <v>83.3695680665748</v>
      </c>
      <c r="AK5064">
        <v>22.758208564602899</v>
      </c>
      <c r="AL5064">
        <v>81.485192793991303</v>
      </c>
      <c r="AM5064">
        <v>84.260652619036193</v>
      </c>
      <c r="AN5064">
        <v>0.99999998643281895</v>
      </c>
    </row>
    <row r="5065" spans="1:40" x14ac:dyDescent="0.25">
      <c r="A5065" t="str">
        <f>"20190312164609047"</f>
        <v>20190312164609047</v>
      </c>
      <c r="B5065" t="str">
        <f>"1552380369036627"</f>
        <v>1552380369036627</v>
      </c>
      <c r="C5065" t="s">
        <v>40</v>
      </c>
      <c r="D5065">
        <v>4.9038209999999998</v>
      </c>
      <c r="E5065">
        <v>0.51151480000000005</v>
      </c>
      <c r="F5065" t="s">
        <v>42</v>
      </c>
      <c r="G5065">
        <v>-335.54239999999999</v>
      </c>
      <c r="H5065" s="1">
        <v>-2.6834040000000001E-6</v>
      </c>
      <c r="I5065">
        <v>15.179930000000001</v>
      </c>
      <c r="J5065">
        <v>-357.95150000000001</v>
      </c>
      <c r="K5065">
        <v>1.108387</v>
      </c>
      <c r="L5065">
        <v>17.035740000000001</v>
      </c>
      <c r="M5065">
        <v>0.99935390000000002</v>
      </c>
      <c r="N5065">
        <v>0</v>
      </c>
      <c r="O5065">
        <v>3.3330029999999997E-2</v>
      </c>
      <c r="P5065">
        <v>0.98870089999999999</v>
      </c>
      <c r="Q5065">
        <v>0.1346087</v>
      </c>
      <c r="R5065">
        <v>-6.5965620000000003E-2</v>
      </c>
      <c r="S5065">
        <v>3.0381770000000001</v>
      </c>
      <c r="T5065">
        <v>-0.14924370000000001</v>
      </c>
      <c r="U5065">
        <v>-0.2492065</v>
      </c>
      <c r="V5065">
        <v>9.9052699999999994E-2</v>
      </c>
      <c r="W5065">
        <v>0.14775369999999999</v>
      </c>
      <c r="X5065">
        <v>0.98405149999999997</v>
      </c>
      <c r="Y5065">
        <v>0.114749</v>
      </c>
      <c r="Z5065">
        <v>-4.4460000000000003E-3</v>
      </c>
      <c r="AA5065">
        <v>0.9933845</v>
      </c>
      <c r="AB5065">
        <v>31</v>
      </c>
      <c r="AC5065">
        <v>22.409099999999999</v>
      </c>
      <c r="AD5065">
        <v>-1.1083896834039999</v>
      </c>
      <c r="AE5065">
        <v>-1.85581</v>
      </c>
      <c r="AF5065">
        <v>2.5954359138972198</v>
      </c>
      <c r="AG5065">
        <v>-1.1083896834039999</v>
      </c>
      <c r="AH5065">
        <v>22.2806502788996</v>
      </c>
      <c r="AI5065">
        <v>92.8288334987638</v>
      </c>
      <c r="AJ5065">
        <v>83.355655453878796</v>
      </c>
      <c r="AK5065">
        <v>22.458677434881398</v>
      </c>
      <c r="AL5065">
        <v>81.503227226908294</v>
      </c>
      <c r="AM5065">
        <v>84.252079407328793</v>
      </c>
      <c r="AN5065">
        <v>0.999999973946614</v>
      </c>
    </row>
    <row r="5066" spans="1:40" x14ac:dyDescent="0.25">
      <c r="A5066" t="str">
        <f>"20190312164609058"</f>
        <v>20190312164609058</v>
      </c>
      <c r="B5066" t="str">
        <f>"1552380369046386"</f>
        <v>1552380369046386</v>
      </c>
      <c r="C5066" t="s">
        <v>40</v>
      </c>
      <c r="D5066">
        <v>4.7172530000000004</v>
      </c>
      <c r="E5066">
        <v>0.51142169999999998</v>
      </c>
      <c r="F5066" t="s">
        <v>42</v>
      </c>
      <c r="G5066">
        <v>-335.86160000000001</v>
      </c>
      <c r="H5066" s="1">
        <v>-2.5638459999999999E-6</v>
      </c>
      <c r="I5066">
        <v>15.22099</v>
      </c>
      <c r="J5066">
        <v>-357.80700000000002</v>
      </c>
      <c r="K5066">
        <v>1.10839</v>
      </c>
      <c r="L5066">
        <v>17.040279999999999</v>
      </c>
      <c r="M5066">
        <v>0.99936159999999996</v>
      </c>
      <c r="N5066">
        <v>0</v>
      </c>
      <c r="O5066">
        <v>3.3087230000000002E-2</v>
      </c>
      <c r="P5066">
        <v>0.98871419999999999</v>
      </c>
      <c r="Q5066">
        <v>0.134356</v>
      </c>
      <c r="R5066">
        <v>-6.6278989999999996E-2</v>
      </c>
      <c r="S5066">
        <v>3.0384220000000002</v>
      </c>
      <c r="T5066">
        <v>-0.15245649999999999</v>
      </c>
      <c r="U5066">
        <v>-0.2496033</v>
      </c>
      <c r="V5066">
        <v>9.9126329999999999E-2</v>
      </c>
      <c r="W5066">
        <v>0.1475146</v>
      </c>
      <c r="X5066">
        <v>0.98407999999999995</v>
      </c>
      <c r="Y5066">
        <v>0.1146228</v>
      </c>
      <c r="Z5066">
        <v>-4.5258879999999996E-3</v>
      </c>
      <c r="AA5066">
        <v>0.99339880000000003</v>
      </c>
      <c r="AB5066">
        <v>31</v>
      </c>
      <c r="AC5066">
        <v>21.9453999999999</v>
      </c>
      <c r="AD5066">
        <v>-1.1083925638459999</v>
      </c>
      <c r="AE5066">
        <v>-1.8192900000000001</v>
      </c>
      <c r="AF5066">
        <v>2.5380419458858001</v>
      </c>
      <c r="AG5066">
        <v>-1.1083925638459999</v>
      </c>
      <c r="AH5066">
        <v>21.8179049940006</v>
      </c>
      <c r="AI5066">
        <v>92.888791337628106</v>
      </c>
      <c r="AJ5066">
        <v>83.364696778737596</v>
      </c>
      <c r="AK5066">
        <v>21.9929800009436</v>
      </c>
      <c r="AL5066">
        <v>81.517078792367599</v>
      </c>
      <c r="AM5066">
        <v>84.248000851262006</v>
      </c>
      <c r="AN5066">
        <v>1.00000001645621</v>
      </c>
    </row>
    <row r="5067" spans="1:40" x14ac:dyDescent="0.25">
      <c r="A5067" t="str">
        <f>"20190312164609068"</f>
        <v>20190312164609068</v>
      </c>
      <c r="B5067" t="str">
        <f>"1552380369066881"</f>
        <v>1552380369066881</v>
      </c>
      <c r="C5067" t="s">
        <v>40</v>
      </c>
      <c r="D5067">
        <v>5.0146739999999896</v>
      </c>
      <c r="E5067">
        <v>0.51149929999999999</v>
      </c>
      <c r="F5067" t="s">
        <v>42</v>
      </c>
      <c r="G5067">
        <v>-336.34730000000002</v>
      </c>
      <c r="H5067" s="1">
        <v>-2.3832450000000001E-6</v>
      </c>
      <c r="I5067">
        <v>15.27863</v>
      </c>
      <c r="J5067">
        <v>-357.65039999999999</v>
      </c>
      <c r="K5067">
        <v>1.1083909999999999</v>
      </c>
      <c r="L5067">
        <v>17.04523</v>
      </c>
      <c r="M5067">
        <v>0.99937019999999999</v>
      </c>
      <c r="N5067">
        <v>0</v>
      </c>
      <c r="O5067">
        <v>3.282405E-2</v>
      </c>
      <c r="P5067">
        <v>0.98874189999999995</v>
      </c>
      <c r="Q5067">
        <v>0.1340286</v>
      </c>
      <c r="R5067">
        <v>-6.6527149999999993E-2</v>
      </c>
      <c r="S5067">
        <v>3.0388489999999999</v>
      </c>
      <c r="T5067">
        <v>-0.15695580000000001</v>
      </c>
      <c r="U5067">
        <v>-0.2494507</v>
      </c>
      <c r="V5067">
        <v>9.9115209999999995E-2</v>
      </c>
      <c r="W5067">
        <v>0.1472019</v>
      </c>
      <c r="X5067">
        <v>0.98412790000000006</v>
      </c>
      <c r="Y5067">
        <v>0.11429</v>
      </c>
      <c r="Z5067">
        <v>-4.6365E-3</v>
      </c>
      <c r="AA5067">
        <v>0.9934366</v>
      </c>
      <c r="AB5067">
        <v>31</v>
      </c>
      <c r="AC5067">
        <v>21.303099999999901</v>
      </c>
      <c r="AD5067">
        <v>-1.1083933832449999</v>
      </c>
      <c r="AE5067">
        <v>-1.7665999999999999</v>
      </c>
      <c r="AF5067">
        <v>2.4583559411618499</v>
      </c>
      <c r="AG5067">
        <v>-1.1083933832449999</v>
      </c>
      <c r="AH5067">
        <v>21.1766907982995</v>
      </c>
      <c r="AI5067">
        <v>92.976190955466294</v>
      </c>
      <c r="AJ5067">
        <v>83.378297053373004</v>
      </c>
      <c r="AK5067">
        <v>21.347699711965401</v>
      </c>
      <c r="AL5067">
        <v>81.535192568128295</v>
      </c>
      <c r="AM5067">
        <v>84.248919841667202</v>
      </c>
      <c r="AN5067">
        <v>0.99999997388768103</v>
      </c>
    </row>
    <row r="5068" spans="1:40" x14ac:dyDescent="0.25">
      <c r="A5068" t="str">
        <f>"20190312164609080"</f>
        <v>20190312164609080</v>
      </c>
      <c r="B5068" t="str">
        <f>"1552380369076643"</f>
        <v>1552380369076643</v>
      </c>
      <c r="C5068" t="s">
        <v>40</v>
      </c>
      <c r="D5068">
        <v>4.7034880000000001</v>
      </c>
      <c r="E5068">
        <v>0.5112371</v>
      </c>
      <c r="F5068" t="s">
        <v>42</v>
      </c>
      <c r="G5068">
        <v>-336.61009999999999</v>
      </c>
      <c r="H5068" s="1">
        <v>-2.2860140000000002E-6</v>
      </c>
      <c r="I5068">
        <v>15.307930000000001</v>
      </c>
      <c r="J5068">
        <v>-357.48779999999999</v>
      </c>
      <c r="K5068">
        <v>1.108395</v>
      </c>
      <c r="L5068">
        <v>17.050260000000002</v>
      </c>
      <c r="M5068">
        <v>0.99937900000000002</v>
      </c>
      <c r="N5068">
        <v>0</v>
      </c>
      <c r="O5068">
        <v>3.2550919999999997E-2</v>
      </c>
      <c r="P5068">
        <v>0.98873869999999997</v>
      </c>
      <c r="Q5068">
        <v>0.13384190000000001</v>
      </c>
      <c r="R5068">
        <v>-6.694862E-2</v>
      </c>
      <c r="S5068">
        <v>3.0389710000000001</v>
      </c>
      <c r="T5068">
        <v>-0.16009139999999999</v>
      </c>
      <c r="U5068">
        <v>-0.25091550000000001</v>
      </c>
      <c r="V5068">
        <v>9.9266599999999997E-2</v>
      </c>
      <c r="W5068">
        <v>0.147028399999999</v>
      </c>
      <c r="X5068">
        <v>0.98413859999999997</v>
      </c>
      <c r="Y5068">
        <v>0.11448319999999999</v>
      </c>
      <c r="Z5068">
        <v>-4.7194359999999996E-3</v>
      </c>
      <c r="AA5068">
        <v>0.99341400000000002</v>
      </c>
      <c r="AB5068">
        <v>31</v>
      </c>
      <c r="AC5068">
        <v>20.877700000000001</v>
      </c>
      <c r="AD5068">
        <v>-1.1083972860139999</v>
      </c>
      <c r="AE5068">
        <v>-1.7423299999999999</v>
      </c>
      <c r="AF5068">
        <v>2.4142989894467402</v>
      </c>
      <c r="AG5068">
        <v>-1.1083972860139999</v>
      </c>
      <c r="AH5068">
        <v>20.751829325262701</v>
      </c>
      <c r="AI5068">
        <v>93.036933413940702</v>
      </c>
      <c r="AJ5068">
        <v>83.363956036417605</v>
      </c>
      <c r="AK5068">
        <v>20.921180762541098</v>
      </c>
      <c r="AL5068">
        <v>81.545242927879798</v>
      </c>
      <c r="AM5068">
        <v>84.240256778493304</v>
      </c>
      <c r="AN5068">
        <v>0.99999999614603896</v>
      </c>
    </row>
    <row r="5069" spans="1:40" x14ac:dyDescent="0.25">
      <c r="A5069" t="str">
        <f>"20190312164609092"</f>
        <v>20190312164609092</v>
      </c>
      <c r="B5069" t="str">
        <f>"1552380369086402"</f>
        <v>1552380369086402</v>
      </c>
      <c r="C5069" t="s">
        <v>40</v>
      </c>
      <c r="D5069">
        <v>4.938841</v>
      </c>
      <c r="E5069">
        <v>0.51103710000000002</v>
      </c>
      <c r="F5069" t="s">
        <v>42</v>
      </c>
      <c r="G5069">
        <v>-336.40660000000003</v>
      </c>
      <c r="H5069" s="1">
        <v>-2.3534319999999998E-6</v>
      </c>
      <c r="I5069">
        <v>15.31481</v>
      </c>
      <c r="J5069">
        <v>-357.32749999999999</v>
      </c>
      <c r="K5069">
        <v>1.1083970000000001</v>
      </c>
      <c r="L5069">
        <v>17.055239999999898</v>
      </c>
      <c r="M5069">
        <v>0.99938749999999998</v>
      </c>
      <c r="N5069">
        <v>0</v>
      </c>
      <c r="O5069">
        <v>3.2281369999999997E-2</v>
      </c>
      <c r="P5069">
        <v>0.98873509999999998</v>
      </c>
      <c r="Q5069">
        <v>0.13380040000000001</v>
      </c>
      <c r="R5069">
        <v>-6.7087259999999996E-2</v>
      </c>
      <c r="S5069">
        <v>3.0388489999999999</v>
      </c>
      <c r="T5069">
        <v>-0.15977469999999999</v>
      </c>
      <c r="U5069">
        <v>-0.2501526</v>
      </c>
      <c r="V5069">
        <v>9.9138840000000006E-2</v>
      </c>
      <c r="W5069">
        <v>0.14699909999999999</v>
      </c>
      <c r="X5069">
        <v>0.98415580000000003</v>
      </c>
      <c r="Y5069">
        <v>0.11397259999999999</v>
      </c>
      <c r="Z5069">
        <v>-4.6828130000000001E-3</v>
      </c>
      <c r="AA5069">
        <v>0.99347289999999999</v>
      </c>
      <c r="AB5069">
        <v>31</v>
      </c>
      <c r="AC5069">
        <v>20.9208999999999</v>
      </c>
      <c r="AD5069">
        <v>-1.10839935343199</v>
      </c>
      <c r="AE5069">
        <v>-1.7404299999999899</v>
      </c>
      <c r="AF5069">
        <v>2.4082264537204798</v>
      </c>
      <c r="AG5069">
        <v>-1.10839935343199</v>
      </c>
      <c r="AH5069">
        <v>20.795834599453901</v>
      </c>
      <c r="AI5069">
        <v>93.030711164176594</v>
      </c>
      <c r="AJ5069">
        <v>83.394382303795496</v>
      </c>
      <c r="AK5069">
        <v>20.964132237393699</v>
      </c>
      <c r="AL5069">
        <v>81.546939672870593</v>
      </c>
      <c r="AM5069">
        <v>84.247719907505697</v>
      </c>
      <c r="AN5069">
        <v>0.99999994183549601</v>
      </c>
    </row>
    <row r="5070" spans="1:40" x14ac:dyDescent="0.25">
      <c r="A5070" t="str">
        <f>"20190312164609102"</f>
        <v>20190312164609102</v>
      </c>
      <c r="B5070" t="str">
        <f>"1552380369096163"</f>
        <v>1552380369096163</v>
      </c>
      <c r="C5070" t="s">
        <v>40</v>
      </c>
      <c r="D5070">
        <v>4.7108540000000003</v>
      </c>
      <c r="E5070">
        <v>0.51083329999999905</v>
      </c>
      <c r="F5070" t="s">
        <v>42</v>
      </c>
      <c r="G5070">
        <v>-335.97809999999998</v>
      </c>
      <c r="H5070" s="1">
        <v>-2.5022789999999998E-6</v>
      </c>
      <c r="I5070">
        <v>15.30336</v>
      </c>
      <c r="J5070">
        <v>-357.16699999999997</v>
      </c>
      <c r="K5070">
        <v>1.108401</v>
      </c>
      <c r="L5070">
        <v>17.060120000000001</v>
      </c>
      <c r="M5070">
        <v>0.99939619999999996</v>
      </c>
      <c r="N5070">
        <v>0</v>
      </c>
      <c r="O5070">
        <v>3.201147E-2</v>
      </c>
      <c r="P5070">
        <v>0.98872130000000003</v>
      </c>
      <c r="Q5070">
        <v>0.13378199999999901</v>
      </c>
      <c r="R5070">
        <v>-6.7327830000000005E-2</v>
      </c>
      <c r="S5070">
        <v>3.038605</v>
      </c>
      <c r="T5070">
        <v>-0.1577556</v>
      </c>
      <c r="U5070">
        <v>-0.24932860000000001</v>
      </c>
      <c r="V5070">
        <v>9.9112530000000004E-2</v>
      </c>
      <c r="W5070">
        <v>0.1469925</v>
      </c>
      <c r="X5070">
        <v>0.98415949999999996</v>
      </c>
      <c r="Y5070">
        <v>0.1134493</v>
      </c>
      <c r="Z5070">
        <v>-4.5965989999999998E-3</v>
      </c>
      <c r="AA5070">
        <v>0.99353309999999995</v>
      </c>
      <c r="AB5070">
        <v>31</v>
      </c>
      <c r="AC5070">
        <v>21.188899999999901</v>
      </c>
      <c r="AD5070">
        <v>-1.108403502279</v>
      </c>
      <c r="AE5070">
        <v>-1.7567600000000001</v>
      </c>
      <c r="AF5070">
        <v>2.4276116826055198</v>
      </c>
      <c r="AG5070">
        <v>-1.108403502279</v>
      </c>
      <c r="AH5070">
        <v>21.064549703645699</v>
      </c>
      <c r="AI5070">
        <v>92.992320697412893</v>
      </c>
      <c r="AJ5070">
        <v>83.425875513457001</v>
      </c>
      <c r="AK5070">
        <v>21.232925164064099</v>
      </c>
      <c r="AL5070">
        <v>81.547322516213896</v>
      </c>
      <c r="AM5070">
        <v>84.249257720761406</v>
      </c>
      <c r="AN5070">
        <v>1.00000000504975</v>
      </c>
    </row>
    <row r="5071" spans="1:40" x14ac:dyDescent="0.25">
      <c r="A5071" t="str">
        <f>"20190312164609114"</f>
        <v>20190312164609114</v>
      </c>
      <c r="B5071" t="str">
        <f>"1552380369106898"</f>
        <v>1552380369106898</v>
      </c>
      <c r="C5071" t="s">
        <v>40</v>
      </c>
      <c r="D5071">
        <v>4.8701100000000004</v>
      </c>
      <c r="E5071">
        <v>0.51066659999999997</v>
      </c>
      <c r="F5071" t="s">
        <v>42</v>
      </c>
      <c r="G5071">
        <v>-335.52480000000003</v>
      </c>
      <c r="H5071" s="1">
        <v>-2.6698799999999999E-6</v>
      </c>
      <c r="I5071">
        <v>15.288209999999999</v>
      </c>
      <c r="J5071">
        <v>-357.0016</v>
      </c>
      <c r="K5071">
        <v>1.1084039999999999</v>
      </c>
      <c r="L5071">
        <v>17.065159999999999</v>
      </c>
      <c r="M5071">
        <v>0.99940479999999998</v>
      </c>
      <c r="N5071">
        <v>0</v>
      </c>
      <c r="O5071">
        <v>3.1733409999999997E-2</v>
      </c>
      <c r="P5071">
        <v>0.98871949999999997</v>
      </c>
      <c r="Q5071">
        <v>0.1337015</v>
      </c>
      <c r="R5071">
        <v>-6.7512139999999998E-2</v>
      </c>
      <c r="S5071">
        <v>3.0383610000000001</v>
      </c>
      <c r="T5071">
        <v>-0.15560929999999901</v>
      </c>
      <c r="U5071">
        <v>-0.24874879999999999</v>
      </c>
      <c r="V5071">
        <v>9.9021780000000004E-2</v>
      </c>
      <c r="W5071">
        <v>0.14692269999999999</v>
      </c>
      <c r="X5071">
        <v>0.98417909999999997</v>
      </c>
      <c r="Y5071">
        <v>0.11299729999999999</v>
      </c>
      <c r="Z5071">
        <v>-4.5087770000000003E-3</v>
      </c>
      <c r="AA5071">
        <v>0.9935851</v>
      </c>
      <c r="AB5071">
        <v>31</v>
      </c>
      <c r="AC5071">
        <v>21.476799999999901</v>
      </c>
      <c r="AD5071">
        <v>-1.1084066698799999</v>
      </c>
      <c r="AE5071">
        <v>-1.77695</v>
      </c>
      <c r="AF5071">
        <v>2.4511650042890798</v>
      </c>
      <c r="AG5071">
        <v>-1.1084066698799999</v>
      </c>
      <c r="AH5071">
        <v>21.3530996565975</v>
      </c>
      <c r="AI5071">
        <v>92.952117097955707</v>
      </c>
      <c r="AJ5071">
        <v>83.451565877460794</v>
      </c>
      <c r="AK5071">
        <v>21.521887467614601</v>
      </c>
      <c r="AL5071">
        <v>81.551366014011805</v>
      </c>
      <c r="AM5071">
        <v>84.254601662076197</v>
      </c>
      <c r="AN5071">
        <v>1.00000004678323</v>
      </c>
    </row>
    <row r="5072" spans="1:40" x14ac:dyDescent="0.25">
      <c r="A5072" t="str">
        <f>"20190312164609126"</f>
        <v>20190312164609126</v>
      </c>
      <c r="B5072" t="str">
        <f>"1552380369116658"</f>
        <v>1552380369116658</v>
      </c>
      <c r="C5072" t="s">
        <v>40</v>
      </c>
      <c r="D5072">
        <v>4.8789610000000003</v>
      </c>
      <c r="E5072">
        <v>0.51049020000000001</v>
      </c>
      <c r="F5072" t="s">
        <v>42</v>
      </c>
      <c r="G5072">
        <v>-335.12689999999998</v>
      </c>
      <c r="H5072" s="1">
        <v>-2.8421829999999998E-6</v>
      </c>
      <c r="I5072">
        <v>15.27913</v>
      </c>
      <c r="J5072">
        <v>-356.84339999999997</v>
      </c>
      <c r="K5072">
        <v>1.1084080000000001</v>
      </c>
      <c r="L5072">
        <v>17.069890000000001</v>
      </c>
      <c r="M5072">
        <v>0.999413</v>
      </c>
      <c r="N5072">
        <v>0</v>
      </c>
      <c r="O5072">
        <v>3.14674E-2</v>
      </c>
      <c r="P5072">
        <v>0.98871640000000005</v>
      </c>
      <c r="Q5072">
        <v>0.13353480000000001</v>
      </c>
      <c r="R5072">
        <v>-6.7888660000000003E-2</v>
      </c>
      <c r="S5072">
        <v>3.0381469999999999</v>
      </c>
      <c r="T5072">
        <v>-0.15394469999999999</v>
      </c>
      <c r="U5072">
        <v>-0.24804689999999999</v>
      </c>
      <c r="V5072">
        <v>9.9135329999999994E-2</v>
      </c>
      <c r="W5072">
        <v>0.1467656</v>
      </c>
      <c r="X5072">
        <v>0.98419109999999999</v>
      </c>
      <c r="Y5072">
        <v>0.1125154</v>
      </c>
      <c r="Z5072">
        <v>-4.435329E-3</v>
      </c>
      <c r="AA5072">
        <v>0.99364010000000003</v>
      </c>
      <c r="AB5072">
        <v>31</v>
      </c>
      <c r="AC5072">
        <v>21.7165</v>
      </c>
      <c r="AD5072">
        <v>-1.1084108421829999</v>
      </c>
      <c r="AE5072">
        <v>-1.7907599999999999</v>
      </c>
      <c r="AF5072">
        <v>2.4669143823421602</v>
      </c>
      <c r="AG5072">
        <v>-1.1084108421829999</v>
      </c>
      <c r="AH5072">
        <v>21.5935148099381</v>
      </c>
      <c r="AI5072">
        <v>92.919498088465602</v>
      </c>
      <c r="AJ5072">
        <v>83.482597109082803</v>
      </c>
      <c r="AK5072">
        <v>21.762217787070501</v>
      </c>
      <c r="AL5072">
        <v>81.560465752457702</v>
      </c>
      <c r="AM5072">
        <v>84.248127127208505</v>
      </c>
      <c r="AN5072">
        <v>1.00000003815838</v>
      </c>
    </row>
    <row r="5073" spans="1:40" x14ac:dyDescent="0.25">
      <c r="A5073" t="str">
        <f>"20190312164609138"</f>
        <v>20190312164609138</v>
      </c>
      <c r="B5073" t="str">
        <f>"1552380369127018"</f>
        <v>1552380369127018</v>
      </c>
      <c r="C5073" t="s">
        <v>40</v>
      </c>
      <c r="D5073">
        <v>4.672974</v>
      </c>
      <c r="E5073">
        <v>0.51031579999999999</v>
      </c>
      <c r="F5073" t="s">
        <v>42</v>
      </c>
      <c r="G5073">
        <v>-334.78089999999997</v>
      </c>
      <c r="H5073" s="1">
        <v>-2.992218E-6</v>
      </c>
      <c r="I5073">
        <v>15.270110000000001</v>
      </c>
      <c r="J5073">
        <v>-356.6816</v>
      </c>
      <c r="K5073">
        <v>1.108411</v>
      </c>
      <c r="L5073">
        <v>17.07471</v>
      </c>
      <c r="M5073">
        <v>0.99942149999999996</v>
      </c>
      <c r="N5073">
        <v>0</v>
      </c>
      <c r="O5073">
        <v>3.119508E-2</v>
      </c>
      <c r="P5073">
        <v>0.98868880000000003</v>
      </c>
      <c r="Q5073">
        <v>0.1336639</v>
      </c>
      <c r="R5073">
        <v>-6.8032910000000002E-2</v>
      </c>
      <c r="S5073">
        <v>3.0378419999999999</v>
      </c>
      <c r="T5073">
        <v>-0.15261949999999999</v>
      </c>
      <c r="U5073">
        <v>-0.24780269999999999</v>
      </c>
      <c r="V5073">
        <v>9.9010239999999999E-2</v>
      </c>
      <c r="W5073">
        <v>0.14690339999999999</v>
      </c>
      <c r="X5073">
        <v>0.98418309999999998</v>
      </c>
      <c r="Y5073">
        <v>0.11217729999999999</v>
      </c>
      <c r="Z5073">
        <v>-4.3755189999999996E-3</v>
      </c>
      <c r="AA5073">
        <v>0.99367859999999997</v>
      </c>
      <c r="AB5073">
        <v>31</v>
      </c>
      <c r="AC5073">
        <v>21.900700000000001</v>
      </c>
      <c r="AD5073">
        <v>-1.1084139922180001</v>
      </c>
      <c r="AE5073">
        <v>-1.80459999999999</v>
      </c>
      <c r="AF5073">
        <v>2.4806670739004701</v>
      </c>
      <c r="AG5073">
        <v>-1.1084139922180001</v>
      </c>
      <c r="AH5073">
        <v>21.778331315375102</v>
      </c>
      <c r="AI5073">
        <v>92.894883010452105</v>
      </c>
      <c r="AJ5073">
        <v>83.5017150381194</v>
      </c>
      <c r="AK5073">
        <v>21.947163953274799</v>
      </c>
      <c r="AL5073">
        <v>81.552483601006898</v>
      </c>
      <c r="AM5073">
        <v>84.255289944283803</v>
      </c>
      <c r="AN5073">
        <v>1.0000000054410101</v>
      </c>
    </row>
    <row r="5074" spans="1:40" x14ac:dyDescent="0.25">
      <c r="A5074" t="str">
        <f>"20190312164609151"</f>
        <v>20190312164609151</v>
      </c>
      <c r="B5074" t="str">
        <f>"1552380369146538"</f>
        <v>1552380369146538</v>
      </c>
      <c r="C5074" t="s">
        <v>40</v>
      </c>
      <c r="D5074">
        <v>4.6874690000000001</v>
      </c>
      <c r="E5074">
        <v>0.51001799999999997</v>
      </c>
      <c r="F5074" t="s">
        <v>42</v>
      </c>
      <c r="G5074">
        <v>-334.31549999999999</v>
      </c>
      <c r="H5074" s="1">
        <v>-3.1942900000000002E-6</v>
      </c>
      <c r="I5074">
        <v>15.25658</v>
      </c>
      <c r="J5074">
        <v>-356.50119999999998</v>
      </c>
      <c r="K5074">
        <v>1.1084149999999999</v>
      </c>
      <c r="L5074">
        <v>17.08005</v>
      </c>
      <c r="M5074">
        <v>0.99943090000000001</v>
      </c>
      <c r="N5074">
        <v>0</v>
      </c>
      <c r="O5074">
        <v>3.0891169999999999E-2</v>
      </c>
      <c r="P5074">
        <v>0.98870210000000003</v>
      </c>
      <c r="Q5074">
        <v>0.13347779999999901</v>
      </c>
      <c r="R5074">
        <v>-6.8205150000000006E-2</v>
      </c>
      <c r="S5074">
        <v>3.0376590000000001</v>
      </c>
      <c r="T5074">
        <v>-0.15053900000000001</v>
      </c>
      <c r="U5074">
        <v>-0.24691769999999999</v>
      </c>
      <c r="V5074">
        <v>9.8882780000000003E-2</v>
      </c>
      <c r="W5074">
        <v>0.14672739999999901</v>
      </c>
      <c r="X5074">
        <v>0.98422220000000005</v>
      </c>
      <c r="Y5074">
        <v>0.1115983</v>
      </c>
      <c r="Z5074">
        <v>-4.2869090000000002E-3</v>
      </c>
      <c r="AA5074">
        <v>0.99374410000000002</v>
      </c>
      <c r="AB5074">
        <v>31</v>
      </c>
      <c r="AC5074">
        <v>22.185700000000001</v>
      </c>
      <c r="AD5074">
        <v>-1.10841819429</v>
      </c>
      <c r="AE5074">
        <v>-1.8234699999999999</v>
      </c>
      <c r="AF5074">
        <v>2.5018019222526098</v>
      </c>
      <c r="AG5074">
        <v>-1.10841819429</v>
      </c>
      <c r="AH5074">
        <v>22.064071266966899</v>
      </c>
      <c r="AI5074">
        <v>92.857631845656897</v>
      </c>
      <c r="AJ5074">
        <v>83.530972883467996</v>
      </c>
      <c r="AK5074">
        <v>22.233102451646602</v>
      </c>
      <c r="AL5074">
        <v>81.562678391211193</v>
      </c>
      <c r="AM5074">
        <v>84.262862385896796</v>
      </c>
      <c r="AN5074">
        <v>1.00000003653206</v>
      </c>
    </row>
    <row r="5075" spans="1:40" x14ac:dyDescent="0.25">
      <c r="A5075" t="str">
        <f>"20190312164609164"</f>
        <v>20190312164609164</v>
      </c>
      <c r="B5075" t="str">
        <f>"1552380369156298"</f>
        <v>1552380369156298</v>
      </c>
      <c r="C5075" t="s">
        <v>40</v>
      </c>
      <c r="D5075">
        <v>4.5859180000000004</v>
      </c>
      <c r="E5075">
        <v>0.50989030000000002</v>
      </c>
      <c r="F5075" t="s">
        <v>42</v>
      </c>
      <c r="G5075">
        <v>-333.7756</v>
      </c>
      <c r="H5075" s="1">
        <v>-3.4280679999999998E-6</v>
      </c>
      <c r="I5075">
        <v>15.24441</v>
      </c>
      <c r="J5075">
        <v>-356.3073</v>
      </c>
      <c r="K5075">
        <v>1.1084210000000001</v>
      </c>
      <c r="L5075">
        <v>17.085660000000001</v>
      </c>
      <c r="M5075">
        <v>0.99944080000000002</v>
      </c>
      <c r="N5075">
        <v>0</v>
      </c>
      <c r="O5075">
        <v>3.0564850000000001E-2</v>
      </c>
      <c r="P5075">
        <v>0.98872729999999998</v>
      </c>
      <c r="Q5075">
        <v>0.1332296</v>
      </c>
      <c r="R5075">
        <v>-6.83256E-2</v>
      </c>
      <c r="S5075">
        <v>3.0373839999999999</v>
      </c>
      <c r="T5075">
        <v>-0.1481451</v>
      </c>
      <c r="U5075">
        <v>-0.24533079999999999</v>
      </c>
      <c r="V5075">
        <v>9.8681350000000001E-2</v>
      </c>
      <c r="W5075">
        <v>0.1464888</v>
      </c>
      <c r="X5075">
        <v>0.98427790000000004</v>
      </c>
      <c r="Y5075">
        <v>0.110772</v>
      </c>
      <c r="Z5075">
        <v>-4.1832909999999996E-3</v>
      </c>
      <c r="AA5075">
        <v>0.99383710000000003</v>
      </c>
      <c r="AB5075">
        <v>31</v>
      </c>
      <c r="AC5075">
        <v>22.531700000000001</v>
      </c>
      <c r="AD5075">
        <v>-1.10842442806799</v>
      </c>
      <c r="AE5075">
        <v>-1.8412500000000001</v>
      </c>
      <c r="AF5075">
        <v>2.5230654999195199</v>
      </c>
      <c r="AG5075">
        <v>-1.10842442806799</v>
      </c>
      <c r="AH5075">
        <v>22.411012245684599</v>
      </c>
      <c r="AI5075">
        <v>92.813733534209803</v>
      </c>
      <c r="AJ5075">
        <v>83.576601751536799</v>
      </c>
      <c r="AK5075">
        <v>22.5798125347808</v>
      </c>
      <c r="AL5075">
        <v>81.576498022659706</v>
      </c>
      <c r="AM5075">
        <v>84.274793398253806</v>
      </c>
      <c r="AN5075">
        <v>0.99999998089583597</v>
      </c>
    </row>
    <row r="5076" spans="1:40" x14ac:dyDescent="0.25">
      <c r="A5076" t="str">
        <f>"20190312164609182"</f>
        <v>20190312164609182</v>
      </c>
      <c r="B5076" t="str">
        <f>"1552380369176794"</f>
        <v>1552380369176794</v>
      </c>
      <c r="C5076" t="s">
        <v>40</v>
      </c>
      <c r="D5076">
        <v>4.6970400000000003</v>
      </c>
      <c r="E5076">
        <v>0.50957549999999996</v>
      </c>
      <c r="F5076" t="s">
        <v>42</v>
      </c>
      <c r="G5076">
        <v>-333.48790000000002</v>
      </c>
      <c r="H5076" s="1">
        <v>-3.5510899999999999E-6</v>
      </c>
      <c r="I5076">
        <v>15.24667</v>
      </c>
      <c r="J5076">
        <v>-356.06509999999997</v>
      </c>
      <c r="K5076">
        <v>1.108422</v>
      </c>
      <c r="L5076">
        <v>17.092679999999898</v>
      </c>
      <c r="M5076">
        <v>0.99945289999999998</v>
      </c>
      <c r="N5076">
        <v>0</v>
      </c>
      <c r="O5076">
        <v>3.0157400000000001E-2</v>
      </c>
      <c r="P5076">
        <v>0.98873409999999995</v>
      </c>
      <c r="Q5076">
        <v>0.1331051</v>
      </c>
      <c r="R5076">
        <v>-6.8469429999999998E-2</v>
      </c>
      <c r="S5076">
        <v>3.0371700000000001</v>
      </c>
      <c r="T5076">
        <v>-0.14752660000000001</v>
      </c>
      <c r="U5076">
        <v>-0.244751</v>
      </c>
      <c r="V5076">
        <v>9.8422979999999993E-2</v>
      </c>
      <c r="W5076">
        <v>0.14637549999999999</v>
      </c>
      <c r="X5076">
        <v>0.98432059999999999</v>
      </c>
      <c r="Y5076">
        <v>0.11018650000000001</v>
      </c>
      <c r="Z5076">
        <v>-4.1322260000000001E-3</v>
      </c>
      <c r="AA5076">
        <v>0.99390230000000002</v>
      </c>
      <c r="AB5076">
        <v>31</v>
      </c>
      <c r="AC5076">
        <v>22.577199999999898</v>
      </c>
      <c r="AD5076">
        <v>-1.1084255510900001</v>
      </c>
      <c r="AE5076">
        <v>-1.8460099999999899</v>
      </c>
      <c r="AF5076">
        <v>2.5200688483290001</v>
      </c>
      <c r="AG5076">
        <v>-1.1084255510900001</v>
      </c>
      <c r="AH5076">
        <v>22.4574831234569</v>
      </c>
      <c r="AI5076">
        <v>92.808037307333095</v>
      </c>
      <c r="AJ5076">
        <v>83.597332996693297</v>
      </c>
      <c r="AK5076">
        <v>22.625602808389001</v>
      </c>
      <c r="AL5076">
        <v>81.583060167651396</v>
      </c>
      <c r="AM5076">
        <v>84.289930162735104</v>
      </c>
      <c r="AN5076">
        <v>0.99999995678834397</v>
      </c>
    </row>
    <row r="5077" spans="1:40" x14ac:dyDescent="0.25">
      <c r="A5077" t="str">
        <f>"20190312164609193"</f>
        <v>20190312164609193</v>
      </c>
      <c r="B5077" t="str">
        <f>"1552380369186555"</f>
        <v>1552380369186555</v>
      </c>
      <c r="C5077" t="s">
        <v>40</v>
      </c>
      <c r="D5077">
        <v>4.6675319999999996</v>
      </c>
      <c r="E5077">
        <v>0.50951590000000002</v>
      </c>
      <c r="F5077" t="s">
        <v>42</v>
      </c>
      <c r="G5077">
        <v>-333.19260000000003</v>
      </c>
      <c r="H5077" s="1">
        <v>-3.67471E-6</v>
      </c>
      <c r="I5077">
        <v>15.26389</v>
      </c>
      <c r="J5077">
        <v>-355.9058</v>
      </c>
      <c r="K5077">
        <v>1.108425</v>
      </c>
      <c r="L5077">
        <v>17.097200000000001</v>
      </c>
      <c r="M5077">
        <v>0.99946109999999999</v>
      </c>
      <c r="N5077">
        <v>0</v>
      </c>
      <c r="O5077">
        <v>2.9889099999999901E-2</v>
      </c>
      <c r="P5077">
        <v>0.98872729999999998</v>
      </c>
      <c r="Q5077">
        <v>0.13299549999999999</v>
      </c>
      <c r="R5077">
        <v>-6.8783090000000005E-2</v>
      </c>
      <c r="S5077">
        <v>3.0371700000000001</v>
      </c>
      <c r="T5077">
        <v>-0.14718399999999901</v>
      </c>
      <c r="U5077">
        <v>-0.2428284</v>
      </c>
      <c r="V5077">
        <v>9.8471110000000001E-2</v>
      </c>
      <c r="W5077">
        <v>0.14627179999999901</v>
      </c>
      <c r="X5077">
        <v>0.98433130000000002</v>
      </c>
      <c r="Y5077">
        <v>0.10929659999999999</v>
      </c>
      <c r="Z5077">
        <v>-4.0882480000000001E-3</v>
      </c>
      <c r="AA5077">
        <v>0.99400080000000002</v>
      </c>
      <c r="AB5077">
        <v>31</v>
      </c>
      <c r="AC5077">
        <v>22.713199999999901</v>
      </c>
      <c r="AD5077">
        <v>-1.1084286747100001</v>
      </c>
      <c r="AE5077">
        <v>-1.83331</v>
      </c>
      <c r="AF5077">
        <v>2.50550204407886</v>
      </c>
      <c r="AG5077">
        <v>-1.1084286747100001</v>
      </c>
      <c r="AH5077">
        <v>22.594787115588002</v>
      </c>
      <c r="AI5077">
        <v>92.791415679573404</v>
      </c>
      <c r="AJ5077">
        <v>83.672407711529303</v>
      </c>
      <c r="AK5077">
        <v>22.760284695463401</v>
      </c>
      <c r="AL5077">
        <v>81.589067206481005</v>
      </c>
      <c r="AM5077">
        <v>84.287218026290702</v>
      </c>
      <c r="AN5077">
        <v>1.00000005356977</v>
      </c>
    </row>
    <row r="5078" spans="1:40" x14ac:dyDescent="0.25">
      <c r="A5078" t="str">
        <f>"20190312164609203"</f>
        <v>20190312164609203</v>
      </c>
      <c r="B5078" t="str">
        <f>"1552380369196314"</f>
        <v>1552380369196314</v>
      </c>
      <c r="C5078" t="s">
        <v>40</v>
      </c>
      <c r="D5078">
        <v>4.9897039999999997</v>
      </c>
      <c r="E5078">
        <v>0.50942929999999997</v>
      </c>
      <c r="F5078" t="s">
        <v>42</v>
      </c>
      <c r="G5078">
        <v>-333.11540000000002</v>
      </c>
      <c r="H5078" s="1">
        <v>-3.706693E-6</v>
      </c>
      <c r="I5078">
        <v>15.270149999999999</v>
      </c>
      <c r="J5078">
        <v>-355.75970000000001</v>
      </c>
      <c r="K5078">
        <v>1.1084240000000001</v>
      </c>
      <c r="L5078">
        <v>17.101320000000001</v>
      </c>
      <c r="M5078">
        <v>0.99946820000000003</v>
      </c>
      <c r="N5078">
        <v>0</v>
      </c>
      <c r="O5078">
        <v>2.964344E-2</v>
      </c>
      <c r="P5078">
        <v>0.98871560000000003</v>
      </c>
      <c r="Q5078">
        <v>0.13307629999999901</v>
      </c>
      <c r="R5078">
        <v>-6.8792249999999999E-2</v>
      </c>
      <c r="S5078">
        <v>3.03714</v>
      </c>
      <c r="T5078">
        <v>-0.1477135</v>
      </c>
      <c r="U5078">
        <v>-0.2434692</v>
      </c>
      <c r="V5078">
        <v>9.82378E-2</v>
      </c>
      <c r="W5078">
        <v>0.1463576</v>
      </c>
      <c r="X5078">
        <v>0.98434180000000004</v>
      </c>
      <c r="Y5078">
        <v>0.1092607</v>
      </c>
      <c r="Z5078">
        <v>-4.0901490000000004E-3</v>
      </c>
      <c r="AA5078">
        <v>0.99400469999999996</v>
      </c>
      <c r="AB5078">
        <v>31</v>
      </c>
      <c r="AC5078">
        <v>22.644299999999902</v>
      </c>
      <c r="AD5078">
        <v>-1.1084277066929999</v>
      </c>
      <c r="AE5078">
        <v>-1.83117</v>
      </c>
      <c r="AF5078">
        <v>2.4957409440955698</v>
      </c>
      <c r="AG5078">
        <v>-1.1084277066929999</v>
      </c>
      <c r="AH5078">
        <v>22.526435704793201</v>
      </c>
      <c r="AI5078">
        <v>92.799899349830298</v>
      </c>
      <c r="AJ5078">
        <v>83.677889535205793</v>
      </c>
      <c r="AK5078">
        <v>22.691356072372201</v>
      </c>
      <c r="AL5078">
        <v>81.584097258542798</v>
      </c>
      <c r="AM5078">
        <v>84.300724640203299</v>
      </c>
      <c r="AN5078">
        <v>0.99999999582692001</v>
      </c>
    </row>
    <row r="5079" spans="1:40" x14ac:dyDescent="0.25">
      <c r="A5079" t="str">
        <f>"20190312164609215"</f>
        <v>20190312164609215</v>
      </c>
      <c r="B5079" t="str">
        <f>"1552380369207051"</f>
        <v>1552380369207051</v>
      </c>
      <c r="C5079" t="s">
        <v>40</v>
      </c>
      <c r="D5079">
        <v>4.9204420000000004</v>
      </c>
      <c r="E5079">
        <v>0.50937860000000001</v>
      </c>
      <c r="F5079" t="s">
        <v>42</v>
      </c>
      <c r="G5079">
        <v>-333.12670000000003</v>
      </c>
      <c r="H5079" s="1">
        <v>-3.6981319999999998E-6</v>
      </c>
      <c r="I5079">
        <v>15.2911</v>
      </c>
      <c r="J5079">
        <v>-355.5883</v>
      </c>
      <c r="K5079">
        <v>1.1084270000000001</v>
      </c>
      <c r="L5079">
        <v>17.106110000000001</v>
      </c>
      <c r="M5079">
        <v>0.9994767</v>
      </c>
      <c r="N5079">
        <v>0</v>
      </c>
      <c r="O5079">
        <v>2.935482E-2</v>
      </c>
      <c r="P5079">
        <v>0.98868149999999999</v>
      </c>
      <c r="Q5079">
        <v>0.13320009999999999</v>
      </c>
      <c r="R5079">
        <v>-6.9042989999999999E-2</v>
      </c>
      <c r="S5079">
        <v>3.0373540000000001</v>
      </c>
      <c r="T5079">
        <v>-0.14875099999999999</v>
      </c>
      <c r="U5079">
        <v>-0.24291989999999999</v>
      </c>
      <c r="V5079">
        <v>9.8202510000000007E-2</v>
      </c>
      <c r="W5079">
        <v>0.14648639999999999</v>
      </c>
      <c r="X5079">
        <v>0.98432620000000004</v>
      </c>
      <c r="Y5079">
        <v>0.108788</v>
      </c>
      <c r="Z5079">
        <v>-4.0929259999999898E-3</v>
      </c>
      <c r="AA5079">
        <v>0.99405650000000001</v>
      </c>
      <c r="AB5079">
        <v>31</v>
      </c>
      <c r="AC5079">
        <v>22.461599999999901</v>
      </c>
      <c r="AD5079">
        <v>-1.108430698132</v>
      </c>
      <c r="AE5079">
        <v>-1.81501</v>
      </c>
      <c r="AF5079">
        <v>2.4676744708242699</v>
      </c>
      <c r="AG5079">
        <v>-1.108430698132</v>
      </c>
      <c r="AH5079">
        <v>22.344573619832701</v>
      </c>
      <c r="AI5079">
        <v>92.822767704696204</v>
      </c>
      <c r="AJ5079">
        <v>83.697946560954506</v>
      </c>
      <c r="AK5079">
        <v>22.5077321416139</v>
      </c>
      <c r="AL5079">
        <v>81.5766374757129</v>
      </c>
      <c r="AM5079">
        <v>84.302668823627897</v>
      </c>
      <c r="AN5079">
        <v>1.0000000331808401</v>
      </c>
    </row>
    <row r="5080" spans="1:40" x14ac:dyDescent="0.25">
      <c r="A5080" t="str">
        <f>"20190312164609226"</f>
        <v>20190312164609226</v>
      </c>
      <c r="B5080" t="str">
        <f>"1552380369216811"</f>
        <v>1552380369216811</v>
      </c>
      <c r="C5080" t="s">
        <v>40</v>
      </c>
      <c r="D5080">
        <v>4.7574550000000002</v>
      </c>
      <c r="E5080">
        <v>0.50920089999999996</v>
      </c>
      <c r="F5080" t="s">
        <v>42</v>
      </c>
      <c r="G5080">
        <v>-332.9606</v>
      </c>
      <c r="H5080" s="1">
        <v>-3.7688970000000002E-6</v>
      </c>
      <c r="I5080">
        <v>15.29386</v>
      </c>
      <c r="J5080">
        <v>-355.43610000000001</v>
      </c>
      <c r="K5080">
        <v>1.1084320000000001</v>
      </c>
      <c r="L5080">
        <v>17.110320000000002</v>
      </c>
      <c r="M5080">
        <v>0.99948409999999999</v>
      </c>
      <c r="N5080">
        <v>0</v>
      </c>
      <c r="O5080">
        <v>2.9098860000000001E-2</v>
      </c>
      <c r="P5080">
        <v>0.98865479999999994</v>
      </c>
      <c r="Q5080">
        <v>0.13318150000000001</v>
      </c>
      <c r="R5080">
        <v>-6.945904E-2</v>
      </c>
      <c r="S5080">
        <v>3.0374150000000002</v>
      </c>
      <c r="T5080">
        <v>-0.148789899999999</v>
      </c>
      <c r="U5080">
        <v>-0.24325559999999999</v>
      </c>
      <c r="V5080">
        <v>9.8364930000000003E-2</v>
      </c>
      <c r="W5080">
        <v>0.14647180000000001</v>
      </c>
      <c r="X5080">
        <v>0.98431210000000002</v>
      </c>
      <c r="Y5080">
        <v>0.1086415</v>
      </c>
      <c r="Z5080">
        <v>-4.0777979999999997E-3</v>
      </c>
      <c r="AA5080">
        <v>0.99407259999999997</v>
      </c>
      <c r="AB5080">
        <v>31</v>
      </c>
      <c r="AC5080">
        <v>22.4755</v>
      </c>
      <c r="AD5080">
        <v>-1.1084357688969999</v>
      </c>
      <c r="AE5080">
        <v>-1.81646</v>
      </c>
      <c r="AF5080">
        <v>2.46380889048972</v>
      </c>
      <c r="AG5080">
        <v>-1.1084357688969999</v>
      </c>
      <c r="AH5080">
        <v>22.359089680079499</v>
      </c>
      <c r="AI5080">
        <v>92.821026018648098</v>
      </c>
      <c r="AJ5080">
        <v>83.711791753578893</v>
      </c>
      <c r="AK5080">
        <v>22.521720081389599</v>
      </c>
      <c r="AL5080">
        <v>81.577482655065396</v>
      </c>
      <c r="AM5080">
        <v>84.293226778644893</v>
      </c>
      <c r="AN5080">
        <v>0.99999997892777703</v>
      </c>
    </row>
    <row r="5081" spans="1:40" x14ac:dyDescent="0.25">
      <c r="A5081" t="str">
        <f>"20190312164609237"</f>
        <v>20190312164609237</v>
      </c>
      <c r="B5081" t="str">
        <f>"1552380369226338"</f>
        <v>1552380369226338</v>
      </c>
      <c r="C5081" t="s">
        <v>40</v>
      </c>
      <c r="D5081">
        <v>4.8334349999999997</v>
      </c>
      <c r="E5081">
        <v>0.50903419999999999</v>
      </c>
      <c r="F5081" t="s">
        <v>42</v>
      </c>
      <c r="G5081">
        <v>-333.0421</v>
      </c>
      <c r="H5081" s="1">
        <v>-3.7295940000000001E-6</v>
      </c>
      <c r="I5081">
        <v>15.318479999999999</v>
      </c>
      <c r="J5081">
        <v>-355.29680000000002</v>
      </c>
      <c r="K5081">
        <v>1.108436</v>
      </c>
      <c r="L5081">
        <v>17.114139999999999</v>
      </c>
      <c r="M5081">
        <v>0.99949069999999995</v>
      </c>
      <c r="N5081">
        <v>0</v>
      </c>
      <c r="O5081">
        <v>2.8864239999999999E-2</v>
      </c>
      <c r="P5081">
        <v>0.98861560000000004</v>
      </c>
      <c r="Q5081">
        <v>0.13307749999999999</v>
      </c>
      <c r="R5081">
        <v>-7.0208919999999994E-2</v>
      </c>
      <c r="S5081">
        <v>3.0376280000000002</v>
      </c>
      <c r="T5081">
        <v>-0.15035319999999999</v>
      </c>
      <c r="U5081">
        <v>-0.24304200000000001</v>
      </c>
      <c r="V5081">
        <v>9.8881800000000006E-2</v>
      </c>
      <c r="W5081">
        <v>0.1463708</v>
      </c>
      <c r="X5081">
        <v>0.98427529999999996</v>
      </c>
      <c r="Y5081">
        <v>0.1083303</v>
      </c>
      <c r="Z5081">
        <v>-4.1010380000000004E-3</v>
      </c>
      <c r="AA5081">
        <v>0.9941065</v>
      </c>
      <c r="AB5081">
        <v>31</v>
      </c>
      <c r="AC5081">
        <v>22.2547</v>
      </c>
      <c r="AD5081">
        <v>-1.1084397295940001</v>
      </c>
      <c r="AE5081">
        <v>-1.79565999999999</v>
      </c>
      <c r="AF5081">
        <v>2.43134366532695</v>
      </c>
      <c r="AG5081">
        <v>-1.1084397295940001</v>
      </c>
      <c r="AH5081">
        <v>22.139024651469999</v>
      </c>
      <c r="AI5081">
        <v>92.849146334084907</v>
      </c>
      <c r="AJ5081">
        <v>83.732799649955496</v>
      </c>
      <c r="AK5081">
        <v>22.299696930036198</v>
      </c>
      <c r="AL5081">
        <v>81.583332279926907</v>
      </c>
      <c r="AM5081">
        <v>84.263226307217806</v>
      </c>
      <c r="AN5081">
        <v>0.99999994382698298</v>
      </c>
    </row>
    <row r="5082" spans="1:40" x14ac:dyDescent="0.25">
      <c r="A5082" t="str">
        <f>"20190312164609247"</f>
        <v>20190312164609247</v>
      </c>
      <c r="B5082" t="str">
        <f>"1552380369237059"</f>
        <v>1552380369237059</v>
      </c>
      <c r="C5082" t="s">
        <v>40</v>
      </c>
      <c r="D5082">
        <v>4.7676119999999997</v>
      </c>
      <c r="E5082">
        <v>0.50885309999999995</v>
      </c>
      <c r="F5082" t="s">
        <v>42</v>
      </c>
      <c r="G5082">
        <v>-333.11689999999999</v>
      </c>
      <c r="H5082" s="1">
        <v>-3.6945380000000002E-6</v>
      </c>
      <c r="I5082">
        <v>15.33502</v>
      </c>
      <c r="J5082">
        <v>-355.14780000000002</v>
      </c>
      <c r="K5082">
        <v>1.108439</v>
      </c>
      <c r="L5082">
        <v>17.118189999999998</v>
      </c>
      <c r="M5082">
        <v>0.999498</v>
      </c>
      <c r="N5082">
        <v>0</v>
      </c>
      <c r="O5082">
        <v>2.8613360000000001E-2</v>
      </c>
      <c r="P5082">
        <v>0.98857390000000001</v>
      </c>
      <c r="Q5082">
        <v>0.13317809999999999</v>
      </c>
      <c r="R5082">
        <v>-7.0608649999999995E-2</v>
      </c>
      <c r="S5082">
        <v>3.0376889999999999</v>
      </c>
      <c r="T5082">
        <v>-0.15180859999999999</v>
      </c>
      <c r="U5082">
        <v>-0.24365229999999999</v>
      </c>
      <c r="V5082">
        <v>9.9032540000000002E-2</v>
      </c>
      <c r="W5082">
        <v>0.14647460000000001</v>
      </c>
      <c r="X5082">
        <v>0.98424480000000003</v>
      </c>
      <c r="Y5082">
        <v>0.1082748</v>
      </c>
      <c r="Z5082">
        <v>-4.1266740000000003E-3</v>
      </c>
      <c r="AA5082">
        <v>0.99411240000000001</v>
      </c>
      <c r="AB5082">
        <v>31</v>
      </c>
      <c r="AC5082">
        <v>22.030899999999999</v>
      </c>
      <c r="AD5082">
        <v>-1.1084426945379999</v>
      </c>
      <c r="AE5082">
        <v>-1.7831699999999899</v>
      </c>
      <c r="AF5082">
        <v>2.4068231562661699</v>
      </c>
      <c r="AG5082">
        <v>-1.1084426945379999</v>
      </c>
      <c r="AH5082">
        <v>21.915734092830998</v>
      </c>
      <c r="AI5082">
        <v>92.878134234607202</v>
      </c>
      <c r="AJ5082">
        <v>83.732795457510903</v>
      </c>
      <c r="AK5082">
        <v>22.075344702637999</v>
      </c>
      <c r="AL5082">
        <v>81.577320990569703</v>
      </c>
      <c r="AM5082">
        <v>84.254362517539803</v>
      </c>
      <c r="AN5082">
        <v>1.00000003937552</v>
      </c>
    </row>
    <row r="5083" spans="1:40" x14ac:dyDescent="0.25">
      <c r="A5083" t="str">
        <f>"20190312164609259"</f>
        <v>20190312164609259</v>
      </c>
      <c r="B5083" t="str">
        <f>"1552380369256578"</f>
        <v>1552380369256578</v>
      </c>
      <c r="C5083" t="s">
        <v>40</v>
      </c>
      <c r="D5083">
        <v>4.8086570000000002</v>
      </c>
      <c r="E5083">
        <v>0.50839190000000001</v>
      </c>
      <c r="F5083" t="s">
        <v>42</v>
      </c>
      <c r="G5083">
        <v>-333.02609999999999</v>
      </c>
      <c r="H5083" s="1">
        <v>-3.731579E-6</v>
      </c>
      <c r="I5083">
        <v>15.346030000000001</v>
      </c>
      <c r="J5083">
        <v>-354.9941</v>
      </c>
      <c r="K5083">
        <v>1.108441</v>
      </c>
      <c r="L5083">
        <v>17.122309999999999</v>
      </c>
      <c r="M5083">
        <v>0.99950519999999998</v>
      </c>
      <c r="N5083">
        <v>0</v>
      </c>
      <c r="O5083">
        <v>2.8354790000000001E-2</v>
      </c>
      <c r="P5083">
        <v>0.98856120000000003</v>
      </c>
      <c r="Q5083">
        <v>0.13305790000000001</v>
      </c>
      <c r="R5083">
        <v>-7.1010470000000006E-2</v>
      </c>
      <c r="S5083">
        <v>3.037811</v>
      </c>
      <c r="T5083">
        <v>-0.15221409999999999</v>
      </c>
      <c r="U5083">
        <v>-0.24334720000000001</v>
      </c>
      <c r="V5083">
        <v>9.9178370000000002E-2</v>
      </c>
      <c r="W5083">
        <v>0.1463576</v>
      </c>
      <c r="X5083">
        <v>0.98424750000000005</v>
      </c>
      <c r="Y5083">
        <v>0.1079151</v>
      </c>
      <c r="Z5083">
        <v>-4.1156090000000001E-3</v>
      </c>
      <c r="AA5083">
        <v>0.99415160000000002</v>
      </c>
      <c r="AB5083">
        <v>31</v>
      </c>
      <c r="AC5083">
        <v>21.968</v>
      </c>
      <c r="AD5083">
        <v>-1.108444731579</v>
      </c>
      <c r="AE5083">
        <v>-1.7762800000000001</v>
      </c>
      <c r="AF5083">
        <v>2.3924699251546002</v>
      </c>
      <c r="AG5083">
        <v>-1.108444731579</v>
      </c>
      <c r="AH5083">
        <v>21.853518589289799</v>
      </c>
      <c r="AI5083">
        <v>92.886426989671193</v>
      </c>
      <c r="AJ5083">
        <v>83.752278843389902</v>
      </c>
      <c r="AK5083">
        <v>22.012015736823599</v>
      </c>
      <c r="AL5083">
        <v>81.584097452478701</v>
      </c>
      <c r="AM5083">
        <v>84.245974210526896</v>
      </c>
      <c r="AN5083">
        <v>1.00000001870493</v>
      </c>
    </row>
    <row r="5084" spans="1:40" x14ac:dyDescent="0.25">
      <c r="A5084" t="str">
        <f>"20190312164609270"</f>
        <v>20190312164609270</v>
      </c>
      <c r="B5084" t="str">
        <f>"1552380369266338"</f>
        <v>1552380369266338</v>
      </c>
      <c r="C5084" t="s">
        <v>40</v>
      </c>
      <c r="D5084">
        <v>4.6647759999999998</v>
      </c>
      <c r="E5084">
        <v>0.50821700000000003</v>
      </c>
      <c r="F5084" t="s">
        <v>42</v>
      </c>
      <c r="G5084">
        <v>-333.28719999999998</v>
      </c>
      <c r="H5084" s="1">
        <v>-3.6096339999999998E-6</v>
      </c>
      <c r="I5084">
        <v>15.401949999999999</v>
      </c>
      <c r="J5084">
        <v>-354.84120000000001</v>
      </c>
      <c r="K5084">
        <v>1.1084499999999999</v>
      </c>
      <c r="L5084">
        <v>17.126370000000001</v>
      </c>
      <c r="M5084">
        <v>0.99951259999999997</v>
      </c>
      <c r="N5084">
        <v>0</v>
      </c>
      <c r="O5084">
        <v>2.8097230000000001E-2</v>
      </c>
      <c r="P5084">
        <v>0.98857459999999997</v>
      </c>
      <c r="Q5084">
        <v>0.132732399999999</v>
      </c>
      <c r="R5084">
        <v>-7.1432659999999995E-2</v>
      </c>
      <c r="S5084">
        <v>3.0382690000000001</v>
      </c>
      <c r="T5084">
        <v>-0.15514610000000001</v>
      </c>
      <c r="U5084">
        <v>-0.24078369999999999</v>
      </c>
      <c r="V5084">
        <v>9.9346110000000001E-2</v>
      </c>
      <c r="W5084">
        <v>0.146035</v>
      </c>
      <c r="X5084">
        <v>0.98427849999999995</v>
      </c>
      <c r="Y5084">
        <v>0.1068086</v>
      </c>
      <c r="Z5084">
        <v>-4.1529760000000001E-3</v>
      </c>
      <c r="AA5084">
        <v>0.99427089999999996</v>
      </c>
      <c r="AB5084">
        <v>31</v>
      </c>
      <c r="AC5084">
        <v>21.553999999999998</v>
      </c>
      <c r="AD5084">
        <v>-1.1084536096340001</v>
      </c>
      <c r="AE5084">
        <v>-1.7244200000000001</v>
      </c>
      <c r="AF5084">
        <v>2.3232974324199702</v>
      </c>
      <c r="AG5084">
        <v>-1.1084536096340001</v>
      </c>
      <c r="AH5084">
        <v>21.440688962543899</v>
      </c>
      <c r="AI5084">
        <v>92.942284025053993</v>
      </c>
      <c r="AJ5084">
        <v>83.815600940539696</v>
      </c>
      <c r="AK5084">
        <v>21.5946642380184</v>
      </c>
      <c r="AL5084">
        <v>81.602781818594707</v>
      </c>
      <c r="AM5084">
        <v>84.236488220658501</v>
      </c>
      <c r="AN5084">
        <v>1.00000001817969</v>
      </c>
    </row>
    <row r="5085" spans="1:40" x14ac:dyDescent="0.25">
      <c r="A5085" t="str">
        <f>"20190312164609281"</f>
        <v>20190312164609281</v>
      </c>
      <c r="B5085" t="str">
        <f>"1552380369276099"</f>
        <v>1552380369276099</v>
      </c>
      <c r="C5085" t="s">
        <v>40</v>
      </c>
      <c r="D5085">
        <v>5.0773510000000002</v>
      </c>
      <c r="E5085">
        <v>0.50808509999999996</v>
      </c>
      <c r="F5085" t="s">
        <v>42</v>
      </c>
      <c r="G5085">
        <v>-333.51830000000001</v>
      </c>
      <c r="H5085" s="1">
        <v>-3.503974E-6</v>
      </c>
      <c r="I5085">
        <v>15.43872</v>
      </c>
      <c r="J5085">
        <v>-354.66849999999999</v>
      </c>
      <c r="K5085">
        <v>1.1084529999999999</v>
      </c>
      <c r="L5085">
        <v>17.13092</v>
      </c>
      <c r="M5085">
        <v>0.99952059999999998</v>
      </c>
      <c r="N5085">
        <v>0</v>
      </c>
      <c r="O5085">
        <v>2.780618E-2</v>
      </c>
      <c r="P5085">
        <v>0.98852850000000003</v>
      </c>
      <c r="Q5085">
        <v>0.1327545</v>
      </c>
      <c r="R5085">
        <v>-7.2028010000000003E-2</v>
      </c>
      <c r="S5085">
        <v>3.038513</v>
      </c>
      <c r="T5085">
        <v>-0.15795399999999901</v>
      </c>
      <c r="U5085">
        <v>-0.24047850000000001</v>
      </c>
      <c r="V5085">
        <v>9.9652630000000006E-2</v>
      </c>
      <c r="W5085">
        <v>0.14606</v>
      </c>
      <c r="X5085">
        <v>0.9842438</v>
      </c>
      <c r="Y5085">
        <v>0.10640810000000001</v>
      </c>
      <c r="Z5085">
        <v>-4.2022270000000002E-3</v>
      </c>
      <c r="AA5085">
        <v>0.99431369999999997</v>
      </c>
      <c r="AB5085">
        <v>31</v>
      </c>
      <c r="AC5085">
        <v>21.150199999999899</v>
      </c>
      <c r="AD5085">
        <v>-1.108456503974</v>
      </c>
      <c r="AE5085">
        <v>-1.6921999999999899</v>
      </c>
      <c r="AF5085">
        <v>2.2735014853244002</v>
      </c>
      <c r="AG5085">
        <v>-1.108456503974</v>
      </c>
      <c r="AH5085">
        <v>21.037546522769201</v>
      </c>
      <c r="AI5085">
        <v>92.998665897189696</v>
      </c>
      <c r="AJ5085">
        <v>83.832053567934196</v>
      </c>
      <c r="AK5085">
        <v>21.189050203410599</v>
      </c>
      <c r="AL5085">
        <v>81.601333864012702</v>
      </c>
      <c r="AM5085">
        <v>84.218623454861003</v>
      </c>
      <c r="AN5085">
        <v>1.0000000140521701</v>
      </c>
    </row>
    <row r="5086" spans="1:40" x14ac:dyDescent="0.25">
      <c r="A5086" t="str">
        <f>"20190312164609293"</f>
        <v>20190312164609293</v>
      </c>
      <c r="B5086" t="str">
        <f>"1552380369286834"</f>
        <v>1552380369286834</v>
      </c>
      <c r="C5086" t="s">
        <v>40</v>
      </c>
      <c r="D5086">
        <v>4.8471500000000001</v>
      </c>
      <c r="E5086">
        <v>0.50795270000000003</v>
      </c>
      <c r="F5086" t="s">
        <v>42</v>
      </c>
      <c r="G5086">
        <v>-333.22239999999999</v>
      </c>
      <c r="H5086" s="1">
        <v>-3.6329719999999998E-6</v>
      </c>
      <c r="I5086">
        <v>15.42698</v>
      </c>
      <c r="J5086">
        <v>-354.51350000000002</v>
      </c>
      <c r="K5086">
        <v>1.1084560000000001</v>
      </c>
      <c r="L5086">
        <v>17.135010000000001</v>
      </c>
      <c r="M5086">
        <v>0.99952790000000002</v>
      </c>
      <c r="N5086">
        <v>0</v>
      </c>
      <c r="O5086">
        <v>2.7545050000000001E-2</v>
      </c>
      <c r="P5086">
        <v>0.98851480000000003</v>
      </c>
      <c r="Q5086">
        <v>0.13258689999999901</v>
      </c>
      <c r="R5086">
        <v>-7.2523939999999995E-2</v>
      </c>
      <c r="S5086">
        <v>3.0383610000000001</v>
      </c>
      <c r="T5086">
        <v>-0.15704000000000001</v>
      </c>
      <c r="U5086">
        <v>-0.241394</v>
      </c>
      <c r="V5086">
        <v>9.9889870000000006E-2</v>
      </c>
      <c r="W5086">
        <v>0.14589440000000001</v>
      </c>
      <c r="X5086">
        <v>0.98424429999999996</v>
      </c>
      <c r="Y5086">
        <v>0.1064524</v>
      </c>
      <c r="Z5086">
        <v>-4.1657739999999997E-3</v>
      </c>
      <c r="AA5086">
        <v>0.99430909999999995</v>
      </c>
      <c r="AB5086">
        <v>31</v>
      </c>
      <c r="AC5086">
        <v>21.2911</v>
      </c>
      <c r="AD5086">
        <v>-1.10845963297199</v>
      </c>
      <c r="AE5086">
        <v>-1.7080299999999999</v>
      </c>
      <c r="AF5086">
        <v>2.2877393498317802</v>
      </c>
      <c r="AG5086">
        <v>-1.10845963297199</v>
      </c>
      <c r="AH5086">
        <v>21.178930103472201</v>
      </c>
      <c r="AI5086">
        <v>92.978707964650596</v>
      </c>
      <c r="AJ5086">
        <v>83.834838067049304</v>
      </c>
      <c r="AK5086">
        <v>21.330952027944299</v>
      </c>
      <c r="AL5086">
        <v>81.610924682190102</v>
      </c>
      <c r="AM5086">
        <v>84.204956394562799</v>
      </c>
      <c r="AN5086">
        <v>1.0000000020812301</v>
      </c>
    </row>
    <row r="5087" spans="1:40" x14ac:dyDescent="0.25">
      <c r="A5087" t="str">
        <f>"20190312164609304"</f>
        <v>20190312164609304</v>
      </c>
      <c r="B5087" t="str">
        <f>"1552380369296594"</f>
        <v>1552380369296594</v>
      </c>
      <c r="C5087" t="s">
        <v>40</v>
      </c>
      <c r="D5087">
        <v>4.7253889999999998</v>
      </c>
      <c r="E5087">
        <v>0.50779490000000005</v>
      </c>
      <c r="F5087" t="s">
        <v>42</v>
      </c>
      <c r="G5087">
        <v>-333.02170000000001</v>
      </c>
      <c r="H5087" s="1">
        <v>-3.7197979999999999E-6</v>
      </c>
      <c r="I5087">
        <v>15.422980000000001</v>
      </c>
      <c r="J5087">
        <v>-354.35730000000001</v>
      </c>
      <c r="K5087">
        <v>1.108457</v>
      </c>
      <c r="L5087">
        <v>17.139009999999999</v>
      </c>
      <c r="M5087">
        <v>0.99953510000000001</v>
      </c>
      <c r="N5087">
        <v>0</v>
      </c>
      <c r="O5087">
        <v>2.7282020000000001E-2</v>
      </c>
      <c r="P5087">
        <v>0.98845640000000001</v>
      </c>
      <c r="Q5087">
        <v>0.13277</v>
      </c>
      <c r="R5087">
        <v>-7.2981119999999997E-2</v>
      </c>
      <c r="S5087">
        <v>3.038116</v>
      </c>
      <c r="T5087">
        <v>-0.15669379999999999</v>
      </c>
      <c r="U5087">
        <v>-0.24200440000000001</v>
      </c>
      <c r="V5087">
        <v>0.1000861</v>
      </c>
      <c r="W5087">
        <v>0.1460793</v>
      </c>
      <c r="X5087">
        <v>0.98419699999999999</v>
      </c>
      <c r="Y5087">
        <v>0.106396699999999</v>
      </c>
      <c r="Z5087">
        <v>-4.1419309999999997E-3</v>
      </c>
      <c r="AA5087">
        <v>0.99431510000000001</v>
      </c>
      <c r="AB5087">
        <v>31</v>
      </c>
      <c r="AC5087">
        <v>21.335599999999999</v>
      </c>
      <c r="AD5087">
        <v>-1.1084607197980001</v>
      </c>
      <c r="AE5087">
        <v>-1.7160299999999999</v>
      </c>
      <c r="AF5087">
        <v>2.2913782545069399</v>
      </c>
      <c r="AG5087">
        <v>-1.1084607197980001</v>
      </c>
      <c r="AH5087">
        <v>21.223916976091999</v>
      </c>
      <c r="AI5087">
        <v>92.972426660717403</v>
      </c>
      <c r="AJ5087">
        <v>83.838095086696697</v>
      </c>
      <c r="AK5087">
        <v>21.3760087780813</v>
      </c>
      <c r="AL5087">
        <v>81.600216472460801</v>
      </c>
      <c r="AM5087">
        <v>84.193372806154002</v>
      </c>
      <c r="AN5087">
        <v>1.00000006205534</v>
      </c>
    </row>
    <row r="5088" spans="1:40" x14ac:dyDescent="0.25">
      <c r="A5088" t="str">
        <f>"20190312164609317"</f>
        <v>20190312164609317</v>
      </c>
      <c r="B5088" t="str">
        <f>"1552380369306354"</f>
        <v>1552380369306354</v>
      </c>
      <c r="C5088" t="s">
        <v>40</v>
      </c>
      <c r="D5088">
        <v>5.0308449999999896</v>
      </c>
      <c r="E5088">
        <v>0.50764860000000001</v>
      </c>
      <c r="F5088" t="s">
        <v>42</v>
      </c>
      <c r="G5088">
        <v>-333.04730000000001</v>
      </c>
      <c r="H5088" s="1">
        <v>-3.7055349999999998E-6</v>
      </c>
      <c r="I5088">
        <v>15.44139</v>
      </c>
      <c r="J5088">
        <v>-354.19450000000001</v>
      </c>
      <c r="K5088">
        <v>1.10846</v>
      </c>
      <c r="L5088">
        <v>17.143190000000001</v>
      </c>
      <c r="M5088">
        <v>0.99954240000000005</v>
      </c>
      <c r="N5088">
        <v>0</v>
      </c>
      <c r="O5088">
        <v>2.7007659999999999E-2</v>
      </c>
      <c r="P5088">
        <v>0.98840680000000003</v>
      </c>
      <c r="Q5088">
        <v>0.132981399999999</v>
      </c>
      <c r="R5088">
        <v>-7.3268780000000006E-2</v>
      </c>
      <c r="S5088">
        <v>3.0383909999999998</v>
      </c>
      <c r="T5088">
        <v>-0.15804489999999999</v>
      </c>
      <c r="U5088">
        <v>-0.2420349</v>
      </c>
      <c r="V5088">
        <v>0.1001016</v>
      </c>
      <c r="W5088">
        <v>0.14629200000000001</v>
      </c>
      <c r="X5088">
        <v>0.98416380000000003</v>
      </c>
      <c r="Y5088">
        <v>0.1061243</v>
      </c>
      <c r="Z5088">
        <v>-4.1559079999999998E-3</v>
      </c>
      <c r="AA5088">
        <v>0.99434420000000001</v>
      </c>
      <c r="AB5088">
        <v>31</v>
      </c>
      <c r="AC5088">
        <v>21.147200000000002</v>
      </c>
      <c r="AD5088">
        <v>-1.108463705535</v>
      </c>
      <c r="AE5088">
        <v>-1.7018</v>
      </c>
      <c r="AF5088">
        <v>2.2661822372261802</v>
      </c>
      <c r="AG5088">
        <v>-1.108463705535</v>
      </c>
      <c r="AH5088">
        <v>21.036094014603499</v>
      </c>
      <c r="AI5088">
        <v>92.999000725243903</v>
      </c>
      <c r="AJ5088">
        <v>83.851336886209907</v>
      </c>
      <c r="AK5088">
        <v>21.1868243281065</v>
      </c>
      <c r="AL5088">
        <v>81.587897067173898</v>
      </c>
      <c r="AM5088">
        <v>84.192285126308903</v>
      </c>
      <c r="AN5088">
        <v>1.0000000324084899</v>
      </c>
    </row>
    <row r="5089" spans="1:40" x14ac:dyDescent="0.25">
      <c r="A5089" t="str">
        <f>"20190312164609327"</f>
        <v>20190312164609327</v>
      </c>
      <c r="B5089" t="str">
        <f>"1552380369316114"</f>
        <v>1552380369316114</v>
      </c>
      <c r="C5089" t="s">
        <v>40</v>
      </c>
      <c r="D5089">
        <v>4.7547139999999999</v>
      </c>
      <c r="E5089">
        <v>0.50751939999999995</v>
      </c>
      <c r="F5089" t="s">
        <v>42</v>
      </c>
      <c r="G5089">
        <v>-332.70760000000001</v>
      </c>
      <c r="H5089" s="1">
        <v>-3.8529379999999998E-6</v>
      </c>
      <c r="I5089">
        <v>15.43211</v>
      </c>
      <c r="J5089">
        <v>-354.03100000000001</v>
      </c>
      <c r="K5089">
        <v>1.108463</v>
      </c>
      <c r="L5089">
        <v>17.14734</v>
      </c>
      <c r="M5089">
        <v>0.99954980000000004</v>
      </c>
      <c r="N5089">
        <v>0</v>
      </c>
      <c r="O5089">
        <v>2.6732289999999999E-2</v>
      </c>
      <c r="P5089">
        <v>0.9883227</v>
      </c>
      <c r="Q5089">
        <v>0.13324649999999999</v>
      </c>
      <c r="R5089">
        <v>-7.3916029999999994E-2</v>
      </c>
      <c r="S5089">
        <v>3.0383610000000001</v>
      </c>
      <c r="T5089">
        <v>-0.156742299999999</v>
      </c>
      <c r="U5089">
        <v>-0.2419434</v>
      </c>
      <c r="V5089">
        <v>0.1004751</v>
      </c>
      <c r="W5089">
        <v>0.14655760000000001</v>
      </c>
      <c r="X5089">
        <v>0.98408620000000002</v>
      </c>
      <c r="Y5089">
        <v>0.10582510000000001</v>
      </c>
      <c r="Z5089">
        <v>-4.0998659999999998E-3</v>
      </c>
      <c r="AA5089">
        <v>0.99437629999999999</v>
      </c>
      <c r="AB5089">
        <v>31</v>
      </c>
      <c r="AC5089">
        <v>21.3233999999999</v>
      </c>
      <c r="AD5089">
        <v>-1.108466852938</v>
      </c>
      <c r="AE5089">
        <v>-1.71523</v>
      </c>
      <c r="AF5089">
        <v>2.2785753302032199</v>
      </c>
      <c r="AG5089">
        <v>-1.108466852938</v>
      </c>
      <c r="AH5089">
        <v>21.212966789566298</v>
      </c>
      <c r="AI5089">
        <v>92.974147832290001</v>
      </c>
      <c r="AJ5089">
        <v>83.869122587911306</v>
      </c>
      <c r="AK5089">
        <v>21.3637675589938</v>
      </c>
      <c r="AL5089">
        <v>81.572513331949494</v>
      </c>
      <c r="AM5089">
        <v>84.170307780831706</v>
      </c>
      <c r="AN5089">
        <v>1.0000000124341</v>
      </c>
    </row>
    <row r="5090" spans="1:40" x14ac:dyDescent="0.25">
      <c r="A5090" t="str">
        <f>"20190312164609337"</f>
        <v>20190312164609337</v>
      </c>
      <c r="B5090" t="str">
        <f>"1552380369326850"</f>
        <v>1552380369326850</v>
      </c>
      <c r="C5090" t="s">
        <v>40</v>
      </c>
      <c r="D5090">
        <v>4.9081859999999997</v>
      </c>
      <c r="E5090">
        <v>0.50751449999999998</v>
      </c>
      <c r="F5090" t="s">
        <v>42</v>
      </c>
      <c r="G5090">
        <v>-332.33519999999999</v>
      </c>
      <c r="H5090" s="1">
        <v>-4.0161520000000001E-6</v>
      </c>
      <c r="I5090">
        <v>15.41259</v>
      </c>
      <c r="J5090">
        <v>-353.89760000000001</v>
      </c>
      <c r="K5090">
        <v>1.108468</v>
      </c>
      <c r="L5090">
        <v>17.150670000000002</v>
      </c>
      <c r="M5090">
        <v>0.99955570000000005</v>
      </c>
      <c r="N5090">
        <v>0</v>
      </c>
      <c r="O5090">
        <v>2.6507409999999999E-2</v>
      </c>
      <c r="P5090">
        <v>0.98829440000000002</v>
      </c>
      <c r="Q5090">
        <v>0.1331562</v>
      </c>
      <c r="R5090">
        <v>-7.4454640000000002E-2</v>
      </c>
      <c r="S5090">
        <v>3.0382389999999999</v>
      </c>
      <c r="T5090">
        <v>-0.15522749999999999</v>
      </c>
      <c r="U5090">
        <v>-0.24291989999999999</v>
      </c>
      <c r="V5090">
        <v>0.1007908</v>
      </c>
      <c r="W5090">
        <v>0.14646799999999999</v>
      </c>
      <c r="X5090">
        <v>0.98406729999999998</v>
      </c>
      <c r="Y5090">
        <v>0.1059257</v>
      </c>
      <c r="Z5090">
        <v>-4.0515050000000004E-3</v>
      </c>
      <c r="AA5090">
        <v>0.99436579999999997</v>
      </c>
      <c r="AB5090">
        <v>31</v>
      </c>
      <c r="AC5090">
        <v>21.5624</v>
      </c>
      <c r="AD5090">
        <v>-1.1084720161520001</v>
      </c>
      <c r="AE5090">
        <v>-1.7380800000000001</v>
      </c>
      <c r="AF5090">
        <v>2.3030385728730098</v>
      </c>
      <c r="AG5090">
        <v>-1.1084720161520001</v>
      </c>
      <c r="AH5090">
        <v>21.452418362525201</v>
      </c>
      <c r="AI5090">
        <v>92.941040989798793</v>
      </c>
      <c r="AJ5090">
        <v>83.872442270606697</v>
      </c>
      <c r="AK5090">
        <v>21.6041419750829</v>
      </c>
      <c r="AL5090">
        <v>81.577703403705897</v>
      </c>
      <c r="AM5090">
        <v>84.152005680984601</v>
      </c>
      <c r="AN5090">
        <v>1.0000000556589601</v>
      </c>
    </row>
    <row r="5091" spans="1:40" x14ac:dyDescent="0.25">
      <c r="A5091" t="str">
        <f>"20190312164609349"</f>
        <v>20190312164609349</v>
      </c>
      <c r="B5091" t="str">
        <f>"1552380369336610"</f>
        <v>1552380369336610</v>
      </c>
      <c r="C5091" t="s">
        <v>40</v>
      </c>
      <c r="D5091">
        <v>4.9892859999999999</v>
      </c>
      <c r="E5091">
        <v>0.50735790000000003</v>
      </c>
      <c r="F5091" t="s">
        <v>42</v>
      </c>
      <c r="G5091">
        <v>-332.26139999999998</v>
      </c>
      <c r="H5091" s="1">
        <v>-4.0483900000000002E-6</v>
      </c>
      <c r="I5091">
        <v>15.409269999999999</v>
      </c>
      <c r="J5091">
        <v>-353.73919999999998</v>
      </c>
      <c r="K5091">
        <v>1.1084700000000001</v>
      </c>
      <c r="L5091">
        <v>17.15457</v>
      </c>
      <c r="M5091">
        <v>0.99956279999999997</v>
      </c>
      <c r="N5091">
        <v>0</v>
      </c>
      <c r="O5091">
        <v>2.624044E-2</v>
      </c>
      <c r="P5091">
        <v>0.98826720000000001</v>
      </c>
      <c r="Q5091">
        <v>0.13308889999999901</v>
      </c>
      <c r="R5091">
        <v>-7.4935310000000005E-2</v>
      </c>
      <c r="S5091">
        <v>3.0380549999999999</v>
      </c>
      <c r="T5091">
        <v>-0.1556466</v>
      </c>
      <c r="U5091">
        <v>-0.2445068</v>
      </c>
      <c r="V5091">
        <v>0.1010071</v>
      </c>
      <c r="W5091">
        <v>0.14640239999999999</v>
      </c>
      <c r="X5091">
        <v>0.98405480000000001</v>
      </c>
      <c r="Y5091">
        <v>0.10618</v>
      </c>
      <c r="Z5091">
        <v>-4.0554359999999999E-3</v>
      </c>
      <c r="AA5091">
        <v>0.99433859999999996</v>
      </c>
      <c r="AB5091">
        <v>31</v>
      </c>
      <c r="AC5091">
        <v>21.477799999999998</v>
      </c>
      <c r="AD5091">
        <v>-1.10847404839</v>
      </c>
      <c r="AE5091">
        <v>-1.7452999999999901</v>
      </c>
      <c r="AF5091">
        <v>2.30224608662119</v>
      </c>
      <c r="AG5091">
        <v>-1.10847404839</v>
      </c>
      <c r="AH5091">
        <v>21.368058363229899</v>
      </c>
      <c r="AI5091">
        <v>92.952515775806205</v>
      </c>
      <c r="AJ5091">
        <v>83.8505366646948</v>
      </c>
      <c r="AK5091">
        <v>21.520292051310999</v>
      </c>
      <c r="AL5091">
        <v>81.581502265584902</v>
      </c>
      <c r="AM5091">
        <v>84.139469046808202</v>
      </c>
      <c r="AN5091">
        <v>0.99999997318960399</v>
      </c>
    </row>
    <row r="5092" spans="1:40" x14ac:dyDescent="0.25">
      <c r="A5092" t="str">
        <f>"20190312164609361"</f>
        <v>20190312164609361</v>
      </c>
      <c r="B5092" t="str">
        <f>"1552380369356130"</f>
        <v>1552380369356130</v>
      </c>
      <c r="C5092" t="s">
        <v>40</v>
      </c>
      <c r="D5092">
        <v>4.9912799999999997</v>
      </c>
      <c r="E5092">
        <v>0.50675059999999905</v>
      </c>
      <c r="F5092" t="s">
        <v>42</v>
      </c>
      <c r="G5092">
        <v>-332.01459999999997</v>
      </c>
      <c r="H5092" s="1">
        <v>-4.1550489999999999E-6</v>
      </c>
      <c r="I5092">
        <v>15.404909999999999</v>
      </c>
      <c r="J5092">
        <v>-353.56849999999997</v>
      </c>
      <c r="K5092">
        <v>1.1084689999999999</v>
      </c>
      <c r="L5092">
        <v>17.158750000000001</v>
      </c>
      <c r="M5092">
        <v>0.99957030000000002</v>
      </c>
      <c r="N5092">
        <v>0</v>
      </c>
      <c r="O5092">
        <v>2.5952800000000002E-2</v>
      </c>
      <c r="P5092">
        <v>0.98821289999999995</v>
      </c>
      <c r="Q5092">
        <v>0.13306760000000001</v>
      </c>
      <c r="R5092">
        <v>-7.5687279999999996E-2</v>
      </c>
      <c r="S5092">
        <v>3.0379330000000002</v>
      </c>
      <c r="T5092">
        <v>-0.15500720000000001</v>
      </c>
      <c r="U5092">
        <v>-0.2446594</v>
      </c>
      <c r="V5092">
        <v>0.10147340000000001</v>
      </c>
      <c r="W5092">
        <v>0.14638119999999999</v>
      </c>
      <c r="X5092">
        <v>0.98401000000000005</v>
      </c>
      <c r="Y5092">
        <v>0.10594870000000001</v>
      </c>
      <c r="Z5092">
        <v>-4.01842E-3</v>
      </c>
      <c r="AA5092">
        <v>0.99436349999999996</v>
      </c>
      <c r="AB5092">
        <v>31</v>
      </c>
      <c r="AC5092">
        <v>21.553899999999999</v>
      </c>
      <c r="AD5092">
        <v>-1.1084731550489999</v>
      </c>
      <c r="AE5092">
        <v>-1.7538400000000001</v>
      </c>
      <c r="AF5092">
        <v>2.30662462098626</v>
      </c>
      <c r="AG5092">
        <v>-1.1084731550489999</v>
      </c>
      <c r="AH5092">
        <v>21.444772524486101</v>
      </c>
      <c r="AI5092">
        <v>92.942026639316794</v>
      </c>
      <c r="AJ5092">
        <v>83.860802472822797</v>
      </c>
      <c r="AK5092">
        <v>21.5969326179567</v>
      </c>
      <c r="AL5092">
        <v>81.582730335699495</v>
      </c>
      <c r="AM5092">
        <v>84.112337312779601</v>
      </c>
      <c r="AN5092">
        <v>0.99999999336050005</v>
      </c>
    </row>
    <row r="5093" spans="1:40" x14ac:dyDescent="0.25">
      <c r="A5093" t="str">
        <f>"20190312164609374"</f>
        <v>20190312164609374</v>
      </c>
      <c r="B5093" t="str">
        <f>"1552380369366866"</f>
        <v>1552380369366866</v>
      </c>
      <c r="C5093" t="s">
        <v>40</v>
      </c>
      <c r="D5093">
        <v>4.9113239999999996</v>
      </c>
      <c r="E5093">
        <v>0.50675059999999905</v>
      </c>
      <c r="F5093" t="s">
        <v>42</v>
      </c>
      <c r="G5093">
        <v>-332.09140000000002</v>
      </c>
      <c r="H5093" s="1">
        <v>-4.1145829999999997E-6</v>
      </c>
      <c r="I5093">
        <v>15.4472</v>
      </c>
      <c r="J5093">
        <v>-353.39830000000001</v>
      </c>
      <c r="K5093">
        <v>1.108474</v>
      </c>
      <c r="L5093">
        <v>17.162870000000002</v>
      </c>
      <c r="M5093">
        <v>0.99957770000000001</v>
      </c>
      <c r="N5093">
        <v>0</v>
      </c>
      <c r="O5093">
        <v>2.5665940000000002E-2</v>
      </c>
      <c r="P5093">
        <v>0.98818130000000004</v>
      </c>
      <c r="Q5093">
        <v>0.13291049999999999</v>
      </c>
      <c r="R5093">
        <v>-7.6373289999999996E-2</v>
      </c>
      <c r="S5093">
        <v>3.0384220000000002</v>
      </c>
      <c r="T5093">
        <v>-0.1568186</v>
      </c>
      <c r="U5093">
        <v>-0.24212649999999999</v>
      </c>
      <c r="V5093">
        <v>0.1018751</v>
      </c>
      <c r="W5093">
        <v>0.14622460000000001</v>
      </c>
      <c r="X5093">
        <v>0.98399179999999997</v>
      </c>
      <c r="Y5093">
        <v>0.1048248</v>
      </c>
      <c r="Z5093">
        <v>-4.0210799999999998E-3</v>
      </c>
      <c r="AA5093">
        <v>0.99448259999999999</v>
      </c>
      <c r="AB5093">
        <v>31</v>
      </c>
      <c r="AC5093">
        <v>21.306899999999899</v>
      </c>
      <c r="AD5093">
        <v>-1.1084781145830001</v>
      </c>
      <c r="AE5093">
        <v>-1.71567</v>
      </c>
      <c r="AF5093">
        <v>2.2559506296627401</v>
      </c>
      <c r="AG5093">
        <v>-1.1084781145830001</v>
      </c>
      <c r="AH5093">
        <v>21.198835522623401</v>
      </c>
      <c r="AI5093">
        <v>92.976469726702902</v>
      </c>
      <c r="AJ5093">
        <v>83.925524871908195</v>
      </c>
      <c r="AK5093">
        <v>21.347333896513302</v>
      </c>
      <c r="AL5093">
        <v>81.591800642940996</v>
      </c>
      <c r="AM5093">
        <v>84.089086123131196</v>
      </c>
      <c r="AN5093">
        <v>1.0000000160561999</v>
      </c>
    </row>
    <row r="5094" spans="1:40" x14ac:dyDescent="0.25">
      <c r="A5094" t="str">
        <f>"20190312164609387"</f>
        <v>20190312164609387</v>
      </c>
      <c r="B5094" t="str">
        <f>"1552380369376626"</f>
        <v>1552380369376626</v>
      </c>
      <c r="C5094" t="s">
        <v>40</v>
      </c>
      <c r="D5094">
        <v>4.92727</v>
      </c>
      <c r="E5094">
        <v>0.47886459999999997</v>
      </c>
      <c r="F5094" t="s">
        <v>42</v>
      </c>
      <c r="G5094">
        <v>-331.99119999999999</v>
      </c>
      <c r="H5094" s="1">
        <v>-4.1584909999999996E-6</v>
      </c>
      <c r="I5094">
        <v>15.442130000000001</v>
      </c>
      <c r="J5094">
        <v>-353.21350000000001</v>
      </c>
      <c r="K5094">
        <v>1.1084769999999999</v>
      </c>
      <c r="L5094">
        <v>17.167300000000001</v>
      </c>
      <c r="M5094">
        <v>0.99958570000000002</v>
      </c>
      <c r="N5094">
        <v>0</v>
      </c>
      <c r="O5094">
        <v>2.5354399999999999E-2</v>
      </c>
      <c r="P5094">
        <v>0.98813589999999996</v>
      </c>
      <c r="Q5094">
        <v>0.1328665</v>
      </c>
      <c r="R5094">
        <v>-7.7034809999999995E-2</v>
      </c>
      <c r="S5094">
        <v>3.0381770000000001</v>
      </c>
      <c r="T5094">
        <v>-0.15731870000000001</v>
      </c>
      <c r="U5094">
        <v>-0.24420169999999999</v>
      </c>
      <c r="V5094">
        <v>0.1022277</v>
      </c>
      <c r="W5094">
        <v>0.14618120000000001</v>
      </c>
      <c r="X5094">
        <v>0.98396159999999999</v>
      </c>
      <c r="Y5094">
        <v>0.10519489999999899</v>
      </c>
      <c r="Z5094">
        <v>-4.0275609999999998E-3</v>
      </c>
      <c r="AA5094">
        <v>0.99444350000000004</v>
      </c>
      <c r="AB5094">
        <v>31</v>
      </c>
      <c r="AC5094">
        <v>21.222300000000001</v>
      </c>
      <c r="AD5094">
        <v>-1.1084811584909999</v>
      </c>
      <c r="AE5094">
        <v>-1.7251700000000001</v>
      </c>
      <c r="AF5094">
        <v>2.2566278650196301</v>
      </c>
      <c r="AG5094">
        <v>-1.1084811584909999</v>
      </c>
      <c r="AH5094">
        <v>21.114505750894399</v>
      </c>
      <c r="AI5094">
        <v>92.988200438098005</v>
      </c>
      <c r="AJ5094">
        <v>83.899629356247303</v>
      </c>
      <c r="AK5094">
        <v>21.263665086350102</v>
      </c>
      <c r="AL5094">
        <v>81.594313629604201</v>
      </c>
      <c r="AM5094">
        <v>84.068592704910799</v>
      </c>
      <c r="AN5094">
        <v>0.99999993807764298</v>
      </c>
    </row>
    <row r="5095" spans="1:40" x14ac:dyDescent="0.25">
      <c r="A5095" t="str">
        <f>"20190312164609404"</f>
        <v>20190312164609404</v>
      </c>
      <c r="B5095" t="str">
        <f>"1552380369396146"</f>
        <v>1552380369396146</v>
      </c>
      <c r="C5095" t="s">
        <v>40</v>
      </c>
      <c r="D5095">
        <v>4.9870619999999999</v>
      </c>
      <c r="E5095">
        <v>0.4797594</v>
      </c>
      <c r="F5095" t="s">
        <v>42</v>
      </c>
      <c r="G5095">
        <v>-335.9239</v>
      </c>
      <c r="H5095" s="1">
        <v>-2.186473E-6</v>
      </c>
      <c r="I5095">
        <v>17.048269999999999</v>
      </c>
      <c r="J5095">
        <v>-352.9658</v>
      </c>
      <c r="K5095">
        <v>1.1084780000000001</v>
      </c>
      <c r="L5095">
        <v>17.17313</v>
      </c>
      <c r="M5095">
        <v>0.99959620000000005</v>
      </c>
      <c r="N5095">
        <v>0</v>
      </c>
      <c r="O5095">
        <v>2.4936650000000001E-2</v>
      </c>
      <c r="P5095">
        <v>0.98800030000000005</v>
      </c>
      <c r="Q5095">
        <v>0.1331908</v>
      </c>
      <c r="R5095">
        <v>-7.8205090000000005E-2</v>
      </c>
      <c r="S5095">
        <v>3.0607600000000001</v>
      </c>
      <c r="T5095">
        <v>-0.19623260000000001</v>
      </c>
      <c r="U5095">
        <v>-2.105713E-2</v>
      </c>
      <c r="V5095">
        <v>0.1029825</v>
      </c>
      <c r="W5095">
        <v>0.14650379999999999</v>
      </c>
      <c r="X5095">
        <v>0.98383500000000002</v>
      </c>
      <c r="Y5095">
        <v>3.1699499999999999E-2</v>
      </c>
      <c r="Z5095">
        <v>-2.6122580000000001E-3</v>
      </c>
      <c r="AA5095">
        <v>0.99949399999999999</v>
      </c>
      <c r="AB5095">
        <v>31</v>
      </c>
      <c r="AC5095">
        <v>17.041899999999998</v>
      </c>
      <c r="AD5095">
        <v>-1.1084801864730001</v>
      </c>
      <c r="AE5095">
        <v>-0.124859999999998</v>
      </c>
      <c r="AF5095">
        <v>0.54751222748573702</v>
      </c>
      <c r="AG5095">
        <v>-1.1084801864730001</v>
      </c>
      <c r="AH5095">
        <v>16.9617282851666</v>
      </c>
      <c r="AI5095">
        <v>93.737126836430804</v>
      </c>
      <c r="AJ5095">
        <v>88.151175943901293</v>
      </c>
      <c r="AK5095">
        <v>17.0067258572269</v>
      </c>
      <c r="AL5095">
        <v>81.575629654452499</v>
      </c>
      <c r="AM5095">
        <v>84.024350432444507</v>
      </c>
      <c r="AN5095">
        <v>1.00000003297284</v>
      </c>
    </row>
    <row r="5096" spans="1:40" x14ac:dyDescent="0.25">
      <c r="A5096" t="str">
        <f>"20190312164609415"</f>
        <v>20190312164609415</v>
      </c>
      <c r="B5096" t="str">
        <f>"1552380369406882"</f>
        <v>1552380369406882</v>
      </c>
      <c r="C5096" t="s">
        <v>40</v>
      </c>
      <c r="D5096">
        <v>4.8108129999999996</v>
      </c>
      <c r="E5096">
        <v>0.48008889999999999</v>
      </c>
      <c r="F5096" t="s">
        <v>42</v>
      </c>
      <c r="G5096">
        <v>-332.82850000000002</v>
      </c>
      <c r="H5096" s="1">
        <v>-3.5311809999999999E-6</v>
      </c>
      <c r="I5096">
        <v>16.953489999999999</v>
      </c>
      <c r="J5096">
        <v>-352.81549999999999</v>
      </c>
      <c r="K5096">
        <v>1.108482</v>
      </c>
      <c r="L5096">
        <v>17.176639999999999</v>
      </c>
      <c r="M5096">
        <v>0.9996024</v>
      </c>
      <c r="N5096">
        <v>0</v>
      </c>
      <c r="O5096">
        <v>2.4683279999999998E-2</v>
      </c>
      <c r="P5096">
        <v>0.98799250000000005</v>
      </c>
      <c r="Q5096">
        <v>0.13305529999999999</v>
      </c>
      <c r="R5096">
        <v>-7.8532809999999995E-2</v>
      </c>
      <c r="S5096">
        <v>3.0564879999999999</v>
      </c>
      <c r="T5096">
        <v>-0.16824839999999999</v>
      </c>
      <c r="U5096">
        <v>-3.3325199999999902E-2</v>
      </c>
      <c r="V5096">
        <v>0.10305979999999999</v>
      </c>
      <c r="W5096">
        <v>0.1463689</v>
      </c>
      <c r="X5096">
        <v>0.98384700000000003</v>
      </c>
      <c r="Y5096">
        <v>3.5492139999999998E-2</v>
      </c>
      <c r="Z5096">
        <v>-2.3338120000000002E-3</v>
      </c>
      <c r="AA5096">
        <v>0.99936720000000001</v>
      </c>
      <c r="AB5096">
        <v>31</v>
      </c>
      <c r="AC5096">
        <v>19.986999999999899</v>
      </c>
      <c r="AD5096">
        <v>-1.108485531181</v>
      </c>
      <c r="AE5096">
        <v>-0.22314999999999999</v>
      </c>
      <c r="AF5096">
        <v>0.71427581845572197</v>
      </c>
      <c r="AG5096">
        <v>-1.108485531181</v>
      </c>
      <c r="AH5096">
        <v>19.9141553966484</v>
      </c>
      <c r="AI5096">
        <v>93.183935255181197</v>
      </c>
      <c r="AJ5096">
        <v>87.945810274483904</v>
      </c>
      <c r="AK5096">
        <v>19.957768294063602</v>
      </c>
      <c r="AL5096">
        <v>81.583443213118699</v>
      </c>
      <c r="AM5096">
        <v>84.019969935117203</v>
      </c>
      <c r="AN5096">
        <v>1.00000004833612</v>
      </c>
    </row>
    <row r="5097" spans="1:40" x14ac:dyDescent="0.25">
      <c r="A5097" t="str">
        <f>"20190312164609426"</f>
        <v>20190312164609426</v>
      </c>
      <c r="B5097" t="str">
        <f>"1552380369416644"</f>
        <v>1552380369416644</v>
      </c>
      <c r="C5097" t="s">
        <v>40</v>
      </c>
      <c r="D5097">
        <v>4.9583380000000004</v>
      </c>
      <c r="E5097">
        <v>0.48109360000000001</v>
      </c>
      <c r="F5097" t="s">
        <v>42</v>
      </c>
      <c r="G5097">
        <v>-331.99549999999999</v>
      </c>
      <c r="H5097" s="1">
        <v>-3.8941090000000002E-6</v>
      </c>
      <c r="I5097">
        <v>16.92202</v>
      </c>
      <c r="J5097">
        <v>-352.66419999999999</v>
      </c>
      <c r="K5097">
        <v>1.108484</v>
      </c>
      <c r="L5097">
        <v>17.18008</v>
      </c>
      <c r="M5097">
        <v>0.99960870000000002</v>
      </c>
      <c r="N5097">
        <v>0</v>
      </c>
      <c r="O5097">
        <v>2.4428189999999999E-2</v>
      </c>
      <c r="P5097">
        <v>0.98793520000000001</v>
      </c>
      <c r="Q5097">
        <v>0.13310439999999901</v>
      </c>
      <c r="R5097">
        <v>-7.9167950000000001E-2</v>
      </c>
      <c r="S5097">
        <v>3.0553889999999999</v>
      </c>
      <c r="T5097">
        <v>-0.16267319999999999</v>
      </c>
      <c r="U5097">
        <v>-3.7353520000000001E-2</v>
      </c>
      <c r="V5097">
        <v>0.10344159999999999</v>
      </c>
      <c r="W5097">
        <v>0.14641750000000001</v>
      </c>
      <c r="X5097">
        <v>0.9837996</v>
      </c>
      <c r="Y5097">
        <v>3.6563150000000003E-2</v>
      </c>
      <c r="Z5097">
        <v>-2.272306E-3</v>
      </c>
      <c r="AA5097">
        <v>0.99932869999999996</v>
      </c>
      <c r="AB5097">
        <v>31</v>
      </c>
      <c r="AC5097">
        <v>20.668700000000001</v>
      </c>
      <c r="AD5097">
        <v>-1.1084878941089999</v>
      </c>
      <c r="AE5097">
        <v>-0.25806000000000001</v>
      </c>
      <c r="AF5097">
        <v>0.76074101158077101</v>
      </c>
      <c r="AG5097">
        <v>-1.1084878941089999</v>
      </c>
      <c r="AH5097">
        <v>20.596992439261498</v>
      </c>
      <c r="AI5097">
        <v>93.078474478330094</v>
      </c>
      <c r="AJ5097">
        <v>87.884766643763797</v>
      </c>
      <c r="AK5097">
        <v>20.640822896412899</v>
      </c>
      <c r="AL5097">
        <v>81.580627486000495</v>
      </c>
      <c r="AM5097">
        <v>83.997690397390201</v>
      </c>
      <c r="AN5097">
        <v>0.99999995093848304</v>
      </c>
    </row>
    <row r="5098" spans="1:40" x14ac:dyDescent="0.25">
      <c r="A5098" t="str">
        <f>"20190312164609437"</f>
        <v>20190312164609437</v>
      </c>
      <c r="B5098" t="str">
        <f>"1552380369426402"</f>
        <v>1552380369426402</v>
      </c>
      <c r="C5098" t="s">
        <v>40</v>
      </c>
      <c r="D5098">
        <v>4.9804139999999997</v>
      </c>
      <c r="E5098">
        <v>0.48190129999999998</v>
      </c>
      <c r="F5098" t="s">
        <v>42</v>
      </c>
      <c r="G5098">
        <v>-333.06540000000001</v>
      </c>
      <c r="H5098" s="1">
        <v>-3.4426599999999998E-6</v>
      </c>
      <c r="I5098">
        <v>16.8796</v>
      </c>
      <c r="J5098">
        <v>-352.51839999999999</v>
      </c>
      <c r="K5098">
        <v>1.1084860000000001</v>
      </c>
      <c r="L5098">
        <v>17.183409999999999</v>
      </c>
      <c r="M5098">
        <v>0.99961469999999997</v>
      </c>
      <c r="N5098">
        <v>0</v>
      </c>
      <c r="O5098">
        <v>2.4182269999999999E-2</v>
      </c>
      <c r="P5098">
        <v>0.98795710000000003</v>
      </c>
      <c r="Q5098">
        <v>0.1327863</v>
      </c>
      <c r="R5098">
        <v>-7.9431630000000003E-2</v>
      </c>
      <c r="S5098">
        <v>3.0561829999999999</v>
      </c>
      <c r="T5098">
        <v>-0.1728547</v>
      </c>
      <c r="U5098">
        <v>-4.6844480000000001E-2</v>
      </c>
      <c r="V5098">
        <v>0.1034626</v>
      </c>
      <c r="W5098">
        <v>0.14610100000000001</v>
      </c>
      <c r="X5098">
        <v>0.98384450000000001</v>
      </c>
      <c r="Y5098">
        <v>3.9401579999999999E-2</v>
      </c>
      <c r="Z5098">
        <v>-2.4799459999999998E-3</v>
      </c>
      <c r="AA5098">
        <v>0.99922040000000001</v>
      </c>
      <c r="AB5098">
        <v>31</v>
      </c>
      <c r="AC5098">
        <v>19.4529999999999</v>
      </c>
      <c r="AD5098">
        <v>-1.10848944266</v>
      </c>
      <c r="AE5098">
        <v>-0.30381000000000202</v>
      </c>
      <c r="AF5098">
        <v>0.77167744479462497</v>
      </c>
      <c r="AG5098">
        <v>-1.10848944266</v>
      </c>
      <c r="AH5098">
        <v>19.3770596504507</v>
      </c>
      <c r="AI5098">
        <v>93.271522170191204</v>
      </c>
      <c r="AJ5098">
        <v>87.719441971784207</v>
      </c>
      <c r="AK5098">
        <v>19.424074640003301</v>
      </c>
      <c r="AL5098">
        <v>81.598959195834993</v>
      </c>
      <c r="AM5098">
        <v>83.996752731982994</v>
      </c>
      <c r="AN5098">
        <v>1.0000000059900001</v>
      </c>
    </row>
    <row r="5099" spans="1:40" x14ac:dyDescent="0.25">
      <c r="A5099" t="str">
        <f>"20190312164609447"</f>
        <v>20190312164609447</v>
      </c>
      <c r="B5099" t="str">
        <f>"1552380369436163"</f>
        <v>1552380369436163</v>
      </c>
      <c r="C5099" t="s">
        <v>40</v>
      </c>
      <c r="D5099">
        <v>4.8676490000000001</v>
      </c>
      <c r="E5099">
        <v>0.4817729</v>
      </c>
      <c r="F5099" t="s">
        <v>42</v>
      </c>
      <c r="G5099">
        <v>-333.5564</v>
      </c>
      <c r="H5099" s="1">
        <v>-3.2374990000000001E-6</v>
      </c>
      <c r="I5099">
        <v>16.848759999999999</v>
      </c>
      <c r="J5099">
        <v>-352.36500000000001</v>
      </c>
      <c r="K5099">
        <v>1.108487</v>
      </c>
      <c r="L5099">
        <v>17.186889999999998</v>
      </c>
      <c r="M5099">
        <v>0.99962090000000003</v>
      </c>
      <c r="N5099">
        <v>0</v>
      </c>
      <c r="O5099">
        <v>2.392385E-2</v>
      </c>
      <c r="P5099">
        <v>0.98789459999999996</v>
      </c>
      <c r="Q5099">
        <v>0.13307929999999901</v>
      </c>
      <c r="R5099">
        <v>-7.9713930000000002E-2</v>
      </c>
      <c r="S5099">
        <v>3.056244</v>
      </c>
      <c r="T5099">
        <v>-0.17866309999999999</v>
      </c>
      <c r="U5099">
        <v>-5.3924560000000003E-2</v>
      </c>
      <c r="V5099">
        <v>0.10348880000000001</v>
      </c>
      <c r="W5099">
        <v>0.14639389999999999</v>
      </c>
      <c r="X5099">
        <v>0.98379819999999996</v>
      </c>
      <c r="Y5099">
        <v>4.1447039999999997E-2</v>
      </c>
      <c r="Z5099">
        <v>-2.6076889999999998E-3</v>
      </c>
      <c r="AA5099">
        <v>0.99913730000000001</v>
      </c>
      <c r="AB5099">
        <v>31</v>
      </c>
      <c r="AC5099">
        <v>18.808599999999998</v>
      </c>
      <c r="AD5099">
        <v>-1.108490237499</v>
      </c>
      <c r="AE5099">
        <v>-0.33812999999999599</v>
      </c>
      <c r="AF5099">
        <v>0.78532228397715298</v>
      </c>
      <c r="AG5099">
        <v>-1.108490237499</v>
      </c>
      <c r="AH5099">
        <v>18.730090072527201</v>
      </c>
      <c r="AI5099">
        <v>93.3839804181614</v>
      </c>
      <c r="AJ5099">
        <v>87.599087204184798</v>
      </c>
      <c r="AK5099">
        <v>18.779290610172801</v>
      </c>
      <c r="AL5099">
        <v>81.581994828398706</v>
      </c>
      <c r="AM5099">
        <v>83.994963091939596</v>
      </c>
      <c r="AN5099">
        <v>1.00000000200294</v>
      </c>
    </row>
    <row r="5100" spans="1:40" x14ac:dyDescent="0.25">
      <c r="A5100" t="str">
        <f>"20190312164609460"</f>
        <v>20190312164609460</v>
      </c>
      <c r="B5100" t="str">
        <f>"1552380369456658"</f>
        <v>1552380369456658</v>
      </c>
      <c r="C5100" t="s">
        <v>40</v>
      </c>
      <c r="D5100">
        <v>5.0787570000000004</v>
      </c>
      <c r="E5100">
        <v>0.48209390000000002</v>
      </c>
      <c r="F5100" t="s">
        <v>42</v>
      </c>
      <c r="G5100">
        <v>-332.6463</v>
      </c>
      <c r="H5100" s="1">
        <v>-3.6301019999999998E-6</v>
      </c>
      <c r="I5100">
        <v>16.836639999999999</v>
      </c>
      <c r="J5100">
        <v>-352.20440000000002</v>
      </c>
      <c r="K5100">
        <v>1.1084889999999901</v>
      </c>
      <c r="L5100">
        <v>17.190429999999999</v>
      </c>
      <c r="M5100">
        <v>0.99962720000000005</v>
      </c>
      <c r="N5100">
        <v>0</v>
      </c>
      <c r="O5100">
        <v>2.365302E-2</v>
      </c>
      <c r="P5100">
        <v>0.98787749999999996</v>
      </c>
      <c r="Q5100">
        <v>0.1330316</v>
      </c>
      <c r="R5100">
        <v>-8.000177E-2</v>
      </c>
      <c r="S5100">
        <v>3.0555110000000001</v>
      </c>
      <c r="T5100">
        <v>-0.17176540000000001</v>
      </c>
      <c r="U5100">
        <v>-5.4260250000000003E-2</v>
      </c>
      <c r="V5100">
        <v>0.10350910000000001</v>
      </c>
      <c r="W5100">
        <v>0.14634629999999901</v>
      </c>
      <c r="X5100">
        <v>0.98380319999999999</v>
      </c>
      <c r="Y5100">
        <v>4.1299349999999999E-2</v>
      </c>
      <c r="Z5100">
        <v>-2.488414E-3</v>
      </c>
      <c r="AA5100">
        <v>0.99914369999999997</v>
      </c>
      <c r="AB5100">
        <v>31</v>
      </c>
      <c r="AC5100">
        <v>19.5581</v>
      </c>
      <c r="AD5100">
        <v>-1.1084926301019999</v>
      </c>
      <c r="AE5100">
        <v>-0.35378999999999999</v>
      </c>
      <c r="AF5100">
        <v>0.81372909508792801</v>
      </c>
      <c r="AG5100">
        <v>-1.1084926301019999</v>
      </c>
      <c r="AH5100">
        <v>19.481698156267001</v>
      </c>
      <c r="AI5100">
        <v>93.253740476575899</v>
      </c>
      <c r="AJ5100">
        <v>87.608208628327404</v>
      </c>
      <c r="AK5100">
        <v>19.530168304525201</v>
      </c>
      <c r="AL5100">
        <v>81.584752248042307</v>
      </c>
      <c r="AM5100">
        <v>83.993824076927993</v>
      </c>
      <c r="AN5100">
        <v>1.0000000548183601</v>
      </c>
    </row>
    <row r="5101" spans="1:40" x14ac:dyDescent="0.25">
      <c r="A5101" t="str">
        <f>"20190312164609471"</f>
        <v>20190312164609471</v>
      </c>
      <c r="B5101" t="str">
        <f>"1552380369466419"</f>
        <v>1552380369466419</v>
      </c>
      <c r="C5101" t="s">
        <v>40</v>
      </c>
      <c r="D5101">
        <v>5.0042589999999896</v>
      </c>
      <c r="E5101">
        <v>0.48182160000000002</v>
      </c>
      <c r="F5101" t="s">
        <v>42</v>
      </c>
      <c r="G5101">
        <v>-333.12040000000002</v>
      </c>
      <c r="H5101" s="1">
        <v>-3.4271909999999999E-6</v>
      </c>
      <c r="I5101">
        <v>16.83379</v>
      </c>
      <c r="J5101">
        <v>-352.05169999999998</v>
      </c>
      <c r="K5101">
        <v>1.108482</v>
      </c>
      <c r="L5101">
        <v>17.19379</v>
      </c>
      <c r="M5101">
        <v>0.99963340000000001</v>
      </c>
      <c r="N5101">
        <v>0</v>
      </c>
      <c r="O5101">
        <v>2.3395300000000001E-2</v>
      </c>
      <c r="P5101">
        <v>0.98788189999999998</v>
      </c>
      <c r="Q5101">
        <v>0.1329545</v>
      </c>
      <c r="R5101">
        <v>-8.0080009999999993E-2</v>
      </c>
      <c r="S5101">
        <v>3.0561219999999998</v>
      </c>
      <c r="T5101">
        <v>-0.17751420000000001</v>
      </c>
      <c r="U5101">
        <v>-5.7098389999999999E-2</v>
      </c>
      <c r="V5101">
        <v>0.10333299999999999</v>
      </c>
      <c r="W5101">
        <v>0.14626989999999901</v>
      </c>
      <c r="X5101">
        <v>0.98383299999999996</v>
      </c>
      <c r="Y5101">
        <v>4.1958179999999998E-2</v>
      </c>
      <c r="Z5101">
        <v>-2.5751900000000002E-3</v>
      </c>
      <c r="AA5101">
        <v>0.99911609999999995</v>
      </c>
      <c r="AB5101">
        <v>31</v>
      </c>
      <c r="AC5101">
        <v>18.931299999999901</v>
      </c>
      <c r="AD5101">
        <v>-1.1084854271910001</v>
      </c>
      <c r="AE5101">
        <v>-0.35999999999999899</v>
      </c>
      <c r="AF5101">
        <v>0.80010389217315703</v>
      </c>
      <c r="AG5101">
        <v>-1.1084854271910001</v>
      </c>
      <c r="AH5101">
        <v>18.8530806387787</v>
      </c>
      <c r="AI5101">
        <v>93.361868714940698</v>
      </c>
      <c r="AJ5101">
        <v>87.569888707591701</v>
      </c>
      <c r="AK5101">
        <v>18.902580663836801</v>
      </c>
      <c r="AL5101">
        <v>81.589176647516197</v>
      </c>
      <c r="AM5101">
        <v>84.004148172245294</v>
      </c>
      <c r="AN5101">
        <v>0.99999998221200403</v>
      </c>
    </row>
    <row r="5102" spans="1:40" x14ac:dyDescent="0.25">
      <c r="A5102" t="str">
        <f>"20190312164609483"</f>
        <v>20190312164609483</v>
      </c>
      <c r="B5102" t="str">
        <f>"1552380369476179"</f>
        <v>1552380369476179</v>
      </c>
      <c r="C5102" t="s">
        <v>40</v>
      </c>
      <c r="D5102">
        <v>4.9423250000000003</v>
      </c>
      <c r="E5102">
        <v>0.48163729999999899</v>
      </c>
      <c r="F5102" t="s">
        <v>41</v>
      </c>
      <c r="G5102">
        <v>-351.07100000000003</v>
      </c>
      <c r="H5102">
        <v>1.050862</v>
      </c>
      <c r="I5102">
        <v>17.175989999999999</v>
      </c>
      <c r="J5102">
        <v>-351.87920000000003</v>
      </c>
      <c r="K5102">
        <v>1.1084830000000001</v>
      </c>
      <c r="L5102">
        <v>17.19754</v>
      </c>
      <c r="M5102">
        <v>0.99964019999999998</v>
      </c>
      <c r="N5102">
        <v>0</v>
      </c>
      <c r="O5102">
        <v>2.3104389999999999E-2</v>
      </c>
      <c r="P5102">
        <v>0.98785639999999997</v>
      </c>
      <c r="Q5102">
        <v>0.13304279999999999</v>
      </c>
      <c r="R5102">
        <v>-8.0247299999999994E-2</v>
      </c>
      <c r="S5102">
        <v>3.056549</v>
      </c>
      <c r="T5102">
        <v>-0.179516799999999</v>
      </c>
      <c r="U5102">
        <v>-5.4840090000000001E-2</v>
      </c>
      <c r="V5102">
        <v>0.1032129</v>
      </c>
      <c r="W5102">
        <v>0.14635860000000001</v>
      </c>
      <c r="X5102">
        <v>0.98383240000000005</v>
      </c>
      <c r="Y5102">
        <v>4.0926659999999997E-2</v>
      </c>
      <c r="Z5102">
        <v>-2.5565100000000001E-3</v>
      </c>
      <c r="AA5102">
        <v>0.99915889999999996</v>
      </c>
      <c r="AB5102">
        <v>31</v>
      </c>
      <c r="AC5102">
        <v>0.80820000000005598</v>
      </c>
      <c r="AD5102">
        <v>-5.76209999999997E-2</v>
      </c>
      <c r="AE5102">
        <v>-2.15500000000012E-2</v>
      </c>
      <c r="AF5102">
        <v>4.00156909440742E-2</v>
      </c>
      <c r="AG5102">
        <v>-5.76209999999997E-2</v>
      </c>
      <c r="AH5102">
        <v>0.80340542759966305</v>
      </c>
      <c r="AI5102">
        <v>94.097221710968498</v>
      </c>
      <c r="AJ5102">
        <v>87.148591468885797</v>
      </c>
      <c r="AK5102">
        <v>0.80646247045930797</v>
      </c>
      <c r="AL5102">
        <v>81.584039093896294</v>
      </c>
      <c r="AM5102">
        <v>84.011062618174904</v>
      </c>
      <c r="AN5102">
        <v>0.99999996690506399</v>
      </c>
    </row>
    <row r="5103" spans="1:40" x14ac:dyDescent="0.25">
      <c r="A5103" t="str">
        <f>"20190312164609494"</f>
        <v>20190312164609494</v>
      </c>
      <c r="B5103" t="str">
        <f>"1552380369486915"</f>
        <v>1552380369486915</v>
      </c>
      <c r="C5103" t="s">
        <v>40</v>
      </c>
      <c r="D5103">
        <v>5.0228900000000003</v>
      </c>
      <c r="E5103">
        <v>0.48165619999999998</v>
      </c>
      <c r="F5103" t="s">
        <v>42</v>
      </c>
      <c r="G5103">
        <v>-333.10879999999997</v>
      </c>
      <c r="H5103" s="1">
        <v>-3.4264299999999999E-6</v>
      </c>
      <c r="I5103">
        <v>16.866150000000001</v>
      </c>
      <c r="J5103">
        <v>-351.7242</v>
      </c>
      <c r="K5103">
        <v>1.108482</v>
      </c>
      <c r="L5103">
        <v>17.200869999999998</v>
      </c>
      <c r="M5103">
        <v>0.99964609999999998</v>
      </c>
      <c r="N5103">
        <v>0</v>
      </c>
      <c r="O5103">
        <v>2.2842979999999999E-2</v>
      </c>
      <c r="P5103">
        <v>0.98785449999999997</v>
      </c>
      <c r="Q5103">
        <v>0.1329505</v>
      </c>
      <c r="R5103">
        <v>-8.0421110000000004E-2</v>
      </c>
      <c r="S5103">
        <v>3.056854</v>
      </c>
      <c r="T5103">
        <v>-0.18052209999999999</v>
      </c>
      <c r="U5103">
        <v>-5.3955080000000002E-2</v>
      </c>
      <c r="V5103">
        <v>0.103128399999999</v>
      </c>
      <c r="W5103">
        <v>0.14626700000000001</v>
      </c>
      <c r="X5103">
        <v>0.98385489999999998</v>
      </c>
      <c r="Y5103">
        <v>4.0374609999999998E-2</v>
      </c>
      <c r="Z5103">
        <v>-2.5388440000000002E-3</v>
      </c>
      <c r="AA5103">
        <v>0.9991814</v>
      </c>
      <c r="AB5103">
        <v>31</v>
      </c>
      <c r="AC5103">
        <v>18.615400000000001</v>
      </c>
      <c r="AD5103">
        <v>-1.1084854264299999</v>
      </c>
      <c r="AE5103">
        <v>-0.33472000000000002</v>
      </c>
      <c r="AF5103">
        <v>0.75721929201059002</v>
      </c>
      <c r="AG5103">
        <v>-1.1084854264299999</v>
      </c>
      <c r="AH5103">
        <v>18.537186912325499</v>
      </c>
      <c r="AI5103">
        <v>93.419249320824704</v>
      </c>
      <c r="AJ5103">
        <v>87.660844509779594</v>
      </c>
      <c r="AK5103">
        <v>18.585731613775401</v>
      </c>
      <c r="AL5103">
        <v>81.589344620241206</v>
      </c>
      <c r="AM5103">
        <v>84.016066003562202</v>
      </c>
      <c r="AN5103">
        <v>0.99999998321478401</v>
      </c>
    </row>
    <row r="5104" spans="1:40" x14ac:dyDescent="0.25">
      <c r="A5104" t="str">
        <f>"20190312164609506"</f>
        <v>20190312164609506</v>
      </c>
      <c r="B5104" t="str">
        <f>"1552380369496674"</f>
        <v>1552380369496674</v>
      </c>
      <c r="C5104" t="s">
        <v>40</v>
      </c>
      <c r="D5104">
        <v>5.0858369999999997</v>
      </c>
      <c r="E5104">
        <v>0.48187970000000002</v>
      </c>
      <c r="F5104" t="s">
        <v>42</v>
      </c>
      <c r="G5104">
        <v>-333.20170000000002</v>
      </c>
      <c r="H5104" s="1">
        <v>-3.3859410000000001E-6</v>
      </c>
      <c r="I5104">
        <v>16.869810000000001</v>
      </c>
      <c r="J5104">
        <v>-351.56569999999999</v>
      </c>
      <c r="K5104">
        <v>1.1084849999999999</v>
      </c>
      <c r="L5104">
        <v>17.204190000000001</v>
      </c>
      <c r="M5104">
        <v>0.99965210000000004</v>
      </c>
      <c r="N5104">
        <v>0</v>
      </c>
      <c r="O5104">
        <v>2.2575680000000001E-2</v>
      </c>
      <c r="P5104">
        <v>0.98785590000000001</v>
      </c>
      <c r="Q5104">
        <v>0.1328858</v>
      </c>
      <c r="R5104">
        <v>-8.0513860000000007E-2</v>
      </c>
      <c r="S5104">
        <v>3.0570680000000001</v>
      </c>
      <c r="T5104">
        <v>-0.1829509</v>
      </c>
      <c r="U5104">
        <v>-5.4626460000000002E-2</v>
      </c>
      <c r="V5104">
        <v>0.1029573</v>
      </c>
      <c r="W5104">
        <v>0.14620239999999901</v>
      </c>
      <c r="X5104">
        <v>0.98388240000000005</v>
      </c>
      <c r="Y5104">
        <v>4.0323169999999998E-2</v>
      </c>
      <c r="Z5104">
        <v>-2.5552389999999999E-3</v>
      </c>
      <c r="AA5104">
        <v>0.99918340000000005</v>
      </c>
      <c r="AB5104">
        <v>31</v>
      </c>
      <c r="AC5104">
        <v>18.363999999999901</v>
      </c>
      <c r="AD5104">
        <v>-1.108488385941</v>
      </c>
      <c r="AE5104">
        <v>-0.33437999999999901</v>
      </c>
      <c r="AF5104">
        <v>0.74619519835204595</v>
      </c>
      <c r="AG5104">
        <v>-1.108488385941</v>
      </c>
      <c r="AH5104">
        <v>18.285167962996699</v>
      </c>
      <c r="AI5104">
        <v>93.466276531040805</v>
      </c>
      <c r="AJ5104">
        <v>87.663126426592399</v>
      </c>
      <c r="AK5104">
        <v>18.333928144585101</v>
      </c>
      <c r="AL5104">
        <v>81.593085971515094</v>
      </c>
      <c r="AM5104">
        <v>84.026087842149593</v>
      </c>
      <c r="AN5104">
        <v>0.99999996220940401</v>
      </c>
    </row>
    <row r="5105" spans="1:40" x14ac:dyDescent="0.25">
      <c r="A5105" t="str">
        <f>"20190312164609517"</f>
        <v>20190312164609517</v>
      </c>
      <c r="B5105" t="str">
        <f>"1552380369506435"</f>
        <v>1552380369506435</v>
      </c>
      <c r="C5105" t="s">
        <v>40</v>
      </c>
      <c r="D5105">
        <v>5.1792809999999996</v>
      </c>
      <c r="E5105">
        <v>0.48148659999999999</v>
      </c>
      <c r="F5105" t="s">
        <v>42</v>
      </c>
      <c r="G5105">
        <v>-333.39479999999998</v>
      </c>
      <c r="H5105" s="1">
        <v>-3.3034360000000001E-6</v>
      </c>
      <c r="I5105">
        <v>16.867840000000001</v>
      </c>
      <c r="J5105">
        <v>-351.41680000000002</v>
      </c>
      <c r="K5105">
        <v>1.1084849999999999</v>
      </c>
      <c r="L5105">
        <v>17.20731</v>
      </c>
      <c r="M5105">
        <v>0.99965789999999999</v>
      </c>
      <c r="N5105">
        <v>0</v>
      </c>
      <c r="O5105">
        <v>2.2324340000000002E-2</v>
      </c>
      <c r="P5105">
        <v>0.98781649999999999</v>
      </c>
      <c r="Q5105">
        <v>0.13310749999999999</v>
      </c>
      <c r="R5105">
        <v>-8.0628999999999895E-2</v>
      </c>
      <c r="S5105">
        <v>3.057312</v>
      </c>
      <c r="T5105">
        <v>-0.18650700000000001</v>
      </c>
      <c r="U5105">
        <v>-5.6579589999999999E-2</v>
      </c>
      <c r="V5105">
        <v>0.102824</v>
      </c>
      <c r="W5105">
        <v>0.14642459999999999</v>
      </c>
      <c r="X5105">
        <v>0.98386340000000005</v>
      </c>
      <c r="Y5105">
        <v>4.0703990000000002E-2</v>
      </c>
      <c r="Z5105">
        <v>-2.6008820000000001E-3</v>
      </c>
      <c r="AA5105">
        <v>0.9991679</v>
      </c>
      <c r="AB5105">
        <v>31</v>
      </c>
      <c r="AC5105">
        <v>18.021999999999998</v>
      </c>
      <c r="AD5105">
        <v>-1.108488303436</v>
      </c>
      <c r="AE5105">
        <v>-0.339469999999998</v>
      </c>
      <c r="AF5105">
        <v>0.738957387741076</v>
      </c>
      <c r="AG5105">
        <v>-1.108488303436</v>
      </c>
      <c r="AH5105">
        <v>17.942074684744899</v>
      </c>
      <c r="AI5105">
        <v>93.532338736424293</v>
      </c>
      <c r="AJ5105">
        <v>87.641564580348401</v>
      </c>
      <c r="AK5105">
        <v>17.991465986203401</v>
      </c>
      <c r="AL5105">
        <v>81.580217214058706</v>
      </c>
      <c r="AM5105">
        <v>84.033652122911505</v>
      </c>
      <c r="AN5105">
        <v>1.0000000641603499</v>
      </c>
    </row>
    <row r="5106" spans="1:40" x14ac:dyDescent="0.25">
      <c r="A5106" t="str">
        <f>"20190312164609527"</f>
        <v>20190312164609527</v>
      </c>
      <c r="B5106" t="str">
        <f>"1552380369516195"</f>
        <v>1552380369516195</v>
      </c>
      <c r="C5106" t="s">
        <v>40</v>
      </c>
      <c r="D5106">
        <v>5.0318829999999997</v>
      </c>
      <c r="E5106">
        <v>0.48149530000000001</v>
      </c>
      <c r="F5106" t="s">
        <v>42</v>
      </c>
      <c r="G5106">
        <v>-333.26740000000001</v>
      </c>
      <c r="H5106" s="1">
        <v>-3.3548839999999998E-6</v>
      </c>
      <c r="I5106">
        <v>16.886060000000001</v>
      </c>
      <c r="J5106">
        <v>-351.26839999999999</v>
      </c>
      <c r="K5106">
        <v>1.108487</v>
      </c>
      <c r="L5106">
        <v>17.21039</v>
      </c>
      <c r="M5106">
        <v>0.99966339999999998</v>
      </c>
      <c r="N5106">
        <v>0</v>
      </c>
      <c r="O5106">
        <v>2.207396E-2</v>
      </c>
      <c r="P5106">
        <v>0.98776759999999997</v>
      </c>
      <c r="Q5106">
        <v>0.13337689999999999</v>
      </c>
      <c r="R5106">
        <v>-8.0783300000000002E-2</v>
      </c>
      <c r="S5106">
        <v>3.0577390000000002</v>
      </c>
      <c r="T5106">
        <v>-0.1867528</v>
      </c>
      <c r="U5106">
        <v>-5.4107669999999997E-2</v>
      </c>
      <c r="V5106">
        <v>0.1027304</v>
      </c>
      <c r="W5106">
        <v>0.14669299999999999</v>
      </c>
      <c r="X5106">
        <v>0.98383310000000002</v>
      </c>
      <c r="Y5106">
        <v>3.9645819999999998E-2</v>
      </c>
      <c r="Z5106">
        <v>-2.5563980000000001E-3</v>
      </c>
      <c r="AA5106">
        <v>0.9992105</v>
      </c>
      <c r="AB5106">
        <v>31</v>
      </c>
      <c r="AC5106">
        <v>18.000999999999902</v>
      </c>
      <c r="AD5106">
        <v>-1.1084903548839999</v>
      </c>
      <c r="AE5106">
        <v>-0.32432999999999901</v>
      </c>
      <c r="AF5106">
        <v>0.718915979008933</v>
      </c>
      <c r="AG5106">
        <v>-1.1084903548839999</v>
      </c>
      <c r="AH5106">
        <v>17.921516468767798</v>
      </c>
      <c r="AI5106">
        <v>93.536540347355697</v>
      </c>
      <c r="AJ5106">
        <v>87.702829545989403</v>
      </c>
      <c r="AK5106">
        <v>17.970151462691099</v>
      </c>
      <c r="AL5106">
        <v>81.564670360785101</v>
      </c>
      <c r="AM5106">
        <v>84.038861862732105</v>
      </c>
      <c r="AN5106">
        <v>0.99999996999438401</v>
      </c>
    </row>
    <row r="5107" spans="1:40" x14ac:dyDescent="0.25">
      <c r="A5107" t="str">
        <f>"20190312164609538"</f>
        <v>20190312164609538</v>
      </c>
      <c r="B5107" t="str">
        <f>"1552380369526931"</f>
        <v>1552380369526931</v>
      </c>
      <c r="C5107" t="s">
        <v>40</v>
      </c>
      <c r="D5107">
        <v>4.1455590000000004</v>
      </c>
      <c r="E5107">
        <v>0.4815701</v>
      </c>
      <c r="F5107" t="s">
        <v>42</v>
      </c>
      <c r="G5107">
        <v>-333.0847</v>
      </c>
      <c r="H5107" s="1">
        <v>-3.4336320000000001E-6</v>
      </c>
      <c r="I5107">
        <v>16.88401</v>
      </c>
      <c r="J5107">
        <v>-351.1268</v>
      </c>
      <c r="K5107">
        <v>1.10849</v>
      </c>
      <c r="L5107">
        <v>17.213259999999998</v>
      </c>
      <c r="M5107">
        <v>0.99966860000000002</v>
      </c>
      <c r="N5107">
        <v>0</v>
      </c>
      <c r="O5107">
        <v>2.183508E-2</v>
      </c>
      <c r="P5107">
        <v>0.98776419999999998</v>
      </c>
      <c r="Q5107">
        <v>0.133258399999999</v>
      </c>
      <c r="R5107">
        <v>-8.1018220000000002E-2</v>
      </c>
      <c r="S5107">
        <v>3.0578310000000002</v>
      </c>
      <c r="T5107">
        <v>-0.1864063</v>
      </c>
      <c r="U5107">
        <v>-5.487061E-2</v>
      </c>
      <c r="V5107">
        <v>0.102729399999999</v>
      </c>
      <c r="W5107">
        <v>0.14657500000000001</v>
      </c>
      <c r="X5107">
        <v>0.98385080000000003</v>
      </c>
      <c r="Y5107">
        <v>3.9656610000000002E-2</v>
      </c>
      <c r="Z5107">
        <v>-2.5373629999999999E-3</v>
      </c>
      <c r="AA5107">
        <v>0.99921009999999999</v>
      </c>
      <c r="AB5107">
        <v>31</v>
      </c>
      <c r="AC5107">
        <v>18.042100000000001</v>
      </c>
      <c r="AD5107">
        <v>-1.108493433632</v>
      </c>
      <c r="AE5107">
        <v>-0.32925000000000099</v>
      </c>
      <c r="AF5107">
        <v>0.72044021054223495</v>
      </c>
      <c r="AG5107">
        <v>-1.108493433632</v>
      </c>
      <c r="AH5107">
        <v>17.962824640992299</v>
      </c>
      <c r="AI5107">
        <v>93.528438937196597</v>
      </c>
      <c r="AJ5107">
        <v>87.703252560278102</v>
      </c>
      <c r="AK5107">
        <v>18.011409186191202</v>
      </c>
      <c r="AL5107">
        <v>81.571505213210898</v>
      </c>
      <c r="AM5107">
        <v>84.039025942721096</v>
      </c>
      <c r="AN5107">
        <v>0.99999997845499899</v>
      </c>
    </row>
    <row r="5108" spans="1:40" x14ac:dyDescent="0.25">
      <c r="A5108" t="str">
        <f>"20190312164609550"</f>
        <v>20190312164609550</v>
      </c>
      <c r="B5108" t="str">
        <f>"1552380369546452"</f>
        <v>1552380369546452</v>
      </c>
      <c r="C5108" t="s">
        <v>40</v>
      </c>
      <c r="D5108">
        <v>4.910158</v>
      </c>
      <c r="E5108">
        <v>0.48153780000000002</v>
      </c>
      <c r="F5108" t="s">
        <v>42</v>
      </c>
      <c r="G5108">
        <v>-332.6438</v>
      </c>
      <c r="H5108" s="1">
        <v>-3.6249619999999998E-6</v>
      </c>
      <c r="I5108">
        <v>16.871670000000002</v>
      </c>
      <c r="J5108">
        <v>-350.96940000000001</v>
      </c>
      <c r="K5108">
        <v>1.1084909999999999</v>
      </c>
      <c r="L5108">
        <v>17.216429999999999</v>
      </c>
      <c r="M5108">
        <v>0.99967439999999996</v>
      </c>
      <c r="N5108">
        <v>0</v>
      </c>
      <c r="O5108">
        <v>2.1569149999999999E-2</v>
      </c>
      <c r="P5108">
        <v>0.98774240000000002</v>
      </c>
      <c r="Q5108">
        <v>0.1332885</v>
      </c>
      <c r="R5108">
        <v>-8.1236870000000003E-2</v>
      </c>
      <c r="S5108">
        <v>3.0572810000000001</v>
      </c>
      <c r="T5108">
        <v>-0.1833555</v>
      </c>
      <c r="U5108">
        <v>-5.6488040000000003E-2</v>
      </c>
      <c r="V5108">
        <v>0.1026852</v>
      </c>
      <c r="W5108">
        <v>0.14660529999999999</v>
      </c>
      <c r="X5108">
        <v>0.98385100000000003</v>
      </c>
      <c r="Y5108">
        <v>3.9926110000000001E-2</v>
      </c>
      <c r="Z5108">
        <v>-2.4884880000000001E-3</v>
      </c>
      <c r="AA5108">
        <v>0.99919950000000002</v>
      </c>
      <c r="AB5108">
        <v>31</v>
      </c>
      <c r="AC5108">
        <v>18.325600000000001</v>
      </c>
      <c r="AD5108">
        <v>-1.10849462496199</v>
      </c>
      <c r="AE5108">
        <v>-0.34475999999999701</v>
      </c>
      <c r="AF5108">
        <v>0.73728742544387404</v>
      </c>
      <c r="AG5108">
        <v>-1.10849462496199</v>
      </c>
      <c r="AH5108">
        <v>18.247158105225001</v>
      </c>
      <c r="AI5108">
        <v>93.473555456654793</v>
      </c>
      <c r="AJ5108">
        <v>87.686188120561098</v>
      </c>
      <c r="AK5108">
        <v>18.295658829306099</v>
      </c>
      <c r="AL5108">
        <v>81.569751030991895</v>
      </c>
      <c r="AM5108">
        <v>84.041573438099803</v>
      </c>
      <c r="AN5108">
        <v>1.00000007724406</v>
      </c>
    </row>
    <row r="5109" spans="1:40" x14ac:dyDescent="0.25">
      <c r="A5109" t="str">
        <f>"20190312164609562"</f>
        <v>20190312164609562</v>
      </c>
      <c r="B5109" t="str">
        <f>"1552380369556210"</f>
        <v>1552380369556210</v>
      </c>
      <c r="C5109" t="s">
        <v>40</v>
      </c>
      <c r="D5109">
        <v>5.0491159999999997</v>
      </c>
      <c r="E5109">
        <v>0.48144330000000002</v>
      </c>
      <c r="F5109" t="s">
        <v>41</v>
      </c>
      <c r="G5109">
        <v>-349.96960000000001</v>
      </c>
      <c r="H5109">
        <v>1.050325</v>
      </c>
      <c r="I5109">
        <v>17.197559999999999</v>
      </c>
      <c r="J5109">
        <v>-350.79820000000001</v>
      </c>
      <c r="K5109">
        <v>1.10849</v>
      </c>
      <c r="L5109">
        <v>17.219819999999999</v>
      </c>
      <c r="M5109">
        <v>0.99968060000000003</v>
      </c>
      <c r="N5109">
        <v>0</v>
      </c>
      <c r="O5109">
        <v>2.128033E-2</v>
      </c>
      <c r="P5109">
        <v>0.98770029999999998</v>
      </c>
      <c r="Q5109">
        <v>0.13335559999999999</v>
      </c>
      <c r="R5109">
        <v>-8.1637680000000004E-2</v>
      </c>
      <c r="S5109">
        <v>3.0565190000000002</v>
      </c>
      <c r="T5109">
        <v>-0.17782629999999999</v>
      </c>
      <c r="U5109">
        <v>-5.7495119999999997E-2</v>
      </c>
      <c r="V5109">
        <v>0.10280010000000001</v>
      </c>
      <c r="W5109">
        <v>0.1466713</v>
      </c>
      <c r="X5109">
        <v>0.98382910000000001</v>
      </c>
      <c r="Y5109">
        <v>3.9978050000000001E-2</v>
      </c>
      <c r="Z5109">
        <v>-2.3988909999999998E-3</v>
      </c>
      <c r="AA5109">
        <v>0.99919769999999997</v>
      </c>
      <c r="AB5109">
        <v>31</v>
      </c>
      <c r="AC5109">
        <v>0.82859999999999401</v>
      </c>
      <c r="AD5109">
        <v>-5.8165000000000001E-2</v>
      </c>
      <c r="AE5109">
        <v>-2.2260000000002798E-2</v>
      </c>
      <c r="AF5109">
        <v>3.9694024023426699E-2</v>
      </c>
      <c r="AG5109">
        <v>-5.8165000000000001E-2</v>
      </c>
      <c r="AH5109">
        <v>0.82388176815934999</v>
      </c>
      <c r="AI5109">
        <v>94.033645142421193</v>
      </c>
      <c r="AJ5109">
        <v>87.241663975028501</v>
      </c>
      <c r="AK5109">
        <v>0.82688569383775801</v>
      </c>
      <c r="AL5109">
        <v>81.565927651716095</v>
      </c>
      <c r="AM5109">
        <v>84.034822455036206</v>
      </c>
      <c r="AN5109">
        <v>1.0000000144052501</v>
      </c>
    </row>
    <row r="5110" spans="1:40" x14ac:dyDescent="0.25">
      <c r="A5110" t="str">
        <f>"20190312164609573"</f>
        <v>20190312164609573</v>
      </c>
      <c r="B5110" t="str">
        <f>"1552380369566946"</f>
        <v>1552380369566946</v>
      </c>
      <c r="C5110" t="s">
        <v>40</v>
      </c>
      <c r="D5110">
        <v>5.2069850000000004</v>
      </c>
      <c r="E5110">
        <v>0.48152309999999998</v>
      </c>
      <c r="F5110" t="s">
        <v>42</v>
      </c>
      <c r="G5110">
        <v>-331.65550000000002</v>
      </c>
      <c r="H5110" s="1">
        <v>-4.051652E-6</v>
      </c>
      <c r="I5110">
        <v>16.856400000000001</v>
      </c>
      <c r="J5110">
        <v>-350.63900000000001</v>
      </c>
      <c r="K5110">
        <v>1.1084889999999901</v>
      </c>
      <c r="L5110">
        <v>17.222899999999999</v>
      </c>
      <c r="M5110">
        <v>0.99968619999999997</v>
      </c>
      <c r="N5110">
        <v>0</v>
      </c>
      <c r="O5110">
        <v>2.101165E-2</v>
      </c>
      <c r="P5110">
        <v>0.9877264</v>
      </c>
      <c r="Q5110">
        <v>0.13301660000000001</v>
      </c>
      <c r="R5110">
        <v>-8.1874299999999997E-2</v>
      </c>
      <c r="S5110">
        <v>3.0564580000000001</v>
      </c>
      <c r="T5110">
        <v>-0.1769896</v>
      </c>
      <c r="U5110">
        <v>-5.8013919999999997E-2</v>
      </c>
      <c r="V5110">
        <v>0.1027718</v>
      </c>
      <c r="W5110">
        <v>0.14633309999999999</v>
      </c>
      <c r="X5110">
        <v>0.98388240000000005</v>
      </c>
      <c r="Y5110">
        <v>3.9881010000000001E-2</v>
      </c>
      <c r="Z5110">
        <v>-2.3693159999999998E-3</v>
      </c>
      <c r="AA5110">
        <v>0.99920169999999997</v>
      </c>
      <c r="AB5110">
        <v>31</v>
      </c>
      <c r="AC5110">
        <v>18.9834999999999</v>
      </c>
      <c r="AD5110">
        <v>-1.10849305165199</v>
      </c>
      <c r="AE5110">
        <v>-0.36649999999999799</v>
      </c>
      <c r="AF5110">
        <v>0.76273113513947499</v>
      </c>
      <c r="AG5110">
        <v>-1.10849305165199</v>
      </c>
      <c r="AH5110">
        <v>18.907163443528599</v>
      </c>
      <c r="AI5110">
        <v>93.352587216084302</v>
      </c>
      <c r="AJ5110">
        <v>87.689891879461598</v>
      </c>
      <c r="AK5110">
        <v>18.9549820656833</v>
      </c>
      <c r="AL5110">
        <v>81.585516301661599</v>
      </c>
      <c r="AM5110">
        <v>84.036773518085397</v>
      </c>
      <c r="AN5110">
        <v>0.99999999803030504</v>
      </c>
    </row>
    <row r="5111" spans="1:40" x14ac:dyDescent="0.25">
      <c r="A5111" t="str">
        <f>"20190312164609586"</f>
        <v>20190312164609586</v>
      </c>
      <c r="B5111" t="str">
        <f>"1552380369576706"</f>
        <v>1552380369576706</v>
      </c>
      <c r="C5111" t="s">
        <v>40</v>
      </c>
      <c r="D5111">
        <v>5.0687660000000001</v>
      </c>
      <c r="E5111">
        <v>0.48155530000000002</v>
      </c>
      <c r="F5111" t="s">
        <v>42</v>
      </c>
      <c r="G5111">
        <v>-331.37169999999998</v>
      </c>
      <c r="H5111" s="1">
        <v>-4.1748100000000001E-6</v>
      </c>
      <c r="I5111">
        <v>16.848400000000002</v>
      </c>
      <c r="J5111">
        <v>-350.46289999999999</v>
      </c>
      <c r="K5111">
        <v>1.10849</v>
      </c>
      <c r="L5111">
        <v>17.226320000000001</v>
      </c>
      <c r="M5111">
        <v>0.99969260000000004</v>
      </c>
      <c r="N5111">
        <v>0</v>
      </c>
      <c r="O5111">
        <v>2.071425E-2</v>
      </c>
      <c r="P5111">
        <v>0.98769110000000004</v>
      </c>
      <c r="Q5111">
        <v>0.1330317</v>
      </c>
      <c r="R5111">
        <v>-8.2274410000000006E-2</v>
      </c>
      <c r="S5111">
        <v>3.0560299999999998</v>
      </c>
      <c r="T5111">
        <v>-0.1758198</v>
      </c>
      <c r="U5111">
        <v>-5.9387210000000003E-2</v>
      </c>
      <c r="V5111">
        <v>0.1028777</v>
      </c>
      <c r="W5111">
        <v>0.1463477</v>
      </c>
      <c r="X5111">
        <v>0.98386910000000005</v>
      </c>
      <c r="Y5111">
        <v>4.0036790000000003E-2</v>
      </c>
      <c r="Z5111">
        <v>-2.3413829999999998E-3</v>
      </c>
      <c r="AA5111">
        <v>0.99919550000000001</v>
      </c>
      <c r="AB5111">
        <v>31</v>
      </c>
      <c r="AC5111">
        <v>19.091200000000001</v>
      </c>
      <c r="AD5111">
        <v>-1.1084941748099999</v>
      </c>
      <c r="AE5111">
        <v>-0.37791999999999898</v>
      </c>
      <c r="AF5111">
        <v>0.77073810630015505</v>
      </c>
      <c r="AG5111">
        <v>-1.1084941748099999</v>
      </c>
      <c r="AH5111">
        <v>19.015192669216098</v>
      </c>
      <c r="AI5111">
        <v>93.333561157673699</v>
      </c>
      <c r="AJ5111">
        <v>87.678914875619697</v>
      </c>
      <c r="AK5111">
        <v>19.063062419545901</v>
      </c>
      <c r="AL5111">
        <v>81.584670172362394</v>
      </c>
      <c r="AM5111">
        <v>84.030593015935594</v>
      </c>
      <c r="AN5111">
        <v>0.99999993819369304</v>
      </c>
    </row>
    <row r="5112" spans="1:40" x14ac:dyDescent="0.25">
      <c r="A5112" t="str">
        <f>"20190312164609597"</f>
        <v>20190312164609597</v>
      </c>
      <c r="B5112" t="str">
        <f>"1552380369586466"</f>
        <v>1552380369586466</v>
      </c>
      <c r="C5112" t="s">
        <v>40</v>
      </c>
      <c r="D5112">
        <v>5.136253</v>
      </c>
      <c r="E5112">
        <v>0.48138779999999998</v>
      </c>
      <c r="F5112" t="s">
        <v>42</v>
      </c>
      <c r="G5112">
        <v>-330.9606</v>
      </c>
      <c r="H5112" s="1">
        <v>-4.3533609999999997E-6</v>
      </c>
      <c r="I5112">
        <v>16.835920000000002</v>
      </c>
      <c r="J5112">
        <v>-350.30810000000002</v>
      </c>
      <c r="K5112">
        <v>1.108492</v>
      </c>
      <c r="L5112">
        <v>17.22925</v>
      </c>
      <c r="M5112">
        <v>0.99969799999999998</v>
      </c>
      <c r="N5112">
        <v>0</v>
      </c>
      <c r="O5112">
        <v>2.045284E-2</v>
      </c>
      <c r="P5112">
        <v>0.98769300000000004</v>
      </c>
      <c r="Q5112">
        <v>0.1328068</v>
      </c>
      <c r="R5112">
        <v>-8.2614939999999998E-2</v>
      </c>
      <c r="S5112">
        <v>3.0556950000000001</v>
      </c>
      <c r="T5112">
        <v>-0.1736829</v>
      </c>
      <c r="U5112">
        <v>-6.115723E-2</v>
      </c>
      <c r="V5112">
        <v>0.10296</v>
      </c>
      <c r="W5112">
        <v>0.14612269999999999</v>
      </c>
      <c r="X5112">
        <v>0.98389400000000005</v>
      </c>
      <c r="Y5112">
        <v>4.0358520000000002E-2</v>
      </c>
      <c r="Z5112">
        <v>-2.307506E-3</v>
      </c>
      <c r="AA5112">
        <v>0.99918260000000003</v>
      </c>
      <c r="AB5112">
        <v>31</v>
      </c>
      <c r="AC5112">
        <v>19.3475</v>
      </c>
      <c r="AD5112">
        <v>-1.1084963533609999</v>
      </c>
      <c r="AE5112">
        <v>-0.39332999999999801</v>
      </c>
      <c r="AF5112">
        <v>0.78641532895722399</v>
      </c>
      <c r="AG5112">
        <v>-1.1084963533609999</v>
      </c>
      <c r="AH5112">
        <v>19.2721698385214</v>
      </c>
      <c r="AI5112">
        <v>93.289179422732204</v>
      </c>
      <c r="AJ5112">
        <v>87.663299169618199</v>
      </c>
      <c r="AK5112">
        <v>19.3200347701511</v>
      </c>
      <c r="AL5112">
        <v>81.5977023738686</v>
      </c>
      <c r="AM5112">
        <v>84.026002236698503</v>
      </c>
      <c r="AN5112">
        <v>1.0000000041456401</v>
      </c>
    </row>
    <row r="5113" spans="1:40" x14ac:dyDescent="0.25">
      <c r="A5113" t="str">
        <f>"20190312164609609"</f>
        <v>20190312164609609</v>
      </c>
      <c r="B5113" t="str">
        <f>"1552380369606963"</f>
        <v>1552380369606963</v>
      </c>
      <c r="C5113" t="s">
        <v>40</v>
      </c>
      <c r="D5113">
        <v>5.0793980000000003</v>
      </c>
      <c r="E5113">
        <v>0.4818984</v>
      </c>
      <c r="F5113" t="s">
        <v>42</v>
      </c>
      <c r="G5113">
        <v>-331.10289999999998</v>
      </c>
      <c r="H5113" s="1">
        <v>-4.2904529999999996E-6</v>
      </c>
      <c r="I5113">
        <v>16.84656</v>
      </c>
      <c r="J5113">
        <v>-350.15069999999997</v>
      </c>
      <c r="K5113">
        <v>1.108492</v>
      </c>
      <c r="L5113">
        <v>17.232240000000001</v>
      </c>
      <c r="M5113">
        <v>0.99970329999999996</v>
      </c>
      <c r="N5113">
        <v>0</v>
      </c>
      <c r="O5113">
        <v>2.0186909999999999E-2</v>
      </c>
      <c r="P5113">
        <v>0.98768630000000002</v>
      </c>
      <c r="Q5113">
        <v>0.13272870000000001</v>
      </c>
      <c r="R5113">
        <v>-8.2818779999999995E-2</v>
      </c>
      <c r="S5113">
        <v>3.056</v>
      </c>
      <c r="T5113">
        <v>-0.1763875</v>
      </c>
      <c r="U5113">
        <v>-6.0882569999999997E-2</v>
      </c>
      <c r="V5113">
        <v>0.1029012</v>
      </c>
      <c r="W5113">
        <v>0.14604389999999901</v>
      </c>
      <c r="X5113">
        <v>0.98391189999999995</v>
      </c>
      <c r="Y5113">
        <v>3.9998939999999997E-2</v>
      </c>
      <c r="Z5113">
        <v>-2.317445E-3</v>
      </c>
      <c r="AA5113">
        <v>0.999197</v>
      </c>
      <c r="AB5113">
        <v>31</v>
      </c>
      <c r="AC5113">
        <v>19.047799999999899</v>
      </c>
      <c r="AD5113">
        <v>-1.108496290453</v>
      </c>
      <c r="AE5113">
        <v>-0.38568000000000002</v>
      </c>
      <c r="AF5113">
        <v>0.76755491825738698</v>
      </c>
      <c r="AG5113">
        <v>-1.108496290453</v>
      </c>
      <c r="AH5113">
        <v>18.971905242134099</v>
      </c>
      <c r="AI5113">
        <v>93.341166508341203</v>
      </c>
      <c r="AJ5113">
        <v>87.683222320113401</v>
      </c>
      <c r="AK5113">
        <v>19.019755337411802</v>
      </c>
      <c r="AL5113">
        <v>81.602266648628202</v>
      </c>
      <c r="AM5113">
        <v>84.0294971450665</v>
      </c>
      <c r="AN5113">
        <v>1.00000005232512</v>
      </c>
    </row>
    <row r="5114" spans="1:40" x14ac:dyDescent="0.25">
      <c r="A5114" t="str">
        <f>"20190312164609619"</f>
        <v>20190312164609619</v>
      </c>
      <c r="B5114" t="str">
        <f>"1552380369616723"</f>
        <v>1552380369616723</v>
      </c>
      <c r="C5114" t="s">
        <v>40</v>
      </c>
      <c r="D5114">
        <v>5.1499889999999997</v>
      </c>
      <c r="E5114">
        <v>0.48192069999999998</v>
      </c>
      <c r="F5114" t="s">
        <v>41</v>
      </c>
      <c r="G5114">
        <v>-349.14490000000001</v>
      </c>
      <c r="H5114">
        <v>1.0510619999999999</v>
      </c>
      <c r="I5114">
        <v>17.210360000000001</v>
      </c>
      <c r="J5114">
        <v>-350.00220000000002</v>
      </c>
      <c r="K5114">
        <v>1.108493</v>
      </c>
      <c r="L5114">
        <v>17.234919999999999</v>
      </c>
      <c r="M5114">
        <v>0.99970840000000005</v>
      </c>
      <c r="N5114">
        <v>0</v>
      </c>
      <c r="O5114">
        <v>1.9936240000000001E-2</v>
      </c>
      <c r="P5114">
        <v>0.98764830000000003</v>
      </c>
      <c r="Q5114">
        <v>0.1328676</v>
      </c>
      <c r="R5114">
        <v>-8.3049269999999994E-2</v>
      </c>
      <c r="S5114">
        <v>3.0553590000000002</v>
      </c>
      <c r="T5114">
        <v>-0.17445859999999999</v>
      </c>
      <c r="U5114">
        <v>-6.5856929999999994E-2</v>
      </c>
      <c r="V5114">
        <v>0.1028839</v>
      </c>
      <c r="W5114">
        <v>0.1461826</v>
      </c>
      <c r="X5114">
        <v>0.98389300000000002</v>
      </c>
      <c r="Y5114">
        <v>4.1378900000000003E-2</v>
      </c>
      <c r="Z5114">
        <v>-2.3176490000000002E-3</v>
      </c>
      <c r="AA5114">
        <v>0.9991409</v>
      </c>
      <c r="AB5114">
        <v>31</v>
      </c>
      <c r="AC5114">
        <v>0.85730000000000905</v>
      </c>
      <c r="AD5114">
        <v>-5.7430999999999698E-2</v>
      </c>
      <c r="AE5114">
        <v>-2.4560000000001001E-2</v>
      </c>
      <c r="AF5114">
        <v>4.1462124847770301E-2</v>
      </c>
      <c r="AG5114">
        <v>-5.7430999999999698E-2</v>
      </c>
      <c r="AH5114">
        <v>0.85281583124201099</v>
      </c>
      <c r="AI5114">
        <v>93.848109345103893</v>
      </c>
      <c r="AJ5114">
        <v>87.2165905152428</v>
      </c>
      <c r="AK5114">
        <v>0.85575245811793799</v>
      </c>
      <c r="AL5114">
        <v>81.594232581365304</v>
      </c>
      <c r="AM5114">
        <v>84.030379829051398</v>
      </c>
      <c r="AN5114">
        <v>0.99999994243548296</v>
      </c>
    </row>
    <row r="5115" spans="1:40" x14ac:dyDescent="0.25">
      <c r="A5115" t="str">
        <f>"20190312164609632"</f>
        <v>20190312164609632</v>
      </c>
      <c r="B5115" t="str">
        <f>"1552380369626483"</f>
        <v>1552380369626483</v>
      </c>
      <c r="C5115" t="s">
        <v>40</v>
      </c>
      <c r="D5115">
        <v>5.1217100000000002</v>
      </c>
      <c r="E5115">
        <v>0.48192550000000001</v>
      </c>
      <c r="F5115" t="s">
        <v>42</v>
      </c>
      <c r="G5115">
        <v>-330.82850000000002</v>
      </c>
      <c r="H5115" s="1">
        <v>-4.4139129999999999E-6</v>
      </c>
      <c r="I5115">
        <v>16.814129999999999</v>
      </c>
      <c r="J5115">
        <v>-349.84300000000002</v>
      </c>
      <c r="K5115">
        <v>1.1084969999999901</v>
      </c>
      <c r="L5115">
        <v>17.237850000000002</v>
      </c>
      <c r="M5115">
        <v>0.99971370000000004</v>
      </c>
      <c r="N5115">
        <v>0</v>
      </c>
      <c r="O5115">
        <v>1.9667380000000002E-2</v>
      </c>
      <c r="P5115">
        <v>0.98757110000000004</v>
      </c>
      <c r="Q5115">
        <v>0.13308919999999999</v>
      </c>
      <c r="R5115">
        <v>-8.3610309999999993E-2</v>
      </c>
      <c r="S5115">
        <v>3.055634</v>
      </c>
      <c r="T5115">
        <v>-0.17665639999999999</v>
      </c>
      <c r="U5115">
        <v>-6.7047120000000002E-2</v>
      </c>
      <c r="V5115">
        <v>0.1031783</v>
      </c>
      <c r="W5115">
        <v>0.14640239999999999</v>
      </c>
      <c r="X5115">
        <v>0.98382959999999997</v>
      </c>
      <c r="Y5115">
        <v>4.1494999999999997E-2</v>
      </c>
      <c r="Z5115">
        <v>-2.3344009999999998E-3</v>
      </c>
      <c r="AA5115">
        <v>0.99913600000000002</v>
      </c>
      <c r="AB5115">
        <v>31</v>
      </c>
      <c r="AC5115">
        <v>19.014500000000002</v>
      </c>
      <c r="AD5115">
        <v>-1.1085014139129901</v>
      </c>
      <c r="AE5115">
        <v>-0.42372000000000298</v>
      </c>
      <c r="AF5115">
        <v>0.79493780393474101</v>
      </c>
      <c r="AG5115">
        <v>-1.1085014139129901</v>
      </c>
      <c r="AH5115">
        <v>18.938155605453499</v>
      </c>
      <c r="AI5115">
        <v>93.346914119656205</v>
      </c>
      <c r="AJ5115">
        <v>87.596394272532606</v>
      </c>
      <c r="AK5115">
        <v>18.987217785477199</v>
      </c>
      <c r="AL5115">
        <v>81.581502942993495</v>
      </c>
      <c r="AM5115">
        <v>84.013038786504893</v>
      </c>
      <c r="AN5115">
        <v>1.0000000530763999</v>
      </c>
    </row>
    <row r="5116" spans="1:40" x14ac:dyDescent="0.25">
      <c r="A5116" t="str">
        <f>"20190312164609649"</f>
        <v>20190312164609649</v>
      </c>
      <c r="B5116" t="str">
        <f>"1552380369646979"</f>
        <v>1552380369646979</v>
      </c>
      <c r="C5116" t="s">
        <v>40</v>
      </c>
      <c r="D5116">
        <v>4.8920789999999998</v>
      </c>
      <c r="E5116">
        <v>0.482186</v>
      </c>
      <c r="F5116" t="s">
        <v>41</v>
      </c>
      <c r="G5116">
        <v>-348.85989999999998</v>
      </c>
      <c r="H5116">
        <v>1.051871</v>
      </c>
      <c r="I5116">
        <v>17.215509999999998</v>
      </c>
      <c r="J5116">
        <v>-349.59809999999999</v>
      </c>
      <c r="K5116">
        <v>1.1085039999999999</v>
      </c>
      <c r="L5116">
        <v>17.24222</v>
      </c>
      <c r="M5116">
        <v>0.99972179999999999</v>
      </c>
      <c r="N5116">
        <v>0</v>
      </c>
      <c r="O5116">
        <v>1.9253940000000001E-2</v>
      </c>
      <c r="P5116">
        <v>0.98742989999999997</v>
      </c>
      <c r="Q5116">
        <v>0.1334851</v>
      </c>
      <c r="R5116">
        <v>-8.4640370000000006E-2</v>
      </c>
      <c r="S5116">
        <v>3.055634</v>
      </c>
      <c r="T5116">
        <v>-0.17603450000000001</v>
      </c>
      <c r="U5116">
        <v>-6.9061280000000003E-2</v>
      </c>
      <c r="V5116">
        <v>0.103798</v>
      </c>
      <c r="W5116">
        <v>0.14679529999999999</v>
      </c>
      <c r="X5116">
        <v>0.98370579999999996</v>
      </c>
      <c r="Y5116">
        <v>4.1741060000000003E-2</v>
      </c>
      <c r="Z5116">
        <v>-2.309466E-3</v>
      </c>
      <c r="AA5116">
        <v>0.99912579999999995</v>
      </c>
      <c r="AB5116">
        <v>31</v>
      </c>
      <c r="AC5116">
        <v>0.73820000000000596</v>
      </c>
      <c r="AD5116">
        <v>-5.66330000000001E-2</v>
      </c>
      <c r="AE5116">
        <v>-2.6709999999997701E-2</v>
      </c>
      <c r="AF5116">
        <v>4.0680509145692503E-2</v>
      </c>
      <c r="AG5116">
        <v>-5.66330000000001E-2</v>
      </c>
      <c r="AH5116">
        <v>0.73323889932235797</v>
      </c>
      <c r="AI5116">
        <v>94.409817274121707</v>
      </c>
      <c r="AJ5116">
        <v>86.8244532628473</v>
      </c>
      <c r="AK5116">
        <v>0.73654700053208799</v>
      </c>
      <c r="AL5116">
        <v>81.558745050709405</v>
      </c>
      <c r="AM5116">
        <v>83.976591577907499</v>
      </c>
      <c r="AN5116">
        <v>0.99999999292986397</v>
      </c>
    </row>
    <row r="5117" spans="1:40" x14ac:dyDescent="0.25">
      <c r="A5117" t="str">
        <f>"20190312164609660"</f>
        <v>20190312164609660</v>
      </c>
      <c r="B5117" t="str">
        <f>"1552380369656739"</f>
        <v>1552380369656739</v>
      </c>
      <c r="C5117" t="s">
        <v>40</v>
      </c>
      <c r="D5117">
        <v>5.108708</v>
      </c>
      <c r="E5117">
        <v>0.482186</v>
      </c>
      <c r="F5117" t="s">
        <v>42</v>
      </c>
      <c r="G5117">
        <v>-329.58890000000002</v>
      </c>
      <c r="H5117" s="1">
        <v>-9.0393179999999999E-7</v>
      </c>
      <c r="I5117">
        <v>16.753060000000001</v>
      </c>
      <c r="J5117">
        <v>-349.43709999999999</v>
      </c>
      <c r="K5117">
        <v>1.1085050000000001</v>
      </c>
      <c r="L5117">
        <v>17.245059999999999</v>
      </c>
      <c r="M5117">
        <v>0.99972700000000003</v>
      </c>
      <c r="N5117">
        <v>0</v>
      </c>
      <c r="O5117">
        <v>1.8981990000000001E-2</v>
      </c>
      <c r="P5117">
        <v>0.98736699999999999</v>
      </c>
      <c r="Q5117">
        <v>0.133710299999999</v>
      </c>
      <c r="R5117">
        <v>-8.5019919999999999E-2</v>
      </c>
      <c r="S5117">
        <v>3.0546570000000002</v>
      </c>
      <c r="T5117">
        <v>-0.16922719999999999</v>
      </c>
      <c r="U5117">
        <v>-7.4676510000000001E-2</v>
      </c>
      <c r="V5117">
        <v>0.1039081</v>
      </c>
      <c r="W5117">
        <v>0.14701939999999999</v>
      </c>
      <c r="X5117">
        <v>0.98366070000000005</v>
      </c>
      <c r="Y5117">
        <v>4.3317660000000001E-2</v>
      </c>
      <c r="Z5117">
        <v>-2.2495420000000002E-3</v>
      </c>
      <c r="AA5117">
        <v>0.99905880000000002</v>
      </c>
      <c r="AB5117">
        <v>31</v>
      </c>
      <c r="AC5117">
        <v>19.848199999999899</v>
      </c>
      <c r="AD5117">
        <v>-1.1085059039317999</v>
      </c>
      <c r="AE5117">
        <v>-0.49199999999999999</v>
      </c>
      <c r="AF5117">
        <v>0.86600511597346597</v>
      </c>
      <c r="AG5117">
        <v>-1.1085059039317999</v>
      </c>
      <c r="AH5117">
        <v>19.773644461665199</v>
      </c>
      <c r="AI5117">
        <v>93.205563240254506</v>
      </c>
      <c r="AJ5117">
        <v>87.4922806649016</v>
      </c>
      <c r="AK5117">
        <v>19.8236163576751</v>
      </c>
      <c r="AL5117">
        <v>81.545764160043603</v>
      </c>
      <c r="AM5117">
        <v>83.969975086737193</v>
      </c>
      <c r="AN5117">
        <v>0.99999998497322895</v>
      </c>
    </row>
    <row r="5118" spans="1:40" x14ac:dyDescent="0.25">
      <c r="A5118" t="str">
        <f>"20190312164609673"</f>
        <v>20190312164609673</v>
      </c>
      <c r="B5118" t="str">
        <f>"1552380369666501"</f>
        <v>1552380369666501</v>
      </c>
      <c r="C5118" t="s">
        <v>40</v>
      </c>
      <c r="D5118">
        <v>4.9658879999999996</v>
      </c>
      <c r="E5118">
        <v>0.47945490000000002</v>
      </c>
      <c r="F5118" t="s">
        <v>42</v>
      </c>
      <c r="G5118">
        <v>-329.3424</v>
      </c>
      <c r="H5118" s="1">
        <v>-1.000417E-6</v>
      </c>
      <c r="I5118">
        <v>16.746179999999999</v>
      </c>
      <c r="J5118">
        <v>-349.27850000000001</v>
      </c>
      <c r="K5118">
        <v>1.1085020000000001</v>
      </c>
      <c r="L5118">
        <v>17.247800000000002</v>
      </c>
      <c r="M5118">
        <v>0.99973199999999995</v>
      </c>
      <c r="N5118">
        <v>0</v>
      </c>
      <c r="O5118">
        <v>1.871397E-2</v>
      </c>
      <c r="P5118">
        <v>0.98732980000000004</v>
      </c>
      <c r="Q5118">
        <v>0.13350399999999901</v>
      </c>
      <c r="R5118">
        <v>-8.5770529999999998E-2</v>
      </c>
      <c r="S5118">
        <v>3.0546880000000001</v>
      </c>
      <c r="T5118">
        <v>-0.16850889999999999</v>
      </c>
      <c r="U5118">
        <v>-7.5836180000000003E-2</v>
      </c>
      <c r="V5118">
        <v>0.10439320000000001</v>
      </c>
      <c r="W5118">
        <v>0.14681179999999999</v>
      </c>
      <c r="X5118">
        <v>0.98364039999999997</v>
      </c>
      <c r="Y5118">
        <v>4.3429700000000002E-2</v>
      </c>
      <c r="Z5118">
        <v>-2.2282909999999999E-3</v>
      </c>
      <c r="AA5118">
        <v>0.999054</v>
      </c>
      <c r="AB5118">
        <v>31</v>
      </c>
      <c r="AC5118">
        <v>19.9361</v>
      </c>
      <c r="AD5118">
        <v>-1.108503000417</v>
      </c>
      <c r="AE5118">
        <v>-0.50162000000000195</v>
      </c>
      <c r="AF5118">
        <v>0.87195626829235895</v>
      </c>
      <c r="AG5118">
        <v>-1.108503000417</v>
      </c>
      <c r="AH5118">
        <v>19.8618524636336</v>
      </c>
      <c r="AI5118">
        <v>93.191333587026094</v>
      </c>
      <c r="AJ5118">
        <v>87.486268936280098</v>
      </c>
      <c r="AK5118">
        <v>19.911862542788299</v>
      </c>
      <c r="AL5118">
        <v>81.557789721552894</v>
      </c>
      <c r="AM5118">
        <v>83.941908387869205</v>
      </c>
      <c r="AN5118">
        <v>1.0000000406688101</v>
      </c>
    </row>
    <row r="5119" spans="1:40" x14ac:dyDescent="0.25">
      <c r="A5119" t="str">
        <f>"20190312164609684"</f>
        <v>20190312164609684</v>
      </c>
      <c r="B5119" t="str">
        <f>"1552380369676258"</f>
        <v>1552380369676258</v>
      </c>
      <c r="C5119" t="s">
        <v>40</v>
      </c>
      <c r="D5119">
        <v>5.2142229999999996</v>
      </c>
      <c r="E5119">
        <v>0.4791687</v>
      </c>
      <c r="F5119" t="s">
        <v>41</v>
      </c>
      <c r="G5119">
        <v>-348.35320000000002</v>
      </c>
      <c r="H5119">
        <v>0.99669180000000002</v>
      </c>
      <c r="I5119">
        <v>17.234779999999901</v>
      </c>
      <c r="J5119">
        <v>-349.1182</v>
      </c>
      <c r="K5119">
        <v>1.1085050000000001</v>
      </c>
      <c r="L5119">
        <v>17.250489999999999</v>
      </c>
      <c r="M5119">
        <v>0.99973710000000005</v>
      </c>
      <c r="N5119">
        <v>0</v>
      </c>
      <c r="O5119">
        <v>1.844345E-2</v>
      </c>
      <c r="P5119">
        <v>0.98730609999999996</v>
      </c>
      <c r="Q5119">
        <v>0.1333704</v>
      </c>
      <c r="R5119">
        <v>-8.6251830000000002E-2</v>
      </c>
      <c r="S5119">
        <v>3.0852050000000002</v>
      </c>
      <c r="T5119">
        <v>-0.37285590000000002</v>
      </c>
      <c r="U5119">
        <v>-4.2846679999999998E-2</v>
      </c>
      <c r="V5119">
        <v>0.10460709999999999</v>
      </c>
      <c r="W5119">
        <v>0.1466769</v>
      </c>
      <c r="X5119">
        <v>0.98363780000000001</v>
      </c>
      <c r="Y5119">
        <v>3.1960769999999999E-2</v>
      </c>
      <c r="Z5119">
        <v>-4.1451229999999997E-3</v>
      </c>
      <c r="AA5119">
        <v>0.99948049999999999</v>
      </c>
      <c r="AB5119">
        <v>31</v>
      </c>
      <c r="AC5119">
        <v>0.76499999999998602</v>
      </c>
      <c r="AD5119">
        <v>-0.111813199999999</v>
      </c>
      <c r="AE5119">
        <v>-1.5710000000002101E-2</v>
      </c>
      <c r="AF5119">
        <v>2.9194456119677401E-2</v>
      </c>
      <c r="AG5119">
        <v>-0.111813199999999</v>
      </c>
      <c r="AH5119">
        <v>0.74859455733739799</v>
      </c>
      <c r="AI5119">
        <v>98.488774393385995</v>
      </c>
      <c r="AJ5119">
        <v>87.766652386942795</v>
      </c>
      <c r="AK5119">
        <v>0.75746176090779604</v>
      </c>
      <c r="AL5119">
        <v>81.565603504561594</v>
      </c>
      <c r="AM5119">
        <v>83.929572118249794</v>
      </c>
      <c r="AN5119">
        <v>1.00000003997642</v>
      </c>
    </row>
    <row r="5120" spans="1:40" x14ac:dyDescent="0.25">
      <c r="A5120" t="str">
        <f>"20190312164609694"</f>
        <v>20190312164609694</v>
      </c>
      <c r="B5120" t="str">
        <f>"1552380369686996"</f>
        <v>1552380369686996</v>
      </c>
      <c r="C5120" t="s">
        <v>40</v>
      </c>
      <c r="D5120">
        <v>4.9215030000000004</v>
      </c>
      <c r="E5120">
        <v>0.48074679999999997</v>
      </c>
      <c r="F5120" t="s">
        <v>41</v>
      </c>
      <c r="G5120">
        <v>-348.33879999999999</v>
      </c>
      <c r="H5120">
        <v>1.0259290000000001</v>
      </c>
      <c r="I5120">
        <v>17.238859999999999</v>
      </c>
      <c r="J5120">
        <v>-348.97359999999998</v>
      </c>
      <c r="K5120">
        <v>1.108506</v>
      </c>
      <c r="L5120">
        <v>17.252929999999999</v>
      </c>
      <c r="M5120">
        <v>0.9997414</v>
      </c>
      <c r="N5120">
        <v>0</v>
      </c>
      <c r="O5120">
        <v>1.819927E-2</v>
      </c>
      <c r="P5120">
        <v>0.98725430000000003</v>
      </c>
      <c r="Q5120">
        <v>0.13326660000000001</v>
      </c>
      <c r="R5120">
        <v>-8.6998909999999999E-2</v>
      </c>
      <c r="S5120">
        <v>3.0786739999999999</v>
      </c>
      <c r="T5120">
        <v>-0.32620569999999999</v>
      </c>
      <c r="U5120">
        <v>-4.5257569999999997E-2</v>
      </c>
      <c r="V5120">
        <v>0.10511239999999999</v>
      </c>
      <c r="W5120">
        <v>0.14657129999999999</v>
      </c>
      <c r="X5120">
        <v>0.98359969999999997</v>
      </c>
      <c r="Y5120">
        <v>3.261095E-2</v>
      </c>
      <c r="Z5120">
        <v>-3.6457680000000002E-3</v>
      </c>
      <c r="AA5120">
        <v>0.9994615</v>
      </c>
      <c r="AB5120">
        <v>31</v>
      </c>
      <c r="AC5120">
        <v>0.63479999999998404</v>
      </c>
      <c r="AD5120">
        <v>-8.25769999999999E-2</v>
      </c>
      <c r="AE5120">
        <v>-1.40700000000002E-2</v>
      </c>
      <c r="AF5120">
        <v>2.51954983048829E-2</v>
      </c>
      <c r="AG5120">
        <v>-8.25769999999999E-2</v>
      </c>
      <c r="AH5120">
        <v>0.62388670808442404</v>
      </c>
      <c r="AI5120">
        <v>97.533714088193094</v>
      </c>
      <c r="AJ5120">
        <v>87.687381916637904</v>
      </c>
      <c r="AK5120">
        <v>0.62983203998228798</v>
      </c>
      <c r="AL5120">
        <v>81.571720267336502</v>
      </c>
      <c r="AM5120">
        <v>83.900235216636503</v>
      </c>
      <c r="AN5120">
        <v>1.00000006622876</v>
      </c>
    </row>
    <row r="5121" spans="1:40" x14ac:dyDescent="0.25">
      <c r="A5121" t="str">
        <f>"20190312164609705"</f>
        <v>20190312164609705</v>
      </c>
      <c r="B5121" t="str">
        <f>"1552380369696755"</f>
        <v>1552380369696755</v>
      </c>
      <c r="C5121" t="s">
        <v>40</v>
      </c>
      <c r="D5121">
        <v>4.9257929999999996</v>
      </c>
      <c r="E5121">
        <v>0.48118169999999999</v>
      </c>
      <c r="F5121" t="s">
        <v>41</v>
      </c>
      <c r="G5121">
        <v>-348.07049999999998</v>
      </c>
      <c r="H5121">
        <v>1.0151570000000001</v>
      </c>
      <c r="I5121">
        <v>17.234639999999999</v>
      </c>
      <c r="J5121">
        <v>-348.82220000000001</v>
      </c>
      <c r="K5121">
        <v>1.1085160000000001</v>
      </c>
      <c r="L5121">
        <v>17.255400000000002</v>
      </c>
      <c r="M5121">
        <v>0.99974620000000003</v>
      </c>
      <c r="N5121">
        <v>0</v>
      </c>
      <c r="O5121">
        <v>1.794335E-2</v>
      </c>
      <c r="P5121">
        <v>0.98722149999999997</v>
      </c>
      <c r="Q5121">
        <v>0.13317219999999999</v>
      </c>
      <c r="R5121">
        <v>-8.7516510000000006E-2</v>
      </c>
      <c r="S5121">
        <v>3.0762330000000002</v>
      </c>
      <c r="T5121">
        <v>-0.31792330000000002</v>
      </c>
      <c r="U5121">
        <v>-6.0943600000000001E-2</v>
      </c>
      <c r="V5121">
        <v>0.1053765</v>
      </c>
      <c r="W5121">
        <v>0.146476</v>
      </c>
      <c r="X5121">
        <v>0.9835855</v>
      </c>
      <c r="Y5121">
        <v>3.7450579999999997E-2</v>
      </c>
      <c r="Z5121">
        <v>-3.7793850000000001E-3</v>
      </c>
      <c r="AA5121">
        <v>0.99929140000000005</v>
      </c>
      <c r="AB5121">
        <v>31</v>
      </c>
      <c r="AC5121">
        <v>0.75170000000002801</v>
      </c>
      <c r="AD5121">
        <v>-9.3359000000000206E-2</v>
      </c>
      <c r="AE5121">
        <v>-2.07600000000027E-2</v>
      </c>
      <c r="AF5121">
        <v>3.3726098668340303E-2</v>
      </c>
      <c r="AG5121">
        <v>-9.3359000000000206E-2</v>
      </c>
      <c r="AH5121">
        <v>0.73980369398194001</v>
      </c>
      <c r="AI5121">
        <v>97.1849971595407</v>
      </c>
      <c r="AJ5121">
        <v>87.389812802173907</v>
      </c>
      <c r="AK5121">
        <v>0.74643342519056</v>
      </c>
      <c r="AL5121">
        <v>81.577238978777203</v>
      </c>
      <c r="AM5121">
        <v>83.884937621025898</v>
      </c>
      <c r="AN5121">
        <v>0.99999993056924696</v>
      </c>
    </row>
    <row r="5122" spans="1:40" x14ac:dyDescent="0.25">
      <c r="A5122" t="str">
        <f>"20190312164609716"</f>
        <v>20190312164609716</v>
      </c>
      <c r="B5122" t="str">
        <f>"1552380369706515"</f>
        <v>1552380369706515</v>
      </c>
      <c r="C5122" t="s">
        <v>40</v>
      </c>
      <c r="D5122">
        <v>5.0661769999999997</v>
      </c>
      <c r="E5122">
        <v>0.48163430000000002</v>
      </c>
      <c r="F5122" t="s">
        <v>41</v>
      </c>
      <c r="G5122">
        <v>-348.06180000000001</v>
      </c>
      <c r="H5122">
        <v>1.033026</v>
      </c>
      <c r="I5122">
        <v>17.23845</v>
      </c>
      <c r="J5122">
        <v>-348.68119999999999</v>
      </c>
      <c r="K5122">
        <v>1.1085179999999999</v>
      </c>
      <c r="L5122">
        <v>17.257660000000001</v>
      </c>
      <c r="M5122">
        <v>0.99975040000000004</v>
      </c>
      <c r="N5122">
        <v>0</v>
      </c>
      <c r="O5122">
        <v>1.7705140000000001E-2</v>
      </c>
      <c r="P5122">
        <v>0.98716879999999996</v>
      </c>
      <c r="Q5122">
        <v>0.13317579999999901</v>
      </c>
      <c r="R5122">
        <v>-8.8102769999999997E-2</v>
      </c>
      <c r="S5122">
        <v>3.074036</v>
      </c>
      <c r="T5122">
        <v>-0.30512139999999999</v>
      </c>
      <c r="U5122">
        <v>-6.692505E-2</v>
      </c>
      <c r="V5122">
        <v>0.105727</v>
      </c>
      <c r="W5122">
        <v>0.14647839999999901</v>
      </c>
      <c r="X5122">
        <v>0.98354759999999997</v>
      </c>
      <c r="Y5122">
        <v>3.9185619999999997E-2</v>
      </c>
      <c r="Z5122">
        <v>-3.6927750000000001E-3</v>
      </c>
      <c r="AA5122">
        <v>0.99922509999999998</v>
      </c>
      <c r="AB5122">
        <v>31</v>
      </c>
      <c r="AC5122">
        <v>0.61939999999998396</v>
      </c>
      <c r="AD5122">
        <v>-7.5492000000000101E-2</v>
      </c>
      <c r="AE5122">
        <v>-1.9210000000001001E-2</v>
      </c>
      <c r="AF5122">
        <v>2.9733319600923801E-2</v>
      </c>
      <c r="AG5122">
        <v>-7.5492000000000101E-2</v>
      </c>
      <c r="AH5122">
        <v>0.60991149090424901</v>
      </c>
      <c r="AI5122">
        <v>97.047632064570394</v>
      </c>
      <c r="AJ5122">
        <v>87.209027715091196</v>
      </c>
      <c r="AK5122">
        <v>0.61528460007994201</v>
      </c>
      <c r="AL5122">
        <v>81.577100565654803</v>
      </c>
      <c r="AM5122">
        <v>83.864518149748093</v>
      </c>
      <c r="AN5122">
        <v>1.00000000083066</v>
      </c>
    </row>
    <row r="5123" spans="1:40" x14ac:dyDescent="0.25">
      <c r="A5123" t="str">
        <f>"20190312164609727"</f>
        <v>20190312164609727</v>
      </c>
      <c r="B5123" t="str">
        <f>"1552380369716275"</f>
        <v>1552380369716275</v>
      </c>
      <c r="C5123" t="s">
        <v>40</v>
      </c>
      <c r="D5123">
        <v>5.1387229999999997</v>
      </c>
      <c r="E5123">
        <v>0.48305300000000001</v>
      </c>
      <c r="F5123" t="s">
        <v>41</v>
      </c>
      <c r="G5123">
        <v>-347.791</v>
      </c>
      <c r="H5123">
        <v>1.027623</v>
      </c>
      <c r="I5123">
        <v>17.236070000000002</v>
      </c>
      <c r="J5123">
        <v>-348.52519999999998</v>
      </c>
      <c r="K5123">
        <v>1.1085199999999999</v>
      </c>
      <c r="L5123">
        <v>17.260189999999898</v>
      </c>
      <c r="M5123">
        <v>0.99975499999999995</v>
      </c>
      <c r="N5123">
        <v>0</v>
      </c>
      <c r="O5123">
        <v>1.7441470000000001E-2</v>
      </c>
      <c r="P5123">
        <v>0.98708410000000002</v>
      </c>
      <c r="Q5123">
        <v>0.13320460000000001</v>
      </c>
      <c r="R5123">
        <v>-8.9003600000000002E-2</v>
      </c>
      <c r="S5123">
        <v>3.0700379999999998</v>
      </c>
      <c r="T5123">
        <v>-0.27899220000000002</v>
      </c>
      <c r="U5123">
        <v>-7.3974609999999996E-2</v>
      </c>
      <c r="V5123">
        <v>0.10636610000000001</v>
      </c>
      <c r="W5123">
        <v>0.1465052</v>
      </c>
      <c r="X5123">
        <v>0.98347470000000003</v>
      </c>
      <c r="Y5123">
        <v>4.1281169999999999E-2</v>
      </c>
      <c r="Z5123">
        <v>-3.4532930000000001E-3</v>
      </c>
      <c r="AA5123">
        <v>0.99914159999999996</v>
      </c>
      <c r="AB5123">
        <v>31</v>
      </c>
      <c r="AC5123">
        <v>0.73419999999998697</v>
      </c>
      <c r="AD5123">
        <v>-8.0897000000000205E-2</v>
      </c>
      <c r="AE5123">
        <v>-2.4119999999996301E-2</v>
      </c>
      <c r="AF5123">
        <v>3.6480631866282302E-2</v>
      </c>
      <c r="AG5123">
        <v>-8.0897000000000205E-2</v>
      </c>
      <c r="AH5123">
        <v>0.72487670198997201</v>
      </c>
      <c r="AI5123">
        <v>96.359936297211902</v>
      </c>
      <c r="AJ5123">
        <v>87.118924839716001</v>
      </c>
      <c r="AK5123">
        <v>0.73028856912745199</v>
      </c>
      <c r="AL5123">
        <v>81.575548312754805</v>
      </c>
      <c r="AM5123">
        <v>83.827261740232004</v>
      </c>
      <c r="AN5123">
        <v>1.00000000319817</v>
      </c>
    </row>
    <row r="5124" spans="1:40" x14ac:dyDescent="0.25">
      <c r="A5124" t="str">
        <f>"20190312164609738"</f>
        <v>20190312164609738</v>
      </c>
      <c r="B5124" t="str">
        <f>"1552380369726034"</f>
        <v>1552380369726034</v>
      </c>
      <c r="C5124" t="s">
        <v>40</v>
      </c>
      <c r="D5124">
        <v>5.2677079999999998</v>
      </c>
      <c r="E5124">
        <v>0.48406399999999999</v>
      </c>
      <c r="F5124" t="s">
        <v>41</v>
      </c>
      <c r="G5124">
        <v>-347.78210000000001</v>
      </c>
      <c r="H5124">
        <v>1.043682</v>
      </c>
      <c r="I5124">
        <v>17.238499999999998</v>
      </c>
      <c r="J5124">
        <v>-348.37430000000001</v>
      </c>
      <c r="K5124">
        <v>1.108525</v>
      </c>
      <c r="L5124">
        <v>17.262539999999898</v>
      </c>
      <c r="M5124">
        <v>0.99975959999999997</v>
      </c>
      <c r="N5124">
        <v>0</v>
      </c>
      <c r="O5124">
        <v>1.7186320000000001E-2</v>
      </c>
      <c r="P5124">
        <v>0.98700829999999995</v>
      </c>
      <c r="Q5124">
        <v>0.13337860000000001</v>
      </c>
      <c r="R5124">
        <v>-8.9584280000000002E-2</v>
      </c>
      <c r="S5124">
        <v>3.0673520000000001</v>
      </c>
      <c r="T5124">
        <v>-0.26763759999999998</v>
      </c>
      <c r="U5124">
        <v>-8.8958739999999994E-2</v>
      </c>
      <c r="V5124">
        <v>0.106694</v>
      </c>
      <c r="W5124">
        <v>0.14667740000000001</v>
      </c>
      <c r="X5124">
        <v>0.98341350000000005</v>
      </c>
      <c r="Y5124">
        <v>4.5926410000000001E-2</v>
      </c>
      <c r="Z5124">
        <v>-3.4959959999999999E-3</v>
      </c>
      <c r="AA5124">
        <v>0.99893869999999896</v>
      </c>
      <c r="AB5124">
        <v>31</v>
      </c>
      <c r="AC5124">
        <v>0.59219999999999096</v>
      </c>
      <c r="AD5124">
        <v>-6.4842999999999901E-2</v>
      </c>
      <c r="AE5124">
        <v>-2.4039999999999302E-2</v>
      </c>
      <c r="AF5124">
        <v>3.38104384529824E-2</v>
      </c>
      <c r="AG5124">
        <v>-6.4842999999999901E-2</v>
      </c>
      <c r="AH5124">
        <v>0.58470077250117203</v>
      </c>
      <c r="AI5124">
        <v>96.3177445185094</v>
      </c>
      <c r="AJ5124">
        <v>86.690545538353604</v>
      </c>
      <c r="AK5124">
        <v>0.58925610201409895</v>
      </c>
      <c r="AL5124">
        <v>81.565574124323305</v>
      </c>
      <c r="AM5124">
        <v>83.807997987167099</v>
      </c>
      <c r="AN5124">
        <v>0.99999999064450495</v>
      </c>
    </row>
    <row r="5125" spans="1:40" x14ac:dyDescent="0.25">
      <c r="A5125" t="str">
        <f>"20190312164609750"</f>
        <v>20190312164609750</v>
      </c>
      <c r="B5125" t="str">
        <f>"1552380369746531"</f>
        <v>1552380369746531</v>
      </c>
      <c r="C5125" t="s">
        <v>40</v>
      </c>
      <c r="D5125">
        <v>5.1723999999999997</v>
      </c>
      <c r="E5125">
        <v>0.48592689999999999</v>
      </c>
      <c r="F5125" t="s">
        <v>41</v>
      </c>
      <c r="G5125">
        <v>-347.51420000000002</v>
      </c>
      <c r="H5125">
        <v>1.03515</v>
      </c>
      <c r="I5125">
        <v>17.23442</v>
      </c>
      <c r="J5125">
        <v>-348.22379999999998</v>
      </c>
      <c r="K5125">
        <v>1.108528</v>
      </c>
      <c r="L5125">
        <v>17.264890000000001</v>
      </c>
      <c r="M5125">
        <v>0.99976379999999998</v>
      </c>
      <c r="N5125">
        <v>0</v>
      </c>
      <c r="O5125">
        <v>1.693213E-2</v>
      </c>
      <c r="P5125">
        <v>0.98689990000000005</v>
      </c>
      <c r="Q5125">
        <v>0.13361039999999999</v>
      </c>
      <c r="R5125">
        <v>-9.0426709999999993E-2</v>
      </c>
      <c r="S5125">
        <v>3.0658259999999999</v>
      </c>
      <c r="T5125">
        <v>-0.2615112</v>
      </c>
      <c r="U5125">
        <v>-9.9151610000000001E-2</v>
      </c>
      <c r="V5125">
        <v>0.10728409999999999</v>
      </c>
      <c r="W5125">
        <v>0.1469067</v>
      </c>
      <c r="X5125">
        <v>0.9833151</v>
      </c>
      <c r="Y5125">
        <v>4.9005020000000003E-2</v>
      </c>
      <c r="Z5125">
        <v>-3.5271819999999998E-3</v>
      </c>
      <c r="AA5125">
        <v>0.99879229999999997</v>
      </c>
      <c r="AB5125">
        <v>31</v>
      </c>
      <c r="AC5125">
        <v>0.70959999999996604</v>
      </c>
      <c r="AD5125">
        <v>-7.3377999999999902E-2</v>
      </c>
      <c r="AE5125">
        <v>-3.04700000000011E-2</v>
      </c>
      <c r="AF5125">
        <v>4.2033147555432797E-2</v>
      </c>
      <c r="AG5125">
        <v>-7.3377999999999902E-2</v>
      </c>
      <c r="AH5125">
        <v>0.70149491830742405</v>
      </c>
      <c r="AI5125">
        <v>95.960941323792994</v>
      </c>
      <c r="AJ5125">
        <v>86.570971708204993</v>
      </c>
      <c r="AK5125">
        <v>0.706573589082239</v>
      </c>
      <c r="AL5125">
        <v>81.552292585623405</v>
      </c>
      <c r="AM5125">
        <v>83.773401527224294</v>
      </c>
      <c r="AN5125">
        <v>1.0000000212528499</v>
      </c>
    </row>
    <row r="5126" spans="1:40" x14ac:dyDescent="0.25">
      <c r="A5126" t="str">
        <f>"20190312164609763"</f>
        <v>20190312164609763</v>
      </c>
      <c r="B5126" t="str">
        <f>"1552380369756291"</f>
        <v>1552380369756291</v>
      </c>
      <c r="C5126" t="s">
        <v>40</v>
      </c>
      <c r="D5126">
        <v>5.4405989999999997</v>
      </c>
      <c r="E5126">
        <v>0.48592689999999999</v>
      </c>
      <c r="F5126" t="s">
        <v>41</v>
      </c>
      <c r="G5126">
        <v>-347.24360000000001</v>
      </c>
      <c r="H5126">
        <v>1.03006</v>
      </c>
      <c r="I5126">
        <v>17.22709</v>
      </c>
      <c r="J5126">
        <v>-348.04640000000001</v>
      </c>
      <c r="K5126">
        <v>1.10853</v>
      </c>
      <c r="L5126">
        <v>17.267579999999999</v>
      </c>
      <c r="M5126">
        <v>0.99976889999999996</v>
      </c>
      <c r="N5126">
        <v>0</v>
      </c>
      <c r="O5126">
        <v>1.6632109999999999E-2</v>
      </c>
      <c r="P5126">
        <v>0.98678670000000002</v>
      </c>
      <c r="Q5126">
        <v>0.1338839</v>
      </c>
      <c r="R5126">
        <v>-9.125606E-2</v>
      </c>
      <c r="S5126">
        <v>3.0622859999999998</v>
      </c>
      <c r="T5126">
        <v>-0.24517040000000001</v>
      </c>
      <c r="U5126">
        <v>-0.11752319999999999</v>
      </c>
      <c r="V5126">
        <v>0.1078158</v>
      </c>
      <c r="W5126">
        <v>0.14717740000000001</v>
      </c>
      <c r="X5126">
        <v>0.98321650000000005</v>
      </c>
      <c r="Y5126">
        <v>5.473741E-2</v>
      </c>
      <c r="Z5126">
        <v>-3.5160270000000001E-3</v>
      </c>
      <c r="AA5126">
        <v>0.99849460000000001</v>
      </c>
      <c r="AB5126">
        <v>31</v>
      </c>
      <c r="AC5126">
        <v>0.80279999999998997</v>
      </c>
      <c r="AD5126">
        <v>-7.8469999999999998E-2</v>
      </c>
      <c r="AE5126">
        <v>-4.0489999999998298E-2</v>
      </c>
      <c r="AF5126">
        <v>5.3329667458190899E-2</v>
      </c>
      <c r="AG5126">
        <v>-7.8469999999999998E-2</v>
      </c>
      <c r="AH5126">
        <v>0.79444444546098203</v>
      </c>
      <c r="AI5126">
        <v>95.628417516956404</v>
      </c>
      <c r="AJ5126">
        <v>86.159596066773403</v>
      </c>
      <c r="AK5126">
        <v>0.80008972700254599</v>
      </c>
      <c r="AL5126">
        <v>81.536612505080001</v>
      </c>
      <c r="AM5126">
        <v>83.742164172083605</v>
      </c>
      <c r="AN5126">
        <v>1.0000000598363199</v>
      </c>
    </row>
    <row r="5127" spans="1:40" x14ac:dyDescent="0.25">
      <c r="A5127" t="str">
        <f>"20190312164609774"</f>
        <v>20190312164609774</v>
      </c>
      <c r="B5127" t="str">
        <f>"1552380369766050"</f>
        <v>1552380369766050</v>
      </c>
      <c r="C5127" t="s">
        <v>40</v>
      </c>
      <c r="D5127">
        <v>5.0817449999999997</v>
      </c>
      <c r="E5127">
        <v>0.51727650000000003</v>
      </c>
      <c r="F5127" t="s">
        <v>41</v>
      </c>
      <c r="G5127">
        <v>-347.2364</v>
      </c>
      <c r="H5127">
        <v>1.043911</v>
      </c>
      <c r="I5127">
        <v>17.23565</v>
      </c>
      <c r="J5127">
        <v>-347.88099999999997</v>
      </c>
      <c r="K5127">
        <v>1.108527</v>
      </c>
      <c r="L5127">
        <v>17.270050000000001</v>
      </c>
      <c r="M5127">
        <v>0.99977349999999998</v>
      </c>
      <c r="N5127">
        <v>0</v>
      </c>
      <c r="O5127">
        <v>1.6352289999999998E-2</v>
      </c>
      <c r="P5127">
        <v>0.98667340000000003</v>
      </c>
      <c r="Q5127">
        <v>0.1340356</v>
      </c>
      <c r="R5127">
        <v>-9.2250589999999993E-2</v>
      </c>
      <c r="S5127">
        <v>3.0622560000000001</v>
      </c>
      <c r="T5127">
        <v>-0.24430250000000001</v>
      </c>
      <c r="U5127">
        <v>-0.11999509999999999</v>
      </c>
      <c r="V5127">
        <v>0.1085329</v>
      </c>
      <c r="W5127">
        <v>0.1473264</v>
      </c>
      <c r="X5127">
        <v>0.98311519999999997</v>
      </c>
      <c r="Y5127">
        <v>5.5263970000000003E-2</v>
      </c>
      <c r="Z5127">
        <v>-3.5022830000000001E-3</v>
      </c>
      <c r="AA5127">
        <v>0.99846570000000001</v>
      </c>
      <c r="AB5127">
        <v>31</v>
      </c>
      <c r="AC5127">
        <v>0.64459999999996798</v>
      </c>
      <c r="AD5127">
        <v>-6.4615999999999896E-2</v>
      </c>
      <c r="AE5127">
        <v>-3.4400000000001499E-2</v>
      </c>
      <c r="AF5127">
        <v>4.4491264694104103E-2</v>
      </c>
      <c r="AG5127">
        <v>-6.4615999999999896E-2</v>
      </c>
      <c r="AH5127">
        <v>0.63756289324301596</v>
      </c>
      <c r="AI5127">
        <v>95.773132935816903</v>
      </c>
      <c r="AJ5127">
        <v>86.0081807276962</v>
      </c>
      <c r="AK5127">
        <v>0.64237149915799197</v>
      </c>
      <c r="AL5127">
        <v>81.527980643662104</v>
      </c>
      <c r="AM5127">
        <v>83.700231955615806</v>
      </c>
      <c r="AN5127">
        <v>0.99999997749520397</v>
      </c>
    </row>
    <row r="5128" spans="1:40" x14ac:dyDescent="0.25">
      <c r="A5128" t="str">
        <f>"20190312164609796"</f>
        <v>20190312164609796</v>
      </c>
      <c r="B5128" t="str">
        <f>"1552380369786546"</f>
        <v>1552380369786546</v>
      </c>
      <c r="C5128" t="s">
        <v>40</v>
      </c>
      <c r="D5128">
        <v>5.2007989999999999</v>
      </c>
      <c r="E5128">
        <v>0.52192289999999997</v>
      </c>
      <c r="F5128" t="s">
        <v>43</v>
      </c>
      <c r="G5128">
        <v>-295.1807</v>
      </c>
      <c r="H5128">
        <v>-0.05</v>
      </c>
      <c r="I5128">
        <v>10.55589</v>
      </c>
      <c r="J5128">
        <v>-347.58859999999999</v>
      </c>
      <c r="K5128">
        <v>1.1085320000000001</v>
      </c>
      <c r="L5128">
        <v>17.274260000000002</v>
      </c>
      <c r="M5128">
        <v>0.99978149999999999</v>
      </c>
      <c r="N5128">
        <v>0</v>
      </c>
      <c r="O5128">
        <v>1.5857860000000001E-2</v>
      </c>
      <c r="P5128">
        <v>0.98642779999999997</v>
      </c>
      <c r="Q5128">
        <v>0.1345596</v>
      </c>
      <c r="R5128">
        <v>-9.409642E-2</v>
      </c>
      <c r="S5128">
        <v>3.013611</v>
      </c>
      <c r="T5128">
        <v>-6.6249249999999996E-2</v>
      </c>
      <c r="U5128">
        <v>-0.3839417</v>
      </c>
      <c r="V5128">
        <v>0.1098875</v>
      </c>
      <c r="W5128">
        <v>0.1478447</v>
      </c>
      <c r="X5128">
        <v>0.98288690000000001</v>
      </c>
      <c r="Y5128">
        <v>0.14205970000000001</v>
      </c>
      <c r="Z5128">
        <v>-1.9022760000000001E-3</v>
      </c>
      <c r="AA5128">
        <v>0.98985619999999996</v>
      </c>
      <c r="AB5128">
        <v>31</v>
      </c>
      <c r="AC5128">
        <v>52.407899999999898</v>
      </c>
      <c r="AD5128">
        <v>-1.1585319999999999</v>
      </c>
      <c r="AE5128">
        <v>-6.7183700000000002</v>
      </c>
      <c r="AF5128">
        <v>7.5450517902979897</v>
      </c>
      <c r="AG5128">
        <v>-1.1585319999999999</v>
      </c>
      <c r="AH5128">
        <v>52.269629931816503</v>
      </c>
      <c r="AI5128">
        <v>91.256705413035306</v>
      </c>
      <c r="AJ5128">
        <v>81.786165898559204</v>
      </c>
      <c r="AK5128">
        <v>52.824087461331096</v>
      </c>
      <c r="AL5128">
        <v>81.497955533625301</v>
      </c>
      <c r="AM5128">
        <v>83.620779260363506</v>
      </c>
      <c r="AN5128">
        <v>0.99999998808297497</v>
      </c>
    </row>
    <row r="5129" spans="1:40" x14ac:dyDescent="0.25">
      <c r="A5129" t="str">
        <f>"20190312164609806"</f>
        <v>20190312164609806</v>
      </c>
      <c r="B5129" t="str">
        <f>"1552380369796306"</f>
        <v>1552380369796306</v>
      </c>
      <c r="C5129" t="s">
        <v>40</v>
      </c>
      <c r="D5129">
        <v>5.0264089999999904</v>
      </c>
      <c r="E5129">
        <v>0.52305379999999901</v>
      </c>
      <c r="F5129" t="s">
        <v>43</v>
      </c>
      <c r="G5129">
        <v>-310.35759999999999</v>
      </c>
      <c r="H5129">
        <v>-0.05</v>
      </c>
      <c r="I5129">
        <v>12.02826</v>
      </c>
      <c r="J5129">
        <v>-347.44690000000003</v>
      </c>
      <c r="K5129">
        <v>1.1085309999999999</v>
      </c>
      <c r="L5129">
        <v>17.27628</v>
      </c>
      <c r="M5129">
        <v>0.99978529999999999</v>
      </c>
      <c r="N5129">
        <v>0</v>
      </c>
      <c r="O5129">
        <v>1.5618389999999999E-2</v>
      </c>
      <c r="P5129">
        <v>0.98632280000000006</v>
      </c>
      <c r="Q5129">
        <v>0.13466649999999999</v>
      </c>
      <c r="R5129">
        <v>-9.5038689999999995E-2</v>
      </c>
      <c r="S5129">
        <v>3.01355</v>
      </c>
      <c r="T5129">
        <v>-9.3773960000000003E-2</v>
      </c>
      <c r="U5129">
        <v>-0.42462159999999899</v>
      </c>
      <c r="V5129">
        <v>0.11059239999999999</v>
      </c>
      <c r="W5129">
        <v>0.147949</v>
      </c>
      <c r="X5129">
        <v>0.98279209999999995</v>
      </c>
      <c r="Y5129">
        <v>0.154894899999999</v>
      </c>
      <c r="Z5129">
        <v>-2.8812130000000001E-3</v>
      </c>
      <c r="AA5129">
        <v>0.98792679999999999</v>
      </c>
      <c r="AB5129">
        <v>30</v>
      </c>
      <c r="AC5129">
        <v>37.089300000000001</v>
      </c>
      <c r="AD5129">
        <v>-1.158531</v>
      </c>
      <c r="AE5129">
        <v>-5.2480199999999897</v>
      </c>
      <c r="AF5129">
        <v>5.8211403949936402</v>
      </c>
      <c r="AG5129">
        <v>-1.158531</v>
      </c>
      <c r="AH5129">
        <v>36.9674406943018</v>
      </c>
      <c r="AI5129">
        <v>91.773183023665197</v>
      </c>
      <c r="AJ5129">
        <v>81.051303873376995</v>
      </c>
      <c r="AK5129">
        <v>37.440880612812897</v>
      </c>
      <c r="AL5129">
        <v>81.491912796495697</v>
      </c>
      <c r="AM5129">
        <v>83.579584681512003</v>
      </c>
      <c r="AN5129">
        <v>0.99999994868058295</v>
      </c>
    </row>
    <row r="5130" spans="1:40" x14ac:dyDescent="0.25">
      <c r="A5130" t="str">
        <f>"20190312164609816"</f>
        <v>20190312164609816</v>
      </c>
      <c r="B5130" t="str">
        <f>"1552380369806066"</f>
        <v>1552380369806066</v>
      </c>
      <c r="C5130" t="s">
        <v>40</v>
      </c>
      <c r="D5130">
        <v>5.272475</v>
      </c>
      <c r="E5130">
        <v>0.52376540000000005</v>
      </c>
      <c r="F5130" t="s">
        <v>43</v>
      </c>
      <c r="G5130">
        <v>-306.07330000000002</v>
      </c>
      <c r="H5130">
        <v>-0.05</v>
      </c>
      <c r="I5130">
        <v>11.27087</v>
      </c>
      <c r="J5130">
        <v>-347.30689999999998</v>
      </c>
      <c r="K5130">
        <v>1.1085339999999999</v>
      </c>
      <c r="L5130">
        <v>17.278199999999998</v>
      </c>
      <c r="M5130">
        <v>0.99978900000000004</v>
      </c>
      <c r="N5130">
        <v>0</v>
      </c>
      <c r="O5130">
        <v>1.538136E-2</v>
      </c>
      <c r="P5130">
        <v>0.98620810000000003</v>
      </c>
      <c r="Q5130">
        <v>0.13472709999999999</v>
      </c>
      <c r="R5130">
        <v>-9.61365E-2</v>
      </c>
      <c r="S5130">
        <v>3.0109560000000002</v>
      </c>
      <c r="T5130">
        <v>-8.4311839999999999E-2</v>
      </c>
      <c r="U5130">
        <v>-0.43704219999999999</v>
      </c>
      <c r="V5130">
        <v>0.1114547</v>
      </c>
      <c r="W5130">
        <v>0.14800650000000001</v>
      </c>
      <c r="X5130">
        <v>0.98268610000000001</v>
      </c>
      <c r="Y5130">
        <v>0.1587847</v>
      </c>
      <c r="Z5130">
        <v>-2.6396280000000002E-3</v>
      </c>
      <c r="AA5130">
        <v>0.98730969999999996</v>
      </c>
      <c r="AB5130">
        <v>30</v>
      </c>
      <c r="AC5130">
        <v>41.233599999999903</v>
      </c>
      <c r="AD5130">
        <v>-1.158534</v>
      </c>
      <c r="AE5130">
        <v>-6.0073299999999898</v>
      </c>
      <c r="AF5130">
        <v>6.63577721800399</v>
      </c>
      <c r="AG5130">
        <v>-1.158534</v>
      </c>
      <c r="AH5130">
        <v>41.104536863976698</v>
      </c>
      <c r="AI5130">
        <v>91.593833163846298</v>
      </c>
      <c r="AJ5130">
        <v>80.829483828940596</v>
      </c>
      <c r="AK5130">
        <v>41.6528353310811</v>
      </c>
      <c r="AL5130">
        <v>81.488582249366701</v>
      </c>
      <c r="AM5130">
        <v>83.529254941295406</v>
      </c>
      <c r="AN5130">
        <v>1.00000002266377</v>
      </c>
    </row>
    <row r="5131" spans="1:40" x14ac:dyDescent="0.25">
      <c r="A5131" t="str">
        <f>"20190312164609828"</f>
        <v>20190312164609828</v>
      </c>
      <c r="B5131" t="str">
        <f>"1552380369816804"</f>
        <v>1552380369816804</v>
      </c>
      <c r="C5131" t="s">
        <v>40</v>
      </c>
      <c r="D5131">
        <v>4.9334610000000003</v>
      </c>
      <c r="E5131">
        <v>0.52424399999999904</v>
      </c>
      <c r="F5131" t="s">
        <v>43</v>
      </c>
      <c r="G5131">
        <v>-300.43130000000002</v>
      </c>
      <c r="H5131">
        <v>-0.05</v>
      </c>
      <c r="I5131">
        <v>10.31561</v>
      </c>
      <c r="J5131">
        <v>-347.15640000000002</v>
      </c>
      <c r="K5131">
        <v>1.108535</v>
      </c>
      <c r="L5131">
        <v>17.280239999999999</v>
      </c>
      <c r="M5131">
        <v>0.99979289999999998</v>
      </c>
      <c r="N5131">
        <v>0</v>
      </c>
      <c r="O5131">
        <v>1.5127109999999999E-2</v>
      </c>
      <c r="P5131">
        <v>0.98609349999999996</v>
      </c>
      <c r="Q5131">
        <v>0.13488320000000001</v>
      </c>
      <c r="R5131">
        <v>-9.7090469999999998E-2</v>
      </c>
      <c r="S5131">
        <v>3.0085449999999998</v>
      </c>
      <c r="T5131">
        <v>-7.4356439999999996E-2</v>
      </c>
      <c r="U5131">
        <v>-0.44686890000000001</v>
      </c>
      <c r="V5131">
        <v>0.112156199999999</v>
      </c>
      <c r="W5131">
        <v>0.14815980000000001</v>
      </c>
      <c r="X5131">
        <v>0.98258319999999999</v>
      </c>
      <c r="Y5131">
        <v>0.16181599999999999</v>
      </c>
      <c r="Z5131">
        <v>-2.3603410000000002E-3</v>
      </c>
      <c r="AA5131">
        <v>0.98681810000000003</v>
      </c>
      <c r="AB5131">
        <v>30</v>
      </c>
      <c r="AC5131">
        <v>46.725099999999998</v>
      </c>
      <c r="AD5131">
        <v>-1.1585350000000001</v>
      </c>
      <c r="AE5131">
        <v>-6.9646299999999899</v>
      </c>
      <c r="AF5131">
        <v>7.6661036707357599</v>
      </c>
      <c r="AG5131">
        <v>-1.1585350000000001</v>
      </c>
      <c r="AH5131">
        <v>46.586370416557102</v>
      </c>
      <c r="AI5131">
        <v>91.405671559709106</v>
      </c>
      <c r="AJ5131">
        <v>80.655337577926502</v>
      </c>
      <c r="AK5131">
        <v>47.227124170600902</v>
      </c>
      <c r="AL5131">
        <v>81.479701056734001</v>
      </c>
      <c r="AM5131">
        <v>83.488200473081307</v>
      </c>
      <c r="AN5131">
        <v>1.0000000422283499</v>
      </c>
    </row>
    <row r="5132" spans="1:40" x14ac:dyDescent="0.25">
      <c r="A5132" t="str">
        <f>"20190312164609839"</f>
        <v>20190312164609839</v>
      </c>
      <c r="B5132" t="str">
        <f>"1552380369836323"</f>
        <v>1552380369836323</v>
      </c>
      <c r="C5132" t="s">
        <v>40</v>
      </c>
      <c r="D5132">
        <v>5.0086190000000004</v>
      </c>
      <c r="E5132">
        <v>0.52488939999999995</v>
      </c>
      <c r="F5132" t="s">
        <v>43</v>
      </c>
      <c r="G5132">
        <v>-297.13709999999998</v>
      </c>
      <c r="H5132">
        <v>-0.05</v>
      </c>
      <c r="I5132">
        <v>9.7299349999999993</v>
      </c>
      <c r="J5132">
        <v>-347.00490000000002</v>
      </c>
      <c r="K5132">
        <v>1.108536</v>
      </c>
      <c r="L5132">
        <v>17.28229</v>
      </c>
      <c r="M5132">
        <v>0.99979669999999998</v>
      </c>
      <c r="N5132">
        <v>0</v>
      </c>
      <c r="O5132">
        <v>1.487078E-2</v>
      </c>
      <c r="P5132">
        <v>0.98593900000000001</v>
      </c>
      <c r="Q5132">
        <v>0.13522890000000001</v>
      </c>
      <c r="R5132">
        <v>-9.8172579999999995E-2</v>
      </c>
      <c r="S5132">
        <v>3.0071110000000001</v>
      </c>
      <c r="T5132">
        <v>-6.9649929999999999E-2</v>
      </c>
      <c r="U5132">
        <v>-0.4539185</v>
      </c>
      <c r="V5132">
        <v>0.1129839</v>
      </c>
      <c r="W5132">
        <v>0.1485021</v>
      </c>
      <c r="X5132">
        <v>0.98243670000000005</v>
      </c>
      <c r="Y5132">
        <v>0.16389970000000001</v>
      </c>
      <c r="Z5132">
        <v>-2.2297279999999998E-3</v>
      </c>
      <c r="AA5132">
        <v>0.98647450000000003</v>
      </c>
      <c r="AB5132">
        <v>30</v>
      </c>
      <c r="AC5132">
        <v>49.867800000000003</v>
      </c>
      <c r="AD5132">
        <v>-1.158536</v>
      </c>
      <c r="AE5132">
        <v>-7.5523549999999897</v>
      </c>
      <c r="AF5132">
        <v>8.2887881589543202</v>
      </c>
      <c r="AG5132">
        <v>-1.158536</v>
      </c>
      <c r="AH5132">
        <v>49.723729199330798</v>
      </c>
      <c r="AI5132">
        <v>91.316558894674301</v>
      </c>
      <c r="AJ5132">
        <v>80.535996136601497</v>
      </c>
      <c r="AK5132">
        <v>50.4231639258754</v>
      </c>
      <c r="AL5132">
        <v>81.459869417000903</v>
      </c>
      <c r="AM5132">
        <v>83.439591811705995</v>
      </c>
      <c r="AN5132">
        <v>1.0000000524352499</v>
      </c>
    </row>
    <row r="5133" spans="1:40" x14ac:dyDescent="0.25">
      <c r="A5133" t="str">
        <f>"20190312164609851"</f>
        <v>20190312164609851</v>
      </c>
      <c r="B5133" t="str">
        <f>"1552380369846084"</f>
        <v>1552380369846084</v>
      </c>
      <c r="C5133" t="s">
        <v>40</v>
      </c>
      <c r="D5133">
        <v>5.0367470000000001</v>
      </c>
      <c r="E5133">
        <v>0.5250764</v>
      </c>
      <c r="F5133" t="s">
        <v>43</v>
      </c>
      <c r="G5133">
        <v>-294.2765</v>
      </c>
      <c r="H5133">
        <v>-0.05</v>
      </c>
      <c r="I5133">
        <v>9.1700739999999996</v>
      </c>
      <c r="J5133">
        <v>-346.84589999999997</v>
      </c>
      <c r="K5133">
        <v>1.1085389999999999</v>
      </c>
      <c r="L5133">
        <v>17.28436</v>
      </c>
      <c r="M5133">
        <v>0.99980069999999999</v>
      </c>
      <c r="N5133">
        <v>0</v>
      </c>
      <c r="O5133">
        <v>1.4601930000000001E-2</v>
      </c>
      <c r="P5133">
        <v>0.98586490000000004</v>
      </c>
      <c r="Q5133">
        <v>0.1349986</v>
      </c>
      <c r="R5133">
        <v>-9.9227070000000001E-2</v>
      </c>
      <c r="S5133">
        <v>3.0057680000000002</v>
      </c>
      <c r="T5133">
        <v>-6.6041950000000002E-2</v>
      </c>
      <c r="U5133">
        <v>-0.46243289999999998</v>
      </c>
      <c r="V5133">
        <v>0.113772</v>
      </c>
      <c r="W5133">
        <v>0.14826919999999999</v>
      </c>
      <c r="X5133">
        <v>0.9823809</v>
      </c>
      <c r="Y5133">
        <v>0.166434</v>
      </c>
      <c r="Z5133">
        <v>-2.1365389999999998E-3</v>
      </c>
      <c r="AA5133">
        <v>0.98605030000000005</v>
      </c>
      <c r="AB5133">
        <v>30</v>
      </c>
      <c r="AC5133">
        <v>52.569399999999902</v>
      </c>
      <c r="AD5133">
        <v>-1.158539</v>
      </c>
      <c r="AE5133">
        <v>-8.1142859999999892</v>
      </c>
      <c r="AF5133">
        <v>8.87689553732333</v>
      </c>
      <c r="AG5133">
        <v>-1.158539</v>
      </c>
      <c r="AH5133">
        <v>52.420431732321298</v>
      </c>
      <c r="AI5133">
        <v>91.248316278610602</v>
      </c>
      <c r="AJ5133">
        <v>80.388690883255805</v>
      </c>
      <c r="AK5133">
        <v>53.1793489053602</v>
      </c>
      <c r="AL5133">
        <v>81.473362774460398</v>
      </c>
      <c r="AM5133">
        <v>83.393861958514904</v>
      </c>
      <c r="AN5133">
        <v>1.00000002816872</v>
      </c>
    </row>
    <row r="5134" spans="1:40" x14ac:dyDescent="0.25">
      <c r="A5134" t="str">
        <f>"20190312164609862"</f>
        <v>20190312164609862</v>
      </c>
      <c r="B5134" t="str">
        <f>"1552380369856819"</f>
        <v>1552380369856819</v>
      </c>
      <c r="C5134" t="s">
        <v>40</v>
      </c>
      <c r="D5134">
        <v>5.2007099999999999</v>
      </c>
      <c r="E5134">
        <v>0.52515210000000001</v>
      </c>
      <c r="F5134" t="s">
        <v>43</v>
      </c>
      <c r="G5134">
        <v>-294.08859999999999</v>
      </c>
      <c r="H5134">
        <v>-0.05</v>
      </c>
      <c r="I5134">
        <v>9.0810089999999999</v>
      </c>
      <c r="J5134">
        <v>-346.69199999999898</v>
      </c>
      <c r="K5134">
        <v>1.108538</v>
      </c>
      <c r="L5134">
        <v>17.286349999999999</v>
      </c>
      <c r="M5134">
        <v>0.99980460000000004</v>
      </c>
      <c r="N5134">
        <v>0</v>
      </c>
      <c r="O5134">
        <v>1.434154E-2</v>
      </c>
      <c r="P5134">
        <v>0.98573480000000002</v>
      </c>
      <c r="Q5134">
        <v>0.13518520000000001</v>
      </c>
      <c r="R5134">
        <v>-0.1002604</v>
      </c>
      <c r="S5134">
        <v>3.0050050000000001</v>
      </c>
      <c r="T5134">
        <v>-6.5989259999999994E-2</v>
      </c>
      <c r="U5134">
        <v>-0.46725460000000002</v>
      </c>
      <c r="V5134">
        <v>0.1145471</v>
      </c>
      <c r="W5134">
        <v>0.1484531</v>
      </c>
      <c r="X5134">
        <v>0.982263</v>
      </c>
      <c r="Y5134">
        <v>0.16775970000000001</v>
      </c>
      <c r="Z5134">
        <v>-2.1438920000000001E-3</v>
      </c>
      <c r="AA5134">
        <v>0.98582559999999997</v>
      </c>
      <c r="AB5134">
        <v>30</v>
      </c>
      <c r="AC5134">
        <v>52.603399999999901</v>
      </c>
      <c r="AD5134">
        <v>-1.1585379999999901</v>
      </c>
      <c r="AE5134">
        <v>-8.20534099999999</v>
      </c>
      <c r="AF5134">
        <v>8.9547401664190591</v>
      </c>
      <c r="AG5134">
        <v>-1.1585379999999901</v>
      </c>
      <c r="AH5134">
        <v>52.455461355254002</v>
      </c>
      <c r="AI5134">
        <v>91.247199354908204</v>
      </c>
      <c r="AJ5134">
        <v>80.312349402474993</v>
      </c>
      <c r="AK5134">
        <v>53.226919953516699</v>
      </c>
      <c r="AL5134">
        <v>81.462707764124303</v>
      </c>
      <c r="AM5134">
        <v>83.348466713070295</v>
      </c>
      <c r="AN5134">
        <v>0.99999998109350896</v>
      </c>
    </row>
    <row r="5135" spans="1:40" x14ac:dyDescent="0.25">
      <c r="A5135" t="str">
        <f>"20190312164609874"</f>
        <v>20190312164609874</v>
      </c>
      <c r="B5135" t="str">
        <f>"1552380369866582"</f>
        <v>1552380369866582</v>
      </c>
      <c r="C5135" t="s">
        <v>40</v>
      </c>
      <c r="D5135">
        <v>5.3277039999999998</v>
      </c>
      <c r="E5135">
        <v>0.52525559999999905</v>
      </c>
      <c r="F5135" t="s">
        <v>43</v>
      </c>
      <c r="G5135">
        <v>-293.05950000000001</v>
      </c>
      <c r="H5135">
        <v>-0.05</v>
      </c>
      <c r="I5135">
        <v>8.8758539999999897</v>
      </c>
      <c r="J5135">
        <v>-346.52839999999998</v>
      </c>
      <c r="K5135">
        <v>1.10853</v>
      </c>
      <c r="L5135">
        <v>17.288419999999999</v>
      </c>
      <c r="M5135">
        <v>0.99980849999999999</v>
      </c>
      <c r="N5135">
        <v>0</v>
      </c>
      <c r="O5135">
        <v>1.406452E-2</v>
      </c>
      <c r="P5135">
        <v>0.98569989999999996</v>
      </c>
      <c r="Q5135">
        <v>0.13477439999999999</v>
      </c>
      <c r="R5135">
        <v>-0.1011514</v>
      </c>
      <c r="S5135">
        <v>3.0043329999999999</v>
      </c>
      <c r="T5135">
        <v>-6.4897780000000002E-2</v>
      </c>
      <c r="U5135">
        <v>-0.4711304</v>
      </c>
      <c r="V5135">
        <v>0.1151645</v>
      </c>
      <c r="W5135">
        <v>0.148040899999999</v>
      </c>
      <c r="X5135">
        <v>0.98225300000000004</v>
      </c>
      <c r="Y5135">
        <v>0.16876259999999901</v>
      </c>
      <c r="Z5135">
        <v>-2.113513E-3</v>
      </c>
      <c r="AA5135">
        <v>0.98565449999999999</v>
      </c>
      <c r="AB5135">
        <v>30</v>
      </c>
      <c r="AC5135">
        <v>53.468899999999898</v>
      </c>
      <c r="AD5135">
        <v>-1.1585299999999901</v>
      </c>
      <c r="AE5135">
        <v>-8.412566</v>
      </c>
      <c r="AF5135">
        <v>9.1596214675178995</v>
      </c>
      <c r="AG5135">
        <v>-1.1585299999999901</v>
      </c>
      <c r="AH5135">
        <v>53.320852661486299</v>
      </c>
      <c r="AI5135">
        <v>91.2267365256332</v>
      </c>
      <c r="AJ5135">
        <v>80.252689427259398</v>
      </c>
      <c r="AK5135">
        <v>54.114269705291598</v>
      </c>
      <c r="AL5135">
        <v>81.486588809013099</v>
      </c>
      <c r="AM5135">
        <v>83.312871823272999</v>
      </c>
      <c r="AN5135">
        <v>0.99999996307102901</v>
      </c>
    </row>
    <row r="5136" spans="1:40" x14ac:dyDescent="0.25">
      <c r="A5136" t="str">
        <f>"20190312164609884"</f>
        <v>20190312164609884</v>
      </c>
      <c r="B5136" t="str">
        <f>"1552380369876339"</f>
        <v>1552380369876339</v>
      </c>
      <c r="C5136" t="s">
        <v>40</v>
      </c>
      <c r="D5136">
        <v>5.1740000000000004</v>
      </c>
      <c r="E5136">
        <v>0.52502209999999905</v>
      </c>
      <c r="F5136" t="s">
        <v>43</v>
      </c>
      <c r="G5136">
        <v>-294.39179999999999</v>
      </c>
      <c r="H5136">
        <v>-0.05</v>
      </c>
      <c r="I5136">
        <v>9.0494690000000002</v>
      </c>
      <c r="J5136">
        <v>-346.38580000000002</v>
      </c>
      <c r="K5136">
        <v>1.1085290000000001</v>
      </c>
      <c r="L5136">
        <v>17.29016</v>
      </c>
      <c r="M5136">
        <v>0.99981189999999998</v>
      </c>
      <c r="N5136">
        <v>0</v>
      </c>
      <c r="O5136">
        <v>1.3823149999999999E-2</v>
      </c>
      <c r="P5136">
        <v>0.98556820000000001</v>
      </c>
      <c r="Q5136">
        <v>0.13496429999999901</v>
      </c>
      <c r="R5136">
        <v>-0.10217759999999999</v>
      </c>
      <c r="S5136">
        <v>3.0039370000000001</v>
      </c>
      <c r="T5136">
        <v>-6.6750530000000002E-2</v>
      </c>
      <c r="U5136">
        <v>-0.47470089999999998</v>
      </c>
      <c r="V5136">
        <v>0.1159512</v>
      </c>
      <c r="W5136">
        <v>0.14822769999999999</v>
      </c>
      <c r="X5136">
        <v>0.98213229999999996</v>
      </c>
      <c r="Y5136">
        <v>0.16968520000000001</v>
      </c>
      <c r="Z5136">
        <v>-2.1787740000000001E-3</v>
      </c>
      <c r="AA5136">
        <v>0.98549589999999998</v>
      </c>
      <c r="AB5136">
        <v>30</v>
      </c>
      <c r="AC5136">
        <v>51.994</v>
      </c>
      <c r="AD5136">
        <v>-1.1585289999999999</v>
      </c>
      <c r="AE5136">
        <v>-8.240691</v>
      </c>
      <c r="AF5136">
        <v>8.9543541107944495</v>
      </c>
      <c r="AG5136">
        <v>-1.1585289999999999</v>
      </c>
      <c r="AH5136">
        <v>51.849996495836798</v>
      </c>
      <c r="AI5136">
        <v>91.261330987611998</v>
      </c>
      <c r="AJ5136">
        <v>80.201819209283698</v>
      </c>
      <c r="AK5136">
        <v>52.630264901514899</v>
      </c>
      <c r="AL5136">
        <v>81.475766817133803</v>
      </c>
      <c r="AM5136">
        <v>83.266789513657301</v>
      </c>
      <c r="AN5136">
        <v>0.99999999326600997</v>
      </c>
    </row>
    <row r="5137" spans="1:40" x14ac:dyDescent="0.25">
      <c r="A5137" t="str">
        <f>"20190312164609895"</f>
        <v>20190312164609895</v>
      </c>
      <c r="B5137" t="str">
        <f>"1552380369886099"</f>
        <v>1552380369886099</v>
      </c>
      <c r="C5137" t="s">
        <v>40</v>
      </c>
      <c r="D5137">
        <v>5.141597</v>
      </c>
      <c r="E5137">
        <v>0.52474969999999999</v>
      </c>
      <c r="F5137" t="s">
        <v>43</v>
      </c>
      <c r="G5137">
        <v>-298.7921</v>
      </c>
      <c r="H5137">
        <v>-0.05</v>
      </c>
      <c r="I5137">
        <v>9.757339</v>
      </c>
      <c r="J5137">
        <v>-346.24220000000003</v>
      </c>
      <c r="K5137">
        <v>1.1085290000000001</v>
      </c>
      <c r="L5137">
        <v>17.291869999999999</v>
      </c>
      <c r="M5137">
        <v>0.99981520000000002</v>
      </c>
      <c r="N5137">
        <v>0</v>
      </c>
      <c r="O5137">
        <v>1.3580099999999999E-2</v>
      </c>
      <c r="P5137">
        <v>0.98551359999999999</v>
      </c>
      <c r="Q5137">
        <v>0.13464209999999999</v>
      </c>
      <c r="R5137">
        <v>-0.1031246</v>
      </c>
      <c r="S5137">
        <v>3.0046390000000001</v>
      </c>
      <c r="T5137">
        <v>-7.3139190000000007E-2</v>
      </c>
      <c r="U5137">
        <v>-0.47555540000000002</v>
      </c>
      <c r="V5137">
        <v>0.1166575</v>
      </c>
      <c r="W5137">
        <v>0.14790320000000001</v>
      </c>
      <c r="X5137">
        <v>0.98209760000000002</v>
      </c>
      <c r="Y5137">
        <v>0.16967479999999999</v>
      </c>
      <c r="Z5137">
        <v>-2.380634E-3</v>
      </c>
      <c r="AA5137">
        <v>0.98549719999999996</v>
      </c>
      <c r="AB5137">
        <v>30</v>
      </c>
      <c r="AC5137">
        <v>47.450099999999999</v>
      </c>
      <c r="AD5137">
        <v>-1.1585289999999999</v>
      </c>
      <c r="AE5137">
        <v>-7.5345309999999897</v>
      </c>
      <c r="AF5137">
        <v>8.1735202142386303</v>
      </c>
      <c r="AG5137">
        <v>-1.1585289999999999</v>
      </c>
      <c r="AH5137">
        <v>47.3158818508401</v>
      </c>
      <c r="AI5137">
        <v>91.382144313999703</v>
      </c>
      <c r="AJ5137">
        <v>80.199237723199204</v>
      </c>
      <c r="AK5137">
        <v>48.030628743116303</v>
      </c>
      <c r="AL5137">
        <v>81.494566680238094</v>
      </c>
      <c r="AM5137">
        <v>83.225917998955495</v>
      </c>
      <c r="AN5137">
        <v>1.0000000124011199</v>
      </c>
    </row>
    <row r="5138" spans="1:40" x14ac:dyDescent="0.25">
      <c r="A5138" t="str">
        <f>"20190312164609905"</f>
        <v>20190312164609905</v>
      </c>
      <c r="B5138" t="str">
        <f>"1552380369896834"</f>
        <v>1552380369896834</v>
      </c>
      <c r="C5138" t="s">
        <v>40</v>
      </c>
      <c r="D5138">
        <v>6.0986570000000002</v>
      </c>
      <c r="E5138">
        <v>0.52474180000000004</v>
      </c>
      <c r="F5138" t="s">
        <v>43</v>
      </c>
      <c r="G5138">
        <v>-302.69159999999999</v>
      </c>
      <c r="H5138">
        <v>-0.05</v>
      </c>
      <c r="I5138">
        <v>10.39536</v>
      </c>
      <c r="J5138">
        <v>-346.09539999999998</v>
      </c>
      <c r="K5138">
        <v>1.1085309999999999</v>
      </c>
      <c r="L5138">
        <v>17.29364</v>
      </c>
      <c r="M5138">
        <v>0.99981850000000005</v>
      </c>
      <c r="N5138">
        <v>0</v>
      </c>
      <c r="O5138">
        <v>1.333199E-2</v>
      </c>
      <c r="P5138">
        <v>0.98544169999999998</v>
      </c>
      <c r="Q5138">
        <v>0.1344571</v>
      </c>
      <c r="R5138">
        <v>-0.1040493</v>
      </c>
      <c r="S5138">
        <v>3.005188</v>
      </c>
      <c r="T5138">
        <v>-7.9943780000000006E-2</v>
      </c>
      <c r="U5138">
        <v>-0.47589110000000001</v>
      </c>
      <c r="V5138">
        <v>0.1173367</v>
      </c>
      <c r="W5138">
        <v>0.1477165</v>
      </c>
      <c r="X5138">
        <v>0.98204480000000005</v>
      </c>
      <c r="Y5138">
        <v>0.1694997</v>
      </c>
      <c r="Z5138">
        <v>-2.5926769999999998E-3</v>
      </c>
      <c r="AA5138">
        <v>0.98552689999999998</v>
      </c>
      <c r="AB5138">
        <v>30</v>
      </c>
      <c r="AC5138">
        <v>43.403799999999897</v>
      </c>
      <c r="AD5138">
        <v>-1.158531</v>
      </c>
      <c r="AE5138">
        <v>-6.8982799999999997</v>
      </c>
      <c r="AF5138">
        <v>7.4711876562786701</v>
      </c>
      <c r="AG5138">
        <v>-1.158531</v>
      </c>
      <c r="AH5138">
        <v>43.277891396790999</v>
      </c>
      <c r="AI5138">
        <v>91.511077021384295</v>
      </c>
      <c r="AJ5138">
        <v>80.205402236095097</v>
      </c>
      <c r="AK5138">
        <v>43.933321327048901</v>
      </c>
      <c r="AL5138">
        <v>81.505382734596793</v>
      </c>
      <c r="AM5138">
        <v>83.186484942934399</v>
      </c>
      <c r="AN5138">
        <v>1.00000002737308</v>
      </c>
    </row>
    <row r="5139" spans="1:40" x14ac:dyDescent="0.25">
      <c r="A5139" t="str">
        <f>"20190312164609917"</f>
        <v>20190312164609917</v>
      </c>
      <c r="B5139" t="str">
        <f>"1552380369906595"</f>
        <v>1552380369906595</v>
      </c>
      <c r="C5139" t="s">
        <v>40</v>
      </c>
      <c r="D5139">
        <v>5.1785100000000002</v>
      </c>
      <c r="E5139">
        <v>0.52476829999999997</v>
      </c>
      <c r="F5139" t="s">
        <v>43</v>
      </c>
      <c r="G5139">
        <v>-302.80560000000003</v>
      </c>
      <c r="H5139">
        <v>-0.05</v>
      </c>
      <c r="I5139">
        <v>10.39612</v>
      </c>
      <c r="J5139">
        <v>-345.94839999999999</v>
      </c>
      <c r="K5139">
        <v>1.1085320000000001</v>
      </c>
      <c r="L5139">
        <v>17.29532</v>
      </c>
      <c r="M5139">
        <v>0.99982190000000004</v>
      </c>
      <c r="N5139">
        <v>0</v>
      </c>
      <c r="O5139">
        <v>1.3082979999999999E-2</v>
      </c>
      <c r="P5139">
        <v>0.98535229999999996</v>
      </c>
      <c r="Q5139">
        <v>0.1344457</v>
      </c>
      <c r="R5139">
        <v>-0.104907399999999</v>
      </c>
      <c r="S5139">
        <v>3.0047609999999998</v>
      </c>
      <c r="T5139">
        <v>-8.0413940000000003E-2</v>
      </c>
      <c r="U5139">
        <v>-0.47875980000000001</v>
      </c>
      <c r="V5139">
        <v>0.11794839999999999</v>
      </c>
      <c r="W5139">
        <v>0.14770229999999901</v>
      </c>
      <c r="X5139">
        <v>0.9819736</v>
      </c>
      <c r="Y5139">
        <v>0.1701926</v>
      </c>
      <c r="Z5139">
        <v>-2.6106800000000002E-3</v>
      </c>
      <c r="AA5139">
        <v>0.98540740000000004</v>
      </c>
      <c r="AB5139">
        <v>30</v>
      </c>
      <c r="AC5139">
        <v>43.142799999999902</v>
      </c>
      <c r="AD5139">
        <v>-1.1585319999999999</v>
      </c>
      <c r="AE5139">
        <v>-6.8992000000000004</v>
      </c>
      <c r="AF5139">
        <v>7.45785421757446</v>
      </c>
      <c r="AG5139">
        <v>-1.1585319999999999</v>
      </c>
      <c r="AH5139">
        <v>43.018588990168098</v>
      </c>
      <c r="AI5139">
        <v>91.519995899596694</v>
      </c>
      <c r="AJ5139">
        <v>80.164756659145198</v>
      </c>
      <c r="AK5139">
        <v>43.675631473747799</v>
      </c>
      <c r="AL5139">
        <v>81.506204891138097</v>
      </c>
      <c r="AM5139">
        <v>83.150809360565802</v>
      </c>
      <c r="AN5139">
        <v>0.99999997279240405</v>
      </c>
    </row>
    <row r="5140" spans="1:40" x14ac:dyDescent="0.25">
      <c r="A5140" t="str">
        <f>"20190312164609928"</f>
        <v>20190312164609928</v>
      </c>
      <c r="B5140" t="str">
        <f>"1552380369916355"</f>
        <v>1552380369916355</v>
      </c>
      <c r="C5140" t="s">
        <v>40</v>
      </c>
      <c r="D5140">
        <v>5.3847839999999998</v>
      </c>
      <c r="E5140">
        <v>0.52473549999999902</v>
      </c>
      <c r="F5140" t="s">
        <v>43</v>
      </c>
      <c r="G5140">
        <v>-302.72750000000002</v>
      </c>
      <c r="H5140">
        <v>-0.05</v>
      </c>
      <c r="I5140">
        <v>10.36777</v>
      </c>
      <c r="J5140">
        <v>-345.79160000000002</v>
      </c>
      <c r="K5140">
        <v>1.108533</v>
      </c>
      <c r="L5140">
        <v>17.29712</v>
      </c>
      <c r="M5140">
        <v>0.99982519999999997</v>
      </c>
      <c r="N5140">
        <v>0</v>
      </c>
      <c r="O5140">
        <v>1.2817830000000001E-2</v>
      </c>
      <c r="P5140">
        <v>0.98525660000000004</v>
      </c>
      <c r="Q5140">
        <v>0.13442229999999999</v>
      </c>
      <c r="R5140">
        <v>-0.10583139999999901</v>
      </c>
      <c r="S5140">
        <v>3.0043030000000002</v>
      </c>
      <c r="T5140">
        <v>-8.0530050000000006E-2</v>
      </c>
      <c r="U5140">
        <v>-0.48153689999999999</v>
      </c>
      <c r="V5140">
        <v>0.1186101</v>
      </c>
      <c r="W5140">
        <v>0.1476769</v>
      </c>
      <c r="X5140">
        <v>0.98189780000000004</v>
      </c>
      <c r="Y5140">
        <v>0.17084250000000001</v>
      </c>
      <c r="Z5140">
        <v>-2.6162400000000001E-3</v>
      </c>
      <c r="AA5140">
        <v>0.98529489999999997</v>
      </c>
      <c r="AB5140">
        <v>30</v>
      </c>
      <c r="AC5140">
        <v>43.064100000000003</v>
      </c>
      <c r="AD5140">
        <v>-1.158533</v>
      </c>
      <c r="AE5140">
        <v>-6.9293500000000003</v>
      </c>
      <c r="AF5140">
        <v>7.4755462419991199</v>
      </c>
      <c r="AG5140">
        <v>-1.158533</v>
      </c>
      <c r="AH5140">
        <v>42.941439766330802</v>
      </c>
      <c r="AI5140">
        <v>91.522541097272594</v>
      </c>
      <c r="AJ5140">
        <v>80.124519211475103</v>
      </c>
      <c r="AK5140">
        <v>43.602674683255103</v>
      </c>
      <c r="AL5140">
        <v>81.507677053199899</v>
      </c>
      <c r="AM5140">
        <v>83.112226335910293</v>
      </c>
      <c r="AN5140">
        <v>1.00000005613022</v>
      </c>
    </row>
    <row r="5141" spans="1:40" x14ac:dyDescent="0.25">
      <c r="A5141" t="str">
        <f>"20190312164609940"</f>
        <v>20190312164609940</v>
      </c>
      <c r="B5141" t="str">
        <f>"1552380369936851"</f>
        <v>1552380369936851</v>
      </c>
      <c r="C5141" t="s">
        <v>40</v>
      </c>
      <c r="D5141">
        <v>5.1703440000000001</v>
      </c>
      <c r="E5141">
        <v>0.52451879999999995</v>
      </c>
      <c r="F5141" t="s">
        <v>43</v>
      </c>
      <c r="G5141">
        <v>-302.9742</v>
      </c>
      <c r="H5141">
        <v>-0.05</v>
      </c>
      <c r="I5141">
        <v>10.39911</v>
      </c>
      <c r="J5141">
        <v>-345.63709999999998</v>
      </c>
      <c r="K5141">
        <v>1.1085290000000001</v>
      </c>
      <c r="L5141">
        <v>17.2988</v>
      </c>
      <c r="M5141">
        <v>0.99982859999999996</v>
      </c>
      <c r="N5141">
        <v>0</v>
      </c>
      <c r="O5141">
        <v>1.2556360000000001E-2</v>
      </c>
      <c r="P5141">
        <v>0.98514449999999998</v>
      </c>
      <c r="Q5141">
        <v>0.1344986</v>
      </c>
      <c r="R5141">
        <v>-0.10677399999999999</v>
      </c>
      <c r="S5141">
        <v>3.0039669999999998</v>
      </c>
      <c r="T5141">
        <v>-8.1279749999999998E-2</v>
      </c>
      <c r="U5141">
        <v>-0.48394779999999998</v>
      </c>
      <c r="V5141">
        <v>0.11929380000000001</v>
      </c>
      <c r="W5141">
        <v>0.1477504</v>
      </c>
      <c r="X5141">
        <v>0.9818038</v>
      </c>
      <c r="Y5141">
        <v>0.17137149999999901</v>
      </c>
      <c r="Z5141">
        <v>-2.640791E-3</v>
      </c>
      <c r="AA5141">
        <v>0.98520289999999999</v>
      </c>
      <c r="AB5141">
        <v>30</v>
      </c>
      <c r="AC5141">
        <v>42.662899999999901</v>
      </c>
      <c r="AD5141">
        <v>-1.1585289999999999</v>
      </c>
      <c r="AE5141">
        <v>-6.8996899999999997</v>
      </c>
      <c r="AF5141">
        <v>7.4295472561333904</v>
      </c>
      <c r="AG5141">
        <v>-1.1585289999999999</v>
      </c>
      <c r="AH5141">
        <v>42.5423212577141</v>
      </c>
      <c r="AI5141">
        <v>91.536669501377702</v>
      </c>
      <c r="AJ5141">
        <v>80.093826431239606</v>
      </c>
      <c r="AK5141">
        <v>43.201729824967799</v>
      </c>
      <c r="AL5141">
        <v>81.503418166788805</v>
      </c>
      <c r="AM5141">
        <v>83.072251288967195</v>
      </c>
      <c r="AN5141">
        <v>0.99999994655651803</v>
      </c>
    </row>
    <row r="5142" spans="1:40" x14ac:dyDescent="0.25">
      <c r="A5142" t="str">
        <f>"20190312164609951"</f>
        <v>20190312164609951</v>
      </c>
      <c r="B5142" t="str">
        <f>"1552380369946611"</f>
        <v>1552380369946611</v>
      </c>
      <c r="C5142" t="s">
        <v>40</v>
      </c>
      <c r="D5142">
        <v>5.1531079999999996</v>
      </c>
      <c r="E5142">
        <v>0.52440140000000002</v>
      </c>
      <c r="F5142" t="s">
        <v>43</v>
      </c>
      <c r="G5142">
        <v>-307.01949999999999</v>
      </c>
      <c r="H5142">
        <v>-0.05</v>
      </c>
      <c r="I5142">
        <v>11.074109999999999</v>
      </c>
      <c r="J5142">
        <v>-345.48829999999998</v>
      </c>
      <c r="K5142">
        <v>1.1085320000000001</v>
      </c>
      <c r="L5142">
        <v>17.300450000000001</v>
      </c>
      <c r="M5142">
        <v>0.99983169999999999</v>
      </c>
      <c r="N5142">
        <v>0</v>
      </c>
      <c r="O5142">
        <v>1.230462E-2</v>
      </c>
      <c r="P5142">
        <v>0.9850312</v>
      </c>
      <c r="Q5142">
        <v>0.1347402</v>
      </c>
      <c r="R5142">
        <v>-0.1075113</v>
      </c>
      <c r="S5142">
        <v>3.0050349999999999</v>
      </c>
      <c r="T5142">
        <v>-9.0151190000000006E-2</v>
      </c>
      <c r="U5142">
        <v>-0.484375</v>
      </c>
      <c r="V5142">
        <v>0.119782</v>
      </c>
      <c r="W5142">
        <v>0.1479895</v>
      </c>
      <c r="X5142">
        <v>0.98170840000000004</v>
      </c>
      <c r="Y5142">
        <v>0.17119019999999999</v>
      </c>
      <c r="Z5142">
        <v>-2.9176359999999999E-3</v>
      </c>
      <c r="AA5142">
        <v>0.98523369999999999</v>
      </c>
      <c r="AB5142">
        <v>30</v>
      </c>
      <c r="AC5142">
        <v>38.468799999999902</v>
      </c>
      <c r="AD5142">
        <v>-1.1585319999999999</v>
      </c>
      <c r="AE5142">
        <v>-6.2263400000000004</v>
      </c>
      <c r="AF5142">
        <v>6.69334057859162</v>
      </c>
      <c r="AG5142">
        <v>-1.1585319999999999</v>
      </c>
      <c r="AH5142">
        <v>38.3553677725901</v>
      </c>
      <c r="AI5142">
        <v>91.704363580605005</v>
      </c>
      <c r="AJ5142">
        <v>80.101076670220905</v>
      </c>
      <c r="AK5142">
        <v>38.9522430864602</v>
      </c>
      <c r="AL5142">
        <v>81.489566938762096</v>
      </c>
      <c r="AM5142">
        <v>83.043507915914603</v>
      </c>
      <c r="AN5142">
        <v>1.0000000011324</v>
      </c>
    </row>
    <row r="5143" spans="1:40" x14ac:dyDescent="0.25">
      <c r="A5143" t="str">
        <f>"20190312164609964"</f>
        <v>20190312164609964</v>
      </c>
      <c r="B5143" t="str">
        <f>"1552380369956370"</f>
        <v>1552380369956370</v>
      </c>
      <c r="C5143" t="s">
        <v>40</v>
      </c>
      <c r="D5143">
        <v>5.1898019999999896</v>
      </c>
      <c r="E5143">
        <v>0.52411540000000001</v>
      </c>
      <c r="F5143" t="s">
        <v>43</v>
      </c>
      <c r="G5143">
        <v>-308.22949999999997</v>
      </c>
      <c r="H5143">
        <v>-0.05</v>
      </c>
      <c r="I5143">
        <v>11.28445</v>
      </c>
      <c r="J5143">
        <v>-345.31610000000001</v>
      </c>
      <c r="K5143">
        <v>1.1085339999999999</v>
      </c>
      <c r="L5143">
        <v>17.302219999999998</v>
      </c>
      <c r="M5143">
        <v>0.99983529999999998</v>
      </c>
      <c r="N5143">
        <v>0</v>
      </c>
      <c r="O5143">
        <v>1.201312E-2</v>
      </c>
      <c r="P5143">
        <v>0.98487880000000005</v>
      </c>
      <c r="Q5143">
        <v>0.13517219999999999</v>
      </c>
      <c r="R5143">
        <v>-0.1083611</v>
      </c>
      <c r="S5143">
        <v>3.0053709999999998</v>
      </c>
      <c r="T5143">
        <v>-9.344935E-2</v>
      </c>
      <c r="U5143">
        <v>-0.48526000000000002</v>
      </c>
      <c r="V5143">
        <v>0.120343699999999</v>
      </c>
      <c r="W5143">
        <v>0.1484191</v>
      </c>
      <c r="X5143">
        <v>0.98157479999999997</v>
      </c>
      <c r="Y5143">
        <v>0.1711626</v>
      </c>
      <c r="Z5143">
        <v>-3.0144899999999999E-3</v>
      </c>
      <c r="AA5143">
        <v>0.98523819999999995</v>
      </c>
      <c r="AB5143">
        <v>30</v>
      </c>
      <c r="AC5143">
        <v>37.086599999999997</v>
      </c>
      <c r="AD5143">
        <v>-1.158534</v>
      </c>
      <c r="AE5143">
        <v>-6.0177699999999996</v>
      </c>
      <c r="AF5143">
        <v>6.45676348316844</v>
      </c>
      <c r="AG5143">
        <v>-1.158534</v>
      </c>
      <c r="AH5143">
        <v>36.976466601218597</v>
      </c>
      <c r="AI5143">
        <v>91.767852181281</v>
      </c>
      <c r="AJ5143">
        <v>80.094982203946003</v>
      </c>
      <c r="AK5143">
        <v>37.553842386868602</v>
      </c>
      <c r="AL5143">
        <v>81.4646774760851</v>
      </c>
      <c r="AM5143">
        <v>83.010266522913199</v>
      </c>
      <c r="AN5143">
        <v>0.99999996168476901</v>
      </c>
    </row>
    <row r="5144" spans="1:40" x14ac:dyDescent="0.25">
      <c r="A5144" t="str">
        <f>"20190312164609975"</f>
        <v>20190312164609975</v>
      </c>
      <c r="B5144" t="str">
        <f>"1552380369967107"</f>
        <v>1552380369967107</v>
      </c>
      <c r="C5144" t="s">
        <v>40</v>
      </c>
      <c r="D5144">
        <v>5.1530490000000002</v>
      </c>
      <c r="E5144">
        <v>0.5239452</v>
      </c>
      <c r="F5144" t="s">
        <v>43</v>
      </c>
      <c r="G5144">
        <v>-309.39139999999998</v>
      </c>
      <c r="H5144">
        <v>-0.05</v>
      </c>
      <c r="I5144">
        <v>11.50319</v>
      </c>
      <c r="J5144">
        <v>-345.15519999999998</v>
      </c>
      <c r="K5144">
        <v>1.1085400000000001</v>
      </c>
      <c r="L5144">
        <v>17.30386</v>
      </c>
      <c r="M5144">
        <v>0.99983840000000002</v>
      </c>
      <c r="N5144">
        <v>0</v>
      </c>
      <c r="O5144">
        <v>1.1740449999999999E-2</v>
      </c>
      <c r="P5144">
        <v>0.98473069999999896</v>
      </c>
      <c r="Q5144">
        <v>0.13565329999999901</v>
      </c>
      <c r="R5144">
        <v>-0.1091039</v>
      </c>
      <c r="S5144">
        <v>3.0059809999999998</v>
      </c>
      <c r="T5144">
        <v>-9.6939559999999994E-2</v>
      </c>
      <c r="U5144">
        <v>-0.48522949999999998</v>
      </c>
      <c r="V5144">
        <v>0.1208167</v>
      </c>
      <c r="W5144">
        <v>0.14889729999999901</v>
      </c>
      <c r="X5144">
        <v>0.98144430000000005</v>
      </c>
      <c r="Y5144">
        <v>0.17084639999999901</v>
      </c>
      <c r="Z5144">
        <v>-3.1125929999999999E-3</v>
      </c>
      <c r="AA5144">
        <v>0.98529270000000002</v>
      </c>
      <c r="AB5144">
        <v>30</v>
      </c>
      <c r="AC5144">
        <v>35.763800000000003</v>
      </c>
      <c r="AD5144">
        <v>-1.1585399999999999</v>
      </c>
      <c r="AE5144">
        <v>-5.8006699999999896</v>
      </c>
      <c r="AF5144">
        <v>6.2138385908970397</v>
      </c>
      <c r="AG5144">
        <v>-1.1585399999999999</v>
      </c>
      <c r="AH5144">
        <v>35.656767304054</v>
      </c>
      <c r="AI5144">
        <v>91.833356692506399</v>
      </c>
      <c r="AJ5144">
        <v>80.114445893361903</v>
      </c>
      <c r="AK5144">
        <v>36.212691967606901</v>
      </c>
      <c r="AL5144">
        <v>81.436971082550599</v>
      </c>
      <c r="AM5144">
        <v>82.9821436380997</v>
      </c>
      <c r="AN5144">
        <v>0.99999999747433499</v>
      </c>
    </row>
    <row r="5145" spans="1:40" x14ac:dyDescent="0.25">
      <c r="A5145" t="str">
        <f>"20190312164609997"</f>
        <v>20190312164609997</v>
      </c>
      <c r="B5145" t="str">
        <f>"1552380369986627"</f>
        <v>1552380369986627</v>
      </c>
      <c r="C5145" t="s">
        <v>40</v>
      </c>
      <c r="D5145">
        <v>5.1725339999999997</v>
      </c>
      <c r="E5145">
        <v>0.52388219999999996</v>
      </c>
      <c r="F5145" t="s">
        <v>43</v>
      </c>
      <c r="G5145">
        <v>-310.02690000000001</v>
      </c>
      <c r="H5145">
        <v>-0.05</v>
      </c>
      <c r="I5145">
        <v>11.626910000000001</v>
      </c>
      <c r="J5145">
        <v>-344.86329999999998</v>
      </c>
      <c r="K5145">
        <v>1.10854599999999</v>
      </c>
      <c r="L5145">
        <v>17.306760000000001</v>
      </c>
      <c r="M5145">
        <v>0.99984419999999996</v>
      </c>
      <c r="N5145">
        <v>0</v>
      </c>
      <c r="O5145">
        <v>1.1246249999999999E-2</v>
      </c>
      <c r="P5145">
        <v>0.98451040000000001</v>
      </c>
      <c r="Q5145">
        <v>0.13606869999999999</v>
      </c>
      <c r="R5145">
        <v>-0.110566</v>
      </c>
      <c r="S5145">
        <v>3.0063170000000001</v>
      </c>
      <c r="T5145">
        <v>-9.9149109999999999E-2</v>
      </c>
      <c r="U5145">
        <v>-0.48583979999999999</v>
      </c>
      <c r="V5145">
        <v>0.12179039999999999</v>
      </c>
      <c r="W5145">
        <v>0.14930750000000001</v>
      </c>
      <c r="X5145">
        <v>0.98126159999999996</v>
      </c>
      <c r="Y5145">
        <v>0.1705333</v>
      </c>
      <c r="Z5145">
        <v>-3.1617730000000001E-3</v>
      </c>
      <c r="AA5145">
        <v>0.98534690000000003</v>
      </c>
      <c r="AB5145">
        <v>30</v>
      </c>
      <c r="AC5145">
        <v>34.836399999999898</v>
      </c>
      <c r="AD5145">
        <v>-1.1585460000000001</v>
      </c>
      <c r="AE5145">
        <v>-5.6798500000000001</v>
      </c>
      <c r="AF5145">
        <v>6.0647718426561203</v>
      </c>
      <c r="AG5145">
        <v>-1.1585460000000001</v>
      </c>
      <c r="AH5145">
        <v>34.732893312082503</v>
      </c>
      <c r="AI5145">
        <v>91.881988592252398</v>
      </c>
      <c r="AJ5145">
        <v>80.095339094831004</v>
      </c>
      <c r="AK5145">
        <v>35.277437040778601</v>
      </c>
      <c r="AL5145">
        <v>81.413202507780895</v>
      </c>
      <c r="AM5145">
        <v>82.924851533782601</v>
      </c>
      <c r="AN5145">
        <v>0.99999997936148399</v>
      </c>
    </row>
    <row r="5146" spans="1:40" x14ac:dyDescent="0.25">
      <c r="A5146" t="str">
        <f>"20190312164610008"</f>
        <v>20190312164610008</v>
      </c>
      <c r="B5146" t="str">
        <f>"1552380369996387"</f>
        <v>1552380369996387</v>
      </c>
      <c r="C5146" t="s">
        <v>40</v>
      </c>
      <c r="D5146">
        <v>5.1501700000000001</v>
      </c>
      <c r="E5146">
        <v>0.52387419999999996</v>
      </c>
      <c r="F5146" t="s">
        <v>43</v>
      </c>
      <c r="G5146">
        <v>-311.03980000000001</v>
      </c>
      <c r="H5146">
        <v>-0.05</v>
      </c>
      <c r="I5146">
        <v>11.800380000000001</v>
      </c>
      <c r="J5146">
        <v>-344.714</v>
      </c>
      <c r="K5146">
        <v>1.108552</v>
      </c>
      <c r="L5146">
        <v>17.30817</v>
      </c>
      <c r="M5146">
        <v>0.99984709999999999</v>
      </c>
      <c r="N5146">
        <v>0</v>
      </c>
      <c r="O5146">
        <v>1.099343E-2</v>
      </c>
      <c r="P5146">
        <v>0.98442050000000003</v>
      </c>
      <c r="Q5146">
        <v>0.13624259999999999</v>
      </c>
      <c r="R5146">
        <v>-0.1111518</v>
      </c>
      <c r="S5146">
        <v>3.0064389999999999</v>
      </c>
      <c r="T5146">
        <v>-0.1029788</v>
      </c>
      <c r="U5146">
        <v>-0.48944090000000001</v>
      </c>
      <c r="V5146">
        <v>0.1221264</v>
      </c>
      <c r="W5146">
        <v>0.14947959999999999</v>
      </c>
      <c r="X5146">
        <v>0.98119369999999995</v>
      </c>
      <c r="Y5146">
        <v>0.17141979999999901</v>
      </c>
      <c r="Z5146">
        <v>-3.2898609999999998E-3</v>
      </c>
      <c r="AA5146">
        <v>0.98519259999999997</v>
      </c>
      <c r="AB5146">
        <v>30</v>
      </c>
      <c r="AC5146">
        <v>33.6741999999999</v>
      </c>
      <c r="AD5146">
        <v>-1.158552</v>
      </c>
      <c r="AE5146">
        <v>-5.50779</v>
      </c>
      <c r="AF5146">
        <v>5.8709180416156901</v>
      </c>
      <c r="AG5146">
        <v>-1.158552</v>
      </c>
      <c r="AH5146">
        <v>33.572905255078197</v>
      </c>
      <c r="AI5146">
        <v>91.946889218104403</v>
      </c>
      <c r="AJ5146">
        <v>80.080941865322998</v>
      </c>
      <c r="AK5146">
        <v>34.102051091606398</v>
      </c>
      <c r="AL5146">
        <v>81.403230538722198</v>
      </c>
      <c r="AM5146">
        <v>82.905045030389601</v>
      </c>
      <c r="AN5146">
        <v>1.0000000426564</v>
      </c>
    </row>
    <row r="5147" spans="1:40" x14ac:dyDescent="0.25">
      <c r="A5147" t="str">
        <f>"20190312164610017"</f>
        <v>20190312164610017</v>
      </c>
      <c r="B5147" t="str">
        <f>"1552380370007123"</f>
        <v>1552380370007123</v>
      </c>
      <c r="C5147" t="s">
        <v>40</v>
      </c>
      <c r="D5147">
        <v>5.1114230000000003</v>
      </c>
      <c r="E5147">
        <v>0.52371809999999996</v>
      </c>
      <c r="F5147" t="s">
        <v>43</v>
      </c>
      <c r="G5147">
        <v>-311.5772</v>
      </c>
      <c r="H5147">
        <v>-0.05</v>
      </c>
      <c r="I5147">
        <v>11.897030000000001</v>
      </c>
      <c r="J5147">
        <v>-344.5872</v>
      </c>
      <c r="K5147">
        <v>1.1085529999999999</v>
      </c>
      <c r="L5147">
        <v>17.309329999999999</v>
      </c>
      <c r="M5147">
        <v>0.99984949999999995</v>
      </c>
      <c r="N5147">
        <v>0</v>
      </c>
      <c r="O5147">
        <v>1.07787E-2</v>
      </c>
      <c r="P5147">
        <v>0.98429699999999998</v>
      </c>
      <c r="Q5147">
        <v>0.1364264</v>
      </c>
      <c r="R5147">
        <v>-0.11201560000000001</v>
      </c>
      <c r="S5147">
        <v>3.0065919999999999</v>
      </c>
      <c r="T5147">
        <v>-0.10511860000000001</v>
      </c>
      <c r="U5147">
        <v>-0.49096679999999998</v>
      </c>
      <c r="V5147">
        <v>0.122778</v>
      </c>
      <c r="W5147">
        <v>0.14966109999999999</v>
      </c>
      <c r="X5147">
        <v>0.98108459999999997</v>
      </c>
      <c r="Y5147">
        <v>0.171683</v>
      </c>
      <c r="Z5147">
        <v>-3.3549859999999999E-3</v>
      </c>
      <c r="AA5147">
        <v>0.98514650000000004</v>
      </c>
      <c r="AB5147">
        <v>30</v>
      </c>
      <c r="AC5147">
        <v>33.009999999999899</v>
      </c>
      <c r="AD5147">
        <v>-1.1585529999999999</v>
      </c>
      <c r="AE5147">
        <v>-5.4122999999999903</v>
      </c>
      <c r="AF5147">
        <v>5.76091277062228</v>
      </c>
      <c r="AG5147">
        <v>-1.1585529999999999</v>
      </c>
      <c r="AH5147">
        <v>32.910261436295798</v>
      </c>
      <c r="AI5147">
        <v>91.986000101886205</v>
      </c>
      <c r="AJ5147">
        <v>80.071022987095205</v>
      </c>
      <c r="AK5147">
        <v>33.4307593214672</v>
      </c>
      <c r="AL5147">
        <v>81.392712130621007</v>
      </c>
      <c r="AM5147">
        <v>82.866794078131804</v>
      </c>
      <c r="AN5147">
        <v>0.99999993724718295</v>
      </c>
    </row>
    <row r="5148" spans="1:40" x14ac:dyDescent="0.25">
      <c r="A5148" t="str">
        <f>"20190312164610029"</f>
        <v>20190312164610029</v>
      </c>
      <c r="B5148" t="str">
        <f>"1552380370026643"</f>
        <v>1552380370026643</v>
      </c>
      <c r="C5148" t="s">
        <v>40</v>
      </c>
      <c r="D5148">
        <v>5.1533360000000004</v>
      </c>
      <c r="E5148">
        <v>0.5234202</v>
      </c>
      <c r="F5148" t="s">
        <v>43</v>
      </c>
      <c r="G5148">
        <v>-312.31560000000002</v>
      </c>
      <c r="H5148">
        <v>-0.05</v>
      </c>
      <c r="I5148">
        <v>12.02605</v>
      </c>
      <c r="J5148">
        <v>-344.43239999999997</v>
      </c>
      <c r="K5148">
        <v>1.108554</v>
      </c>
      <c r="L5148">
        <v>17.310759999999998</v>
      </c>
      <c r="M5148">
        <v>0.99985219999999997</v>
      </c>
      <c r="N5148">
        <v>0</v>
      </c>
      <c r="O5148">
        <v>1.051646E-2</v>
      </c>
      <c r="P5148">
        <v>0.98419350000000005</v>
      </c>
      <c r="Q5148">
        <v>0.1364446</v>
      </c>
      <c r="R5148">
        <v>-0.11290070000000001</v>
      </c>
      <c r="S5148">
        <v>3.0067750000000002</v>
      </c>
      <c r="T5148">
        <v>-0.10794339999999999</v>
      </c>
      <c r="U5148">
        <v>-0.49224849999999998</v>
      </c>
      <c r="V5148">
        <v>0.12340379999999999</v>
      </c>
      <c r="W5148">
        <v>0.14967659999999999</v>
      </c>
      <c r="X5148">
        <v>0.98100379999999998</v>
      </c>
      <c r="Y5148">
        <v>0.1718182</v>
      </c>
      <c r="Z5148">
        <v>-3.4378199999999999E-3</v>
      </c>
      <c r="AA5148">
        <v>0.98512270000000002</v>
      </c>
      <c r="AB5148">
        <v>30</v>
      </c>
      <c r="AC5148">
        <v>32.116799999999898</v>
      </c>
      <c r="AD5148">
        <v>-1.1585540000000001</v>
      </c>
      <c r="AE5148">
        <v>-5.2847099999999996</v>
      </c>
      <c r="AF5148">
        <v>5.6150898515479799</v>
      </c>
      <c r="AG5148">
        <v>-1.1585540000000001</v>
      </c>
      <c r="AH5148">
        <v>32.018875158095803</v>
      </c>
      <c r="AI5148">
        <v>92.041134187028703</v>
      </c>
      <c r="AJ5148">
        <v>80.053290946340894</v>
      </c>
      <c r="AK5148">
        <v>32.528139322770997</v>
      </c>
      <c r="AL5148">
        <v>81.391814638130199</v>
      </c>
      <c r="AM5148">
        <v>82.830229116442595</v>
      </c>
      <c r="AN5148">
        <v>1.0000000190282099</v>
      </c>
    </row>
    <row r="5149" spans="1:40" x14ac:dyDescent="0.25">
      <c r="A5149" t="str">
        <f>"20190312164610040"</f>
        <v>20190312164610040</v>
      </c>
      <c r="B5149" t="str">
        <f>"1552380370036403"</f>
        <v>1552380370036403</v>
      </c>
      <c r="C5149" t="s">
        <v>40</v>
      </c>
      <c r="D5149">
        <v>5.0588290000000002</v>
      </c>
      <c r="E5149">
        <v>0.52312650000000005</v>
      </c>
      <c r="F5149" t="s">
        <v>43</v>
      </c>
      <c r="G5149">
        <v>-313.738</v>
      </c>
      <c r="H5149">
        <v>-0.05</v>
      </c>
      <c r="I5149">
        <v>12.28876</v>
      </c>
      <c r="J5149">
        <v>-344.28359999999998</v>
      </c>
      <c r="K5149">
        <v>1.1085560000000001</v>
      </c>
      <c r="L5149">
        <v>17.31204</v>
      </c>
      <c r="M5149">
        <v>0.99985480000000004</v>
      </c>
      <c r="N5149">
        <v>0</v>
      </c>
      <c r="O5149">
        <v>1.026442E-2</v>
      </c>
      <c r="P5149">
        <v>0.98410850000000005</v>
      </c>
      <c r="Q5149">
        <v>0.13630539999999999</v>
      </c>
      <c r="R5149">
        <v>-0.11380410000000001</v>
      </c>
      <c r="S5149">
        <v>3.0075069999999999</v>
      </c>
      <c r="T5149">
        <v>-0.11351749999999999</v>
      </c>
      <c r="U5149">
        <v>-0.49206539999999999</v>
      </c>
      <c r="V5149">
        <v>0.1240583</v>
      </c>
      <c r="W5149">
        <v>0.14953520000000001</v>
      </c>
      <c r="X5149">
        <v>0.9809428</v>
      </c>
      <c r="Y5149">
        <v>0.17146159999999999</v>
      </c>
      <c r="Z5149">
        <v>-3.5982399999999999E-3</v>
      </c>
      <c r="AA5149">
        <v>0.98518430000000001</v>
      </c>
      <c r="AB5149">
        <v>30</v>
      </c>
      <c r="AC5149">
        <v>30.545599999999901</v>
      </c>
      <c r="AD5149">
        <v>-1.1585559999999999</v>
      </c>
      <c r="AE5149">
        <v>-5.0232799999999997</v>
      </c>
      <c r="AF5149">
        <v>5.3291126692846502</v>
      </c>
      <c r="AG5149">
        <v>-1.1585559999999999</v>
      </c>
      <c r="AH5149">
        <v>30.449773484525402</v>
      </c>
      <c r="AI5149">
        <v>92.146352595978797</v>
      </c>
      <c r="AJ5149">
        <v>80.073019984217495</v>
      </c>
      <c r="AK5149">
        <v>30.9342916373718</v>
      </c>
      <c r="AL5149">
        <v>81.400008375909295</v>
      </c>
      <c r="AM5149">
        <v>82.792157979099102</v>
      </c>
      <c r="AN5149">
        <v>1.00000000735488</v>
      </c>
    </row>
    <row r="5150" spans="1:40" x14ac:dyDescent="0.25">
      <c r="A5150" t="str">
        <f>"20190312164610052"</f>
        <v>20190312164610052</v>
      </c>
      <c r="B5150" t="str">
        <f>"1552380370047139"</f>
        <v>1552380370047139</v>
      </c>
      <c r="C5150" t="s">
        <v>40</v>
      </c>
      <c r="D5150">
        <v>5.0201449999999896</v>
      </c>
      <c r="E5150">
        <v>0.52274719999999997</v>
      </c>
      <c r="F5150" t="s">
        <v>43</v>
      </c>
      <c r="G5150">
        <v>-314.34210000000002</v>
      </c>
      <c r="H5150">
        <v>-0.05</v>
      </c>
      <c r="I5150">
        <v>12.413209999999999</v>
      </c>
      <c r="J5150">
        <v>-344.12479999999999</v>
      </c>
      <c r="K5150">
        <v>1.1085560000000001</v>
      </c>
      <c r="L5150">
        <v>17.31335</v>
      </c>
      <c r="M5150">
        <v>0.99985740000000001</v>
      </c>
      <c r="N5150">
        <v>0</v>
      </c>
      <c r="O5150">
        <v>9.9953860000000002E-3</v>
      </c>
      <c r="P5150">
        <v>0.98401329999999998</v>
      </c>
      <c r="Q5150">
        <v>0.1361918</v>
      </c>
      <c r="R5150">
        <v>-0.1147596</v>
      </c>
      <c r="S5150">
        <v>3.0076900000000002</v>
      </c>
      <c r="T5150">
        <v>-0.11637939999999899</v>
      </c>
      <c r="U5150">
        <v>-0.49209589999999998</v>
      </c>
      <c r="V5150">
        <v>0.1247481</v>
      </c>
      <c r="W5150">
        <v>0.1494192</v>
      </c>
      <c r="X5150">
        <v>0.98087299999999999</v>
      </c>
      <c r="Y5150">
        <v>0.1711906</v>
      </c>
      <c r="Z5150">
        <v>-3.6731139999999999E-3</v>
      </c>
      <c r="AA5150">
        <v>0.98523110000000003</v>
      </c>
      <c r="AB5150">
        <v>30</v>
      </c>
      <c r="AC5150">
        <v>29.782699999999899</v>
      </c>
      <c r="AD5150">
        <v>-1.1585559999999999</v>
      </c>
      <c r="AE5150">
        <v>-4.9001399999999897</v>
      </c>
      <c r="AF5150">
        <v>5.1899656958648697</v>
      </c>
      <c r="AG5150">
        <v>-1.1585559999999999</v>
      </c>
      <c r="AH5150">
        <v>29.688487070947801</v>
      </c>
      <c r="AI5150">
        <v>92.201411252046498</v>
      </c>
      <c r="AJ5150">
        <v>80.084090448244496</v>
      </c>
      <c r="AK5150">
        <v>30.1609724725717</v>
      </c>
      <c r="AL5150">
        <v>81.406730262025704</v>
      </c>
      <c r="AM5150">
        <v>82.751995020556805</v>
      </c>
      <c r="AN5150">
        <v>1.00000001395562</v>
      </c>
    </row>
    <row r="5151" spans="1:40" x14ac:dyDescent="0.25">
      <c r="A5151" t="str">
        <f>"20190312164610063"</f>
        <v>20190312164610063</v>
      </c>
      <c r="B5151" t="str">
        <f>"1552380370056907"</f>
        <v>1552380370056907</v>
      </c>
      <c r="C5151" t="s">
        <v>40</v>
      </c>
      <c r="D5151">
        <v>5.1008990000000001</v>
      </c>
      <c r="E5151">
        <v>0.52228469999999905</v>
      </c>
      <c r="F5151" t="s">
        <v>43</v>
      </c>
      <c r="G5151">
        <v>-314.74669999999998</v>
      </c>
      <c r="H5151">
        <v>-0.05</v>
      </c>
      <c r="I5151">
        <v>12.511380000000001</v>
      </c>
      <c r="J5151">
        <v>-343.96480000000003</v>
      </c>
      <c r="K5151">
        <v>1.1085560000000001</v>
      </c>
      <c r="L5151">
        <v>17.314699999999998</v>
      </c>
      <c r="M5151">
        <v>0.99986019999999998</v>
      </c>
      <c r="N5151">
        <v>0</v>
      </c>
      <c r="O5151">
        <v>9.7243280000000008E-3</v>
      </c>
      <c r="P5151">
        <v>0.98389870000000001</v>
      </c>
      <c r="Q5151">
        <v>0.13630200000000001</v>
      </c>
      <c r="R5151">
        <v>-0.11560819999999999</v>
      </c>
      <c r="S5151">
        <v>3.0078130000000001</v>
      </c>
      <c r="T5151">
        <v>-0.118616</v>
      </c>
      <c r="U5151">
        <v>-0.49163820000000003</v>
      </c>
      <c r="V5151">
        <v>0.125329</v>
      </c>
      <c r="W5151">
        <v>0.1495272</v>
      </c>
      <c r="X5151">
        <v>0.98078240000000005</v>
      </c>
      <c r="Y5151">
        <v>0.17076659999999999</v>
      </c>
      <c r="Z5151">
        <v>-3.7246250000000001E-3</v>
      </c>
      <c r="AA5151">
        <v>0.98530450000000003</v>
      </c>
      <c r="AB5151">
        <v>30</v>
      </c>
      <c r="AC5151">
        <v>29.2181</v>
      </c>
      <c r="AD5151">
        <v>-1.1585559999999999</v>
      </c>
      <c r="AE5151">
        <v>-4.8033199999999896</v>
      </c>
      <c r="AF5151">
        <v>5.07946932719695</v>
      </c>
      <c r="AG5151">
        <v>-1.1585559999999999</v>
      </c>
      <c r="AH5151">
        <v>29.125416563633401</v>
      </c>
      <c r="AI5151">
        <v>92.244084526804301</v>
      </c>
      <c r="AJ5151">
        <v>80.107120171426104</v>
      </c>
      <c r="AK5151">
        <v>29.587719592024001</v>
      </c>
      <c r="AL5151">
        <v>81.400471274927099</v>
      </c>
      <c r="AM5151">
        <v>82.717940073630103</v>
      </c>
      <c r="AN5151">
        <v>0.99999992896529699</v>
      </c>
    </row>
    <row r="5152" spans="1:40" x14ac:dyDescent="0.25">
      <c r="A5152" t="str">
        <f>"20190312164610075"</f>
        <v>20190312164610075</v>
      </c>
      <c r="B5152" t="str">
        <f>"1552380370066659"</f>
        <v>1552380370066659</v>
      </c>
      <c r="C5152" t="s">
        <v>40</v>
      </c>
      <c r="D5152">
        <v>4.9008180000000001</v>
      </c>
      <c r="E5152">
        <v>0.52184160000000002</v>
      </c>
      <c r="F5152" t="s">
        <v>43</v>
      </c>
      <c r="G5152">
        <v>-314.5333</v>
      </c>
      <c r="H5152">
        <v>-0.05</v>
      </c>
      <c r="I5152">
        <v>12.51511</v>
      </c>
      <c r="J5152">
        <v>-343.81169999999997</v>
      </c>
      <c r="K5152">
        <v>1.1085499999999999</v>
      </c>
      <c r="L5152">
        <v>17.31589</v>
      </c>
      <c r="M5152">
        <v>0.99986280000000005</v>
      </c>
      <c r="N5152">
        <v>0</v>
      </c>
      <c r="O5152">
        <v>9.4650140000000008E-3</v>
      </c>
      <c r="P5152">
        <v>0.98382939999999997</v>
      </c>
      <c r="Q5152">
        <v>0.13611519999999999</v>
      </c>
      <c r="R5152">
        <v>-0.11641559999999999</v>
      </c>
      <c r="S5152">
        <v>3.0078429999999998</v>
      </c>
      <c r="T5152">
        <v>-0.1184021</v>
      </c>
      <c r="U5152">
        <v>-0.49050899999999997</v>
      </c>
      <c r="V5152">
        <v>0.12588070000000001</v>
      </c>
      <c r="W5152">
        <v>0.1493381</v>
      </c>
      <c r="X5152">
        <v>0.98074059999999996</v>
      </c>
      <c r="Y5152">
        <v>0.1701503</v>
      </c>
      <c r="Z5152">
        <v>-3.6958E-3</v>
      </c>
      <c r="AA5152">
        <v>0.98541120000000004</v>
      </c>
      <c r="AB5152">
        <v>30</v>
      </c>
      <c r="AC5152">
        <v>29.278399999999898</v>
      </c>
      <c r="AD5152">
        <v>-1.15855</v>
      </c>
      <c r="AE5152">
        <v>-4.8007799999999996</v>
      </c>
      <c r="AF5152">
        <v>5.0699802870389199</v>
      </c>
      <c r="AG5152">
        <v>-1.15855</v>
      </c>
      <c r="AH5152">
        <v>29.187140084684199</v>
      </c>
      <c r="AI5152">
        <v>92.239594359068604</v>
      </c>
      <c r="AJ5152">
        <v>80.1457099495275</v>
      </c>
      <c r="AK5152">
        <v>29.6468562336117</v>
      </c>
      <c r="AL5152">
        <v>81.411429310419805</v>
      </c>
      <c r="AM5152">
        <v>82.685922338710299</v>
      </c>
      <c r="AN5152">
        <v>0.999999971616229</v>
      </c>
    </row>
    <row r="5153" spans="1:40" x14ac:dyDescent="0.25">
      <c r="A5153" t="str">
        <f>"20190312164610085"</f>
        <v>20190312164610085</v>
      </c>
      <c r="B5153" t="str">
        <f>"1552380370076419"</f>
        <v>1552380370076419</v>
      </c>
      <c r="C5153" t="s">
        <v>40</v>
      </c>
      <c r="D5153">
        <v>5.1580059999999897</v>
      </c>
      <c r="E5153">
        <v>0.52184160000000002</v>
      </c>
      <c r="F5153" t="s">
        <v>43</v>
      </c>
      <c r="G5153">
        <v>-314.6103</v>
      </c>
      <c r="H5153">
        <v>-0.05</v>
      </c>
      <c r="I5153">
        <v>12.564590000000001</v>
      </c>
      <c r="J5153">
        <v>-343.66840000000002</v>
      </c>
      <c r="K5153">
        <v>1.108552</v>
      </c>
      <c r="L5153">
        <v>17.317019999999999</v>
      </c>
      <c r="M5153">
        <v>0.999865</v>
      </c>
      <c r="N5153">
        <v>0</v>
      </c>
      <c r="O5153">
        <v>9.2222080000000008E-3</v>
      </c>
      <c r="P5153">
        <v>0.98371359999999997</v>
      </c>
      <c r="Q5153">
        <v>0.1361532</v>
      </c>
      <c r="R5153">
        <v>-0.117345699999999</v>
      </c>
      <c r="S5153">
        <v>3.0079039999999999</v>
      </c>
      <c r="T5153">
        <v>-0.1193372</v>
      </c>
      <c r="U5153">
        <v>-0.48941040000000002</v>
      </c>
      <c r="V5153">
        <v>0.12657089999999999</v>
      </c>
      <c r="W5153">
        <v>0.14937349999999999</v>
      </c>
      <c r="X5153">
        <v>0.98064640000000003</v>
      </c>
      <c r="Y5153">
        <v>0.1695556</v>
      </c>
      <c r="Z5153">
        <v>-3.7037149999999998E-3</v>
      </c>
      <c r="AA5153">
        <v>0.98551369999999905</v>
      </c>
      <c r="AB5153">
        <v>30</v>
      </c>
      <c r="AC5153">
        <v>29.0581</v>
      </c>
      <c r="AD5153">
        <v>-1.158552</v>
      </c>
      <c r="AE5153">
        <v>-4.7524300000000004</v>
      </c>
      <c r="AF5153">
        <v>5.0124720795884103</v>
      </c>
      <c r="AG5153">
        <v>-1.158552</v>
      </c>
      <c r="AH5153">
        <v>28.968182996327901</v>
      </c>
      <c r="AI5153">
        <v>92.256763944590404</v>
      </c>
      <c r="AJ5153">
        <v>80.183103479613195</v>
      </c>
      <c r="AK5153">
        <v>29.421467420815301</v>
      </c>
      <c r="AL5153">
        <v>81.409378264596995</v>
      </c>
      <c r="AM5153">
        <v>82.645558599353393</v>
      </c>
      <c r="AN5153">
        <v>0.99999999853100996</v>
      </c>
    </row>
    <row r="5154" spans="1:40" x14ac:dyDescent="0.25">
      <c r="A5154" t="str">
        <f>"20190312164610095"</f>
        <v>20190312164610095</v>
      </c>
      <c r="B5154" t="str">
        <f>"1552380370086179"</f>
        <v>1552380370086179</v>
      </c>
      <c r="C5154" t="s">
        <v>40</v>
      </c>
      <c r="D5154">
        <v>5.105353</v>
      </c>
      <c r="E5154">
        <v>0.50751520000000006</v>
      </c>
      <c r="F5154" t="s">
        <v>43</v>
      </c>
      <c r="G5154">
        <v>-314.44659999999999</v>
      </c>
      <c r="H5154">
        <v>-0.05</v>
      </c>
      <c r="I5154">
        <v>12.53534</v>
      </c>
      <c r="J5154">
        <v>-343.53410000000002</v>
      </c>
      <c r="K5154">
        <v>1.1085529999999999</v>
      </c>
      <c r="L5154">
        <v>17.318020000000001</v>
      </c>
      <c r="M5154">
        <v>0.99986699999999995</v>
      </c>
      <c r="N5154">
        <v>0</v>
      </c>
      <c r="O5154">
        <v>8.9947180000000005E-3</v>
      </c>
      <c r="P5154">
        <v>0.98360939999999997</v>
      </c>
      <c r="Q5154">
        <v>0.13617470000000001</v>
      </c>
      <c r="R5154">
        <v>-0.1181908</v>
      </c>
      <c r="S5154">
        <v>3.0074770000000002</v>
      </c>
      <c r="T5154">
        <v>-0.1192368</v>
      </c>
      <c r="U5154">
        <v>-0.49212650000000002</v>
      </c>
      <c r="V5154">
        <v>0.12719140000000001</v>
      </c>
      <c r="W5154">
        <v>0.14939279999999999</v>
      </c>
      <c r="X5154">
        <v>0.98056319999999997</v>
      </c>
      <c r="Y5154">
        <v>0.17022039999999999</v>
      </c>
      <c r="Z5154">
        <v>-3.7049790000000002E-3</v>
      </c>
      <c r="AA5154">
        <v>0.98539909999999997</v>
      </c>
      <c r="AB5154">
        <v>30</v>
      </c>
      <c r="AC5154">
        <v>29.087499999999999</v>
      </c>
      <c r="AD5154">
        <v>-1.1585529999999999</v>
      </c>
      <c r="AE5154">
        <v>-4.78268</v>
      </c>
      <c r="AF5154">
        <v>5.0363650777436204</v>
      </c>
      <c r="AG5154">
        <v>-1.1585529999999999</v>
      </c>
      <c r="AH5154">
        <v>28.998507342461899</v>
      </c>
      <c r="AI5154">
        <v>92.254164685116095</v>
      </c>
      <c r="AJ5154">
        <v>80.147337483057996</v>
      </c>
      <c r="AK5154">
        <v>29.4554009706359</v>
      </c>
      <c r="AL5154">
        <v>81.408260137050704</v>
      </c>
      <c r="AM5154">
        <v>82.609281731728501</v>
      </c>
      <c r="AN5154">
        <v>1.0000000250600101</v>
      </c>
    </row>
    <row r="5155" spans="1:40" x14ac:dyDescent="0.25">
      <c r="A5155" t="str">
        <f>"20190312164610106"</f>
        <v>20190312164610106</v>
      </c>
      <c r="B5155" t="str">
        <f>"1552380370096915"</f>
        <v>1552380370096915</v>
      </c>
      <c r="C5155" t="s">
        <v>40</v>
      </c>
      <c r="D5155">
        <v>5.121518</v>
      </c>
      <c r="E5155">
        <v>0.50772259999999902</v>
      </c>
      <c r="F5155" t="s">
        <v>43</v>
      </c>
      <c r="G5155">
        <v>-313.5874</v>
      </c>
      <c r="H5155">
        <v>-0.05</v>
      </c>
      <c r="I5155">
        <v>13.540330000000001</v>
      </c>
      <c r="J5155">
        <v>-343.3818</v>
      </c>
      <c r="K5155">
        <v>1.108557</v>
      </c>
      <c r="L5155">
        <v>17.319120000000002</v>
      </c>
      <c r="M5155">
        <v>0.99986929999999996</v>
      </c>
      <c r="N5155">
        <v>0</v>
      </c>
      <c r="O5155">
        <v>8.7365959999999993E-3</v>
      </c>
      <c r="P5155">
        <v>0.98352530000000005</v>
      </c>
      <c r="Q5155">
        <v>0.13609099999999999</v>
      </c>
      <c r="R5155">
        <v>-0.118983199999999</v>
      </c>
      <c r="S5155">
        <v>3.0203859999999998</v>
      </c>
      <c r="T5155">
        <v>-0.11685</v>
      </c>
      <c r="U5155">
        <v>-0.38101200000000002</v>
      </c>
      <c r="V5155">
        <v>0.12772910000000001</v>
      </c>
      <c r="W5155">
        <v>0.149307</v>
      </c>
      <c r="X5155">
        <v>0.9805064</v>
      </c>
      <c r="Y5155">
        <v>0.133714</v>
      </c>
      <c r="Z5155">
        <v>-2.9119530000000001E-3</v>
      </c>
      <c r="AA5155">
        <v>0.99101570000000005</v>
      </c>
      <c r="AB5155">
        <v>30</v>
      </c>
      <c r="AC5155">
        <v>29.7944</v>
      </c>
      <c r="AD5155">
        <v>-1.1585570000000001</v>
      </c>
      <c r="AE5155">
        <v>-3.7787899999999999</v>
      </c>
      <c r="AF5155">
        <v>4.0329699750246704</v>
      </c>
      <c r="AG5155">
        <v>-1.1585570000000001</v>
      </c>
      <c r="AH5155">
        <v>29.716025140684401</v>
      </c>
      <c r="AI5155">
        <v>92.212432979647204</v>
      </c>
      <c r="AJ5155">
        <v>82.271209937935495</v>
      </c>
      <c r="AK5155">
        <v>30.010818904246602</v>
      </c>
      <c r="AL5155">
        <v>81.413232107473902</v>
      </c>
      <c r="AM5155">
        <v>82.577960024994198</v>
      </c>
      <c r="AN5155">
        <v>1.00000005183838</v>
      </c>
    </row>
    <row r="5156" spans="1:40" x14ac:dyDescent="0.25">
      <c r="A5156" t="str">
        <f>"20190312164610118"</f>
        <v>20190312164610118</v>
      </c>
      <c r="B5156" t="str">
        <f>"1552380370106675"</f>
        <v>1552380370106675</v>
      </c>
      <c r="C5156" t="s">
        <v>40</v>
      </c>
      <c r="D5156">
        <v>4.9903269999999997</v>
      </c>
      <c r="E5156">
        <v>0.50772259999999902</v>
      </c>
      <c r="F5156" t="s">
        <v>43</v>
      </c>
      <c r="G5156">
        <v>-313.69119999999998</v>
      </c>
      <c r="H5156">
        <v>-0.05</v>
      </c>
      <c r="I5156">
        <v>13.535450000000001</v>
      </c>
      <c r="J5156">
        <v>-343.23390000000001</v>
      </c>
      <c r="K5156">
        <v>1.1085560000000001</v>
      </c>
      <c r="L5156">
        <v>17.320129999999999</v>
      </c>
      <c r="M5156">
        <v>0.99987159999999997</v>
      </c>
      <c r="N5156">
        <v>0</v>
      </c>
      <c r="O5156">
        <v>8.4858609999999904E-3</v>
      </c>
      <c r="P5156">
        <v>0.98339639999999995</v>
      </c>
      <c r="Q5156">
        <v>0.13625689999999999</v>
      </c>
      <c r="R5156">
        <v>-0.119857199999999</v>
      </c>
      <c r="S5156">
        <v>3.0199889999999998</v>
      </c>
      <c r="T5156">
        <v>-0.117843</v>
      </c>
      <c r="U5156">
        <v>-0.38485720000000001</v>
      </c>
      <c r="V5156">
        <v>0.12835569999999999</v>
      </c>
      <c r="W5156">
        <v>0.14946970000000001</v>
      </c>
      <c r="X5156">
        <v>0.98039969999999999</v>
      </c>
      <c r="Y5156">
        <v>0.13472100000000001</v>
      </c>
      <c r="Z5156">
        <v>-2.9466470000000002E-3</v>
      </c>
      <c r="AA5156">
        <v>0.99087919999999996</v>
      </c>
      <c r="AB5156">
        <v>30</v>
      </c>
      <c r="AC5156">
        <v>29.5427</v>
      </c>
      <c r="AD5156">
        <v>-1.1585559999999999</v>
      </c>
      <c r="AE5156">
        <v>-3.7846799999999901</v>
      </c>
      <c r="AF5156">
        <v>4.0291656361085497</v>
      </c>
      <c r="AG5156">
        <v>-1.1585559999999999</v>
      </c>
      <c r="AH5156">
        <v>29.464933850651398</v>
      </c>
      <c r="AI5156">
        <v>92.230959485447201</v>
      </c>
      <c r="AJ5156">
        <v>82.213415405308297</v>
      </c>
      <c r="AK5156">
        <v>29.761699456711</v>
      </c>
      <c r="AL5156">
        <v>81.4038036201935</v>
      </c>
      <c r="AM5156">
        <v>82.541156123023995</v>
      </c>
      <c r="AN5156">
        <v>0.99999997435033405</v>
      </c>
    </row>
    <row r="5157" spans="1:40" x14ac:dyDescent="0.25">
      <c r="A5157" t="str">
        <f>"20190312164610130"</f>
        <v>20190312164610130</v>
      </c>
      <c r="B5157" t="str">
        <f>"1552380370126195"</f>
        <v>1552380370126195</v>
      </c>
      <c r="C5157" t="s">
        <v>40</v>
      </c>
      <c r="D5157">
        <v>4.927937</v>
      </c>
      <c r="E5157">
        <v>0.50614059999999905</v>
      </c>
      <c r="F5157" t="s">
        <v>43</v>
      </c>
      <c r="G5157">
        <v>-313.41989999999998</v>
      </c>
      <c r="H5157">
        <v>-0.05</v>
      </c>
      <c r="I5157">
        <v>13.49437</v>
      </c>
      <c r="J5157">
        <v>-343.0761</v>
      </c>
      <c r="K5157">
        <v>1.1085560000000001</v>
      </c>
      <c r="L5157">
        <v>17.321200000000001</v>
      </c>
      <c r="M5157">
        <v>0.99987389999999998</v>
      </c>
      <c r="N5157">
        <v>0</v>
      </c>
      <c r="O5157">
        <v>8.2180819999999998E-3</v>
      </c>
      <c r="P5157">
        <v>0.98330079999999997</v>
      </c>
      <c r="Q5157">
        <v>0.136289299999999</v>
      </c>
      <c r="R5157">
        <v>-0.1206029</v>
      </c>
      <c r="S5157">
        <v>3.0196230000000002</v>
      </c>
      <c r="T5157">
        <v>-0.117340899999999</v>
      </c>
      <c r="U5157">
        <v>-0.38748169999999998</v>
      </c>
      <c r="V5157">
        <v>0.12883739999999999</v>
      </c>
      <c r="W5157">
        <v>0.1495003</v>
      </c>
      <c r="X5157">
        <v>0.98033190000000003</v>
      </c>
      <c r="Y5157">
        <v>0.13531869999999999</v>
      </c>
      <c r="Z5157">
        <v>-2.9354910000000001E-3</v>
      </c>
      <c r="AA5157">
        <v>0.99079779999999995</v>
      </c>
      <c r="AB5157">
        <v>30</v>
      </c>
      <c r="AC5157">
        <v>29.656199999999998</v>
      </c>
      <c r="AD5157">
        <v>-1.1585559999999999</v>
      </c>
      <c r="AE5157">
        <v>-3.82682999999999</v>
      </c>
      <c r="AF5157">
        <v>4.06433905490473</v>
      </c>
      <c r="AG5157">
        <v>-1.1585559999999999</v>
      </c>
      <c r="AH5157">
        <v>29.579342506393601</v>
      </c>
      <c r="AI5157">
        <v>92.222141920494295</v>
      </c>
      <c r="AJ5157">
        <v>82.176285624374103</v>
      </c>
      <c r="AK5157">
        <v>29.879735726222599</v>
      </c>
      <c r="AL5157">
        <v>81.402030882498096</v>
      </c>
      <c r="AM5157">
        <v>82.512969225703202</v>
      </c>
      <c r="AN5157">
        <v>1.0000000247482199</v>
      </c>
    </row>
    <row r="5158" spans="1:40" x14ac:dyDescent="0.25">
      <c r="A5158" t="str">
        <f>"20190312164610140"</f>
        <v>20190312164610140</v>
      </c>
      <c r="B5158" t="str">
        <f>"1552380370136931"</f>
        <v>1552380370136931</v>
      </c>
      <c r="C5158" t="s">
        <v>40</v>
      </c>
      <c r="D5158">
        <v>5.1847770000000004</v>
      </c>
      <c r="E5158">
        <v>0.50614059999999905</v>
      </c>
      <c r="F5158" t="s">
        <v>41</v>
      </c>
      <c r="G5158">
        <v>-342.09050000000002</v>
      </c>
      <c r="H5158">
        <v>1.0418289999999999</v>
      </c>
      <c r="I5158">
        <v>17.200410000000002</v>
      </c>
      <c r="J5158">
        <v>-342.9289</v>
      </c>
      <c r="K5158">
        <v>1.1085579999999999</v>
      </c>
      <c r="L5158">
        <v>17.322140000000001</v>
      </c>
      <c r="M5158">
        <v>0.99987599999999999</v>
      </c>
      <c r="N5158">
        <v>0</v>
      </c>
      <c r="O5158">
        <v>7.9685999999999993E-3</v>
      </c>
      <c r="P5158">
        <v>0.98323090000000002</v>
      </c>
      <c r="Q5158">
        <v>0.13622390000000001</v>
      </c>
      <c r="R5158">
        <v>-0.12124649999999999</v>
      </c>
      <c r="S5158">
        <v>3.0339049999999999</v>
      </c>
      <c r="T5158">
        <v>-0.20538190000000001</v>
      </c>
      <c r="U5158">
        <v>-0.37112430000000002</v>
      </c>
      <c r="V5158">
        <v>0.12923499999999999</v>
      </c>
      <c r="W5158">
        <v>0.14943290000000001</v>
      </c>
      <c r="X5158">
        <v>0.98028979999999999</v>
      </c>
      <c r="Y5158">
        <v>0.1290181</v>
      </c>
      <c r="Z5158">
        <v>-4.8827810000000001E-3</v>
      </c>
      <c r="AA5158">
        <v>0.99163020000000002</v>
      </c>
      <c r="AB5158">
        <v>30</v>
      </c>
      <c r="AC5158">
        <v>0.83839999999997805</v>
      </c>
      <c r="AD5158">
        <v>-6.6728999999999802E-2</v>
      </c>
      <c r="AE5158">
        <v>-0.12172999999999901</v>
      </c>
      <c r="AF5158">
        <v>0.12761590559566299</v>
      </c>
      <c r="AG5158">
        <v>-6.6728999999999802E-2</v>
      </c>
      <c r="AH5158">
        <v>0.83224011448254898</v>
      </c>
      <c r="AI5158">
        <v>94.531427649770805</v>
      </c>
      <c r="AJ5158">
        <v>81.282155952226603</v>
      </c>
      <c r="AK5158">
        <v>0.84460771187334505</v>
      </c>
      <c r="AL5158">
        <v>81.405936141183801</v>
      </c>
      <c r="AM5158">
        <v>82.489808281371396</v>
      </c>
      <c r="AN5158">
        <v>0.99999998440572402</v>
      </c>
    </row>
    <row r="5159" spans="1:40" x14ac:dyDescent="0.25">
      <c r="A5159" t="str">
        <f>"20190312164610152"</f>
        <v>20190312164610152</v>
      </c>
      <c r="B5159" t="str">
        <f>"1552380370146690"</f>
        <v>1552380370146690</v>
      </c>
      <c r="C5159" t="s">
        <v>40</v>
      </c>
      <c r="D5159">
        <v>4.9135949999999999</v>
      </c>
      <c r="E5159">
        <v>0.50769920000000002</v>
      </c>
      <c r="F5159" t="s">
        <v>42</v>
      </c>
      <c r="G5159">
        <v>-326.57260000000002</v>
      </c>
      <c r="H5159" s="1">
        <v>-2.4461830000000001E-6</v>
      </c>
      <c r="I5159">
        <v>15.309979999999999</v>
      </c>
      <c r="J5159">
        <v>-342.77440000000001</v>
      </c>
      <c r="K5159">
        <v>1.1085579999999999</v>
      </c>
      <c r="L5159">
        <v>17.323090000000001</v>
      </c>
      <c r="M5159">
        <v>0.99987780000000004</v>
      </c>
      <c r="N5159">
        <v>0</v>
      </c>
      <c r="O5159">
        <v>7.7068400000000004E-3</v>
      </c>
      <c r="P5159">
        <v>0.98314699999999999</v>
      </c>
      <c r="Q5159">
        <v>0.13616929999999999</v>
      </c>
      <c r="R5159">
        <v>-0.12198339999999901</v>
      </c>
      <c r="S5159">
        <v>3.03363</v>
      </c>
      <c r="T5159">
        <v>-0.20560709999999999</v>
      </c>
      <c r="U5159">
        <v>-0.37319950000000002</v>
      </c>
      <c r="V5159">
        <v>0.1297141</v>
      </c>
      <c r="W5159">
        <v>0.14937629999999999</v>
      </c>
      <c r="X5159">
        <v>0.98023519999999997</v>
      </c>
      <c r="Y5159">
        <v>0.12943650000000001</v>
      </c>
      <c r="Z5159">
        <v>-4.8848099999999998E-3</v>
      </c>
      <c r="AA5159">
        <v>0.99157569999999995</v>
      </c>
      <c r="AB5159">
        <v>30</v>
      </c>
      <c r="AC5159">
        <v>16.201799999999899</v>
      </c>
      <c r="AD5159">
        <v>-1.1085604461830001</v>
      </c>
      <c r="AE5159">
        <v>-2.0131100000000002</v>
      </c>
      <c r="AF5159">
        <v>2.1281149746496699</v>
      </c>
      <c r="AG5159">
        <v>-1.1085604461830001</v>
      </c>
      <c r="AH5159">
        <v>16.111522044811299</v>
      </c>
      <c r="AI5159">
        <v>93.902270202798704</v>
      </c>
      <c r="AJ5159">
        <v>82.475557059233097</v>
      </c>
      <c r="AK5159">
        <v>16.289227182669201</v>
      </c>
      <c r="AL5159">
        <v>81.409216349323898</v>
      </c>
      <c r="AM5159">
        <v>82.461871025670902</v>
      </c>
      <c r="AN5159">
        <v>1.0000000370297599</v>
      </c>
    </row>
    <row r="5160" spans="1:40" x14ac:dyDescent="0.25">
      <c r="A5160" t="str">
        <f>"20190312164610164"</f>
        <v>20190312164610164</v>
      </c>
      <c r="B5160" t="str">
        <f>"1552380370156451"</f>
        <v>1552380370156451</v>
      </c>
      <c r="C5160" t="s">
        <v>40</v>
      </c>
      <c r="D5160">
        <v>4.9117639999999998</v>
      </c>
      <c r="E5160">
        <v>0.50783080000000003</v>
      </c>
      <c r="F5160" t="s">
        <v>42</v>
      </c>
      <c r="G5160">
        <v>-324.12450000000001</v>
      </c>
      <c r="H5160" s="1">
        <v>-3.5901990000000001E-6</v>
      </c>
      <c r="I5160">
        <v>14.92395</v>
      </c>
      <c r="J5160">
        <v>-342.61430000000001</v>
      </c>
      <c r="K5160">
        <v>1.1085579999999999</v>
      </c>
      <c r="L5160">
        <v>17.32404</v>
      </c>
      <c r="M5160">
        <v>0.99987999999999999</v>
      </c>
      <c r="N5160">
        <v>0</v>
      </c>
      <c r="O5160">
        <v>7.435306E-3</v>
      </c>
      <c r="P5160">
        <v>0.98307040000000001</v>
      </c>
      <c r="Q5160">
        <v>0.1362236</v>
      </c>
      <c r="R5160">
        <v>-0.1225388</v>
      </c>
      <c r="S5160">
        <v>3.0280149999999999</v>
      </c>
      <c r="T5160">
        <v>-0.1799868</v>
      </c>
      <c r="U5160">
        <v>-0.38952639999999999</v>
      </c>
      <c r="V5160">
        <v>0.13000219999999901</v>
      </c>
      <c r="W5160">
        <v>0.14942910000000001</v>
      </c>
      <c r="X5160">
        <v>0.98018899999999998</v>
      </c>
      <c r="Y5160">
        <v>0.13471429999999901</v>
      </c>
      <c r="Z5160">
        <v>-4.4236960000000004E-3</v>
      </c>
      <c r="AA5160">
        <v>0.99087460000000005</v>
      </c>
      <c r="AB5160">
        <v>30</v>
      </c>
      <c r="AC5160">
        <v>18.489799999999999</v>
      </c>
      <c r="AD5160">
        <v>-1.108561590199</v>
      </c>
      <c r="AE5160">
        <v>-2.4000900000000001</v>
      </c>
      <c r="AF5160">
        <v>2.5285749634396102</v>
      </c>
      <c r="AG5160">
        <v>-1.108561590199</v>
      </c>
      <c r="AH5160">
        <v>18.406373863275402</v>
      </c>
      <c r="AI5160">
        <v>93.414600082144801</v>
      </c>
      <c r="AJ5160">
        <v>82.177954661115905</v>
      </c>
      <c r="AK5160">
        <v>18.612286236238301</v>
      </c>
      <c r="AL5160">
        <v>81.406156921265705</v>
      </c>
      <c r="AM5160">
        <v>82.444969750869106</v>
      </c>
      <c r="AN5160">
        <v>1.0000000518263199</v>
      </c>
    </row>
    <row r="5161" spans="1:40" x14ac:dyDescent="0.25">
      <c r="A5161" t="str">
        <f>"20190312164610175"</f>
        <v>20190312164610175</v>
      </c>
      <c r="B5161" t="str">
        <f>"1552380370166212"</f>
        <v>1552380370166212</v>
      </c>
      <c r="C5161" t="s">
        <v>40</v>
      </c>
      <c r="D5161">
        <v>5.93696</v>
      </c>
      <c r="E5161">
        <v>0.50827060000000002</v>
      </c>
      <c r="F5161" t="s">
        <v>42</v>
      </c>
      <c r="G5161">
        <v>-324.21370000000002</v>
      </c>
      <c r="H5161" s="1">
        <v>-3.545018E-6</v>
      </c>
      <c r="I5161">
        <v>14.941090000000001</v>
      </c>
      <c r="J5161">
        <v>-342.45979999999997</v>
      </c>
      <c r="K5161">
        <v>1.1085579999999999</v>
      </c>
      <c r="L5161">
        <v>17.32489</v>
      </c>
      <c r="M5161">
        <v>0.99988189999999999</v>
      </c>
      <c r="N5161">
        <v>0</v>
      </c>
      <c r="O5161">
        <v>7.1734869999999897E-3</v>
      </c>
      <c r="P5161">
        <v>0.98303160000000001</v>
      </c>
      <c r="Q5161">
        <v>0.135956299999999</v>
      </c>
      <c r="R5161">
        <v>-0.1231458</v>
      </c>
      <c r="S5161">
        <v>3.0281069999999999</v>
      </c>
      <c r="T5161">
        <v>-0.18243090000000001</v>
      </c>
      <c r="U5161">
        <v>-0.39215090000000002</v>
      </c>
      <c r="V5161">
        <v>0.1303512</v>
      </c>
      <c r="W5161">
        <v>0.1491603</v>
      </c>
      <c r="X5161">
        <v>0.98018349999999999</v>
      </c>
      <c r="Y5161">
        <v>0.13528850000000001</v>
      </c>
      <c r="Z5161">
        <v>-4.484788E-3</v>
      </c>
      <c r="AA5161">
        <v>0.99079609999999996</v>
      </c>
      <c r="AB5161">
        <v>30</v>
      </c>
      <c r="AC5161">
        <v>18.246099999999899</v>
      </c>
      <c r="AD5161">
        <v>-1.108561545018</v>
      </c>
      <c r="AE5161">
        <v>-2.3837999999999999</v>
      </c>
      <c r="AF5161">
        <v>2.5055453967413399</v>
      </c>
      <c r="AG5161">
        <v>-1.108561545018</v>
      </c>
      <c r="AH5161">
        <v>18.162610178353301</v>
      </c>
      <c r="AI5161">
        <v>93.460048782074594</v>
      </c>
      <c r="AJ5161">
        <v>82.145579101332004</v>
      </c>
      <c r="AK5161">
        <v>18.368099382490499</v>
      </c>
      <c r="AL5161">
        <v>81.421731810595602</v>
      </c>
      <c r="AM5161">
        <v>82.424880943833799</v>
      </c>
      <c r="AN5161">
        <v>0.99999996205488895</v>
      </c>
    </row>
    <row r="5162" spans="1:40" x14ac:dyDescent="0.25">
      <c r="A5162" t="str">
        <f>"20190312164610187"</f>
        <v>20190312164610187</v>
      </c>
      <c r="B5162" t="str">
        <f>"1552380370176947"</f>
        <v>1552380370176947</v>
      </c>
      <c r="C5162" t="s">
        <v>40</v>
      </c>
      <c r="D5162">
        <v>4.8945369999999997</v>
      </c>
      <c r="E5162">
        <v>0.50841250000000004</v>
      </c>
      <c r="F5162" t="s">
        <v>42</v>
      </c>
      <c r="G5162">
        <v>-323.21850000000001</v>
      </c>
      <c r="H5162" s="1">
        <v>-4.041471E-6</v>
      </c>
      <c r="I5162">
        <v>14.794280000000001</v>
      </c>
      <c r="J5162">
        <v>-342.29790000000003</v>
      </c>
      <c r="K5162">
        <v>1.10856</v>
      </c>
      <c r="L5162">
        <v>17.325779999999899</v>
      </c>
      <c r="M5162">
        <v>0.99988390000000005</v>
      </c>
      <c r="N5162">
        <v>0</v>
      </c>
      <c r="O5162">
        <v>6.8990340000000001E-3</v>
      </c>
      <c r="P5162">
        <v>0.98294780000000004</v>
      </c>
      <c r="Q5162">
        <v>0.13595850000000001</v>
      </c>
      <c r="R5162">
        <v>-0.1238112</v>
      </c>
      <c r="S5162">
        <v>3.0260009999999999</v>
      </c>
      <c r="T5162">
        <v>-0.17433940000000001</v>
      </c>
      <c r="U5162">
        <v>-0.39797969999999999</v>
      </c>
      <c r="V5162">
        <v>0.13074620000000001</v>
      </c>
      <c r="W5162">
        <v>0.14916079999999901</v>
      </c>
      <c r="X5162">
        <v>0.98013090000000003</v>
      </c>
      <c r="Y5162">
        <v>0.13700010000000001</v>
      </c>
      <c r="Z5162">
        <v>-4.3219460000000001E-3</v>
      </c>
      <c r="AA5162">
        <v>0.99056160000000004</v>
      </c>
      <c r="AB5162">
        <v>30</v>
      </c>
      <c r="AC5162">
        <v>19.0794</v>
      </c>
      <c r="AD5162">
        <v>-1.1085640414710001</v>
      </c>
      <c r="AE5162">
        <v>-2.5314999999999901</v>
      </c>
      <c r="AF5162">
        <v>2.6542757190836701</v>
      </c>
      <c r="AG5162">
        <v>-1.1085640414710001</v>
      </c>
      <c r="AH5162">
        <v>18.998451660612599</v>
      </c>
      <c r="AI5162">
        <v>93.307385473344596</v>
      </c>
      <c r="AJ5162">
        <v>82.046680594126798</v>
      </c>
      <c r="AK5162">
        <v>19.214974871896001</v>
      </c>
      <c r="AL5162">
        <v>81.421703573662796</v>
      </c>
      <c r="AM5162">
        <v>82.4017910226233</v>
      </c>
      <c r="AN5162">
        <v>1.00000004710294</v>
      </c>
    </row>
    <row r="5163" spans="1:40" x14ac:dyDescent="0.25">
      <c r="A5163" t="str">
        <f>"20190312164610199"</f>
        <v>20190312164610199</v>
      </c>
      <c r="B5163" t="str">
        <f>"1552380370196467"</f>
        <v>1552380370196467</v>
      </c>
      <c r="C5163" t="s">
        <v>40</v>
      </c>
      <c r="D5163">
        <v>5.0740769999999999</v>
      </c>
      <c r="E5163">
        <v>0.50874679999999906</v>
      </c>
      <c r="F5163" t="s">
        <v>42</v>
      </c>
      <c r="G5163">
        <v>-322.30720000000002</v>
      </c>
      <c r="H5163" s="1">
        <v>-4.4938099999999999E-6</v>
      </c>
      <c r="I5163">
        <v>14.672829999999999</v>
      </c>
      <c r="J5163">
        <v>-342.14319999999998</v>
      </c>
      <c r="K5163">
        <v>1.108562</v>
      </c>
      <c r="L5163">
        <v>17.326539999999898</v>
      </c>
      <c r="M5163">
        <v>0.99988569999999999</v>
      </c>
      <c r="N5163">
        <v>0</v>
      </c>
      <c r="O5163">
        <v>6.6367980000000002E-3</v>
      </c>
      <c r="P5163">
        <v>0.9828481</v>
      </c>
      <c r="Q5163">
        <v>0.13602</v>
      </c>
      <c r="R5163">
        <v>-0.1245338</v>
      </c>
      <c r="S5163">
        <v>3.0246580000000001</v>
      </c>
      <c r="T5163">
        <v>-0.1677295</v>
      </c>
      <c r="U5163">
        <v>-0.40139770000000002</v>
      </c>
      <c r="V5163">
        <v>0.1312104</v>
      </c>
      <c r="W5163">
        <v>0.14922070000000001</v>
      </c>
      <c r="X5163">
        <v>0.98005969999999998</v>
      </c>
      <c r="Y5163">
        <v>0.1379136</v>
      </c>
      <c r="Z5163">
        <v>-4.1705839999999997E-3</v>
      </c>
      <c r="AA5163">
        <v>0.99043550000000002</v>
      </c>
      <c r="AB5163">
        <v>30</v>
      </c>
      <c r="AC5163">
        <v>19.835999999999899</v>
      </c>
      <c r="AD5163">
        <v>-1.1085664938099999</v>
      </c>
      <c r="AE5163">
        <v>-2.65370999999999</v>
      </c>
      <c r="AF5163">
        <v>2.7767909295142799</v>
      </c>
      <c r="AG5163">
        <v>-1.1085664938099999</v>
      </c>
      <c r="AH5163">
        <v>19.757326030628899</v>
      </c>
      <c r="AI5163">
        <v>93.1802584743415</v>
      </c>
      <c r="AJ5163">
        <v>81.999772957219704</v>
      </c>
      <c r="AK5163">
        <v>19.982277633393</v>
      </c>
      <c r="AL5163">
        <v>81.418232313375597</v>
      </c>
      <c r="AM5163">
        <v>82.374583826227607</v>
      </c>
      <c r="AN5163">
        <v>1.00000000097037</v>
      </c>
    </row>
    <row r="5164" spans="1:40" x14ac:dyDescent="0.25">
      <c r="A5164" t="str">
        <f>"20190312164610211"</f>
        <v>20190312164610211</v>
      </c>
      <c r="B5164" t="str">
        <f>"1552380370207203"</f>
        <v>1552380370207203</v>
      </c>
      <c r="C5164" t="s">
        <v>40</v>
      </c>
      <c r="D5164">
        <v>4.8906479999999997</v>
      </c>
      <c r="E5164">
        <v>0.50890849999999999</v>
      </c>
      <c r="F5164" t="s">
        <v>42</v>
      </c>
      <c r="G5164">
        <v>-321.01049999999998</v>
      </c>
      <c r="H5164" s="1">
        <v>-5.1401110000000002E-6</v>
      </c>
      <c r="I5164">
        <v>14.484730000000001</v>
      </c>
      <c r="J5164">
        <v>-341.9914</v>
      </c>
      <c r="K5164">
        <v>1.108554</v>
      </c>
      <c r="L5164">
        <v>17.327269999999999</v>
      </c>
      <c r="M5164">
        <v>0.99988719999999998</v>
      </c>
      <c r="N5164">
        <v>0</v>
      </c>
      <c r="O5164">
        <v>6.3795680000000004E-3</v>
      </c>
      <c r="P5164">
        <v>0.98277530000000002</v>
      </c>
      <c r="Q5164">
        <v>0.13598729999999901</v>
      </c>
      <c r="R5164">
        <v>-0.12514169999999999</v>
      </c>
      <c r="S5164">
        <v>3.0228269999999999</v>
      </c>
      <c r="T5164">
        <v>-0.15857019999999999</v>
      </c>
      <c r="U5164">
        <v>-0.40649410000000002</v>
      </c>
      <c r="V5164">
        <v>0.13156509999999999</v>
      </c>
      <c r="W5164">
        <v>0.14918580000000001</v>
      </c>
      <c r="X5164">
        <v>0.98001740000000004</v>
      </c>
      <c r="Y5164">
        <v>0.13939879999999999</v>
      </c>
      <c r="Z5164">
        <v>-3.9704090000000003E-3</v>
      </c>
      <c r="AA5164">
        <v>0.99022840000000001</v>
      </c>
      <c r="AB5164">
        <v>30</v>
      </c>
      <c r="AC5164">
        <v>20.980899999999998</v>
      </c>
      <c r="AD5164">
        <v>-1.108559140111</v>
      </c>
      <c r="AE5164">
        <v>-2.8425400000000001</v>
      </c>
      <c r="AF5164">
        <v>2.9682065995186901</v>
      </c>
      <c r="AG5164">
        <v>-1.108559140111</v>
      </c>
      <c r="AH5164">
        <v>20.9050283708977</v>
      </c>
      <c r="AI5164">
        <v>93.005370858589202</v>
      </c>
      <c r="AJ5164">
        <v>81.9188578041055</v>
      </c>
      <c r="AK5164">
        <v>21.1437783986824</v>
      </c>
      <c r="AL5164">
        <v>81.420254057018298</v>
      </c>
      <c r="AM5164">
        <v>82.353887518422795</v>
      </c>
      <c r="AN5164">
        <v>0.99999994138120296</v>
      </c>
    </row>
    <row r="5165" spans="1:40" x14ac:dyDescent="0.25">
      <c r="A5165" t="str">
        <f>"20190312164610220"</f>
        <v>20190312164610220</v>
      </c>
      <c r="B5165" t="str">
        <f>"1552380370216963"</f>
        <v>1552380370216963</v>
      </c>
      <c r="C5165" t="s">
        <v>40</v>
      </c>
      <c r="D5165">
        <v>4.8832370000000003</v>
      </c>
      <c r="E5165">
        <v>0.5087024</v>
      </c>
      <c r="F5165" t="s">
        <v>42</v>
      </c>
      <c r="G5165">
        <v>-321.52190000000002</v>
      </c>
      <c r="H5165" s="1">
        <v>-4.8853590000000002E-6</v>
      </c>
      <c r="I5165">
        <v>14.558199999999999</v>
      </c>
      <c r="J5165">
        <v>-341.85829999999999</v>
      </c>
      <c r="K5165">
        <v>1.108557</v>
      </c>
      <c r="L5165">
        <v>17.327909999999999</v>
      </c>
      <c r="M5165">
        <v>0.99988880000000002</v>
      </c>
      <c r="N5165">
        <v>0</v>
      </c>
      <c r="O5165">
        <v>6.1536869999999997E-3</v>
      </c>
      <c r="P5165">
        <v>0.98271410000000003</v>
      </c>
      <c r="Q5165">
        <v>0.13558499999999901</v>
      </c>
      <c r="R5165">
        <v>-0.12605530000000001</v>
      </c>
      <c r="S5165">
        <v>3.0231629999999998</v>
      </c>
      <c r="T5165">
        <v>-0.16372429999999999</v>
      </c>
      <c r="U5165">
        <v>-0.4089661</v>
      </c>
      <c r="V5165">
        <v>0.13225609999999999</v>
      </c>
      <c r="W5165">
        <v>0.14878169999999999</v>
      </c>
      <c r="X5165">
        <v>0.97998589999999997</v>
      </c>
      <c r="Y5165">
        <v>0.13994239999999999</v>
      </c>
      <c r="Z5165">
        <v>-4.1010760000000004E-3</v>
      </c>
      <c r="AA5165">
        <v>0.99015120000000001</v>
      </c>
      <c r="AB5165">
        <v>30</v>
      </c>
      <c r="AC5165">
        <v>20.336399999999902</v>
      </c>
      <c r="AD5165">
        <v>-1.108561885359</v>
      </c>
      <c r="AE5165">
        <v>-2.7697099999999999</v>
      </c>
      <c r="AF5165">
        <v>2.8863922947419298</v>
      </c>
      <c r="AG5165">
        <v>-1.108561885359</v>
      </c>
      <c r="AH5165">
        <v>20.259864088420098</v>
      </c>
      <c r="AI5165">
        <v>93.100690547384005</v>
      </c>
      <c r="AJ5165">
        <v>81.891721497441495</v>
      </c>
      <c r="AK5165">
        <v>20.494444681768599</v>
      </c>
      <c r="AL5165">
        <v>81.443669251453898</v>
      </c>
      <c r="AM5165">
        <v>82.313963659846394</v>
      </c>
      <c r="AN5165">
        <v>1.00000001722045</v>
      </c>
    </row>
    <row r="5166" spans="1:40" x14ac:dyDescent="0.25">
      <c r="A5166" t="str">
        <f>"20190312164610230"</f>
        <v>20190312164610230</v>
      </c>
      <c r="B5166" t="str">
        <f>"1552380370226723"</f>
        <v>1552380370226723</v>
      </c>
      <c r="C5166" t="s">
        <v>40</v>
      </c>
      <c r="D5166">
        <v>5.0211420000000002</v>
      </c>
      <c r="E5166">
        <v>0.5082335</v>
      </c>
      <c r="F5166" t="s">
        <v>42</v>
      </c>
      <c r="G5166">
        <v>-321.60289999999998</v>
      </c>
      <c r="H5166" s="1">
        <v>-4.8428579999999999E-6</v>
      </c>
      <c r="I5166">
        <v>14.581770000000001</v>
      </c>
      <c r="J5166">
        <v>-341.7251</v>
      </c>
      <c r="K5166">
        <v>1.108557</v>
      </c>
      <c r="L5166">
        <v>17.328520000000001</v>
      </c>
      <c r="M5166">
        <v>0.9998901</v>
      </c>
      <c r="N5166">
        <v>0</v>
      </c>
      <c r="O5166">
        <v>5.9278069999999898E-3</v>
      </c>
      <c r="P5166">
        <v>0.98263820000000002</v>
      </c>
      <c r="Q5166">
        <v>0.13558889999999901</v>
      </c>
      <c r="R5166">
        <v>-0.12664249999999999</v>
      </c>
      <c r="S5166">
        <v>3.0230410000000001</v>
      </c>
      <c r="T5166">
        <v>-0.16544900000000001</v>
      </c>
      <c r="U5166">
        <v>-0.40985110000000002</v>
      </c>
      <c r="V5166">
        <v>0.13262079999999901</v>
      </c>
      <c r="W5166">
        <v>0.1487841</v>
      </c>
      <c r="X5166">
        <v>0.97993620000000004</v>
      </c>
      <c r="Y5166">
        <v>0.1400045</v>
      </c>
      <c r="Z5166">
        <v>-4.1336879999999999E-3</v>
      </c>
      <c r="AA5166">
        <v>0.99014219999999997</v>
      </c>
      <c r="AB5166">
        <v>30</v>
      </c>
      <c r="AC5166">
        <v>20.122199999999999</v>
      </c>
      <c r="AD5166">
        <v>-1.108561842858</v>
      </c>
      <c r="AE5166">
        <v>-2.74675</v>
      </c>
      <c r="AF5166">
        <v>2.8574792531676501</v>
      </c>
      <c r="AG5166">
        <v>-1.108561842858</v>
      </c>
      <c r="AH5166">
        <v>20.045835061802599</v>
      </c>
      <c r="AI5166">
        <v>93.133696394223406</v>
      </c>
      <c r="AJ5166">
        <v>81.887297186009206</v>
      </c>
      <c r="AK5166">
        <v>20.278796817531301</v>
      </c>
      <c r="AL5166">
        <v>81.443529791424695</v>
      </c>
      <c r="AM5166">
        <v>82.292637400284903</v>
      </c>
      <c r="AN5166">
        <v>0.99999997053794398</v>
      </c>
    </row>
    <row r="5167" spans="1:40" x14ac:dyDescent="0.25">
      <c r="A5167" t="str">
        <f>"20190312164610243"</f>
        <v>20190312164610243</v>
      </c>
      <c r="B5167" t="str">
        <f>"1552380370236484"</f>
        <v>1552380370236484</v>
      </c>
      <c r="C5167" t="s">
        <v>40</v>
      </c>
      <c r="D5167">
        <v>4.9266249999999996</v>
      </c>
      <c r="E5167">
        <v>0.50734570000000001</v>
      </c>
      <c r="F5167" t="s">
        <v>42</v>
      </c>
      <c r="G5167">
        <v>-321.7217</v>
      </c>
      <c r="H5167" s="1">
        <v>-4.7781960000000002E-6</v>
      </c>
      <c r="I5167">
        <v>14.62973</v>
      </c>
      <c r="J5167">
        <v>-341.55959999999999</v>
      </c>
      <c r="K5167">
        <v>1.1085560000000001</v>
      </c>
      <c r="L5167">
        <v>17.329160000000002</v>
      </c>
      <c r="M5167">
        <v>0.9998918</v>
      </c>
      <c r="N5167">
        <v>0</v>
      </c>
      <c r="O5167">
        <v>5.6469780000000004E-3</v>
      </c>
      <c r="P5167">
        <v>0.98253820000000003</v>
      </c>
      <c r="Q5167">
        <v>0.13573250000000001</v>
      </c>
      <c r="R5167">
        <v>-0.1272635</v>
      </c>
      <c r="S5167">
        <v>3.0235599999999998</v>
      </c>
      <c r="T5167">
        <v>-0.16756190000000001</v>
      </c>
      <c r="U5167">
        <v>-0.40792850000000003</v>
      </c>
      <c r="V5167">
        <v>0.13296540000000001</v>
      </c>
      <c r="W5167">
        <v>0.14892559999999999</v>
      </c>
      <c r="X5167">
        <v>0.97986810000000002</v>
      </c>
      <c r="Y5167">
        <v>0.1390817</v>
      </c>
      <c r="Z5167">
        <v>-4.1449440000000002E-3</v>
      </c>
      <c r="AA5167">
        <v>0.99027220000000005</v>
      </c>
      <c r="AB5167">
        <v>30</v>
      </c>
      <c r="AC5167">
        <v>19.837899999999902</v>
      </c>
      <c r="AD5167">
        <v>-1.1085607781960001</v>
      </c>
      <c r="AE5167">
        <v>-2.69943</v>
      </c>
      <c r="AF5167">
        <v>2.80282824764052</v>
      </c>
      <c r="AG5167">
        <v>-1.1085607781960001</v>
      </c>
      <c r="AH5167">
        <v>19.7617508253526</v>
      </c>
      <c r="AI5167">
        <v>93.178966647512993</v>
      </c>
      <c r="AJ5167">
        <v>81.927525487755005</v>
      </c>
      <c r="AK5167">
        <v>19.990286362832499</v>
      </c>
      <c r="AL5167">
        <v>81.435331892150899</v>
      </c>
      <c r="AM5167">
        <v>82.272321803266905</v>
      </c>
      <c r="AN5167">
        <v>1.00000006266506</v>
      </c>
    </row>
    <row r="5168" spans="1:40" x14ac:dyDescent="0.25">
      <c r="A5168" t="str">
        <f>"20190312164610255"</f>
        <v>20190312164610255</v>
      </c>
      <c r="B5168" t="str">
        <f>"1552380370246243"</f>
        <v>1552380370246243</v>
      </c>
      <c r="C5168" t="s">
        <v>40</v>
      </c>
      <c r="D5168">
        <v>5.0062360000000004</v>
      </c>
      <c r="E5168">
        <v>0.50734570000000001</v>
      </c>
      <c r="F5168" t="s">
        <v>42</v>
      </c>
      <c r="G5168">
        <v>-321.93259999999998</v>
      </c>
      <c r="H5168" s="1">
        <v>-4.6632550000000001E-6</v>
      </c>
      <c r="I5168">
        <v>14.715669999999999</v>
      </c>
      <c r="J5168">
        <v>-341.3963</v>
      </c>
      <c r="K5168">
        <v>1.1085579999999999</v>
      </c>
      <c r="L5168">
        <v>17.329799999999999</v>
      </c>
      <c r="M5168">
        <v>0.99989320000000004</v>
      </c>
      <c r="N5168">
        <v>0</v>
      </c>
      <c r="O5168">
        <v>5.3702619999999998E-3</v>
      </c>
      <c r="P5168">
        <v>0.98248420000000003</v>
      </c>
      <c r="Q5168">
        <v>0.135521</v>
      </c>
      <c r="R5168">
        <v>-0.12790190000000001</v>
      </c>
      <c r="S5168">
        <v>3.02475</v>
      </c>
      <c r="T5168">
        <v>-0.17084279999999999</v>
      </c>
      <c r="U5168">
        <v>-0.40277099999999999</v>
      </c>
      <c r="V5168">
        <v>0.13333149999999999</v>
      </c>
      <c r="W5168">
        <v>0.14871289999999901</v>
      </c>
      <c r="X5168">
        <v>0.97985060000000002</v>
      </c>
      <c r="Y5168">
        <v>0.13709209999999999</v>
      </c>
      <c r="Z5168">
        <v>-4.1533560000000004E-3</v>
      </c>
      <c r="AA5168">
        <v>0.99054960000000003</v>
      </c>
      <c r="AB5168">
        <v>30</v>
      </c>
      <c r="AC5168">
        <v>19.463699999999999</v>
      </c>
      <c r="AD5168">
        <v>-1.1085626632550001</v>
      </c>
      <c r="AE5168">
        <v>-2.6141299999999901</v>
      </c>
      <c r="AF5168">
        <v>2.70999190228294</v>
      </c>
      <c r="AG5168">
        <v>-1.1085626632550001</v>
      </c>
      <c r="AH5168">
        <v>19.387602036200501</v>
      </c>
      <c r="AI5168">
        <v>93.241107353863498</v>
      </c>
      <c r="AJ5168">
        <v>82.042773350660795</v>
      </c>
      <c r="AK5168">
        <v>19.607449604751999</v>
      </c>
      <c r="AL5168">
        <v>81.447655458845404</v>
      </c>
      <c r="AM5168">
        <v>82.251166248688804</v>
      </c>
      <c r="AN5168">
        <v>1.0000000069195101</v>
      </c>
    </row>
    <row r="5169" spans="1:40" x14ac:dyDescent="0.25">
      <c r="A5169" t="str">
        <f>"20190312164610264"</f>
        <v>20190312164610264</v>
      </c>
      <c r="B5169" t="str">
        <f>"1552380370256980"</f>
        <v>1552380370256980</v>
      </c>
      <c r="C5169" t="s">
        <v>40</v>
      </c>
      <c r="D5169">
        <v>4.8859300000000001</v>
      </c>
      <c r="E5169">
        <v>0.4845662</v>
      </c>
      <c r="F5169" t="s">
        <v>42</v>
      </c>
      <c r="G5169">
        <v>-321.8449</v>
      </c>
      <c r="H5169" s="1">
        <v>-4.7049889999999998E-6</v>
      </c>
      <c r="I5169">
        <v>14.7143</v>
      </c>
      <c r="J5169">
        <v>-341.25659999999999</v>
      </c>
      <c r="K5169">
        <v>1.1085560000000001</v>
      </c>
      <c r="L5169">
        <v>17.330289999999898</v>
      </c>
      <c r="M5169">
        <v>0.99989470000000003</v>
      </c>
      <c r="N5169">
        <v>0</v>
      </c>
      <c r="O5169">
        <v>5.1334179999999998E-3</v>
      </c>
      <c r="P5169">
        <v>0.98235890000000003</v>
      </c>
      <c r="Q5169">
        <v>0.13562370000000001</v>
      </c>
      <c r="R5169">
        <v>-0.12875420000000001</v>
      </c>
      <c r="S5169">
        <v>3.0244749999999998</v>
      </c>
      <c r="T5169">
        <v>-0.17148759999999999</v>
      </c>
      <c r="U5169">
        <v>-0.40460210000000002</v>
      </c>
      <c r="V5169">
        <v>0.1339504</v>
      </c>
      <c r="W5169">
        <v>0.1488128</v>
      </c>
      <c r="X5169">
        <v>0.97975100000000004</v>
      </c>
      <c r="Y5169">
        <v>0.13745660000000001</v>
      </c>
      <c r="Z5169">
        <v>-4.1661329999999998E-3</v>
      </c>
      <c r="AA5169">
        <v>0.99049900000000002</v>
      </c>
      <c r="AB5169">
        <v>30</v>
      </c>
      <c r="AC5169">
        <v>19.4117</v>
      </c>
      <c r="AD5169">
        <v>-1.1085607049889901</v>
      </c>
      <c r="AE5169">
        <v>-2.6159899999999898</v>
      </c>
      <c r="AF5169">
        <v>2.7069423737329501</v>
      </c>
      <c r="AG5169">
        <v>-1.1085607049889901</v>
      </c>
      <c r="AH5169">
        <v>19.336077904081598</v>
      </c>
      <c r="AI5169">
        <v>93.249624053406706</v>
      </c>
      <c r="AJ5169">
        <v>82.030705023272503</v>
      </c>
      <c r="AK5169">
        <v>19.556082239653001</v>
      </c>
      <c r="AL5169">
        <v>81.441867062903796</v>
      </c>
      <c r="AM5169">
        <v>82.214855954829304</v>
      </c>
      <c r="AN5169">
        <v>0.9999999905525</v>
      </c>
    </row>
    <row r="5170" spans="1:40" x14ac:dyDescent="0.25">
      <c r="A5170" t="str">
        <f>"20190312164610275"</f>
        <v>20190312164610275</v>
      </c>
      <c r="B5170" t="str">
        <f>"1552380370266739"</f>
        <v>1552380370266739</v>
      </c>
      <c r="C5170" t="s">
        <v>40</v>
      </c>
      <c r="D5170">
        <v>4.933967</v>
      </c>
      <c r="E5170">
        <v>0.48338379999999997</v>
      </c>
      <c r="F5170" t="s">
        <v>41</v>
      </c>
      <c r="G5170">
        <v>-340.48050000000001</v>
      </c>
      <c r="H5170">
        <v>1.050249</v>
      </c>
      <c r="I5170">
        <v>17.27346</v>
      </c>
      <c r="J5170">
        <v>-341.12670000000003</v>
      </c>
      <c r="K5170">
        <v>1.108554</v>
      </c>
      <c r="L5170">
        <v>17.330749999999998</v>
      </c>
      <c r="M5170">
        <v>0.9998958</v>
      </c>
      <c r="N5170">
        <v>0</v>
      </c>
      <c r="O5170">
        <v>4.914341E-3</v>
      </c>
      <c r="P5170">
        <v>0.98231080000000004</v>
      </c>
      <c r="Q5170">
        <v>0.13524820000000001</v>
      </c>
      <c r="R5170">
        <v>-0.12951369999999901</v>
      </c>
      <c r="S5170">
        <v>3.0563959999999999</v>
      </c>
      <c r="T5170">
        <v>-0.229597</v>
      </c>
      <c r="U5170">
        <v>-0.2227478</v>
      </c>
      <c r="V5170">
        <v>0.13449369999999999</v>
      </c>
      <c r="W5170">
        <v>0.14843609999999999</v>
      </c>
      <c r="X5170">
        <v>0.97973370000000004</v>
      </c>
      <c r="Y5170">
        <v>7.735678E-2</v>
      </c>
      <c r="Z5170">
        <v>-3.2658230000000002E-3</v>
      </c>
      <c r="AA5170">
        <v>0.9969981</v>
      </c>
      <c r="AB5170">
        <v>30</v>
      </c>
      <c r="AC5170">
        <v>0.64620000000002098</v>
      </c>
      <c r="AD5170">
        <v>-5.8305000000000003E-2</v>
      </c>
      <c r="AE5170">
        <v>-5.7289999999998197E-2</v>
      </c>
      <c r="AF5170">
        <v>5.9980752707510902E-2</v>
      </c>
      <c r="AG5170">
        <v>-5.8305000000000003E-2</v>
      </c>
      <c r="AH5170">
        <v>0.640735083199517</v>
      </c>
      <c r="AI5170">
        <v>95.176916905324703</v>
      </c>
      <c r="AJ5170">
        <v>84.651989930624396</v>
      </c>
      <c r="AK5170">
        <v>0.64617227622597095</v>
      </c>
      <c r="AL5170">
        <v>81.463692669785104</v>
      </c>
      <c r="AM5170">
        <v>82.183532803000404</v>
      </c>
      <c r="AN5170">
        <v>0.999999977019294</v>
      </c>
    </row>
    <row r="5171" spans="1:40" x14ac:dyDescent="0.25">
      <c r="A5171" t="str">
        <f>"20190312164610286"</f>
        <v>20190312164610286</v>
      </c>
      <c r="B5171" t="str">
        <f>"1552380370276499"</f>
        <v>1552380370276499</v>
      </c>
      <c r="C5171" t="s">
        <v>40</v>
      </c>
      <c r="D5171">
        <v>4.9299739999999996</v>
      </c>
      <c r="E5171">
        <v>0.48496810000000001</v>
      </c>
      <c r="F5171" t="s">
        <v>41</v>
      </c>
      <c r="G5171">
        <v>-340.22030000000001</v>
      </c>
      <c r="H5171">
        <v>1.041642</v>
      </c>
      <c r="I5171">
        <v>17.266660000000002</v>
      </c>
      <c r="J5171">
        <v>-340.97579999999999</v>
      </c>
      <c r="K5171">
        <v>1.1085529999999999</v>
      </c>
      <c r="L5171">
        <v>17.331209999999999</v>
      </c>
      <c r="M5171">
        <v>0.99989689999999998</v>
      </c>
      <c r="N5171">
        <v>0</v>
      </c>
      <c r="O5171">
        <v>4.6602240000000001E-3</v>
      </c>
      <c r="P5171">
        <v>0.98220320000000005</v>
      </c>
      <c r="Q5171">
        <v>0.13505790000000001</v>
      </c>
      <c r="R5171">
        <v>-0.13052339999999901</v>
      </c>
      <c r="S5171">
        <v>3.0566409999999999</v>
      </c>
      <c r="T5171">
        <v>-0.22570680000000001</v>
      </c>
      <c r="U5171">
        <v>-0.21569820000000001</v>
      </c>
      <c r="V5171">
        <v>0.13525309999999999</v>
      </c>
      <c r="W5171">
        <v>0.14824419999999999</v>
      </c>
      <c r="X5171">
        <v>0.97965820000000003</v>
      </c>
      <c r="Y5171">
        <v>7.4825030000000001E-2</v>
      </c>
      <c r="Z5171">
        <v>-3.0986970000000001E-3</v>
      </c>
      <c r="AA5171">
        <v>0.99719179999999996</v>
      </c>
      <c r="AB5171">
        <v>30</v>
      </c>
      <c r="AC5171">
        <v>0.75549999999998296</v>
      </c>
      <c r="AD5171">
        <v>-6.6911000000000095E-2</v>
      </c>
      <c r="AE5171">
        <v>-6.4550000000000496E-2</v>
      </c>
      <c r="AF5171">
        <v>6.7544457780734493E-2</v>
      </c>
      <c r="AG5171">
        <v>-6.6911000000000095E-2</v>
      </c>
      <c r="AH5171">
        <v>0.74935575520820397</v>
      </c>
      <c r="AI5171">
        <v>95.081992249127097</v>
      </c>
      <c r="AJ5171">
        <v>84.849465917619099</v>
      </c>
      <c r="AK5171">
        <v>0.75536308061855295</v>
      </c>
      <c r="AL5171">
        <v>81.474810644459694</v>
      </c>
      <c r="AM5171">
        <v>82.1393501484052</v>
      </c>
      <c r="AN5171">
        <v>0.99999996636024402</v>
      </c>
    </row>
    <row r="5172" spans="1:40" x14ac:dyDescent="0.25">
      <c r="A5172" t="str">
        <f>"20190312164610296"</f>
        <v>20190312164610296</v>
      </c>
      <c r="B5172" t="str">
        <f>"1552380370286259"</f>
        <v>1552380370286259</v>
      </c>
      <c r="C5172" t="s">
        <v>40</v>
      </c>
      <c r="D5172">
        <v>4.8816169999999897</v>
      </c>
      <c r="E5172">
        <v>0.48429050000000001</v>
      </c>
      <c r="F5172" t="s">
        <v>41</v>
      </c>
      <c r="G5172">
        <v>-340.21230000000003</v>
      </c>
      <c r="H5172">
        <v>1.05148</v>
      </c>
      <c r="I5172">
        <v>17.273350000000001</v>
      </c>
      <c r="J5172">
        <v>-340.83359999999999</v>
      </c>
      <c r="K5172">
        <v>1.1085529999999999</v>
      </c>
      <c r="L5172">
        <v>17.331600000000002</v>
      </c>
      <c r="M5172">
        <v>0.99989810000000001</v>
      </c>
      <c r="N5172">
        <v>0</v>
      </c>
      <c r="O5172">
        <v>4.4234690000000002E-3</v>
      </c>
      <c r="P5172">
        <v>0.98210500000000001</v>
      </c>
      <c r="Q5172">
        <v>0.13491909999999999</v>
      </c>
      <c r="R5172">
        <v>-0.1314033</v>
      </c>
      <c r="S5172">
        <v>3.0550229999999998</v>
      </c>
      <c r="T5172">
        <v>-0.2283975</v>
      </c>
      <c r="U5172">
        <v>-0.2310181</v>
      </c>
      <c r="V5172">
        <v>0.1358993</v>
      </c>
      <c r="W5172">
        <v>0.1481036</v>
      </c>
      <c r="X5172">
        <v>0.97959010000000002</v>
      </c>
      <c r="Y5172">
        <v>7.9581239999999998E-2</v>
      </c>
      <c r="Z5172">
        <v>-3.2962540000000002E-3</v>
      </c>
      <c r="AA5172">
        <v>0.99682300000000001</v>
      </c>
      <c r="AB5172">
        <v>30</v>
      </c>
      <c r="AC5172">
        <v>0.62129999999996199</v>
      </c>
      <c r="AD5172">
        <v>-5.7073000000000103E-2</v>
      </c>
      <c r="AE5172">
        <v>-5.8250000000001002E-2</v>
      </c>
      <c r="AF5172">
        <v>6.0491978420590703E-2</v>
      </c>
      <c r="AG5172">
        <v>-5.7073000000000103E-2</v>
      </c>
      <c r="AH5172">
        <v>0.61588445123825197</v>
      </c>
      <c r="AI5172">
        <v>95.269173842644093</v>
      </c>
      <c r="AJ5172">
        <v>84.390419003388999</v>
      </c>
      <c r="AK5172">
        <v>0.62147426661067795</v>
      </c>
      <c r="AL5172">
        <v>81.482956895602101</v>
      </c>
      <c r="AM5172">
        <v>82.101724941642104</v>
      </c>
      <c r="AN5172">
        <v>1.0000000300457199</v>
      </c>
    </row>
    <row r="5173" spans="1:40" x14ac:dyDescent="0.25">
      <c r="A5173" t="str">
        <f>"20190312164610307"</f>
        <v>20190312164610307</v>
      </c>
      <c r="B5173" t="str">
        <f>"1552380370296996"</f>
        <v>1552380370296996</v>
      </c>
      <c r="C5173" t="s">
        <v>40</v>
      </c>
      <c r="D5173">
        <v>5.0829370000000003</v>
      </c>
      <c r="E5173">
        <v>0.48446650000000002</v>
      </c>
      <c r="F5173" t="s">
        <v>41</v>
      </c>
      <c r="G5173">
        <v>-339.95190000000002</v>
      </c>
      <c r="H5173">
        <v>1.044459</v>
      </c>
      <c r="I5173">
        <v>17.2654</v>
      </c>
      <c r="J5173">
        <v>-340.69240000000002</v>
      </c>
      <c r="K5173">
        <v>1.108562</v>
      </c>
      <c r="L5173">
        <v>17.332000000000001</v>
      </c>
      <c r="M5173">
        <v>0.99989899999999998</v>
      </c>
      <c r="N5173">
        <v>0</v>
      </c>
      <c r="O5173">
        <v>4.1890419999999996E-3</v>
      </c>
      <c r="P5173">
        <v>0.98201470000000002</v>
      </c>
      <c r="Q5173">
        <v>0.13479260000000001</v>
      </c>
      <c r="R5173">
        <v>-0.1322062</v>
      </c>
      <c r="S5173">
        <v>3.0545960000000001</v>
      </c>
      <c r="T5173">
        <v>-0.2220386</v>
      </c>
      <c r="U5173">
        <v>-0.22857669999999999</v>
      </c>
      <c r="V5173">
        <v>0.13647029999999999</v>
      </c>
      <c r="W5173">
        <v>0.14797539999999901</v>
      </c>
      <c r="X5173">
        <v>0.97953000000000001</v>
      </c>
      <c r="Y5173">
        <v>7.8581680000000001E-2</v>
      </c>
      <c r="Z5173">
        <v>-3.1520400000000001E-3</v>
      </c>
      <c r="AA5173">
        <v>0.99690270000000003</v>
      </c>
      <c r="AB5173">
        <v>30</v>
      </c>
      <c r="AC5173">
        <v>0.74049999999999705</v>
      </c>
      <c r="AD5173">
        <v>-6.4102999999999993E-2</v>
      </c>
      <c r="AE5173">
        <v>-6.6600000000001103E-2</v>
      </c>
      <c r="AF5173">
        <v>6.9187365986768001E-2</v>
      </c>
      <c r="AG5173">
        <v>-6.4102999999999993E-2</v>
      </c>
      <c r="AH5173">
        <v>0.73475252251935397</v>
      </c>
      <c r="AI5173">
        <v>94.964257686762394</v>
      </c>
      <c r="AJ5173">
        <v>84.620652068310804</v>
      </c>
      <c r="AK5173">
        <v>0.74078158425391505</v>
      </c>
      <c r="AL5173">
        <v>81.490383290383605</v>
      </c>
      <c r="AM5173">
        <v>82.068480229722894</v>
      </c>
      <c r="AN5173">
        <v>0.99999994134362302</v>
      </c>
    </row>
    <row r="5174" spans="1:40" x14ac:dyDescent="0.25">
      <c r="A5174" t="str">
        <f>"20190312164610319"</f>
        <v>20190312164610319</v>
      </c>
      <c r="B5174" t="str">
        <f>"1552380370306755"</f>
        <v>1552380370306755</v>
      </c>
      <c r="C5174" t="s">
        <v>40</v>
      </c>
      <c r="D5174">
        <v>4.9404899999999996</v>
      </c>
      <c r="E5174">
        <v>0.48432959999999903</v>
      </c>
      <c r="F5174" t="s">
        <v>42</v>
      </c>
      <c r="G5174">
        <v>-324.28680000000003</v>
      </c>
      <c r="H5174" s="1">
        <v>-3.3085679999999999E-6</v>
      </c>
      <c r="I5174">
        <v>16.079170000000001</v>
      </c>
      <c r="J5174">
        <v>-340.54219999999998</v>
      </c>
      <c r="K5174">
        <v>1.1085670000000001</v>
      </c>
      <c r="L5174">
        <v>17.332339999999999</v>
      </c>
      <c r="M5174">
        <v>0.99990000000000001</v>
      </c>
      <c r="N5174">
        <v>0</v>
      </c>
      <c r="O5174">
        <v>3.9451770000000002E-3</v>
      </c>
      <c r="P5174">
        <v>0.98185619999999996</v>
      </c>
      <c r="Q5174">
        <v>0.1347826</v>
      </c>
      <c r="R5174">
        <v>-0.13338849999999999</v>
      </c>
      <c r="S5174">
        <v>3.0519099999999999</v>
      </c>
      <c r="T5174">
        <v>-0.2062243</v>
      </c>
      <c r="U5174">
        <v>-0.23306270000000001</v>
      </c>
      <c r="V5174">
        <v>0.13741110000000001</v>
      </c>
      <c r="W5174">
        <v>0.14796309999999999</v>
      </c>
      <c r="X5174">
        <v>0.97940039999999995</v>
      </c>
      <c r="Y5174">
        <v>7.9887899999999901E-2</v>
      </c>
      <c r="Z5174">
        <v>-2.9580499999999998E-3</v>
      </c>
      <c r="AA5174">
        <v>0.99679949999999995</v>
      </c>
      <c r="AB5174">
        <v>30</v>
      </c>
      <c r="AC5174">
        <v>16.255399999999899</v>
      </c>
      <c r="AD5174">
        <v>-1.1085703085680001</v>
      </c>
      <c r="AE5174">
        <v>-1.2531699999999899</v>
      </c>
      <c r="AF5174">
        <v>1.3112342827204599</v>
      </c>
      <c r="AG5174">
        <v>-1.1085703085680001</v>
      </c>
      <c r="AH5174">
        <v>16.175543683757201</v>
      </c>
      <c r="AI5174">
        <v>93.907784473429999</v>
      </c>
      <c r="AJ5174">
        <v>85.365579202790201</v>
      </c>
      <c r="AK5174">
        <v>16.266421761972101</v>
      </c>
      <c r="AL5174">
        <v>81.491096516395004</v>
      </c>
      <c r="AM5174">
        <v>82.013461773713999</v>
      </c>
      <c r="AN5174">
        <v>1.00000001644248</v>
      </c>
    </row>
    <row r="5175" spans="1:40" x14ac:dyDescent="0.25">
      <c r="A5175" t="str">
        <f>"20190312164610331"</f>
        <v>20190312164610331</v>
      </c>
      <c r="B5175" t="str">
        <f>"1552380370326275"</f>
        <v>1552380370326275</v>
      </c>
      <c r="C5175" t="s">
        <v>40</v>
      </c>
      <c r="D5175">
        <v>4.8235089999999996</v>
      </c>
      <c r="E5175">
        <v>0.48458679999999899</v>
      </c>
      <c r="F5175" t="s">
        <v>41</v>
      </c>
      <c r="G5175">
        <v>-339.68</v>
      </c>
      <c r="H5175">
        <v>1.0502880000000001</v>
      </c>
      <c r="I5175">
        <v>17.265709999999999</v>
      </c>
      <c r="J5175">
        <v>-340.38170000000002</v>
      </c>
      <c r="K5175">
        <v>1.1085739999999999</v>
      </c>
      <c r="L5175">
        <v>17.332699999999999</v>
      </c>
      <c r="M5175">
        <v>0.99990109999999999</v>
      </c>
      <c r="N5175">
        <v>0</v>
      </c>
      <c r="O5175">
        <v>3.686847E-3</v>
      </c>
      <c r="P5175">
        <v>0.98174910000000004</v>
      </c>
      <c r="Q5175">
        <v>0.13469100000000001</v>
      </c>
      <c r="R5175">
        <v>-0.13426660000000001</v>
      </c>
      <c r="S5175">
        <v>3.0517880000000002</v>
      </c>
      <c r="T5175">
        <v>-0.2062736</v>
      </c>
      <c r="U5175">
        <v>-0.23529050000000001</v>
      </c>
      <c r="V5175">
        <v>0.138033399999999</v>
      </c>
      <c r="W5175">
        <v>0.14787069999999999</v>
      </c>
      <c r="X5175">
        <v>0.97932680000000005</v>
      </c>
      <c r="Y5175">
        <v>8.0356209999999997E-2</v>
      </c>
      <c r="Z5175">
        <v>-2.9571580000000001E-3</v>
      </c>
      <c r="AA5175">
        <v>0.99676180000000003</v>
      </c>
      <c r="AB5175">
        <v>30</v>
      </c>
      <c r="AC5175">
        <v>0.70170000000001598</v>
      </c>
      <c r="AD5175">
        <v>-5.8285999999999998E-2</v>
      </c>
      <c r="AE5175">
        <v>-6.6989999999996996E-2</v>
      </c>
      <c r="AF5175">
        <v>6.9104355584308705E-2</v>
      </c>
      <c r="AG5175">
        <v>-5.8285999999999998E-2</v>
      </c>
      <c r="AH5175">
        <v>0.69668477590076905</v>
      </c>
      <c r="AI5175">
        <v>94.759092807903897</v>
      </c>
      <c r="AJ5175">
        <v>84.335344928320893</v>
      </c>
      <c r="AK5175">
        <v>0.70252569115202301</v>
      </c>
      <c r="AL5175">
        <v>81.496449152588895</v>
      </c>
      <c r="AM5175">
        <v>81.977167534451496</v>
      </c>
      <c r="AN5175">
        <v>0.99999997231614401</v>
      </c>
    </row>
    <row r="5176" spans="1:40" x14ac:dyDescent="0.25">
      <c r="A5176" t="str">
        <f>"20190312164610354"</f>
        <v>20190312164610354</v>
      </c>
      <c r="B5176" t="str">
        <f>"1552380370346774"</f>
        <v>1552380370346774</v>
      </c>
      <c r="C5176" t="s">
        <v>40</v>
      </c>
      <c r="D5176">
        <v>5.1153760000000004</v>
      </c>
      <c r="E5176">
        <v>0.48341909999999999</v>
      </c>
      <c r="F5176" t="s">
        <v>41</v>
      </c>
      <c r="G5176">
        <v>-339.4194</v>
      </c>
      <c r="H5176">
        <v>1.043166</v>
      </c>
      <c r="I5176">
        <v>17.25694</v>
      </c>
      <c r="J5176">
        <v>-340.0718</v>
      </c>
      <c r="K5176">
        <v>1.108589</v>
      </c>
      <c r="L5176">
        <v>17.333279999999998</v>
      </c>
      <c r="M5176">
        <v>0.99990259999999997</v>
      </c>
      <c r="N5176">
        <v>0</v>
      </c>
      <c r="O5176">
        <v>3.2076930000000002E-3</v>
      </c>
      <c r="P5176">
        <v>0.98139200000000004</v>
      </c>
      <c r="Q5176">
        <v>0.1350894</v>
      </c>
      <c r="R5176">
        <v>-0.13645769999999999</v>
      </c>
      <c r="S5176">
        <v>3.051453</v>
      </c>
      <c r="T5176">
        <v>-0.20745430000000001</v>
      </c>
      <c r="U5176">
        <v>-0.2398071</v>
      </c>
      <c r="V5176">
        <v>0.13974800000000001</v>
      </c>
      <c r="W5176">
        <v>0.148266799999999</v>
      </c>
      <c r="X5176">
        <v>0.9790238</v>
      </c>
      <c r="Y5176">
        <v>8.1350019999999995E-2</v>
      </c>
      <c r="Z5176">
        <v>-2.9754E-3</v>
      </c>
      <c r="AA5176">
        <v>0.99668120000000004</v>
      </c>
      <c r="AB5176">
        <v>30</v>
      </c>
      <c r="AC5176">
        <v>0.65239999999999998</v>
      </c>
      <c r="AD5176">
        <v>-6.5422999999999995E-2</v>
      </c>
      <c r="AE5176">
        <v>-7.6339999999998298E-2</v>
      </c>
      <c r="AF5176">
        <v>7.76620645579119E-2</v>
      </c>
      <c r="AG5176">
        <v>-6.5422999999999995E-2</v>
      </c>
      <c r="AH5176">
        <v>0.64574572356124704</v>
      </c>
      <c r="AI5176">
        <v>95.744005059417503</v>
      </c>
      <c r="AJ5176">
        <v>83.142131943654903</v>
      </c>
      <c r="AK5176">
        <v>0.65368119500107702</v>
      </c>
      <c r="AL5176">
        <v>81.473502216815405</v>
      </c>
      <c r="AM5176">
        <v>81.876352410057706</v>
      </c>
      <c r="AN5176">
        <v>1.00000007422633</v>
      </c>
    </row>
    <row r="5177" spans="1:40" x14ac:dyDescent="0.25">
      <c r="A5177" t="str">
        <f>"20190312164610364"</f>
        <v>20190312164610364</v>
      </c>
      <c r="B5177" t="str">
        <f>"1552380370356531"</f>
        <v>1552380370356531</v>
      </c>
      <c r="C5177" t="s">
        <v>40</v>
      </c>
      <c r="D5177">
        <v>4.9692790000000002</v>
      </c>
      <c r="E5177">
        <v>0.4836859</v>
      </c>
      <c r="F5177" t="s">
        <v>41</v>
      </c>
      <c r="G5177">
        <v>-339.17329999999998</v>
      </c>
      <c r="H5177">
        <v>1.0028030000000001</v>
      </c>
      <c r="I5177">
        <v>17.267160000000001</v>
      </c>
      <c r="J5177">
        <v>-339.93459999999999</v>
      </c>
      <c r="K5177">
        <v>1.108598</v>
      </c>
      <c r="L5177">
        <v>17.333500000000001</v>
      </c>
      <c r="M5177">
        <v>0.99990330000000005</v>
      </c>
      <c r="N5177">
        <v>0</v>
      </c>
      <c r="O5177">
        <v>3.0019719999999999E-3</v>
      </c>
      <c r="P5177">
        <v>0.98120309999999999</v>
      </c>
      <c r="Q5177">
        <v>0.1354322</v>
      </c>
      <c r="R5177">
        <v>-0.13747200000000001</v>
      </c>
      <c r="S5177">
        <v>3.0752869999999999</v>
      </c>
      <c r="T5177">
        <v>-0.36206050000000001</v>
      </c>
      <c r="U5177">
        <v>-0.22613530000000001</v>
      </c>
      <c r="V5177">
        <v>0.1405575</v>
      </c>
      <c r="W5177">
        <v>0.14860870000000001</v>
      </c>
      <c r="X5177">
        <v>0.97885599999999995</v>
      </c>
      <c r="Y5177">
        <v>7.578762E-2</v>
      </c>
      <c r="Z5177">
        <v>-4.7918240000000001E-3</v>
      </c>
      <c r="AA5177">
        <v>0.99711249999999996</v>
      </c>
      <c r="AB5177">
        <v>30</v>
      </c>
      <c r="AC5177">
        <v>0.76130000000000497</v>
      </c>
      <c r="AD5177">
        <v>-0.105794999999999</v>
      </c>
      <c r="AE5177">
        <v>-6.6340000000000204E-2</v>
      </c>
      <c r="AF5177">
        <v>6.7334769466680794E-2</v>
      </c>
      <c r="AG5177">
        <v>-0.105794999999999</v>
      </c>
      <c r="AH5177">
        <v>0.74678446917290597</v>
      </c>
      <c r="AI5177">
        <v>98.031133622277494</v>
      </c>
      <c r="AJ5177">
        <v>84.847785605030793</v>
      </c>
      <c r="AK5177">
        <v>0.75724077848593896</v>
      </c>
      <c r="AL5177">
        <v>81.4536928132312</v>
      </c>
      <c r="AM5177">
        <v>81.828547477194704</v>
      </c>
      <c r="AN5177">
        <v>1.0000000126289601</v>
      </c>
    </row>
    <row r="5178" spans="1:40" x14ac:dyDescent="0.25">
      <c r="A5178" t="str">
        <f>"20190312164610377"</f>
        <v>20190312164610377</v>
      </c>
      <c r="B5178" t="str">
        <f>"1552380370366292"</f>
        <v>1552380370366292</v>
      </c>
      <c r="C5178" t="s">
        <v>40</v>
      </c>
      <c r="D5178">
        <v>5.0519439999999998</v>
      </c>
      <c r="E5178">
        <v>0.48485929999999999</v>
      </c>
      <c r="F5178" t="s">
        <v>41</v>
      </c>
      <c r="G5178">
        <v>-339.16129999999998</v>
      </c>
      <c r="H5178">
        <v>1.0269779999999999</v>
      </c>
      <c r="I5178">
        <v>17.274660000000001</v>
      </c>
      <c r="J5178">
        <v>-339.77190000000002</v>
      </c>
      <c r="K5178">
        <v>1.1086119999999999</v>
      </c>
      <c r="L5178">
        <v>17.333739999999999</v>
      </c>
      <c r="M5178">
        <v>0.99990389999999996</v>
      </c>
      <c r="N5178">
        <v>0</v>
      </c>
      <c r="O5178">
        <v>2.7658299999999999E-3</v>
      </c>
      <c r="P5178">
        <v>0.98101389999999999</v>
      </c>
      <c r="Q5178">
        <v>0.13571720000000001</v>
      </c>
      <c r="R5178">
        <v>-0.1385372</v>
      </c>
      <c r="S5178">
        <v>3.069458</v>
      </c>
      <c r="T5178">
        <v>-0.32398100000000002</v>
      </c>
      <c r="U5178">
        <v>-0.23336789999999999</v>
      </c>
      <c r="V5178">
        <v>0.14138719999999999</v>
      </c>
      <c r="W5178">
        <v>0.148893</v>
      </c>
      <c r="X5178">
        <v>0.97869320000000004</v>
      </c>
      <c r="Y5178">
        <v>7.8121319999999994E-2</v>
      </c>
      <c r="Z5178">
        <v>-4.3962979999999999E-3</v>
      </c>
      <c r="AA5178">
        <v>0.99693419999999999</v>
      </c>
      <c r="AB5178">
        <v>30</v>
      </c>
      <c r="AC5178">
        <v>0.61060000000003301</v>
      </c>
      <c r="AD5178">
        <v>-8.1633999999999901E-2</v>
      </c>
      <c r="AE5178">
        <v>-5.9079999999998002E-2</v>
      </c>
      <c r="AF5178">
        <v>5.9711347620875203E-2</v>
      </c>
      <c r="AG5178">
        <v>-8.1633999999999901E-2</v>
      </c>
      <c r="AH5178">
        <v>0.599812468582679</v>
      </c>
      <c r="AI5178">
        <v>97.712630812343704</v>
      </c>
      <c r="AJ5178">
        <v>84.314934272103002</v>
      </c>
      <c r="AK5178">
        <v>0.60827999511569297</v>
      </c>
      <c r="AL5178">
        <v>81.437219587012393</v>
      </c>
      <c r="AM5178">
        <v>81.779620627922995</v>
      </c>
      <c r="AN5178">
        <v>0.99999992274953697</v>
      </c>
    </row>
    <row r="5179" spans="1:40" x14ac:dyDescent="0.25">
      <c r="A5179" t="str">
        <f>"20190312164610388"</f>
        <v>20190312164610388</v>
      </c>
      <c r="B5179" t="str">
        <f>"1552380370377027"</f>
        <v>1552380370377027</v>
      </c>
      <c r="C5179" t="s">
        <v>40</v>
      </c>
      <c r="D5179">
        <v>5.0603379999999998</v>
      </c>
      <c r="E5179">
        <v>0.48501820000000001</v>
      </c>
      <c r="F5179" t="s">
        <v>41</v>
      </c>
      <c r="G5179">
        <v>-338.89830000000001</v>
      </c>
      <c r="H5179">
        <v>1.0209619999999999</v>
      </c>
      <c r="I5179">
        <v>17.26323</v>
      </c>
      <c r="J5179">
        <v>-339.62009999999998</v>
      </c>
      <c r="K5179">
        <v>1.108622</v>
      </c>
      <c r="L5179">
        <v>17.333919999999999</v>
      </c>
      <c r="M5179">
        <v>0.99990449999999997</v>
      </c>
      <c r="N5179">
        <v>0</v>
      </c>
      <c r="O5179">
        <v>2.5486340000000001E-3</v>
      </c>
      <c r="P5179">
        <v>0.98079689999999997</v>
      </c>
      <c r="Q5179">
        <v>0.13577709999999901</v>
      </c>
      <c r="R5179">
        <v>-0.14000770000000001</v>
      </c>
      <c r="S5179">
        <v>3.0658259999999999</v>
      </c>
      <c r="T5179">
        <v>-0.30761309999999997</v>
      </c>
      <c r="U5179">
        <v>-0.24655150000000001</v>
      </c>
      <c r="V5179">
        <v>0.14264070000000001</v>
      </c>
      <c r="W5179">
        <v>0.14895149999999999</v>
      </c>
      <c r="X5179">
        <v>0.97850250000000005</v>
      </c>
      <c r="Y5179">
        <v>8.2277690000000001E-2</v>
      </c>
      <c r="Z5179">
        <v>-4.3654899999999996E-3</v>
      </c>
      <c r="AA5179">
        <v>0.99659989999999998</v>
      </c>
      <c r="AB5179">
        <v>30</v>
      </c>
      <c r="AC5179">
        <v>0.72179999999997302</v>
      </c>
      <c r="AD5179">
        <v>-8.7659999999999794E-2</v>
      </c>
      <c r="AE5179">
        <v>-7.0690000000002501E-2</v>
      </c>
      <c r="AF5179">
        <v>7.1485209373641098E-2</v>
      </c>
      <c r="AG5179">
        <v>-8.7659999999999794E-2</v>
      </c>
      <c r="AH5179">
        <v>0.71122708644024002</v>
      </c>
      <c r="AI5179">
        <v>96.991495510383203</v>
      </c>
      <c r="AJ5179">
        <v>84.260494744798507</v>
      </c>
      <c r="AK5179">
        <v>0.72016552211659401</v>
      </c>
      <c r="AL5179">
        <v>81.433830916509507</v>
      </c>
      <c r="AM5179">
        <v>81.706156489692106</v>
      </c>
      <c r="AN5179">
        <v>1.0000000305774901</v>
      </c>
    </row>
    <row r="5180" spans="1:40" x14ac:dyDescent="0.25">
      <c r="A5180" t="str">
        <f>"20190312164610400"</f>
        <v>20190312164610400</v>
      </c>
      <c r="B5180" t="str">
        <f>"1552380370396547"</f>
        <v>1552380370396547</v>
      </c>
      <c r="C5180" t="s">
        <v>40</v>
      </c>
      <c r="D5180">
        <v>4.9127859999999997</v>
      </c>
      <c r="E5180">
        <v>0.48593009999999898</v>
      </c>
      <c r="F5180" t="s">
        <v>41</v>
      </c>
      <c r="G5180">
        <v>-338.88810000000001</v>
      </c>
      <c r="H5180">
        <v>1.0416259999999999</v>
      </c>
      <c r="I5180">
        <v>17.272950000000002</v>
      </c>
      <c r="J5180">
        <v>-339.46859999999998</v>
      </c>
      <c r="K5180">
        <v>1.1086339999999999</v>
      </c>
      <c r="L5180">
        <v>17.33408</v>
      </c>
      <c r="M5180">
        <v>0.99990500000000004</v>
      </c>
      <c r="N5180">
        <v>0</v>
      </c>
      <c r="O5180">
        <v>2.3439060000000002E-3</v>
      </c>
      <c r="P5180">
        <v>0.98062559999999999</v>
      </c>
      <c r="Q5180">
        <v>0.13604729999999901</v>
      </c>
      <c r="R5180">
        <v>-0.1409425</v>
      </c>
      <c r="S5180">
        <v>3.0612789999999999</v>
      </c>
      <c r="T5180">
        <v>-0.28018890000000002</v>
      </c>
      <c r="U5180">
        <v>-0.25393680000000002</v>
      </c>
      <c r="V5180">
        <v>0.143371</v>
      </c>
      <c r="W5180">
        <v>0.14922160000000001</v>
      </c>
      <c r="X5180">
        <v>0.97835459999999996</v>
      </c>
      <c r="Y5180">
        <v>8.4642019999999998E-2</v>
      </c>
      <c r="Z5180">
        <v>-4.0725830000000003E-3</v>
      </c>
      <c r="AA5180">
        <v>0.99640309999999999</v>
      </c>
      <c r="AB5180">
        <v>30</v>
      </c>
      <c r="AC5180">
        <v>0.58049999999997204</v>
      </c>
      <c r="AD5180">
        <v>-6.7008000000000095E-2</v>
      </c>
      <c r="AE5180">
        <v>-6.1129999999998498E-2</v>
      </c>
      <c r="AF5180">
        <v>6.1677786719685899E-2</v>
      </c>
      <c r="AG5180">
        <v>-6.7008000000000095E-2</v>
      </c>
      <c r="AH5180">
        <v>0.57280649384488003</v>
      </c>
      <c r="AI5180">
        <v>96.6342403770294</v>
      </c>
      <c r="AJ5180">
        <v>83.854270830559599</v>
      </c>
      <c r="AK5180">
        <v>0.58000129381709498</v>
      </c>
      <c r="AL5180">
        <v>81.418180383556603</v>
      </c>
      <c r="AM5180">
        <v>81.663045948610502</v>
      </c>
      <c r="AN5180">
        <v>1.00000002644435</v>
      </c>
    </row>
    <row r="5181" spans="1:40" x14ac:dyDescent="0.25">
      <c r="A5181" t="str">
        <f>"20190312164610412"</f>
        <v>20190312164610412</v>
      </c>
      <c r="B5181" t="str">
        <f>"1552380370406307"</f>
        <v>1552380370406307</v>
      </c>
      <c r="C5181" t="s">
        <v>40</v>
      </c>
      <c r="D5181">
        <v>4.8556100000000004</v>
      </c>
      <c r="E5181">
        <v>0.48577999999999999</v>
      </c>
      <c r="F5181" t="s">
        <v>41</v>
      </c>
      <c r="G5181">
        <v>-338.62400000000002</v>
      </c>
      <c r="H5181">
        <v>1.0380659999999999</v>
      </c>
      <c r="I5181">
        <v>17.260560000000002</v>
      </c>
      <c r="J5181">
        <v>-339.31060000000002</v>
      </c>
      <c r="K5181">
        <v>1.108638</v>
      </c>
      <c r="L5181">
        <v>17.334229999999899</v>
      </c>
      <c r="M5181">
        <v>0.9999055</v>
      </c>
      <c r="N5181">
        <v>0</v>
      </c>
      <c r="O5181">
        <v>2.1341189999999999E-3</v>
      </c>
      <c r="P5181">
        <v>0.98045649999999995</v>
      </c>
      <c r="Q5181">
        <v>0.1361086</v>
      </c>
      <c r="R5181">
        <v>-0.14205390000000001</v>
      </c>
      <c r="S5181">
        <v>3.056549</v>
      </c>
      <c r="T5181">
        <v>-0.25541910000000001</v>
      </c>
      <c r="U5181">
        <v>-0.26550289999999999</v>
      </c>
      <c r="V5181">
        <v>0.14427290000000001</v>
      </c>
      <c r="W5181">
        <v>0.1492829</v>
      </c>
      <c r="X5181">
        <v>0.97821270000000005</v>
      </c>
      <c r="Y5181">
        <v>8.835084E-2</v>
      </c>
      <c r="Z5181">
        <v>-3.855902E-3</v>
      </c>
      <c r="AA5181">
        <v>0.99608189999999996</v>
      </c>
      <c r="AB5181">
        <v>30</v>
      </c>
      <c r="AC5181">
        <v>0.68659999999999799</v>
      </c>
      <c r="AD5181">
        <v>-7.0571999999999996E-2</v>
      </c>
      <c r="AE5181">
        <v>-7.3669999999996294E-2</v>
      </c>
      <c r="AF5181">
        <v>7.4358617914645195E-2</v>
      </c>
      <c r="AG5181">
        <v>-7.0571999999999996E-2</v>
      </c>
      <c r="AH5181">
        <v>0.67934580169918202</v>
      </c>
      <c r="AI5181">
        <v>95.895781816537806</v>
      </c>
      <c r="AJ5181">
        <v>83.753487609444605</v>
      </c>
      <c r="AK5181">
        <v>0.68703735671976396</v>
      </c>
      <c r="AL5181">
        <v>81.414628745042904</v>
      </c>
      <c r="AM5181">
        <v>81.610145338727605</v>
      </c>
      <c r="AN5181">
        <v>1.0000000701740499</v>
      </c>
    </row>
    <row r="5182" spans="1:40" x14ac:dyDescent="0.25">
      <c r="A5182" t="str">
        <f>"20190312164610432"</f>
        <v>20190312164610432</v>
      </c>
      <c r="B5182" t="str">
        <f>"1552380370426803"</f>
        <v>1552380370426803</v>
      </c>
      <c r="C5182" t="s">
        <v>40</v>
      </c>
      <c r="D5182">
        <v>4.9641869999999999</v>
      </c>
      <c r="E5182">
        <v>0.48667820000000001</v>
      </c>
      <c r="F5182" t="s">
        <v>41</v>
      </c>
      <c r="G5182">
        <v>-338.3603</v>
      </c>
      <c r="H5182">
        <v>1.0341659999999999</v>
      </c>
      <c r="I5182">
        <v>17.250309999999999</v>
      </c>
      <c r="J5182">
        <v>-339.04149999999998</v>
      </c>
      <c r="K5182">
        <v>1.108657</v>
      </c>
      <c r="L5182">
        <v>17.334379999999999</v>
      </c>
      <c r="M5182">
        <v>0.99990630000000003</v>
      </c>
      <c r="N5182">
        <v>0</v>
      </c>
      <c r="O5182">
        <v>1.795306E-3</v>
      </c>
      <c r="P5182">
        <v>0.98013280000000003</v>
      </c>
      <c r="Q5182">
        <v>0.13610739999999999</v>
      </c>
      <c r="R5182">
        <v>-0.14427279999999901</v>
      </c>
      <c r="S5182">
        <v>3.0540769999999999</v>
      </c>
      <c r="T5182">
        <v>-0.2393245</v>
      </c>
      <c r="U5182">
        <v>-0.26882929999999999</v>
      </c>
      <c r="V5182">
        <v>0.14615239999999999</v>
      </c>
      <c r="W5182">
        <v>0.1492811</v>
      </c>
      <c r="X5182">
        <v>0.97793390000000002</v>
      </c>
      <c r="Y5182">
        <v>8.9195679999999999E-2</v>
      </c>
      <c r="Z5182">
        <v>-3.622952E-3</v>
      </c>
      <c r="AA5182">
        <v>0.99600759999999999</v>
      </c>
      <c r="AB5182">
        <v>30</v>
      </c>
      <c r="AC5182">
        <v>0.68119999999998904</v>
      </c>
      <c r="AD5182">
        <v>-7.4491000000000002E-2</v>
      </c>
      <c r="AE5182">
        <v>-8.4070000000000505E-2</v>
      </c>
      <c r="AF5182">
        <v>8.4300004178812699E-2</v>
      </c>
      <c r="AG5182">
        <v>-7.4491000000000002E-2</v>
      </c>
      <c r="AH5182">
        <v>0.67311955582737004</v>
      </c>
      <c r="AI5182">
        <v>96.266403249329997</v>
      </c>
      <c r="AJ5182">
        <v>82.861569403340695</v>
      </c>
      <c r="AK5182">
        <v>0.68245537306316495</v>
      </c>
      <c r="AL5182">
        <v>81.414732800782105</v>
      </c>
      <c r="AM5182">
        <v>81.500045881727701</v>
      </c>
      <c r="AN5182">
        <v>1.0000000418060799</v>
      </c>
    </row>
    <row r="5183" spans="1:40" x14ac:dyDescent="0.25">
      <c r="A5183" t="str">
        <f>"20190312164610443"</f>
        <v>20190312164610443</v>
      </c>
      <c r="B5183" t="str">
        <f>"1552380370436563"</f>
        <v>1552380370436563</v>
      </c>
      <c r="C5183" t="s">
        <v>40</v>
      </c>
      <c r="D5183">
        <v>4.9382820000000001</v>
      </c>
      <c r="E5183">
        <v>0.48629080000000002</v>
      </c>
      <c r="F5183" t="s">
        <v>41</v>
      </c>
      <c r="G5183">
        <v>-338.09390000000002</v>
      </c>
      <c r="H5183">
        <v>1.0363500000000001</v>
      </c>
      <c r="I5183">
        <v>17.246410000000001</v>
      </c>
      <c r="J5183">
        <v>-338.88529999999997</v>
      </c>
      <c r="K5183">
        <v>1.1086689999999999</v>
      </c>
      <c r="L5183">
        <v>17.334440000000001</v>
      </c>
      <c r="M5183">
        <v>0.99990650000000003</v>
      </c>
      <c r="N5183">
        <v>0</v>
      </c>
      <c r="O5183">
        <v>1.607497E-3</v>
      </c>
      <c r="P5183">
        <v>0.97993090000000005</v>
      </c>
      <c r="Q5183">
        <v>0.13637589999999999</v>
      </c>
      <c r="R5183">
        <v>-0.1453856</v>
      </c>
      <c r="S5183">
        <v>3.0513919999999999</v>
      </c>
      <c r="T5183">
        <v>-0.23286519999999999</v>
      </c>
      <c r="U5183">
        <v>-0.28338619999999998</v>
      </c>
      <c r="V5183">
        <v>0.1470776</v>
      </c>
      <c r="W5183">
        <v>0.1495494</v>
      </c>
      <c r="X5183">
        <v>0.97775420000000002</v>
      </c>
      <c r="Y5183">
        <v>9.3798790000000007E-2</v>
      </c>
      <c r="Z5183">
        <v>-3.6885139999999999E-3</v>
      </c>
      <c r="AA5183">
        <v>0.99558440000000004</v>
      </c>
      <c r="AB5183">
        <v>30</v>
      </c>
      <c r="AC5183">
        <v>0.79139999999995303</v>
      </c>
      <c r="AD5183">
        <v>-7.2318999999999994E-2</v>
      </c>
      <c r="AE5183">
        <v>-8.8029999999999803E-2</v>
      </c>
      <c r="AF5183">
        <v>8.8571598446515201E-2</v>
      </c>
      <c r="AG5183">
        <v>-7.2318999999999994E-2</v>
      </c>
      <c r="AH5183">
        <v>0.78478420448026798</v>
      </c>
      <c r="AI5183">
        <v>95.231989235352998</v>
      </c>
      <c r="AJ5183">
        <v>83.560783893683194</v>
      </c>
      <c r="AK5183">
        <v>0.79307074931187405</v>
      </c>
      <c r="AL5183">
        <v>81.399185975372902</v>
      </c>
      <c r="AM5183">
        <v>81.445482635554299</v>
      </c>
      <c r="AN5183">
        <v>1.0000000595398699</v>
      </c>
    </row>
    <row r="5184" spans="1:40" x14ac:dyDescent="0.25">
      <c r="A5184" t="str">
        <f>"20190312164610454"</f>
        <v>20190312164610454</v>
      </c>
      <c r="B5184" t="str">
        <f>"1552380370446323"</f>
        <v>1552380370446323</v>
      </c>
      <c r="C5184" t="s">
        <v>40</v>
      </c>
      <c r="D5184">
        <v>4.9423769999999996</v>
      </c>
      <c r="E5184">
        <v>0.4865448</v>
      </c>
      <c r="F5184" t="s">
        <v>41</v>
      </c>
      <c r="G5184">
        <v>-338.08879999999999</v>
      </c>
      <c r="H5184">
        <v>1.0457339999999999</v>
      </c>
      <c r="I5184">
        <v>17.260679999999901</v>
      </c>
      <c r="J5184">
        <v>-338.74259999999998</v>
      </c>
      <c r="K5184">
        <v>1.1086780000000001</v>
      </c>
      <c r="L5184">
        <v>17.334499999999998</v>
      </c>
      <c r="M5184">
        <v>0.99990679999999998</v>
      </c>
      <c r="N5184">
        <v>0</v>
      </c>
      <c r="O5184">
        <v>1.439505E-3</v>
      </c>
      <c r="P5184">
        <v>0.97979499999999997</v>
      </c>
      <c r="Q5184">
        <v>0.13607540000000001</v>
      </c>
      <c r="R5184">
        <v>-0.14657899999999999</v>
      </c>
      <c r="S5184">
        <v>3.0530089999999999</v>
      </c>
      <c r="T5184">
        <v>-0.2412562</v>
      </c>
      <c r="U5184">
        <v>-0.2828369</v>
      </c>
      <c r="V5184">
        <v>0.14810279999999901</v>
      </c>
      <c r="W5184">
        <v>0.14924849999999901</v>
      </c>
      <c r="X5184">
        <v>0.97764530000000005</v>
      </c>
      <c r="Y5184">
        <v>9.3387289999999998E-2</v>
      </c>
      <c r="Z5184">
        <v>-3.789616E-3</v>
      </c>
      <c r="AA5184">
        <v>0.99562260000000002</v>
      </c>
      <c r="AB5184">
        <v>30</v>
      </c>
      <c r="AC5184">
        <v>0.65379999999998895</v>
      </c>
      <c r="AD5184">
        <v>-6.2944000000000097E-2</v>
      </c>
      <c r="AE5184">
        <v>-7.3820000000001301E-2</v>
      </c>
      <c r="AF5184">
        <v>7.4083147723497805E-2</v>
      </c>
      <c r="AG5184">
        <v>-6.2944000000000097E-2</v>
      </c>
      <c r="AH5184">
        <v>0.64776468914070695</v>
      </c>
      <c r="AI5184">
        <v>95.514346054977693</v>
      </c>
      <c r="AJ5184">
        <v>83.475579746615793</v>
      </c>
      <c r="AK5184">
        <v>0.65501858936230095</v>
      </c>
      <c r="AL5184">
        <v>81.416620953814999</v>
      </c>
      <c r="AM5184">
        <v>81.385799886811498</v>
      </c>
      <c r="AN5184">
        <v>0.999999943366088</v>
      </c>
    </row>
    <row r="5185" spans="1:40" x14ac:dyDescent="0.25">
      <c r="A5185" t="str">
        <f>"20190312164610464"</f>
        <v>20190312164610464</v>
      </c>
      <c r="B5185" t="str">
        <f>"1552380370457059"</f>
        <v>1552380370457059</v>
      </c>
      <c r="C5185" t="s">
        <v>40</v>
      </c>
      <c r="D5185">
        <v>4.897513</v>
      </c>
      <c r="E5185">
        <v>0.4865216</v>
      </c>
      <c r="F5185" t="s">
        <v>41</v>
      </c>
      <c r="G5185">
        <v>-337.82940000000002</v>
      </c>
      <c r="H5185">
        <v>1.0351140000000001</v>
      </c>
      <c r="I5185">
        <v>17.248239999999999</v>
      </c>
      <c r="J5185">
        <v>-338.60320000000002</v>
      </c>
      <c r="K5185">
        <v>1.108684</v>
      </c>
      <c r="L5185">
        <v>17.334529999999901</v>
      </c>
      <c r="M5185">
        <v>0.99990710000000005</v>
      </c>
      <c r="N5185">
        <v>0</v>
      </c>
      <c r="O5185">
        <v>1.27859E-3</v>
      </c>
      <c r="P5185">
        <v>0.97964790000000002</v>
      </c>
      <c r="Q5185">
        <v>0.1359069</v>
      </c>
      <c r="R5185">
        <v>-0.14771389999999901</v>
      </c>
      <c r="S5185">
        <v>3.0529169999999999</v>
      </c>
      <c r="T5185">
        <v>-0.24591679999999999</v>
      </c>
      <c r="U5185">
        <v>-0.2877808</v>
      </c>
      <c r="V5185">
        <v>0.1490774</v>
      </c>
      <c r="W5185">
        <v>0.1490792</v>
      </c>
      <c r="X5185">
        <v>0.97752300000000003</v>
      </c>
      <c r="Y5185">
        <v>9.4812629999999995E-2</v>
      </c>
      <c r="Z5185">
        <v>-3.9066910000000003E-3</v>
      </c>
      <c r="AA5185">
        <v>0.99548749999999997</v>
      </c>
      <c r="AB5185">
        <v>30</v>
      </c>
      <c r="AC5185">
        <v>0.77379999999999405</v>
      </c>
      <c r="AD5185">
        <v>-7.3570000000000094E-2</v>
      </c>
      <c r="AE5185">
        <v>-8.6289999999998201E-2</v>
      </c>
      <c r="AF5185">
        <v>8.6507018808683403E-2</v>
      </c>
      <c r="AG5185">
        <v>-7.3570000000000094E-2</v>
      </c>
      <c r="AH5185">
        <v>0.76684230469825299</v>
      </c>
      <c r="AI5185">
        <v>95.445788812291596</v>
      </c>
      <c r="AJ5185">
        <v>83.563708224169204</v>
      </c>
      <c r="AK5185">
        <v>0.77520521765406902</v>
      </c>
      <c r="AL5185">
        <v>81.426430912412897</v>
      </c>
      <c r="AM5185">
        <v>81.3289039786562</v>
      </c>
      <c r="AN5185">
        <v>0.99999994729619801</v>
      </c>
    </row>
    <row r="5186" spans="1:40" x14ac:dyDescent="0.25">
      <c r="A5186" t="str">
        <f>"20190312164610477"</f>
        <v>20190312164610477</v>
      </c>
      <c r="B5186" t="str">
        <f>"1552380370466819"</f>
        <v>1552380370466819</v>
      </c>
      <c r="C5186" t="s">
        <v>40</v>
      </c>
      <c r="D5186">
        <v>5.0333189999999997</v>
      </c>
      <c r="E5186">
        <v>0.4863518</v>
      </c>
      <c r="F5186" t="s">
        <v>41</v>
      </c>
      <c r="G5186">
        <v>-337.82459999999998</v>
      </c>
      <c r="H5186">
        <v>1.0447489999999999</v>
      </c>
      <c r="I5186">
        <v>17.260300000000001</v>
      </c>
      <c r="J5186">
        <v>-338.44260000000003</v>
      </c>
      <c r="K5186">
        <v>1.1086959999999999</v>
      </c>
      <c r="L5186">
        <v>17.334499999999998</v>
      </c>
      <c r="M5186">
        <v>0.9999074</v>
      </c>
      <c r="N5186">
        <v>0</v>
      </c>
      <c r="O5186">
        <v>1.0971069999999999E-3</v>
      </c>
      <c r="P5186">
        <v>0.97949439999999999</v>
      </c>
      <c r="Q5186">
        <v>0.1357718</v>
      </c>
      <c r="R5186">
        <v>-0.1488525</v>
      </c>
      <c r="S5186">
        <v>3.0533139999999999</v>
      </c>
      <c r="T5186">
        <v>-0.25069950000000002</v>
      </c>
      <c r="U5186">
        <v>-0.29037479999999999</v>
      </c>
      <c r="V5186">
        <v>0.15003540000000001</v>
      </c>
      <c r="W5186">
        <v>0.14894350000000001</v>
      </c>
      <c r="X5186">
        <v>0.97739710000000002</v>
      </c>
      <c r="Y5186">
        <v>9.5444570000000006E-2</v>
      </c>
      <c r="Z5186">
        <v>-3.9927449999999998E-3</v>
      </c>
      <c r="AA5186">
        <v>0.9954267</v>
      </c>
      <c r="AB5186">
        <v>30</v>
      </c>
      <c r="AC5186">
        <v>0.61800000000005095</v>
      </c>
      <c r="AD5186">
        <v>-6.3946999999999907E-2</v>
      </c>
      <c r="AE5186">
        <v>-7.4199999999997601E-2</v>
      </c>
      <c r="AF5186">
        <v>7.4095966244594802E-2</v>
      </c>
      <c r="AG5186">
        <v>-6.3946999999999907E-2</v>
      </c>
      <c r="AH5186">
        <v>0.61146436823878203</v>
      </c>
      <c r="AI5186">
        <v>95.927247876580694</v>
      </c>
      <c r="AJ5186">
        <v>83.090705397608204</v>
      </c>
      <c r="AK5186">
        <v>0.61924801545775898</v>
      </c>
      <c r="AL5186">
        <v>81.434293665417698</v>
      </c>
      <c r="AM5186">
        <v>81.272930113946799</v>
      </c>
      <c r="AN5186">
        <v>0.999999939266908</v>
      </c>
    </row>
    <row r="5187" spans="1:40" x14ac:dyDescent="0.25">
      <c r="A5187" t="str">
        <f>"20190312164610487"</f>
        <v>20190312164610487</v>
      </c>
      <c r="B5187" t="str">
        <f>"1552380370476579"</f>
        <v>1552380370476579</v>
      </c>
      <c r="C5187" t="s">
        <v>40</v>
      </c>
      <c r="D5187">
        <v>4.9047970000000003</v>
      </c>
      <c r="E5187">
        <v>0.48623769999999999</v>
      </c>
      <c r="F5187" t="s">
        <v>41</v>
      </c>
      <c r="G5187">
        <v>-337.56270000000001</v>
      </c>
      <c r="H5187">
        <v>1.0387090000000001</v>
      </c>
      <c r="I5187">
        <v>17.24991</v>
      </c>
      <c r="J5187">
        <v>-338.30009999999999</v>
      </c>
      <c r="K5187">
        <v>1.1087009999999999</v>
      </c>
      <c r="L5187">
        <v>17.334499999999998</v>
      </c>
      <c r="M5187">
        <v>0.99990749999999995</v>
      </c>
      <c r="N5187">
        <v>0</v>
      </c>
      <c r="O5187">
        <v>9.3729499999999999E-4</v>
      </c>
      <c r="P5187">
        <v>0.97945040000000005</v>
      </c>
      <c r="Q5187">
        <v>0.1351947</v>
      </c>
      <c r="R5187">
        <v>-0.14966479999999999</v>
      </c>
      <c r="S5187">
        <v>3.0519099999999999</v>
      </c>
      <c r="T5187">
        <v>-0.2427752</v>
      </c>
      <c r="U5187">
        <v>-0.29302979999999901</v>
      </c>
      <c r="V5187">
        <v>0.15068879999999901</v>
      </c>
      <c r="W5187">
        <v>0.14836679999999999</v>
      </c>
      <c r="X5187">
        <v>0.97738440000000004</v>
      </c>
      <c r="Y5187">
        <v>9.6204620000000005E-2</v>
      </c>
      <c r="Z5187">
        <v>-3.8859939999999998E-3</v>
      </c>
      <c r="AA5187">
        <v>0.99535399999999996</v>
      </c>
      <c r="AB5187">
        <v>30</v>
      </c>
      <c r="AC5187">
        <v>0.73739999999997896</v>
      </c>
      <c r="AD5187">
        <v>-6.9991999999999804E-2</v>
      </c>
      <c r="AE5187">
        <v>-8.4589999999998597E-2</v>
      </c>
      <c r="AF5187">
        <v>8.4529528109784993E-2</v>
      </c>
      <c r="AG5187">
        <v>-6.9991999999999804E-2</v>
      </c>
      <c r="AH5187">
        <v>0.73082171626817505</v>
      </c>
      <c r="AI5187">
        <v>95.434613513768397</v>
      </c>
      <c r="AJ5187">
        <v>83.402276778079695</v>
      </c>
      <c r="AK5187">
        <v>0.73901590115208204</v>
      </c>
      <c r="AL5187">
        <v>81.467708297413196</v>
      </c>
      <c r="AM5187">
        <v>81.235400719203994</v>
      </c>
      <c r="AN5187">
        <v>1.0000000435755101</v>
      </c>
    </row>
    <row r="5188" spans="1:40" x14ac:dyDescent="0.25">
      <c r="A5188" t="str">
        <f>"20190312164610499"</f>
        <v>20190312164610499</v>
      </c>
      <c r="B5188" t="str">
        <f>"1552380370486339"</f>
        <v>1552380370486339</v>
      </c>
      <c r="C5188" t="s">
        <v>40</v>
      </c>
      <c r="D5188">
        <v>5.0127899999999999</v>
      </c>
      <c r="E5188">
        <v>0.48614180000000001</v>
      </c>
      <c r="F5188" t="s">
        <v>41</v>
      </c>
      <c r="G5188">
        <v>-337.55439999999999</v>
      </c>
      <c r="H5188">
        <v>1.0507470000000001</v>
      </c>
      <c r="I5188">
        <v>17.262250000000002</v>
      </c>
      <c r="J5188">
        <v>-338.15339999999998</v>
      </c>
      <c r="K5188">
        <v>1.1087039999999999</v>
      </c>
      <c r="L5188">
        <v>17.334440000000001</v>
      </c>
      <c r="M5188">
        <v>0.99990769999999995</v>
      </c>
      <c r="N5188">
        <v>0</v>
      </c>
      <c r="O5188">
        <v>7.7560899999999904E-4</v>
      </c>
      <c r="P5188">
        <v>0.97928249999999994</v>
      </c>
      <c r="Q5188">
        <v>0.13509309999999999</v>
      </c>
      <c r="R5188">
        <v>-0.15085100000000001</v>
      </c>
      <c r="S5188">
        <v>3.0505369999999998</v>
      </c>
      <c r="T5188">
        <v>-0.2370979</v>
      </c>
      <c r="U5188">
        <v>-0.29507450000000002</v>
      </c>
      <c r="V5188">
        <v>0.15171499999999999</v>
      </c>
      <c r="W5188">
        <v>0.14826349999999999</v>
      </c>
      <c r="X5188">
        <v>0.97724129999999998</v>
      </c>
      <c r="Y5188">
        <v>9.6759949999999997E-2</v>
      </c>
      <c r="Z5188">
        <v>-3.8059470000000001E-3</v>
      </c>
      <c r="AA5188">
        <v>0.99530050000000003</v>
      </c>
      <c r="AB5188">
        <v>30</v>
      </c>
      <c r="AC5188">
        <v>0.59899999999998899</v>
      </c>
      <c r="AD5188">
        <v>-5.7957000000000203E-2</v>
      </c>
      <c r="AE5188">
        <v>-7.2189999999999005E-2</v>
      </c>
      <c r="AF5188">
        <v>7.1990302608662404E-2</v>
      </c>
      <c r="AG5188">
        <v>-5.7957000000000203E-2</v>
      </c>
      <c r="AH5188">
        <v>0.59346745661794797</v>
      </c>
      <c r="AI5188">
        <v>95.537382372461394</v>
      </c>
      <c r="AJ5188">
        <v>83.083553854977595</v>
      </c>
      <c r="AK5188">
        <v>0.60062071191665001</v>
      </c>
      <c r="AL5188">
        <v>81.473693047898706</v>
      </c>
      <c r="AM5188">
        <v>81.175377660098206</v>
      </c>
      <c r="AN5188">
        <v>1.00000003254146</v>
      </c>
    </row>
    <row r="5189" spans="1:40" x14ac:dyDescent="0.25">
      <c r="A5189" t="str">
        <f>"20190312164610509"</f>
        <v>20190312164610509</v>
      </c>
      <c r="B5189" t="str">
        <f>"1552380370506836"</f>
        <v>1552380370506836</v>
      </c>
      <c r="C5189" t="s">
        <v>40</v>
      </c>
      <c r="D5189">
        <v>5.1603089999999998</v>
      </c>
      <c r="E5189">
        <v>0.48556389999999999</v>
      </c>
      <c r="F5189" t="s">
        <v>41</v>
      </c>
      <c r="G5189">
        <v>-337.29559999999998</v>
      </c>
      <c r="H5189">
        <v>1.04359</v>
      </c>
      <c r="I5189">
        <v>17.25048</v>
      </c>
      <c r="J5189">
        <v>-338.01690000000002</v>
      </c>
      <c r="K5189">
        <v>1.1087009999999999</v>
      </c>
      <c r="L5189">
        <v>17.334409999999998</v>
      </c>
      <c r="M5189">
        <v>0.99990789999999996</v>
      </c>
      <c r="N5189">
        <v>0</v>
      </c>
      <c r="O5189">
        <v>6.2553670000000002E-4</v>
      </c>
      <c r="P5189">
        <v>0.97918439999999995</v>
      </c>
      <c r="Q5189">
        <v>0.13477339999999999</v>
      </c>
      <c r="R5189">
        <v>-0.15177060000000001</v>
      </c>
      <c r="S5189">
        <v>3.0494379999999999</v>
      </c>
      <c r="T5189">
        <v>-0.2315198</v>
      </c>
      <c r="U5189">
        <v>-0.29840090000000002</v>
      </c>
      <c r="V5189">
        <v>0.15248599999999901</v>
      </c>
      <c r="W5189">
        <v>0.14794280000000001</v>
      </c>
      <c r="X5189">
        <v>0.97716990000000004</v>
      </c>
      <c r="Y5189">
        <v>9.7731429999999994E-2</v>
      </c>
      <c r="Z5189">
        <v>-3.743185E-3</v>
      </c>
      <c r="AA5189">
        <v>0.99520580000000003</v>
      </c>
      <c r="AB5189">
        <v>30</v>
      </c>
      <c r="AC5189">
        <v>0.72130000000004202</v>
      </c>
      <c r="AD5189">
        <v>-6.5110999999999905E-2</v>
      </c>
      <c r="AE5189">
        <v>-8.3930000000002197E-2</v>
      </c>
      <c r="AF5189">
        <v>8.3708241186293803E-2</v>
      </c>
      <c r="AG5189">
        <v>-6.5110999999999905E-2</v>
      </c>
      <c r="AH5189">
        <v>0.71549503570673201</v>
      </c>
      <c r="AI5189">
        <v>95.164637621350593</v>
      </c>
      <c r="AJ5189">
        <v>83.327103094859396</v>
      </c>
      <c r="AK5189">
        <v>0.72331159128309397</v>
      </c>
      <c r="AL5189">
        <v>81.492272704576905</v>
      </c>
      <c r="AM5189">
        <v>81.1306052621687</v>
      </c>
      <c r="AN5189">
        <v>1.0000000328669201</v>
      </c>
    </row>
    <row r="5190" spans="1:40" x14ac:dyDescent="0.25">
      <c r="A5190" t="str">
        <f>"20190312164610520"</f>
        <v>20190312164610520</v>
      </c>
      <c r="B5190" t="str">
        <f>"1552380370516596"</f>
        <v>1552380370516596</v>
      </c>
      <c r="C5190" t="s">
        <v>40</v>
      </c>
      <c r="D5190">
        <v>5.0302389999999999</v>
      </c>
      <c r="E5190">
        <v>0.4854501</v>
      </c>
      <c r="F5190" t="s">
        <v>41</v>
      </c>
      <c r="G5190">
        <v>-337.03570000000002</v>
      </c>
      <c r="H5190">
        <v>1.0344439999999999</v>
      </c>
      <c r="I5190">
        <v>17.238939999999999</v>
      </c>
      <c r="J5190">
        <v>-337.86369999999999</v>
      </c>
      <c r="K5190">
        <v>1.1087020000000001</v>
      </c>
      <c r="L5190">
        <v>17.334289999999999</v>
      </c>
      <c r="M5190">
        <v>0.99990789999999996</v>
      </c>
      <c r="N5190">
        <v>0</v>
      </c>
      <c r="O5190">
        <v>4.5822389999999999E-4</v>
      </c>
      <c r="P5190">
        <v>0.97908649999999997</v>
      </c>
      <c r="Q5190">
        <v>0.1343106</v>
      </c>
      <c r="R5190">
        <v>-0.15281020000000001</v>
      </c>
      <c r="S5190">
        <v>3.0495909999999999</v>
      </c>
      <c r="T5190">
        <v>-0.23081299999999999</v>
      </c>
      <c r="U5190">
        <v>-0.29663089999999998</v>
      </c>
      <c r="V5190">
        <v>0.15336029999999901</v>
      </c>
      <c r="W5190">
        <v>0.14747879999999899</v>
      </c>
      <c r="X5190">
        <v>0.97710319999999995</v>
      </c>
      <c r="Y5190">
        <v>9.6992140000000004E-2</v>
      </c>
      <c r="Z5190">
        <v>-3.6912210000000002E-3</v>
      </c>
      <c r="AA5190">
        <v>0.99527829999999995</v>
      </c>
      <c r="AB5190">
        <v>30</v>
      </c>
      <c r="AC5190">
        <v>0.82799999999997398</v>
      </c>
      <c r="AD5190">
        <v>-7.4257999999999894E-2</v>
      </c>
      <c r="AE5190">
        <v>-9.5349999999999796E-2</v>
      </c>
      <c r="AF5190">
        <v>9.4975530082784795E-2</v>
      </c>
      <c r="AG5190">
        <v>-7.4257999999999894E-2</v>
      </c>
      <c r="AH5190">
        <v>0.82143576027448695</v>
      </c>
      <c r="AI5190">
        <v>95.131510664647905</v>
      </c>
      <c r="AJ5190">
        <v>83.404668747084898</v>
      </c>
      <c r="AK5190">
        <v>0.83023569553243803</v>
      </c>
      <c r="AL5190">
        <v>81.519152700863401</v>
      </c>
      <c r="AM5190">
        <v>81.0799676184605</v>
      </c>
      <c r="AN5190">
        <v>1.0000000207578801</v>
      </c>
    </row>
    <row r="5191" spans="1:40" x14ac:dyDescent="0.25">
      <c r="A5191" t="str">
        <f>"20190312164610533"</f>
        <v>20190312164610533</v>
      </c>
      <c r="B5191" t="str">
        <f>"1552380370526355"</f>
        <v>1552380370526355</v>
      </c>
      <c r="C5191" t="s">
        <v>40</v>
      </c>
      <c r="D5191">
        <v>4.984909</v>
      </c>
      <c r="E5191">
        <v>0.48524590000000001</v>
      </c>
      <c r="F5191" t="s">
        <v>41</v>
      </c>
      <c r="G5191">
        <v>-337.02929999999998</v>
      </c>
      <c r="H5191">
        <v>1.045739</v>
      </c>
      <c r="I5191">
        <v>17.252520000000001</v>
      </c>
      <c r="J5191">
        <v>-337.71010000000001</v>
      </c>
      <c r="K5191">
        <v>1.1087039999999999</v>
      </c>
      <c r="L5191">
        <v>17.33417</v>
      </c>
      <c r="M5191">
        <v>0.99990809999999997</v>
      </c>
      <c r="N5191">
        <v>0</v>
      </c>
      <c r="O5191">
        <v>2.9042880000000002E-4</v>
      </c>
      <c r="P5191">
        <v>0.97898779999999996</v>
      </c>
      <c r="Q5191">
        <v>0.13371350000000001</v>
      </c>
      <c r="R5191">
        <v>-0.15396119999999999</v>
      </c>
      <c r="S5191">
        <v>3.0490110000000001</v>
      </c>
      <c r="T5191">
        <v>-0.23010620000000001</v>
      </c>
      <c r="U5191">
        <v>-0.29873660000000002</v>
      </c>
      <c r="V5191">
        <v>0.15434610000000001</v>
      </c>
      <c r="W5191">
        <v>0.14687979999999901</v>
      </c>
      <c r="X5191">
        <v>0.97703819999999997</v>
      </c>
      <c r="Y5191">
        <v>9.7524810000000003E-2</v>
      </c>
      <c r="Z5191">
        <v>-3.687928E-3</v>
      </c>
      <c r="AA5191">
        <v>0.99522630000000001</v>
      </c>
      <c r="AB5191">
        <v>30</v>
      </c>
      <c r="AC5191">
        <v>0.68080000000003305</v>
      </c>
      <c r="AD5191">
        <v>-6.2965000000000104E-2</v>
      </c>
      <c r="AE5191">
        <v>-8.1649999999999695E-2</v>
      </c>
      <c r="AF5191">
        <v>8.1163327826770895E-2</v>
      </c>
      <c r="AG5191">
        <v>-6.2965000000000104E-2</v>
      </c>
      <c r="AH5191">
        <v>0.67508360429624004</v>
      </c>
      <c r="AI5191">
        <v>95.290675993374094</v>
      </c>
      <c r="AJ5191">
        <v>83.144401125032402</v>
      </c>
      <c r="AK5191">
        <v>0.68285426688168105</v>
      </c>
      <c r="AL5191">
        <v>81.553850727346898</v>
      </c>
      <c r="AM5191">
        <v>81.022972935190097</v>
      </c>
      <c r="AN5191">
        <v>1.0000000192462399</v>
      </c>
    </row>
    <row r="5192" spans="1:40" x14ac:dyDescent="0.25">
      <c r="A5192" t="str">
        <f>"20190312164610544"</f>
        <v>20190312164610544</v>
      </c>
      <c r="B5192" t="str">
        <f>"1552380370537091"</f>
        <v>1552380370537091</v>
      </c>
      <c r="C5192" t="s">
        <v>40</v>
      </c>
      <c r="D5192">
        <v>5.1923069999999996</v>
      </c>
      <c r="E5192">
        <v>0.4850545</v>
      </c>
      <c r="F5192" t="s">
        <v>41</v>
      </c>
      <c r="G5192">
        <v>-336.7715</v>
      </c>
      <c r="H5192">
        <v>1.03457</v>
      </c>
      <c r="I5192">
        <v>17.241700000000002</v>
      </c>
      <c r="J5192">
        <v>-337.54689999999999</v>
      </c>
      <c r="K5192">
        <v>1.1087049999999901</v>
      </c>
      <c r="L5192">
        <v>17.334009999999999</v>
      </c>
      <c r="M5192">
        <v>0.99990800000000002</v>
      </c>
      <c r="N5192">
        <v>0</v>
      </c>
      <c r="O5192">
        <v>1.124317E-4</v>
      </c>
      <c r="P5192">
        <v>0.97891660000000003</v>
      </c>
      <c r="Q5192">
        <v>0.13317780000000001</v>
      </c>
      <c r="R5192">
        <v>-0.1548755</v>
      </c>
      <c r="S5192">
        <v>3.0501399999999999</v>
      </c>
      <c r="T5192">
        <v>-0.24090300000000001</v>
      </c>
      <c r="U5192">
        <v>-0.29956050000000001</v>
      </c>
      <c r="V5192">
        <v>0.1550851</v>
      </c>
      <c r="W5192">
        <v>0.14634249999999999</v>
      </c>
      <c r="X5192">
        <v>0.97700180000000003</v>
      </c>
      <c r="Y5192">
        <v>9.7552449999999999E-2</v>
      </c>
      <c r="Z5192">
        <v>-3.8460619999999999E-3</v>
      </c>
      <c r="AA5192">
        <v>0.99522290000000002</v>
      </c>
      <c r="AB5192">
        <v>30</v>
      </c>
      <c r="AC5192">
        <v>0.77539999999998999</v>
      </c>
      <c r="AD5192">
        <v>-7.4134999999999798E-2</v>
      </c>
      <c r="AE5192">
        <v>-9.2309999999997602E-2</v>
      </c>
      <c r="AF5192">
        <v>9.1571823908109695E-2</v>
      </c>
      <c r="AG5192">
        <v>-7.4134999999999798E-2</v>
      </c>
      <c r="AH5192">
        <v>0.76846323638465197</v>
      </c>
      <c r="AI5192">
        <v>95.471897080928201</v>
      </c>
      <c r="AJ5192">
        <v>83.204548276080303</v>
      </c>
      <c r="AK5192">
        <v>0.77744269424416801</v>
      </c>
      <c r="AL5192">
        <v>81.584972015743105</v>
      </c>
      <c r="AM5192">
        <v>80.980365856593195</v>
      </c>
      <c r="AN5192">
        <v>1.0000000163757401</v>
      </c>
    </row>
    <row r="5193" spans="1:40" x14ac:dyDescent="0.25">
      <c r="A5193" t="str">
        <f>"20190312164610556"</f>
        <v>20190312164610556</v>
      </c>
      <c r="B5193" t="str">
        <f>"1552380370546852"</f>
        <v>1552380370546852</v>
      </c>
      <c r="C5193" t="s">
        <v>40</v>
      </c>
      <c r="D5193">
        <v>5.0883560000000001</v>
      </c>
      <c r="E5193">
        <v>0.48501850000000002</v>
      </c>
      <c r="F5193" t="s">
        <v>41</v>
      </c>
      <c r="G5193">
        <v>-336.76440000000002</v>
      </c>
      <c r="H5193">
        <v>1.0467869999999999</v>
      </c>
      <c r="I5193">
        <v>17.256620000000002</v>
      </c>
      <c r="J5193">
        <v>-337.39710000000002</v>
      </c>
      <c r="K5193">
        <v>1.1087049999999901</v>
      </c>
      <c r="L5193">
        <v>17.333860000000001</v>
      </c>
      <c r="M5193">
        <v>0.99990800000000002</v>
      </c>
      <c r="N5193">
        <v>0</v>
      </c>
      <c r="O5193" s="1">
        <v>-5.1688299999999998E-5</v>
      </c>
      <c r="P5193">
        <v>0.97887360000000001</v>
      </c>
      <c r="Q5193">
        <v>0.1325229</v>
      </c>
      <c r="R5193">
        <v>-0.1557057</v>
      </c>
      <c r="S5193">
        <v>3.0498660000000002</v>
      </c>
      <c r="T5193">
        <v>-0.2413236</v>
      </c>
      <c r="U5193">
        <v>-0.30056759999999999</v>
      </c>
      <c r="V5193">
        <v>0.155753799999999</v>
      </c>
      <c r="W5193">
        <v>0.14568680000000001</v>
      </c>
      <c r="X5193">
        <v>0.97699340000000001</v>
      </c>
      <c r="Y5193">
        <v>9.7722210000000004E-2</v>
      </c>
      <c r="Z5193">
        <v>-3.8467919999999999E-3</v>
      </c>
      <c r="AA5193">
        <v>0.99520629999999999</v>
      </c>
      <c r="AB5193">
        <v>30</v>
      </c>
      <c r="AC5193">
        <v>0.63269999999999904</v>
      </c>
      <c r="AD5193">
        <v>-6.1917999999999702E-2</v>
      </c>
      <c r="AE5193">
        <v>-7.7239999999999698E-2</v>
      </c>
      <c r="AF5193">
        <v>7.6485533859169993E-2</v>
      </c>
      <c r="AG5193">
        <v>-6.1917999999999702E-2</v>
      </c>
      <c r="AH5193">
        <v>0.62678926145313896</v>
      </c>
      <c r="AI5193">
        <v>95.600439974486605</v>
      </c>
      <c r="AJ5193">
        <v>83.0427354143863</v>
      </c>
      <c r="AK5193">
        <v>0.63446722049818505</v>
      </c>
      <c r="AL5193">
        <v>81.622947702038104</v>
      </c>
      <c r="AM5193">
        <v>80.942041583884105</v>
      </c>
      <c r="AN5193">
        <v>0.99999999677611995</v>
      </c>
    </row>
    <row r="5194" spans="1:40" x14ac:dyDescent="0.25">
      <c r="A5194" t="str">
        <f>"20190312164610566"</f>
        <v>20190312164610566</v>
      </c>
      <c r="B5194" t="str">
        <f>"1552380370556611"</f>
        <v>1552380370556611</v>
      </c>
      <c r="C5194" t="s">
        <v>40</v>
      </c>
      <c r="D5194">
        <v>5.0170820000000003</v>
      </c>
      <c r="E5194">
        <v>0.4850796</v>
      </c>
      <c r="F5194" t="s">
        <v>41</v>
      </c>
      <c r="G5194">
        <v>-336.50529999999998</v>
      </c>
      <c r="H5194">
        <v>1.039039</v>
      </c>
      <c r="I5194">
        <v>17.245249999999999</v>
      </c>
      <c r="J5194">
        <v>-337.25319999999999</v>
      </c>
      <c r="K5194">
        <v>1.1087039999999999</v>
      </c>
      <c r="L5194">
        <v>17.333679999999902</v>
      </c>
      <c r="M5194">
        <v>0.99990800000000002</v>
      </c>
      <c r="N5194">
        <v>0</v>
      </c>
      <c r="O5194">
        <v>-2.0961450000000001E-4</v>
      </c>
      <c r="P5194">
        <v>0.97877769999999997</v>
      </c>
      <c r="Q5194">
        <v>0.13198789999999999</v>
      </c>
      <c r="R5194">
        <v>-0.1567606</v>
      </c>
      <c r="S5194">
        <v>3.0487980000000001</v>
      </c>
      <c r="T5194">
        <v>-0.2381442</v>
      </c>
      <c r="U5194">
        <v>-0.3027649</v>
      </c>
      <c r="V5194">
        <v>0.1566533</v>
      </c>
      <c r="W5194">
        <v>0.14515</v>
      </c>
      <c r="X5194">
        <v>0.97692950000000001</v>
      </c>
      <c r="Y5194">
        <v>9.8315730000000004E-2</v>
      </c>
      <c r="Z5194">
        <v>-3.80825E-3</v>
      </c>
      <c r="AA5194">
        <v>0.99514800000000003</v>
      </c>
      <c r="AB5194">
        <v>30</v>
      </c>
      <c r="AC5194">
        <v>0.747900000000015</v>
      </c>
      <c r="AD5194">
        <v>-6.9665000000000005E-2</v>
      </c>
      <c r="AE5194">
        <v>-8.8429999999998898E-2</v>
      </c>
      <c r="AF5194">
        <v>8.7524282793710606E-2</v>
      </c>
      <c r="AG5194">
        <v>-6.9665000000000005E-2</v>
      </c>
      <c r="AH5194">
        <v>0.74157300943286997</v>
      </c>
      <c r="AI5194">
        <v>95.329961781185006</v>
      </c>
      <c r="AJ5194">
        <v>83.268795538465895</v>
      </c>
      <c r="AK5194">
        <v>0.74996282616065502</v>
      </c>
      <c r="AL5194">
        <v>81.654034662182397</v>
      </c>
      <c r="AM5194">
        <v>80.890019389959306</v>
      </c>
      <c r="AN5194">
        <v>1.00000001343557</v>
      </c>
    </row>
    <row r="5195" spans="1:40" x14ac:dyDescent="0.25">
      <c r="A5195" t="str">
        <f>"20190312164610577"</f>
        <v>20190312164610577</v>
      </c>
      <c r="B5195" t="str">
        <f>"1552380370566371"</f>
        <v>1552380370566371</v>
      </c>
      <c r="C5195" t="s">
        <v>40</v>
      </c>
      <c r="D5195">
        <v>5.0581420000000001</v>
      </c>
      <c r="E5195">
        <v>0.48507749999999999</v>
      </c>
      <c r="F5195" t="s">
        <v>41</v>
      </c>
      <c r="G5195">
        <v>-336.49740000000003</v>
      </c>
      <c r="H5195">
        <v>1.0502100000000001</v>
      </c>
      <c r="I5195">
        <v>17.25759</v>
      </c>
      <c r="J5195">
        <v>-337.1234</v>
      </c>
      <c r="K5195">
        <v>1.1086990000000001</v>
      </c>
      <c r="L5195">
        <v>17.333500000000001</v>
      </c>
      <c r="M5195">
        <v>0.99990789999999996</v>
      </c>
      <c r="N5195">
        <v>0</v>
      </c>
      <c r="O5195">
        <v>-3.5276669999999998E-4</v>
      </c>
      <c r="P5195">
        <v>0.97868549999999999</v>
      </c>
      <c r="Q5195">
        <v>0.13147899999999901</v>
      </c>
      <c r="R5195">
        <v>-0.15775899999999901</v>
      </c>
      <c r="S5195">
        <v>3.0476990000000002</v>
      </c>
      <c r="T5195">
        <v>-0.23583219999999999</v>
      </c>
      <c r="U5195">
        <v>-0.306610099999999</v>
      </c>
      <c r="V5195">
        <v>0.15751129999999999</v>
      </c>
      <c r="W5195">
        <v>0.14463899999999999</v>
      </c>
      <c r="X5195">
        <v>0.97686729999999999</v>
      </c>
      <c r="Y5195">
        <v>9.9454210000000001E-2</v>
      </c>
      <c r="Z5195">
        <v>-3.8053409999999998E-3</v>
      </c>
      <c r="AA5195">
        <v>0.99503490000000006</v>
      </c>
      <c r="AB5195">
        <v>30</v>
      </c>
      <c r="AC5195">
        <v>0.62599999999997602</v>
      </c>
      <c r="AD5195">
        <v>-5.8488999999999701E-2</v>
      </c>
      <c r="AE5195">
        <v>-7.5910000000000297E-2</v>
      </c>
      <c r="AF5195">
        <v>7.5043528312691996E-2</v>
      </c>
      <c r="AG5195">
        <v>-5.8488999999999701E-2</v>
      </c>
      <c r="AH5195">
        <v>0.62068684729273105</v>
      </c>
      <c r="AI5195">
        <v>95.344546602637806</v>
      </c>
      <c r="AJ5195">
        <v>83.106171420603204</v>
      </c>
      <c r="AK5195">
        <v>0.62793682537720896</v>
      </c>
      <c r="AL5195">
        <v>81.683624838974694</v>
      </c>
      <c r="AM5195">
        <v>80.840393597145706</v>
      </c>
      <c r="AN5195">
        <v>0.99999998587898997</v>
      </c>
    </row>
    <row r="5196" spans="1:40" x14ac:dyDescent="0.25">
      <c r="A5196" t="str">
        <f>"20190312164610588"</f>
        <v>20190312164610588</v>
      </c>
      <c r="B5196" t="str">
        <f>"1552380370577108"</f>
        <v>1552380370577108</v>
      </c>
      <c r="C5196" t="s">
        <v>40</v>
      </c>
      <c r="D5196">
        <v>5.1316930000000003</v>
      </c>
      <c r="E5196">
        <v>0.48507800000000001</v>
      </c>
      <c r="F5196" t="s">
        <v>41</v>
      </c>
      <c r="G5196">
        <v>-336.24079999999998</v>
      </c>
      <c r="H5196">
        <v>1.040516</v>
      </c>
      <c r="I5196">
        <v>17.24343</v>
      </c>
      <c r="J5196">
        <v>-336.96730000000002</v>
      </c>
      <c r="K5196">
        <v>1.108698</v>
      </c>
      <c r="L5196">
        <v>17.33325</v>
      </c>
      <c r="M5196">
        <v>0.99990780000000001</v>
      </c>
      <c r="N5196">
        <v>0</v>
      </c>
      <c r="O5196">
        <v>-5.2512290000000003E-4</v>
      </c>
      <c r="P5196">
        <v>0.97857479999999997</v>
      </c>
      <c r="Q5196">
        <v>0.13096540000000001</v>
      </c>
      <c r="R5196">
        <v>-0.15886910000000001</v>
      </c>
      <c r="S5196">
        <v>3.0470890000000002</v>
      </c>
      <c r="T5196">
        <v>-0.23539019999999999</v>
      </c>
      <c r="U5196">
        <v>-0.30941770000000002</v>
      </c>
      <c r="V5196">
        <v>0.15845229999999999</v>
      </c>
      <c r="W5196">
        <v>0.14412329999999901</v>
      </c>
      <c r="X5196">
        <v>0.97679130000000003</v>
      </c>
      <c r="Y5196">
        <v>0.1002094</v>
      </c>
      <c r="Z5196">
        <v>-3.8145990000000001E-3</v>
      </c>
      <c r="AA5196">
        <v>0.99495909999999999</v>
      </c>
      <c r="AB5196">
        <v>30</v>
      </c>
      <c r="AC5196">
        <v>0.726500000000044</v>
      </c>
      <c r="AD5196">
        <v>-6.8181999999999895E-2</v>
      </c>
      <c r="AE5196">
        <v>-8.9819999999999497E-2</v>
      </c>
      <c r="AF5196">
        <v>8.8669226317532795E-2</v>
      </c>
      <c r="AG5196">
        <v>-6.8181999999999895E-2</v>
      </c>
      <c r="AH5196">
        <v>0.72029832959349704</v>
      </c>
      <c r="AI5196">
        <v>95.367118122788696</v>
      </c>
      <c r="AJ5196">
        <v>82.982156447578305</v>
      </c>
      <c r="AK5196">
        <v>0.72893120418523105</v>
      </c>
      <c r="AL5196">
        <v>81.713484848747001</v>
      </c>
      <c r="AM5196">
        <v>80.785903688683405</v>
      </c>
      <c r="AN5196">
        <v>0.99999995036693301</v>
      </c>
    </row>
    <row r="5197" spans="1:40" x14ac:dyDescent="0.25">
      <c r="A5197" t="str">
        <f>"20190312164610601"</f>
        <v>20190312164610601</v>
      </c>
      <c r="B5197" t="str">
        <f>"1552380370596627"</f>
        <v>1552380370596627</v>
      </c>
      <c r="C5197" t="s">
        <v>40</v>
      </c>
      <c r="D5197">
        <v>5.2417040000000004</v>
      </c>
      <c r="E5197">
        <v>0.485983</v>
      </c>
      <c r="F5197" t="s">
        <v>41</v>
      </c>
      <c r="G5197">
        <v>-336.23169999999999</v>
      </c>
      <c r="H5197">
        <v>1.052349</v>
      </c>
      <c r="I5197">
        <v>17.257259999999999</v>
      </c>
      <c r="J5197">
        <v>-336.79919999999998</v>
      </c>
      <c r="K5197">
        <v>1.108697</v>
      </c>
      <c r="L5197">
        <v>17.33295</v>
      </c>
      <c r="M5197">
        <v>0.99990769999999995</v>
      </c>
      <c r="N5197">
        <v>0</v>
      </c>
      <c r="O5197">
        <v>-7.1178630000000005E-4</v>
      </c>
      <c r="P5197">
        <v>0.97839489999999996</v>
      </c>
      <c r="Q5197">
        <v>0.13061110000000001</v>
      </c>
      <c r="R5197">
        <v>-0.1602625</v>
      </c>
      <c r="S5197">
        <v>3.0460820000000002</v>
      </c>
      <c r="T5197">
        <v>-0.2333335</v>
      </c>
      <c r="U5197">
        <v>-0.31289670000000003</v>
      </c>
      <c r="V5197">
        <v>0.15966269999999999</v>
      </c>
      <c r="W5197">
        <v>0.14376510000000001</v>
      </c>
      <c r="X5197">
        <v>0.97664700000000004</v>
      </c>
      <c r="Y5197">
        <v>0.101184</v>
      </c>
      <c r="Z5197">
        <v>-3.805321E-3</v>
      </c>
      <c r="AA5197">
        <v>0.99486050000000004</v>
      </c>
      <c r="AB5197">
        <v>30</v>
      </c>
      <c r="AC5197">
        <v>0.56749999999999501</v>
      </c>
      <c r="AD5197">
        <v>-5.6348000000000002E-2</v>
      </c>
      <c r="AE5197">
        <v>-7.5689999999997995E-2</v>
      </c>
      <c r="AF5197">
        <v>7.4563741972471106E-2</v>
      </c>
      <c r="AG5197">
        <v>-5.6348000000000002E-2</v>
      </c>
      <c r="AH5197">
        <v>0.56210885936150301</v>
      </c>
      <c r="AI5197">
        <v>95.675047795074804</v>
      </c>
      <c r="AJ5197">
        <v>82.443828127728693</v>
      </c>
      <c r="AK5197">
        <v>0.56982560357852197</v>
      </c>
      <c r="AL5197">
        <v>81.734224363121101</v>
      </c>
      <c r="AM5197">
        <v>80.715391333932004</v>
      </c>
      <c r="AN5197">
        <v>0.99999997217914904</v>
      </c>
    </row>
    <row r="5198" spans="1:40" x14ac:dyDescent="0.25">
      <c r="A5198" t="str">
        <f>"20190312164610615"</f>
        <v>20190312164610615</v>
      </c>
      <c r="B5198" t="str">
        <f>"1552380370606387"</f>
        <v>1552380370606387</v>
      </c>
      <c r="C5198" t="s">
        <v>40</v>
      </c>
      <c r="D5198">
        <v>5.0675089999999896</v>
      </c>
      <c r="E5198">
        <v>0.485983</v>
      </c>
      <c r="F5198" t="s">
        <v>41</v>
      </c>
      <c r="G5198">
        <v>-335.9742</v>
      </c>
      <c r="H5198">
        <v>1.0449949999999999</v>
      </c>
      <c r="I5198">
        <v>17.2453</v>
      </c>
      <c r="J5198">
        <v>-336.62689999999998</v>
      </c>
      <c r="K5198">
        <v>1.108689</v>
      </c>
      <c r="L5198">
        <v>17.332609999999999</v>
      </c>
      <c r="M5198">
        <v>0.99990760000000001</v>
      </c>
      <c r="N5198">
        <v>0</v>
      </c>
      <c r="O5198">
        <v>-9.0333799999999995E-4</v>
      </c>
      <c r="P5198">
        <v>0.97820220000000002</v>
      </c>
      <c r="Q5198">
        <v>0.13027910000000001</v>
      </c>
      <c r="R5198">
        <v>-0.1617035</v>
      </c>
      <c r="S5198">
        <v>3.0445859999999998</v>
      </c>
      <c r="T5198">
        <v>-0.235123</v>
      </c>
      <c r="U5198">
        <v>-0.32391360000000002</v>
      </c>
      <c r="V5198">
        <v>0.16091620000000001</v>
      </c>
      <c r="W5198">
        <v>0.14342959999999999</v>
      </c>
      <c r="X5198">
        <v>0.97649059999999999</v>
      </c>
      <c r="Y5198">
        <v>0.1045893</v>
      </c>
      <c r="Z5198">
        <v>-3.9517700000000003E-3</v>
      </c>
      <c r="AA5198">
        <v>0.99450769999999999</v>
      </c>
      <c r="AB5198">
        <v>29</v>
      </c>
      <c r="AC5198">
        <v>0.65269999999998096</v>
      </c>
      <c r="AD5198">
        <v>-6.3693999999999903E-2</v>
      </c>
      <c r="AE5198">
        <v>-8.7309999999998597E-2</v>
      </c>
      <c r="AF5198">
        <v>8.5916508808734193E-2</v>
      </c>
      <c r="AG5198">
        <v>-6.3693999999999903E-2</v>
      </c>
      <c r="AH5198">
        <v>0.64672814090057196</v>
      </c>
      <c r="AI5198">
        <v>95.576045896170598</v>
      </c>
      <c r="AJ5198">
        <v>82.432682917664494</v>
      </c>
      <c r="AK5198">
        <v>0.65551190710359497</v>
      </c>
      <c r="AL5198">
        <v>81.753648492386404</v>
      </c>
      <c r="AM5198">
        <v>80.642310581312103</v>
      </c>
      <c r="AN5198">
        <v>0.99999998273347901</v>
      </c>
    </row>
    <row r="5199" spans="1:40" x14ac:dyDescent="0.25">
      <c r="A5199" t="str">
        <f>"20190312164610625"</f>
        <v>20190312164610625</v>
      </c>
      <c r="B5199" t="str">
        <f>"1552380370617125"</f>
        <v>1552380370617125</v>
      </c>
      <c r="C5199" t="s">
        <v>40</v>
      </c>
      <c r="D5199">
        <v>5.1129619999999996</v>
      </c>
      <c r="E5199">
        <v>0.52809110000000004</v>
      </c>
      <c r="F5199" t="s">
        <v>41</v>
      </c>
      <c r="G5199">
        <v>-335.71510000000001</v>
      </c>
      <c r="H5199">
        <v>1.037992</v>
      </c>
      <c r="I5199">
        <v>17.234210000000001</v>
      </c>
      <c r="J5199">
        <v>-336.47179999999997</v>
      </c>
      <c r="K5199">
        <v>1.1086849999999999</v>
      </c>
      <c r="L5199">
        <v>17.33231</v>
      </c>
      <c r="M5199">
        <v>0.9999074</v>
      </c>
      <c r="N5199">
        <v>0</v>
      </c>
      <c r="O5199">
        <v>-1.076177E-3</v>
      </c>
      <c r="P5199">
        <v>0.97792440000000003</v>
      </c>
      <c r="Q5199">
        <v>0.1304517</v>
      </c>
      <c r="R5199">
        <v>-0.163237299999999</v>
      </c>
      <c r="S5199">
        <v>3.0440670000000001</v>
      </c>
      <c r="T5199">
        <v>-0.23599680000000001</v>
      </c>
      <c r="U5199">
        <v>-0.32781979999999999</v>
      </c>
      <c r="V5199">
        <v>0.16228119999999999</v>
      </c>
      <c r="W5199">
        <v>0.14359710000000001</v>
      </c>
      <c r="X5199">
        <v>0.97624010000000006</v>
      </c>
      <c r="Y5199">
        <v>0.1056918</v>
      </c>
      <c r="Z5199">
        <v>-3.9960229999999996E-3</v>
      </c>
      <c r="AA5199">
        <v>0.99439089999999997</v>
      </c>
      <c r="AB5199">
        <v>29</v>
      </c>
      <c r="AC5199">
        <v>0.75669999999996596</v>
      </c>
      <c r="AD5199">
        <v>-7.0693000000000103E-2</v>
      </c>
      <c r="AE5199">
        <v>-9.8099999999998702E-2</v>
      </c>
      <c r="AF5199">
        <v>9.6457576893191593E-2</v>
      </c>
      <c r="AG5199">
        <v>-7.0693000000000103E-2</v>
      </c>
      <c r="AH5199">
        <v>0.75036435618893604</v>
      </c>
      <c r="AI5199">
        <v>95.338369882855602</v>
      </c>
      <c r="AJ5199">
        <v>82.674933430522898</v>
      </c>
      <c r="AK5199">
        <v>0.75983434472781097</v>
      </c>
      <c r="AL5199">
        <v>81.7439514075175</v>
      </c>
      <c r="AM5199">
        <v>80.561976321309999</v>
      </c>
      <c r="AN5199">
        <v>1.00000002392492</v>
      </c>
    </row>
    <row r="5200" spans="1:40" x14ac:dyDescent="0.25">
      <c r="A5200" t="str">
        <f>"20190312164610636"</f>
        <v>20190312164610636</v>
      </c>
      <c r="B5200" t="str">
        <f>"1552380370626885"</f>
        <v>1552380370626885</v>
      </c>
      <c r="C5200" t="s">
        <v>40</v>
      </c>
      <c r="D5200">
        <v>4.9663849999999998</v>
      </c>
      <c r="E5200">
        <v>0.52845690000000001</v>
      </c>
      <c r="F5200" t="s">
        <v>43</v>
      </c>
      <c r="G5200">
        <v>-314.73579999999998</v>
      </c>
      <c r="H5200">
        <v>-0.05</v>
      </c>
      <c r="I5200">
        <v>12.435790000000001</v>
      </c>
      <c r="J5200">
        <v>-336.3399</v>
      </c>
      <c r="K5200">
        <v>1.108684</v>
      </c>
      <c r="L5200">
        <v>17.331969999999998</v>
      </c>
      <c r="M5200">
        <v>0.99990730000000005</v>
      </c>
      <c r="N5200">
        <v>0</v>
      </c>
      <c r="O5200">
        <v>-1.223628E-3</v>
      </c>
      <c r="P5200">
        <v>0.97753259999999997</v>
      </c>
      <c r="Q5200">
        <v>0.13083310000000001</v>
      </c>
      <c r="R5200">
        <v>-0.16526559999999901</v>
      </c>
      <c r="S5200">
        <v>2.9769589999999999</v>
      </c>
      <c r="T5200">
        <v>-0.158693</v>
      </c>
      <c r="U5200">
        <v>-0.67062379999999999</v>
      </c>
      <c r="V5200">
        <v>0.16416620000000001</v>
      </c>
      <c r="W5200">
        <v>0.1439713</v>
      </c>
      <c r="X5200">
        <v>0.97586969999999995</v>
      </c>
      <c r="Y5200">
        <v>0.2182769</v>
      </c>
      <c r="Z5200">
        <v>-5.6775480000000001E-3</v>
      </c>
      <c r="AA5200">
        <v>0.97587040000000003</v>
      </c>
      <c r="AB5200">
        <v>29</v>
      </c>
      <c r="AC5200">
        <v>21.604099999999999</v>
      </c>
      <c r="AD5200">
        <v>-1.158684</v>
      </c>
      <c r="AE5200">
        <v>-4.8961800000000002</v>
      </c>
      <c r="AF5200">
        <v>4.8564515979173697</v>
      </c>
      <c r="AG5200">
        <v>-1.158684</v>
      </c>
      <c r="AH5200">
        <v>21.5511130886991</v>
      </c>
      <c r="AI5200">
        <v>93.002369426305407</v>
      </c>
      <c r="AJ5200">
        <v>77.300762812042805</v>
      </c>
      <c r="AK5200">
        <v>22.121892913958899</v>
      </c>
      <c r="AL5200">
        <v>81.722285788634807</v>
      </c>
      <c r="AM5200">
        <v>80.450797341760307</v>
      </c>
      <c r="AN5200">
        <v>0.99999997391210904</v>
      </c>
    </row>
    <row r="5201" spans="1:40" x14ac:dyDescent="0.25">
      <c r="A5201" t="str">
        <f>"20190312164610646"</f>
        <v>20190312164610646</v>
      </c>
      <c r="B5201" t="str">
        <f>"1552380370636644"</f>
        <v>1552380370636644</v>
      </c>
      <c r="C5201" t="s">
        <v>40</v>
      </c>
      <c r="D5201">
        <v>5.1477849999999998</v>
      </c>
      <c r="E5201">
        <v>0.53029569999999904</v>
      </c>
      <c r="F5201" t="s">
        <v>43</v>
      </c>
      <c r="G5201">
        <v>-314.35860000000002</v>
      </c>
      <c r="H5201">
        <v>-0.05</v>
      </c>
      <c r="I5201">
        <v>12.313079999999999</v>
      </c>
      <c r="J5201">
        <v>-336.1968</v>
      </c>
      <c r="K5201">
        <v>1.108684</v>
      </c>
      <c r="L5201">
        <v>17.331630000000001</v>
      </c>
      <c r="M5201">
        <v>0.99990730000000005</v>
      </c>
      <c r="N5201">
        <v>0</v>
      </c>
      <c r="O5201">
        <v>-1.383476E-3</v>
      </c>
      <c r="P5201">
        <v>0.97726500000000005</v>
      </c>
      <c r="Q5201">
        <v>0.1306976</v>
      </c>
      <c r="R5201">
        <v>-0.16694829999999999</v>
      </c>
      <c r="S5201">
        <v>2.975098</v>
      </c>
      <c r="T5201">
        <v>-0.15682409999999999</v>
      </c>
      <c r="U5201">
        <v>-0.67929079999999997</v>
      </c>
      <c r="V5201">
        <v>0.1656927</v>
      </c>
      <c r="W5201">
        <v>0.14383119999999999</v>
      </c>
      <c r="X5201">
        <v>0.97563239999999996</v>
      </c>
      <c r="Y5201">
        <v>0.22095819999999999</v>
      </c>
      <c r="Z5201">
        <v>-5.6738240000000001E-3</v>
      </c>
      <c r="AA5201">
        <v>0.97526679999999999</v>
      </c>
      <c r="AB5201">
        <v>29</v>
      </c>
      <c r="AC5201">
        <v>21.838199999999901</v>
      </c>
      <c r="AD5201">
        <v>-1.158684</v>
      </c>
      <c r="AE5201">
        <v>-5.0185499999999896</v>
      </c>
      <c r="AF5201">
        <v>4.9750270480175001</v>
      </c>
      <c r="AG5201">
        <v>-1.158684</v>
      </c>
      <c r="AH5201">
        <v>21.786866761094899</v>
      </c>
      <c r="AI5201">
        <v>92.968018750192897</v>
      </c>
      <c r="AJ5201">
        <v>77.137065965951294</v>
      </c>
      <c r="AK5201">
        <v>22.3776899166572</v>
      </c>
      <c r="AL5201">
        <v>81.730397839588306</v>
      </c>
      <c r="AM5201">
        <v>80.3613617383443</v>
      </c>
      <c r="AN5201">
        <v>1.0000000324282401</v>
      </c>
    </row>
    <row r="5202" spans="1:40" x14ac:dyDescent="0.25">
      <c r="A5202" t="str">
        <f>"20190312164610656"</f>
        <v>20190312164610656</v>
      </c>
      <c r="B5202" t="str">
        <f>"1552380370646404"</f>
        <v>1552380370646404</v>
      </c>
      <c r="C5202" t="s">
        <v>40</v>
      </c>
      <c r="D5202">
        <v>5.094017</v>
      </c>
      <c r="E5202">
        <v>0.53121669999999999</v>
      </c>
      <c r="F5202" t="s">
        <v>43</v>
      </c>
      <c r="G5202">
        <v>-314.96210000000002</v>
      </c>
      <c r="H5202">
        <v>-0.05</v>
      </c>
      <c r="I5202">
        <v>12.34149</v>
      </c>
      <c r="J5202">
        <v>-336.0752</v>
      </c>
      <c r="K5202">
        <v>1.1086830000000001</v>
      </c>
      <c r="L5202">
        <v>17.331299999999999</v>
      </c>
      <c r="M5202">
        <v>0.99990690000000004</v>
      </c>
      <c r="N5202">
        <v>0</v>
      </c>
      <c r="O5202">
        <v>-1.5202060000000001E-3</v>
      </c>
      <c r="P5202">
        <v>0.97692999999999997</v>
      </c>
      <c r="Q5202">
        <v>0.1306841</v>
      </c>
      <c r="R5202">
        <v>-0.16890769999999999</v>
      </c>
      <c r="S5202">
        <v>2.9721679999999999</v>
      </c>
      <c r="T5202">
        <v>-0.16217790000000001</v>
      </c>
      <c r="U5202">
        <v>-0.69845579999999996</v>
      </c>
      <c r="V5202">
        <v>0.16751920000000001</v>
      </c>
      <c r="W5202">
        <v>0.14381089999999999</v>
      </c>
      <c r="X5202">
        <v>0.97532339999999995</v>
      </c>
      <c r="Y5202">
        <v>0.2269688</v>
      </c>
      <c r="Z5202">
        <v>-6.0229849999999998E-3</v>
      </c>
      <c r="AA5202">
        <v>0.97388339999999995</v>
      </c>
      <c r="AB5202">
        <v>29</v>
      </c>
      <c r="AC5202">
        <v>21.1130999999999</v>
      </c>
      <c r="AD5202">
        <v>-1.1586829999999999</v>
      </c>
      <c r="AE5202">
        <v>-4.9898099999999896</v>
      </c>
      <c r="AF5202">
        <v>4.9436035464781698</v>
      </c>
      <c r="AG5202">
        <v>-1.1586829999999999</v>
      </c>
      <c r="AH5202">
        <v>21.060587171450599</v>
      </c>
      <c r="AI5202">
        <v>93.0658813087325</v>
      </c>
      <c r="AJ5202">
        <v>76.789976064775004</v>
      </c>
      <c r="AK5202">
        <v>21.6640276570519</v>
      </c>
      <c r="AL5202">
        <v>81.731572859207503</v>
      </c>
      <c r="AM5202">
        <v>80.254109069780696</v>
      </c>
      <c r="AN5202">
        <v>0.999999995957504</v>
      </c>
    </row>
    <row r="5203" spans="1:40" x14ac:dyDescent="0.25">
      <c r="A5203" t="str">
        <f>"20190312164610666"</f>
        <v>20190312164610666</v>
      </c>
      <c r="B5203" t="str">
        <f>"1552380370657141"</f>
        <v>1552380370657141</v>
      </c>
      <c r="C5203" t="s">
        <v>40</v>
      </c>
      <c r="D5203">
        <v>5.0744030000000002</v>
      </c>
      <c r="E5203">
        <v>0.53166720000000001</v>
      </c>
      <c r="F5203" t="s">
        <v>43</v>
      </c>
      <c r="G5203">
        <v>-316.82859999999999</v>
      </c>
      <c r="H5203">
        <v>-0.05</v>
      </c>
      <c r="I5203">
        <v>12.730549999999999</v>
      </c>
      <c r="J5203">
        <v>-335.9323</v>
      </c>
      <c r="K5203">
        <v>1.1086860000000001</v>
      </c>
      <c r="L5203">
        <v>17.330929999999999</v>
      </c>
      <c r="M5203">
        <v>0.99990670000000004</v>
      </c>
      <c r="N5203">
        <v>0</v>
      </c>
      <c r="O5203">
        <v>-1.681255E-3</v>
      </c>
      <c r="P5203">
        <v>0.97655720000000001</v>
      </c>
      <c r="Q5203">
        <v>0.13081429999999999</v>
      </c>
      <c r="R5203">
        <v>-0.17094909999999999</v>
      </c>
      <c r="S5203">
        <v>2.971924</v>
      </c>
      <c r="T5203">
        <v>-0.17891550000000001</v>
      </c>
      <c r="U5203">
        <v>-0.71041869999999996</v>
      </c>
      <c r="V5203">
        <v>0.1694042</v>
      </c>
      <c r="W5203">
        <v>0.14393449999999999</v>
      </c>
      <c r="X5203">
        <v>0.9749795</v>
      </c>
      <c r="Y5203">
        <v>0.2304657</v>
      </c>
      <c r="Z5203">
        <v>-6.7352080000000003E-3</v>
      </c>
      <c r="AA5203">
        <v>0.97305719999999996</v>
      </c>
      <c r="AB5203">
        <v>29</v>
      </c>
      <c r="AC5203">
        <v>19.1037</v>
      </c>
      <c r="AD5203">
        <v>-1.1586860000000001</v>
      </c>
      <c r="AE5203">
        <v>-4.6003800000000004</v>
      </c>
      <c r="AF5203">
        <v>4.5524232026472102</v>
      </c>
      <c r="AG5203">
        <v>-1.1586860000000001</v>
      </c>
      <c r="AH5203">
        <v>19.045186430844101</v>
      </c>
      <c r="AI5203">
        <v>93.386347322776203</v>
      </c>
      <c r="AJ5203">
        <v>76.556679491216798</v>
      </c>
      <c r="AK5203">
        <v>19.6159689143362</v>
      </c>
      <c r="AL5203">
        <v>81.724416468954303</v>
      </c>
      <c r="AM5203">
        <v>80.143174514331506</v>
      </c>
      <c r="AN5203">
        <v>0.99999997434406895</v>
      </c>
    </row>
    <row r="5204" spans="1:40" x14ac:dyDescent="0.25">
      <c r="A5204" t="str">
        <f>"20190312164610677"</f>
        <v>20190312164610677</v>
      </c>
      <c r="B5204" t="str">
        <f>"1552380370666900"</f>
        <v>1552380370666900</v>
      </c>
      <c r="C5204" t="s">
        <v>40</v>
      </c>
      <c r="D5204">
        <v>5.0946069999999999</v>
      </c>
      <c r="E5204">
        <v>0.53162600000000004</v>
      </c>
      <c r="F5204" t="s">
        <v>43</v>
      </c>
      <c r="G5204">
        <v>-316.24079999999998</v>
      </c>
      <c r="H5204">
        <v>-0.05</v>
      </c>
      <c r="I5204">
        <v>12.552670000000001</v>
      </c>
      <c r="J5204">
        <v>-335.80619999999999</v>
      </c>
      <c r="K5204">
        <v>1.1086849999999999</v>
      </c>
      <c r="L5204">
        <v>17.330570000000002</v>
      </c>
      <c r="M5204">
        <v>0.99990639999999997</v>
      </c>
      <c r="N5204">
        <v>0</v>
      </c>
      <c r="O5204">
        <v>-1.825871E-3</v>
      </c>
      <c r="P5204">
        <v>0.97623130000000002</v>
      </c>
      <c r="Q5204">
        <v>0.1308473</v>
      </c>
      <c r="R5204">
        <v>-0.1727764</v>
      </c>
      <c r="S5204">
        <v>2.9692989999999999</v>
      </c>
      <c r="T5204">
        <v>-0.17471989999999901</v>
      </c>
      <c r="U5204">
        <v>-0.72051999999999905</v>
      </c>
      <c r="V5204">
        <v>0.171091299999999</v>
      </c>
      <c r="W5204">
        <v>0.14396139999999999</v>
      </c>
      <c r="X5204">
        <v>0.97468089999999996</v>
      </c>
      <c r="Y5204">
        <v>0.2336597</v>
      </c>
      <c r="Z5204">
        <v>-6.6647669999999899E-3</v>
      </c>
      <c r="AA5204">
        <v>0.97229560000000004</v>
      </c>
      <c r="AB5204">
        <v>29</v>
      </c>
      <c r="AC5204">
        <v>19.5654</v>
      </c>
      <c r="AD5204">
        <v>-1.158685</v>
      </c>
      <c r="AE5204">
        <v>-4.7778999999999998</v>
      </c>
      <c r="AF5204">
        <v>4.7265211749188198</v>
      </c>
      <c r="AG5204">
        <v>-1.158685</v>
      </c>
      <c r="AH5204">
        <v>19.509520068327699</v>
      </c>
      <c r="AI5204">
        <v>93.303502860605704</v>
      </c>
      <c r="AJ5204">
        <v>76.381491730559304</v>
      </c>
      <c r="AK5204">
        <v>20.107310278668798</v>
      </c>
      <c r="AL5204">
        <v>81.722859099092403</v>
      </c>
      <c r="AM5204">
        <v>80.043975569027893</v>
      </c>
      <c r="AN5204">
        <v>0.99999998722522898</v>
      </c>
    </row>
    <row r="5205" spans="1:40" x14ac:dyDescent="0.25">
      <c r="A5205" t="str">
        <f>"20190312164610687"</f>
        <v>20190312164610687</v>
      </c>
      <c r="B5205" t="str">
        <f>"1552380370676660"</f>
        <v>1552380370676660</v>
      </c>
      <c r="C5205" t="s">
        <v>40</v>
      </c>
      <c r="D5205">
        <v>5.1081500000000002</v>
      </c>
      <c r="E5205">
        <v>0.53144619999999998</v>
      </c>
      <c r="F5205" t="s">
        <v>43</v>
      </c>
      <c r="G5205">
        <v>-316.04129999999998</v>
      </c>
      <c r="H5205">
        <v>-0.05</v>
      </c>
      <c r="I5205">
        <v>12.49643</v>
      </c>
      <c r="J5205">
        <v>-335.66699999999997</v>
      </c>
      <c r="K5205">
        <v>1.1086860000000001</v>
      </c>
      <c r="L5205">
        <v>17.33014</v>
      </c>
      <c r="M5205">
        <v>0.99990630000000003</v>
      </c>
      <c r="N5205">
        <v>0</v>
      </c>
      <c r="O5205">
        <v>-1.9863469999999999E-3</v>
      </c>
      <c r="P5205">
        <v>0.97587469999999998</v>
      </c>
      <c r="Q5205">
        <v>0.1308665</v>
      </c>
      <c r="R5205">
        <v>-0.17476659999999999</v>
      </c>
      <c r="S5205">
        <v>2.9678960000000001</v>
      </c>
      <c r="T5205">
        <v>-0.1739877</v>
      </c>
      <c r="U5205">
        <v>-0.72589110000000001</v>
      </c>
      <c r="V5205">
        <v>0.17292589999999999</v>
      </c>
      <c r="W5205">
        <v>0.14397279999999901</v>
      </c>
      <c r="X5205">
        <v>0.97435539999999998</v>
      </c>
      <c r="Y5205">
        <v>0.23527029999999999</v>
      </c>
      <c r="Z5205">
        <v>-6.6757559999999997E-3</v>
      </c>
      <c r="AA5205">
        <v>0.97190699999999997</v>
      </c>
      <c r="AB5205">
        <v>29</v>
      </c>
      <c r="AC5205">
        <v>19.625699999999899</v>
      </c>
      <c r="AD5205">
        <v>-1.1586860000000001</v>
      </c>
      <c r="AE5205">
        <v>-4.83371</v>
      </c>
      <c r="AF5205">
        <v>4.7790082776905303</v>
      </c>
      <c r="AG5205">
        <v>-1.1586860000000001</v>
      </c>
      <c r="AH5205">
        <v>19.570947971427699</v>
      </c>
      <c r="AI5205">
        <v>93.291710153779604</v>
      </c>
      <c r="AJ5205">
        <v>76.277548517231907</v>
      </c>
      <c r="AK5205">
        <v>20.179283383340501</v>
      </c>
      <c r="AL5205">
        <v>81.722199072343102</v>
      </c>
      <c r="AM5205">
        <v>79.936095282078398</v>
      </c>
      <c r="AN5205">
        <v>0.99999998976990501</v>
      </c>
    </row>
    <row r="5206" spans="1:40" x14ac:dyDescent="0.25">
      <c r="A5206" t="str">
        <f>"20190312164610699"</f>
        <v>20190312164610699</v>
      </c>
      <c r="B5206" t="str">
        <f>"1552380370696180"</f>
        <v>1552380370696180</v>
      </c>
      <c r="C5206" t="s">
        <v>40</v>
      </c>
      <c r="D5206">
        <v>5.1424209999999997</v>
      </c>
      <c r="E5206">
        <v>0.53193690000000005</v>
      </c>
      <c r="F5206" t="s">
        <v>43</v>
      </c>
      <c r="G5206">
        <v>-315.89519999999999</v>
      </c>
      <c r="H5206">
        <v>-0.05</v>
      </c>
      <c r="I5206">
        <v>12.461169999999999</v>
      </c>
      <c r="J5206">
        <v>-335.52080000000001</v>
      </c>
      <c r="K5206">
        <v>1.1086830000000001</v>
      </c>
      <c r="L5206">
        <v>17.329619999999998</v>
      </c>
      <c r="M5206">
        <v>0.99990579999999996</v>
      </c>
      <c r="N5206">
        <v>0</v>
      </c>
      <c r="O5206">
        <v>-2.1594880000000002E-3</v>
      </c>
      <c r="P5206">
        <v>0.97545590000000004</v>
      </c>
      <c r="Q5206">
        <v>0.13112449999999901</v>
      </c>
      <c r="R5206">
        <v>-0.17689540000000001</v>
      </c>
      <c r="S5206">
        <v>2.9666440000000001</v>
      </c>
      <c r="T5206">
        <v>-0.17385439999999999</v>
      </c>
      <c r="U5206">
        <v>-0.73056030000000005</v>
      </c>
      <c r="V5206">
        <v>0.174888299999999</v>
      </c>
      <c r="W5206">
        <v>0.1442223</v>
      </c>
      <c r="X5206">
        <v>0.9739681</v>
      </c>
      <c r="Y5206">
        <v>0.23663770000000001</v>
      </c>
      <c r="Z5206">
        <v>-6.7015989999999999E-3</v>
      </c>
      <c r="AA5206">
        <v>0.97157479999999996</v>
      </c>
      <c r="AB5206">
        <v>29</v>
      </c>
      <c r="AC5206">
        <v>19.625599999999999</v>
      </c>
      <c r="AD5206">
        <v>-1.1586829999999999</v>
      </c>
      <c r="AE5206">
        <v>-4.8684500000000002</v>
      </c>
      <c r="AF5206">
        <v>4.81025861051502</v>
      </c>
      <c r="AG5206">
        <v>-1.1586829999999999</v>
      </c>
      <c r="AH5206">
        <v>19.571802873132999</v>
      </c>
      <c r="AI5206">
        <v>93.290354532109504</v>
      </c>
      <c r="AJ5206">
        <v>76.191820454867099</v>
      </c>
      <c r="AK5206">
        <v>20.187535805523598</v>
      </c>
      <c r="AL5206">
        <v>81.707752464064399</v>
      </c>
      <c r="AM5206">
        <v>79.820299631375903</v>
      </c>
      <c r="AN5206">
        <v>0.99999992455589204</v>
      </c>
    </row>
    <row r="5207" spans="1:40" x14ac:dyDescent="0.25">
      <c r="A5207" t="str">
        <f>"20190312164610710"</f>
        <v>20190312164610710</v>
      </c>
      <c r="B5207" t="str">
        <f>"1552380370706916"</f>
        <v>1552380370706916</v>
      </c>
      <c r="C5207" t="s">
        <v>40</v>
      </c>
      <c r="D5207">
        <v>4.8276209999999997</v>
      </c>
      <c r="E5207">
        <v>0.53131410000000001</v>
      </c>
      <c r="F5207" t="s">
        <v>43</v>
      </c>
      <c r="G5207">
        <v>-315.81849999999997</v>
      </c>
      <c r="H5207">
        <v>-0.05</v>
      </c>
      <c r="I5207">
        <v>12.40765</v>
      </c>
      <c r="J5207">
        <v>-335.3707</v>
      </c>
      <c r="K5207">
        <v>1.1086739999999999</v>
      </c>
      <c r="L5207">
        <v>17.329129999999999</v>
      </c>
      <c r="M5207">
        <v>0.9999055</v>
      </c>
      <c r="N5207">
        <v>0</v>
      </c>
      <c r="O5207">
        <v>-2.3387159999999998E-3</v>
      </c>
      <c r="P5207">
        <v>0.97501519999999997</v>
      </c>
      <c r="Q5207">
        <v>0.131302</v>
      </c>
      <c r="R5207">
        <v>-0.17918000000000001</v>
      </c>
      <c r="S5207">
        <v>2.964569</v>
      </c>
      <c r="T5207">
        <v>-0.17434569999999999</v>
      </c>
      <c r="U5207">
        <v>-0.74060059999999905</v>
      </c>
      <c r="V5207">
        <v>0.1770004</v>
      </c>
      <c r="W5207">
        <v>0.144390299999999</v>
      </c>
      <c r="X5207">
        <v>0.97356160000000003</v>
      </c>
      <c r="Y5207">
        <v>0.23971290000000001</v>
      </c>
      <c r="Z5207">
        <v>-6.8009890000000003E-3</v>
      </c>
      <c r="AA5207">
        <v>0.97082000000000002</v>
      </c>
      <c r="AB5207">
        <v>29</v>
      </c>
      <c r="AC5207">
        <v>19.552199999999999</v>
      </c>
      <c r="AD5207">
        <v>-1.158674</v>
      </c>
      <c r="AE5207">
        <v>-4.9214799999999901</v>
      </c>
      <c r="AF5207">
        <v>4.8596858533361296</v>
      </c>
      <c r="AG5207">
        <v>-1.158674</v>
      </c>
      <c r="AH5207">
        <v>19.4992598776664</v>
      </c>
      <c r="AI5207">
        <v>93.299893370734296</v>
      </c>
      <c r="AJ5207">
        <v>76.005603918208095</v>
      </c>
      <c r="AK5207">
        <v>20.129088598547199</v>
      </c>
      <c r="AL5207">
        <v>81.698025123292396</v>
      </c>
      <c r="AM5207">
        <v>79.695768791908606</v>
      </c>
      <c r="AN5207">
        <v>0.99999994466440301</v>
      </c>
    </row>
    <row r="5208" spans="1:40" x14ac:dyDescent="0.25">
      <c r="A5208" t="str">
        <f>"20190312164610721"</f>
        <v>20190312164610721</v>
      </c>
      <c r="B5208" t="str">
        <f>"1552380370716675"</f>
        <v>1552380370716675</v>
      </c>
      <c r="C5208" t="s">
        <v>40</v>
      </c>
      <c r="D5208">
        <v>5.1482559999999999</v>
      </c>
      <c r="E5208">
        <v>0.53179790000000005</v>
      </c>
      <c r="F5208" t="s">
        <v>43</v>
      </c>
      <c r="G5208">
        <v>-315.5883</v>
      </c>
      <c r="H5208">
        <v>-0.05</v>
      </c>
      <c r="I5208">
        <v>12.373659999999999</v>
      </c>
      <c r="J5208">
        <v>-335.21660000000003</v>
      </c>
      <c r="K5208">
        <v>1.10867</v>
      </c>
      <c r="L5208">
        <v>17.32855</v>
      </c>
      <c r="M5208">
        <v>0.99990489999999999</v>
      </c>
      <c r="N5208">
        <v>0</v>
      </c>
      <c r="O5208">
        <v>-2.5283409999999999E-3</v>
      </c>
      <c r="P5208">
        <v>0.97458460000000002</v>
      </c>
      <c r="Q5208">
        <v>0.131682299999999</v>
      </c>
      <c r="R5208">
        <v>-0.18123049999999999</v>
      </c>
      <c r="S5208">
        <v>2.9638059999999999</v>
      </c>
      <c r="T5208">
        <v>-0.17359340000000001</v>
      </c>
      <c r="U5208">
        <v>-0.74243159999999997</v>
      </c>
      <c r="V5208">
        <v>0.17886930000000001</v>
      </c>
      <c r="W5208">
        <v>0.14476069999999999</v>
      </c>
      <c r="X5208">
        <v>0.97316499999999995</v>
      </c>
      <c r="Y5208">
        <v>0.2401548</v>
      </c>
      <c r="Z5208">
        <v>-6.7746839999999996E-3</v>
      </c>
      <c r="AA5208">
        <v>0.97071099999999999</v>
      </c>
      <c r="AB5208">
        <v>29</v>
      </c>
      <c r="AC5208">
        <v>19.628299999999999</v>
      </c>
      <c r="AD5208">
        <v>-1.1586700000000001</v>
      </c>
      <c r="AE5208">
        <v>-4.95488999999999</v>
      </c>
      <c r="AF5208">
        <v>4.8892261470110796</v>
      </c>
      <c r="AG5208">
        <v>-1.1586700000000001</v>
      </c>
      <c r="AH5208">
        <v>19.576635753792399</v>
      </c>
      <c r="AI5208">
        <v>93.286464470164603</v>
      </c>
      <c r="AJ5208">
        <v>75.977345113709703</v>
      </c>
      <c r="AK5208">
        <v>20.211177994421298</v>
      </c>
      <c r="AL5208">
        <v>81.676577911379297</v>
      </c>
      <c r="AM5208">
        <v>79.585186182863694</v>
      </c>
      <c r="AN5208">
        <v>1.00000000198598</v>
      </c>
    </row>
    <row r="5209" spans="1:40" x14ac:dyDescent="0.25">
      <c r="A5209" t="str">
        <f>"20190312164610734"</f>
        <v>20190312164610734</v>
      </c>
      <c r="B5209" t="str">
        <f>"1552380370726436"</f>
        <v>1552380370726436</v>
      </c>
      <c r="C5209" t="s">
        <v>40</v>
      </c>
      <c r="D5209">
        <v>5.0520110000000003</v>
      </c>
      <c r="E5209">
        <v>0.53230010000000005</v>
      </c>
      <c r="F5209" t="s">
        <v>43</v>
      </c>
      <c r="G5209">
        <v>-315.36270000000002</v>
      </c>
      <c r="H5209">
        <v>-0.05</v>
      </c>
      <c r="I5209">
        <v>12.28647</v>
      </c>
      <c r="J5209">
        <v>-335.05189999999999</v>
      </c>
      <c r="K5209">
        <v>1.108665</v>
      </c>
      <c r="L5209">
        <v>17.327939999999899</v>
      </c>
      <c r="M5209">
        <v>0.99990449999999997</v>
      </c>
      <c r="N5209">
        <v>0</v>
      </c>
      <c r="O5209">
        <v>-2.7347859999999999E-3</v>
      </c>
      <c r="P5209">
        <v>0.97411519999999996</v>
      </c>
      <c r="Q5209">
        <v>0.13209379999999901</v>
      </c>
      <c r="R5209">
        <v>-0.18344369999999999</v>
      </c>
      <c r="S5209">
        <v>2.9617610000000001</v>
      </c>
      <c r="T5209">
        <v>-0.1728479</v>
      </c>
      <c r="U5209">
        <v>-0.75216669999999997</v>
      </c>
      <c r="V5209">
        <v>0.18088470000000001</v>
      </c>
      <c r="W5209">
        <v>0.14516129999999999</v>
      </c>
      <c r="X5209">
        <v>0.97273270000000001</v>
      </c>
      <c r="Y5209">
        <v>0.24310970000000001</v>
      </c>
      <c r="Z5209">
        <v>-6.8204390000000002E-3</v>
      </c>
      <c r="AA5209">
        <v>0.96997480000000003</v>
      </c>
      <c r="AB5209">
        <v>29</v>
      </c>
      <c r="AC5209">
        <v>19.6891999999999</v>
      </c>
      <c r="AD5209">
        <v>-1.1586650000000001</v>
      </c>
      <c r="AE5209">
        <v>-5.0414699999999897</v>
      </c>
      <c r="AF5209">
        <v>4.9714433679455698</v>
      </c>
      <c r="AG5209">
        <v>-1.1586650000000001</v>
      </c>
      <c r="AH5209">
        <v>19.6390883423811</v>
      </c>
      <c r="AI5209">
        <v>93.273400811474701</v>
      </c>
      <c r="AJ5209">
        <v>75.794543692245796</v>
      </c>
      <c r="AK5209">
        <v>20.291661949253101</v>
      </c>
      <c r="AL5209">
        <v>81.653380106433403</v>
      </c>
      <c r="AM5209">
        <v>79.465873309720095</v>
      </c>
      <c r="AN5209">
        <v>0.99999999168053499</v>
      </c>
    </row>
    <row r="5210" spans="1:40" x14ac:dyDescent="0.25">
      <c r="A5210" t="str">
        <f>"20190312164610744"</f>
        <v>20190312164610744</v>
      </c>
      <c r="B5210" t="str">
        <f>"1552380370736241"</f>
        <v>1552380370736241</v>
      </c>
      <c r="C5210" t="s">
        <v>40</v>
      </c>
      <c r="D5210">
        <v>5.2257949999999997</v>
      </c>
      <c r="E5210">
        <v>0.53301379999999998</v>
      </c>
      <c r="F5210" t="s">
        <v>43</v>
      </c>
      <c r="G5210">
        <v>-314.25150000000002</v>
      </c>
      <c r="H5210">
        <v>-0.05</v>
      </c>
      <c r="I5210">
        <v>11.96063</v>
      </c>
      <c r="J5210">
        <v>-334.9205</v>
      </c>
      <c r="K5210">
        <v>1.108657</v>
      </c>
      <c r="L5210">
        <v>17.327359999999999</v>
      </c>
      <c r="M5210">
        <v>0.99990400000000002</v>
      </c>
      <c r="N5210">
        <v>0</v>
      </c>
      <c r="O5210">
        <v>-2.9022359999999999E-3</v>
      </c>
      <c r="P5210">
        <v>0.97372449999999999</v>
      </c>
      <c r="Q5210">
        <v>0.13244900000000001</v>
      </c>
      <c r="R5210">
        <v>-0.18525130000000001</v>
      </c>
      <c r="S5210">
        <v>2.9583439999999999</v>
      </c>
      <c r="T5210">
        <v>-0.1647911</v>
      </c>
      <c r="U5210">
        <v>-0.76336669999999995</v>
      </c>
      <c r="V5210">
        <v>0.18253249999999999</v>
      </c>
      <c r="W5210">
        <v>0.14550759999999999</v>
      </c>
      <c r="X5210">
        <v>0.97237309999999999</v>
      </c>
      <c r="Y5210">
        <v>0.24668870000000001</v>
      </c>
      <c r="Z5210">
        <v>-6.5961079999999998E-3</v>
      </c>
      <c r="AA5210">
        <v>0.9690723</v>
      </c>
      <c r="AB5210">
        <v>29</v>
      </c>
      <c r="AC5210">
        <v>20.668999999999901</v>
      </c>
      <c r="AD5210">
        <v>-1.158657</v>
      </c>
      <c r="AE5210">
        <v>-5.3667299999999996</v>
      </c>
      <c r="AF5210">
        <v>5.2911385233381596</v>
      </c>
      <c r="AG5210">
        <v>-1.158657</v>
      </c>
      <c r="AH5210">
        <v>20.6237737417216</v>
      </c>
      <c r="AI5210">
        <v>93.114864628558394</v>
      </c>
      <c r="AJ5210">
        <v>75.610807799263895</v>
      </c>
      <c r="AK5210">
        <v>21.323195732969499</v>
      </c>
      <c r="AL5210">
        <v>81.633325809035796</v>
      </c>
      <c r="AM5210">
        <v>79.368246686359697</v>
      </c>
      <c r="AN5210">
        <v>1.00000001040881</v>
      </c>
    </row>
    <row r="5211" spans="1:40" x14ac:dyDescent="0.25">
      <c r="A5211" t="str">
        <f>"20190312164610755"</f>
        <v>20190312164610755</v>
      </c>
      <c r="B5211" t="str">
        <f>"1552380370746964"</f>
        <v>1552380370746964</v>
      </c>
      <c r="C5211" t="s">
        <v>40</v>
      </c>
      <c r="D5211">
        <v>5.0740470000000002</v>
      </c>
      <c r="E5211">
        <v>0.53364160000000005</v>
      </c>
      <c r="F5211" t="s">
        <v>43</v>
      </c>
      <c r="G5211">
        <v>-312.73059999999998</v>
      </c>
      <c r="H5211">
        <v>-0.05</v>
      </c>
      <c r="I5211">
        <v>11.50752</v>
      </c>
      <c r="J5211">
        <v>-334.77569999999997</v>
      </c>
      <c r="K5211">
        <v>1.108654</v>
      </c>
      <c r="L5211">
        <v>17.326750000000001</v>
      </c>
      <c r="M5211">
        <v>0.9999034</v>
      </c>
      <c r="N5211">
        <v>0</v>
      </c>
      <c r="O5211">
        <v>-3.0907880000000001E-3</v>
      </c>
      <c r="P5211">
        <v>0.97330099999999997</v>
      </c>
      <c r="Q5211">
        <v>0.132552799999999</v>
      </c>
      <c r="R5211">
        <v>-0.18739120000000001</v>
      </c>
      <c r="S5211">
        <v>2.9545590000000002</v>
      </c>
      <c r="T5211">
        <v>-0.1542734</v>
      </c>
      <c r="U5211">
        <v>-0.77490230000000004</v>
      </c>
      <c r="V5211">
        <v>0.18449189999999999</v>
      </c>
      <c r="W5211">
        <v>0.14560190000000001</v>
      </c>
      <c r="X5211">
        <v>0.97198910000000005</v>
      </c>
      <c r="Y5211">
        <v>0.25038680000000002</v>
      </c>
      <c r="Z5211">
        <v>-6.2655489999999996E-3</v>
      </c>
      <c r="AA5211">
        <v>0.96812560000000003</v>
      </c>
      <c r="AB5211">
        <v>29</v>
      </c>
      <c r="AC5211">
        <v>22.045099999999898</v>
      </c>
      <c r="AD5211">
        <v>-1.1586540000000001</v>
      </c>
      <c r="AE5211">
        <v>-5.8192300000000001</v>
      </c>
      <c r="AF5211">
        <v>5.7362457235119102</v>
      </c>
      <c r="AG5211">
        <v>-1.1586540000000001</v>
      </c>
      <c r="AH5211">
        <v>22.006152856005802</v>
      </c>
      <c r="AI5211">
        <v>92.916635529499402</v>
      </c>
      <c r="AJ5211">
        <v>75.390071490187395</v>
      </c>
      <c r="AK5211">
        <v>22.770984994376398</v>
      </c>
      <c r="AL5211">
        <v>81.627864505749201</v>
      </c>
      <c r="AM5211">
        <v>79.252617048625197</v>
      </c>
      <c r="AN5211">
        <v>0.99999999248401406</v>
      </c>
    </row>
    <row r="5212" spans="1:40" x14ac:dyDescent="0.25">
      <c r="A5212" t="str">
        <f>"20190312164610765"</f>
        <v>20190312164610765</v>
      </c>
      <c r="B5212" t="str">
        <f>"1552380370756724"</f>
        <v>1552380370756724</v>
      </c>
      <c r="C5212" t="s">
        <v>40</v>
      </c>
      <c r="D5212">
        <v>5.1675979999999999</v>
      </c>
      <c r="E5212">
        <v>0.53397119999999998</v>
      </c>
      <c r="F5212" t="s">
        <v>43</v>
      </c>
      <c r="G5212">
        <v>-311.4631</v>
      </c>
      <c r="H5212">
        <v>-0.05</v>
      </c>
      <c r="I5212">
        <v>11.110440000000001</v>
      </c>
      <c r="J5212">
        <v>-334.63600000000002</v>
      </c>
      <c r="K5212">
        <v>1.108649</v>
      </c>
      <c r="L5212">
        <v>17.32611</v>
      </c>
      <c r="M5212">
        <v>0.99990290000000004</v>
      </c>
      <c r="N5212">
        <v>0</v>
      </c>
      <c r="O5212">
        <v>-3.2746849999999998E-3</v>
      </c>
      <c r="P5212">
        <v>0.97291760000000005</v>
      </c>
      <c r="Q5212">
        <v>0.1326049</v>
      </c>
      <c r="R5212">
        <v>-0.1893358</v>
      </c>
      <c r="S5212">
        <v>2.950806</v>
      </c>
      <c r="T5212">
        <v>-0.1466576</v>
      </c>
      <c r="U5212">
        <v>-0.7868347</v>
      </c>
      <c r="V5212">
        <v>0.18626029999999999</v>
      </c>
      <c r="W5212">
        <v>0.14564440000000001</v>
      </c>
      <c r="X5212">
        <v>0.97164539999999999</v>
      </c>
      <c r="Y5212">
        <v>0.25419350000000002</v>
      </c>
      <c r="Z5212">
        <v>-6.0448560000000004E-3</v>
      </c>
      <c r="AA5212">
        <v>0.96713450000000001</v>
      </c>
      <c r="AB5212">
        <v>29</v>
      </c>
      <c r="AC5212">
        <v>23.172899999999899</v>
      </c>
      <c r="AD5212">
        <v>-1.158649</v>
      </c>
      <c r="AE5212">
        <v>-6.2156700000000003</v>
      </c>
      <c r="AF5212">
        <v>6.1254598361910304</v>
      </c>
      <c r="AG5212">
        <v>-1.158649</v>
      </c>
      <c r="AH5212">
        <v>23.139166329182601</v>
      </c>
      <c r="AI5212">
        <v>92.771278884125493</v>
      </c>
      <c r="AJ5212">
        <v>75.172625913340397</v>
      </c>
      <c r="AK5212">
        <v>23.964238859591799</v>
      </c>
      <c r="AL5212">
        <v>81.625403151412797</v>
      </c>
      <c r="AM5212">
        <v>79.148287713699602</v>
      </c>
      <c r="AN5212">
        <v>0.99999998697430403</v>
      </c>
    </row>
    <row r="5213" spans="1:40" x14ac:dyDescent="0.25">
      <c r="A5213" t="str">
        <f>"20190312164610778"</f>
        <v>20190312164610778</v>
      </c>
      <c r="B5213" t="str">
        <f>"1552380370766484"</f>
        <v>1552380370766484</v>
      </c>
      <c r="C5213" t="s">
        <v>40</v>
      </c>
      <c r="D5213">
        <v>5.0097509999999996</v>
      </c>
      <c r="E5213">
        <v>0.53438809999999903</v>
      </c>
      <c r="F5213" t="s">
        <v>43</v>
      </c>
      <c r="G5213">
        <v>-311.2851</v>
      </c>
      <c r="H5213">
        <v>-0.05</v>
      </c>
      <c r="I5213">
        <v>11.03116</v>
      </c>
      <c r="J5213">
        <v>-334.48680000000002</v>
      </c>
      <c r="K5213">
        <v>1.1086450000000001</v>
      </c>
      <c r="L5213">
        <v>17.325410000000002</v>
      </c>
      <c r="M5213">
        <v>0.99990219999999996</v>
      </c>
      <c r="N5213">
        <v>0</v>
      </c>
      <c r="O5213">
        <v>-3.4750200000000001E-3</v>
      </c>
      <c r="P5213">
        <v>0.97254669999999999</v>
      </c>
      <c r="Q5213">
        <v>0.13263420000000001</v>
      </c>
      <c r="R5213">
        <v>-0.19121060000000001</v>
      </c>
      <c r="S5213">
        <v>2.9487299999999999</v>
      </c>
      <c r="T5213">
        <v>-0.1463131</v>
      </c>
      <c r="U5213">
        <v>-0.79492189999999996</v>
      </c>
      <c r="V5213">
        <v>0.1879431</v>
      </c>
      <c r="W5213">
        <v>0.14566560000000001</v>
      </c>
      <c r="X5213">
        <v>0.97131809999999996</v>
      </c>
      <c r="Y5213">
        <v>0.25664140000000002</v>
      </c>
      <c r="Z5213">
        <v>-6.0825389999999997E-3</v>
      </c>
      <c r="AA5213">
        <v>0.96648750000000005</v>
      </c>
      <c r="AB5213">
        <v>29</v>
      </c>
      <c r="AC5213">
        <v>23.201699999999999</v>
      </c>
      <c r="AD5213">
        <v>-1.1586449999999999</v>
      </c>
      <c r="AE5213">
        <v>-6.2942499999999999</v>
      </c>
      <c r="AF5213">
        <v>6.1991784725595203</v>
      </c>
      <c r="AG5213">
        <v>-1.1586449999999999</v>
      </c>
      <c r="AH5213">
        <v>23.1696150557819</v>
      </c>
      <c r="AI5213">
        <v>92.765687557025302</v>
      </c>
      <c r="AJ5213">
        <v>75.021000578357302</v>
      </c>
      <c r="AK5213">
        <v>24.0125661644853</v>
      </c>
      <c r="AL5213">
        <v>81.6241751903313</v>
      </c>
      <c r="AM5213">
        <v>79.049004953660102</v>
      </c>
      <c r="AN5213">
        <v>0.999999963624289</v>
      </c>
    </row>
    <row r="5214" spans="1:40" x14ac:dyDescent="0.25">
      <c r="A5214" t="str">
        <f>"20190312164610787"</f>
        <v>20190312164610787</v>
      </c>
      <c r="B5214" t="str">
        <f>"1552380370776244"</f>
        <v>1552380370776244</v>
      </c>
      <c r="C5214" t="s">
        <v>40</v>
      </c>
      <c r="D5214">
        <v>4.9580960000000003</v>
      </c>
      <c r="E5214">
        <v>0.53465869999999904</v>
      </c>
      <c r="F5214" t="s">
        <v>43</v>
      </c>
      <c r="G5214">
        <v>-310.22340000000003</v>
      </c>
      <c r="H5214">
        <v>-0.05</v>
      </c>
      <c r="I5214">
        <v>10.702059999999999</v>
      </c>
      <c r="J5214">
        <v>-334.34969999999998</v>
      </c>
      <c r="K5214">
        <v>1.1086389999999999</v>
      </c>
      <c r="L5214">
        <v>17.324739999999998</v>
      </c>
      <c r="M5214">
        <v>0.9999015</v>
      </c>
      <c r="N5214">
        <v>0</v>
      </c>
      <c r="O5214">
        <v>-3.6602050000000001E-3</v>
      </c>
      <c r="P5214">
        <v>0.97215569999999896</v>
      </c>
      <c r="Q5214">
        <v>0.1324205</v>
      </c>
      <c r="R5214">
        <v>-0.19333420000000001</v>
      </c>
      <c r="S5214">
        <v>2.9458009999999999</v>
      </c>
      <c r="T5214">
        <v>-0.1406705</v>
      </c>
      <c r="U5214">
        <v>-0.80413819999999903</v>
      </c>
      <c r="V5214">
        <v>0.18988920000000001</v>
      </c>
      <c r="W5214">
        <v>0.1454434</v>
      </c>
      <c r="X5214">
        <v>0.97097290000000003</v>
      </c>
      <c r="Y5214">
        <v>0.25953789999999999</v>
      </c>
      <c r="Z5214">
        <v>-5.9106829999999999E-3</v>
      </c>
      <c r="AA5214">
        <v>0.96571479999999998</v>
      </c>
      <c r="AB5214">
        <v>29</v>
      </c>
      <c r="AC5214">
        <v>24.126299999999901</v>
      </c>
      <c r="AD5214">
        <v>-1.158639</v>
      </c>
      <c r="AE5214">
        <v>-6.6226799999999901</v>
      </c>
      <c r="AF5214">
        <v>6.52033620938513</v>
      </c>
      <c r="AG5214">
        <v>-1.158639</v>
      </c>
      <c r="AH5214">
        <v>24.098696684203599</v>
      </c>
      <c r="AI5214">
        <v>92.657198166818802</v>
      </c>
      <c r="AJ5214">
        <v>74.860096370473002</v>
      </c>
      <c r="AK5214">
        <v>24.992086957534902</v>
      </c>
      <c r="AL5214">
        <v>81.6370439294341</v>
      </c>
      <c r="AM5214">
        <v>78.934557763393002</v>
      </c>
      <c r="AN5214">
        <v>1.0000000317072999</v>
      </c>
    </row>
    <row r="5215" spans="1:40" x14ac:dyDescent="0.25">
      <c r="A5215" t="str">
        <f>"20190312164610800"</f>
        <v>20190312164610800</v>
      </c>
      <c r="B5215" t="str">
        <f>"1552380370796740"</f>
        <v>1552380370796740</v>
      </c>
      <c r="C5215" t="s">
        <v>40</v>
      </c>
      <c r="D5215">
        <v>5.1178109999999997</v>
      </c>
      <c r="E5215">
        <v>0.53444209999999903</v>
      </c>
      <c r="F5215" t="s">
        <v>43</v>
      </c>
      <c r="G5215">
        <v>-309.30739999999997</v>
      </c>
      <c r="H5215">
        <v>-0.05</v>
      </c>
      <c r="I5215">
        <v>10.413790000000001</v>
      </c>
      <c r="J5215">
        <v>-334.19229999999999</v>
      </c>
      <c r="K5215">
        <v>1.1086389999999999</v>
      </c>
      <c r="L5215">
        <v>17.323910000000001</v>
      </c>
      <c r="M5215">
        <v>0.99990060000000003</v>
      </c>
      <c r="N5215">
        <v>0</v>
      </c>
      <c r="O5215">
        <v>-3.8764860000000002E-3</v>
      </c>
      <c r="P5215">
        <v>0.97169430000000001</v>
      </c>
      <c r="Q5215">
        <v>0.13249149999999901</v>
      </c>
      <c r="R5215">
        <v>-0.1955925</v>
      </c>
      <c r="S5215">
        <v>2.9429319999999999</v>
      </c>
      <c r="T5215">
        <v>-0.1361617</v>
      </c>
      <c r="U5215">
        <v>-0.81216429999999995</v>
      </c>
      <c r="V5215">
        <v>0.19194</v>
      </c>
      <c r="W5215">
        <v>0.14550469999999999</v>
      </c>
      <c r="X5215">
        <v>0.97056039999999999</v>
      </c>
      <c r="Y5215">
        <v>0.26203100000000001</v>
      </c>
      <c r="Z5215">
        <v>-5.7715429999999996E-3</v>
      </c>
      <c r="AA5215">
        <v>0.96504219999999996</v>
      </c>
      <c r="AB5215">
        <v>29</v>
      </c>
      <c r="AC5215">
        <v>24.884899999999998</v>
      </c>
      <c r="AD5215">
        <v>-1.158639</v>
      </c>
      <c r="AE5215">
        <v>-6.91012</v>
      </c>
      <c r="AF5215">
        <v>6.7999075007623997</v>
      </c>
      <c r="AG5215">
        <v>-1.158639</v>
      </c>
      <c r="AH5215">
        <v>24.861465355031999</v>
      </c>
      <c r="AI5215">
        <v>92.573867422255404</v>
      </c>
      <c r="AJ5215">
        <v>74.703044256860196</v>
      </c>
      <c r="AK5215">
        <v>25.800652045068599</v>
      </c>
      <c r="AL5215">
        <v>81.633493967166899</v>
      </c>
      <c r="AM5215">
        <v>78.813414591602196</v>
      </c>
      <c r="AN5215">
        <v>1.00000003568512</v>
      </c>
    </row>
    <row r="5216" spans="1:40" x14ac:dyDescent="0.25">
      <c r="A5216" t="str">
        <f>"20190312164610812"</f>
        <v>20190312164610812</v>
      </c>
      <c r="B5216" t="str">
        <f>"1552380370806500"</f>
        <v>1552380370806500</v>
      </c>
      <c r="C5216" t="s">
        <v>40</v>
      </c>
      <c r="D5216">
        <v>5.123208</v>
      </c>
      <c r="E5216">
        <v>0.53430459999999902</v>
      </c>
      <c r="F5216" t="s">
        <v>43</v>
      </c>
      <c r="G5216">
        <v>-309.48070000000001</v>
      </c>
      <c r="H5216">
        <v>-0.05</v>
      </c>
      <c r="I5216">
        <v>10.46646</v>
      </c>
      <c r="J5216">
        <v>-334.03570000000002</v>
      </c>
      <c r="K5216">
        <v>1.108638</v>
      </c>
      <c r="L5216">
        <v>17.323060000000002</v>
      </c>
      <c r="M5216">
        <v>0.99989989999999995</v>
      </c>
      <c r="N5216">
        <v>0</v>
      </c>
      <c r="O5216">
        <v>-4.0926390000000003E-3</v>
      </c>
      <c r="P5216">
        <v>0.97125640000000002</v>
      </c>
      <c r="Q5216">
        <v>0.1322739</v>
      </c>
      <c r="R5216">
        <v>-0.19790199999999999</v>
      </c>
      <c r="S5216">
        <v>2.9418950000000001</v>
      </c>
      <c r="T5216">
        <v>-0.13793520000000001</v>
      </c>
      <c r="U5216">
        <v>-0.81637569999999904</v>
      </c>
      <c r="V5216">
        <v>0.1940414</v>
      </c>
      <c r="W5216">
        <v>0.1452783</v>
      </c>
      <c r="X5216">
        <v>0.97017629999999999</v>
      </c>
      <c r="Y5216">
        <v>0.263185</v>
      </c>
      <c r="Z5216">
        <v>-5.864129E-3</v>
      </c>
      <c r="AA5216">
        <v>0.96472760000000002</v>
      </c>
      <c r="AB5216">
        <v>29</v>
      </c>
      <c r="AC5216">
        <v>24.555</v>
      </c>
      <c r="AD5216">
        <v>-1.1586379999999901</v>
      </c>
      <c r="AE5216">
        <v>-6.8566000000000003</v>
      </c>
      <c r="AF5216">
        <v>6.7421133055306397</v>
      </c>
      <c r="AG5216">
        <v>-1.1586379999999901</v>
      </c>
      <c r="AH5216">
        <v>24.532189220987</v>
      </c>
      <c r="AI5216">
        <v>92.607491271550103</v>
      </c>
      <c r="AJ5216">
        <v>74.632952831466497</v>
      </c>
      <c r="AK5216">
        <v>25.468153482613701</v>
      </c>
      <c r="AL5216">
        <v>81.646604336304506</v>
      </c>
      <c r="AM5216">
        <v>78.689718862488604</v>
      </c>
      <c r="AN5216">
        <v>0.99999995122326801</v>
      </c>
    </row>
    <row r="5217" spans="1:40" x14ac:dyDescent="0.25">
      <c r="A5217" t="str">
        <f>"20190312164610824"</f>
        <v>20190312164610824</v>
      </c>
      <c r="B5217" t="str">
        <f>"1552380370816259"</f>
        <v>1552380370816259</v>
      </c>
      <c r="C5217" t="s">
        <v>40</v>
      </c>
      <c r="D5217">
        <v>5.1356570000000001</v>
      </c>
      <c r="E5217">
        <v>0.53407819999999995</v>
      </c>
      <c r="F5217" t="s">
        <v>43</v>
      </c>
      <c r="G5217">
        <v>-309.55529999999999</v>
      </c>
      <c r="H5217">
        <v>-0.05</v>
      </c>
      <c r="I5217">
        <v>10.487500000000001</v>
      </c>
      <c r="J5217">
        <v>-333.88060000000002</v>
      </c>
      <c r="K5217">
        <v>1.108638</v>
      </c>
      <c r="L5217">
        <v>17.322199999999999</v>
      </c>
      <c r="M5217">
        <v>0.99989899999999998</v>
      </c>
      <c r="N5217">
        <v>0</v>
      </c>
      <c r="O5217">
        <v>-4.3082989999999998E-3</v>
      </c>
      <c r="P5217">
        <v>0.97082210000000002</v>
      </c>
      <c r="Q5217">
        <v>0.1321378</v>
      </c>
      <c r="R5217">
        <v>-0.20011039999999999</v>
      </c>
      <c r="S5217">
        <v>2.9404300000000001</v>
      </c>
      <c r="T5217">
        <v>-0.1391685</v>
      </c>
      <c r="U5217">
        <v>-0.82104489999999997</v>
      </c>
      <c r="V5217">
        <v>0.19604269999999999</v>
      </c>
      <c r="W5217">
        <v>0.14513389999999901</v>
      </c>
      <c r="X5217">
        <v>0.96979550000000003</v>
      </c>
      <c r="Y5217">
        <v>0.26451609999999998</v>
      </c>
      <c r="Z5217">
        <v>-5.9389959999999898E-3</v>
      </c>
      <c r="AA5217">
        <v>0.96436299999999997</v>
      </c>
      <c r="AB5217">
        <v>29</v>
      </c>
      <c r="AC5217">
        <v>24.325299999999999</v>
      </c>
      <c r="AD5217">
        <v>-1.1586379999999901</v>
      </c>
      <c r="AE5217">
        <v>-6.83469999999999</v>
      </c>
      <c r="AF5217">
        <v>6.7157050788768302</v>
      </c>
      <c r="AG5217">
        <v>-1.1586379999999901</v>
      </c>
      <c r="AH5217">
        <v>24.303419719746199</v>
      </c>
      <c r="AI5217">
        <v>92.630991570282305</v>
      </c>
      <c r="AJ5217">
        <v>74.553056177303304</v>
      </c>
      <c r="AK5217">
        <v>25.2408269831962</v>
      </c>
      <c r="AL5217">
        <v>81.654966467799497</v>
      </c>
      <c r="AM5217">
        <v>78.571751531424397</v>
      </c>
      <c r="AN5217">
        <v>0.99999995048637302</v>
      </c>
    </row>
    <row r="5218" spans="1:40" x14ac:dyDescent="0.25">
      <c r="A5218" t="str">
        <f>"20190312164610835"</f>
        <v>20190312164610835</v>
      </c>
      <c r="B5218" t="str">
        <f>"1552380370826995"</f>
        <v>1552380370826995</v>
      </c>
      <c r="C5218" t="s">
        <v>40</v>
      </c>
      <c r="D5218">
        <v>5.0738949999999896</v>
      </c>
      <c r="E5218">
        <v>0.53391789999999995</v>
      </c>
      <c r="F5218" t="s">
        <v>43</v>
      </c>
      <c r="G5218">
        <v>-309.71210000000002</v>
      </c>
      <c r="H5218">
        <v>-0.05</v>
      </c>
      <c r="I5218">
        <v>10.537280000000001</v>
      </c>
      <c r="J5218">
        <v>-333.73090000000002</v>
      </c>
      <c r="K5218">
        <v>1.1086389999999999</v>
      </c>
      <c r="L5218">
        <v>17.32132</v>
      </c>
      <c r="M5218">
        <v>0.99989799999999995</v>
      </c>
      <c r="N5218">
        <v>0</v>
      </c>
      <c r="O5218">
        <v>-4.5174000000000004E-3</v>
      </c>
      <c r="P5218">
        <v>0.97038789999999997</v>
      </c>
      <c r="Q5218">
        <v>0.13193009999999999</v>
      </c>
      <c r="R5218">
        <v>-0.20234060000000001</v>
      </c>
      <c r="S5218">
        <v>2.9393009999999999</v>
      </c>
      <c r="T5218">
        <v>-0.14091029999999999</v>
      </c>
      <c r="U5218">
        <v>-0.82516480000000003</v>
      </c>
      <c r="V5218">
        <v>0.198072</v>
      </c>
      <c r="W5218">
        <v>0.14491780000000001</v>
      </c>
      <c r="X5218">
        <v>0.96941540000000004</v>
      </c>
      <c r="Y5218">
        <v>0.2656558</v>
      </c>
      <c r="Z5218">
        <v>-6.031313E-3</v>
      </c>
      <c r="AA5218">
        <v>0.96404900000000004</v>
      </c>
      <c r="AB5218">
        <v>29</v>
      </c>
      <c r="AC5218">
        <v>24.018799999999999</v>
      </c>
      <c r="AD5218">
        <v>-1.158639</v>
      </c>
      <c r="AE5218">
        <v>-6.7840399999999903</v>
      </c>
      <c r="AF5218">
        <v>6.6611031848411297</v>
      </c>
      <c r="AG5218">
        <v>-1.158639</v>
      </c>
      <c r="AH5218">
        <v>23.997487829774499</v>
      </c>
      <c r="AI5218">
        <v>92.663633435045696</v>
      </c>
      <c r="AJ5218">
        <v>74.486674511319194</v>
      </c>
      <c r="AK5218">
        <v>24.931750081203599</v>
      </c>
      <c r="AL5218">
        <v>81.667480396646098</v>
      </c>
      <c r="AM5218">
        <v>78.452209280427894</v>
      </c>
      <c r="AN5218">
        <v>0.99999995184899804</v>
      </c>
    </row>
    <row r="5219" spans="1:40" x14ac:dyDescent="0.25">
      <c r="A5219" t="str">
        <f>"20190312164610845"</f>
        <v>20190312164610845</v>
      </c>
      <c r="B5219" t="str">
        <f>"1552380370836756"</f>
        <v>1552380370836756</v>
      </c>
      <c r="C5219" t="s">
        <v>40</v>
      </c>
      <c r="D5219">
        <v>5.0844579999999997</v>
      </c>
      <c r="E5219">
        <v>0.53378749999999997</v>
      </c>
      <c r="F5219" t="s">
        <v>43</v>
      </c>
      <c r="G5219">
        <v>-309.78859999999997</v>
      </c>
      <c r="H5219">
        <v>-0.05</v>
      </c>
      <c r="I5219">
        <v>10.554309999999999</v>
      </c>
      <c r="J5219">
        <v>-333.5915</v>
      </c>
      <c r="K5219">
        <v>1.1086370000000001</v>
      </c>
      <c r="L5219">
        <v>17.320499999999999</v>
      </c>
      <c r="M5219">
        <v>0.99989720000000004</v>
      </c>
      <c r="N5219">
        <v>0</v>
      </c>
      <c r="O5219">
        <v>-4.713147E-3</v>
      </c>
      <c r="P5219">
        <v>0.96985100000000002</v>
      </c>
      <c r="Q5219">
        <v>0.13194979999999901</v>
      </c>
      <c r="R5219">
        <v>-0.2048874</v>
      </c>
      <c r="S5219">
        <v>2.9377439999999999</v>
      </c>
      <c r="T5219">
        <v>-0.1421664</v>
      </c>
      <c r="U5219">
        <v>-0.83032229999999996</v>
      </c>
      <c r="V5219">
        <v>0.20043150000000001</v>
      </c>
      <c r="W5219">
        <v>0.14492769999999999</v>
      </c>
      <c r="X5219">
        <v>0.96892889999999998</v>
      </c>
      <c r="Y5219">
        <v>0.26716109999999998</v>
      </c>
      <c r="Z5219">
        <v>-6.1131199999999997E-3</v>
      </c>
      <c r="AA5219">
        <v>0.9636325</v>
      </c>
      <c r="AB5219">
        <v>29</v>
      </c>
      <c r="AC5219">
        <v>23.802900000000001</v>
      </c>
      <c r="AD5219">
        <v>-1.1586369999999999</v>
      </c>
      <c r="AE5219">
        <v>-6.7661899999999902</v>
      </c>
      <c r="AF5219">
        <v>6.6393628927344004</v>
      </c>
      <c r="AG5219">
        <v>-1.1586369999999999</v>
      </c>
      <c r="AH5219">
        <v>23.782391797913899</v>
      </c>
      <c r="AI5219">
        <v>92.686577835520794</v>
      </c>
      <c r="AJ5219">
        <v>74.401788434294204</v>
      </c>
      <c r="AK5219">
        <v>24.718934826336501</v>
      </c>
      <c r="AL5219">
        <v>81.666907678454393</v>
      </c>
      <c r="AM5219">
        <v>78.312703337589596</v>
      </c>
      <c r="AN5219">
        <v>1.0000000188373701</v>
      </c>
    </row>
    <row r="5220" spans="1:40" x14ac:dyDescent="0.25">
      <c r="A5220" t="str">
        <f>"20190312164610856"</f>
        <v>20190312164610856</v>
      </c>
      <c r="B5220" t="str">
        <f>"1552380370846516"</f>
        <v>1552380370846516</v>
      </c>
      <c r="C5220" t="s">
        <v>40</v>
      </c>
      <c r="D5220">
        <v>5.1223939999999999</v>
      </c>
      <c r="E5220">
        <v>0.53365280000000004</v>
      </c>
      <c r="F5220" t="s">
        <v>43</v>
      </c>
      <c r="G5220">
        <v>-309.82679999999999</v>
      </c>
      <c r="H5220">
        <v>-0.05</v>
      </c>
      <c r="I5220">
        <v>10.548629999999999</v>
      </c>
      <c r="J5220">
        <v>-333.45940000000002</v>
      </c>
      <c r="K5220">
        <v>1.1086339999999999</v>
      </c>
      <c r="L5220">
        <v>17.31964</v>
      </c>
      <c r="M5220">
        <v>0.99989620000000001</v>
      </c>
      <c r="N5220">
        <v>0</v>
      </c>
      <c r="O5220">
        <v>-4.901402E-3</v>
      </c>
      <c r="P5220">
        <v>0.96942050000000002</v>
      </c>
      <c r="Q5220">
        <v>0.13168379999999999</v>
      </c>
      <c r="R5220">
        <v>-0.20708270000000001</v>
      </c>
      <c r="S5220">
        <v>2.936035</v>
      </c>
      <c r="T5220">
        <v>-0.1431453</v>
      </c>
      <c r="U5220">
        <v>-0.83663940000000003</v>
      </c>
      <c r="V5220">
        <v>0.20244670000000001</v>
      </c>
      <c r="W5220">
        <v>0.14465359999999999</v>
      </c>
      <c r="X5220">
        <v>0.96855080000000005</v>
      </c>
      <c r="Y5220">
        <v>0.26903880000000002</v>
      </c>
      <c r="Z5220">
        <v>-6.1927029999999999E-3</v>
      </c>
      <c r="AA5220">
        <v>0.9631094</v>
      </c>
      <c r="AB5220">
        <v>29</v>
      </c>
      <c r="AC5220">
        <v>23.6326</v>
      </c>
      <c r="AD5220">
        <v>-1.1586339999999999</v>
      </c>
      <c r="AE5220">
        <v>-6.7710099999999898</v>
      </c>
      <c r="AF5220">
        <v>6.6403349901562096</v>
      </c>
      <c r="AG5220">
        <v>-1.1586339999999999</v>
      </c>
      <c r="AH5220">
        <v>23.613054955053698</v>
      </c>
      <c r="AI5220">
        <v>92.704374854788497</v>
      </c>
      <c r="AJ5220">
        <v>74.293243610204996</v>
      </c>
      <c r="AK5220">
        <v>24.556319875702801</v>
      </c>
      <c r="AL5220">
        <v>81.682779474821302</v>
      </c>
      <c r="AM5220">
        <v>78.193997704934802</v>
      </c>
      <c r="AN5220">
        <v>0.99999999125724504</v>
      </c>
    </row>
    <row r="5221" spans="1:40" x14ac:dyDescent="0.25">
      <c r="A5221" t="str">
        <f>"20190312164610866"</f>
        <v>20190312164610866</v>
      </c>
      <c r="B5221" t="str">
        <f>"1552380370856277"</f>
        <v>1552380370856277</v>
      </c>
      <c r="C5221" t="s">
        <v>40</v>
      </c>
      <c r="D5221">
        <v>5.1082650000000003</v>
      </c>
      <c r="E5221">
        <v>0.5336843</v>
      </c>
      <c r="F5221" t="s">
        <v>43</v>
      </c>
      <c r="G5221">
        <v>-310.14609999999999</v>
      </c>
      <c r="H5221">
        <v>-0.05</v>
      </c>
      <c r="I5221">
        <v>10.6317</v>
      </c>
      <c r="J5221">
        <v>-333.3229</v>
      </c>
      <c r="K5221">
        <v>1.108627</v>
      </c>
      <c r="L5221">
        <v>17.31879</v>
      </c>
      <c r="M5221">
        <v>0.99989539999999999</v>
      </c>
      <c r="N5221">
        <v>0</v>
      </c>
      <c r="O5221">
        <v>-5.0972930000000001E-3</v>
      </c>
      <c r="P5221">
        <v>0.96890730000000003</v>
      </c>
      <c r="Q5221">
        <v>0.13164529999999999</v>
      </c>
      <c r="R5221">
        <v>-0.2094965</v>
      </c>
      <c r="S5221">
        <v>2.9346009999999998</v>
      </c>
      <c r="T5221">
        <v>-0.14584510000000001</v>
      </c>
      <c r="U5221">
        <v>-0.84185789999999905</v>
      </c>
      <c r="V5221">
        <v>0.20467350000000001</v>
      </c>
      <c r="W5221">
        <v>0.1446055</v>
      </c>
      <c r="X5221">
        <v>0.96808989999999995</v>
      </c>
      <c r="Y5221">
        <v>0.27054450000000002</v>
      </c>
      <c r="Z5221">
        <v>-6.3379339999999999E-3</v>
      </c>
      <c r="AA5221">
        <v>0.96268659999999995</v>
      </c>
      <c r="AB5221">
        <v>29</v>
      </c>
      <c r="AC5221">
        <v>23.1768</v>
      </c>
      <c r="AD5221">
        <v>-1.1586270000000001</v>
      </c>
      <c r="AE5221">
        <v>-6.6870900000000004</v>
      </c>
      <c r="AF5221">
        <v>6.5537336966325404</v>
      </c>
      <c r="AG5221">
        <v>-1.1586270000000001</v>
      </c>
      <c r="AH5221">
        <v>23.157163793811002</v>
      </c>
      <c r="AI5221">
        <v>92.756225178325096</v>
      </c>
      <c r="AJ5221">
        <v>74.197899717096803</v>
      </c>
      <c r="AK5221">
        <v>24.094565297280202</v>
      </c>
      <c r="AL5221">
        <v>81.685564954686001</v>
      </c>
      <c r="AM5221">
        <v>78.0623233752099</v>
      </c>
      <c r="AN5221">
        <v>1.0000000233572499</v>
      </c>
    </row>
    <row r="5222" spans="1:40" x14ac:dyDescent="0.25">
      <c r="A5222" t="str">
        <f>"20190312164610877"</f>
        <v>20190312164610877</v>
      </c>
      <c r="B5222" t="str">
        <f>"1552380370867012"</f>
        <v>1552380370867012</v>
      </c>
      <c r="C5222" t="s">
        <v>40</v>
      </c>
      <c r="D5222">
        <v>5.0692949999999897</v>
      </c>
      <c r="E5222">
        <v>0.53369239999999996</v>
      </c>
      <c r="F5222" t="s">
        <v>43</v>
      </c>
      <c r="G5222">
        <v>-310.274</v>
      </c>
      <c r="H5222">
        <v>-0.05</v>
      </c>
      <c r="I5222">
        <v>10.645479999999999</v>
      </c>
      <c r="J5222">
        <v>-333.18029999999999</v>
      </c>
      <c r="K5222">
        <v>1.1086199999999999</v>
      </c>
      <c r="L5222">
        <v>17.317810000000001</v>
      </c>
      <c r="M5222">
        <v>0.99989419999999996</v>
      </c>
      <c r="N5222">
        <v>0</v>
      </c>
      <c r="O5222">
        <v>-5.311011E-3</v>
      </c>
      <c r="P5222">
        <v>0.9683292</v>
      </c>
      <c r="Q5222">
        <v>0.13174469999999999</v>
      </c>
      <c r="R5222">
        <v>-0.21209</v>
      </c>
      <c r="S5222">
        <v>2.9327700000000001</v>
      </c>
      <c r="T5222">
        <v>-0.14742539999999901</v>
      </c>
      <c r="U5222">
        <v>-0.84912109999999996</v>
      </c>
      <c r="V5222">
        <v>0.207065</v>
      </c>
      <c r="W5222">
        <v>0.14469179999999901</v>
      </c>
      <c r="X5222">
        <v>0.96756830000000005</v>
      </c>
      <c r="Y5222">
        <v>0.27268959999999998</v>
      </c>
      <c r="Z5222">
        <v>-6.4505040000000001E-3</v>
      </c>
      <c r="AA5222">
        <v>0.96208039999999995</v>
      </c>
      <c r="AB5222">
        <v>29</v>
      </c>
      <c r="AC5222">
        <v>22.906299999999899</v>
      </c>
      <c r="AD5222">
        <v>-1.15862</v>
      </c>
      <c r="AE5222">
        <v>-6.6723299999999997</v>
      </c>
      <c r="AF5222">
        <v>6.5351571112943798</v>
      </c>
      <c r="AG5222">
        <v>-1.15862</v>
      </c>
      <c r="AH5222">
        <v>22.887441008083599</v>
      </c>
      <c r="AI5222">
        <v>92.786791403136206</v>
      </c>
      <c r="AJ5222">
        <v>74.064120937970202</v>
      </c>
      <c r="AK5222">
        <v>23.830351123561101</v>
      </c>
      <c r="AL5222">
        <v>81.680567772674607</v>
      </c>
      <c r="AM5222">
        <v>77.920590521485593</v>
      </c>
      <c r="AN5222">
        <v>1.00000002318856</v>
      </c>
    </row>
    <row r="5223" spans="1:40" x14ac:dyDescent="0.25">
      <c r="A5223" t="str">
        <f>"20190312164610888"</f>
        <v>20190312164610888</v>
      </c>
      <c r="B5223" t="str">
        <f>"1552380370876771"</f>
        <v>1552380370876771</v>
      </c>
      <c r="C5223" t="s">
        <v>40</v>
      </c>
      <c r="D5223">
        <v>5.1944549999999996</v>
      </c>
      <c r="E5223">
        <v>0.53378729999999996</v>
      </c>
      <c r="F5223" t="s">
        <v>43</v>
      </c>
      <c r="G5223">
        <v>-310.33319999999998</v>
      </c>
      <c r="H5223">
        <v>-0.05</v>
      </c>
      <c r="I5223">
        <v>10.6378</v>
      </c>
      <c r="J5223">
        <v>-333.03949999999998</v>
      </c>
      <c r="K5223">
        <v>1.1086119999999999</v>
      </c>
      <c r="L5223">
        <v>17.316859999999998</v>
      </c>
      <c r="M5223">
        <v>0.99989309999999998</v>
      </c>
      <c r="N5223">
        <v>0</v>
      </c>
      <c r="O5223">
        <v>-5.5242669999999898E-3</v>
      </c>
      <c r="P5223">
        <v>0.96777049999999998</v>
      </c>
      <c r="Q5223">
        <v>0.1318483</v>
      </c>
      <c r="R5223">
        <v>-0.21456140000000001</v>
      </c>
      <c r="S5223">
        <v>2.9306950000000001</v>
      </c>
      <c r="T5223">
        <v>-0.1486208</v>
      </c>
      <c r="U5223">
        <v>-0.85687259999999998</v>
      </c>
      <c r="V5223">
        <v>0.2093354</v>
      </c>
      <c r="W5223">
        <v>0.14478239999999901</v>
      </c>
      <c r="X5223">
        <v>0.96706599999999998</v>
      </c>
      <c r="Y5223">
        <v>0.27500380000000002</v>
      </c>
      <c r="Z5223">
        <v>-6.5516680000000001E-3</v>
      </c>
      <c r="AA5223">
        <v>0.96142079999999996</v>
      </c>
      <c r="AB5223">
        <v>29</v>
      </c>
      <c r="AC5223">
        <v>22.706299999999999</v>
      </c>
      <c r="AD5223">
        <v>-1.158612</v>
      </c>
      <c r="AE5223">
        <v>-6.6790599999999998</v>
      </c>
      <c r="AF5223">
        <v>6.5378441738871498</v>
      </c>
      <c r="AG5223">
        <v>-1.158612</v>
      </c>
      <c r="AH5223">
        <v>22.688485003738698</v>
      </c>
      <c r="AI5223">
        <v>92.809220474345693</v>
      </c>
      <c r="AJ5223">
        <v>73.925297074976598</v>
      </c>
      <c r="AK5223">
        <v>23.640074872416399</v>
      </c>
      <c r="AL5223">
        <v>81.675320925308796</v>
      </c>
      <c r="AM5223">
        <v>77.785944986204797</v>
      </c>
      <c r="AN5223">
        <v>0.99999995069945802</v>
      </c>
    </row>
    <row r="5224" spans="1:40" x14ac:dyDescent="0.25">
      <c r="A5224" t="str">
        <f>"20190312164610900"</f>
        <v>20190312164610900</v>
      </c>
      <c r="B5224" t="str">
        <f>"1552380370896292"</f>
        <v>1552380370896292</v>
      </c>
      <c r="C5224" t="s">
        <v>40</v>
      </c>
      <c r="D5224">
        <v>5.1365280000000002</v>
      </c>
      <c r="E5224">
        <v>0.53370319999999905</v>
      </c>
      <c r="F5224" t="s">
        <v>43</v>
      </c>
      <c r="G5224">
        <v>-310.28989999999999</v>
      </c>
      <c r="H5224">
        <v>-0.05</v>
      </c>
      <c r="I5224">
        <v>10.59782</v>
      </c>
      <c r="J5224">
        <v>-332.88920000000002</v>
      </c>
      <c r="K5224">
        <v>1.1085969999999901</v>
      </c>
      <c r="L5224">
        <v>17.315729999999999</v>
      </c>
      <c r="M5224">
        <v>0.99989159999999999</v>
      </c>
      <c r="N5224">
        <v>0</v>
      </c>
      <c r="O5224">
        <v>-5.7734250000000004E-3</v>
      </c>
      <c r="P5224">
        <v>0.96718320000000002</v>
      </c>
      <c r="Q5224">
        <v>0.13194449999999999</v>
      </c>
      <c r="R5224">
        <v>-0.21713440000000001</v>
      </c>
      <c r="S5224">
        <v>2.9284970000000001</v>
      </c>
      <c r="T5224">
        <v>-0.1491458</v>
      </c>
      <c r="U5224">
        <v>-0.86492919999999995</v>
      </c>
      <c r="V5224">
        <v>0.2116759</v>
      </c>
      <c r="W5224">
        <v>0.14486070000000001</v>
      </c>
      <c r="X5224">
        <v>0.96654470000000003</v>
      </c>
      <c r="Y5224">
        <v>0.2773873</v>
      </c>
      <c r="Z5224">
        <v>-6.6239960000000001E-3</v>
      </c>
      <c r="AA5224">
        <v>0.96073529999999996</v>
      </c>
      <c r="AB5224">
        <v>29</v>
      </c>
      <c r="AC5224">
        <v>22.599299999999999</v>
      </c>
      <c r="AD5224">
        <v>-1.1585970000000001</v>
      </c>
      <c r="AE5224">
        <v>-6.7179099999999901</v>
      </c>
      <c r="AF5224">
        <v>6.57144126335126</v>
      </c>
      <c r="AG5224">
        <v>-1.1585970000000001</v>
      </c>
      <c r="AH5224">
        <v>22.583175920901098</v>
      </c>
      <c r="AI5224">
        <v>92.820132017407801</v>
      </c>
      <c r="AJ5224">
        <v>73.775619125530596</v>
      </c>
      <c r="AK5224">
        <v>23.548376206448999</v>
      </c>
      <c r="AL5224">
        <v>81.670787138098106</v>
      </c>
      <c r="AM5224">
        <v>77.647095936007105</v>
      </c>
      <c r="AN5224">
        <v>0.99999998307169402</v>
      </c>
    </row>
    <row r="5225" spans="1:40" x14ac:dyDescent="0.25">
      <c r="A5225" t="str">
        <f>"20190312164610911"</f>
        <v>20190312164610911</v>
      </c>
      <c r="B5225" t="str">
        <f>"1552380370907028"</f>
        <v>1552380370907028</v>
      </c>
      <c r="C5225" t="s">
        <v>40</v>
      </c>
      <c r="D5225">
        <v>5.1146649999999996</v>
      </c>
      <c r="E5225">
        <v>0.53357860000000001</v>
      </c>
      <c r="F5225" t="s">
        <v>43</v>
      </c>
      <c r="G5225">
        <v>-310.15870000000001</v>
      </c>
      <c r="H5225">
        <v>-0.05</v>
      </c>
      <c r="I5225">
        <v>10.542719999999999</v>
      </c>
      <c r="J5225">
        <v>-332.73230000000001</v>
      </c>
      <c r="K5225">
        <v>1.1085799999999999</v>
      </c>
      <c r="L5225">
        <v>17.314579999999999</v>
      </c>
      <c r="M5225">
        <v>0.9998901</v>
      </c>
      <c r="N5225">
        <v>0</v>
      </c>
      <c r="O5225">
        <v>-6.044107E-3</v>
      </c>
      <c r="P5225">
        <v>0.96661140000000001</v>
      </c>
      <c r="Q5225">
        <v>0.1317815</v>
      </c>
      <c r="R5225">
        <v>-0.21976419999999999</v>
      </c>
      <c r="S5225">
        <v>2.9263919999999999</v>
      </c>
      <c r="T5225">
        <v>-0.1491615</v>
      </c>
      <c r="U5225">
        <v>-0.87197880000000005</v>
      </c>
      <c r="V5225">
        <v>0.2140534</v>
      </c>
      <c r="W5225">
        <v>0.14467859999999999</v>
      </c>
      <c r="X5225">
        <v>0.96604820000000002</v>
      </c>
      <c r="Y5225">
        <v>0.279439099999999</v>
      </c>
      <c r="Z5225">
        <v>-6.6646930000000002E-3</v>
      </c>
      <c r="AA5225">
        <v>0.96014029999999995</v>
      </c>
      <c r="AB5225">
        <v>29</v>
      </c>
      <c r="AC5225">
        <v>22.573599999999999</v>
      </c>
      <c r="AD5225">
        <v>-1.1585799999999999</v>
      </c>
      <c r="AE5225">
        <v>-6.7718600000000002</v>
      </c>
      <c r="AF5225">
        <v>6.6192895612204001</v>
      </c>
      <c r="AG5225">
        <v>-1.1585799999999999</v>
      </c>
      <c r="AH5225">
        <v>22.559600970973602</v>
      </c>
      <c r="AI5225">
        <v>92.821193486462406</v>
      </c>
      <c r="AJ5225">
        <v>73.647603726408306</v>
      </c>
      <c r="AK5225">
        <v>23.5391779355447</v>
      </c>
      <c r="AL5225">
        <v>81.681331422988194</v>
      </c>
      <c r="AM5225">
        <v>77.506463342198401</v>
      </c>
      <c r="AN5225">
        <v>0.99999994003637804</v>
      </c>
    </row>
    <row r="5226" spans="1:40" x14ac:dyDescent="0.25">
      <c r="A5226" t="str">
        <f>"20190312164610923"</f>
        <v>20190312164610923</v>
      </c>
      <c r="B5226" t="str">
        <f>"1552380370916787"</f>
        <v>1552380370916787</v>
      </c>
      <c r="C5226" t="s">
        <v>40</v>
      </c>
      <c r="D5226">
        <v>5.020302</v>
      </c>
      <c r="E5226">
        <v>0.53342100000000003</v>
      </c>
      <c r="F5226" t="s">
        <v>43</v>
      </c>
      <c r="G5226">
        <v>-310.36020000000002</v>
      </c>
      <c r="H5226">
        <v>-0.05</v>
      </c>
      <c r="I5226">
        <v>10.59126</v>
      </c>
      <c r="J5226">
        <v>-332.58440000000002</v>
      </c>
      <c r="K5226">
        <v>1.108555</v>
      </c>
      <c r="L5226">
        <v>17.313389999999998</v>
      </c>
      <c r="M5226">
        <v>0.99988840000000001</v>
      </c>
      <c r="N5226">
        <v>0</v>
      </c>
      <c r="O5226">
        <v>-6.3234830000000004E-3</v>
      </c>
      <c r="P5226">
        <v>0.96605620000000003</v>
      </c>
      <c r="Q5226">
        <v>0.13165940000000001</v>
      </c>
      <c r="R5226">
        <v>-0.22226389999999999</v>
      </c>
      <c r="S5226">
        <v>2.9245000000000001</v>
      </c>
      <c r="T5226">
        <v>-0.15145040000000001</v>
      </c>
      <c r="U5226">
        <v>-0.87887569999999904</v>
      </c>
      <c r="V5226">
        <v>0.21629470000000001</v>
      </c>
      <c r="W5226">
        <v>0.1445342</v>
      </c>
      <c r="X5226">
        <v>0.9655705</v>
      </c>
      <c r="Y5226">
        <v>0.28140609999999999</v>
      </c>
      <c r="Z5226">
        <v>-6.8044539999999997E-3</v>
      </c>
      <c r="AA5226">
        <v>0.95956459999999999</v>
      </c>
      <c r="AB5226">
        <v>29</v>
      </c>
      <c r="AC5226">
        <v>22.2242</v>
      </c>
      <c r="AD5226">
        <v>-1.158555</v>
      </c>
      <c r="AE5226">
        <v>-6.7221299999999902</v>
      </c>
      <c r="AF5226">
        <v>6.5651026405409398</v>
      </c>
      <c r="AG5226">
        <v>-1.158555</v>
      </c>
      <c r="AH5226">
        <v>22.2109661629184</v>
      </c>
      <c r="AI5226">
        <v>92.863662919960007</v>
      </c>
      <c r="AJ5226">
        <v>73.533409450948099</v>
      </c>
      <c r="AK5226">
        <v>23.1898650332245</v>
      </c>
      <c r="AL5226">
        <v>81.689692996871997</v>
      </c>
      <c r="AM5226">
        <v>77.373772794427794</v>
      </c>
      <c r="AN5226">
        <v>0.99999996134398905</v>
      </c>
    </row>
    <row r="5227" spans="1:40" x14ac:dyDescent="0.25">
      <c r="A5227" t="str">
        <f>"20190312164610934"</f>
        <v>20190312164610934</v>
      </c>
      <c r="B5227" t="str">
        <f>"1552380370926548"</f>
        <v>1552380370926548</v>
      </c>
      <c r="C5227" t="s">
        <v>40</v>
      </c>
      <c r="D5227">
        <v>4.9906769999999998</v>
      </c>
      <c r="E5227">
        <v>0.53334519999999996</v>
      </c>
      <c r="F5227" t="s">
        <v>43</v>
      </c>
      <c r="G5227">
        <v>-310.54340000000002</v>
      </c>
      <c r="H5227">
        <v>-0.05</v>
      </c>
      <c r="I5227">
        <v>10.63884</v>
      </c>
      <c r="J5227">
        <v>-332.44029999999998</v>
      </c>
      <c r="K5227">
        <v>1.108528</v>
      </c>
      <c r="L5227">
        <v>17.312159999999999</v>
      </c>
      <c r="M5227">
        <v>0.99988659999999996</v>
      </c>
      <c r="N5227">
        <v>0</v>
      </c>
      <c r="O5227">
        <v>-6.6171149999999998E-3</v>
      </c>
      <c r="P5227">
        <v>0.96549370000000001</v>
      </c>
      <c r="Q5227">
        <v>0.13135279999999999</v>
      </c>
      <c r="R5227">
        <v>-0.22487499999999999</v>
      </c>
      <c r="S5227">
        <v>2.9227289999999999</v>
      </c>
      <c r="T5227">
        <v>-0.15362889999999901</v>
      </c>
      <c r="U5227">
        <v>-0.88507080000000005</v>
      </c>
      <c r="V5227">
        <v>0.2186352</v>
      </c>
      <c r="W5227">
        <v>0.14420250000000001</v>
      </c>
      <c r="X5227">
        <v>0.96509290000000003</v>
      </c>
      <c r="Y5227">
        <v>0.28313650000000001</v>
      </c>
      <c r="Z5227">
        <v>-6.9335129999999997E-3</v>
      </c>
      <c r="AA5227">
        <v>0.95905459999999998</v>
      </c>
      <c r="AB5227">
        <v>29</v>
      </c>
      <c r="AC5227">
        <v>21.896899999999899</v>
      </c>
      <c r="AD5227">
        <v>-1.158528</v>
      </c>
      <c r="AE5227">
        <v>-6.6733200000000004</v>
      </c>
      <c r="AF5227">
        <v>6.5115875947181197</v>
      </c>
      <c r="AG5227">
        <v>-1.158528</v>
      </c>
      <c r="AH5227">
        <v>21.884527882884999</v>
      </c>
      <c r="AI5227">
        <v>92.904685614594499</v>
      </c>
      <c r="AJ5227">
        <v>73.429996156460703</v>
      </c>
      <c r="AK5227">
        <v>22.8620979087056</v>
      </c>
      <c r="AL5227">
        <v>81.708899606814299</v>
      </c>
      <c r="AM5227">
        <v>77.235487953700101</v>
      </c>
      <c r="AN5227">
        <v>1.00000000865785</v>
      </c>
    </row>
    <row r="5228" spans="1:40" x14ac:dyDescent="0.25">
      <c r="A5228" t="str">
        <f>"20190312164610945"</f>
        <v>20190312164610945</v>
      </c>
      <c r="B5228" t="str">
        <f>"1552380370936308"</f>
        <v>1552380370936308</v>
      </c>
      <c r="C5228" t="s">
        <v>40</v>
      </c>
      <c r="D5228">
        <v>5.0178609999999999</v>
      </c>
      <c r="E5228">
        <v>0.53325269999999902</v>
      </c>
      <c r="F5228" t="s">
        <v>43</v>
      </c>
      <c r="G5228">
        <v>-310.71010000000001</v>
      </c>
      <c r="H5228">
        <v>-0.05</v>
      </c>
      <c r="I5228">
        <v>10.67163</v>
      </c>
      <c r="J5228">
        <v>-332.2989</v>
      </c>
      <c r="K5228">
        <v>1.1084959999999999</v>
      </c>
      <c r="L5228">
        <v>17.310939999999999</v>
      </c>
      <c r="M5228">
        <v>0.99988440000000001</v>
      </c>
      <c r="N5228">
        <v>0</v>
      </c>
      <c r="O5228">
        <v>-6.9238049999999999E-3</v>
      </c>
      <c r="P5228">
        <v>0.96491859999999996</v>
      </c>
      <c r="Q5228">
        <v>0.1313182</v>
      </c>
      <c r="R5228">
        <v>-0.2273491</v>
      </c>
      <c r="S5228">
        <v>2.9205320000000001</v>
      </c>
      <c r="T5228">
        <v>-0.1557057</v>
      </c>
      <c r="U5228">
        <v>-0.89248660000000002</v>
      </c>
      <c r="V5228">
        <v>0.2208281</v>
      </c>
      <c r="W5228">
        <v>0.1441412</v>
      </c>
      <c r="X5228">
        <v>0.96460259999999998</v>
      </c>
      <c r="Y5228">
        <v>0.28525850000000003</v>
      </c>
      <c r="Z5228">
        <v>-7.0689309999999997E-3</v>
      </c>
      <c r="AA5228">
        <v>0.95842459999999996</v>
      </c>
      <c r="AB5228">
        <v>29</v>
      </c>
      <c r="AC5228">
        <v>21.5887999999999</v>
      </c>
      <c r="AD5228">
        <v>-1.158496</v>
      </c>
      <c r="AE5228">
        <v>-6.6393099999999903</v>
      </c>
      <c r="AF5228">
        <v>6.4726323805088199</v>
      </c>
      <c r="AG5228">
        <v>-1.158496</v>
      </c>
      <c r="AH5228">
        <v>21.577490174255999</v>
      </c>
      <c r="AI5228">
        <v>92.943906319045396</v>
      </c>
      <c r="AJ5228">
        <v>73.302253179968503</v>
      </c>
      <c r="AK5228">
        <v>22.557153303006601</v>
      </c>
      <c r="AL5228">
        <v>81.712448476164397</v>
      </c>
      <c r="AM5228">
        <v>77.105383575356996</v>
      </c>
      <c r="AN5228">
        <v>0.99999995560690402</v>
      </c>
    </row>
    <row r="5229" spans="1:40" x14ac:dyDescent="0.25">
      <c r="A5229" t="str">
        <f>"20190312164610955"</f>
        <v>20190312164610955</v>
      </c>
      <c r="B5229" t="str">
        <f>"1552380370947043"</f>
        <v>1552380370947043</v>
      </c>
      <c r="C5229" t="s">
        <v>40</v>
      </c>
      <c r="D5229">
        <v>5.0261079999999998</v>
      </c>
      <c r="E5229">
        <v>0.53317959999999998</v>
      </c>
      <c r="F5229" t="s">
        <v>43</v>
      </c>
      <c r="G5229">
        <v>-310.7595</v>
      </c>
      <c r="H5229">
        <v>-0.05</v>
      </c>
      <c r="I5229">
        <v>10.674469999999999</v>
      </c>
      <c r="J5229">
        <v>-332.16609999999997</v>
      </c>
      <c r="K5229">
        <v>1.1084590000000001</v>
      </c>
      <c r="L5229">
        <v>17.30969</v>
      </c>
      <c r="M5229">
        <v>0.99988200000000005</v>
      </c>
      <c r="N5229">
        <v>0</v>
      </c>
      <c r="O5229">
        <v>-7.2479919999999896E-3</v>
      </c>
      <c r="P5229">
        <v>0.96428999999999998</v>
      </c>
      <c r="Q5229">
        <v>0.13150599999999901</v>
      </c>
      <c r="R5229">
        <v>-0.2298943</v>
      </c>
      <c r="S5229">
        <v>2.9185490000000001</v>
      </c>
      <c r="T5229">
        <v>-0.15697459999999999</v>
      </c>
      <c r="U5229">
        <v>-0.899231</v>
      </c>
      <c r="V5229">
        <v>0.22307759999999999</v>
      </c>
      <c r="W5229">
        <v>0.14429879999999901</v>
      </c>
      <c r="X5229">
        <v>0.96406130000000001</v>
      </c>
      <c r="Y5229">
        <v>0.28714529999999999</v>
      </c>
      <c r="Z5229">
        <v>-7.1612630000000002E-3</v>
      </c>
      <c r="AA5229">
        <v>0.9578603</v>
      </c>
      <c r="AB5229">
        <v>29</v>
      </c>
      <c r="AC5229">
        <v>21.406599999999901</v>
      </c>
      <c r="AD5229">
        <v>-1.1584589999999999</v>
      </c>
      <c r="AE5229">
        <v>-6.6352199999999897</v>
      </c>
      <c r="AF5229">
        <v>6.4626089355977197</v>
      </c>
      <c r="AG5229">
        <v>-1.1584589999999999</v>
      </c>
      <c r="AH5229">
        <v>21.396962832630901</v>
      </c>
      <c r="AI5229">
        <v>92.966919032780893</v>
      </c>
      <c r="AJ5229">
        <v>73.193901911751098</v>
      </c>
      <c r="AK5229">
        <v>22.381629966786001</v>
      </c>
      <c r="AL5229">
        <v>81.703323422490101</v>
      </c>
      <c r="AM5229">
        <v>76.971423756180997</v>
      </c>
      <c r="AN5229">
        <v>0.999999974730444</v>
      </c>
    </row>
    <row r="5230" spans="1:40" x14ac:dyDescent="0.25">
      <c r="A5230" t="str">
        <f>"20190312164610966"</f>
        <v>20190312164610966</v>
      </c>
      <c r="B5230" t="str">
        <f>"1552380370956805"</f>
        <v>1552380370956805</v>
      </c>
      <c r="C5230" t="s">
        <v>40</v>
      </c>
      <c r="D5230">
        <v>4.9966780000000002</v>
      </c>
      <c r="E5230">
        <v>0.53305859999999905</v>
      </c>
      <c r="F5230" t="s">
        <v>43</v>
      </c>
      <c r="G5230">
        <v>-310.71269999999998</v>
      </c>
      <c r="H5230">
        <v>-0.05</v>
      </c>
      <c r="I5230">
        <v>10.642989999999999</v>
      </c>
      <c r="J5230">
        <v>-332.02420000000001</v>
      </c>
      <c r="K5230">
        <v>1.108412</v>
      </c>
      <c r="L5230">
        <v>17.30829</v>
      </c>
      <c r="M5230">
        <v>0.99987939999999997</v>
      </c>
      <c r="N5230">
        <v>0</v>
      </c>
      <c r="O5230">
        <v>-7.6131829999999999E-3</v>
      </c>
      <c r="P5230">
        <v>0.96361560000000002</v>
      </c>
      <c r="Q5230">
        <v>0.13142529999999999</v>
      </c>
      <c r="R5230">
        <v>-0.23275029999999999</v>
      </c>
      <c r="S5230">
        <v>2.9165040000000002</v>
      </c>
      <c r="T5230">
        <v>-0.15748799999999999</v>
      </c>
      <c r="U5230">
        <v>-0.90631099999999998</v>
      </c>
      <c r="V5230">
        <v>0.22560089999999999</v>
      </c>
      <c r="W5230">
        <v>0.1441827</v>
      </c>
      <c r="X5230">
        <v>0.96349130000000005</v>
      </c>
      <c r="Y5230">
        <v>0.2891011</v>
      </c>
      <c r="Z5230">
        <v>-7.2192589999999996E-3</v>
      </c>
      <c r="AA5230">
        <v>0.95727130000000005</v>
      </c>
      <c r="AB5230">
        <v>29</v>
      </c>
      <c r="AC5230">
        <v>21.311499999999999</v>
      </c>
      <c r="AD5230">
        <v>-1.158412</v>
      </c>
      <c r="AE5230">
        <v>-6.6653000000000002</v>
      </c>
      <c r="AF5230">
        <v>6.4853892044653696</v>
      </c>
      <c r="AG5230">
        <v>-1.158412</v>
      </c>
      <c r="AH5230">
        <v>21.304293989819101</v>
      </c>
      <c r="AI5230">
        <v>92.977712947205106</v>
      </c>
      <c r="AJ5230">
        <v>73.068859773090907</v>
      </c>
      <c r="AK5230">
        <v>22.2996666768762</v>
      </c>
      <c r="AL5230">
        <v>81.710045563556406</v>
      </c>
      <c r="AM5230">
        <v>76.821643312520493</v>
      </c>
      <c r="AN5230">
        <v>0.99999995111789297</v>
      </c>
    </row>
    <row r="5231" spans="1:40" x14ac:dyDescent="0.25">
      <c r="A5231" t="str">
        <f>"20190312164610978"</f>
        <v>20190312164610978</v>
      </c>
      <c r="B5231" t="str">
        <f>"1552380370966563"</f>
        <v>1552380370966563</v>
      </c>
      <c r="C5231" t="s">
        <v>40</v>
      </c>
      <c r="D5231">
        <v>4.9634999999999998</v>
      </c>
      <c r="E5231">
        <v>0.53298210000000001</v>
      </c>
      <c r="F5231" t="s">
        <v>43</v>
      </c>
      <c r="G5231">
        <v>-310.82209999999998</v>
      </c>
      <c r="H5231">
        <v>-0.05</v>
      </c>
      <c r="I5231">
        <v>10.660489999999999</v>
      </c>
      <c r="J5231">
        <v>-331.87619999999998</v>
      </c>
      <c r="K5231">
        <v>1.108357</v>
      </c>
      <c r="L5231">
        <v>17.306699999999999</v>
      </c>
      <c r="M5231">
        <v>0.99987599999999999</v>
      </c>
      <c r="N5231">
        <v>0</v>
      </c>
      <c r="O5231">
        <v>-8.0568020000000001E-3</v>
      </c>
      <c r="P5231">
        <v>0.96292049999999996</v>
      </c>
      <c r="Q5231">
        <v>0.13146769999999999</v>
      </c>
      <c r="R5231">
        <v>-0.2355855</v>
      </c>
      <c r="S5231">
        <v>2.9142760000000001</v>
      </c>
      <c r="T5231">
        <v>-0.159226799999999</v>
      </c>
      <c r="U5231">
        <v>-0.91375729999999999</v>
      </c>
      <c r="V5231">
        <v>0.22803309999999999</v>
      </c>
      <c r="W5231">
        <v>0.14418320000000001</v>
      </c>
      <c r="X5231">
        <v>0.96291850000000001</v>
      </c>
      <c r="Y5231">
        <v>0.2911012</v>
      </c>
      <c r="Z5231">
        <v>-7.3311460000000002E-3</v>
      </c>
      <c r="AA5231">
        <v>0.95666419999999996</v>
      </c>
      <c r="AB5231">
        <v>29</v>
      </c>
      <c r="AC5231">
        <v>21.054099999999998</v>
      </c>
      <c r="AD5231">
        <v>-1.1583570000000001</v>
      </c>
      <c r="AE5231">
        <v>-6.64621</v>
      </c>
      <c r="AF5231">
        <v>6.45857156024912</v>
      </c>
      <c r="AG5231">
        <v>-1.1583570000000001</v>
      </c>
      <c r="AH5231">
        <v>21.049027192940802</v>
      </c>
      <c r="AI5231">
        <v>93.011583301585802</v>
      </c>
      <c r="AJ5231">
        <v>72.942170388342007</v>
      </c>
      <c r="AK5231">
        <v>22.0480494218302</v>
      </c>
      <c r="AL5231">
        <v>81.710016718621205</v>
      </c>
      <c r="AM5231">
        <v>76.676964324691994</v>
      </c>
      <c r="AN5231">
        <v>0.99999996375004896</v>
      </c>
    </row>
    <row r="5232" spans="1:40" x14ac:dyDescent="0.25">
      <c r="A5232" t="str">
        <f>"20190312164610990"</f>
        <v>20190312164610990</v>
      </c>
      <c r="B5232" t="str">
        <f>"1552380370987060"</f>
        <v>1552380370987060</v>
      </c>
      <c r="C5232" t="s">
        <v>40</v>
      </c>
      <c r="D5232">
        <v>4.9988049999999999</v>
      </c>
      <c r="E5232">
        <v>0.53278599999999998</v>
      </c>
      <c r="F5232" t="s">
        <v>43</v>
      </c>
      <c r="G5232">
        <v>-310.85160000000002</v>
      </c>
      <c r="H5232">
        <v>-0.05</v>
      </c>
      <c r="I5232">
        <v>10.655939999999999</v>
      </c>
      <c r="J5232">
        <v>-331.71710000000002</v>
      </c>
      <c r="K5232">
        <v>1.1082920000000001</v>
      </c>
      <c r="L5232">
        <v>17.304929999999999</v>
      </c>
      <c r="M5232">
        <v>0.99987170000000003</v>
      </c>
      <c r="N5232">
        <v>0</v>
      </c>
      <c r="O5232">
        <v>-8.5610189999999996E-3</v>
      </c>
      <c r="P5232">
        <v>0.96219339999999998</v>
      </c>
      <c r="Q5232">
        <v>0.13140569999999999</v>
      </c>
      <c r="R5232">
        <v>-0.23857149999999999</v>
      </c>
      <c r="S5232">
        <v>2.912048</v>
      </c>
      <c r="T5232">
        <v>-0.1604401</v>
      </c>
      <c r="U5232">
        <v>-0.92117309999999997</v>
      </c>
      <c r="V5232">
        <v>0.23056099999999999</v>
      </c>
      <c r="W5232">
        <v>0.1440737</v>
      </c>
      <c r="X5232">
        <v>0.96233279999999999</v>
      </c>
      <c r="Y5232">
        <v>0.2930352</v>
      </c>
      <c r="Z5232">
        <v>-7.4144509999999999E-3</v>
      </c>
      <c r="AA5232">
        <v>0.9560729</v>
      </c>
      <c r="AB5232">
        <v>29</v>
      </c>
      <c r="AC5232">
        <v>20.865500000000001</v>
      </c>
      <c r="AD5232">
        <v>-1.1582920000000001</v>
      </c>
      <c r="AE5232">
        <v>-6.6489900000000004</v>
      </c>
      <c r="AF5232">
        <v>6.4520500947952204</v>
      </c>
      <c r="AG5232">
        <v>-1.1582920000000001</v>
      </c>
      <c r="AH5232">
        <v>20.863296603475298</v>
      </c>
      <c r="AI5232">
        <v>93.036109937025103</v>
      </c>
      <c r="AJ5232">
        <v>72.815586877313706</v>
      </c>
      <c r="AK5232">
        <v>21.8688759644294</v>
      </c>
      <c r="AL5232">
        <v>81.716357204897704</v>
      </c>
      <c r="AM5232">
        <v>76.526723643831403</v>
      </c>
      <c r="AN5232">
        <v>1.00000001185426</v>
      </c>
    </row>
    <row r="5233" spans="1:40" x14ac:dyDescent="0.25">
      <c r="A5233" t="str">
        <f>"20190312164611003"</f>
        <v>20190312164611003</v>
      </c>
      <c r="B5233" t="str">
        <f>"1552380370996820"</f>
        <v>1552380370996820</v>
      </c>
      <c r="C5233" t="s">
        <v>40</v>
      </c>
      <c r="D5233">
        <v>4.9648830000000004</v>
      </c>
      <c r="E5233">
        <v>0.53267679999999995</v>
      </c>
      <c r="F5233" t="s">
        <v>43</v>
      </c>
      <c r="G5233">
        <v>-310.98439999999999</v>
      </c>
      <c r="H5233">
        <v>-0.05</v>
      </c>
      <c r="I5233">
        <v>10.69293</v>
      </c>
      <c r="J5233">
        <v>-331.55329999999998</v>
      </c>
      <c r="K5233">
        <v>1.1082160000000001</v>
      </c>
      <c r="L5233">
        <v>17.30292</v>
      </c>
      <c r="M5233">
        <v>0.99986629999999999</v>
      </c>
      <c r="N5233">
        <v>0</v>
      </c>
      <c r="O5233">
        <v>-9.1671730000000007E-3</v>
      </c>
      <c r="P5233">
        <v>0.96146469999999995</v>
      </c>
      <c r="Q5233">
        <v>0.13118679999999999</v>
      </c>
      <c r="R5233">
        <v>-0.24161070000000001</v>
      </c>
      <c r="S5233">
        <v>2.9099729999999999</v>
      </c>
      <c r="T5233">
        <v>-0.1625743</v>
      </c>
      <c r="U5233">
        <v>-0.92803959999999996</v>
      </c>
      <c r="V5233">
        <v>0.23304859999999999</v>
      </c>
      <c r="W5233">
        <v>0.1437995</v>
      </c>
      <c r="X5233">
        <v>0.96177440000000003</v>
      </c>
      <c r="Y5233">
        <v>0.29468830000000001</v>
      </c>
      <c r="Z5233">
        <v>-7.5274499999999998E-3</v>
      </c>
      <c r="AA5233">
        <v>0.95556379999999996</v>
      </c>
      <c r="AB5233">
        <v>29</v>
      </c>
      <c r="AC5233">
        <v>20.5688999999999</v>
      </c>
      <c r="AD5233">
        <v>-1.1582159999999999</v>
      </c>
      <c r="AE5233">
        <v>-6.6099899999999998</v>
      </c>
      <c r="AF5233">
        <v>6.4027352990734103</v>
      </c>
      <c r="AG5233">
        <v>-1.1582159999999999</v>
      </c>
      <c r="AH5233">
        <v>20.569520867488901</v>
      </c>
      <c r="AI5233">
        <v>93.077431514391904</v>
      </c>
      <c r="AJ5233">
        <v>72.710047991119694</v>
      </c>
      <c r="AK5233">
        <v>21.574097254131399</v>
      </c>
      <c r="AL5233">
        <v>81.732232686412402</v>
      </c>
      <c r="AM5233">
        <v>76.379128772066395</v>
      </c>
      <c r="AN5233">
        <v>0.99999997132878404</v>
      </c>
    </row>
    <row r="5234" spans="1:40" x14ac:dyDescent="0.25">
      <c r="A5234" t="str">
        <f>"20190312164611014"</f>
        <v>20190312164611014</v>
      </c>
      <c r="B5234" t="str">
        <f>"1552380371006580"</f>
        <v>1552380371006580</v>
      </c>
      <c r="C5234" t="s">
        <v>40</v>
      </c>
      <c r="D5234">
        <v>4.9875480000000003</v>
      </c>
      <c r="E5234">
        <v>0.53254349999999995</v>
      </c>
      <c r="F5234" t="s">
        <v>43</v>
      </c>
      <c r="G5234">
        <v>-311.13139999999999</v>
      </c>
      <c r="H5234">
        <v>-0.05</v>
      </c>
      <c r="I5234">
        <v>10.72974</v>
      </c>
      <c r="J5234">
        <v>-331.40940000000001</v>
      </c>
      <c r="K5234">
        <v>1.1081460000000001</v>
      </c>
      <c r="L5234">
        <v>17.301029999999901</v>
      </c>
      <c r="M5234">
        <v>0.99986090000000005</v>
      </c>
      <c r="N5234">
        <v>0</v>
      </c>
      <c r="O5234">
        <v>-9.7401870000000008E-3</v>
      </c>
      <c r="P5234">
        <v>0.9606962</v>
      </c>
      <c r="Q5234">
        <v>0.13119129999999901</v>
      </c>
      <c r="R5234">
        <v>-0.24464659999999999</v>
      </c>
      <c r="S5234">
        <v>2.907562</v>
      </c>
      <c r="T5234">
        <v>-0.1649004</v>
      </c>
      <c r="U5234">
        <v>-0.93585209999999996</v>
      </c>
      <c r="V5234">
        <v>0.23556389999999999</v>
      </c>
      <c r="W5234">
        <v>0.14375189999999999</v>
      </c>
      <c r="X5234">
        <v>0.96116860000000004</v>
      </c>
      <c r="Y5234">
        <v>0.2966839</v>
      </c>
      <c r="Z5234">
        <v>-7.6614700000000001E-3</v>
      </c>
      <c r="AA5234">
        <v>0.95494500000000004</v>
      </c>
      <c r="AB5234">
        <v>29</v>
      </c>
      <c r="AC5234">
        <v>20.277999999999999</v>
      </c>
      <c r="AD5234">
        <v>-1.1581459999999999</v>
      </c>
      <c r="AE5234">
        <v>-6.5712899999999896</v>
      </c>
      <c r="AF5234">
        <v>6.3546899106543497</v>
      </c>
      <c r="AG5234">
        <v>-1.1581459999999999</v>
      </c>
      <c r="AH5234">
        <v>20.28118043553</v>
      </c>
      <c r="AI5234">
        <v>93.119087553309399</v>
      </c>
      <c r="AJ5234">
        <v>72.602692810175299</v>
      </c>
      <c r="AK5234">
        <v>21.284963375031101</v>
      </c>
      <c r="AL5234">
        <v>81.734988992803295</v>
      </c>
      <c r="AM5234">
        <v>76.229335951084394</v>
      </c>
      <c r="AN5234">
        <v>1.00000001868139</v>
      </c>
    </row>
    <row r="5235" spans="1:40" x14ac:dyDescent="0.25">
      <c r="A5235" t="str">
        <f>"20190312164611025"</f>
        <v>20190312164611025</v>
      </c>
      <c r="B5235" t="str">
        <f>"1552380371016341"</f>
        <v>1552380371016341</v>
      </c>
      <c r="C5235" t="s">
        <v>40</v>
      </c>
      <c r="D5235">
        <v>5.0080749999999998</v>
      </c>
      <c r="E5235">
        <v>0.53245229999999999</v>
      </c>
      <c r="F5235" t="s">
        <v>43</v>
      </c>
      <c r="G5235">
        <v>-311.15519999999998</v>
      </c>
      <c r="H5235">
        <v>-0.05</v>
      </c>
      <c r="I5235">
        <v>10.724500000000001</v>
      </c>
      <c r="J5235">
        <v>-331.25749999999999</v>
      </c>
      <c r="K5235">
        <v>1.108069</v>
      </c>
      <c r="L5235">
        <v>17.298919999999999</v>
      </c>
      <c r="M5235">
        <v>0.99985440000000003</v>
      </c>
      <c r="N5235">
        <v>0</v>
      </c>
      <c r="O5235">
        <v>-1.03932E-2</v>
      </c>
      <c r="P5235">
        <v>0.95991579999999999</v>
      </c>
      <c r="Q5235">
        <v>0.13109109999999999</v>
      </c>
      <c r="R5235">
        <v>-0.24774499999999999</v>
      </c>
      <c r="S5235">
        <v>2.905243</v>
      </c>
      <c r="T5235">
        <v>-0.16612360000000001</v>
      </c>
      <c r="U5235">
        <v>-0.94332890000000003</v>
      </c>
      <c r="V5235">
        <v>0.23806730000000001</v>
      </c>
      <c r="W5235">
        <v>0.14359520000000001</v>
      </c>
      <c r="X5235">
        <v>0.96057499999999996</v>
      </c>
      <c r="Y5235">
        <v>0.29849880000000001</v>
      </c>
      <c r="Z5235">
        <v>-7.7352999999999996E-3</v>
      </c>
      <c r="AA5235">
        <v>0.95437870000000002</v>
      </c>
      <c r="AB5235">
        <v>29</v>
      </c>
      <c r="AC5235">
        <v>20.1023</v>
      </c>
      <c r="AD5235">
        <v>-1.158069</v>
      </c>
      <c r="AE5235">
        <v>-6.5744199999999999</v>
      </c>
      <c r="AF5235">
        <v>6.34609230340675</v>
      </c>
      <c r="AG5235">
        <v>-1.158069</v>
      </c>
      <c r="AH5235">
        <v>20.109260127920201</v>
      </c>
      <c r="AI5235">
        <v>93.143469933207399</v>
      </c>
      <c r="AJ5235">
        <v>72.485314828022794</v>
      </c>
      <c r="AK5235">
        <v>21.118625765529401</v>
      </c>
      <c r="AL5235">
        <v>81.744061008667202</v>
      </c>
      <c r="AM5235">
        <v>76.080384912122994</v>
      </c>
      <c r="AN5235">
        <v>0.99999997570866395</v>
      </c>
    </row>
    <row r="5236" spans="1:40" x14ac:dyDescent="0.25">
      <c r="A5236" t="str">
        <f>"20190312164611036"</f>
        <v>20190312164611036</v>
      </c>
      <c r="B5236" t="str">
        <f>"1552380371027077"</f>
        <v>1552380371027077</v>
      </c>
      <c r="C5236" t="s">
        <v>40</v>
      </c>
      <c r="D5236">
        <v>4.9649900000000002</v>
      </c>
      <c r="E5236">
        <v>0.53232800000000002</v>
      </c>
      <c r="F5236" t="s">
        <v>43</v>
      </c>
      <c r="G5236">
        <v>-311.18549999999999</v>
      </c>
      <c r="H5236">
        <v>-0.05</v>
      </c>
      <c r="I5236">
        <v>10.71996</v>
      </c>
      <c r="J5236">
        <v>-331.1198</v>
      </c>
      <c r="K5236">
        <v>1.1080000000000001</v>
      </c>
      <c r="L5236">
        <v>17.296810000000001</v>
      </c>
      <c r="M5236">
        <v>0.99984720000000005</v>
      </c>
      <c r="N5236">
        <v>0</v>
      </c>
      <c r="O5236">
        <v>-1.104864E-2</v>
      </c>
      <c r="P5236">
        <v>0.95906849999999999</v>
      </c>
      <c r="Q5236">
        <v>0.13111800000000001</v>
      </c>
      <c r="R5236">
        <v>-0.25098959999999998</v>
      </c>
      <c r="S5236">
        <v>2.9026179999999999</v>
      </c>
      <c r="T5236">
        <v>-0.1674688</v>
      </c>
      <c r="U5236">
        <v>-0.9513855</v>
      </c>
      <c r="V5236">
        <v>0.24071500000000001</v>
      </c>
      <c r="W5236">
        <v>0.14356740000000001</v>
      </c>
      <c r="X5236">
        <v>0.95991910000000003</v>
      </c>
      <c r="Y5236">
        <v>0.30051080000000002</v>
      </c>
      <c r="Z5236">
        <v>-7.8209939999999995E-3</v>
      </c>
      <c r="AA5236">
        <v>0.95374630000000005</v>
      </c>
      <c r="AB5236">
        <v>29</v>
      </c>
      <c r="AC5236">
        <v>19.9343</v>
      </c>
      <c r="AD5236">
        <v>-1.1579999999999999</v>
      </c>
      <c r="AE5236">
        <v>-6.5768500000000003</v>
      </c>
      <c r="AF5236">
        <v>6.3368964274454003</v>
      </c>
      <c r="AG5236">
        <v>-1.1579999999999999</v>
      </c>
      <c r="AH5236">
        <v>19.9450565648403</v>
      </c>
      <c r="AI5236">
        <v>93.167163964691497</v>
      </c>
      <c r="AJ5236">
        <v>72.374029154861105</v>
      </c>
      <c r="AK5236">
        <v>20.9595444059944</v>
      </c>
      <c r="AL5236">
        <v>81.745670660669802</v>
      </c>
      <c r="AM5236">
        <v>75.922461197318796</v>
      </c>
      <c r="AN5236">
        <v>0.99999999405628504</v>
      </c>
    </row>
    <row r="5237" spans="1:40" x14ac:dyDescent="0.25">
      <c r="A5237" t="str">
        <f>"20190312164611049"</f>
        <v>20190312164611049</v>
      </c>
      <c r="B5237" t="str">
        <f>"1552380371046596"</f>
        <v>1552380371046596</v>
      </c>
      <c r="C5237" t="s">
        <v>40</v>
      </c>
      <c r="D5237">
        <v>4.9878239999999998</v>
      </c>
      <c r="E5237">
        <v>0.53218909999999997</v>
      </c>
      <c r="F5237" t="s">
        <v>43</v>
      </c>
      <c r="G5237">
        <v>-311.19009999999997</v>
      </c>
      <c r="H5237">
        <v>-0.05</v>
      </c>
      <c r="I5237">
        <v>10.702439999999999</v>
      </c>
      <c r="J5237">
        <v>-330.9547</v>
      </c>
      <c r="K5237">
        <v>1.1079129999999999</v>
      </c>
      <c r="L5237">
        <v>17.294219999999999</v>
      </c>
      <c r="M5237">
        <v>0.99983789999999995</v>
      </c>
      <c r="N5237">
        <v>0</v>
      </c>
      <c r="O5237">
        <v>-1.186854E-2</v>
      </c>
      <c r="P5237">
        <v>0.95817889999999994</v>
      </c>
      <c r="Q5237">
        <v>0.13093369999999999</v>
      </c>
      <c r="R5237">
        <v>-0.25446010000000002</v>
      </c>
      <c r="S5237">
        <v>2.8999329999999999</v>
      </c>
      <c r="T5237">
        <v>-0.16849800000000001</v>
      </c>
      <c r="U5237">
        <v>-0.95953370000000004</v>
      </c>
      <c r="V5237">
        <v>0.2434365</v>
      </c>
      <c r="W5237">
        <v>0.1433178</v>
      </c>
      <c r="X5237">
        <v>0.95926990000000001</v>
      </c>
      <c r="Y5237">
        <v>0.3023998</v>
      </c>
      <c r="Z5237">
        <v>-7.8796270000000002E-3</v>
      </c>
      <c r="AA5237">
        <v>0.95314860000000001</v>
      </c>
      <c r="AB5237">
        <v>29</v>
      </c>
      <c r="AC5237">
        <v>19.764600000000002</v>
      </c>
      <c r="AD5237">
        <v>-1.157913</v>
      </c>
      <c r="AE5237">
        <v>-6.59178</v>
      </c>
      <c r="AF5237">
        <v>6.3371438554090602</v>
      </c>
      <c r="AG5237">
        <v>-1.157913</v>
      </c>
      <c r="AH5237">
        <v>19.780354698395399</v>
      </c>
      <c r="AI5237">
        <v>93.190789945100306</v>
      </c>
      <c r="AJ5237">
        <v>72.235806956676697</v>
      </c>
      <c r="AK5237">
        <v>20.8029465882612</v>
      </c>
      <c r="AL5237">
        <v>81.760121432923</v>
      </c>
      <c r="AM5237">
        <v>75.7604940197009</v>
      </c>
      <c r="AN5237">
        <v>1.0000000311875401</v>
      </c>
    </row>
    <row r="5238" spans="1:40" x14ac:dyDescent="0.25">
      <c r="A5238" t="str">
        <f>"20190312164611058"</f>
        <v>20190312164611058</v>
      </c>
      <c r="B5238" t="str">
        <f>"1552380371046596"</f>
        <v>1552380371046596</v>
      </c>
      <c r="C5238" t="s">
        <v>40</v>
      </c>
      <c r="D5238">
        <v>4.9878239999999998</v>
      </c>
      <c r="E5238">
        <v>0.53218909999999997</v>
      </c>
      <c r="F5238" t="s">
        <v>43</v>
      </c>
      <c r="G5238">
        <v>-311.31270000000001</v>
      </c>
      <c r="H5238">
        <v>-0.05</v>
      </c>
      <c r="I5238">
        <v>10.72818</v>
      </c>
      <c r="J5238">
        <v>-330.83150000000001</v>
      </c>
      <c r="K5238">
        <v>1.1078440000000001</v>
      </c>
      <c r="L5238">
        <v>17.292020000000001</v>
      </c>
      <c r="M5238">
        <v>0.99982939999999998</v>
      </c>
      <c r="N5238">
        <v>0</v>
      </c>
      <c r="O5238">
        <v>-1.256182E-2</v>
      </c>
      <c r="P5238">
        <v>0.95725380000000004</v>
      </c>
      <c r="Q5238">
        <v>0.13060849999999999</v>
      </c>
      <c r="R5238">
        <v>-0.25808300000000001</v>
      </c>
      <c r="S5238">
        <v>2.8971559999999998</v>
      </c>
      <c r="T5238">
        <v>-0.17078979999999999</v>
      </c>
      <c r="U5238">
        <v>-0.96847530000000004</v>
      </c>
      <c r="V5238">
        <v>0.24642639999999999</v>
      </c>
      <c r="W5238">
        <v>0.14293639999999999</v>
      </c>
      <c r="X5238">
        <v>0.9585631</v>
      </c>
      <c r="Y5238">
        <v>0.30464429999999998</v>
      </c>
      <c r="Z5238">
        <v>-8.014742E-3</v>
      </c>
      <c r="AA5238">
        <v>0.95243250000000002</v>
      </c>
      <c r="AB5238">
        <v>29</v>
      </c>
      <c r="AC5238">
        <v>19.518799999999999</v>
      </c>
      <c r="AD5238">
        <v>-1.1578440000000001</v>
      </c>
      <c r="AE5238">
        <v>-6.5638399999999999</v>
      </c>
      <c r="AF5238">
        <v>6.2981974023974798</v>
      </c>
      <c r="AG5238">
        <v>-1.1578440000000001</v>
      </c>
      <c r="AH5238">
        <v>19.537955720920401</v>
      </c>
      <c r="AI5238">
        <v>93.2282415323712</v>
      </c>
      <c r="AJ5238">
        <v>72.132908744273195</v>
      </c>
      <c r="AK5238">
        <v>20.560632456238999</v>
      </c>
      <c r="AL5238">
        <v>81.782201119886594</v>
      </c>
      <c r="AM5238">
        <v>75.582661170755003</v>
      </c>
      <c r="AN5238">
        <v>1.00000000087176</v>
      </c>
    </row>
    <row r="5239" spans="1:40" x14ac:dyDescent="0.25">
      <c r="A5239" t="str">
        <f>"20190312164611068"</f>
        <v>20190312164611068</v>
      </c>
      <c r="B5239" t="str">
        <f>"1552380371056356"</f>
        <v>1552380371056356</v>
      </c>
      <c r="C5239" t="s">
        <v>40</v>
      </c>
      <c r="D5239">
        <v>4.8771459999999998</v>
      </c>
      <c r="E5239">
        <v>0.53206290000000001</v>
      </c>
      <c r="F5239" t="s">
        <v>43</v>
      </c>
      <c r="G5239">
        <v>-311.35359999999997</v>
      </c>
      <c r="H5239">
        <v>-0.05</v>
      </c>
      <c r="I5239">
        <v>10.70462</v>
      </c>
      <c r="J5239">
        <v>-330.70530000000002</v>
      </c>
      <c r="K5239">
        <v>1.1077680000000001</v>
      </c>
      <c r="L5239">
        <v>17.28979</v>
      </c>
      <c r="M5239">
        <v>0.99982040000000005</v>
      </c>
      <c r="N5239">
        <v>0</v>
      </c>
      <c r="O5239">
        <v>-1.327207E-2</v>
      </c>
      <c r="P5239">
        <v>0.95640239999999999</v>
      </c>
      <c r="Q5239">
        <v>0.1303491</v>
      </c>
      <c r="R5239">
        <v>-0.2613509</v>
      </c>
      <c r="S5239">
        <v>2.8935849999999999</v>
      </c>
      <c r="T5239">
        <v>-0.1720061</v>
      </c>
      <c r="U5239">
        <v>-0.97860720000000001</v>
      </c>
      <c r="V5239">
        <v>0.2490454</v>
      </c>
      <c r="W5239">
        <v>0.14262159999999999</v>
      </c>
      <c r="X5239">
        <v>0.95793289999999998</v>
      </c>
      <c r="Y5239">
        <v>0.30730580000000002</v>
      </c>
      <c r="Z5239">
        <v>-8.1126819999999995E-3</v>
      </c>
      <c r="AA5239">
        <v>0.95157619999999998</v>
      </c>
      <c r="AB5239">
        <v>29</v>
      </c>
      <c r="AC5239">
        <v>19.351700000000001</v>
      </c>
      <c r="AD5239">
        <v>-1.1577679999999999</v>
      </c>
      <c r="AE5239">
        <v>-6.5851699999999997</v>
      </c>
      <c r="AF5239">
        <v>6.30749549538801</v>
      </c>
      <c r="AG5239">
        <v>-1.1577679999999999</v>
      </c>
      <c r="AH5239">
        <v>19.375248354307701</v>
      </c>
      <c r="AI5239">
        <v>93.252046575228903</v>
      </c>
      <c r="AJ5239">
        <v>71.967652644787194</v>
      </c>
      <c r="AK5239">
        <v>20.408948404003301</v>
      </c>
      <c r="AL5239">
        <v>81.800424418788893</v>
      </c>
      <c r="AM5239">
        <v>75.426744852613297</v>
      </c>
      <c r="AN5239">
        <v>0.99999998647506405</v>
      </c>
    </row>
    <row r="5240" spans="1:40" x14ac:dyDescent="0.25">
      <c r="A5240" t="str">
        <f>"20190312164611078"</f>
        <v>20190312164611078</v>
      </c>
      <c r="B5240" t="str">
        <f>"1552380371076852"</f>
        <v>1552380371076852</v>
      </c>
      <c r="C5240" t="s">
        <v>40</v>
      </c>
      <c r="D5240">
        <v>4.9393599999999998</v>
      </c>
      <c r="E5240">
        <v>0.53195150000000002</v>
      </c>
      <c r="F5240" t="s">
        <v>43</v>
      </c>
      <c r="G5240">
        <v>-311.50819999999999</v>
      </c>
      <c r="H5240">
        <v>-0.05</v>
      </c>
      <c r="I5240">
        <v>10.73676</v>
      </c>
      <c r="J5240">
        <v>-330.5677</v>
      </c>
      <c r="K5240">
        <v>1.1076950000000001</v>
      </c>
      <c r="L5240">
        <v>17.287109999999998</v>
      </c>
      <c r="M5240">
        <v>0.99980840000000004</v>
      </c>
      <c r="N5240">
        <v>0</v>
      </c>
      <c r="O5240">
        <v>-1.412425E-2</v>
      </c>
      <c r="P5240">
        <v>0.95535870000000001</v>
      </c>
      <c r="Q5240">
        <v>0.13000339999999999</v>
      </c>
      <c r="R5240">
        <v>-0.26530939999999997</v>
      </c>
      <c r="S5240">
        <v>2.8908689999999999</v>
      </c>
      <c r="T5240">
        <v>-0.17434720000000001</v>
      </c>
      <c r="U5240">
        <v>-0.98681640000000004</v>
      </c>
      <c r="V5240">
        <v>0.25222339999999999</v>
      </c>
      <c r="W5240">
        <v>0.14221429999999999</v>
      </c>
      <c r="X5240">
        <v>0.9571617</v>
      </c>
      <c r="Y5240">
        <v>0.30917309999999998</v>
      </c>
      <c r="Z5240">
        <v>-8.2314039999999995E-3</v>
      </c>
      <c r="AA5240">
        <v>0.95097019999999999</v>
      </c>
      <c r="AB5240">
        <v>29</v>
      </c>
      <c r="AC5240">
        <v>19.0595</v>
      </c>
      <c r="AD5240">
        <v>-1.1576949999999999</v>
      </c>
      <c r="AE5240">
        <v>-6.5503499999999999</v>
      </c>
      <c r="AF5240">
        <v>6.2598148853371001</v>
      </c>
      <c r="AG5240">
        <v>-1.1576949999999999</v>
      </c>
      <c r="AH5240">
        <v>19.087143235466598</v>
      </c>
      <c r="AI5240">
        <v>93.2984700408593</v>
      </c>
      <c r="AJ5240">
        <v>71.8425912691836</v>
      </c>
      <c r="AK5240">
        <v>20.120749911544898</v>
      </c>
      <c r="AL5240">
        <v>81.824001720628402</v>
      </c>
      <c r="AM5240">
        <v>75.237474970722204</v>
      </c>
      <c r="AN5240">
        <v>1.00000003528946</v>
      </c>
    </row>
    <row r="5241" spans="1:40" x14ac:dyDescent="0.25">
      <c r="A5241" t="str">
        <f>"20190312164611090"</f>
        <v>20190312164611090</v>
      </c>
      <c r="B5241" t="str">
        <f>"1552380371086612"</f>
        <v>1552380371086612</v>
      </c>
      <c r="C5241" t="s">
        <v>40</v>
      </c>
      <c r="D5241">
        <v>5.0288360000000001</v>
      </c>
      <c r="E5241">
        <v>0.5322036</v>
      </c>
      <c r="F5241" t="s">
        <v>43</v>
      </c>
      <c r="G5241">
        <v>-311.7002</v>
      </c>
      <c r="H5241">
        <v>-0.05</v>
      </c>
      <c r="I5241">
        <v>10.772629999999999</v>
      </c>
      <c r="J5241">
        <v>-330.4298</v>
      </c>
      <c r="K5241">
        <v>1.1076220000000001</v>
      </c>
      <c r="L5241">
        <v>17.284329999999901</v>
      </c>
      <c r="M5241">
        <v>0.99979589999999996</v>
      </c>
      <c r="N5241">
        <v>0</v>
      </c>
      <c r="O5241">
        <v>-1.498764E-2</v>
      </c>
      <c r="P5241">
        <v>0.9543085</v>
      </c>
      <c r="Q5241">
        <v>0.12958140000000001</v>
      </c>
      <c r="R5241">
        <v>-0.26926559999999999</v>
      </c>
      <c r="S5241">
        <v>2.8873899999999999</v>
      </c>
      <c r="T5241">
        <v>-0.1771684</v>
      </c>
      <c r="U5241">
        <v>-0.99694819999999995</v>
      </c>
      <c r="V5241">
        <v>0.25538919999999998</v>
      </c>
      <c r="W5241">
        <v>0.14172960000000001</v>
      </c>
      <c r="X5241">
        <v>0.95639379999999996</v>
      </c>
      <c r="Y5241">
        <v>0.31166709999999997</v>
      </c>
      <c r="Z5241">
        <v>-8.3921919999999997E-3</v>
      </c>
      <c r="AA5241">
        <v>0.95015430000000001</v>
      </c>
      <c r="AB5241">
        <v>29</v>
      </c>
      <c r="AC5241">
        <v>18.729600000000001</v>
      </c>
      <c r="AD5241">
        <v>-1.1576219999999999</v>
      </c>
      <c r="AE5241">
        <v>-6.5116999999999896</v>
      </c>
      <c r="AF5241">
        <v>6.2090687057979199</v>
      </c>
      <c r="AG5241">
        <v>-1.1576219999999999</v>
      </c>
      <c r="AH5241">
        <v>18.761158844117801</v>
      </c>
      <c r="AI5241">
        <v>93.352464439919004</v>
      </c>
      <c r="AJ5241">
        <v>71.687864452036806</v>
      </c>
      <c r="AK5241">
        <v>19.7958001622168</v>
      </c>
      <c r="AL5241">
        <v>81.852056974413102</v>
      </c>
      <c r="AM5241">
        <v>75.048961092437295</v>
      </c>
      <c r="AN5241">
        <v>1.00000001183562</v>
      </c>
    </row>
    <row r="5242" spans="1:40" x14ac:dyDescent="0.25">
      <c r="A5242" t="str">
        <f>"20190312164611101"</f>
        <v>20190312164611101</v>
      </c>
      <c r="B5242" t="str">
        <f>"1552380371096372"</f>
        <v>1552380371096372</v>
      </c>
      <c r="C5242" t="s">
        <v>40</v>
      </c>
      <c r="D5242">
        <v>5.1065709999999997</v>
      </c>
      <c r="E5242">
        <v>0.5322036</v>
      </c>
      <c r="F5242" t="s">
        <v>43</v>
      </c>
      <c r="G5242">
        <v>-311.78019999999998</v>
      </c>
      <c r="H5242">
        <v>-0.05</v>
      </c>
      <c r="I5242">
        <v>10.750030000000001</v>
      </c>
      <c r="J5242">
        <v>-330.27339999999998</v>
      </c>
      <c r="K5242">
        <v>1.107545</v>
      </c>
      <c r="L5242">
        <v>17.280909999999999</v>
      </c>
      <c r="M5242">
        <v>0.99977950000000004</v>
      </c>
      <c r="N5242">
        <v>0</v>
      </c>
      <c r="O5242">
        <v>-1.605096E-2</v>
      </c>
      <c r="P5242">
        <v>0.95322030000000002</v>
      </c>
      <c r="Q5242">
        <v>0.12887280000000001</v>
      </c>
      <c r="R5242">
        <v>-0.27342820000000001</v>
      </c>
      <c r="S5242">
        <v>2.8829349999999998</v>
      </c>
      <c r="T5242">
        <v>-0.17895030000000001</v>
      </c>
      <c r="U5242">
        <v>-1.0101009999999999</v>
      </c>
      <c r="V5242">
        <v>0.25857329999999901</v>
      </c>
      <c r="W5242">
        <v>0.140954</v>
      </c>
      <c r="X5242">
        <v>0.95565250000000002</v>
      </c>
      <c r="Y5242">
        <v>0.31495990000000001</v>
      </c>
      <c r="Z5242">
        <v>-8.5178509999999999E-3</v>
      </c>
      <c r="AA5242">
        <v>0.94906679999999999</v>
      </c>
      <c r="AB5242">
        <v>29</v>
      </c>
      <c r="AC5242">
        <v>18.493200000000002</v>
      </c>
      <c r="AD5242">
        <v>-1.157545</v>
      </c>
      <c r="AE5242">
        <v>-6.5308799999999998</v>
      </c>
      <c r="AF5242">
        <v>6.2115401161688899</v>
      </c>
      <c r="AG5242">
        <v>-1.157545</v>
      </c>
      <c r="AH5242">
        <v>18.531101589176899</v>
      </c>
      <c r="AI5242">
        <v>93.389458775912502</v>
      </c>
      <c r="AJ5242">
        <v>71.469084874197193</v>
      </c>
      <c r="AK5242">
        <v>19.578683999446799</v>
      </c>
      <c r="AL5242">
        <v>81.8969456549721</v>
      </c>
      <c r="AM5242">
        <v>74.859855447832999</v>
      </c>
      <c r="AN5242">
        <v>0.99999994117256796</v>
      </c>
    </row>
    <row r="5243" spans="1:40" x14ac:dyDescent="0.25">
      <c r="A5243" t="str">
        <f>"20190312164611113"</f>
        <v>20190312164611113</v>
      </c>
      <c r="B5243" t="str">
        <f>"1552380371107108"</f>
        <v>1552380371107108</v>
      </c>
      <c r="C5243" t="s">
        <v>40</v>
      </c>
      <c r="D5243">
        <v>5.0602229999999997</v>
      </c>
      <c r="E5243">
        <v>0.55899180000000004</v>
      </c>
      <c r="F5243" t="s">
        <v>43</v>
      </c>
      <c r="G5243">
        <v>-311.89920000000001</v>
      </c>
      <c r="H5243">
        <v>-0.05</v>
      </c>
      <c r="I5243">
        <v>10.75816</v>
      </c>
      <c r="J5243">
        <v>-330.12049999999999</v>
      </c>
      <c r="K5243">
        <v>1.10747</v>
      </c>
      <c r="L5243">
        <v>17.2774</v>
      </c>
      <c r="M5243">
        <v>0.99976160000000003</v>
      </c>
      <c r="N5243">
        <v>0</v>
      </c>
      <c r="O5243">
        <v>-1.7120179999999999E-2</v>
      </c>
      <c r="P5243">
        <v>0.95213979999999998</v>
      </c>
      <c r="Q5243">
        <v>0.1281225</v>
      </c>
      <c r="R5243">
        <v>-0.27751520000000002</v>
      </c>
      <c r="S5243">
        <v>2.878571</v>
      </c>
      <c r="T5243">
        <v>-0.1813457</v>
      </c>
      <c r="U5243">
        <v>-1.021881</v>
      </c>
      <c r="V5243">
        <v>0.26167580000000001</v>
      </c>
      <c r="W5243">
        <v>0.1401387</v>
      </c>
      <c r="X5243">
        <v>0.95492770000000005</v>
      </c>
      <c r="Y5243">
        <v>0.31782860000000002</v>
      </c>
      <c r="Z5243">
        <v>-8.6606979999999997E-3</v>
      </c>
      <c r="AA5243">
        <v>0.94810859999999997</v>
      </c>
      <c r="AB5243">
        <v>29</v>
      </c>
      <c r="AC5243">
        <v>18.2212999999999</v>
      </c>
      <c r="AD5243">
        <v>-1.15747</v>
      </c>
      <c r="AE5243">
        <v>-6.5192399999999999</v>
      </c>
      <c r="AF5243">
        <v>6.1841814361955896</v>
      </c>
      <c r="AG5243">
        <v>-1.15747</v>
      </c>
      <c r="AH5243">
        <v>18.264911706954301</v>
      </c>
      <c r="AI5243">
        <v>93.435002696416802</v>
      </c>
      <c r="AJ5243">
        <v>71.294793638373207</v>
      </c>
      <c r="AK5243">
        <v>19.318147853754599</v>
      </c>
      <c r="AL5243">
        <v>81.944127671472003</v>
      </c>
      <c r="AM5243">
        <v>74.675600489418201</v>
      </c>
      <c r="AN5243">
        <v>0.99999999588530997</v>
      </c>
    </row>
    <row r="5244" spans="1:40" x14ac:dyDescent="0.25">
      <c r="A5244" t="str">
        <f>"20190312164611124"</f>
        <v>20190312164611124</v>
      </c>
      <c r="B5244" t="str">
        <f>"1552380371116868"</f>
        <v>1552380371116868</v>
      </c>
      <c r="C5244" t="s">
        <v>40</v>
      </c>
      <c r="D5244">
        <v>5.4559449999999998</v>
      </c>
      <c r="E5244">
        <v>0.55723529999999999</v>
      </c>
      <c r="F5244" t="s">
        <v>43</v>
      </c>
      <c r="G5244">
        <v>-304.12860000000001</v>
      </c>
      <c r="H5244">
        <v>-0.05</v>
      </c>
      <c r="I5244">
        <v>5.7378229999999997</v>
      </c>
      <c r="J5244">
        <v>-329.97820000000002</v>
      </c>
      <c r="K5244">
        <v>1.1074040000000001</v>
      </c>
      <c r="L5244">
        <v>17.27393</v>
      </c>
      <c r="M5244">
        <v>0.99974339999999995</v>
      </c>
      <c r="N5244">
        <v>0</v>
      </c>
      <c r="O5244">
        <v>-1.8158589999999999E-2</v>
      </c>
      <c r="P5244">
        <v>0.95101959999999996</v>
      </c>
      <c r="Q5244">
        <v>0.12733449999999999</v>
      </c>
      <c r="R5244">
        <v>-0.28168729999999997</v>
      </c>
      <c r="S5244">
        <v>2.8046570000000002</v>
      </c>
      <c r="T5244">
        <v>-0.1248966</v>
      </c>
      <c r="U5244">
        <v>-1.2451779999999999</v>
      </c>
      <c r="V5244">
        <v>0.26489239999999997</v>
      </c>
      <c r="W5244">
        <v>0.1392892</v>
      </c>
      <c r="X5244">
        <v>0.95416480000000004</v>
      </c>
      <c r="Y5244">
        <v>0.38880369999999997</v>
      </c>
      <c r="Z5244">
        <v>-7.49314199999999E-3</v>
      </c>
      <c r="AA5244">
        <v>0.92129019999999995</v>
      </c>
      <c r="AB5244">
        <v>29</v>
      </c>
      <c r="AC5244">
        <v>25.849599999999999</v>
      </c>
      <c r="AD5244">
        <v>-1.1574040000000001</v>
      </c>
      <c r="AE5244">
        <v>-11.536106999999999</v>
      </c>
      <c r="AF5244">
        <v>11.04630204957</v>
      </c>
      <c r="AG5244">
        <v>-1.1574040000000001</v>
      </c>
      <c r="AH5244">
        <v>26.011350050739999</v>
      </c>
      <c r="AI5244">
        <v>92.345293952163701</v>
      </c>
      <c r="AJ5244">
        <v>66.990409060969498</v>
      </c>
      <c r="AK5244">
        <v>28.2833998036248</v>
      </c>
      <c r="AL5244">
        <v>81.993282306215207</v>
      </c>
      <c r="AM5244">
        <v>74.484439655919104</v>
      </c>
      <c r="AN5244">
        <v>0.99999996518671896</v>
      </c>
    </row>
    <row r="5245" spans="1:40" x14ac:dyDescent="0.25">
      <c r="A5245" t="str">
        <f>"20190312164611135"</f>
        <v>20190312164611135</v>
      </c>
      <c r="B5245" t="str">
        <f>"1552380371126628"</f>
        <v>1552380371126628</v>
      </c>
      <c r="C5245" t="s">
        <v>40</v>
      </c>
      <c r="D5245">
        <v>5.2435549999999997</v>
      </c>
      <c r="E5245">
        <v>0.5564462</v>
      </c>
      <c r="F5245" t="s">
        <v>43</v>
      </c>
      <c r="G5245">
        <v>-303.8904</v>
      </c>
      <c r="H5245">
        <v>-0.05</v>
      </c>
      <c r="I5245">
        <v>5.6977080000000004</v>
      </c>
      <c r="J5245">
        <v>-329.84350000000001</v>
      </c>
      <c r="K5245">
        <v>1.107343</v>
      </c>
      <c r="L5245">
        <v>17.270479999999999</v>
      </c>
      <c r="M5245">
        <v>0.99972439999999996</v>
      </c>
      <c r="N5245">
        <v>0</v>
      </c>
      <c r="O5245">
        <v>-1.917601E-2</v>
      </c>
      <c r="P5245">
        <v>0.94984939999999995</v>
      </c>
      <c r="Q5245">
        <v>0.12709669999999901</v>
      </c>
      <c r="R5245">
        <v>-0.28571489999999999</v>
      </c>
      <c r="S5245">
        <v>2.8027950000000001</v>
      </c>
      <c r="T5245">
        <v>-0.12434779999999999</v>
      </c>
      <c r="U5245">
        <v>-1.2437129999999901</v>
      </c>
      <c r="V5245">
        <v>0.26798670000000002</v>
      </c>
      <c r="W5245">
        <v>0.1389927</v>
      </c>
      <c r="X5245">
        <v>0.95334370000000002</v>
      </c>
      <c r="Y5245">
        <v>0.3876947</v>
      </c>
      <c r="Z5245">
        <v>-7.3990309999999899E-3</v>
      </c>
      <c r="AA5245">
        <v>0.92175810000000002</v>
      </c>
      <c r="AB5245">
        <v>29</v>
      </c>
      <c r="AC5245">
        <v>25.953099999999999</v>
      </c>
      <c r="AD5245">
        <v>-1.157343</v>
      </c>
      <c r="AE5245">
        <v>-11.572772000000001</v>
      </c>
      <c r="AF5245">
        <v>11.0545841054254</v>
      </c>
      <c r="AG5245">
        <v>-1.157343</v>
      </c>
      <c r="AH5245">
        <v>26.126928383467799</v>
      </c>
      <c r="AI5245">
        <v>92.336116668149302</v>
      </c>
      <c r="AJ5245">
        <v>67.066255983594601</v>
      </c>
      <c r="AK5245">
        <v>28.392950873736801</v>
      </c>
      <c r="AL5245">
        <v>82.010437870495807</v>
      </c>
      <c r="AM5245">
        <v>74.299227381059396</v>
      </c>
      <c r="AN5245">
        <v>1.00000002617993</v>
      </c>
    </row>
    <row r="5246" spans="1:40" x14ac:dyDescent="0.25">
      <c r="A5246" t="str">
        <f>"20190312164611146"</f>
        <v>20190312164611146</v>
      </c>
      <c r="B5246" t="str">
        <f>"1552380371136388"</f>
        <v>1552380371136388</v>
      </c>
      <c r="C5246" t="s">
        <v>40</v>
      </c>
      <c r="D5246">
        <v>5.3648470000000001</v>
      </c>
      <c r="E5246">
        <v>0.5554616</v>
      </c>
      <c r="F5246" t="s">
        <v>43</v>
      </c>
      <c r="G5246">
        <v>-303.90839999999997</v>
      </c>
      <c r="H5246">
        <v>-0.05</v>
      </c>
      <c r="I5246">
        <v>5.6982269999999904</v>
      </c>
      <c r="J5246">
        <v>-329.69690000000003</v>
      </c>
      <c r="K5246">
        <v>1.1072820000000001</v>
      </c>
      <c r="L5246">
        <v>17.2666</v>
      </c>
      <c r="M5246">
        <v>0.99970199999999998</v>
      </c>
      <c r="N5246">
        <v>0</v>
      </c>
      <c r="O5246">
        <v>-2.030947E-2</v>
      </c>
      <c r="P5246">
        <v>0.94861549999999994</v>
      </c>
      <c r="Q5246">
        <v>0.12666669999999999</v>
      </c>
      <c r="R5246">
        <v>-0.2899736</v>
      </c>
      <c r="S5246">
        <v>2.7993769999999998</v>
      </c>
      <c r="T5246">
        <v>-0.1249212</v>
      </c>
      <c r="U5246">
        <v>-1.2490840000000001</v>
      </c>
      <c r="V5246">
        <v>0.27120429999999901</v>
      </c>
      <c r="W5246">
        <v>0.13850109999999999</v>
      </c>
      <c r="X5246">
        <v>0.95250489999999999</v>
      </c>
      <c r="Y5246">
        <v>0.38853979999999999</v>
      </c>
      <c r="Z5246">
        <v>-7.4084759999999998E-3</v>
      </c>
      <c r="AA5246">
        <v>0.92140219999999995</v>
      </c>
      <c r="AB5246">
        <v>29</v>
      </c>
      <c r="AC5246">
        <v>25.788499999999999</v>
      </c>
      <c r="AD5246">
        <v>-1.1572819999999999</v>
      </c>
      <c r="AE5246">
        <v>-11.568372999999999</v>
      </c>
      <c r="AF5246">
        <v>11.02370657735</v>
      </c>
      <c r="AG5246">
        <v>-1.1572819999999999</v>
      </c>
      <c r="AH5246">
        <v>25.974602924726799</v>
      </c>
      <c r="AI5246">
        <v>92.348587996423007</v>
      </c>
      <c r="AJ5246">
        <v>67.003473244925999</v>
      </c>
      <c r="AK5246">
        <v>28.240775581209899</v>
      </c>
      <c r="AL5246">
        <v>82.038879002851999</v>
      </c>
      <c r="AM5246">
        <v>74.106891466818695</v>
      </c>
      <c r="AN5246">
        <v>0.99999995578185397</v>
      </c>
    </row>
    <row r="5247" spans="1:40" x14ac:dyDescent="0.25">
      <c r="A5247" t="str">
        <f>"20190312164611156"</f>
        <v>20190312164611156</v>
      </c>
      <c r="B5247" t="str">
        <f>"1552380371147124"</f>
        <v>1552380371147124</v>
      </c>
      <c r="C5247" t="s">
        <v>40</v>
      </c>
      <c r="D5247">
        <v>4.8114039999999996</v>
      </c>
      <c r="E5247">
        <v>0.55483380000000004</v>
      </c>
      <c r="F5247" t="s">
        <v>43</v>
      </c>
      <c r="G5247">
        <v>-304.0727</v>
      </c>
      <c r="H5247">
        <v>-0.05</v>
      </c>
      <c r="I5247">
        <v>5.7791600000000001</v>
      </c>
      <c r="J5247">
        <v>-329.56439999999998</v>
      </c>
      <c r="K5247">
        <v>1.1072310000000001</v>
      </c>
      <c r="L5247">
        <v>17.262789999999999</v>
      </c>
      <c r="M5247">
        <v>0.99967969999999895</v>
      </c>
      <c r="N5247">
        <v>0</v>
      </c>
      <c r="O5247">
        <v>-2.1373710000000001E-2</v>
      </c>
      <c r="P5247">
        <v>0.94728190000000001</v>
      </c>
      <c r="Q5247">
        <v>0.126614</v>
      </c>
      <c r="R5247">
        <v>-0.2943228</v>
      </c>
      <c r="S5247">
        <v>2.796173</v>
      </c>
      <c r="T5247">
        <v>-0.1262856</v>
      </c>
      <c r="U5247">
        <v>-1.2535400000000001</v>
      </c>
      <c r="V5247">
        <v>0.27458149999999998</v>
      </c>
      <c r="W5247">
        <v>0.13839019999999999</v>
      </c>
      <c r="X5247">
        <v>0.95155299999999998</v>
      </c>
      <c r="Y5247">
        <v>0.38916830000000002</v>
      </c>
      <c r="Z5247">
        <v>-7.4626219999999899E-3</v>
      </c>
      <c r="AA5247">
        <v>0.92113639999999997</v>
      </c>
      <c r="AB5247">
        <v>29</v>
      </c>
      <c r="AC5247">
        <v>25.491699999999899</v>
      </c>
      <c r="AD5247">
        <v>-1.1572309999999999</v>
      </c>
      <c r="AE5247">
        <v>-11.4836299999999</v>
      </c>
      <c r="AF5247">
        <v>10.9174005782214</v>
      </c>
      <c r="AG5247">
        <v>-1.1572309999999999</v>
      </c>
      <c r="AH5247">
        <v>25.6873391256144</v>
      </c>
      <c r="AI5247">
        <v>92.374199449229494</v>
      </c>
      <c r="AJ5247">
        <v>66.973976261888097</v>
      </c>
      <c r="AK5247">
        <v>27.9350713320555</v>
      </c>
      <c r="AL5247">
        <v>82.045295081394102</v>
      </c>
      <c r="AM5247">
        <v>73.903899774415095</v>
      </c>
      <c r="AN5247">
        <v>0.99999997970364396</v>
      </c>
    </row>
    <row r="5248" spans="1:40" x14ac:dyDescent="0.25">
      <c r="A5248" t="str">
        <f>"20190312164611166"</f>
        <v>20190312164611166</v>
      </c>
      <c r="B5248" t="str">
        <f>"1552380371156884"</f>
        <v>1552380371156884</v>
      </c>
      <c r="C5248" t="s">
        <v>40</v>
      </c>
      <c r="D5248">
        <v>5.1715400000000002</v>
      </c>
      <c r="E5248">
        <v>0.55434189999999905</v>
      </c>
      <c r="F5248" t="s">
        <v>43</v>
      </c>
      <c r="G5248">
        <v>-303.584</v>
      </c>
      <c r="H5248">
        <v>-0.05</v>
      </c>
      <c r="I5248">
        <v>5.5231019999999997</v>
      </c>
      <c r="J5248">
        <v>-329.42169999999999</v>
      </c>
      <c r="K5248">
        <v>1.107178</v>
      </c>
      <c r="L5248">
        <v>17.25864</v>
      </c>
      <c r="M5248">
        <v>0.9996543</v>
      </c>
      <c r="N5248">
        <v>0</v>
      </c>
      <c r="O5248">
        <v>-2.2533500000000001E-2</v>
      </c>
      <c r="P5248">
        <v>0.94590160000000001</v>
      </c>
      <c r="Q5248">
        <v>0.12694649999999999</v>
      </c>
      <c r="R5248">
        <v>-0.29858859999999998</v>
      </c>
      <c r="S5248">
        <v>2.7916259999999999</v>
      </c>
      <c r="T5248">
        <v>-0.124345899999999</v>
      </c>
      <c r="U5248">
        <v>-1.261444</v>
      </c>
      <c r="V5248">
        <v>0.27778950000000002</v>
      </c>
      <c r="W5248">
        <v>0.1386627</v>
      </c>
      <c r="X5248">
        <v>0.95058169999999997</v>
      </c>
      <c r="Y5248">
        <v>0.39083580000000001</v>
      </c>
      <c r="Z5248">
        <v>-7.3412209999999898E-3</v>
      </c>
      <c r="AA5248">
        <v>0.92043109999999995</v>
      </c>
      <c r="AB5248">
        <v>29</v>
      </c>
      <c r="AC5248">
        <v>25.837699999999899</v>
      </c>
      <c r="AD5248">
        <v>-1.157178</v>
      </c>
      <c r="AE5248">
        <v>-11.735538</v>
      </c>
      <c r="AF5248">
        <v>11.131780603556701</v>
      </c>
      <c r="AG5248">
        <v>-1.157178</v>
      </c>
      <c r="AH5248">
        <v>26.0522858333008</v>
      </c>
      <c r="AI5248">
        <v>92.338953377001303</v>
      </c>
      <c r="AJ5248">
        <v>66.863652981671194</v>
      </c>
      <c r="AK5248">
        <v>28.3544916630402</v>
      </c>
      <c r="AL5248">
        <v>82.029529823771696</v>
      </c>
      <c r="AM5248">
        <v>73.709997585909903</v>
      </c>
      <c r="AN5248">
        <v>0.99999995952821397</v>
      </c>
    </row>
    <row r="5249" spans="1:40" x14ac:dyDescent="0.25">
      <c r="A5249" t="str">
        <f>"20190312164611179"</f>
        <v>20190312164611179</v>
      </c>
      <c r="B5249" t="str">
        <f>"1552380371166643"</f>
        <v>1552380371166643</v>
      </c>
      <c r="C5249" t="s">
        <v>40</v>
      </c>
      <c r="D5249">
        <v>5.0163599999999997</v>
      </c>
      <c r="E5249">
        <v>0.55391040000000002</v>
      </c>
      <c r="F5249" t="s">
        <v>43</v>
      </c>
      <c r="G5249">
        <v>-304.33370000000002</v>
      </c>
      <c r="H5249">
        <v>-0.05</v>
      </c>
      <c r="I5249">
        <v>5.835693</v>
      </c>
      <c r="J5249">
        <v>-329.27839999999998</v>
      </c>
      <c r="K5249">
        <v>1.1071310000000001</v>
      </c>
      <c r="L5249">
        <v>17.254149999999999</v>
      </c>
      <c r="M5249">
        <v>0.99962620000000002</v>
      </c>
      <c r="N5249">
        <v>0</v>
      </c>
      <c r="O5249">
        <v>-2.3746639999999999E-2</v>
      </c>
      <c r="P5249">
        <v>0.94443980000000005</v>
      </c>
      <c r="Q5249">
        <v>0.12714800000000001</v>
      </c>
      <c r="R5249">
        <v>-0.30309560000000002</v>
      </c>
      <c r="S5249">
        <v>2.788116</v>
      </c>
      <c r="T5249">
        <v>-0.1286013</v>
      </c>
      <c r="U5249">
        <v>-1.2694700000000001</v>
      </c>
      <c r="V5249">
        <v>0.28119110000000003</v>
      </c>
      <c r="W5249">
        <v>0.13880329999999999</v>
      </c>
      <c r="X5249">
        <v>0.94956050000000003</v>
      </c>
      <c r="Y5249">
        <v>0.39232860000000003</v>
      </c>
      <c r="Z5249">
        <v>-7.5762640000000001E-3</v>
      </c>
      <c r="AA5249">
        <v>0.919794</v>
      </c>
      <c r="AB5249">
        <v>29</v>
      </c>
      <c r="AC5249">
        <v>24.944699999999902</v>
      </c>
      <c r="AD5249">
        <v>-1.1571309999999999</v>
      </c>
      <c r="AE5249">
        <v>-11.418457</v>
      </c>
      <c r="AF5249">
        <v>10.803609089023601</v>
      </c>
      <c r="AG5249">
        <v>-1.1571309999999999</v>
      </c>
      <c r="AH5249">
        <v>25.1640710935479</v>
      </c>
      <c r="AI5249">
        <v>92.4195310221547</v>
      </c>
      <c r="AJ5249">
        <v>66.764857670421407</v>
      </c>
      <c r="AK5249">
        <v>27.409622315908098</v>
      </c>
      <c r="AL5249">
        <v>82.021395435144598</v>
      </c>
      <c r="AM5249">
        <v>73.504522982043397</v>
      </c>
      <c r="AN5249">
        <v>0.99999996698517402</v>
      </c>
    </row>
    <row r="5250" spans="1:40" x14ac:dyDescent="0.25">
      <c r="A5250" t="str">
        <f>"20190312164611191"</f>
        <v>20190312164611191</v>
      </c>
      <c r="B5250" t="str">
        <f>"1552380371187140"</f>
        <v>1552380371187140</v>
      </c>
      <c r="C5250" t="s">
        <v>40</v>
      </c>
      <c r="D5250">
        <v>5.0143570000000004</v>
      </c>
      <c r="E5250">
        <v>0.55390790000000001</v>
      </c>
      <c r="F5250" t="s">
        <v>43</v>
      </c>
      <c r="G5250">
        <v>-304.91000000000003</v>
      </c>
      <c r="H5250">
        <v>-0.05</v>
      </c>
      <c r="I5250">
        <v>6.0607449999999998</v>
      </c>
      <c r="J5250">
        <v>-329.12950000000001</v>
      </c>
      <c r="K5250">
        <v>1.1070819999999999</v>
      </c>
      <c r="L5250">
        <v>17.249389999999998</v>
      </c>
      <c r="M5250">
        <v>0.99959509999999996</v>
      </c>
      <c r="N5250">
        <v>0</v>
      </c>
      <c r="O5250">
        <v>-2.5020130000000002E-2</v>
      </c>
      <c r="P5250">
        <v>0.9429727</v>
      </c>
      <c r="Q5250">
        <v>0.12703139999999999</v>
      </c>
      <c r="R5250">
        <v>-0.30767889999999998</v>
      </c>
      <c r="S5250">
        <v>2.7838750000000001</v>
      </c>
      <c r="T5250">
        <v>-0.132191899999999</v>
      </c>
      <c r="U5250">
        <v>-1.278748</v>
      </c>
      <c r="V5250">
        <v>0.28461350000000002</v>
      </c>
      <c r="W5250">
        <v>0.13862529999999901</v>
      </c>
      <c r="X5250">
        <v>0.94856640000000003</v>
      </c>
      <c r="Y5250">
        <v>0.39419969999999999</v>
      </c>
      <c r="Z5250">
        <v>-7.7781409999999997E-3</v>
      </c>
      <c r="AA5250">
        <v>0.91899189999999997</v>
      </c>
      <c r="AB5250">
        <v>29</v>
      </c>
      <c r="AC5250">
        <v>24.219499999999901</v>
      </c>
      <c r="AD5250">
        <v>-1.1570819999999999</v>
      </c>
      <c r="AE5250">
        <v>-11.1886449999999</v>
      </c>
      <c r="AF5250">
        <v>10.5592491006619</v>
      </c>
      <c r="AG5250">
        <v>-1.1570819999999999</v>
      </c>
      <c r="AH5250">
        <v>24.445900970657199</v>
      </c>
      <c r="AI5250">
        <v>92.488055015516494</v>
      </c>
      <c r="AJ5250">
        <v>66.638381542515503</v>
      </c>
      <c r="AK5250">
        <v>26.654055124722198</v>
      </c>
      <c r="AL5250">
        <v>82.031694041471496</v>
      </c>
      <c r="AM5250">
        <v>73.298340804951195</v>
      </c>
      <c r="AN5250">
        <v>1.00000001669564</v>
      </c>
    </row>
    <row r="5251" spans="1:40" x14ac:dyDescent="0.25">
      <c r="A5251" t="str">
        <f>"20190312164611201"</f>
        <v>20190312164611201</v>
      </c>
      <c r="B5251" t="str">
        <f>"1552380371196900"</f>
        <v>1552380371196900</v>
      </c>
      <c r="C5251" t="s">
        <v>40</v>
      </c>
      <c r="D5251">
        <v>5.0849250000000001</v>
      </c>
      <c r="E5251">
        <v>0.55415590000000003</v>
      </c>
      <c r="F5251" t="s">
        <v>43</v>
      </c>
      <c r="G5251">
        <v>-303.65339999999998</v>
      </c>
      <c r="H5251">
        <v>-0.05</v>
      </c>
      <c r="I5251">
        <v>5.3913729999999997</v>
      </c>
      <c r="J5251">
        <v>-328.97840000000002</v>
      </c>
      <c r="K5251">
        <v>1.1070359999999999</v>
      </c>
      <c r="L5251">
        <v>17.244229999999899</v>
      </c>
      <c r="M5251">
        <v>0.99956069999999997</v>
      </c>
      <c r="N5251">
        <v>0</v>
      </c>
      <c r="O5251">
        <v>-2.6359299999999999E-2</v>
      </c>
      <c r="P5251">
        <v>0.9413781</v>
      </c>
      <c r="Q5251">
        <v>0.12744749999999999</v>
      </c>
      <c r="R5251">
        <v>-0.31235359999999901</v>
      </c>
      <c r="S5251">
        <v>2.7767330000000001</v>
      </c>
      <c r="T5251">
        <v>-0.12611459999999999</v>
      </c>
      <c r="U5251">
        <v>-1.2924500000000001</v>
      </c>
      <c r="V5251">
        <v>0.28807339999999998</v>
      </c>
      <c r="W5251">
        <v>0.13897760000000001</v>
      </c>
      <c r="X5251">
        <v>0.94746980000000003</v>
      </c>
      <c r="Y5251">
        <v>0.3976248</v>
      </c>
      <c r="Z5251">
        <v>-7.4471869999999897E-3</v>
      </c>
      <c r="AA5251">
        <v>0.9175179</v>
      </c>
      <c r="AB5251">
        <v>29</v>
      </c>
      <c r="AC5251">
        <v>25.324999999999999</v>
      </c>
      <c r="AD5251">
        <v>-1.157036</v>
      </c>
      <c r="AE5251">
        <v>-11.852856999999901</v>
      </c>
      <c r="AF5251">
        <v>11.1620148111351</v>
      </c>
      <c r="AG5251">
        <v>-1.157036</v>
      </c>
      <c r="AH5251">
        <v>25.584852275529599</v>
      </c>
      <c r="AI5251">
        <v>92.373577360873796</v>
      </c>
      <c r="AJ5251">
        <v>66.429591352943405</v>
      </c>
      <c r="AK5251">
        <v>27.9376801633559</v>
      </c>
      <c r="AL5251">
        <v>82.011311623049806</v>
      </c>
      <c r="AM5251">
        <v>73.088371091732796</v>
      </c>
      <c r="AN5251">
        <v>1.0000000395006701</v>
      </c>
    </row>
    <row r="5252" spans="1:40" x14ac:dyDescent="0.25">
      <c r="A5252" t="str">
        <f>"20190312164611214"</f>
        <v>20190312164611214</v>
      </c>
      <c r="B5252" t="str">
        <f>"1552380371206661"</f>
        <v>1552380371206661</v>
      </c>
      <c r="C5252" t="s">
        <v>40</v>
      </c>
      <c r="D5252">
        <v>4.8212449999999896</v>
      </c>
      <c r="E5252">
        <v>0.55383359999999904</v>
      </c>
      <c r="F5252" t="s">
        <v>43</v>
      </c>
      <c r="G5252">
        <v>-304.40339999999998</v>
      </c>
      <c r="H5252">
        <v>-0.05</v>
      </c>
      <c r="I5252">
        <v>5.6492459999999998</v>
      </c>
      <c r="J5252">
        <v>-328.82409999999999</v>
      </c>
      <c r="K5252">
        <v>1.1069880000000001</v>
      </c>
      <c r="L5252">
        <v>17.238769999999999</v>
      </c>
      <c r="M5252">
        <v>0.99952289999999999</v>
      </c>
      <c r="N5252">
        <v>0</v>
      </c>
      <c r="O5252">
        <v>-2.77489E-2</v>
      </c>
      <c r="P5252">
        <v>0.93976289999999996</v>
      </c>
      <c r="Q5252">
        <v>0.12772439999999999</v>
      </c>
      <c r="R5252">
        <v>-0.31706810000000002</v>
      </c>
      <c r="S5252">
        <v>2.770721</v>
      </c>
      <c r="T5252">
        <v>-0.1304505</v>
      </c>
      <c r="U5252">
        <v>-1.3072809999999999</v>
      </c>
      <c r="V5252">
        <v>0.29152889999999998</v>
      </c>
      <c r="W5252">
        <v>0.13919010000000001</v>
      </c>
      <c r="X5252">
        <v>0.94638100000000003</v>
      </c>
      <c r="Y5252">
        <v>0.4011092</v>
      </c>
      <c r="Z5252">
        <v>-7.7257790000000003E-3</v>
      </c>
      <c r="AA5252">
        <v>0.91599770000000003</v>
      </c>
      <c r="AB5252">
        <v>29</v>
      </c>
      <c r="AC5252">
        <v>24.4207</v>
      </c>
      <c r="AD5252">
        <v>-1.1569879999999999</v>
      </c>
      <c r="AE5252">
        <v>-11.589524000000001</v>
      </c>
      <c r="AF5252">
        <v>10.8874046927163</v>
      </c>
      <c r="AG5252">
        <v>-1.1569879999999999</v>
      </c>
      <c r="AH5252">
        <v>24.687692698381699</v>
      </c>
      <c r="AI5252">
        <v>92.455356357274198</v>
      </c>
      <c r="AJ5252">
        <v>66.202263827920106</v>
      </c>
      <c r="AK5252">
        <v>27.006598692631702</v>
      </c>
      <c r="AL5252">
        <v>81.9990163757966</v>
      </c>
      <c r="AM5252">
        <v>72.878759429111099</v>
      </c>
      <c r="AN5252">
        <v>0.99999999031710995</v>
      </c>
    </row>
    <row r="5253" spans="1:40" x14ac:dyDescent="0.25">
      <c r="A5253" t="str">
        <f>"20190312164611226"</f>
        <v>20190312164611226</v>
      </c>
      <c r="B5253" t="str">
        <f>"1552380371216420"</f>
        <v>1552380371216420</v>
      </c>
      <c r="C5253" t="s">
        <v>40</v>
      </c>
      <c r="D5253">
        <v>5.5195030000000003</v>
      </c>
      <c r="E5253">
        <v>0.55348339999999996</v>
      </c>
      <c r="F5253" t="s">
        <v>43</v>
      </c>
      <c r="G5253">
        <v>-303.20699999999999</v>
      </c>
      <c r="H5253">
        <v>-0.05</v>
      </c>
      <c r="I5253">
        <v>5.0166779999999997</v>
      </c>
      <c r="J5253">
        <v>-328.66930000000002</v>
      </c>
      <c r="K5253">
        <v>1.1069420000000001</v>
      </c>
      <c r="L5253">
        <v>17.233029999999999</v>
      </c>
      <c r="M5253">
        <v>0.99948250000000005</v>
      </c>
      <c r="N5253">
        <v>0</v>
      </c>
      <c r="O5253">
        <v>-2.9171249999999999E-2</v>
      </c>
      <c r="P5253">
        <v>0.93804679999999996</v>
      </c>
      <c r="Q5253">
        <v>0.12819410000000001</v>
      </c>
      <c r="R5253">
        <v>-0.32192359999999998</v>
      </c>
      <c r="S5253">
        <v>2.7642519999999999</v>
      </c>
      <c r="T5253">
        <v>-0.12484679999999999</v>
      </c>
      <c r="U5253">
        <v>-1.318848</v>
      </c>
      <c r="V5253">
        <v>0.295101</v>
      </c>
      <c r="W5253">
        <v>0.13959379999999999</v>
      </c>
      <c r="X5253">
        <v>0.94521370000000005</v>
      </c>
      <c r="Y5253">
        <v>0.4037849</v>
      </c>
      <c r="Z5253">
        <v>-7.4001409999999998E-3</v>
      </c>
      <c r="AA5253">
        <v>0.91482399999999997</v>
      </c>
      <c r="AB5253">
        <v>29</v>
      </c>
      <c r="AC5253">
        <v>25.462299999999999</v>
      </c>
      <c r="AD5253">
        <v>-1.1569419999999999</v>
      </c>
      <c r="AE5253">
        <v>-12.216352000000001</v>
      </c>
      <c r="AF5253">
        <v>11.4491023324192</v>
      </c>
      <c r="AG5253">
        <v>-1.1569419999999999</v>
      </c>
      <c r="AH5253">
        <v>25.764621629235599</v>
      </c>
      <c r="AI5253">
        <v>92.349822283405999</v>
      </c>
      <c r="AJ5253">
        <v>66.040929137994098</v>
      </c>
      <c r="AK5253">
        <v>28.217657356826201</v>
      </c>
      <c r="AL5253">
        <v>81.975657976802196</v>
      </c>
      <c r="AM5253">
        <v>72.661344399050193</v>
      </c>
      <c r="AN5253">
        <v>0.99999998393356404</v>
      </c>
    </row>
    <row r="5254" spans="1:40" x14ac:dyDescent="0.25">
      <c r="A5254" t="str">
        <f>"20190312164611236"</f>
        <v>20190312164611236</v>
      </c>
      <c r="B5254" t="str">
        <f>"1552380371227156"</f>
        <v>1552380371227156</v>
      </c>
      <c r="C5254" t="s">
        <v>40</v>
      </c>
      <c r="D5254">
        <v>5.3789939999999996</v>
      </c>
      <c r="E5254">
        <v>0.55301579999999995</v>
      </c>
      <c r="F5254" t="s">
        <v>43</v>
      </c>
      <c r="G5254">
        <v>-302.0727</v>
      </c>
      <c r="H5254">
        <v>-0.05</v>
      </c>
      <c r="I5254">
        <v>4.4037169999999897</v>
      </c>
      <c r="J5254">
        <v>-328.53530000000001</v>
      </c>
      <c r="K5254">
        <v>1.106905</v>
      </c>
      <c r="L5254">
        <v>17.22784</v>
      </c>
      <c r="M5254">
        <v>0.99944480000000002</v>
      </c>
      <c r="N5254">
        <v>0</v>
      </c>
      <c r="O5254">
        <v>-3.0435029999999998E-2</v>
      </c>
      <c r="P5254">
        <v>0.93626450000000006</v>
      </c>
      <c r="Q5254">
        <v>0.12871459999999901</v>
      </c>
      <c r="R5254">
        <v>-0.3268662</v>
      </c>
      <c r="S5254">
        <v>2.757965</v>
      </c>
      <c r="T5254">
        <v>-0.1199706</v>
      </c>
      <c r="U5254">
        <v>-1.3303529999999999</v>
      </c>
      <c r="V5254">
        <v>0.29891430000000002</v>
      </c>
      <c r="W5254">
        <v>0.14005039999999999</v>
      </c>
      <c r="X5254">
        <v>0.94394710000000004</v>
      </c>
      <c r="Y5254">
        <v>0.40655940000000002</v>
      </c>
      <c r="Z5254">
        <v>-7.1251639999999998E-3</v>
      </c>
      <c r="AA5254">
        <v>0.91359659999999998</v>
      </c>
      <c r="AB5254">
        <v>29</v>
      </c>
      <c r="AC5254">
        <v>26.462599999999998</v>
      </c>
      <c r="AD5254">
        <v>-1.1569049999999901</v>
      </c>
      <c r="AE5254">
        <v>-12.824123</v>
      </c>
      <c r="AF5254">
        <v>11.9941524380214</v>
      </c>
      <c r="AG5254">
        <v>-1.1569049999999901</v>
      </c>
      <c r="AH5254">
        <v>26.7991973852779</v>
      </c>
      <c r="AI5254">
        <v>92.256460890430802</v>
      </c>
      <c r="AJ5254">
        <v>65.888791592357506</v>
      </c>
      <c r="AK5254">
        <v>29.383585594351999</v>
      </c>
      <c r="AL5254">
        <v>81.949237316035195</v>
      </c>
      <c r="AM5254">
        <v>72.428867092518601</v>
      </c>
      <c r="AN5254">
        <v>1.0000000004415299</v>
      </c>
    </row>
    <row r="5255" spans="1:40" x14ac:dyDescent="0.25">
      <c r="A5255" t="str">
        <f>"20190312164611248"</f>
        <v>20190312164611248</v>
      </c>
      <c r="B5255" t="str">
        <f>"1552380371236915"</f>
        <v>1552380371236915</v>
      </c>
      <c r="C5255" t="s">
        <v>40</v>
      </c>
      <c r="D5255">
        <v>4.9228310000000004</v>
      </c>
      <c r="E5255">
        <v>0.55266059999999995</v>
      </c>
      <c r="F5255" t="s">
        <v>43</v>
      </c>
      <c r="G5255">
        <v>-301.57350000000002</v>
      </c>
      <c r="H5255">
        <v>-0.05</v>
      </c>
      <c r="I5255">
        <v>4.0944820000000002</v>
      </c>
      <c r="J5255">
        <v>-328.3759</v>
      </c>
      <c r="K5255">
        <v>1.1068610000000001</v>
      </c>
      <c r="L5255">
        <v>17.221499999999999</v>
      </c>
      <c r="M5255">
        <v>0.99939739999999999</v>
      </c>
      <c r="N5255">
        <v>0</v>
      </c>
      <c r="O5255">
        <v>-3.1952290000000001E-2</v>
      </c>
      <c r="P5255">
        <v>0.93446370000000001</v>
      </c>
      <c r="Q5255">
        <v>0.1288879</v>
      </c>
      <c r="R5255">
        <v>-0.3319125</v>
      </c>
      <c r="S5255">
        <v>2.7523499999999999</v>
      </c>
      <c r="T5255">
        <v>-0.11810080000000001</v>
      </c>
      <c r="U5255">
        <v>-1.3406979999999999</v>
      </c>
      <c r="V5255">
        <v>0.30259619999999998</v>
      </c>
      <c r="W5255">
        <v>0.14015569999999999</v>
      </c>
      <c r="X5255">
        <v>0.94275770000000003</v>
      </c>
      <c r="Y5255">
        <v>0.4086883</v>
      </c>
      <c r="Z5255">
        <v>-7.0034930000000004E-3</v>
      </c>
      <c r="AA5255">
        <v>0.91264719999999999</v>
      </c>
      <c r="AB5255">
        <v>29</v>
      </c>
      <c r="AC5255">
        <v>26.802399999999899</v>
      </c>
      <c r="AD5255">
        <v>-1.1568609999999999</v>
      </c>
      <c r="AE5255">
        <v>-13.127018</v>
      </c>
      <c r="AF5255">
        <v>12.2454375105035</v>
      </c>
      <c r="AG5255">
        <v>-1.1568609999999999</v>
      </c>
      <c r="AH5255">
        <v>27.167367806313202</v>
      </c>
      <c r="AI5255">
        <v>92.223183113899907</v>
      </c>
      <c r="AJ5255">
        <v>65.736973699923894</v>
      </c>
      <c r="AK5255">
        <v>29.8220546026003</v>
      </c>
      <c r="AL5255">
        <v>81.943144622304501</v>
      </c>
      <c r="AM5255">
        <v>72.204968830071806</v>
      </c>
      <c r="AN5255">
        <v>1.0000000807031</v>
      </c>
    </row>
    <row r="5256" spans="1:40" x14ac:dyDescent="0.25">
      <c r="A5256" t="str">
        <f>"20190312164611258"</f>
        <v>20190312164611258</v>
      </c>
      <c r="B5256" t="str">
        <f>"1552380371246676"</f>
        <v>1552380371246676</v>
      </c>
      <c r="C5256" t="s">
        <v>40</v>
      </c>
      <c r="D5256">
        <v>4.9529529999999999</v>
      </c>
      <c r="E5256">
        <v>0.55208239999999997</v>
      </c>
      <c r="F5256" t="s">
        <v>43</v>
      </c>
      <c r="G5256">
        <v>-300.98430000000002</v>
      </c>
      <c r="H5256">
        <v>-0.05</v>
      </c>
      <c r="I5256">
        <v>3.7308500000000002</v>
      </c>
      <c r="J5256">
        <v>-328.25409999999999</v>
      </c>
      <c r="K5256">
        <v>1.106822</v>
      </c>
      <c r="L5256">
        <v>17.216339999999999</v>
      </c>
      <c r="M5256">
        <v>0.99935830000000003</v>
      </c>
      <c r="N5256">
        <v>0</v>
      </c>
      <c r="O5256">
        <v>-3.315593E-2</v>
      </c>
      <c r="P5256">
        <v>0.93270220000000004</v>
      </c>
      <c r="Q5256">
        <v>0.1295907</v>
      </c>
      <c r="R5256">
        <v>-0.3365609</v>
      </c>
      <c r="S5256">
        <v>2.7460330000000002</v>
      </c>
      <c r="T5256">
        <v>-0.1159761</v>
      </c>
      <c r="U5256">
        <v>-1.3524480000000001</v>
      </c>
      <c r="V5256">
        <v>0.30617879999999997</v>
      </c>
      <c r="W5256">
        <v>0.140796799999999</v>
      </c>
      <c r="X5256">
        <v>0.94150449999999997</v>
      </c>
      <c r="Y5256">
        <v>0.41156949999999998</v>
      </c>
      <c r="Z5256">
        <v>-6.8953499999999997E-3</v>
      </c>
      <c r="AA5256">
        <v>0.9113523</v>
      </c>
      <c r="AB5256">
        <v>29</v>
      </c>
      <c r="AC5256">
        <v>27.269799999999901</v>
      </c>
      <c r="AD5256">
        <v>-1.156822</v>
      </c>
      <c r="AE5256">
        <v>-13.48549</v>
      </c>
      <c r="AF5256">
        <v>12.5556805491633</v>
      </c>
      <c r="AG5256">
        <v>-1.156822</v>
      </c>
      <c r="AH5256">
        <v>27.661970974440099</v>
      </c>
      <c r="AI5256">
        <v>92.180813764225704</v>
      </c>
      <c r="AJ5256">
        <v>65.586853254743005</v>
      </c>
      <c r="AK5256">
        <v>30.400131404043101</v>
      </c>
      <c r="AL5256">
        <v>81.906043432964694</v>
      </c>
      <c r="AM5256">
        <v>71.9853900216862</v>
      </c>
      <c r="AN5256">
        <v>0.99999995998996405</v>
      </c>
    </row>
    <row r="5257" spans="1:40" x14ac:dyDescent="0.25">
      <c r="A5257" t="str">
        <f>"20190312164611267"</f>
        <v>20190312164611267</v>
      </c>
      <c r="B5257" t="str">
        <f>"1552380371256436"</f>
        <v>1552380371256436</v>
      </c>
      <c r="C5257" t="s">
        <v>40</v>
      </c>
      <c r="D5257">
        <v>5.2506599999999999</v>
      </c>
      <c r="E5257">
        <v>0.55158809999999903</v>
      </c>
      <c r="F5257" t="s">
        <v>43</v>
      </c>
      <c r="G5257">
        <v>-300.2629</v>
      </c>
      <c r="H5257">
        <v>-0.05</v>
      </c>
      <c r="I5257">
        <v>3.317383</v>
      </c>
      <c r="J5257">
        <v>-328.12990000000002</v>
      </c>
      <c r="K5257">
        <v>1.106784</v>
      </c>
      <c r="L5257">
        <v>17.21106</v>
      </c>
      <c r="M5257">
        <v>0.99931680000000001</v>
      </c>
      <c r="N5257">
        <v>0</v>
      </c>
      <c r="O5257">
        <v>-3.4382950000000002E-2</v>
      </c>
      <c r="P5257">
        <v>0.93105640000000001</v>
      </c>
      <c r="Q5257">
        <v>0.12974059999999901</v>
      </c>
      <c r="R5257">
        <v>-0.34103040000000001</v>
      </c>
      <c r="S5257">
        <v>2.7410890000000001</v>
      </c>
      <c r="T5257">
        <v>-0.1132841</v>
      </c>
      <c r="U5257">
        <v>-1.361084</v>
      </c>
      <c r="V5257">
        <v>0.30955729999999998</v>
      </c>
      <c r="W5257">
        <v>0.1408865</v>
      </c>
      <c r="X5257">
        <v>0.94038569999999999</v>
      </c>
      <c r="Y5257">
        <v>0.41341919999999999</v>
      </c>
      <c r="Z5257">
        <v>-6.7302799999999999E-3</v>
      </c>
      <c r="AA5257">
        <v>0.91051599999999999</v>
      </c>
      <c r="AB5257">
        <v>29</v>
      </c>
      <c r="AC5257">
        <v>27.867000000000001</v>
      </c>
      <c r="AD5257">
        <v>-1.156784</v>
      </c>
      <c r="AE5257">
        <v>-13.893676999999901</v>
      </c>
      <c r="AF5257">
        <v>12.909406633175299</v>
      </c>
      <c r="AG5257">
        <v>-1.156784</v>
      </c>
      <c r="AH5257">
        <v>28.289227661271799</v>
      </c>
      <c r="AI5257">
        <v>92.130475047579395</v>
      </c>
      <c r="AJ5257">
        <v>65.471055933144697</v>
      </c>
      <c r="AK5257">
        <v>31.1170585132109</v>
      </c>
      <c r="AL5257">
        <v>81.900852552564004</v>
      </c>
      <c r="AM5257">
        <v>71.779426582955494</v>
      </c>
      <c r="AN5257">
        <v>0.99999999631501402</v>
      </c>
    </row>
    <row r="5258" spans="1:40" x14ac:dyDescent="0.25">
      <c r="A5258" t="str">
        <f>"20190312164611279"</f>
        <v>20190312164611279</v>
      </c>
      <c r="B5258" t="str">
        <f>"1552380371276931"</f>
        <v>1552380371276931</v>
      </c>
      <c r="C5258" t="s">
        <v>40</v>
      </c>
      <c r="D5258">
        <v>5.247395</v>
      </c>
      <c r="E5258">
        <v>0.55078899999999997</v>
      </c>
      <c r="F5258" t="s">
        <v>43</v>
      </c>
      <c r="G5258">
        <v>-299.35599999999999</v>
      </c>
      <c r="H5258">
        <v>-0.05</v>
      </c>
      <c r="I5258">
        <v>2.7955169999999998</v>
      </c>
      <c r="J5258">
        <v>-327.97609999999997</v>
      </c>
      <c r="K5258">
        <v>1.1067400000000001</v>
      </c>
      <c r="L5258">
        <v>17.2041</v>
      </c>
      <c r="M5258">
        <v>0.99926159999999997</v>
      </c>
      <c r="N5258">
        <v>0</v>
      </c>
      <c r="O5258">
        <v>-3.5951570000000002E-2</v>
      </c>
      <c r="P5258">
        <v>0.92931379999999997</v>
      </c>
      <c r="Q5258">
        <v>0.13005159999999999</v>
      </c>
      <c r="R5258">
        <v>-0.34563369999999999</v>
      </c>
      <c r="S5258">
        <v>2.735535</v>
      </c>
      <c r="T5258">
        <v>-0.1099753</v>
      </c>
      <c r="U5258">
        <v>-1.3704829999999999</v>
      </c>
      <c r="V5258">
        <v>0.31275839999999999</v>
      </c>
      <c r="W5258">
        <v>0.14113290000000001</v>
      </c>
      <c r="X5258">
        <v>0.93928889999999998</v>
      </c>
      <c r="Y5258">
        <v>0.4152439</v>
      </c>
      <c r="Z5258">
        <v>-6.5163620000000004E-3</v>
      </c>
      <c r="AA5258">
        <v>0.90968669999999996</v>
      </c>
      <c r="AB5258">
        <v>29</v>
      </c>
      <c r="AC5258">
        <v>28.620099999999901</v>
      </c>
      <c r="AD5258">
        <v>-1.1567399999999901</v>
      </c>
      <c r="AE5258">
        <v>-14.408582999999901</v>
      </c>
      <c r="AF5258">
        <v>13.3528327564243</v>
      </c>
      <c r="AG5258">
        <v>-1.1567399999999901</v>
      </c>
      <c r="AH5258">
        <v>29.081753263363101</v>
      </c>
      <c r="AI5258">
        <v>92.070186620100799</v>
      </c>
      <c r="AJ5258">
        <v>65.337866970482906</v>
      </c>
      <c r="AK5258">
        <v>32.021626487731197</v>
      </c>
      <c r="AL5258">
        <v>81.886592213365006</v>
      </c>
      <c r="AM5258">
        <v>71.583603615586995</v>
      </c>
      <c r="AN5258">
        <v>0.99999997494808901</v>
      </c>
    </row>
    <row r="5259" spans="1:40" x14ac:dyDescent="0.25">
      <c r="A5259" t="str">
        <f>"20190312164611291"</f>
        <v>20190312164611291</v>
      </c>
      <c r="B5259" t="str">
        <f>"1552380371286692"</f>
        <v>1552380371286692</v>
      </c>
      <c r="C5259" t="s">
        <v>40</v>
      </c>
      <c r="D5259">
        <v>5.5327469999999996</v>
      </c>
      <c r="E5259">
        <v>0.55038759999999998</v>
      </c>
      <c r="F5259" t="s">
        <v>43</v>
      </c>
      <c r="G5259">
        <v>-298.49880000000002</v>
      </c>
      <c r="H5259">
        <v>-0.05</v>
      </c>
      <c r="I5259">
        <v>2.3272710000000001</v>
      </c>
      <c r="J5259">
        <v>-327.8365</v>
      </c>
      <c r="K5259">
        <v>1.106698</v>
      </c>
      <c r="L5259">
        <v>17.197659999999999</v>
      </c>
      <c r="M5259">
        <v>0.99920869999999995</v>
      </c>
      <c r="N5259">
        <v>0</v>
      </c>
      <c r="O5259">
        <v>-3.7389829999999999E-2</v>
      </c>
      <c r="P5259">
        <v>0.92753419999999998</v>
      </c>
      <c r="Q5259">
        <v>0.13013050000000001</v>
      </c>
      <c r="R5259">
        <v>-0.35035229999999901</v>
      </c>
      <c r="S5259">
        <v>2.7306210000000002</v>
      </c>
      <c r="T5259">
        <v>-0.10715429999999999</v>
      </c>
      <c r="U5259">
        <v>-1.3781129999999999</v>
      </c>
      <c r="V5259">
        <v>0.31619999999999998</v>
      </c>
      <c r="W5259">
        <v>0.14114660000000001</v>
      </c>
      <c r="X5259">
        <v>0.93813389999999997</v>
      </c>
      <c r="Y5259">
        <v>0.41662949999999999</v>
      </c>
      <c r="Z5259">
        <v>-6.3284400000000003E-3</v>
      </c>
      <c r="AA5259">
        <v>0.90905429999999998</v>
      </c>
      <c r="AB5259">
        <v>29</v>
      </c>
      <c r="AC5259">
        <v>29.337699999999899</v>
      </c>
      <c r="AD5259">
        <v>-1.156698</v>
      </c>
      <c r="AE5259">
        <v>-14.870388999999999</v>
      </c>
      <c r="AF5259">
        <v>13.745956232683501</v>
      </c>
      <c r="AG5259">
        <v>-1.156698</v>
      </c>
      <c r="AH5259">
        <v>29.836334442652699</v>
      </c>
      <c r="AI5259">
        <v>92.0166042680288</v>
      </c>
      <c r="AJ5259">
        <v>65.263910568843599</v>
      </c>
      <c r="AK5259">
        <v>32.870900748045798</v>
      </c>
      <c r="AL5259">
        <v>81.8857995982586</v>
      </c>
      <c r="AM5259">
        <v>71.373502976012205</v>
      </c>
      <c r="AN5259">
        <v>1.00000000851038</v>
      </c>
    </row>
    <row r="5260" spans="1:40" x14ac:dyDescent="0.25">
      <c r="A5260" t="str">
        <f>"20190312164611302"</f>
        <v>20190312164611302</v>
      </c>
      <c r="B5260" t="str">
        <f>"1552380371296452"</f>
        <v>1552380371296452</v>
      </c>
      <c r="C5260" t="s">
        <v>40</v>
      </c>
      <c r="D5260">
        <v>5.0999559999999997</v>
      </c>
      <c r="E5260">
        <v>0.54992289999999999</v>
      </c>
      <c r="F5260" t="s">
        <v>43</v>
      </c>
      <c r="G5260">
        <v>-298.17720000000003</v>
      </c>
      <c r="H5260">
        <v>-0.05</v>
      </c>
      <c r="I5260">
        <v>2.0781710000000002</v>
      </c>
      <c r="J5260">
        <v>-327.68540000000002</v>
      </c>
      <c r="K5260">
        <v>1.1066469999999999</v>
      </c>
      <c r="L5260">
        <v>17.190339999999999</v>
      </c>
      <c r="M5260">
        <v>0.99914720000000001</v>
      </c>
      <c r="N5260">
        <v>0</v>
      </c>
      <c r="O5260">
        <v>-3.899644E-2</v>
      </c>
      <c r="P5260">
        <v>0.92565330000000001</v>
      </c>
      <c r="Q5260">
        <v>0.13009109999999999</v>
      </c>
      <c r="R5260">
        <v>-0.35530600000000001</v>
      </c>
      <c r="S5260">
        <v>2.72464</v>
      </c>
      <c r="T5260">
        <v>-0.1062596</v>
      </c>
      <c r="U5260">
        <v>-1.3889469999999999</v>
      </c>
      <c r="V5260">
        <v>0.31972800000000001</v>
      </c>
      <c r="W5260">
        <v>0.1410352</v>
      </c>
      <c r="X5260">
        <v>0.93695410000000001</v>
      </c>
      <c r="Y5260">
        <v>0.41884579999999999</v>
      </c>
      <c r="Z5260">
        <v>-6.2646050000000003E-3</v>
      </c>
      <c r="AA5260">
        <v>0.90803579999999995</v>
      </c>
      <c r="AB5260">
        <v>29</v>
      </c>
      <c r="AC5260">
        <v>29.508199999999899</v>
      </c>
      <c r="AD5260">
        <v>-1.156647</v>
      </c>
      <c r="AE5260">
        <v>-15.112169</v>
      </c>
      <c r="AF5260">
        <v>13.932892049065</v>
      </c>
      <c r="AG5260">
        <v>-1.156647</v>
      </c>
      <c r="AH5260">
        <v>30.038562731889598</v>
      </c>
      <c r="AI5260">
        <v>92.000572731488802</v>
      </c>
      <c r="AJ5260">
        <v>65.116549537130993</v>
      </c>
      <c r="AK5260">
        <v>33.132741572818503</v>
      </c>
      <c r="AL5260">
        <v>81.892246393629094</v>
      </c>
      <c r="AM5260">
        <v>71.158208402931393</v>
      </c>
      <c r="AN5260">
        <v>0.99999995356492299</v>
      </c>
    </row>
    <row r="5261" spans="1:40" x14ac:dyDescent="0.25">
      <c r="A5261" t="str">
        <f>"20190312164611314"</f>
        <v>20190312164611314</v>
      </c>
      <c r="B5261" t="str">
        <f>"1552380371306212"</f>
        <v>1552380371306212</v>
      </c>
      <c r="C5261" t="s">
        <v>40</v>
      </c>
      <c r="D5261">
        <v>5.3196960000000004</v>
      </c>
      <c r="E5261">
        <v>0.54937069999999999</v>
      </c>
      <c r="F5261" t="s">
        <v>43</v>
      </c>
      <c r="G5261">
        <v>-297.99419999999998</v>
      </c>
      <c r="H5261">
        <v>-0.05</v>
      </c>
      <c r="I5261">
        <v>1.903748</v>
      </c>
      <c r="J5261">
        <v>-327.53320000000002</v>
      </c>
      <c r="K5261">
        <v>1.1065959999999999</v>
      </c>
      <c r="L5261">
        <v>17.182739999999999</v>
      </c>
      <c r="M5261">
        <v>0.99908160000000001</v>
      </c>
      <c r="N5261">
        <v>0</v>
      </c>
      <c r="O5261">
        <v>-4.0644939999999997E-2</v>
      </c>
      <c r="P5261">
        <v>0.92369380000000001</v>
      </c>
      <c r="Q5261">
        <v>0.13008539999999999</v>
      </c>
      <c r="R5261">
        <v>-0.36037150000000001</v>
      </c>
      <c r="S5261">
        <v>2.7185670000000002</v>
      </c>
      <c r="T5261">
        <v>-0.105904</v>
      </c>
      <c r="U5261">
        <v>-1.3996580000000001</v>
      </c>
      <c r="V5261">
        <v>0.32333669999999998</v>
      </c>
      <c r="W5261">
        <v>0.14095539999999901</v>
      </c>
      <c r="X5261">
        <v>0.93572699999999998</v>
      </c>
      <c r="Y5261">
        <v>0.4210005</v>
      </c>
      <c r="Z5261">
        <v>-6.2301910000000004E-3</v>
      </c>
      <c r="AA5261">
        <v>0.90703900000000004</v>
      </c>
      <c r="AB5261">
        <v>29</v>
      </c>
      <c r="AC5261">
        <v>29.539000000000001</v>
      </c>
      <c r="AD5261">
        <v>-1.156596</v>
      </c>
      <c r="AE5261">
        <v>-15.278992000000001</v>
      </c>
      <c r="AF5261">
        <v>14.048650671668</v>
      </c>
      <c r="AG5261">
        <v>-1.156596</v>
      </c>
      <c r="AH5261">
        <v>30.0992516407543</v>
      </c>
      <c r="AI5261">
        <v>91.994234709110003</v>
      </c>
      <c r="AJ5261">
        <v>64.979459442031001</v>
      </c>
      <c r="AK5261">
        <v>33.236534857521299</v>
      </c>
      <c r="AL5261">
        <v>81.896865376489203</v>
      </c>
      <c r="AM5261">
        <v>70.937615523534504</v>
      </c>
      <c r="AN5261">
        <v>1.00000003244252</v>
      </c>
    </row>
    <row r="5262" spans="1:40" x14ac:dyDescent="0.25">
      <c r="A5262" t="str">
        <f>"20190312164611324"</f>
        <v>20190312164611324</v>
      </c>
      <c r="B5262" t="str">
        <f>"1552380371316948"</f>
        <v>1552380371316948</v>
      </c>
      <c r="C5262" t="s">
        <v>40</v>
      </c>
      <c r="D5262">
        <v>5.0430460000000004</v>
      </c>
      <c r="E5262">
        <v>0.54895719999999903</v>
      </c>
      <c r="F5262" t="s">
        <v>43</v>
      </c>
      <c r="G5262">
        <v>-297.97160000000002</v>
      </c>
      <c r="H5262">
        <v>-0.05</v>
      </c>
      <c r="I5262">
        <v>1.8182529999999999</v>
      </c>
      <c r="J5262">
        <v>-327.39440000000002</v>
      </c>
      <c r="K5262">
        <v>1.106549</v>
      </c>
      <c r="L5262">
        <v>17.17557</v>
      </c>
      <c r="M5262">
        <v>0.99901799999999996</v>
      </c>
      <c r="N5262">
        <v>0</v>
      </c>
      <c r="O5262">
        <v>-4.2178569999999999E-2</v>
      </c>
      <c r="P5262">
        <v>0.92176539999999996</v>
      </c>
      <c r="Q5262">
        <v>0.13011410000000001</v>
      </c>
      <c r="R5262">
        <v>-0.36526629999999999</v>
      </c>
      <c r="S5262">
        <v>2.7127080000000001</v>
      </c>
      <c r="T5262">
        <v>-0.1061343</v>
      </c>
      <c r="U5262">
        <v>-1.4099120000000001</v>
      </c>
      <c r="V5262">
        <v>0.32688469999999997</v>
      </c>
      <c r="W5262">
        <v>0.1409115</v>
      </c>
      <c r="X5262">
        <v>0.9345</v>
      </c>
      <c r="Y5262">
        <v>0.42310599999999998</v>
      </c>
      <c r="Z5262">
        <v>-6.2332610000000004E-3</v>
      </c>
      <c r="AA5262">
        <v>0.90605880000000005</v>
      </c>
      <c r="AB5262">
        <v>29</v>
      </c>
      <c r="AC5262">
        <v>29.422799999999899</v>
      </c>
      <c r="AD5262">
        <v>-1.156549</v>
      </c>
      <c r="AE5262">
        <v>-15.357317</v>
      </c>
      <c r="AF5262">
        <v>14.0854181397274</v>
      </c>
      <c r="AG5262">
        <v>-1.156549</v>
      </c>
      <c r="AH5262">
        <v>30.007982184715001</v>
      </c>
      <c r="AI5262">
        <v>91.998185527203802</v>
      </c>
      <c r="AJ5262">
        <v>64.855153744963602</v>
      </c>
      <c r="AK5262">
        <v>33.169498105315597</v>
      </c>
      <c r="AL5262">
        <v>81.899405379098695</v>
      </c>
      <c r="AM5262">
        <v>70.720348753127197</v>
      </c>
      <c r="AN5262">
        <v>0.99999995396316799</v>
      </c>
    </row>
    <row r="5263" spans="1:40" x14ac:dyDescent="0.25">
      <c r="A5263" t="str">
        <f>"20190312164611336"</f>
        <v>20190312164611336</v>
      </c>
      <c r="B5263" t="str">
        <f>"1552380371326708"</f>
        <v>1552380371326708</v>
      </c>
      <c r="C5263" t="s">
        <v>40</v>
      </c>
      <c r="D5263">
        <v>5.2344460000000002</v>
      </c>
      <c r="E5263">
        <v>0.54850109999999996</v>
      </c>
      <c r="F5263" t="s">
        <v>43</v>
      </c>
      <c r="G5263">
        <v>-298.12270000000001</v>
      </c>
      <c r="H5263">
        <v>-0.05</v>
      </c>
      <c r="I5263">
        <v>1.814819</v>
      </c>
      <c r="J5263">
        <v>-327.25720000000001</v>
      </c>
      <c r="K5263">
        <v>1.1064929999999999</v>
      </c>
      <c r="L5263">
        <v>17.168150000000001</v>
      </c>
      <c r="M5263">
        <v>0.99895089999999997</v>
      </c>
      <c r="N5263">
        <v>0</v>
      </c>
      <c r="O5263">
        <v>-4.3734290000000002E-2</v>
      </c>
      <c r="P5263">
        <v>0.91978099999999996</v>
      </c>
      <c r="Q5263">
        <v>0.13003149999999999</v>
      </c>
      <c r="R5263">
        <v>-0.37026330000000002</v>
      </c>
      <c r="S5263">
        <v>2.7068789999999998</v>
      </c>
      <c r="T5263">
        <v>-0.1069508</v>
      </c>
      <c r="U5263">
        <v>-1.42047099999999</v>
      </c>
      <c r="V5263">
        <v>0.33052110000000001</v>
      </c>
      <c r="W5263">
        <v>0.1407543</v>
      </c>
      <c r="X5263">
        <v>0.93324379999999996</v>
      </c>
      <c r="Y5263">
        <v>0.42526330000000001</v>
      </c>
      <c r="Z5263">
        <v>-6.2705089999999996E-3</v>
      </c>
      <c r="AA5263">
        <v>0.90504799999999996</v>
      </c>
      <c r="AB5263">
        <v>29</v>
      </c>
      <c r="AC5263">
        <v>29.134499999999999</v>
      </c>
      <c r="AD5263">
        <v>-1.156493</v>
      </c>
      <c r="AE5263">
        <v>-15.353330999999899</v>
      </c>
      <c r="AF5263">
        <v>14.047021019089399</v>
      </c>
      <c r="AG5263">
        <v>-1.156493</v>
      </c>
      <c r="AH5263">
        <v>29.741470230651402</v>
      </c>
      <c r="AI5263">
        <v>92.013717099314704</v>
      </c>
      <c r="AJ5263">
        <v>64.718437775356506</v>
      </c>
      <c r="AK5263">
        <v>32.912175969548301</v>
      </c>
      <c r="AL5263">
        <v>81.908503163232893</v>
      </c>
      <c r="AM5263">
        <v>70.497701283072601</v>
      </c>
      <c r="AN5263">
        <v>0.99999998037606896</v>
      </c>
    </row>
    <row r="5264" spans="1:40" x14ac:dyDescent="0.25">
      <c r="A5264" t="str">
        <f>"20190312164611346"</f>
        <v>20190312164611346</v>
      </c>
      <c r="B5264" t="str">
        <f>"1552380371336468"</f>
        <v>1552380371336468</v>
      </c>
      <c r="C5264" t="s">
        <v>40</v>
      </c>
      <c r="D5264">
        <v>5.0881749999999997</v>
      </c>
      <c r="E5264">
        <v>0.54761890000000002</v>
      </c>
      <c r="F5264" t="s">
        <v>43</v>
      </c>
      <c r="G5264">
        <v>-298.31979999999999</v>
      </c>
      <c r="H5264">
        <v>-0.05</v>
      </c>
      <c r="I5264">
        <v>1.837067</v>
      </c>
      <c r="J5264">
        <v>-327.1234</v>
      </c>
      <c r="K5264">
        <v>1.1064449999999999</v>
      </c>
      <c r="L5264">
        <v>17.160799999999998</v>
      </c>
      <c r="M5264">
        <v>0.99888250000000001</v>
      </c>
      <c r="N5264">
        <v>0</v>
      </c>
      <c r="O5264">
        <v>-4.5271899999999997E-2</v>
      </c>
      <c r="P5264">
        <v>0.91778570000000004</v>
      </c>
      <c r="Q5264">
        <v>0.12994829999999999</v>
      </c>
      <c r="R5264">
        <v>-0.37521090000000001</v>
      </c>
      <c r="S5264">
        <v>2.7008359999999998</v>
      </c>
      <c r="T5264">
        <v>-0.1079397</v>
      </c>
      <c r="U5264">
        <v>-1.4309080000000001</v>
      </c>
      <c r="V5264">
        <v>0.33412999999999998</v>
      </c>
      <c r="W5264">
        <v>0.14059569999999999</v>
      </c>
      <c r="X5264">
        <v>0.93198179999999997</v>
      </c>
      <c r="Y5264">
        <v>0.42743209999999998</v>
      </c>
      <c r="Z5264">
        <v>-6.319018E-3</v>
      </c>
      <c r="AA5264">
        <v>0.90402539999999998</v>
      </c>
      <c r="AB5264">
        <v>29</v>
      </c>
      <c r="AC5264">
        <v>28.803599999999999</v>
      </c>
      <c r="AD5264">
        <v>-1.1564449999999999</v>
      </c>
      <c r="AE5264">
        <v>-15.323733000000001</v>
      </c>
      <c r="AF5264">
        <v>13.9863328283584</v>
      </c>
      <c r="AG5264">
        <v>-1.1564449999999999</v>
      </c>
      <c r="AH5264">
        <v>29.430884495961301</v>
      </c>
      <c r="AI5264">
        <v>92.032568306165004</v>
      </c>
      <c r="AJ5264">
        <v>64.581699753846706</v>
      </c>
      <c r="AK5264">
        <v>32.605702465032998</v>
      </c>
      <c r="AL5264">
        <v>81.917682043963794</v>
      </c>
      <c r="AM5264">
        <v>70.276452022569302</v>
      </c>
      <c r="AN5264">
        <v>1.00000004164486</v>
      </c>
    </row>
    <row r="5265" spans="1:40" x14ac:dyDescent="0.25">
      <c r="A5265" t="str">
        <f>"20190312164611357"</f>
        <v>20190312164611357</v>
      </c>
      <c r="B5265" t="str">
        <f>"1552380371346229"</f>
        <v>1552380371346229</v>
      </c>
      <c r="C5265" t="s">
        <v>40</v>
      </c>
      <c r="D5265">
        <v>5.3452289999999998</v>
      </c>
      <c r="E5265">
        <v>0.54761890000000002</v>
      </c>
      <c r="F5265" t="s">
        <v>43</v>
      </c>
      <c r="G5265">
        <v>-297.12939999999998</v>
      </c>
      <c r="H5265">
        <v>-0.05</v>
      </c>
      <c r="I5265">
        <v>1.151413</v>
      </c>
      <c r="J5265">
        <v>-326.97739999999999</v>
      </c>
      <c r="K5265">
        <v>1.106387</v>
      </c>
      <c r="L5265">
        <v>17.1524</v>
      </c>
      <c r="M5265">
        <v>0.99880239999999998</v>
      </c>
      <c r="N5265">
        <v>0</v>
      </c>
      <c r="O5265">
        <v>-4.7006029999999997E-2</v>
      </c>
      <c r="P5265">
        <v>0.91571970000000003</v>
      </c>
      <c r="Q5265">
        <v>0.13008439999999999</v>
      </c>
      <c r="R5265">
        <v>-0.38017840000000003</v>
      </c>
      <c r="S5265">
        <v>2.6953130000000001</v>
      </c>
      <c r="T5265">
        <v>-0.1039201</v>
      </c>
      <c r="U5265">
        <v>-1.4386289999999999</v>
      </c>
      <c r="V5265">
        <v>0.33758719999999998</v>
      </c>
      <c r="W5265">
        <v>0.14065039999999901</v>
      </c>
      <c r="X5265">
        <v>0.93072679999999997</v>
      </c>
      <c r="Y5265">
        <v>0.42866349999999998</v>
      </c>
      <c r="Z5265">
        <v>-6.0510349999999997E-3</v>
      </c>
      <c r="AA5265">
        <v>0.90344400000000002</v>
      </c>
      <c r="AB5265">
        <v>29</v>
      </c>
      <c r="AC5265">
        <v>29.847999999999999</v>
      </c>
      <c r="AD5265">
        <v>-1.1563870000000001</v>
      </c>
      <c r="AE5265">
        <v>-16.000986999999999</v>
      </c>
      <c r="AF5265">
        <v>14.563151689211599</v>
      </c>
      <c r="AG5265">
        <v>-1.1563870000000001</v>
      </c>
      <c r="AH5265">
        <v>30.531614927884799</v>
      </c>
      <c r="AI5265">
        <v>91.957913286416499</v>
      </c>
      <c r="AJ5265">
        <v>64.499513241408096</v>
      </c>
      <c r="AK5265">
        <v>33.846744719712603</v>
      </c>
      <c r="AL5265">
        <v>81.914516288196197</v>
      </c>
      <c r="AM5265">
        <v>70.063606832793397</v>
      </c>
      <c r="AN5265">
        <v>1.0000000144311101</v>
      </c>
    </row>
    <row r="5266" spans="1:40" x14ac:dyDescent="0.25">
      <c r="A5266" t="str">
        <f>"20190312164611368"</f>
        <v>20190312164611368</v>
      </c>
      <c r="B5266" t="str">
        <f>"1552380371356964"</f>
        <v>1552380371356964</v>
      </c>
      <c r="C5266" t="s">
        <v>40</v>
      </c>
      <c r="D5266">
        <v>5.1319689999999998</v>
      </c>
      <c r="E5266">
        <v>0.53026269999999998</v>
      </c>
      <c r="F5266" t="s">
        <v>43</v>
      </c>
      <c r="G5266">
        <v>-297.05259999999998</v>
      </c>
      <c r="H5266">
        <v>-0.05</v>
      </c>
      <c r="I5266">
        <v>0.97630309999999998</v>
      </c>
      <c r="J5266">
        <v>-326.83879999999999</v>
      </c>
      <c r="K5266">
        <v>1.1063369999999999</v>
      </c>
      <c r="L5266">
        <v>17.144289999999899</v>
      </c>
      <c r="M5266">
        <v>0.99872269999999996</v>
      </c>
      <c r="N5266">
        <v>0</v>
      </c>
      <c r="O5266">
        <v>-4.8664659999999998E-2</v>
      </c>
      <c r="P5266">
        <v>0.91361099999999995</v>
      </c>
      <c r="Q5266">
        <v>0.1304004</v>
      </c>
      <c r="R5266">
        <v>-0.38511129999999999</v>
      </c>
      <c r="S5266">
        <v>2.6876829999999998</v>
      </c>
      <c r="T5266">
        <v>-0.10386049999999999</v>
      </c>
      <c r="U5266">
        <v>-1.45285</v>
      </c>
      <c r="V5266">
        <v>0.34108769999999999</v>
      </c>
      <c r="W5266">
        <v>0.14088510000000001</v>
      </c>
      <c r="X5266">
        <v>0.92941410000000002</v>
      </c>
      <c r="Y5266">
        <v>0.43193169999999997</v>
      </c>
      <c r="Z5266">
        <v>-6.055164E-3</v>
      </c>
      <c r="AA5266">
        <v>0.90188599999999997</v>
      </c>
      <c r="AB5266">
        <v>29</v>
      </c>
      <c r="AC5266">
        <v>29.786200000000001</v>
      </c>
      <c r="AD5266">
        <v>-1.1563369999999999</v>
      </c>
      <c r="AE5266">
        <v>-16.167986899999999</v>
      </c>
      <c r="AF5266">
        <v>14.682066450033799</v>
      </c>
      <c r="AG5266">
        <v>-1.1563369999999999</v>
      </c>
      <c r="AH5266">
        <v>30.502276430912001</v>
      </c>
      <c r="AI5266">
        <v>91.956388149361999</v>
      </c>
      <c r="AJ5266">
        <v>64.296473709476501</v>
      </c>
      <c r="AK5266">
        <v>33.871655672088899</v>
      </c>
      <c r="AL5266">
        <v>81.900933603899404</v>
      </c>
      <c r="AM5266">
        <v>69.847258423621795</v>
      </c>
      <c r="AN5266">
        <v>0.99999999988605504</v>
      </c>
    </row>
    <row r="5267" spans="1:40" x14ac:dyDescent="0.25">
      <c r="A5267" t="str">
        <f>"20190312164611381"</f>
        <v>20190312164611381</v>
      </c>
      <c r="B5267" t="str">
        <f>"1552380371376484"</f>
        <v>1552380371376484</v>
      </c>
      <c r="C5267" t="s">
        <v>40</v>
      </c>
      <c r="D5267">
        <v>5.1869809999999896</v>
      </c>
      <c r="E5267">
        <v>0.53268359999999904</v>
      </c>
      <c r="F5267" t="s">
        <v>43</v>
      </c>
      <c r="G5267">
        <v>-313.24639999999999</v>
      </c>
      <c r="H5267">
        <v>-0.05</v>
      </c>
      <c r="I5267">
        <v>10.60303</v>
      </c>
      <c r="J5267">
        <v>-326.67970000000003</v>
      </c>
      <c r="K5267">
        <v>1.106274</v>
      </c>
      <c r="L5267">
        <v>17.134429999999998</v>
      </c>
      <c r="M5267">
        <v>0.99862390000000001</v>
      </c>
      <c r="N5267">
        <v>0</v>
      </c>
      <c r="O5267">
        <v>-5.0653110000000001E-2</v>
      </c>
      <c r="P5267">
        <v>0.91140200000000005</v>
      </c>
      <c r="Q5267">
        <v>0.13054499999999999</v>
      </c>
      <c r="R5267">
        <v>-0.39026240000000001</v>
      </c>
      <c r="S5267">
        <v>2.7577509999999998</v>
      </c>
      <c r="T5267">
        <v>-0.23460810000000001</v>
      </c>
      <c r="U5267">
        <v>-1.327148</v>
      </c>
      <c r="V5267">
        <v>0.34451229999999999</v>
      </c>
      <c r="W5267">
        <v>0.14093889999999901</v>
      </c>
      <c r="X5267">
        <v>0.92814200000000002</v>
      </c>
      <c r="Y5267">
        <v>0.38645800000000002</v>
      </c>
      <c r="Z5267">
        <v>-1.1493069999999999E-2</v>
      </c>
      <c r="AA5267">
        <v>0.92223540000000004</v>
      </c>
      <c r="AB5267">
        <v>29</v>
      </c>
      <c r="AC5267">
        <v>13.433299999999999</v>
      </c>
      <c r="AD5267">
        <v>-1.156274</v>
      </c>
      <c r="AE5267">
        <v>-6.5313999999999899</v>
      </c>
      <c r="AF5267">
        <v>5.8077110789561699</v>
      </c>
      <c r="AG5267">
        <v>-1.156274</v>
      </c>
      <c r="AH5267">
        <v>13.665033183657201</v>
      </c>
      <c r="AI5267">
        <v>94.452872706801998</v>
      </c>
      <c r="AJ5267">
        <v>66.974252376517299</v>
      </c>
      <c r="AK5267">
        <v>14.8929382409972</v>
      </c>
      <c r="AL5267">
        <v>81.897820312698798</v>
      </c>
      <c r="AM5267">
        <v>69.6358342720618</v>
      </c>
      <c r="AN5267">
        <v>1.00000003527424</v>
      </c>
    </row>
    <row r="5268" spans="1:40" x14ac:dyDescent="0.25">
      <c r="A5268" t="str">
        <f>"20190312164611392"</f>
        <v>20190312164611392</v>
      </c>
      <c r="B5268" t="str">
        <f>"1552380371386244"</f>
        <v>1552380371386244</v>
      </c>
      <c r="C5268" t="s">
        <v>40</v>
      </c>
      <c r="D5268">
        <v>5.2513230000000002</v>
      </c>
      <c r="E5268">
        <v>0.533278699999999</v>
      </c>
      <c r="F5268" t="s">
        <v>43</v>
      </c>
      <c r="G5268">
        <v>-312.40519999999998</v>
      </c>
      <c r="H5268">
        <v>-0.05</v>
      </c>
      <c r="I5268">
        <v>10.04303</v>
      </c>
      <c r="J5268">
        <v>-326.55040000000002</v>
      </c>
      <c r="K5268">
        <v>1.106223</v>
      </c>
      <c r="L5268">
        <v>17.126279999999898</v>
      </c>
      <c r="M5268">
        <v>0.99853959999999997</v>
      </c>
      <c r="N5268">
        <v>0</v>
      </c>
      <c r="O5268">
        <v>-5.2286289999999999E-2</v>
      </c>
      <c r="P5268">
        <v>0.90923390000000004</v>
      </c>
      <c r="Q5268">
        <v>0.13097929999999999</v>
      </c>
      <c r="R5268">
        <v>-0.39514290000000002</v>
      </c>
      <c r="S5268">
        <v>2.7404480000000002</v>
      </c>
      <c r="T5268">
        <v>-0.22198370000000001</v>
      </c>
      <c r="U5268">
        <v>-1.3614200000000001</v>
      </c>
      <c r="V5268">
        <v>0.34799989999999997</v>
      </c>
      <c r="W5268">
        <v>0.1412882</v>
      </c>
      <c r="X5268">
        <v>0.92678680000000002</v>
      </c>
      <c r="Y5268">
        <v>0.39657199999999998</v>
      </c>
      <c r="Z5268">
        <v>-1.117257E-2</v>
      </c>
      <c r="AA5268">
        <v>0.91793559999999996</v>
      </c>
      <c r="AB5268">
        <v>29</v>
      </c>
      <c r="AC5268">
        <v>14.145200000000001</v>
      </c>
      <c r="AD5268">
        <v>-1.156223</v>
      </c>
      <c r="AE5268">
        <v>-7.0832499999999898</v>
      </c>
      <c r="AF5268">
        <v>6.3002358658166502</v>
      </c>
      <c r="AG5268">
        <v>-1.156223</v>
      </c>
      <c r="AH5268">
        <v>14.419213247247299</v>
      </c>
      <c r="AI5268">
        <v>94.202457011991797</v>
      </c>
      <c r="AJ5268">
        <v>66.397876244688007</v>
      </c>
      <c r="AK5268">
        <v>15.7779445511842</v>
      </c>
      <c r="AL5268">
        <v>81.877604558188494</v>
      </c>
      <c r="AM5268">
        <v>69.419305853911297</v>
      </c>
      <c r="AN5268">
        <v>1.0000000292567399</v>
      </c>
    </row>
    <row r="5269" spans="1:40" x14ac:dyDescent="0.25">
      <c r="A5269" t="str">
        <f>"20190312164611402"</f>
        <v>20190312164611402</v>
      </c>
      <c r="B5269" t="str">
        <f>"1552380371396979"</f>
        <v>1552380371396979</v>
      </c>
      <c r="C5269" t="s">
        <v>40</v>
      </c>
      <c r="D5269">
        <v>5.1263569999999996</v>
      </c>
      <c r="E5269">
        <v>0.53333350000000002</v>
      </c>
      <c r="F5269" t="s">
        <v>43</v>
      </c>
      <c r="G5269">
        <v>-312.31290000000001</v>
      </c>
      <c r="H5269">
        <v>-0.05</v>
      </c>
      <c r="I5269">
        <v>9.9318390000000001</v>
      </c>
      <c r="J5269">
        <v>-326.3954</v>
      </c>
      <c r="K5269">
        <v>1.1061570000000001</v>
      </c>
      <c r="L5269">
        <v>17.11609</v>
      </c>
      <c r="M5269">
        <v>0.99843159999999997</v>
      </c>
      <c r="N5269">
        <v>0</v>
      </c>
      <c r="O5269">
        <v>-5.4310480000000001E-2</v>
      </c>
      <c r="P5269">
        <v>0.90686310000000003</v>
      </c>
      <c r="Q5269">
        <v>0.13146859999999999</v>
      </c>
      <c r="R5269">
        <v>-0.40039409999999998</v>
      </c>
      <c r="S5269">
        <v>2.7315670000000001</v>
      </c>
      <c r="T5269">
        <v>-0.22182979999999999</v>
      </c>
      <c r="U5269">
        <v>-1.3803099999999999</v>
      </c>
      <c r="V5269">
        <v>0.35151549999999998</v>
      </c>
      <c r="W5269">
        <v>0.14168</v>
      </c>
      <c r="X5269">
        <v>0.92539919999999998</v>
      </c>
      <c r="Y5269">
        <v>0.40095989999999998</v>
      </c>
      <c r="Z5269">
        <v>-1.119523E-2</v>
      </c>
      <c r="AA5269">
        <v>0.91602720000000004</v>
      </c>
      <c r="AB5269">
        <v>29</v>
      </c>
      <c r="AC5269">
        <v>14.0824999999999</v>
      </c>
      <c r="AD5269">
        <v>-1.1561569999999901</v>
      </c>
      <c r="AE5269">
        <v>-7.1842509999999997</v>
      </c>
      <c r="AF5269">
        <v>6.3746543134648901</v>
      </c>
      <c r="AG5269">
        <v>-1.1561569999999901</v>
      </c>
      <c r="AH5269">
        <v>14.3750460269095</v>
      </c>
      <c r="AI5269">
        <v>94.204998441180905</v>
      </c>
      <c r="AJ5269">
        <v>66.084973964772104</v>
      </c>
      <c r="AK5269">
        <v>15.7675256429344</v>
      </c>
      <c r="AL5269">
        <v>81.854927916613804</v>
      </c>
      <c r="AM5269">
        <v>69.200577863117104</v>
      </c>
      <c r="AN5269">
        <v>1.0000000242504401</v>
      </c>
    </row>
    <row r="5270" spans="1:40" x14ac:dyDescent="0.25">
      <c r="A5270" t="str">
        <f>"20190312164611414"</f>
        <v>20190312164611414</v>
      </c>
      <c r="B5270" t="str">
        <f>"1552380371406740"</f>
        <v>1552380371406740</v>
      </c>
      <c r="C5270" t="s">
        <v>40</v>
      </c>
      <c r="D5270">
        <v>5.2288019999999999</v>
      </c>
      <c r="E5270">
        <v>0.53239720000000001</v>
      </c>
      <c r="F5270" t="s">
        <v>43</v>
      </c>
      <c r="G5270">
        <v>-311.99919999999997</v>
      </c>
      <c r="H5270">
        <v>-0.05</v>
      </c>
      <c r="I5270">
        <v>9.7340999999999998</v>
      </c>
      <c r="J5270">
        <v>-326.25409999999999</v>
      </c>
      <c r="K5270">
        <v>1.106096</v>
      </c>
      <c r="L5270">
        <v>17.10651</v>
      </c>
      <c r="M5270">
        <v>0.99832730000000003</v>
      </c>
      <c r="N5270">
        <v>0</v>
      </c>
      <c r="O5270">
        <v>-5.619412E-2</v>
      </c>
      <c r="P5270">
        <v>0.90463000000000005</v>
      </c>
      <c r="Q5270">
        <v>0.1317391</v>
      </c>
      <c r="R5270">
        <v>-0.40532679999999999</v>
      </c>
      <c r="S5270">
        <v>2.7232669999999999</v>
      </c>
      <c r="T5270">
        <v>-0.21870590000000001</v>
      </c>
      <c r="U5270">
        <v>-1.396423</v>
      </c>
      <c r="V5270">
        <v>0.35483900000000002</v>
      </c>
      <c r="W5270">
        <v>0.1418594</v>
      </c>
      <c r="X5270">
        <v>0.92410239999999999</v>
      </c>
      <c r="Y5270">
        <v>0.404673</v>
      </c>
      <c r="Z5270">
        <v>-1.1053210000000001E-2</v>
      </c>
      <c r="AA5270">
        <v>0.9143947</v>
      </c>
      <c r="AB5270">
        <v>29</v>
      </c>
      <c r="AC5270">
        <v>14.254899999999999</v>
      </c>
      <c r="AD5270">
        <v>-1.156096</v>
      </c>
      <c r="AE5270">
        <v>-7.3724100000000004</v>
      </c>
      <c r="AF5270">
        <v>6.5257778473649299</v>
      </c>
      <c r="AG5270">
        <v>-1.156096</v>
      </c>
      <c r="AH5270">
        <v>14.5710801110269</v>
      </c>
      <c r="AI5270">
        <v>94.141640862714297</v>
      </c>
      <c r="AJ5270">
        <v>65.874386797014907</v>
      </c>
      <c r="AK5270">
        <v>16.007457951727901</v>
      </c>
      <c r="AL5270">
        <v>81.844544184923507</v>
      </c>
      <c r="AM5270">
        <v>68.994092494505196</v>
      </c>
      <c r="AN5270">
        <v>1.0000000254875501</v>
      </c>
    </row>
    <row r="5271" spans="1:40" x14ac:dyDescent="0.25">
      <c r="A5271" t="str">
        <f>"20190312164611425"</f>
        <v>20190312164611425</v>
      </c>
      <c r="B5271" t="str">
        <f>"1552380371416500"</f>
        <v>1552380371416500</v>
      </c>
      <c r="C5271" t="s">
        <v>40</v>
      </c>
      <c r="D5271">
        <v>5.1885399999999997</v>
      </c>
      <c r="E5271">
        <v>0.53201519999999902</v>
      </c>
      <c r="F5271" t="s">
        <v>43</v>
      </c>
      <c r="G5271">
        <v>-312.0573</v>
      </c>
      <c r="H5271">
        <v>-0.05</v>
      </c>
      <c r="I5271">
        <v>9.7781979999999997</v>
      </c>
      <c r="J5271">
        <v>-326.11040000000003</v>
      </c>
      <c r="K5271">
        <v>1.1060319999999999</v>
      </c>
      <c r="L5271">
        <v>17.096499999999999</v>
      </c>
      <c r="M5271">
        <v>0.99821539999999997</v>
      </c>
      <c r="N5271">
        <v>0</v>
      </c>
      <c r="O5271">
        <v>-5.8147200000000003E-2</v>
      </c>
      <c r="P5271">
        <v>0.90232089999999998</v>
      </c>
      <c r="Q5271">
        <v>0.1320154</v>
      </c>
      <c r="R5271">
        <v>-0.41035319999999997</v>
      </c>
      <c r="S5271">
        <v>2.7195429999999998</v>
      </c>
      <c r="T5271">
        <v>-0.2214614</v>
      </c>
      <c r="U5271">
        <v>-1.4038090000000001</v>
      </c>
      <c r="V5271">
        <v>0.35820279999999999</v>
      </c>
      <c r="W5271">
        <v>0.14204159999999999</v>
      </c>
      <c r="X5271">
        <v>0.92277569999999998</v>
      </c>
      <c r="Y5271">
        <v>0.40533599999999997</v>
      </c>
      <c r="Z5271">
        <v>-1.107635E-2</v>
      </c>
      <c r="AA5271">
        <v>0.91410069999999999</v>
      </c>
      <c r="AB5271">
        <v>28</v>
      </c>
      <c r="AC5271">
        <v>14.053100000000001</v>
      </c>
      <c r="AD5271">
        <v>-1.1560319999999999</v>
      </c>
      <c r="AE5271">
        <v>-7.3183019999999903</v>
      </c>
      <c r="AF5271">
        <v>6.4543346760807196</v>
      </c>
      <c r="AG5271">
        <v>-1.1560319999999999</v>
      </c>
      <c r="AH5271">
        <v>14.3783552506082</v>
      </c>
      <c r="AI5271">
        <v>94.195111862213395</v>
      </c>
      <c r="AJ5271">
        <v>65.825049681589704</v>
      </c>
      <c r="AK5271">
        <v>15.802909409617399</v>
      </c>
      <c r="AL5271">
        <v>81.833998116730896</v>
      </c>
      <c r="AM5271">
        <v>68.784798256860199</v>
      </c>
      <c r="AN5271">
        <v>1.00000002728444</v>
      </c>
    </row>
    <row r="5272" spans="1:40" x14ac:dyDescent="0.25">
      <c r="A5272" t="str">
        <f>"20190312164611436"</f>
        <v>20190312164611436</v>
      </c>
      <c r="B5272" t="str">
        <f>"1552380371427236"</f>
        <v>1552380371427236</v>
      </c>
      <c r="C5272" t="s">
        <v>40</v>
      </c>
      <c r="D5272">
        <v>5.1866089999999998</v>
      </c>
      <c r="E5272">
        <v>0.53186230000000001</v>
      </c>
      <c r="F5272" t="s">
        <v>43</v>
      </c>
      <c r="G5272">
        <v>-311.80950000000001</v>
      </c>
      <c r="H5272">
        <v>-0.05</v>
      </c>
      <c r="I5272">
        <v>9.6300349999999995</v>
      </c>
      <c r="J5272">
        <v>-325.96820000000002</v>
      </c>
      <c r="K5272">
        <v>1.1059650000000001</v>
      </c>
      <c r="L5272">
        <v>17.08615</v>
      </c>
      <c r="M5272">
        <v>0.99809729999999997</v>
      </c>
      <c r="N5272">
        <v>0</v>
      </c>
      <c r="O5272">
        <v>-6.0138179999999999E-2</v>
      </c>
      <c r="P5272">
        <v>0.90017000000000003</v>
      </c>
      <c r="Q5272">
        <v>0.13179389999999999</v>
      </c>
      <c r="R5272">
        <v>-0.41511930000000002</v>
      </c>
      <c r="S5272">
        <v>2.7127080000000001</v>
      </c>
      <c r="T5272">
        <v>-0.21928420000000001</v>
      </c>
      <c r="U5272">
        <v>-1.41629</v>
      </c>
      <c r="V5272">
        <v>0.36126550000000002</v>
      </c>
      <c r="W5272">
        <v>0.14172960000000001</v>
      </c>
      <c r="X5272">
        <v>0.92162900000000003</v>
      </c>
      <c r="Y5272">
        <v>0.40777659999999999</v>
      </c>
      <c r="Z5272">
        <v>-1.092427E-2</v>
      </c>
      <c r="AA5272">
        <v>0.91301639999999995</v>
      </c>
      <c r="AB5272">
        <v>28</v>
      </c>
      <c r="AC5272">
        <v>14.1587</v>
      </c>
      <c r="AD5272">
        <v>-1.1559649999999999</v>
      </c>
      <c r="AE5272">
        <v>-7.4561149999999898</v>
      </c>
      <c r="AF5272">
        <v>6.5568433776904298</v>
      </c>
      <c r="AG5272">
        <v>-1.1559649999999999</v>
      </c>
      <c r="AH5272">
        <v>14.505809400462301</v>
      </c>
      <c r="AI5272">
        <v>94.153299250998501</v>
      </c>
      <c r="AJ5272">
        <v>65.676318160921895</v>
      </c>
      <c r="AK5272">
        <v>15.960794357529</v>
      </c>
      <c r="AL5272">
        <v>81.852057101466798</v>
      </c>
      <c r="AM5272">
        <v>68.595524773703801</v>
      </c>
      <c r="AN5272">
        <v>1.0000000273237</v>
      </c>
    </row>
    <row r="5273" spans="1:40" x14ac:dyDescent="0.25">
      <c r="A5273" t="str">
        <f>"20190312164611448"</f>
        <v>20190312164611448</v>
      </c>
      <c r="B5273" t="str">
        <f>"1552380371436996"</f>
        <v>1552380371436996</v>
      </c>
      <c r="C5273" t="s">
        <v>40</v>
      </c>
      <c r="D5273">
        <v>5.1836120000000001</v>
      </c>
      <c r="E5273">
        <v>0.53155600000000003</v>
      </c>
      <c r="F5273" t="s">
        <v>43</v>
      </c>
      <c r="G5273">
        <v>-311.7328</v>
      </c>
      <c r="H5273">
        <v>-0.05</v>
      </c>
      <c r="I5273">
        <v>9.5655520000000003</v>
      </c>
      <c r="J5273">
        <v>-325.81830000000002</v>
      </c>
      <c r="K5273">
        <v>1.1058969999999999</v>
      </c>
      <c r="L5273">
        <v>17.07507</v>
      </c>
      <c r="M5273">
        <v>0.99796719999999906</v>
      </c>
      <c r="N5273">
        <v>0</v>
      </c>
      <c r="O5273">
        <v>-6.225932E-2</v>
      </c>
      <c r="P5273">
        <v>0.89802669999999996</v>
      </c>
      <c r="Q5273">
        <v>0.13170279999999901</v>
      </c>
      <c r="R5273">
        <v>-0.41976479999999999</v>
      </c>
      <c r="S5273">
        <v>2.7056580000000001</v>
      </c>
      <c r="T5273">
        <v>-0.21970999999999999</v>
      </c>
      <c r="U5273">
        <v>-1.4294129999999901</v>
      </c>
      <c r="V5273">
        <v>0.36409409999999998</v>
      </c>
      <c r="W5273">
        <v>0.14154739999999999</v>
      </c>
      <c r="X5273">
        <v>0.92054329999999995</v>
      </c>
      <c r="Y5273">
        <v>0.41027380000000002</v>
      </c>
      <c r="Z5273">
        <v>-1.0894239999999999E-2</v>
      </c>
      <c r="AA5273">
        <v>0.91189739999999997</v>
      </c>
      <c r="AB5273">
        <v>28</v>
      </c>
      <c r="AC5273">
        <v>14.0855</v>
      </c>
      <c r="AD5273">
        <v>-1.155897</v>
      </c>
      <c r="AE5273">
        <v>-7.5095179999999901</v>
      </c>
      <c r="AF5273">
        <v>6.5833898038569103</v>
      </c>
      <c r="AG5273">
        <v>-1.155897</v>
      </c>
      <c r="AH5273">
        <v>14.4499766989807</v>
      </c>
      <c r="AI5273">
        <v>94.163447503597197</v>
      </c>
      <c r="AJ5273">
        <v>65.506054468109596</v>
      </c>
      <c r="AK5273">
        <v>15.921022133808499</v>
      </c>
      <c r="AL5273">
        <v>81.862603087727805</v>
      </c>
      <c r="AM5273">
        <v>68.420168219094094</v>
      </c>
      <c r="AN5273">
        <v>1.00000007363822</v>
      </c>
    </row>
    <row r="5274" spans="1:40" x14ac:dyDescent="0.25">
      <c r="A5274" t="str">
        <f>"20190312164611459"</f>
        <v>20190312164611459</v>
      </c>
      <c r="B5274" t="str">
        <f>"1552380371446756"</f>
        <v>1552380371446756</v>
      </c>
      <c r="C5274" t="s">
        <v>40</v>
      </c>
      <c r="D5274">
        <v>6.2205029999999999</v>
      </c>
      <c r="E5274">
        <v>0.53139820000000004</v>
      </c>
      <c r="F5274" t="s">
        <v>43</v>
      </c>
      <c r="G5274">
        <v>-311.72179999999997</v>
      </c>
      <c r="H5274">
        <v>-0.05</v>
      </c>
      <c r="I5274">
        <v>9.5517579999999995</v>
      </c>
      <c r="J5274">
        <v>-325.68700000000001</v>
      </c>
      <c r="K5274">
        <v>1.105839</v>
      </c>
      <c r="L5274">
        <v>17.064820000000001</v>
      </c>
      <c r="M5274">
        <v>0.99784479999999998</v>
      </c>
      <c r="N5274">
        <v>0</v>
      </c>
      <c r="O5274">
        <v>-6.4190609999999995E-2</v>
      </c>
      <c r="P5274">
        <v>0.89597510000000002</v>
      </c>
      <c r="Q5274">
        <v>0.1314255</v>
      </c>
      <c r="R5274">
        <v>-0.42421209999999998</v>
      </c>
      <c r="S5274">
        <v>2.6996150000000001</v>
      </c>
      <c r="T5274">
        <v>-0.22136639999999999</v>
      </c>
      <c r="U5274">
        <v>-1.440796</v>
      </c>
      <c r="V5274">
        <v>0.36689640000000001</v>
      </c>
      <c r="W5274">
        <v>0.1411858</v>
      </c>
      <c r="X5274">
        <v>0.91948549999999996</v>
      </c>
      <c r="Y5274">
        <v>0.41233409999999898</v>
      </c>
      <c r="Z5274">
        <v>-1.0919999999999999E-2</v>
      </c>
      <c r="AA5274">
        <v>0.91096719999999998</v>
      </c>
      <c r="AB5274">
        <v>28</v>
      </c>
      <c r="AC5274">
        <v>13.965199999999999</v>
      </c>
      <c r="AD5274">
        <v>-1.1558389999999901</v>
      </c>
      <c r="AE5274">
        <v>-7.5130619999999997</v>
      </c>
      <c r="AF5274">
        <v>6.5661637166479698</v>
      </c>
      <c r="AG5274">
        <v>-1.1558389999999901</v>
      </c>
      <c r="AH5274">
        <v>14.342510952889601</v>
      </c>
      <c r="AI5274">
        <v>94.190829730189506</v>
      </c>
      <c r="AJ5274">
        <v>65.401157507789705</v>
      </c>
      <c r="AK5274">
        <v>15.8163867612519</v>
      </c>
      <c r="AL5274">
        <v>81.883530746299101</v>
      </c>
      <c r="AM5274">
        <v>68.246834757737801</v>
      </c>
      <c r="AN5274">
        <v>0.99999999158242403</v>
      </c>
    </row>
    <row r="5275" spans="1:40" x14ac:dyDescent="0.25">
      <c r="A5275" t="str">
        <f>"20190312164611469"</f>
        <v>20190312164611469</v>
      </c>
      <c r="B5275" t="str">
        <f>"1552380371466276"</f>
        <v>1552380371466276</v>
      </c>
      <c r="C5275" t="s">
        <v>40</v>
      </c>
      <c r="D5275">
        <v>5.1772859999999996</v>
      </c>
      <c r="E5275">
        <v>0.53106960000000003</v>
      </c>
      <c r="F5275" t="s">
        <v>43</v>
      </c>
      <c r="G5275">
        <v>-311.14280000000002</v>
      </c>
      <c r="H5275">
        <v>-0.05</v>
      </c>
      <c r="I5275">
        <v>9.2097630000000006</v>
      </c>
      <c r="J5275">
        <v>-325.55709999999999</v>
      </c>
      <c r="K5275">
        <v>1.105775</v>
      </c>
      <c r="L5275">
        <v>17.054659999999998</v>
      </c>
      <c r="M5275">
        <v>0.99771980000000005</v>
      </c>
      <c r="N5275">
        <v>0</v>
      </c>
      <c r="O5275">
        <v>-6.6104490000000002E-2</v>
      </c>
      <c r="P5275">
        <v>0.89396369999999903</v>
      </c>
      <c r="Q5275">
        <v>0.13116069999999999</v>
      </c>
      <c r="R5275">
        <v>-0.4285157</v>
      </c>
      <c r="S5275">
        <v>2.6914669999999998</v>
      </c>
      <c r="T5275">
        <v>-0.21389330000000001</v>
      </c>
      <c r="U5275">
        <v>-1.4536129999999901</v>
      </c>
      <c r="V5275">
        <v>0.3695736</v>
      </c>
      <c r="W5275">
        <v>0.14083689999999999</v>
      </c>
      <c r="X5275">
        <v>0.91846629999999996</v>
      </c>
      <c r="Y5275">
        <v>0.4151512</v>
      </c>
      <c r="Z5275">
        <v>-1.0533320000000001E-2</v>
      </c>
      <c r="AA5275">
        <v>0.90969149999999999</v>
      </c>
      <c r="AB5275">
        <v>28</v>
      </c>
      <c r="AC5275">
        <v>14.4142999999999</v>
      </c>
      <c r="AD5275">
        <v>-1.155775</v>
      </c>
      <c r="AE5275">
        <v>-7.8448969999999996</v>
      </c>
      <c r="AF5275">
        <v>6.8408653262794896</v>
      </c>
      <c r="AG5275">
        <v>-1.155775</v>
      </c>
      <c r="AH5275">
        <v>14.827849805403799</v>
      </c>
      <c r="AI5275">
        <v>94.048473363809194</v>
      </c>
      <c r="AJ5275">
        <v>65.233644575026005</v>
      </c>
      <c r="AK5275">
        <v>16.370656190712999</v>
      </c>
      <c r="AL5275">
        <v>81.903723165639903</v>
      </c>
      <c r="AM5275">
        <v>68.081071261690596</v>
      </c>
      <c r="AN5275">
        <v>1.0000000112271299</v>
      </c>
    </row>
    <row r="5276" spans="1:40" x14ac:dyDescent="0.25">
      <c r="A5276" t="str">
        <f>"20190312164611480"</f>
        <v>20190312164611480</v>
      </c>
      <c r="B5276" t="str">
        <f>"1552380371477013"</f>
        <v>1552380371477013</v>
      </c>
      <c r="C5276" t="s">
        <v>40</v>
      </c>
      <c r="D5276">
        <v>5.3050059999999997</v>
      </c>
      <c r="E5276">
        <v>0.53066619999999998</v>
      </c>
      <c r="F5276" t="s">
        <v>43</v>
      </c>
      <c r="G5276">
        <v>-310.68009999999998</v>
      </c>
      <c r="H5276">
        <v>-0.05</v>
      </c>
      <c r="I5276">
        <v>8.9382169999999999</v>
      </c>
      <c r="J5276">
        <v>-325.40550000000002</v>
      </c>
      <c r="K5276">
        <v>1.1057060000000001</v>
      </c>
      <c r="L5276">
        <v>17.042179999999998</v>
      </c>
      <c r="M5276">
        <v>0.99756350000000005</v>
      </c>
      <c r="N5276">
        <v>0</v>
      </c>
      <c r="O5276">
        <v>-6.8421560000000006E-2</v>
      </c>
      <c r="P5276">
        <v>0.89196279999999994</v>
      </c>
      <c r="Q5276">
        <v>0.1308433</v>
      </c>
      <c r="R5276">
        <v>-0.43276160000000002</v>
      </c>
      <c r="S5276">
        <v>2.6844790000000001</v>
      </c>
      <c r="T5276">
        <v>-0.20855370000000001</v>
      </c>
      <c r="U5276">
        <v>-1.464569</v>
      </c>
      <c r="V5276">
        <v>0.37182850000000001</v>
      </c>
      <c r="W5276">
        <v>0.14043329999999901</v>
      </c>
      <c r="X5276">
        <v>0.91761760000000003</v>
      </c>
      <c r="Y5276">
        <v>0.41693530000000001</v>
      </c>
      <c r="Z5276">
        <v>-1.0183630000000001E-2</v>
      </c>
      <c r="AA5276">
        <v>0.9088792</v>
      </c>
      <c r="AB5276">
        <v>28</v>
      </c>
      <c r="AC5276">
        <v>14.7254</v>
      </c>
      <c r="AD5276">
        <v>-1.1557059999999999</v>
      </c>
      <c r="AE5276">
        <v>-8.1039629999999896</v>
      </c>
      <c r="AF5276">
        <v>7.0440367529209702</v>
      </c>
      <c r="AG5276">
        <v>-1.1557059999999999</v>
      </c>
      <c r="AH5276">
        <v>15.1736838102708</v>
      </c>
      <c r="AI5276">
        <v>93.951943956095704</v>
      </c>
      <c r="AJ5276">
        <v>65.097989326496005</v>
      </c>
      <c r="AK5276">
        <v>16.768863721463401</v>
      </c>
      <c r="AL5276">
        <v>81.927079801891097</v>
      </c>
      <c r="AM5276">
        <v>67.941680588394803</v>
      </c>
      <c r="AN5276">
        <v>1.0000000024954401</v>
      </c>
    </row>
    <row r="5277" spans="1:40" x14ac:dyDescent="0.25">
      <c r="A5277" t="str">
        <f>"20190312164611492"</f>
        <v>20190312164611492</v>
      </c>
      <c r="B5277" t="str">
        <f>"1552380371486772"</f>
        <v>1552380371486772</v>
      </c>
      <c r="C5277" t="s">
        <v>40</v>
      </c>
      <c r="D5277">
        <v>5.2579219999999998</v>
      </c>
      <c r="E5277">
        <v>0.53027819999999903</v>
      </c>
      <c r="F5277" t="s">
        <v>43</v>
      </c>
      <c r="G5277">
        <v>-310.82560000000001</v>
      </c>
      <c r="H5277">
        <v>-0.05</v>
      </c>
      <c r="I5277">
        <v>9.019012</v>
      </c>
      <c r="J5277">
        <v>-325.26190000000003</v>
      </c>
      <c r="K5277">
        <v>1.10564</v>
      </c>
      <c r="L5277">
        <v>17.03012</v>
      </c>
      <c r="M5277">
        <v>0.99740899999999999</v>
      </c>
      <c r="N5277">
        <v>0</v>
      </c>
      <c r="O5277">
        <v>-7.063912E-2</v>
      </c>
      <c r="P5277">
        <v>0.88995190000000002</v>
      </c>
      <c r="Q5277">
        <v>0.1302577</v>
      </c>
      <c r="R5277">
        <v>-0.43705769999999999</v>
      </c>
      <c r="S5277">
        <v>2.6791990000000001</v>
      </c>
      <c r="T5277">
        <v>-0.21237249999999999</v>
      </c>
      <c r="U5277">
        <v>-1.474335</v>
      </c>
      <c r="V5277">
        <v>0.3742277</v>
      </c>
      <c r="W5277">
        <v>0.13976240000000001</v>
      </c>
      <c r="X5277">
        <v>0.91674429999999996</v>
      </c>
      <c r="Y5277">
        <v>0.41818620000000001</v>
      </c>
      <c r="Z5277">
        <v>-1.026322E-2</v>
      </c>
      <c r="AA5277">
        <v>0.90830339999999998</v>
      </c>
      <c r="AB5277">
        <v>28</v>
      </c>
      <c r="AC5277">
        <v>14.436299999999999</v>
      </c>
      <c r="AD5277">
        <v>-1.15564</v>
      </c>
      <c r="AE5277">
        <v>-8.0111080000000001</v>
      </c>
      <c r="AF5277">
        <v>6.93724156714479</v>
      </c>
      <c r="AG5277">
        <v>-1.15564</v>
      </c>
      <c r="AH5277">
        <v>14.893212648393099</v>
      </c>
      <c r="AI5277">
        <v>94.023485362385003</v>
      </c>
      <c r="AJ5277">
        <v>65.023949630956807</v>
      </c>
      <c r="AK5277">
        <v>16.470233980146599</v>
      </c>
      <c r="AL5277">
        <v>81.965902449057893</v>
      </c>
      <c r="AM5277">
        <v>67.794038196449605</v>
      </c>
      <c r="AN5277">
        <v>1.0000000057417699</v>
      </c>
    </row>
    <row r="5278" spans="1:40" x14ac:dyDescent="0.25">
      <c r="A5278" t="str">
        <f>"20190312164611504"</f>
        <v>20190312164611504</v>
      </c>
      <c r="B5278" t="str">
        <f>"1552380371496532"</f>
        <v>1552380371496532</v>
      </c>
      <c r="C5278" t="s">
        <v>40</v>
      </c>
      <c r="D5278">
        <v>5.2268840000000001</v>
      </c>
      <c r="E5278">
        <v>0.53017409999999998</v>
      </c>
      <c r="F5278" t="s">
        <v>43</v>
      </c>
      <c r="G5278">
        <v>-310.9273</v>
      </c>
      <c r="H5278">
        <v>-0.05</v>
      </c>
      <c r="I5278">
        <v>9.0738679999999992</v>
      </c>
      <c r="J5278">
        <v>-325.11020000000002</v>
      </c>
      <c r="K5278">
        <v>1.1055729999999999</v>
      </c>
      <c r="L5278">
        <v>17.016970000000001</v>
      </c>
      <c r="M5278">
        <v>0.99723629999999996</v>
      </c>
      <c r="N5278">
        <v>0</v>
      </c>
      <c r="O5278">
        <v>-7.3035059999999999E-2</v>
      </c>
      <c r="P5278">
        <v>0.88801890000000006</v>
      </c>
      <c r="Q5278">
        <v>0.13001489999999999</v>
      </c>
      <c r="R5278">
        <v>-0.44104270000000001</v>
      </c>
      <c r="S5278">
        <v>2.6737060000000001</v>
      </c>
      <c r="T5278">
        <v>-0.2155514</v>
      </c>
      <c r="U5278">
        <v>-1.4840089999999999</v>
      </c>
      <c r="V5278">
        <v>0.37615599999999999</v>
      </c>
      <c r="W5278">
        <v>0.13943900000000001</v>
      </c>
      <c r="X5278">
        <v>0.91600409999999999</v>
      </c>
      <c r="Y5278">
        <v>0.41928599999999999</v>
      </c>
      <c r="Z5278">
        <v>-1.029014E-2</v>
      </c>
      <c r="AA5278">
        <v>0.90779589999999999</v>
      </c>
      <c r="AB5278">
        <v>28</v>
      </c>
      <c r="AC5278">
        <v>14.1829</v>
      </c>
      <c r="AD5278">
        <v>-1.155573</v>
      </c>
      <c r="AE5278">
        <v>-7.9431019999999997</v>
      </c>
      <c r="AF5278">
        <v>6.8513174246689896</v>
      </c>
      <c r="AG5278">
        <v>-1.155573</v>
      </c>
      <c r="AH5278">
        <v>14.651156338030001</v>
      </c>
      <c r="AI5278">
        <v>94.086639769876101</v>
      </c>
      <c r="AJ5278">
        <v>64.937807978731698</v>
      </c>
      <c r="AK5278">
        <v>16.2151867535745</v>
      </c>
      <c r="AL5278">
        <v>81.984615426637902</v>
      </c>
      <c r="AM5278">
        <v>67.674553353774897</v>
      </c>
      <c r="AN5278">
        <v>1.0000000411369001</v>
      </c>
    </row>
    <row r="5279" spans="1:40" x14ac:dyDescent="0.25">
      <c r="A5279" t="str">
        <f>"20190312164611516"</f>
        <v>20190312164611516</v>
      </c>
      <c r="B5279" t="str">
        <f>"1552380371506292"</f>
        <v>1552380371506292</v>
      </c>
      <c r="C5279" t="s">
        <v>40</v>
      </c>
      <c r="D5279">
        <v>5.2196210000000001</v>
      </c>
      <c r="E5279">
        <v>0.53007380000000004</v>
      </c>
      <c r="F5279" t="s">
        <v>43</v>
      </c>
      <c r="G5279">
        <v>-310.91340000000002</v>
      </c>
      <c r="H5279">
        <v>-0.05</v>
      </c>
      <c r="I5279">
        <v>9.0599670000000003</v>
      </c>
      <c r="J5279">
        <v>-324.96910000000003</v>
      </c>
      <c r="K5279">
        <v>1.105513</v>
      </c>
      <c r="L5279">
        <v>17.00433</v>
      </c>
      <c r="M5279">
        <v>0.99706760000000005</v>
      </c>
      <c r="N5279">
        <v>0</v>
      </c>
      <c r="O5279">
        <v>-7.5302679999999997E-2</v>
      </c>
      <c r="P5279">
        <v>0.88614979999999999</v>
      </c>
      <c r="Q5279">
        <v>0.12931529999999999</v>
      </c>
      <c r="R5279">
        <v>-0.44499</v>
      </c>
      <c r="S5279">
        <v>2.6675110000000002</v>
      </c>
      <c r="T5279">
        <v>-0.21712680000000001</v>
      </c>
      <c r="U5279">
        <v>-1.4950870000000001</v>
      </c>
      <c r="V5279">
        <v>0.37815850000000001</v>
      </c>
      <c r="W5279">
        <v>0.13866310000000001</v>
      </c>
      <c r="X5279">
        <v>0.91529700000000003</v>
      </c>
      <c r="Y5279">
        <v>0.4209774</v>
      </c>
      <c r="Z5279">
        <v>-1.027087E-2</v>
      </c>
      <c r="AA5279">
        <v>0.90701290000000001</v>
      </c>
      <c r="AB5279">
        <v>28</v>
      </c>
      <c r="AC5279">
        <v>14.0557</v>
      </c>
      <c r="AD5279">
        <v>-1.155513</v>
      </c>
      <c r="AE5279">
        <v>-7.9443629999999903</v>
      </c>
      <c r="AF5279">
        <v>6.8282970613585903</v>
      </c>
      <c r="AG5279">
        <v>-1.155513</v>
      </c>
      <c r="AH5279">
        <v>14.5395984363469</v>
      </c>
      <c r="AI5279">
        <v>94.114515072662101</v>
      </c>
      <c r="AJ5279">
        <v>64.843630424179196</v>
      </c>
      <c r="AK5279">
        <v>16.104681733631001</v>
      </c>
      <c r="AL5279">
        <v>82.029506624044998</v>
      </c>
      <c r="AM5279">
        <v>67.551843551938802</v>
      </c>
      <c r="AN5279">
        <v>0.99999995231642802</v>
      </c>
    </row>
    <row r="5280" spans="1:40" x14ac:dyDescent="0.25">
      <c r="A5280" t="str">
        <f>"20190312164611526"</f>
        <v>20190312164611526</v>
      </c>
      <c r="B5280" t="str">
        <f>"1552380371517028"</f>
        <v>1552380371517028</v>
      </c>
      <c r="C5280" t="s">
        <v>40</v>
      </c>
      <c r="D5280">
        <v>5.1964100000000002</v>
      </c>
      <c r="E5280">
        <v>0.52996390000000004</v>
      </c>
      <c r="F5280" t="s">
        <v>43</v>
      </c>
      <c r="G5280">
        <v>-310.96870000000001</v>
      </c>
      <c r="H5280">
        <v>-0.05</v>
      </c>
      <c r="I5280">
        <v>9.0815730000000006</v>
      </c>
      <c r="J5280">
        <v>-324.82069999999999</v>
      </c>
      <c r="K5280">
        <v>1.10545</v>
      </c>
      <c r="L5280">
        <v>16.990749999999998</v>
      </c>
      <c r="M5280">
        <v>0.99688239999999995</v>
      </c>
      <c r="N5280">
        <v>0</v>
      </c>
      <c r="O5280">
        <v>-7.771554E-2</v>
      </c>
      <c r="P5280">
        <v>0.88430889999999995</v>
      </c>
      <c r="Q5280">
        <v>0.1288184</v>
      </c>
      <c r="R5280">
        <v>-0.44878040000000002</v>
      </c>
      <c r="S5280">
        <v>2.6612239999999998</v>
      </c>
      <c r="T5280">
        <v>-0.219643</v>
      </c>
      <c r="U5280">
        <v>-1.505981</v>
      </c>
      <c r="V5280">
        <v>0.37987569999999998</v>
      </c>
      <c r="W5280">
        <v>0.1380922</v>
      </c>
      <c r="X5280">
        <v>0.91467209999999999</v>
      </c>
      <c r="Y5280">
        <v>0.42249439999999999</v>
      </c>
      <c r="Z5280">
        <v>-1.0276769999999999E-2</v>
      </c>
      <c r="AA5280">
        <v>0.90630730000000004</v>
      </c>
      <c r="AB5280">
        <v>28</v>
      </c>
      <c r="AC5280">
        <v>13.851999999999901</v>
      </c>
      <c r="AD5280">
        <v>-1.1554500000000001</v>
      </c>
      <c r="AE5280">
        <v>-7.9091769999999997</v>
      </c>
      <c r="AF5280">
        <v>6.7730962619650903</v>
      </c>
      <c r="AG5280">
        <v>-1.1554500000000001</v>
      </c>
      <c r="AH5280">
        <v>14.3495258625041</v>
      </c>
      <c r="AI5280">
        <v>94.164799656106496</v>
      </c>
      <c r="AJ5280">
        <v>64.732297474728995</v>
      </c>
      <c r="AK5280">
        <v>15.9097074189006</v>
      </c>
      <c r="AL5280">
        <v>82.0625351257126</v>
      </c>
      <c r="AM5280">
        <v>67.446226931144494</v>
      </c>
      <c r="AN5280">
        <v>1.0000000268348599</v>
      </c>
    </row>
    <row r="5281" spans="1:40" x14ac:dyDescent="0.25">
      <c r="A5281" t="str">
        <f>"20190312164611538"</f>
        <v>20190312164611538</v>
      </c>
      <c r="B5281" t="str">
        <f>"1552380371526789"</f>
        <v>1552380371526789</v>
      </c>
      <c r="C5281" t="s">
        <v>40</v>
      </c>
      <c r="D5281">
        <v>5.1906660000000002</v>
      </c>
      <c r="E5281">
        <v>0.52978800000000004</v>
      </c>
      <c r="F5281" t="s">
        <v>43</v>
      </c>
      <c r="G5281">
        <v>-310.95400000000001</v>
      </c>
      <c r="H5281">
        <v>-0.05</v>
      </c>
      <c r="I5281">
        <v>9.0685420000000008</v>
      </c>
      <c r="J5281">
        <v>-324.68439999999998</v>
      </c>
      <c r="K5281">
        <v>1.1053949999999999</v>
      </c>
      <c r="L5281">
        <v>16.977720000000001</v>
      </c>
      <c r="M5281">
        <v>0.9967028</v>
      </c>
      <c r="N5281">
        <v>0</v>
      </c>
      <c r="O5281">
        <v>-7.9985020000000004E-2</v>
      </c>
      <c r="P5281">
        <v>0.882588699999999</v>
      </c>
      <c r="Q5281">
        <v>0.12832730000000001</v>
      </c>
      <c r="R5281">
        <v>-0.45229399999999997</v>
      </c>
      <c r="S5281">
        <v>2.6549680000000002</v>
      </c>
      <c r="T5281">
        <v>-0.2212267</v>
      </c>
      <c r="U5281">
        <v>-1.516815</v>
      </c>
      <c r="V5281">
        <v>0.38144060000000002</v>
      </c>
      <c r="W5281">
        <v>0.13753580000000001</v>
      </c>
      <c r="X5281">
        <v>0.91410449999999999</v>
      </c>
      <c r="Y5281">
        <v>0.42412670000000002</v>
      </c>
      <c r="Z5281">
        <v>-1.025218E-2</v>
      </c>
      <c r="AA5281">
        <v>0.90554480000000004</v>
      </c>
      <c r="AB5281">
        <v>28</v>
      </c>
      <c r="AC5281">
        <v>13.7303999999999</v>
      </c>
      <c r="AD5281">
        <v>-1.1553949999999999</v>
      </c>
      <c r="AE5281">
        <v>-7.9091779999999998</v>
      </c>
      <c r="AF5281">
        <v>6.7496179740988502</v>
      </c>
      <c r="AG5281">
        <v>-1.1553949999999999</v>
      </c>
      <c r="AH5281">
        <v>14.243346012816801</v>
      </c>
      <c r="AI5281">
        <v>94.192516614204195</v>
      </c>
      <c r="AJ5281">
        <v>64.644724482908998</v>
      </c>
      <c r="AK5281">
        <v>15.8039610871176</v>
      </c>
      <c r="AL5281">
        <v>82.094721659612901</v>
      </c>
      <c r="AM5281">
        <v>67.350034479727995</v>
      </c>
      <c r="AN5281">
        <v>1.0000000322651199</v>
      </c>
    </row>
    <row r="5282" spans="1:40" x14ac:dyDescent="0.25">
      <c r="A5282" t="str">
        <f>"20190312164611548"</f>
        <v>20190312164611548</v>
      </c>
      <c r="B5282" t="str">
        <f>"1552380371536548"</f>
        <v>1552380371536548</v>
      </c>
      <c r="C5282" t="s">
        <v>40</v>
      </c>
      <c r="D5282">
        <v>5.204256</v>
      </c>
      <c r="E5282">
        <v>0.52949609999999903</v>
      </c>
      <c r="F5282" t="s">
        <v>43</v>
      </c>
      <c r="G5282">
        <v>-310.98340000000002</v>
      </c>
      <c r="H5282">
        <v>-0.05</v>
      </c>
      <c r="I5282">
        <v>9.0876009999999994</v>
      </c>
      <c r="J5282">
        <v>-324.5471</v>
      </c>
      <c r="K5282">
        <v>1.105342</v>
      </c>
      <c r="L5282">
        <v>16.964510000000001</v>
      </c>
      <c r="M5282">
        <v>0.99651590000000001</v>
      </c>
      <c r="N5282">
        <v>0</v>
      </c>
      <c r="O5282">
        <v>-8.2281549999999995E-2</v>
      </c>
      <c r="P5282">
        <v>0.88094819999999996</v>
      </c>
      <c r="Q5282">
        <v>0.1279293</v>
      </c>
      <c r="R5282">
        <v>-0.45559270000000002</v>
      </c>
      <c r="S5282">
        <v>2.649597</v>
      </c>
      <c r="T5282">
        <v>-0.22343869999999999</v>
      </c>
      <c r="U5282">
        <v>-1.5258480000000001</v>
      </c>
      <c r="V5282">
        <v>0.38276539999999998</v>
      </c>
      <c r="W5282">
        <v>0.137075799999999</v>
      </c>
      <c r="X5282">
        <v>0.91361970000000003</v>
      </c>
      <c r="Y5282">
        <v>0.42513719999999999</v>
      </c>
      <c r="Z5282">
        <v>-1.022694E-2</v>
      </c>
      <c r="AA5282">
        <v>0.90507110000000002</v>
      </c>
      <c r="AB5282">
        <v>28</v>
      </c>
      <c r="AC5282">
        <v>13.5636999999999</v>
      </c>
      <c r="AD5282">
        <v>-1.1553420000000001</v>
      </c>
      <c r="AE5282">
        <v>-7.8769090000000004</v>
      </c>
      <c r="AF5282">
        <v>6.69770906206654</v>
      </c>
      <c r="AG5282">
        <v>-1.1553420000000001</v>
      </c>
      <c r="AH5282">
        <v>14.089438835907901</v>
      </c>
      <c r="AI5282">
        <v>94.235514211113795</v>
      </c>
      <c r="AJ5282">
        <v>64.574945994716899</v>
      </c>
      <c r="AK5282">
        <v>15.6430945956304</v>
      </c>
      <c r="AL5282">
        <v>82.121329802113905</v>
      </c>
      <c r="AM5282">
        <v>67.268516826047602</v>
      </c>
      <c r="AN5282">
        <v>1.00000004130544</v>
      </c>
    </row>
    <row r="5283" spans="1:40" x14ac:dyDescent="0.25">
      <c r="A5283" t="str">
        <f>"20190312164611558"</f>
        <v>20190312164611558</v>
      </c>
      <c r="B5283" t="str">
        <f>"1552380371546308"</f>
        <v>1552380371546308</v>
      </c>
      <c r="C5283" t="s">
        <v>40</v>
      </c>
      <c r="D5283">
        <v>5.208526</v>
      </c>
      <c r="E5283">
        <v>0.52925649999999902</v>
      </c>
      <c r="F5283" t="s">
        <v>43</v>
      </c>
      <c r="G5283">
        <v>-310.98</v>
      </c>
      <c r="H5283">
        <v>-0.05</v>
      </c>
      <c r="I5283">
        <v>9.098312</v>
      </c>
      <c r="J5283">
        <v>-324.42079999999999</v>
      </c>
      <c r="K5283">
        <v>1.105299</v>
      </c>
      <c r="L5283">
        <v>16.951779999999999</v>
      </c>
      <c r="M5283">
        <v>0.99633490000000002</v>
      </c>
      <c r="N5283">
        <v>0</v>
      </c>
      <c r="O5283">
        <v>-8.4442210000000004E-2</v>
      </c>
      <c r="P5283">
        <v>0.87934869999999898</v>
      </c>
      <c r="Q5283">
        <v>0.12780269999999999</v>
      </c>
      <c r="R5283">
        <v>-0.45870739999999999</v>
      </c>
      <c r="S5283">
        <v>2.6450499999999999</v>
      </c>
      <c r="T5283">
        <v>-0.22524640000000001</v>
      </c>
      <c r="U5283">
        <v>-1.5336000000000001</v>
      </c>
      <c r="V5283">
        <v>0.38403110000000001</v>
      </c>
      <c r="W5283">
        <v>0.1368944</v>
      </c>
      <c r="X5283">
        <v>0.91311560000000003</v>
      </c>
      <c r="Y5283">
        <v>0.42582399999999998</v>
      </c>
      <c r="Z5283">
        <v>-1.0176910000000001E-2</v>
      </c>
      <c r="AA5283">
        <v>0.90474880000000002</v>
      </c>
      <c r="AB5283">
        <v>28</v>
      </c>
      <c r="AC5283">
        <v>13.4407999999999</v>
      </c>
      <c r="AD5283">
        <v>-1.1552990000000001</v>
      </c>
      <c r="AE5283">
        <v>-7.8534679999999897</v>
      </c>
      <c r="AF5283">
        <v>6.6536893964692903</v>
      </c>
      <c r="AG5283">
        <v>-1.1552990000000001</v>
      </c>
      <c r="AH5283">
        <v>13.9790179663134</v>
      </c>
      <c r="AI5283">
        <v>94.267689629632102</v>
      </c>
      <c r="AJ5283">
        <v>64.546631656973204</v>
      </c>
      <c r="AK5283">
        <v>15.5247944162428</v>
      </c>
      <c r="AL5283">
        <v>82.131822082830993</v>
      </c>
      <c r="AM5283">
        <v>67.189727970882402</v>
      </c>
      <c r="AN5283">
        <v>1.00000003074096</v>
      </c>
    </row>
    <row r="5284" spans="1:40" x14ac:dyDescent="0.25">
      <c r="A5284" t="str">
        <f>"20190312164611569"</f>
        <v>20190312164611569</v>
      </c>
      <c r="B5284" t="str">
        <f>"1552380371566804"</f>
        <v>1552380371566804</v>
      </c>
      <c r="C5284" t="s">
        <v>40</v>
      </c>
      <c r="D5284">
        <v>5.2483129999999996</v>
      </c>
      <c r="E5284">
        <v>0.5288775</v>
      </c>
      <c r="F5284" t="s">
        <v>43</v>
      </c>
      <c r="G5284">
        <v>-310.9393</v>
      </c>
      <c r="H5284">
        <v>-0.05</v>
      </c>
      <c r="I5284">
        <v>9.0835720000000002</v>
      </c>
      <c r="J5284">
        <v>-324.28210000000001</v>
      </c>
      <c r="K5284">
        <v>1.1052489999999999</v>
      </c>
      <c r="L5284">
        <v>16.937739999999899</v>
      </c>
      <c r="M5284">
        <v>0.99613059999999998</v>
      </c>
      <c r="N5284">
        <v>0</v>
      </c>
      <c r="O5284">
        <v>-8.6819090000000002E-2</v>
      </c>
      <c r="P5284">
        <v>0.87765139999999997</v>
      </c>
      <c r="Q5284">
        <v>0.12755330000000001</v>
      </c>
      <c r="R5284">
        <v>-0.46201589999999998</v>
      </c>
      <c r="S5284">
        <v>2.6405639999999999</v>
      </c>
      <c r="T5284">
        <v>-0.2262827</v>
      </c>
      <c r="U5284">
        <v>-1.541107</v>
      </c>
      <c r="V5284">
        <v>0.38530350000000002</v>
      </c>
      <c r="W5284">
        <v>0.1365874</v>
      </c>
      <c r="X5284">
        <v>0.91262540000000003</v>
      </c>
      <c r="Y5284">
        <v>0.42625010000000002</v>
      </c>
      <c r="Z5284">
        <v>-1.006306E-2</v>
      </c>
      <c r="AA5284">
        <v>0.90454939999999995</v>
      </c>
      <c r="AB5284">
        <v>28</v>
      </c>
      <c r="AC5284">
        <v>13.3428</v>
      </c>
      <c r="AD5284">
        <v>-1.155249</v>
      </c>
      <c r="AE5284">
        <v>-7.8541679999999898</v>
      </c>
      <c r="AF5284">
        <v>6.6290816558302001</v>
      </c>
      <c r="AG5284">
        <v>-1.155249</v>
      </c>
      <c r="AH5284">
        <v>13.896994963843101</v>
      </c>
      <c r="AI5284">
        <v>94.290875011428994</v>
      </c>
      <c r="AJ5284">
        <v>64.4981356514661</v>
      </c>
      <c r="AK5284">
        <v>15.4403948419963</v>
      </c>
      <c r="AL5284">
        <v>82.149578535631505</v>
      </c>
      <c r="AM5284">
        <v>67.110898945970007</v>
      </c>
      <c r="AN5284">
        <v>1.0000000128380799</v>
      </c>
    </row>
    <row r="5285" spans="1:40" x14ac:dyDescent="0.25">
      <c r="A5285" t="str">
        <f>"20190312164611581"</f>
        <v>20190312164611581</v>
      </c>
      <c r="B5285" t="str">
        <f>"1552380371576567"</f>
        <v>1552380371576567</v>
      </c>
      <c r="C5285" t="s">
        <v>40</v>
      </c>
      <c r="D5285">
        <v>5.2545919999999997</v>
      </c>
      <c r="E5285">
        <v>0.52871199999999996</v>
      </c>
      <c r="F5285" t="s">
        <v>43</v>
      </c>
      <c r="G5285">
        <v>-310.96409999999997</v>
      </c>
      <c r="H5285">
        <v>-0.05</v>
      </c>
      <c r="I5285">
        <v>9.1170650000000002</v>
      </c>
      <c r="J5285">
        <v>-324.13240000000002</v>
      </c>
      <c r="K5285">
        <v>1.105205</v>
      </c>
      <c r="L5285">
        <v>16.921939999999999</v>
      </c>
      <c r="M5285">
        <v>0.9958998</v>
      </c>
      <c r="N5285">
        <v>0</v>
      </c>
      <c r="O5285">
        <v>-8.9428320000000006E-2</v>
      </c>
      <c r="P5285">
        <v>0.87590809999999997</v>
      </c>
      <c r="Q5285">
        <v>0.127307</v>
      </c>
      <c r="R5285">
        <v>-0.46537970000000001</v>
      </c>
      <c r="S5285">
        <v>2.636444</v>
      </c>
      <c r="T5285">
        <v>-0.2286938</v>
      </c>
      <c r="U5285">
        <v>-1.548187</v>
      </c>
      <c r="V5285">
        <v>0.38642490000000002</v>
      </c>
      <c r="W5285">
        <v>0.136288299999999</v>
      </c>
      <c r="X5285">
        <v>0.91219589999999995</v>
      </c>
      <c r="Y5285">
        <v>0.4262917</v>
      </c>
      <c r="Z5285">
        <v>-9.9729320000000003E-3</v>
      </c>
      <c r="AA5285">
        <v>0.90453079999999997</v>
      </c>
      <c r="AB5285">
        <v>28</v>
      </c>
      <c r="AC5285">
        <v>13.1683</v>
      </c>
      <c r="AD5285">
        <v>-1.155205</v>
      </c>
      <c r="AE5285">
        <v>-7.8048749999999902</v>
      </c>
      <c r="AF5285">
        <v>6.5585164777164104</v>
      </c>
      <c r="AG5285">
        <v>-1.155205</v>
      </c>
      <c r="AH5285">
        <v>13.7353446205998</v>
      </c>
      <c r="AI5285">
        <v>94.340216521813105</v>
      </c>
      <c r="AJ5285">
        <v>64.475900269164697</v>
      </c>
      <c r="AK5285">
        <v>15.264610339839701</v>
      </c>
      <c r="AL5285">
        <v>82.166877623010805</v>
      </c>
      <c r="AM5285">
        <v>67.041487522538503</v>
      </c>
      <c r="AN5285">
        <v>1.0000000320168501</v>
      </c>
    </row>
    <row r="5286" spans="1:40" x14ac:dyDescent="0.25">
      <c r="A5286" t="str">
        <f>"20190312164611594"</f>
        <v>20190312164611594</v>
      </c>
      <c r="B5286" t="str">
        <f>"1552380371586324"</f>
        <v>1552380371586324</v>
      </c>
      <c r="C5286" t="s">
        <v>40</v>
      </c>
      <c r="D5286">
        <v>5.2029230000000002</v>
      </c>
      <c r="E5286">
        <v>0.52849650000000004</v>
      </c>
      <c r="F5286" t="s">
        <v>43</v>
      </c>
      <c r="G5286">
        <v>-310.91239999999999</v>
      </c>
      <c r="H5286">
        <v>-0.05</v>
      </c>
      <c r="I5286">
        <v>9.0995480000000004</v>
      </c>
      <c r="J5286">
        <v>-323.97609999999997</v>
      </c>
      <c r="K5286">
        <v>1.1051629999999999</v>
      </c>
      <c r="L5286">
        <v>16.90512</v>
      </c>
      <c r="M5286">
        <v>0.99564980000000003</v>
      </c>
      <c r="N5286">
        <v>0</v>
      </c>
      <c r="O5286">
        <v>-9.2167669999999993E-2</v>
      </c>
      <c r="P5286">
        <v>0.87408330000000001</v>
      </c>
      <c r="Q5286">
        <v>0.12733649999999999</v>
      </c>
      <c r="R5286">
        <v>-0.46878989999999998</v>
      </c>
      <c r="S5286">
        <v>2.6312259999999998</v>
      </c>
      <c r="T5286">
        <v>-0.22992409999999999</v>
      </c>
      <c r="U5286">
        <v>-1.556915</v>
      </c>
      <c r="V5286">
        <v>0.38748640000000001</v>
      </c>
      <c r="W5286">
        <v>0.136268</v>
      </c>
      <c r="X5286">
        <v>0.91174849999999996</v>
      </c>
      <c r="Y5286">
        <v>0.42680820000000003</v>
      </c>
      <c r="Z5286">
        <v>-9.83909E-3</v>
      </c>
      <c r="AA5286">
        <v>0.9042886</v>
      </c>
      <c r="AB5286">
        <v>28</v>
      </c>
      <c r="AC5286">
        <v>13.0636999999999</v>
      </c>
      <c r="AD5286">
        <v>-1.1551629999999999</v>
      </c>
      <c r="AE5286">
        <v>-7.8055719999999997</v>
      </c>
      <c r="AF5286">
        <v>6.5305493242165502</v>
      </c>
      <c r="AG5286">
        <v>-1.1551629999999999</v>
      </c>
      <c r="AH5286">
        <v>13.648927606283801</v>
      </c>
      <c r="AI5286">
        <v>94.365783364112204</v>
      </c>
      <c r="AJ5286">
        <v>64.430465150142297</v>
      </c>
      <c r="AK5286">
        <v>15.174837753141601</v>
      </c>
      <c r="AL5286">
        <v>82.168051448936794</v>
      </c>
      <c r="AM5286">
        <v>66.974865281626805</v>
      </c>
      <c r="AN5286">
        <v>1.0000000026306</v>
      </c>
    </row>
    <row r="5287" spans="1:40" x14ac:dyDescent="0.25">
      <c r="A5287" t="str">
        <f>"20190312164611603"</f>
        <v>20190312164611603</v>
      </c>
      <c r="B5287" t="str">
        <f>"1552380371597060"</f>
        <v>1552380371597060</v>
      </c>
      <c r="C5287" t="s">
        <v>40</v>
      </c>
      <c r="D5287">
        <v>5.2015169999999999</v>
      </c>
      <c r="E5287">
        <v>0.52826949999999995</v>
      </c>
      <c r="F5287" t="s">
        <v>43</v>
      </c>
      <c r="G5287">
        <v>-310.76870000000002</v>
      </c>
      <c r="H5287">
        <v>-0.05</v>
      </c>
      <c r="I5287">
        <v>9.0316310000000009</v>
      </c>
      <c r="J5287">
        <v>-323.84679999999997</v>
      </c>
      <c r="K5287">
        <v>1.1051359999999999</v>
      </c>
      <c r="L5287">
        <v>16.890840000000001</v>
      </c>
      <c r="M5287">
        <v>0.99543579999999998</v>
      </c>
      <c r="N5287">
        <v>0</v>
      </c>
      <c r="O5287">
        <v>-9.4450930000000002E-2</v>
      </c>
      <c r="P5287">
        <v>0.87256089999999997</v>
      </c>
      <c r="Q5287">
        <v>0.127384199999999</v>
      </c>
      <c r="R5287">
        <v>-0.47160469999999999</v>
      </c>
      <c r="S5287">
        <v>2.6260379999999999</v>
      </c>
      <c r="T5287">
        <v>-0.22968179999999999</v>
      </c>
      <c r="U5287">
        <v>-1.565491</v>
      </c>
      <c r="V5287">
        <v>0.38834580000000002</v>
      </c>
      <c r="W5287">
        <v>0.13627929999999999</v>
      </c>
      <c r="X5287">
        <v>0.91138110000000006</v>
      </c>
      <c r="Y5287">
        <v>0.42770419999999998</v>
      </c>
      <c r="Z5287">
        <v>-9.6929459999999992E-3</v>
      </c>
      <c r="AA5287">
        <v>0.90386679999999997</v>
      </c>
      <c r="AB5287">
        <v>28</v>
      </c>
      <c r="AC5287">
        <v>13.0780999999999</v>
      </c>
      <c r="AD5287">
        <v>-1.1551359999999999</v>
      </c>
      <c r="AE5287">
        <v>-7.8592089999999999</v>
      </c>
      <c r="AF5287">
        <v>6.5511653385719999</v>
      </c>
      <c r="AG5287">
        <v>-1.1551359999999999</v>
      </c>
      <c r="AH5287">
        <v>13.6835737173705</v>
      </c>
      <c r="AI5287">
        <v>94.354172016343995</v>
      </c>
      <c r="AJ5287">
        <v>64.416705019309902</v>
      </c>
      <c r="AK5287">
        <v>15.2148708883946</v>
      </c>
      <c r="AL5287">
        <v>82.167397957846404</v>
      </c>
      <c r="AM5287">
        <v>66.920810183469996</v>
      </c>
      <c r="AN5287">
        <v>1.0000000087116701</v>
      </c>
    </row>
    <row r="5288" spans="1:40" x14ac:dyDescent="0.25">
      <c r="A5288" t="str">
        <f>"20190312164611615"</f>
        <v>20190312164611615</v>
      </c>
      <c r="B5288" t="str">
        <f>"1552380371606820"</f>
        <v>1552380371606820</v>
      </c>
      <c r="C5288" t="s">
        <v>40</v>
      </c>
      <c r="D5288">
        <v>5.1727089999999896</v>
      </c>
      <c r="E5288">
        <v>0.52804099999999998</v>
      </c>
      <c r="F5288" t="s">
        <v>43</v>
      </c>
      <c r="G5288">
        <v>-310.67180000000002</v>
      </c>
      <c r="H5288">
        <v>-0.05</v>
      </c>
      <c r="I5288">
        <v>8.9907839999999997</v>
      </c>
      <c r="J5288">
        <v>-323.70429999999999</v>
      </c>
      <c r="K5288">
        <v>1.105111</v>
      </c>
      <c r="L5288">
        <v>16.87473</v>
      </c>
      <c r="M5288">
        <v>0.99519259999999998</v>
      </c>
      <c r="N5288">
        <v>0</v>
      </c>
      <c r="O5288">
        <v>-9.697836E-2</v>
      </c>
      <c r="P5288">
        <v>0.87074010000000002</v>
      </c>
      <c r="Q5288">
        <v>0.12756680000000001</v>
      </c>
      <c r="R5288">
        <v>-0.47490880000000002</v>
      </c>
      <c r="S5288">
        <v>2.6219790000000001</v>
      </c>
      <c r="T5288">
        <v>-0.2298859</v>
      </c>
      <c r="U5288">
        <v>-1.5722050000000001</v>
      </c>
      <c r="V5288">
        <v>0.38950069999999998</v>
      </c>
      <c r="W5288">
        <v>0.1364234</v>
      </c>
      <c r="X5288">
        <v>0.91086650000000002</v>
      </c>
      <c r="Y5288">
        <v>0.427734</v>
      </c>
      <c r="Z5288">
        <v>-9.5090069999999999E-3</v>
      </c>
      <c r="AA5288">
        <v>0.90385459999999995</v>
      </c>
      <c r="AB5288">
        <v>28</v>
      </c>
      <c r="AC5288">
        <v>13.032499999999899</v>
      </c>
      <c r="AD5288">
        <v>-1.155111</v>
      </c>
      <c r="AE5288">
        <v>-7.8839459999999999</v>
      </c>
      <c r="AF5288">
        <v>6.5451472829888697</v>
      </c>
      <c r="AG5288">
        <v>-1.155111</v>
      </c>
      <c r="AH5288">
        <v>13.6571589526355</v>
      </c>
      <c r="AI5288">
        <v>94.361645387459305</v>
      </c>
      <c r="AJ5288">
        <v>64.394086919177099</v>
      </c>
      <c r="AK5288">
        <v>15.1885228062472</v>
      </c>
      <c r="AL5288">
        <v>82.159063415965704</v>
      </c>
      <c r="AM5288">
        <v>66.847693753439998</v>
      </c>
      <c r="AN5288">
        <v>0.99999996009514902</v>
      </c>
    </row>
    <row r="5289" spans="1:40" x14ac:dyDescent="0.25">
      <c r="A5289" t="str">
        <f>"20190312164611626"</f>
        <v>20190312164611626</v>
      </c>
      <c r="B5289" t="str">
        <f>"1552380371616580"</f>
        <v>1552380371616580</v>
      </c>
      <c r="C5289" t="s">
        <v>40</v>
      </c>
      <c r="D5289">
        <v>5.1915620000000002</v>
      </c>
      <c r="E5289">
        <v>0.5277444</v>
      </c>
      <c r="F5289" t="s">
        <v>43</v>
      </c>
      <c r="G5289">
        <v>-310.55650000000003</v>
      </c>
      <c r="H5289">
        <v>-0.05</v>
      </c>
      <c r="I5289">
        <v>8.9381409999999999</v>
      </c>
      <c r="J5289">
        <v>-323.56020000000001</v>
      </c>
      <c r="K5289">
        <v>1.1050879999999901</v>
      </c>
      <c r="L5289">
        <v>16.85812</v>
      </c>
      <c r="M5289">
        <v>0.99493949999999998</v>
      </c>
      <c r="N5289">
        <v>0</v>
      </c>
      <c r="O5289">
        <v>-9.9542610000000004E-2</v>
      </c>
      <c r="P5289">
        <v>0.8688051</v>
      </c>
      <c r="Q5289">
        <v>0.12801889999999999</v>
      </c>
      <c r="R5289">
        <v>-0.47831950000000001</v>
      </c>
      <c r="S5289">
        <v>2.6173099999999998</v>
      </c>
      <c r="T5289">
        <v>-0.2299466</v>
      </c>
      <c r="U5289">
        <v>-1.5799259999999999</v>
      </c>
      <c r="V5289">
        <v>0.39074449999999999</v>
      </c>
      <c r="W5289">
        <v>0.13683870000000001</v>
      </c>
      <c r="X5289">
        <v>0.91027130000000001</v>
      </c>
      <c r="Y5289">
        <v>0.42807830000000002</v>
      </c>
      <c r="Z5289">
        <v>-9.3295930000000006E-3</v>
      </c>
      <c r="AA5289">
        <v>0.90369350000000004</v>
      </c>
      <c r="AB5289">
        <v>28</v>
      </c>
      <c r="AC5289">
        <v>13.003699999999901</v>
      </c>
      <c r="AD5289">
        <v>-1.1550879999999999</v>
      </c>
      <c r="AE5289">
        <v>-7.9199789999999997</v>
      </c>
      <c r="AF5289">
        <v>6.5484037817559999</v>
      </c>
      <c r="AG5289">
        <v>-1.1550879999999999</v>
      </c>
      <c r="AH5289">
        <v>13.648996076267</v>
      </c>
      <c r="AI5289">
        <v>94.3632671969374</v>
      </c>
      <c r="AJ5289">
        <v>64.369620414266194</v>
      </c>
      <c r="AK5289">
        <v>15.1825858886625</v>
      </c>
      <c r="AL5289">
        <v>82.135043269731199</v>
      </c>
      <c r="AM5289">
        <v>66.768010830096898</v>
      </c>
      <c r="AN5289">
        <v>0.99999996685081405</v>
      </c>
    </row>
    <row r="5290" spans="1:40" x14ac:dyDescent="0.25">
      <c r="A5290" t="str">
        <f>"20190312164611638"</f>
        <v>20190312164611638</v>
      </c>
      <c r="B5290" t="str">
        <f>"1552380371626341"</f>
        <v>1552380371626341</v>
      </c>
      <c r="C5290" t="s">
        <v>40</v>
      </c>
      <c r="D5290">
        <v>5.2550290000000004</v>
      </c>
      <c r="E5290">
        <v>0.52760430000000003</v>
      </c>
      <c r="F5290" t="s">
        <v>43</v>
      </c>
      <c r="G5290">
        <v>-310.37970000000001</v>
      </c>
      <c r="H5290">
        <v>-0.05</v>
      </c>
      <c r="I5290">
        <v>8.8487089999999995</v>
      </c>
      <c r="J5290">
        <v>-323.42590000000001</v>
      </c>
      <c r="K5290">
        <v>1.1050789999999999</v>
      </c>
      <c r="L5290">
        <v>16.842129999999901</v>
      </c>
      <c r="M5290">
        <v>0.99469640000000004</v>
      </c>
      <c r="N5290">
        <v>0</v>
      </c>
      <c r="O5290">
        <v>-0.10194250000000001</v>
      </c>
      <c r="P5290">
        <v>0.8668749</v>
      </c>
      <c r="Q5290">
        <v>0.12826460000000001</v>
      </c>
      <c r="R5290">
        <v>-0.48174270000000002</v>
      </c>
      <c r="S5290">
        <v>2.6126710000000002</v>
      </c>
      <c r="T5290">
        <v>-0.22896459999999999</v>
      </c>
      <c r="U5290">
        <v>-1.5876459999999999</v>
      </c>
      <c r="V5290">
        <v>0.39215159999999999</v>
      </c>
      <c r="W5290">
        <v>0.1370536</v>
      </c>
      <c r="X5290">
        <v>0.90963369999999999</v>
      </c>
      <c r="Y5290">
        <v>0.4285738</v>
      </c>
      <c r="Z5290">
        <v>-9.1275590000000004E-3</v>
      </c>
      <c r="AA5290">
        <v>0.90346059999999995</v>
      </c>
      <c r="AB5290">
        <v>28</v>
      </c>
      <c r="AC5290">
        <v>13.046200000000001</v>
      </c>
      <c r="AD5290">
        <v>-1.155079</v>
      </c>
      <c r="AE5290">
        <v>-7.9934209999999899</v>
      </c>
      <c r="AF5290">
        <v>6.5841579061509599</v>
      </c>
      <c r="AG5290">
        <v>-1.155079</v>
      </c>
      <c r="AH5290">
        <v>13.7149992206925</v>
      </c>
      <c r="AI5290">
        <v>94.341812990447707</v>
      </c>
      <c r="AJ5290">
        <v>64.355740597807895</v>
      </c>
      <c r="AK5290">
        <v>15.2573440169961</v>
      </c>
      <c r="AL5290">
        <v>82.122613698053996</v>
      </c>
      <c r="AM5290">
        <v>66.6786738652943</v>
      </c>
      <c r="AN5290">
        <v>1.0000000174156001</v>
      </c>
    </row>
    <row r="5291" spans="1:40" x14ac:dyDescent="0.25">
      <c r="A5291" t="str">
        <f>"20190312164611649"</f>
        <v>20190312164611649</v>
      </c>
      <c r="B5291" t="str">
        <f>"1552380371647000"</f>
        <v>1552380371647000</v>
      </c>
      <c r="C5291" t="s">
        <v>40</v>
      </c>
      <c r="D5291">
        <v>5.2346180000000002</v>
      </c>
      <c r="E5291">
        <v>0.52720059999999902</v>
      </c>
      <c r="F5291" t="s">
        <v>43</v>
      </c>
      <c r="G5291">
        <v>-310.21570000000003</v>
      </c>
      <c r="H5291">
        <v>-0.05</v>
      </c>
      <c r="I5291">
        <v>8.7548829999999995</v>
      </c>
      <c r="J5291">
        <v>-323.2722</v>
      </c>
      <c r="K5291">
        <v>1.1050690000000001</v>
      </c>
      <c r="L5291">
        <v>16.82367</v>
      </c>
      <c r="M5291">
        <v>0.99441089999999999</v>
      </c>
      <c r="N5291">
        <v>0</v>
      </c>
      <c r="O5291">
        <v>-0.1046912</v>
      </c>
      <c r="P5291">
        <v>0.86485140000000005</v>
      </c>
      <c r="Q5291">
        <v>0.12830349999999999</v>
      </c>
      <c r="R5291">
        <v>-0.48535640000000002</v>
      </c>
      <c r="S5291">
        <v>2.607361</v>
      </c>
      <c r="T5291">
        <v>-0.22798379999999999</v>
      </c>
      <c r="U5291">
        <v>-1.596222</v>
      </c>
      <c r="V5291">
        <v>0.39344040000000002</v>
      </c>
      <c r="W5291">
        <v>0.1370635</v>
      </c>
      <c r="X5291">
        <v>0.90907550000000004</v>
      </c>
      <c r="Y5291">
        <v>0.42907149999999999</v>
      </c>
      <c r="Z5291">
        <v>-8.9006409999999904E-3</v>
      </c>
      <c r="AA5291">
        <v>0.90322670000000005</v>
      </c>
      <c r="AB5291">
        <v>28</v>
      </c>
      <c r="AC5291">
        <v>13.0564999999999</v>
      </c>
      <c r="AD5291">
        <v>-1.1550689999999999</v>
      </c>
      <c r="AE5291">
        <v>-8.0687870000000004</v>
      </c>
      <c r="AF5291">
        <v>6.61991897473089</v>
      </c>
      <c r="AG5291">
        <v>-1.1550689999999999</v>
      </c>
      <c r="AH5291">
        <v>13.7516660160853</v>
      </c>
      <c r="AI5291">
        <v>94.3280192251583</v>
      </c>
      <c r="AJ5291">
        <v>64.294286319913098</v>
      </c>
      <c r="AK5291">
        <v>15.3057449947632</v>
      </c>
      <c r="AL5291">
        <v>82.122040991576199</v>
      </c>
      <c r="AM5291">
        <v>66.597435891440398</v>
      </c>
      <c r="AN5291">
        <v>1.0000000080423299</v>
      </c>
    </row>
    <row r="5292" spans="1:40" x14ac:dyDescent="0.25">
      <c r="A5292" t="str">
        <f>"20190312164611660"</f>
        <v>20190312164611660</v>
      </c>
      <c r="B5292" t="str">
        <f>"1552380371656760"</f>
        <v>1552380371656760</v>
      </c>
      <c r="C5292" t="s">
        <v>40</v>
      </c>
      <c r="D5292">
        <v>5.2544089999999999</v>
      </c>
      <c r="E5292">
        <v>0.52694949999999996</v>
      </c>
      <c r="F5292" t="s">
        <v>43</v>
      </c>
      <c r="G5292">
        <v>-309.99169999999998</v>
      </c>
      <c r="H5292">
        <v>-0.05</v>
      </c>
      <c r="I5292">
        <v>8.6388549999999995</v>
      </c>
      <c r="J5292">
        <v>-323.1336</v>
      </c>
      <c r="K5292">
        <v>1.1050660000000001</v>
      </c>
      <c r="L5292">
        <v>16.8064</v>
      </c>
      <c r="M5292">
        <v>0.99414630000000004</v>
      </c>
      <c r="N5292">
        <v>0</v>
      </c>
      <c r="O5292">
        <v>-0.1071749</v>
      </c>
      <c r="P5292">
        <v>0.86295100000000002</v>
      </c>
      <c r="Q5292">
        <v>0.12844410000000001</v>
      </c>
      <c r="R5292">
        <v>-0.48869020000000002</v>
      </c>
      <c r="S5292">
        <v>2.602325</v>
      </c>
      <c r="T5292">
        <v>-0.2263365</v>
      </c>
      <c r="U5292">
        <v>-1.6038209999999999</v>
      </c>
      <c r="V5292">
        <v>0.39468439999999999</v>
      </c>
      <c r="W5292">
        <v>0.13718350000000001</v>
      </c>
      <c r="X5292">
        <v>0.90851800000000005</v>
      </c>
      <c r="Y5292">
        <v>0.4295252</v>
      </c>
      <c r="Z5292">
        <v>-8.6686790000000003E-3</v>
      </c>
      <c r="AA5292">
        <v>0.90301330000000002</v>
      </c>
      <c r="AB5292">
        <v>28</v>
      </c>
      <c r="AC5292">
        <v>13.1419</v>
      </c>
      <c r="AD5292">
        <v>-1.1550659999999999</v>
      </c>
      <c r="AE5292">
        <v>-8.1675450000000005</v>
      </c>
      <c r="AF5292">
        <v>6.67468412039337</v>
      </c>
      <c r="AG5292">
        <v>-1.1550659999999999</v>
      </c>
      <c r="AH5292">
        <v>13.864368133833199</v>
      </c>
      <c r="AI5292">
        <v>94.292896465394307</v>
      </c>
      <c r="AJ5292">
        <v>64.292570426946796</v>
      </c>
      <c r="AK5292">
        <v>15.430693092723899</v>
      </c>
      <c r="AL5292">
        <v>82.1151000456926</v>
      </c>
      <c r="AM5292">
        <v>66.518590705473102</v>
      </c>
      <c r="AN5292">
        <v>1.0000000222998</v>
      </c>
    </row>
    <row r="5293" spans="1:40" x14ac:dyDescent="0.25">
      <c r="A5293" t="str">
        <f>"20190312164611671"</f>
        <v>20190312164611671</v>
      </c>
      <c r="B5293" t="str">
        <f>"1552380371666520"</f>
        <v>1552380371666520</v>
      </c>
      <c r="C5293" t="s">
        <v>40</v>
      </c>
      <c r="D5293">
        <v>5.2504809999999997</v>
      </c>
      <c r="E5293">
        <v>0.52672339999999995</v>
      </c>
      <c r="F5293" t="s">
        <v>43</v>
      </c>
      <c r="G5293">
        <v>-309.87</v>
      </c>
      <c r="H5293">
        <v>-0.05</v>
      </c>
      <c r="I5293">
        <v>8.5758510000000001</v>
      </c>
      <c r="J5293">
        <v>-323.0127</v>
      </c>
      <c r="K5293">
        <v>1.1050660000000001</v>
      </c>
      <c r="L5293">
        <v>16.79129</v>
      </c>
      <c r="M5293">
        <v>0.99391059999999998</v>
      </c>
      <c r="N5293">
        <v>0</v>
      </c>
      <c r="O5293">
        <v>-0.1093382</v>
      </c>
      <c r="P5293">
        <v>0.86131769999999996</v>
      </c>
      <c r="Q5293">
        <v>0.1284372</v>
      </c>
      <c r="R5293">
        <v>-0.49156460000000002</v>
      </c>
      <c r="S5293">
        <v>2.5973510000000002</v>
      </c>
      <c r="T5293">
        <v>-0.2261919</v>
      </c>
      <c r="U5293">
        <v>-1.6117549999999901</v>
      </c>
      <c r="V5293">
        <v>0.3957386</v>
      </c>
      <c r="W5293">
        <v>0.13715939999999999</v>
      </c>
      <c r="X5293">
        <v>0.90806290000000001</v>
      </c>
      <c r="Y5293">
        <v>0.43033090000000002</v>
      </c>
      <c r="Z5293">
        <v>-8.5339359999999902E-3</v>
      </c>
      <c r="AA5293">
        <v>0.90263090000000001</v>
      </c>
      <c r="AB5293">
        <v>28</v>
      </c>
      <c r="AC5293">
        <v>13.1426999999999</v>
      </c>
      <c r="AD5293">
        <v>-1.1550659999999999</v>
      </c>
      <c r="AE5293">
        <v>-8.2154389999999999</v>
      </c>
      <c r="AF5293">
        <v>6.6918755913384302</v>
      </c>
      <c r="AG5293">
        <v>-1.1550659999999999</v>
      </c>
      <c r="AH5293">
        <v>13.885118419945201</v>
      </c>
      <c r="AI5293">
        <v>94.285639071571296</v>
      </c>
      <c r="AJ5293">
        <v>64.268449680278394</v>
      </c>
      <c r="AK5293">
        <v>15.456774887738</v>
      </c>
      <c r="AL5293">
        <v>82.116493758659999</v>
      </c>
      <c r="AM5293">
        <v>66.452173887095597</v>
      </c>
      <c r="AN5293">
        <v>0.99999998544736401</v>
      </c>
    </row>
    <row r="5294" spans="1:40" x14ac:dyDescent="0.25">
      <c r="A5294" t="str">
        <f>"20190312164611682"</f>
        <v>20190312164611682</v>
      </c>
      <c r="B5294" t="str">
        <f>"1552380371676280"</f>
        <v>1552380371676280</v>
      </c>
      <c r="C5294" t="s">
        <v>40</v>
      </c>
      <c r="D5294">
        <v>5.1992240000000001</v>
      </c>
      <c r="E5294">
        <v>0.52672339999999995</v>
      </c>
      <c r="F5294" t="s">
        <v>43</v>
      </c>
      <c r="G5294">
        <v>-309.79629999999997</v>
      </c>
      <c r="H5294">
        <v>-0.05</v>
      </c>
      <c r="I5294">
        <v>8.53895599999999</v>
      </c>
      <c r="J5294">
        <v>-322.86559999999997</v>
      </c>
      <c r="K5294">
        <v>1.1050690000000001</v>
      </c>
      <c r="L5294">
        <v>16.772279999999999</v>
      </c>
      <c r="M5294">
        <v>0.99361750000000004</v>
      </c>
      <c r="N5294">
        <v>0</v>
      </c>
      <c r="O5294">
        <v>-0.11196970000000001</v>
      </c>
      <c r="P5294">
        <v>0.85943510000000001</v>
      </c>
      <c r="Q5294">
        <v>0.12872629999999999</v>
      </c>
      <c r="R5294">
        <v>-0.49477359999999998</v>
      </c>
      <c r="S5294">
        <v>2.5928650000000002</v>
      </c>
      <c r="T5294">
        <v>-0.226607</v>
      </c>
      <c r="U5294">
        <v>-1.6189880000000001</v>
      </c>
      <c r="V5294">
        <v>0.39672940000000001</v>
      </c>
      <c r="W5294">
        <v>0.13743569999999999</v>
      </c>
      <c r="X5294">
        <v>0.90758870000000003</v>
      </c>
      <c r="Y5294">
        <v>0.4304578</v>
      </c>
      <c r="Z5294">
        <v>-8.3551700000000003E-3</v>
      </c>
      <c r="AA5294">
        <v>0.90257200000000004</v>
      </c>
      <c r="AB5294">
        <v>28</v>
      </c>
      <c r="AC5294">
        <v>13.069299999999901</v>
      </c>
      <c r="AD5294">
        <v>-1.1550689999999999</v>
      </c>
      <c r="AE5294">
        <v>-8.2333239999999996</v>
      </c>
      <c r="AF5294">
        <v>6.6806801463186396</v>
      </c>
      <c r="AG5294">
        <v>-1.1550689999999999</v>
      </c>
      <c r="AH5294">
        <v>13.8317239184189</v>
      </c>
      <c r="AI5294">
        <v>94.300369360771995</v>
      </c>
      <c r="AJ5294">
        <v>64.219600155621706</v>
      </c>
      <c r="AK5294">
        <v>15.403968909587499</v>
      </c>
      <c r="AL5294">
        <v>82.1005118429389</v>
      </c>
      <c r="AM5294">
        <v>66.388675290389799</v>
      </c>
      <c r="AN5294">
        <v>1.00000001841326</v>
      </c>
    </row>
    <row r="5295" spans="1:40" x14ac:dyDescent="0.25">
      <c r="A5295" t="str">
        <f>"20190312164611693"</f>
        <v>20190312164611693</v>
      </c>
      <c r="B5295" t="str">
        <f>"1552380371687016"</f>
        <v>1552380371687016</v>
      </c>
      <c r="C5295" t="s">
        <v>40</v>
      </c>
      <c r="D5295">
        <v>5.3825250000000002</v>
      </c>
      <c r="E5295">
        <v>0.51898929999999999</v>
      </c>
      <c r="F5295" t="s">
        <v>43</v>
      </c>
      <c r="G5295">
        <v>-309.62830000000002</v>
      </c>
      <c r="H5295">
        <v>-0.05</v>
      </c>
      <c r="I5295">
        <v>8.4387209999999993</v>
      </c>
      <c r="J5295">
        <v>-322.71629999999999</v>
      </c>
      <c r="K5295">
        <v>1.1050719999999901</v>
      </c>
      <c r="L5295">
        <v>16.75272</v>
      </c>
      <c r="M5295">
        <v>0.99331329999999995</v>
      </c>
      <c r="N5295">
        <v>0</v>
      </c>
      <c r="O5295">
        <v>-0.1146373</v>
      </c>
      <c r="P5295">
        <v>0.85728130000000002</v>
      </c>
      <c r="Q5295">
        <v>0.1292095</v>
      </c>
      <c r="R5295">
        <v>-0.49837120000000001</v>
      </c>
      <c r="S5295">
        <v>2.5869140000000002</v>
      </c>
      <c r="T5295">
        <v>-0.2257314</v>
      </c>
      <c r="U5295">
        <v>-1.628601</v>
      </c>
      <c r="V5295">
        <v>0.39810990000000002</v>
      </c>
      <c r="W5295">
        <v>0.13790089999999999</v>
      </c>
      <c r="X5295">
        <v>0.90691330000000003</v>
      </c>
      <c r="Y5295">
        <v>0.43138359999999898</v>
      </c>
      <c r="Z5295">
        <v>-8.160446E-3</v>
      </c>
      <c r="AA5295">
        <v>0.90213169999999998</v>
      </c>
      <c r="AB5295">
        <v>28</v>
      </c>
      <c r="AC5295">
        <v>13.0879999999999</v>
      </c>
      <c r="AD5295">
        <v>-1.1550720000000001</v>
      </c>
      <c r="AE5295">
        <v>-8.3139989999999901</v>
      </c>
      <c r="AF5295">
        <v>6.7213647594316601</v>
      </c>
      <c r="AG5295">
        <v>-1.1550720000000001</v>
      </c>
      <c r="AH5295">
        <v>13.877868906513701</v>
      </c>
      <c r="AI5295">
        <v>94.283916563459897</v>
      </c>
      <c r="AJ5295">
        <v>64.158046904562099</v>
      </c>
      <c r="AK5295">
        <v>15.463058589454199</v>
      </c>
      <c r="AL5295">
        <v>82.073601009938997</v>
      </c>
      <c r="AM5295">
        <v>66.299851970784999</v>
      </c>
      <c r="AN5295">
        <v>0.99999994220785304</v>
      </c>
    </row>
    <row r="5296" spans="1:40" x14ac:dyDescent="0.25">
      <c r="A5296" t="str">
        <f>"20190312164611703"</f>
        <v>20190312164611703</v>
      </c>
      <c r="B5296" t="str">
        <f>"1552380371696776"</f>
        <v>1552380371696776</v>
      </c>
      <c r="C5296" t="s">
        <v>40</v>
      </c>
      <c r="D5296">
        <v>5.212898</v>
      </c>
      <c r="E5296">
        <v>0.51911679999999905</v>
      </c>
      <c r="F5296" t="s">
        <v>43</v>
      </c>
      <c r="G5296">
        <v>-301.24930000000001</v>
      </c>
      <c r="H5296">
        <v>-0.05</v>
      </c>
      <c r="I5296">
        <v>3.5890810000000002</v>
      </c>
      <c r="J5296">
        <v>-322.58229999999998</v>
      </c>
      <c r="K5296">
        <v>1.1050770000000001</v>
      </c>
      <c r="L5296">
        <v>16.7348</v>
      </c>
      <c r="M5296">
        <v>0.99303459999999999</v>
      </c>
      <c r="N5296">
        <v>0</v>
      </c>
      <c r="O5296">
        <v>-0.1170263</v>
      </c>
      <c r="P5296">
        <v>0.85538789999999998</v>
      </c>
      <c r="Q5296">
        <v>0.12958819999999999</v>
      </c>
      <c r="R5296">
        <v>-0.50151599999999996</v>
      </c>
      <c r="S5296">
        <v>2.5952760000000001</v>
      </c>
      <c r="T5296">
        <v>-0.1396435</v>
      </c>
      <c r="U5296">
        <v>-1.591431</v>
      </c>
      <c r="V5296">
        <v>0.3992696</v>
      </c>
      <c r="W5296">
        <v>0.13826640000000001</v>
      </c>
      <c r="X5296">
        <v>0.90634780000000004</v>
      </c>
      <c r="Y5296">
        <v>0.4190699</v>
      </c>
      <c r="Z5296">
        <v>-4.6351070000000003E-3</v>
      </c>
      <c r="AA5296">
        <v>0.90794209999999997</v>
      </c>
      <c r="AB5296">
        <v>28</v>
      </c>
      <c r="AC5296">
        <v>21.332999999999899</v>
      </c>
      <c r="AD5296">
        <v>-1.1550769999999999</v>
      </c>
      <c r="AE5296">
        <v>-13.145719</v>
      </c>
      <c r="AF5296">
        <v>10.5362318758617</v>
      </c>
      <c r="AG5296">
        <v>-1.1550769999999999</v>
      </c>
      <c r="AH5296">
        <v>22.676743814161298</v>
      </c>
      <c r="AI5296">
        <v>92.644838584630804</v>
      </c>
      <c r="AJ5296">
        <v>65.079137501373907</v>
      </c>
      <c r="AK5296">
        <v>25.031601926983399</v>
      </c>
      <c r="AL5296">
        <v>82.052457896056396</v>
      </c>
      <c r="AM5296">
        <v>66.225270140713604</v>
      </c>
      <c r="AN5296">
        <v>1.00000007270897</v>
      </c>
    </row>
    <row r="5297" spans="1:40" x14ac:dyDescent="0.25">
      <c r="A5297" t="str">
        <f>"20190312164611715"</f>
        <v>20190312164611715</v>
      </c>
      <c r="B5297" t="str">
        <f>"1552380371706536"</f>
        <v>1552380371706536</v>
      </c>
      <c r="C5297" t="s">
        <v>40</v>
      </c>
      <c r="D5297">
        <v>5.2135939999999996</v>
      </c>
      <c r="E5297">
        <v>0.51939709999999994</v>
      </c>
      <c r="F5297" t="s">
        <v>43</v>
      </c>
      <c r="G5297">
        <v>-305.34559999999999</v>
      </c>
      <c r="H5297">
        <v>-0.05</v>
      </c>
      <c r="I5297">
        <v>6.1157069999999996</v>
      </c>
      <c r="J5297">
        <v>-322.44580000000002</v>
      </c>
      <c r="K5297">
        <v>1.1050850000000001</v>
      </c>
      <c r="L5297">
        <v>16.716190000000001</v>
      </c>
      <c r="M5297">
        <v>0.99274530000000005</v>
      </c>
      <c r="N5297">
        <v>0</v>
      </c>
      <c r="O5297">
        <v>-0.1194556</v>
      </c>
      <c r="P5297">
        <v>0.8534834</v>
      </c>
      <c r="Q5297">
        <v>0.1297507</v>
      </c>
      <c r="R5297">
        <v>-0.50470859999999995</v>
      </c>
      <c r="S5297">
        <v>2.5958559999999999</v>
      </c>
      <c r="T5297">
        <v>-0.17395559999999999</v>
      </c>
      <c r="U5297">
        <v>-1.599243</v>
      </c>
      <c r="V5297">
        <v>0.40044289999999999</v>
      </c>
      <c r="W5297">
        <v>0.13841709999999999</v>
      </c>
      <c r="X5297">
        <v>0.90580700000000003</v>
      </c>
      <c r="Y5297">
        <v>0.41857539999999999</v>
      </c>
      <c r="Z5297">
        <v>-5.6055439999999996E-3</v>
      </c>
      <c r="AA5297">
        <v>0.90816470000000005</v>
      </c>
      <c r="AB5297">
        <v>28</v>
      </c>
      <c r="AC5297">
        <v>17.100200000000001</v>
      </c>
      <c r="AD5297">
        <v>-1.1550849999999999</v>
      </c>
      <c r="AE5297">
        <v>-10.600483000000001</v>
      </c>
      <c r="AF5297">
        <v>8.4537940378059595</v>
      </c>
      <c r="AG5297">
        <v>-1.1550849999999999</v>
      </c>
      <c r="AH5297">
        <v>18.1842002570612</v>
      </c>
      <c r="AI5297">
        <v>93.296649387272893</v>
      </c>
      <c r="AJ5297">
        <v>65.066388826724193</v>
      </c>
      <c r="AK5297">
        <v>20.086462953436399</v>
      </c>
      <c r="AL5297">
        <v>82.043739534515197</v>
      </c>
      <c r="AM5297">
        <v>66.150538944113194</v>
      </c>
      <c r="AN5297">
        <v>1.0000000654909</v>
      </c>
    </row>
    <row r="5298" spans="1:40" x14ac:dyDescent="0.25">
      <c r="A5298" t="str">
        <f>"20190312164611725"</f>
        <v>20190312164611725</v>
      </c>
      <c r="B5298" t="str">
        <f>"1552380371716296"</f>
        <v>1552380371716296</v>
      </c>
      <c r="C5298" t="s">
        <v>40</v>
      </c>
      <c r="D5298">
        <v>5.257625</v>
      </c>
      <c r="E5298">
        <v>0.51991390000000004</v>
      </c>
      <c r="F5298" t="s">
        <v>43</v>
      </c>
      <c r="G5298">
        <v>-306.84320000000002</v>
      </c>
      <c r="H5298">
        <v>-0.05</v>
      </c>
      <c r="I5298">
        <v>7.0299679999999896</v>
      </c>
      <c r="J5298">
        <v>-322.31259999999997</v>
      </c>
      <c r="K5298">
        <v>1.105091</v>
      </c>
      <c r="L5298">
        <v>16.69772</v>
      </c>
      <c r="M5298">
        <v>0.99245760000000005</v>
      </c>
      <c r="N5298">
        <v>0</v>
      </c>
      <c r="O5298">
        <v>-0.1218224</v>
      </c>
      <c r="P5298">
        <v>0.85132960000000002</v>
      </c>
      <c r="Q5298">
        <v>0.13055639999999999</v>
      </c>
      <c r="R5298">
        <v>-0.50812659999999998</v>
      </c>
      <c r="S5298">
        <v>2.592438</v>
      </c>
      <c r="T5298">
        <v>-0.19192229999999999</v>
      </c>
      <c r="U5298">
        <v>-1.6094059999999999</v>
      </c>
      <c r="V5298">
        <v>0.40193760000000001</v>
      </c>
      <c r="W5298">
        <v>0.1392052</v>
      </c>
      <c r="X5298">
        <v>0.90502380000000004</v>
      </c>
      <c r="Y5298">
        <v>0.41941859999999997</v>
      </c>
      <c r="Z5298">
        <v>-6.0562419999999999E-3</v>
      </c>
      <c r="AA5298">
        <v>0.90777280000000005</v>
      </c>
      <c r="AB5298">
        <v>28</v>
      </c>
      <c r="AC5298">
        <v>15.469399999999901</v>
      </c>
      <c r="AD5298">
        <v>-1.1550910000000001</v>
      </c>
      <c r="AE5298">
        <v>-9.6677520000000001</v>
      </c>
      <c r="AF5298">
        <v>7.6802423597653897</v>
      </c>
      <c r="AG5298">
        <v>-1.1550910000000001</v>
      </c>
      <c r="AH5298">
        <v>16.465999376454999</v>
      </c>
      <c r="AI5298">
        <v>93.637658754570893</v>
      </c>
      <c r="AJ5298">
        <v>64.994224648480298</v>
      </c>
      <c r="AK5298">
        <v>18.2057544031669</v>
      </c>
      <c r="AL5298">
        <v>81.998142784262001</v>
      </c>
      <c r="AM5298">
        <v>66.053118938450098</v>
      </c>
      <c r="AN5298">
        <v>1.00000000028362</v>
      </c>
    </row>
    <row r="5299" spans="1:40" x14ac:dyDescent="0.25">
      <c r="A5299" t="str">
        <f>"20190312164611736"</f>
        <v>20190312164611736</v>
      </c>
      <c r="B5299" t="str">
        <f>"1552380371727032"</f>
        <v>1552380371727032</v>
      </c>
      <c r="C5299" t="s">
        <v>40</v>
      </c>
      <c r="D5299">
        <v>5.2065489999999999</v>
      </c>
      <c r="E5299">
        <v>0.52036459999999995</v>
      </c>
      <c r="F5299" t="s">
        <v>43</v>
      </c>
      <c r="G5299">
        <v>-307.005</v>
      </c>
      <c r="H5299">
        <v>-0.05</v>
      </c>
      <c r="I5299">
        <v>7.0893100000000002</v>
      </c>
      <c r="J5299">
        <v>-322.17619999999999</v>
      </c>
      <c r="K5299">
        <v>1.105094</v>
      </c>
      <c r="L5299">
        <v>16.678439999999998</v>
      </c>
      <c r="M5299">
        <v>0.99215799999999998</v>
      </c>
      <c r="N5299">
        <v>0</v>
      </c>
      <c r="O5299">
        <v>-0.1242389</v>
      </c>
      <c r="P5299">
        <v>0.849272899999999</v>
      </c>
      <c r="Q5299">
        <v>0.13090260000000001</v>
      </c>
      <c r="R5299">
        <v>-0.51146859999999905</v>
      </c>
      <c r="S5299">
        <v>2.5852659999999998</v>
      </c>
      <c r="T5299">
        <v>-0.1950808</v>
      </c>
      <c r="U5299">
        <v>-1.6227419999999999</v>
      </c>
      <c r="V5299">
        <v>0.40329989999999999</v>
      </c>
      <c r="W5299">
        <v>0.1395372</v>
      </c>
      <c r="X5299">
        <v>0.90436640000000001</v>
      </c>
      <c r="Y5299">
        <v>0.42168230000000001</v>
      </c>
      <c r="Z5299">
        <v>-6.0781250000000002E-3</v>
      </c>
      <c r="AA5299">
        <v>0.90672330000000001</v>
      </c>
      <c r="AB5299">
        <v>28</v>
      </c>
      <c r="AC5299">
        <v>15.171200000000001</v>
      </c>
      <c r="AD5299">
        <v>-1.1550940000000001</v>
      </c>
      <c r="AE5299">
        <v>-9.5891299999999902</v>
      </c>
      <c r="AF5299">
        <v>7.5983199608642504</v>
      </c>
      <c r="AG5299">
        <v>-1.1550940000000001</v>
      </c>
      <c r="AH5299">
        <v>16.178079666651598</v>
      </c>
      <c r="AI5299">
        <v>93.697643056184603</v>
      </c>
      <c r="AJ5299">
        <v>64.842076392824893</v>
      </c>
      <c r="AK5299">
        <v>17.910861790461901</v>
      </c>
      <c r="AL5299">
        <v>81.978933201394895</v>
      </c>
      <c r="AM5299">
        <v>65.965639428162106</v>
      </c>
      <c r="AN5299">
        <v>1.0000000124863999</v>
      </c>
    </row>
    <row r="5300" spans="1:40" x14ac:dyDescent="0.25">
      <c r="A5300" t="str">
        <f>"20190312164611747"</f>
        <v>20190312164611747</v>
      </c>
      <c r="B5300" t="str">
        <f>"1552380371736793"</f>
        <v>1552380371736793</v>
      </c>
      <c r="C5300" t="s">
        <v>40</v>
      </c>
      <c r="D5300">
        <v>5.2251729999999998</v>
      </c>
      <c r="E5300">
        <v>0.5205495</v>
      </c>
      <c r="F5300" t="s">
        <v>43</v>
      </c>
      <c r="G5300">
        <v>-307.18740000000003</v>
      </c>
      <c r="H5300">
        <v>-0.05</v>
      </c>
      <c r="I5300">
        <v>7.1734009999999904</v>
      </c>
      <c r="J5300">
        <v>-322.03160000000003</v>
      </c>
      <c r="K5300">
        <v>1.1051040000000001</v>
      </c>
      <c r="L5300">
        <v>16.657779999999999</v>
      </c>
      <c r="M5300">
        <v>0.9918344</v>
      </c>
      <c r="N5300">
        <v>0</v>
      </c>
      <c r="O5300">
        <v>-0.12679760000000001</v>
      </c>
      <c r="P5300">
        <v>0.84705350000000001</v>
      </c>
      <c r="Q5300">
        <v>0.13131889999999999</v>
      </c>
      <c r="R5300">
        <v>-0.5150304</v>
      </c>
      <c r="S5300">
        <v>2.5783390000000002</v>
      </c>
      <c r="T5300">
        <v>-0.1986976</v>
      </c>
      <c r="U5300">
        <v>-1.63504</v>
      </c>
      <c r="V5300">
        <v>0.40477639999999998</v>
      </c>
      <c r="W5300">
        <v>0.13993800000000001</v>
      </c>
      <c r="X5300">
        <v>0.90364449999999996</v>
      </c>
      <c r="Y5300">
        <v>0.42350939999999998</v>
      </c>
      <c r="Z5300">
        <v>-6.0863509999999899E-3</v>
      </c>
      <c r="AA5300">
        <v>0.90587130000000005</v>
      </c>
      <c r="AB5300">
        <v>28</v>
      </c>
      <c r="AC5300">
        <v>14.844200000000001</v>
      </c>
      <c r="AD5300">
        <v>-1.1551039999999999</v>
      </c>
      <c r="AE5300">
        <v>-9.4843789999999899</v>
      </c>
      <c r="AF5300">
        <v>7.4932078633890598</v>
      </c>
      <c r="AG5300">
        <v>-1.1551039999999999</v>
      </c>
      <c r="AH5300">
        <v>15.8588819724998</v>
      </c>
      <c r="AI5300">
        <v>93.767792510106005</v>
      </c>
      <c r="AJ5300">
        <v>64.709601916374197</v>
      </c>
      <c r="AK5300">
        <v>17.578013731717501</v>
      </c>
      <c r="AL5300">
        <v>81.955741247253897</v>
      </c>
      <c r="AM5300">
        <v>65.8705953931225</v>
      </c>
      <c r="AN5300">
        <v>0.99999998011060398</v>
      </c>
    </row>
    <row r="5301" spans="1:40" x14ac:dyDescent="0.25">
      <c r="A5301" t="str">
        <f>"20190312164611760"</f>
        <v>20190312164611760</v>
      </c>
      <c r="B5301" t="str">
        <f>"1552380371756472"</f>
        <v>1552380371756472</v>
      </c>
      <c r="C5301" t="s">
        <v>40</v>
      </c>
      <c r="D5301">
        <v>5.202915</v>
      </c>
      <c r="E5301">
        <v>0.52040959999999903</v>
      </c>
      <c r="F5301" t="s">
        <v>43</v>
      </c>
      <c r="G5301">
        <v>-307.20080000000002</v>
      </c>
      <c r="H5301">
        <v>-0.05</v>
      </c>
      <c r="I5301">
        <v>7.1641079999999997</v>
      </c>
      <c r="J5301">
        <v>-321.89019999999999</v>
      </c>
      <c r="K5301">
        <v>1.105113</v>
      </c>
      <c r="L5301">
        <v>16.636959999999998</v>
      </c>
      <c r="M5301">
        <v>0.99151219999999995</v>
      </c>
      <c r="N5301">
        <v>0</v>
      </c>
      <c r="O5301">
        <v>-0.12929269999999901</v>
      </c>
      <c r="P5301">
        <v>0.84496669999999996</v>
      </c>
      <c r="Q5301">
        <v>0.1310992</v>
      </c>
      <c r="R5301">
        <v>-0.51850189999999996</v>
      </c>
      <c r="S5301">
        <v>2.571777</v>
      </c>
      <c r="T5301">
        <v>-0.20030319999999999</v>
      </c>
      <c r="U5301">
        <v>-1.64627099999999</v>
      </c>
      <c r="V5301">
        <v>0.40620450000000002</v>
      </c>
      <c r="W5301">
        <v>0.13970479999999999</v>
      </c>
      <c r="X5301">
        <v>0.90303960000000005</v>
      </c>
      <c r="Y5301">
        <v>0.4250776</v>
      </c>
      <c r="Z5301">
        <v>-6.0252709999999996E-3</v>
      </c>
      <c r="AA5301">
        <v>0.90513690000000002</v>
      </c>
      <c r="AB5301">
        <v>28</v>
      </c>
      <c r="AC5301">
        <v>14.6893999999999</v>
      </c>
      <c r="AD5301">
        <v>-1.1551129999999901</v>
      </c>
      <c r="AE5301">
        <v>-9.4728519999999996</v>
      </c>
      <c r="AF5301">
        <v>7.4613303919337302</v>
      </c>
      <c r="AG5301">
        <v>-1.1551129999999901</v>
      </c>
      <c r="AH5301">
        <v>15.722301190793001</v>
      </c>
      <c r="AI5301">
        <v>93.797414492106796</v>
      </c>
      <c r="AJ5301">
        <v>64.612393171762605</v>
      </c>
      <c r="AK5301">
        <v>17.441229658323302</v>
      </c>
      <c r="AL5301">
        <v>81.969235524969307</v>
      </c>
      <c r="AM5301">
        <v>65.780872543622195</v>
      </c>
      <c r="AN5301">
        <v>1.00000002306572</v>
      </c>
    </row>
    <row r="5302" spans="1:40" x14ac:dyDescent="0.25">
      <c r="A5302" t="str">
        <f>"20190312164611771"</f>
        <v>20190312164611771</v>
      </c>
      <c r="B5302" t="str">
        <f>"1552380371766232"</f>
        <v>1552380371766232</v>
      </c>
      <c r="C5302" t="s">
        <v>40</v>
      </c>
      <c r="D5302">
        <v>5.1997150000000003</v>
      </c>
      <c r="E5302">
        <v>0.52044939999999995</v>
      </c>
      <c r="F5302" t="s">
        <v>43</v>
      </c>
      <c r="G5302">
        <v>-307.58690000000001</v>
      </c>
      <c r="H5302">
        <v>-0.05</v>
      </c>
      <c r="I5302">
        <v>7.4172520000000004</v>
      </c>
      <c r="J5302">
        <v>-321.75259999999997</v>
      </c>
      <c r="K5302">
        <v>1.1051219999999999</v>
      </c>
      <c r="L5302">
        <v>16.616579999999999</v>
      </c>
      <c r="M5302">
        <v>0.99119270000000004</v>
      </c>
      <c r="N5302">
        <v>0</v>
      </c>
      <c r="O5302">
        <v>-0.13171959999999999</v>
      </c>
      <c r="P5302">
        <v>0.84299539999999995</v>
      </c>
      <c r="Q5302">
        <v>0.131074</v>
      </c>
      <c r="R5302">
        <v>-0.5217079</v>
      </c>
      <c r="S5302">
        <v>2.5672000000000001</v>
      </c>
      <c r="T5302">
        <v>-0.2073236</v>
      </c>
      <c r="U5302">
        <v>-1.654785</v>
      </c>
      <c r="V5302">
        <v>0.40742220000000001</v>
      </c>
      <c r="W5302">
        <v>0.1396684</v>
      </c>
      <c r="X5302">
        <v>0.90249650000000003</v>
      </c>
      <c r="Y5302">
        <v>0.42567820000000001</v>
      </c>
      <c r="Z5302">
        <v>-6.0884859999999997E-3</v>
      </c>
      <c r="AA5302">
        <v>0.90485420000000005</v>
      </c>
      <c r="AB5302">
        <v>28</v>
      </c>
      <c r="AC5302">
        <v>14.1656999999999</v>
      </c>
      <c r="AD5302">
        <v>-1.155122</v>
      </c>
      <c r="AE5302">
        <v>-9.1993279999999906</v>
      </c>
      <c r="AF5302">
        <v>7.2193201931843998</v>
      </c>
      <c r="AG5302">
        <v>-1.155122</v>
      </c>
      <c r="AH5302">
        <v>15.183085976899999</v>
      </c>
      <c r="AI5302">
        <v>93.930502405221503</v>
      </c>
      <c r="AJ5302">
        <v>64.5696423318131</v>
      </c>
      <c r="AK5302">
        <v>16.851676197593601</v>
      </c>
      <c r="AL5302">
        <v>81.971341730594403</v>
      </c>
      <c r="AM5302">
        <v>65.7037229176088</v>
      </c>
      <c r="AN5302">
        <v>1.0000000217618199</v>
      </c>
    </row>
    <row r="5303" spans="1:40" x14ac:dyDescent="0.25">
      <c r="A5303" t="str">
        <f>"20190312164611782"</f>
        <v>20190312164611782</v>
      </c>
      <c r="B5303" t="str">
        <f>"1552380371776968"</f>
        <v>1552380371776968</v>
      </c>
      <c r="C5303" t="s">
        <v>40</v>
      </c>
      <c r="D5303">
        <v>5.1871900000000002</v>
      </c>
      <c r="E5303">
        <v>0.52025849999999996</v>
      </c>
      <c r="F5303" t="s">
        <v>43</v>
      </c>
      <c r="G5303">
        <v>-307.59320000000002</v>
      </c>
      <c r="H5303">
        <v>-0.05</v>
      </c>
      <c r="I5303">
        <v>7.4138950000000001</v>
      </c>
      <c r="J5303">
        <v>-321.6028</v>
      </c>
      <c r="K5303">
        <v>1.1051299999999999</v>
      </c>
      <c r="L5303">
        <v>16.59384</v>
      </c>
      <c r="M5303">
        <v>0.99083860000000001</v>
      </c>
      <c r="N5303">
        <v>0</v>
      </c>
      <c r="O5303">
        <v>-0.13435620000000001</v>
      </c>
      <c r="P5303">
        <v>0.84102350000000003</v>
      </c>
      <c r="Q5303">
        <v>0.13083989999999901</v>
      </c>
      <c r="R5303">
        <v>-0.52493909999999999</v>
      </c>
      <c r="S5303">
        <v>2.561096</v>
      </c>
      <c r="T5303">
        <v>-0.20893429999999999</v>
      </c>
      <c r="U5303">
        <v>-1.6645509999999999</v>
      </c>
      <c r="V5303">
        <v>0.40847670000000003</v>
      </c>
      <c r="W5303">
        <v>0.1394262</v>
      </c>
      <c r="X5303">
        <v>0.9020572</v>
      </c>
      <c r="Y5303">
        <v>0.42667519999999998</v>
      </c>
      <c r="Z5303">
        <v>-5.9889180000000002E-3</v>
      </c>
      <c r="AA5303">
        <v>0.90438510000000005</v>
      </c>
      <c r="AB5303">
        <v>28</v>
      </c>
      <c r="AC5303">
        <v>14.009599999999899</v>
      </c>
      <c r="AD5303">
        <v>-1.15513</v>
      </c>
      <c r="AE5303">
        <v>-9.179945</v>
      </c>
      <c r="AF5303">
        <v>7.1800923491320496</v>
      </c>
      <c r="AG5303">
        <v>-1.15513</v>
      </c>
      <c r="AH5303">
        <v>15.0444948334665</v>
      </c>
      <c r="AI5303">
        <v>93.963902300370904</v>
      </c>
      <c r="AJ5303">
        <v>64.486857676285496</v>
      </c>
      <c r="AK5303">
        <v>16.710023227188099</v>
      </c>
      <c r="AL5303">
        <v>81.985356004886</v>
      </c>
      <c r="AM5303">
        <v>65.637654092666295</v>
      </c>
      <c r="AN5303">
        <v>1.0000000358805801</v>
      </c>
    </row>
    <row r="5304" spans="1:40" x14ac:dyDescent="0.25">
      <c r="A5304" t="str">
        <f>"20190312164611793"</f>
        <v>20190312164611793</v>
      </c>
      <c r="B5304" t="str">
        <f>"1552380371786727"</f>
        <v>1552380371786727</v>
      </c>
      <c r="C5304" t="s">
        <v>40</v>
      </c>
      <c r="D5304">
        <v>5.1952400000000001</v>
      </c>
      <c r="E5304">
        <v>0.52010290000000003</v>
      </c>
      <c r="F5304" t="s">
        <v>43</v>
      </c>
      <c r="G5304">
        <v>-307.5992</v>
      </c>
      <c r="H5304">
        <v>-0.05</v>
      </c>
      <c r="I5304">
        <v>7.4266969999999999</v>
      </c>
      <c r="J5304">
        <v>-321.46480000000003</v>
      </c>
      <c r="K5304">
        <v>1.1051359999999999</v>
      </c>
      <c r="L5304">
        <v>16.572569999999999</v>
      </c>
      <c r="M5304">
        <v>0.99050649999999996</v>
      </c>
      <c r="N5304">
        <v>0</v>
      </c>
      <c r="O5304">
        <v>-0.13678370000000001</v>
      </c>
      <c r="P5304">
        <v>0.83894429999999998</v>
      </c>
      <c r="Q5304">
        <v>0.13034299999999999</v>
      </c>
      <c r="R5304">
        <v>-0.52837809999999996</v>
      </c>
      <c r="S5304">
        <v>2.5556640000000002</v>
      </c>
      <c r="T5304">
        <v>-0.21081130000000001</v>
      </c>
      <c r="U5304">
        <v>-1.6730039999999999</v>
      </c>
      <c r="V5304">
        <v>0.40994459999999999</v>
      </c>
      <c r="W5304">
        <v>0.13891529999999999</v>
      </c>
      <c r="X5304">
        <v>0.90146990000000005</v>
      </c>
      <c r="Y5304">
        <v>0.42742580000000002</v>
      </c>
      <c r="Z5304">
        <v>-5.8997329999999999E-3</v>
      </c>
      <c r="AA5304">
        <v>0.90403120000000003</v>
      </c>
      <c r="AB5304">
        <v>28</v>
      </c>
      <c r="AC5304">
        <v>13.865600000000001</v>
      </c>
      <c r="AD5304">
        <v>-1.1551359999999999</v>
      </c>
      <c r="AE5304">
        <v>-9.1458729999999999</v>
      </c>
      <c r="AF5304">
        <v>7.1286525266351903</v>
      </c>
      <c r="AG5304">
        <v>-1.1551359999999999</v>
      </c>
      <c r="AH5304">
        <v>14.914245764463599</v>
      </c>
      <c r="AI5304">
        <v>93.997314578786401</v>
      </c>
      <c r="AJ5304">
        <v>64.4533166487779</v>
      </c>
      <c r="AK5304">
        <v>16.570659393844799</v>
      </c>
      <c r="AL5304">
        <v>82.014915861731296</v>
      </c>
      <c r="AM5304">
        <v>65.546271905951002</v>
      </c>
      <c r="AN5304">
        <v>1.0000000081246301</v>
      </c>
    </row>
    <row r="5305" spans="1:40" x14ac:dyDescent="0.25">
      <c r="A5305" t="str">
        <f>"20190312164611804"</f>
        <v>20190312164611804</v>
      </c>
      <c r="B5305" t="str">
        <f>"1552380371796488"</f>
        <v>1552380371796488</v>
      </c>
      <c r="C5305" t="s">
        <v>40</v>
      </c>
      <c r="D5305">
        <v>5.2074980000000002</v>
      </c>
      <c r="E5305">
        <v>0.52010290000000003</v>
      </c>
      <c r="F5305" t="s">
        <v>43</v>
      </c>
      <c r="G5305">
        <v>-307.66590000000002</v>
      </c>
      <c r="H5305">
        <v>-0.05</v>
      </c>
      <c r="I5305">
        <v>7.4696660000000001</v>
      </c>
      <c r="J5305">
        <v>-321.33019999999999</v>
      </c>
      <c r="K5305">
        <v>1.105146</v>
      </c>
      <c r="L5305">
        <v>16.55151</v>
      </c>
      <c r="M5305">
        <v>0.99017690000000003</v>
      </c>
      <c r="N5305">
        <v>0</v>
      </c>
      <c r="O5305">
        <v>-0.13914949999999901</v>
      </c>
      <c r="P5305">
        <v>0.83699769999999896</v>
      </c>
      <c r="Q5305">
        <v>0.12992919999999999</v>
      </c>
      <c r="R5305">
        <v>-0.53155739999999996</v>
      </c>
      <c r="S5305">
        <v>2.5497130000000001</v>
      </c>
      <c r="T5305">
        <v>-0.2134422</v>
      </c>
      <c r="U5305">
        <v>-1.682007</v>
      </c>
      <c r="V5305">
        <v>0.41119869999999997</v>
      </c>
      <c r="W5305">
        <v>0.1384889</v>
      </c>
      <c r="X5305">
        <v>0.90096419999999999</v>
      </c>
      <c r="Y5305">
        <v>0.42844589999999999</v>
      </c>
      <c r="Z5305">
        <v>-5.8439199999999998E-3</v>
      </c>
      <c r="AA5305">
        <v>0.90354849999999998</v>
      </c>
      <c r="AB5305">
        <v>28</v>
      </c>
      <c r="AC5305">
        <v>13.6642999999999</v>
      </c>
      <c r="AD5305">
        <v>-1.155146</v>
      </c>
      <c r="AE5305">
        <v>-9.0818440000000002</v>
      </c>
      <c r="AF5305">
        <v>7.0569346795292196</v>
      </c>
      <c r="AG5305">
        <v>-1.155146</v>
      </c>
      <c r="AH5305">
        <v>14.722216064627499</v>
      </c>
      <c r="AI5305">
        <v>94.047174488467306</v>
      </c>
      <c r="AJ5305">
        <v>64.389775313404897</v>
      </c>
      <c r="AK5305">
        <v>16.366989191846901</v>
      </c>
      <c r="AL5305">
        <v>82.039585311633999</v>
      </c>
      <c r="AM5305">
        <v>65.468115565183297</v>
      </c>
      <c r="AN5305">
        <v>1.00000001799326</v>
      </c>
    </row>
    <row r="5306" spans="1:40" x14ac:dyDescent="0.25">
      <c r="A5306" t="str">
        <f>"20190312164611815"</f>
        <v>20190312164611815</v>
      </c>
      <c r="B5306" t="str">
        <f>"1552380371806248"</f>
        <v>1552380371806248</v>
      </c>
      <c r="C5306" t="s">
        <v>40</v>
      </c>
      <c r="D5306">
        <v>5.2109500000000004</v>
      </c>
      <c r="E5306">
        <v>0.51932230000000001</v>
      </c>
      <c r="F5306" t="s">
        <v>43</v>
      </c>
      <c r="G5306">
        <v>-307.649</v>
      </c>
      <c r="H5306">
        <v>-0.05</v>
      </c>
      <c r="I5306">
        <v>7.4534000000000002</v>
      </c>
      <c r="J5306">
        <v>-321.19569999999999</v>
      </c>
      <c r="K5306">
        <v>1.1051329999999999</v>
      </c>
      <c r="L5306">
        <v>16.53021</v>
      </c>
      <c r="M5306">
        <v>0.98979790000000001</v>
      </c>
      <c r="N5306">
        <v>0</v>
      </c>
      <c r="O5306">
        <v>-0.1418333</v>
      </c>
      <c r="P5306">
        <v>0.83478730000000001</v>
      </c>
      <c r="Q5306">
        <v>0.12925130000000001</v>
      </c>
      <c r="R5306">
        <v>-0.53518639999999995</v>
      </c>
      <c r="S5306">
        <v>2.5434269999999999</v>
      </c>
      <c r="T5306">
        <v>-0.21474979999999999</v>
      </c>
      <c r="U5306">
        <v>-1.691406</v>
      </c>
      <c r="V5306">
        <v>0.41263820000000001</v>
      </c>
      <c r="W5306">
        <v>0.13769210000000001</v>
      </c>
      <c r="X5306">
        <v>0.90042800000000001</v>
      </c>
      <c r="Y5306">
        <v>0.42933729999999998</v>
      </c>
      <c r="Z5306">
        <v>-5.7212720000000003E-3</v>
      </c>
      <c r="AA5306">
        <v>0.90312610000000004</v>
      </c>
      <c r="AB5306">
        <v>28</v>
      </c>
      <c r="AC5306">
        <v>13.5466999999999</v>
      </c>
      <c r="AD5306">
        <v>-1.155133</v>
      </c>
      <c r="AE5306">
        <v>-9.07681</v>
      </c>
      <c r="AF5306">
        <v>7.0282135903055298</v>
      </c>
      <c r="AG5306">
        <v>-1.155133</v>
      </c>
      <c r="AH5306">
        <v>14.6238525685743</v>
      </c>
      <c r="AI5306">
        <v>94.072264039298702</v>
      </c>
      <c r="AJ5306">
        <v>64.331092323992095</v>
      </c>
      <c r="AK5306">
        <v>16.266136064414301</v>
      </c>
      <c r="AL5306">
        <v>82.085679979698696</v>
      </c>
      <c r="AM5306">
        <v>65.379483475631503</v>
      </c>
      <c r="AN5306">
        <v>0.99999999084282498</v>
      </c>
    </row>
    <row r="5307" spans="1:40" x14ac:dyDescent="0.25">
      <c r="A5307" t="str">
        <f>"20190312164611825"</f>
        <v>20190312164611825</v>
      </c>
      <c r="B5307" t="str">
        <f>"1552380371816984"</f>
        <v>1552380371816984</v>
      </c>
      <c r="C5307" t="s">
        <v>40</v>
      </c>
      <c r="D5307">
        <v>5.4138699999999904</v>
      </c>
      <c r="E5307">
        <v>0.51920940000000004</v>
      </c>
      <c r="F5307" t="s">
        <v>43</v>
      </c>
      <c r="G5307">
        <v>-307.7321</v>
      </c>
      <c r="H5307">
        <v>-0.05</v>
      </c>
      <c r="I5307">
        <v>7.5383610000000001</v>
      </c>
      <c r="J5307">
        <v>-321.05799999999999</v>
      </c>
      <c r="K5307">
        <v>1.10511</v>
      </c>
      <c r="L5307">
        <v>16.508179999999999</v>
      </c>
      <c r="M5307">
        <v>0.98937319999999995</v>
      </c>
      <c r="N5307">
        <v>0</v>
      </c>
      <c r="O5307">
        <v>-0.1447898</v>
      </c>
      <c r="P5307">
        <v>0.83238860000000003</v>
      </c>
      <c r="Q5307">
        <v>0.12888630000000001</v>
      </c>
      <c r="R5307">
        <v>-0.53899739999999996</v>
      </c>
      <c r="S5307">
        <v>2.539917</v>
      </c>
      <c r="T5307">
        <v>-0.21791650000000001</v>
      </c>
      <c r="U5307">
        <v>-1.6963200000000001</v>
      </c>
      <c r="V5307">
        <v>0.41403859999999998</v>
      </c>
      <c r="W5307">
        <v>0.13713810000000001</v>
      </c>
      <c r="X5307">
        <v>0.89986959999999905</v>
      </c>
      <c r="Y5307">
        <v>0.42841319999999999</v>
      </c>
      <c r="Z5307">
        <v>-5.55034E-3</v>
      </c>
      <c r="AA5307">
        <v>0.90356590000000003</v>
      </c>
      <c r="AB5307">
        <v>28</v>
      </c>
      <c r="AC5307">
        <v>13.325899999999899</v>
      </c>
      <c r="AD5307">
        <v>-1.1551100000000001</v>
      </c>
      <c r="AE5307">
        <v>-8.9698189999999993</v>
      </c>
      <c r="AF5307">
        <v>6.9099270209552399</v>
      </c>
      <c r="AG5307">
        <v>-1.1551100000000001</v>
      </c>
      <c r="AH5307">
        <v>14.409794253862</v>
      </c>
      <c r="AI5307">
        <v>94.134186302630098</v>
      </c>
      <c r="AJ5307">
        <v>64.380889809425796</v>
      </c>
      <c r="AK5307">
        <v>16.0225947020344</v>
      </c>
      <c r="AL5307">
        <v>82.117726383529302</v>
      </c>
      <c r="AM5307">
        <v>65.292389266501601</v>
      </c>
      <c r="AN5307">
        <v>1.0000000588828599</v>
      </c>
    </row>
    <row r="5308" spans="1:40" x14ac:dyDescent="0.25">
      <c r="A5308" t="str">
        <f>"20190312164611838"</f>
        <v>20190312164611838</v>
      </c>
      <c r="B5308" t="str">
        <f>"1552380371826744"</f>
        <v>1552380371826744</v>
      </c>
      <c r="C5308" t="s">
        <v>40</v>
      </c>
      <c r="D5308">
        <v>5.3079650000000003</v>
      </c>
      <c r="E5308">
        <v>0.51929650000000005</v>
      </c>
      <c r="F5308" t="s">
        <v>43</v>
      </c>
      <c r="G5308">
        <v>-307.55119999999999</v>
      </c>
      <c r="H5308">
        <v>-0.05</v>
      </c>
      <c r="I5308">
        <v>7.4065699999999897</v>
      </c>
      <c r="J5308">
        <v>-320.91430000000003</v>
      </c>
      <c r="K5308">
        <v>1.104967</v>
      </c>
      <c r="L5308">
        <v>16.484679999999901</v>
      </c>
      <c r="M5308">
        <v>0.98895310000000003</v>
      </c>
      <c r="N5308">
        <v>0</v>
      </c>
      <c r="O5308">
        <v>-0.1476539</v>
      </c>
      <c r="P5308">
        <v>0.83010849999999903</v>
      </c>
      <c r="Q5308">
        <v>0.12820529999999999</v>
      </c>
      <c r="R5308">
        <v>-0.54266320000000001</v>
      </c>
      <c r="S5308">
        <v>2.532562</v>
      </c>
      <c r="T5308">
        <v>-0.216586</v>
      </c>
      <c r="U5308">
        <v>-1.7065729999999999</v>
      </c>
      <c r="V5308">
        <v>0.41539749999999998</v>
      </c>
      <c r="W5308">
        <v>0.1361608</v>
      </c>
      <c r="X5308">
        <v>0.89939150000000001</v>
      </c>
      <c r="Y5308">
        <v>0.42954120000000001</v>
      </c>
      <c r="Z5308">
        <v>-5.3535659999999997E-3</v>
      </c>
      <c r="AA5308">
        <v>0.90303140000000004</v>
      </c>
      <c r="AB5308">
        <v>28</v>
      </c>
      <c r="AC5308">
        <v>13.363099999999999</v>
      </c>
      <c r="AD5308">
        <v>-1.1549670000000001</v>
      </c>
      <c r="AE5308">
        <v>-9.0781100000000006</v>
      </c>
      <c r="AF5308">
        <v>6.9696834227339099</v>
      </c>
      <c r="AG5308">
        <v>-1.1549670000000001</v>
      </c>
      <c r="AH5308">
        <v>14.483109266498399</v>
      </c>
      <c r="AI5308">
        <v>94.110106839528299</v>
      </c>
      <c r="AJ5308">
        <v>64.301819194328402</v>
      </c>
      <c r="AK5308">
        <v>16.114306991290398</v>
      </c>
      <c r="AL5308">
        <v>82.174250994775093</v>
      </c>
      <c r="AM5308">
        <v>65.209435248285203</v>
      </c>
      <c r="AN5308">
        <v>0.99999995836756905</v>
      </c>
    </row>
    <row r="5309" spans="1:40" x14ac:dyDescent="0.25">
      <c r="A5309" t="str">
        <f>"20190312164611850"</f>
        <v>20190312164611850</v>
      </c>
      <c r="B5309" t="str">
        <f>"1552380371846263"</f>
        <v>1552380371846263</v>
      </c>
      <c r="C5309" t="s">
        <v>40</v>
      </c>
      <c r="D5309">
        <v>5.2090230000000002</v>
      </c>
      <c r="E5309">
        <v>0.51935829999999905</v>
      </c>
      <c r="F5309" t="s">
        <v>43</v>
      </c>
      <c r="G5309">
        <v>-307.71319999999997</v>
      </c>
      <c r="H5309">
        <v>-0.05</v>
      </c>
      <c r="I5309">
        <v>7.5062869999999897</v>
      </c>
      <c r="J5309">
        <v>-320.7672</v>
      </c>
      <c r="K5309">
        <v>1.1047830000000001</v>
      </c>
      <c r="L5309">
        <v>16.46048</v>
      </c>
      <c r="M5309">
        <v>0.98852709999999999</v>
      </c>
      <c r="N5309">
        <v>0</v>
      </c>
      <c r="O5309">
        <v>-0.15049889999999999</v>
      </c>
      <c r="P5309">
        <v>0.82791499999999996</v>
      </c>
      <c r="Q5309">
        <v>0.1275123</v>
      </c>
      <c r="R5309">
        <v>-0.54616609999999999</v>
      </c>
      <c r="S5309">
        <v>2.5253299999999999</v>
      </c>
      <c r="T5309">
        <v>-0.22094069999999999</v>
      </c>
      <c r="U5309">
        <v>-1.7175290000000001</v>
      </c>
      <c r="V5309">
        <v>0.41661540000000002</v>
      </c>
      <c r="W5309">
        <v>0.135155</v>
      </c>
      <c r="X5309">
        <v>0.8989798</v>
      </c>
      <c r="Y5309">
        <v>0.43080020000000002</v>
      </c>
      <c r="Z5309">
        <v>-5.3004849999999997E-3</v>
      </c>
      <c r="AA5309">
        <v>0.90243180000000001</v>
      </c>
      <c r="AB5309">
        <v>28</v>
      </c>
      <c r="AC5309">
        <v>13.054</v>
      </c>
      <c r="AD5309">
        <v>-1.1547829999999999</v>
      </c>
      <c r="AE5309">
        <v>-8.9541930000000001</v>
      </c>
      <c r="AF5309">
        <v>6.8509570449853499</v>
      </c>
      <c r="AG5309">
        <v>-1.1547829999999999</v>
      </c>
      <c r="AH5309">
        <v>14.177551547624301</v>
      </c>
      <c r="AI5309">
        <v>94.194441661495304</v>
      </c>
      <c r="AJ5309">
        <v>64.208973548669803</v>
      </c>
      <c r="AK5309">
        <v>15.7883534320355</v>
      </c>
      <c r="AL5309">
        <v>82.232416910437493</v>
      </c>
      <c r="AM5309">
        <v>65.135516175147899</v>
      </c>
      <c r="AN5309">
        <v>0.99999997317509903</v>
      </c>
    </row>
    <row r="5310" spans="1:40" x14ac:dyDescent="0.25">
      <c r="A5310" t="str">
        <f>"20190312164611860"</f>
        <v>20190312164611860</v>
      </c>
      <c r="B5310" t="str">
        <f>"1552380371857000"</f>
        <v>1552380371857000</v>
      </c>
      <c r="C5310" t="s">
        <v>40</v>
      </c>
      <c r="D5310">
        <v>5.1852640000000001</v>
      </c>
      <c r="E5310">
        <v>0.51911819999999997</v>
      </c>
      <c r="F5310" t="s">
        <v>43</v>
      </c>
      <c r="G5310">
        <v>-307.78519999999997</v>
      </c>
      <c r="H5310">
        <v>-0.05</v>
      </c>
      <c r="I5310">
        <v>7.5502320000000003</v>
      </c>
      <c r="J5310">
        <v>-320.62520000000001</v>
      </c>
      <c r="K5310">
        <v>1.1045659999999999</v>
      </c>
      <c r="L5310">
        <v>16.436429999999898</v>
      </c>
      <c r="M5310">
        <v>0.9881588</v>
      </c>
      <c r="N5310">
        <v>0</v>
      </c>
      <c r="O5310">
        <v>-0.152891</v>
      </c>
      <c r="P5310">
        <v>0.826022699999999</v>
      </c>
      <c r="Q5310">
        <v>0.12661049999999999</v>
      </c>
      <c r="R5310">
        <v>-0.54923259999999996</v>
      </c>
      <c r="S5310">
        <v>2.5179749999999999</v>
      </c>
      <c r="T5310">
        <v>-0.22397900000000001</v>
      </c>
      <c r="U5310">
        <v>-1.72820999999999</v>
      </c>
      <c r="V5310">
        <v>0.41778910000000002</v>
      </c>
      <c r="W5310">
        <v>0.13418640000000001</v>
      </c>
      <c r="X5310">
        <v>0.89858009999999999</v>
      </c>
      <c r="Y5310">
        <v>0.43242910000000001</v>
      </c>
      <c r="Z5310">
        <v>-5.2606689999999999E-3</v>
      </c>
      <c r="AA5310">
        <v>0.90165260000000003</v>
      </c>
      <c r="AB5310">
        <v>28</v>
      </c>
      <c r="AC5310">
        <v>12.84</v>
      </c>
      <c r="AD5310">
        <v>-1.154566</v>
      </c>
      <c r="AE5310">
        <v>-8.8861979999999896</v>
      </c>
      <c r="AF5310">
        <v>6.7813483391068896</v>
      </c>
      <c r="AG5310">
        <v>-1.154566</v>
      </c>
      <c r="AH5310">
        <v>13.9713667541058</v>
      </c>
      <c r="AI5310">
        <v>94.2517464089253</v>
      </c>
      <c r="AJ5310">
        <v>64.109235609636897</v>
      </c>
      <c r="AK5310">
        <v>15.573015023507701</v>
      </c>
      <c r="AL5310">
        <v>82.288423696803406</v>
      </c>
      <c r="AM5310">
        <v>65.064227626878704</v>
      </c>
      <c r="AN5310">
        <v>0.99999995906988903</v>
      </c>
    </row>
    <row r="5311" spans="1:40" x14ac:dyDescent="0.25">
      <c r="A5311" t="str">
        <f>"20190312164611872"</f>
        <v>20190312164611872</v>
      </c>
      <c r="B5311" t="str">
        <f>"1552380371866760"</f>
        <v>1552380371866760</v>
      </c>
      <c r="C5311" t="s">
        <v>40</v>
      </c>
      <c r="D5311">
        <v>5.2112980000000002</v>
      </c>
      <c r="E5311">
        <v>0.51903520000000003</v>
      </c>
      <c r="F5311" t="s">
        <v>43</v>
      </c>
      <c r="G5311">
        <v>-307.89530000000002</v>
      </c>
      <c r="H5311">
        <v>-0.05</v>
      </c>
      <c r="I5311">
        <v>7.6398929999999901</v>
      </c>
      <c r="J5311">
        <v>-320.48860000000002</v>
      </c>
      <c r="K5311">
        <v>1.1043369999999999</v>
      </c>
      <c r="L5311">
        <v>16.413119999999999</v>
      </c>
      <c r="M5311">
        <v>0.98780199999999996</v>
      </c>
      <c r="N5311">
        <v>0</v>
      </c>
      <c r="O5311">
        <v>-0.15516849999999999</v>
      </c>
      <c r="P5311">
        <v>0.82410869999999903</v>
      </c>
      <c r="Q5311">
        <v>0.1256864</v>
      </c>
      <c r="R5311">
        <v>-0.55231160000000001</v>
      </c>
      <c r="S5311">
        <v>2.5124209999999998</v>
      </c>
      <c r="T5311">
        <v>-0.22786890000000001</v>
      </c>
      <c r="U5311">
        <v>-1.7361150000000001</v>
      </c>
      <c r="V5311">
        <v>0.4190837</v>
      </c>
      <c r="W5311">
        <v>0.13323750000000001</v>
      </c>
      <c r="X5311">
        <v>0.89811839999999998</v>
      </c>
      <c r="Y5311">
        <v>0.43318050000000002</v>
      </c>
      <c r="Z5311">
        <v>-5.2084459999999898E-3</v>
      </c>
      <c r="AA5311">
        <v>0.90129210000000004</v>
      </c>
      <c r="AB5311">
        <v>28</v>
      </c>
      <c r="AC5311">
        <v>12.593299999999999</v>
      </c>
      <c r="AD5311">
        <v>-1.1543369999999999</v>
      </c>
      <c r="AE5311">
        <v>-8.7732270000000003</v>
      </c>
      <c r="AF5311">
        <v>6.6749400608347198</v>
      </c>
      <c r="AG5311">
        <v>-1.1543369999999999</v>
      </c>
      <c r="AH5311">
        <v>13.724552721723001</v>
      </c>
      <c r="AI5311">
        <v>94.325411470621106</v>
      </c>
      <c r="AJ5311">
        <v>64.064015387990494</v>
      </c>
      <c r="AK5311">
        <v>15.3052496267346</v>
      </c>
      <c r="AL5311">
        <v>82.343284768677805</v>
      </c>
      <c r="AM5311">
        <v>64.985108774004004</v>
      </c>
      <c r="AN5311">
        <v>1.0000000197152401</v>
      </c>
    </row>
    <row r="5312" spans="1:40" x14ac:dyDescent="0.25">
      <c r="A5312" t="str">
        <f>"20190312164611882"</f>
        <v>20190312164611882</v>
      </c>
      <c r="B5312" t="str">
        <f>"1552380371876520"</f>
        <v>1552380371876520</v>
      </c>
      <c r="C5312" t="s">
        <v>40</v>
      </c>
      <c r="D5312">
        <v>5.1892740000000002</v>
      </c>
      <c r="E5312">
        <v>0.51884049999999904</v>
      </c>
      <c r="F5312" t="s">
        <v>43</v>
      </c>
      <c r="G5312">
        <v>-308.04570000000001</v>
      </c>
      <c r="H5312">
        <v>-0.05</v>
      </c>
      <c r="I5312">
        <v>7.7514039999999902</v>
      </c>
      <c r="J5312">
        <v>-320.35109999999997</v>
      </c>
      <c r="K5312">
        <v>1.104053</v>
      </c>
      <c r="L5312">
        <v>16.389220000000002</v>
      </c>
      <c r="M5312">
        <v>0.98744540000000003</v>
      </c>
      <c r="N5312">
        <v>0</v>
      </c>
      <c r="O5312">
        <v>-0.15740009999999999</v>
      </c>
      <c r="P5312">
        <v>0.82217589999999996</v>
      </c>
      <c r="Q5312">
        <v>0.124849</v>
      </c>
      <c r="R5312">
        <v>-0.55537349999999996</v>
      </c>
      <c r="S5312">
        <v>2.5064389999999999</v>
      </c>
      <c r="T5312">
        <v>-0.23252510000000001</v>
      </c>
      <c r="U5312">
        <v>-1.7447809999999999</v>
      </c>
      <c r="V5312">
        <v>0.42040949999999999</v>
      </c>
      <c r="W5312">
        <v>0.13248370000000001</v>
      </c>
      <c r="X5312">
        <v>0.89761009999999997</v>
      </c>
      <c r="Y5312">
        <v>0.43422309999999997</v>
      </c>
      <c r="Z5312">
        <v>-5.1843920000000003E-3</v>
      </c>
      <c r="AA5312">
        <v>0.90079050000000005</v>
      </c>
      <c r="AB5312">
        <v>28</v>
      </c>
      <c r="AC5312">
        <v>12.305399999999899</v>
      </c>
      <c r="AD5312">
        <v>-1.154053</v>
      </c>
      <c r="AE5312">
        <v>-8.6378160000000008</v>
      </c>
      <c r="AF5312">
        <v>6.5544632022764002</v>
      </c>
      <c r="AG5312">
        <v>-1.154053</v>
      </c>
      <c r="AH5312">
        <v>13.4325510829328</v>
      </c>
      <c r="AI5312">
        <v>94.415210244110398</v>
      </c>
      <c r="AJ5312">
        <v>63.989765992168401</v>
      </c>
      <c r="AK5312">
        <v>14.9908723826335</v>
      </c>
      <c r="AL5312">
        <v>82.386860373627698</v>
      </c>
      <c r="AM5312">
        <v>64.9032348010915</v>
      </c>
      <c r="AN5312">
        <v>0.99999998503897503</v>
      </c>
    </row>
    <row r="5313" spans="1:40" x14ac:dyDescent="0.25">
      <c r="A5313" t="str">
        <f>"20190312164611894"</f>
        <v>20190312164611894</v>
      </c>
      <c r="B5313" t="str">
        <f>"1552380371886279"</f>
        <v>1552380371886279</v>
      </c>
      <c r="C5313" t="s">
        <v>40</v>
      </c>
      <c r="D5313">
        <v>5.2055709999999999</v>
      </c>
      <c r="E5313">
        <v>0.51867790000000003</v>
      </c>
      <c r="F5313" t="s">
        <v>43</v>
      </c>
      <c r="G5313">
        <v>-308.11219999999997</v>
      </c>
      <c r="H5313">
        <v>-0.05</v>
      </c>
      <c r="I5313">
        <v>7.8099819999999998</v>
      </c>
      <c r="J5313">
        <v>-320.209</v>
      </c>
      <c r="K5313">
        <v>1.103699</v>
      </c>
      <c r="L5313">
        <v>16.364260000000002</v>
      </c>
      <c r="M5313">
        <v>0.98706459999999996</v>
      </c>
      <c r="N5313">
        <v>0</v>
      </c>
      <c r="O5313">
        <v>-0.1597462</v>
      </c>
      <c r="P5313">
        <v>0.82023069999999898</v>
      </c>
      <c r="Q5313">
        <v>0.1237409</v>
      </c>
      <c r="R5313">
        <v>-0.55848869999999995</v>
      </c>
      <c r="S5313">
        <v>2.50061</v>
      </c>
      <c r="T5313">
        <v>-0.23579049999999999</v>
      </c>
      <c r="U5313">
        <v>-1.75286899999999</v>
      </c>
      <c r="V5313">
        <v>0.4216858</v>
      </c>
      <c r="W5313">
        <v>0.13149820000000001</v>
      </c>
      <c r="X5313">
        <v>0.89715619999999996</v>
      </c>
      <c r="Y5313">
        <v>0.4350041</v>
      </c>
      <c r="Z5313">
        <v>-5.1043699999999996E-3</v>
      </c>
      <c r="AA5313">
        <v>0.90041399999999905</v>
      </c>
      <c r="AB5313">
        <v>28</v>
      </c>
      <c r="AC5313">
        <v>12.0968</v>
      </c>
      <c r="AD5313">
        <v>-1.153699</v>
      </c>
      <c r="AE5313">
        <v>-8.554278</v>
      </c>
      <c r="AF5313">
        <v>6.4725609647604996</v>
      </c>
      <c r="AG5313">
        <v>-1.153699</v>
      </c>
      <c r="AH5313">
        <v>13.227855925995399</v>
      </c>
      <c r="AI5313">
        <v>94.479495078667796</v>
      </c>
      <c r="AJ5313">
        <v>63.926898908663297</v>
      </c>
      <c r="AK5313">
        <v>14.7716363082779</v>
      </c>
      <c r="AL5313">
        <v>82.443823621706599</v>
      </c>
      <c r="AM5313">
        <v>64.825304502679302</v>
      </c>
      <c r="AN5313">
        <v>0.99999996886165898</v>
      </c>
    </row>
    <row r="5314" spans="1:40" x14ac:dyDescent="0.25">
      <c r="A5314" t="str">
        <f>"20190312164611904"</f>
        <v>20190312164611904</v>
      </c>
      <c r="B5314" t="str">
        <f>"1552380371897016"</f>
        <v>1552380371897016</v>
      </c>
      <c r="C5314" t="s">
        <v>40</v>
      </c>
      <c r="D5314">
        <v>5.2383499999999996</v>
      </c>
      <c r="E5314">
        <v>0.51859160000000004</v>
      </c>
      <c r="F5314" t="s">
        <v>43</v>
      </c>
      <c r="G5314">
        <v>-308.21010000000001</v>
      </c>
      <c r="H5314">
        <v>-0.05</v>
      </c>
      <c r="I5314">
        <v>7.8965149999999902</v>
      </c>
      <c r="J5314">
        <v>-320.07679999999999</v>
      </c>
      <c r="K5314">
        <v>1.1033090000000001</v>
      </c>
      <c r="L5314">
        <v>16.340729999999901</v>
      </c>
      <c r="M5314">
        <v>0.98669839999999998</v>
      </c>
      <c r="N5314">
        <v>0</v>
      </c>
      <c r="O5314">
        <v>-0.16196759999999999</v>
      </c>
      <c r="P5314">
        <v>0.81831619999999905</v>
      </c>
      <c r="Q5314">
        <v>0.1224869</v>
      </c>
      <c r="R5314">
        <v>-0.56156539999999999</v>
      </c>
      <c r="S5314">
        <v>2.4948730000000001</v>
      </c>
      <c r="T5314">
        <v>-0.2398827</v>
      </c>
      <c r="U5314">
        <v>-1.76065099999999</v>
      </c>
      <c r="V5314">
        <v>0.42302919999999999</v>
      </c>
      <c r="W5314">
        <v>0.13039010000000001</v>
      </c>
      <c r="X5314">
        <v>0.89668539999999997</v>
      </c>
      <c r="Y5314">
        <v>0.435803</v>
      </c>
      <c r="Z5314">
        <v>-5.0483910000000002E-3</v>
      </c>
      <c r="AA5314">
        <v>0.90002789999999999</v>
      </c>
      <c r="AB5314">
        <v>28</v>
      </c>
      <c r="AC5314">
        <v>11.8666999999999</v>
      </c>
      <c r="AD5314">
        <v>-1.1533089999999999</v>
      </c>
      <c r="AE5314">
        <v>-8.4442149999999891</v>
      </c>
      <c r="AF5314">
        <v>6.3705438331211299</v>
      </c>
      <c r="AG5314">
        <v>-1.1533089999999999</v>
      </c>
      <c r="AH5314">
        <v>12.9963101641709</v>
      </c>
      <c r="AI5314">
        <v>94.555879041719805</v>
      </c>
      <c r="AJ5314">
        <v>63.886785632121203</v>
      </c>
      <c r="AK5314">
        <v>14.5195739697324</v>
      </c>
      <c r="AL5314">
        <v>82.507864681017793</v>
      </c>
      <c r="AM5314">
        <v>64.743471245911294</v>
      </c>
      <c r="AN5314">
        <v>0.99999999440190501</v>
      </c>
    </row>
    <row r="5315" spans="1:40" x14ac:dyDescent="0.25">
      <c r="A5315" t="str">
        <f>"20190312164611916"</f>
        <v>20190312164611916</v>
      </c>
      <c r="B5315" t="str">
        <f>"1552380371906776"</f>
        <v>1552380371906776</v>
      </c>
      <c r="C5315" t="s">
        <v>40</v>
      </c>
      <c r="D5315">
        <v>5.3303909999999997</v>
      </c>
      <c r="E5315">
        <v>0.51863359999999903</v>
      </c>
      <c r="F5315" t="s">
        <v>43</v>
      </c>
      <c r="G5315">
        <v>-308.31779999999998</v>
      </c>
      <c r="H5315">
        <v>-0.05</v>
      </c>
      <c r="I5315">
        <v>7.9828190000000001</v>
      </c>
      <c r="J5315">
        <v>-319.93639999999999</v>
      </c>
      <c r="K5315">
        <v>1.1028389999999999</v>
      </c>
      <c r="L5315">
        <v>16.31531</v>
      </c>
      <c r="M5315">
        <v>0.98631789999999997</v>
      </c>
      <c r="N5315">
        <v>0</v>
      </c>
      <c r="O5315">
        <v>-0.16422919999999999</v>
      </c>
      <c r="P5315">
        <v>0.81635950000000002</v>
      </c>
      <c r="Q5315">
        <v>0.12114419999999999</v>
      </c>
      <c r="R5315">
        <v>-0.56469619999999998</v>
      </c>
      <c r="S5315">
        <v>2.4887079999999999</v>
      </c>
      <c r="T5315">
        <v>-0.2440898</v>
      </c>
      <c r="U5315">
        <v>-1.7688900000000001</v>
      </c>
      <c r="V5315">
        <v>0.42439929999999898</v>
      </c>
      <c r="W5315">
        <v>0.1293339</v>
      </c>
      <c r="X5315">
        <v>0.89619079999999995</v>
      </c>
      <c r="Y5315">
        <v>0.43674540000000001</v>
      </c>
      <c r="Z5315">
        <v>-4.993043E-3</v>
      </c>
      <c r="AA5315">
        <v>0.89957129999999996</v>
      </c>
      <c r="AB5315">
        <v>28</v>
      </c>
      <c r="AC5315">
        <v>11.618600000000001</v>
      </c>
      <c r="AD5315">
        <v>-1.1528389999999999</v>
      </c>
      <c r="AE5315">
        <v>-8.3324909999999992</v>
      </c>
      <c r="AF5315">
        <v>6.2702553379814203</v>
      </c>
      <c r="AG5315">
        <v>-1.1528389999999999</v>
      </c>
      <c r="AH5315">
        <v>12.746520849165201</v>
      </c>
      <c r="AI5315">
        <v>94.639710018638098</v>
      </c>
      <c r="AJ5315">
        <v>63.8065521846572</v>
      </c>
      <c r="AK5315">
        <v>14.251979986009299</v>
      </c>
      <c r="AL5315">
        <v>82.568897249170405</v>
      </c>
      <c r="AM5315">
        <v>64.659679450967502</v>
      </c>
      <c r="AN5315">
        <v>0.99999998676716995</v>
      </c>
    </row>
    <row r="5316" spans="1:40" x14ac:dyDescent="0.25">
      <c r="A5316" t="str">
        <f>"20190312164611926"</f>
        <v>20190312164611926</v>
      </c>
      <c r="B5316" t="str">
        <f>"1552380371916537"</f>
        <v>1552380371916537</v>
      </c>
      <c r="C5316" t="s">
        <v>40</v>
      </c>
      <c r="D5316">
        <v>5.2671070000000002</v>
      </c>
      <c r="E5316">
        <v>0.51878570000000002</v>
      </c>
      <c r="F5316" t="s">
        <v>43</v>
      </c>
      <c r="G5316">
        <v>-308.42009999999999</v>
      </c>
      <c r="H5316">
        <v>-0.05</v>
      </c>
      <c r="I5316">
        <v>8.0608059999999995</v>
      </c>
      <c r="J5316">
        <v>-319.80650000000003</v>
      </c>
      <c r="K5316">
        <v>1.102374</v>
      </c>
      <c r="L5316">
        <v>16.291599999999999</v>
      </c>
      <c r="M5316">
        <v>0.98596819999999996</v>
      </c>
      <c r="N5316">
        <v>0</v>
      </c>
      <c r="O5316">
        <v>-0.1662719</v>
      </c>
      <c r="P5316">
        <v>0.81472519999999904</v>
      </c>
      <c r="Q5316">
        <v>0.11993040000000001</v>
      </c>
      <c r="R5316">
        <v>-0.56730909999999901</v>
      </c>
      <c r="S5316">
        <v>2.4814449999999999</v>
      </c>
      <c r="T5316">
        <v>-0.24840580000000001</v>
      </c>
      <c r="U5316">
        <v>-1.7786249999999999</v>
      </c>
      <c r="V5316">
        <v>0.42540600000000001</v>
      </c>
      <c r="W5316">
        <v>0.1284525</v>
      </c>
      <c r="X5316">
        <v>0.89584019999999998</v>
      </c>
      <c r="Y5316">
        <v>0.43842819999999999</v>
      </c>
      <c r="Z5316">
        <v>-4.9879709999999999E-3</v>
      </c>
      <c r="AA5316">
        <v>0.89875239999999901</v>
      </c>
      <c r="AB5316">
        <v>28</v>
      </c>
      <c r="AC5316">
        <v>11.3864</v>
      </c>
      <c r="AD5316">
        <v>-1.152374</v>
      </c>
      <c r="AE5316">
        <v>-8.2307939999999995</v>
      </c>
      <c r="AF5316">
        <v>6.1811651751642298</v>
      </c>
      <c r="AG5316">
        <v>-1.152374</v>
      </c>
      <c r="AH5316">
        <v>12.5123899866784</v>
      </c>
      <c r="AI5316">
        <v>94.720354188154701</v>
      </c>
      <c r="AJ5316">
        <v>63.710464194365102</v>
      </c>
      <c r="AK5316">
        <v>14.003380732425599</v>
      </c>
      <c r="AL5316">
        <v>82.6198225459665</v>
      </c>
      <c r="AM5316">
        <v>64.598444834346694</v>
      </c>
      <c r="AN5316">
        <v>0.99999998676414403</v>
      </c>
    </row>
    <row r="5317" spans="1:40" x14ac:dyDescent="0.25">
      <c r="A5317" t="str">
        <f>"20190312164611938"</f>
        <v>20190312164611938</v>
      </c>
      <c r="B5317" t="str">
        <f>"1552380371926296"</f>
        <v>1552380371926296</v>
      </c>
      <c r="C5317" t="s">
        <v>40</v>
      </c>
      <c r="D5317">
        <v>5.3098260000000002</v>
      </c>
      <c r="E5317">
        <v>0.51918330000000001</v>
      </c>
      <c r="F5317" t="s">
        <v>43</v>
      </c>
      <c r="G5317">
        <v>-308.49560000000002</v>
      </c>
      <c r="H5317">
        <v>-0.05</v>
      </c>
      <c r="I5317">
        <v>8.1198119999999996</v>
      </c>
      <c r="J5317">
        <v>-319.66750000000002</v>
      </c>
      <c r="K5317">
        <v>1.1017969999999999</v>
      </c>
      <c r="L5317">
        <v>16.265750000000001</v>
      </c>
      <c r="M5317">
        <v>0.98560910000000002</v>
      </c>
      <c r="N5317">
        <v>0</v>
      </c>
      <c r="O5317">
        <v>-0.16832939999999999</v>
      </c>
      <c r="P5317">
        <v>0.81288300000000002</v>
      </c>
      <c r="Q5317">
        <v>0.11876829999999999</v>
      </c>
      <c r="R5317">
        <v>-0.5701889</v>
      </c>
      <c r="S5317">
        <v>2.4744570000000001</v>
      </c>
      <c r="T5317">
        <v>-0.25210139999999998</v>
      </c>
      <c r="U5317">
        <v>-1.78772</v>
      </c>
      <c r="V5317">
        <v>0.42669760000000001</v>
      </c>
      <c r="W5317">
        <v>0.1277596</v>
      </c>
      <c r="X5317">
        <v>0.89532489999999998</v>
      </c>
      <c r="Y5317">
        <v>0.43990030000000002</v>
      </c>
      <c r="Z5317">
        <v>-4.9562390000000003E-3</v>
      </c>
      <c r="AA5317">
        <v>0.89803299999999997</v>
      </c>
      <c r="AB5317">
        <v>28</v>
      </c>
      <c r="AC5317">
        <v>11.1718999999999</v>
      </c>
      <c r="AD5317">
        <v>-1.151797</v>
      </c>
      <c r="AE5317">
        <v>-8.1459379999999992</v>
      </c>
      <c r="AF5317">
        <v>6.10651200016971</v>
      </c>
      <c r="AG5317">
        <v>-1.151797</v>
      </c>
      <c r="AH5317">
        <v>12.298465752061899</v>
      </c>
      <c r="AI5317">
        <v>94.794897125063798</v>
      </c>
      <c r="AJ5317">
        <v>63.594391496850903</v>
      </c>
      <c r="AK5317">
        <v>13.779273746902099</v>
      </c>
      <c r="AL5317">
        <v>82.659852844192002</v>
      </c>
      <c r="AM5317">
        <v>64.518274131517799</v>
      </c>
      <c r="AN5317">
        <v>1.00000001689896</v>
      </c>
    </row>
    <row r="5318" spans="1:40" x14ac:dyDescent="0.25">
      <c r="A5318" t="str">
        <f>"20190312164611949"</f>
        <v>20190312164611949</v>
      </c>
      <c r="B5318" t="str">
        <f>"1552380371946792"</f>
        <v>1552380371946792</v>
      </c>
      <c r="C5318" t="s">
        <v>40</v>
      </c>
      <c r="D5318">
        <v>5.0548070000000003</v>
      </c>
      <c r="E5318">
        <v>0.54899480000000001</v>
      </c>
      <c r="F5318" t="s">
        <v>43</v>
      </c>
      <c r="G5318">
        <v>-308.57740000000001</v>
      </c>
      <c r="H5318">
        <v>-0.05</v>
      </c>
      <c r="I5318">
        <v>8.1731110000000005</v>
      </c>
      <c r="J5318">
        <v>-319.52589999999998</v>
      </c>
      <c r="K5318">
        <v>1.101197</v>
      </c>
      <c r="L5318">
        <v>16.239229999999999</v>
      </c>
      <c r="M5318">
        <v>0.98524270000000003</v>
      </c>
      <c r="N5318">
        <v>0</v>
      </c>
      <c r="O5318">
        <v>-0.17039699999999999</v>
      </c>
      <c r="P5318">
        <v>0.81084049999999996</v>
      </c>
      <c r="Q5318">
        <v>0.1176325</v>
      </c>
      <c r="R5318">
        <v>-0.5733239</v>
      </c>
      <c r="S5318">
        <v>2.4658509999999998</v>
      </c>
      <c r="T5318">
        <v>-0.25609860000000001</v>
      </c>
      <c r="U5318">
        <v>-1.799377</v>
      </c>
      <c r="V5318">
        <v>0.42826720000000001</v>
      </c>
      <c r="W5318">
        <v>0.12713160000000001</v>
      </c>
      <c r="X5318">
        <v>0.89466460000000003</v>
      </c>
      <c r="Y5318">
        <v>0.4422449</v>
      </c>
      <c r="Z5318">
        <v>-4.9681329999999996E-3</v>
      </c>
      <c r="AA5318">
        <v>0.89688060000000003</v>
      </c>
      <c r="AB5318">
        <v>28</v>
      </c>
      <c r="AC5318">
        <v>10.9484999999999</v>
      </c>
      <c r="AD5318">
        <v>-1.151197</v>
      </c>
      <c r="AE5318">
        <v>-8.0661189999999898</v>
      </c>
      <c r="AF5318">
        <v>6.0390125600364204</v>
      </c>
      <c r="AG5318">
        <v>-1.151197</v>
      </c>
      <c r="AH5318">
        <v>12.0764219623341</v>
      </c>
      <c r="AI5318">
        <v>94.873247099718299</v>
      </c>
      <c r="AJ5318">
        <v>63.431906473661897</v>
      </c>
      <c r="AK5318">
        <v>13.551195321647199</v>
      </c>
      <c r="AL5318">
        <v>82.696130237068402</v>
      </c>
      <c r="AM5318">
        <v>64.4200172828007</v>
      </c>
      <c r="AN5318">
        <v>0.99999999240378001</v>
      </c>
    </row>
    <row r="5319" spans="1:40" x14ac:dyDescent="0.25">
      <c r="A5319" t="str">
        <f>"20190312164611960"</f>
        <v>20190312164611960</v>
      </c>
      <c r="B5319" t="str">
        <f>"1552380371956552"</f>
        <v>1552380371956552</v>
      </c>
      <c r="C5319" t="s">
        <v>40</v>
      </c>
      <c r="D5319">
        <v>5.0088569999999999</v>
      </c>
      <c r="E5319">
        <v>0.55372189999999999</v>
      </c>
      <c r="F5319" t="s">
        <v>43</v>
      </c>
      <c r="G5319">
        <v>-311.976</v>
      </c>
      <c r="H5319">
        <v>-0.05</v>
      </c>
      <c r="I5319">
        <v>9.78186</v>
      </c>
      <c r="J5319">
        <v>-319.38900000000001</v>
      </c>
      <c r="K5319">
        <v>1.1005769999999999</v>
      </c>
      <c r="L5319">
        <v>16.213010000000001</v>
      </c>
      <c r="M5319">
        <v>0.9848654</v>
      </c>
      <c r="N5319">
        <v>0</v>
      </c>
      <c r="O5319">
        <v>-0.17248939999999999</v>
      </c>
      <c r="P5319">
        <v>0.80865089999999995</v>
      </c>
      <c r="Q5319">
        <v>0.1165992</v>
      </c>
      <c r="R5319">
        <v>-0.57661799999999996</v>
      </c>
      <c r="S5319">
        <v>2.337799</v>
      </c>
      <c r="T5319">
        <v>-0.35646050000000001</v>
      </c>
      <c r="U5319">
        <v>-1.9994810000000001</v>
      </c>
      <c r="V5319">
        <v>0.429983</v>
      </c>
      <c r="W5319">
        <v>0.126748</v>
      </c>
      <c r="X5319">
        <v>0.89389569999999996</v>
      </c>
      <c r="Y5319">
        <v>0.50695820000000003</v>
      </c>
      <c r="Z5319">
        <v>-1.105484E-2</v>
      </c>
      <c r="AA5319">
        <v>0.86189969999999905</v>
      </c>
      <c r="AB5319">
        <v>28</v>
      </c>
      <c r="AC5319">
        <v>7.41300000000001</v>
      </c>
      <c r="AD5319">
        <v>-1.150577</v>
      </c>
      <c r="AE5319">
        <v>-6.4311499999999997</v>
      </c>
      <c r="AF5319">
        <v>4.9873285288275602</v>
      </c>
      <c r="AG5319">
        <v>-1.150577</v>
      </c>
      <c r="AH5319">
        <v>8.2972744761582504</v>
      </c>
      <c r="AI5319">
        <v>96.777879545522794</v>
      </c>
      <c r="AJ5319">
        <v>58.990751420833703</v>
      </c>
      <c r="AK5319">
        <v>9.7489505599368709</v>
      </c>
      <c r="AL5319">
        <v>82.718288049381002</v>
      </c>
      <c r="AM5319">
        <v>64.311447784669696</v>
      </c>
      <c r="AN5319">
        <v>0.99999997913574401</v>
      </c>
    </row>
    <row r="5320" spans="1:40" x14ac:dyDescent="0.25">
      <c r="A5320" t="str">
        <f>"20190312164611973"</f>
        <v>20190312164611973</v>
      </c>
      <c r="B5320" t="str">
        <f>"1552380371966311"</f>
        <v>1552380371966311</v>
      </c>
      <c r="C5320" t="s">
        <v>40</v>
      </c>
      <c r="D5320">
        <v>5.2598229999999999</v>
      </c>
      <c r="E5320">
        <v>0.55342259999999999</v>
      </c>
      <c r="F5320" t="s">
        <v>43</v>
      </c>
      <c r="G5320">
        <v>-311.74259999999998</v>
      </c>
      <c r="H5320">
        <v>-0.05</v>
      </c>
      <c r="I5320">
        <v>9.4439390000000003</v>
      </c>
      <c r="J5320">
        <v>-319.24099999999999</v>
      </c>
      <c r="K5320">
        <v>1.099899</v>
      </c>
      <c r="L5320">
        <v>16.184419999999999</v>
      </c>
      <c r="M5320">
        <v>0.98443619999999998</v>
      </c>
      <c r="N5320">
        <v>0</v>
      </c>
      <c r="O5320">
        <v>-0.17483679999999999</v>
      </c>
      <c r="P5320">
        <v>0.80643529999999997</v>
      </c>
      <c r="Q5320">
        <v>0.1155849</v>
      </c>
      <c r="R5320">
        <v>-0.57991579999999998</v>
      </c>
      <c r="S5320">
        <v>2.304932</v>
      </c>
      <c r="T5320">
        <v>-0.34682940000000001</v>
      </c>
      <c r="U5320">
        <v>-2.0404659999999999</v>
      </c>
      <c r="V5320">
        <v>0.431475</v>
      </c>
      <c r="W5320">
        <v>0.12647169999999999</v>
      </c>
      <c r="X5320">
        <v>0.89321569999999995</v>
      </c>
      <c r="Y5320">
        <v>0.51958930000000003</v>
      </c>
      <c r="Z5320">
        <v>-1.135035E-2</v>
      </c>
      <c r="AA5320">
        <v>0.85434080000000001</v>
      </c>
      <c r="AB5320">
        <v>28</v>
      </c>
      <c r="AC5320">
        <v>7.4984000000000002</v>
      </c>
      <c r="AD5320">
        <v>-1.149899</v>
      </c>
      <c r="AE5320">
        <v>-6.7404809999999999</v>
      </c>
      <c r="AF5320">
        <v>5.2570455197491697</v>
      </c>
      <c r="AG5320">
        <v>-1.149899</v>
      </c>
      <c r="AH5320">
        <v>8.4516115876053401</v>
      </c>
      <c r="AI5320">
        <v>96.5901954718627</v>
      </c>
      <c r="AJ5320">
        <v>58.117688313901702</v>
      </c>
      <c r="AK5320">
        <v>10.0194078534941</v>
      </c>
      <c r="AL5320">
        <v>82.734247651191893</v>
      </c>
      <c r="AM5320">
        <v>64.2167623600768</v>
      </c>
      <c r="AN5320">
        <v>1.0000000266261799</v>
      </c>
    </row>
    <row r="5321" spans="1:40" x14ac:dyDescent="0.25">
      <c r="A5321" t="str">
        <f>"20190312164611983"</f>
        <v>20190312164611983</v>
      </c>
      <c r="B5321" t="str">
        <f>"1552380371977047"</f>
        <v>1552380371977047</v>
      </c>
      <c r="C5321" t="s">
        <v>40</v>
      </c>
      <c r="D5321">
        <v>5.0638110000000003</v>
      </c>
      <c r="E5321">
        <v>0.55514330000000001</v>
      </c>
      <c r="F5321" t="s">
        <v>43</v>
      </c>
      <c r="G5321">
        <v>-311.04520000000002</v>
      </c>
      <c r="H5321">
        <v>-0.05</v>
      </c>
      <c r="I5321">
        <v>8.8585820000000002</v>
      </c>
      <c r="J5321">
        <v>-319.09960000000001</v>
      </c>
      <c r="K5321">
        <v>1.0992299999999999</v>
      </c>
      <c r="L5321">
        <v>16.156739999999999</v>
      </c>
      <c r="M5321">
        <v>0.98398589999999997</v>
      </c>
      <c r="N5321">
        <v>0</v>
      </c>
      <c r="O5321">
        <v>-0.17726689999999901</v>
      </c>
      <c r="P5321">
        <v>0.80405519999999997</v>
      </c>
      <c r="Q5321">
        <v>0.1142932</v>
      </c>
      <c r="R5321">
        <v>-0.58346589999999998</v>
      </c>
      <c r="S5321">
        <v>2.2925719999999998</v>
      </c>
      <c r="T5321">
        <v>-0.32165670000000002</v>
      </c>
      <c r="U5321">
        <v>-2.0492249999999999</v>
      </c>
      <c r="V5321">
        <v>0.43315769999999998</v>
      </c>
      <c r="W5321">
        <v>0.12594759999999999</v>
      </c>
      <c r="X5321">
        <v>0.89247500000000002</v>
      </c>
      <c r="Y5321">
        <v>0.52186409999999905</v>
      </c>
      <c r="Z5321">
        <v>-1.042304E-2</v>
      </c>
      <c r="AA5321">
        <v>0.85296489999999903</v>
      </c>
      <c r="AB5321">
        <v>28</v>
      </c>
      <c r="AC5321">
        <v>8.0543999999999798</v>
      </c>
      <c r="AD5321">
        <v>-1.14923</v>
      </c>
      <c r="AE5321">
        <v>-7.2981579999999902</v>
      </c>
      <c r="AF5321">
        <v>5.6908856201638898</v>
      </c>
      <c r="AG5321">
        <v>-1.14923</v>
      </c>
      <c r="AH5321">
        <v>9.1187979526086806</v>
      </c>
      <c r="AI5321">
        <v>96.102661157159602</v>
      </c>
      <c r="AJ5321">
        <v>58.0324193591428</v>
      </c>
      <c r="AK5321">
        <v>10.810151933954799</v>
      </c>
      <c r="AL5321">
        <v>82.764518293129001</v>
      </c>
      <c r="AM5321">
        <v>64.110644231405701</v>
      </c>
      <c r="AN5321">
        <v>1.00000000832002</v>
      </c>
    </row>
    <row r="5322" spans="1:40" x14ac:dyDescent="0.25">
      <c r="A5322" t="str">
        <f>"20190312164611996"</f>
        <v>20190312164611996</v>
      </c>
      <c r="B5322" t="str">
        <f>"1552380371986808"</f>
        <v>1552380371986808</v>
      </c>
      <c r="C5322" t="s">
        <v>40</v>
      </c>
      <c r="D5322">
        <v>4.8858139999999999</v>
      </c>
      <c r="E5322">
        <v>0.55426609999999998</v>
      </c>
      <c r="F5322" t="s">
        <v>43</v>
      </c>
      <c r="G5322">
        <v>-311.05529999999999</v>
      </c>
      <c r="H5322">
        <v>-0.05</v>
      </c>
      <c r="I5322">
        <v>8.83636499999999</v>
      </c>
      <c r="J5322">
        <v>-318.94920000000002</v>
      </c>
      <c r="K5322">
        <v>1.0984750000000001</v>
      </c>
      <c r="L5322">
        <v>16.126860000000001</v>
      </c>
      <c r="M5322">
        <v>0.98347390000000001</v>
      </c>
      <c r="N5322">
        <v>0</v>
      </c>
      <c r="O5322">
        <v>-0.17999079999999901</v>
      </c>
      <c r="P5322">
        <v>0.80164539999999995</v>
      </c>
      <c r="Q5322">
        <v>0.1133569</v>
      </c>
      <c r="R5322">
        <v>-0.58695419999999998</v>
      </c>
      <c r="S5322">
        <v>2.274994</v>
      </c>
      <c r="T5322">
        <v>-0.32501010000000002</v>
      </c>
      <c r="U5322">
        <v>-2.0702509999999998</v>
      </c>
      <c r="V5322">
        <v>0.43452580000000002</v>
      </c>
      <c r="W5322">
        <v>0.12582650000000001</v>
      </c>
      <c r="X5322">
        <v>0.89182669999999997</v>
      </c>
      <c r="Y5322">
        <v>0.52703089999999997</v>
      </c>
      <c r="Z5322">
        <v>-1.0565450000000001E-2</v>
      </c>
      <c r="AA5322">
        <v>0.84978039999999999</v>
      </c>
      <c r="AB5322">
        <v>28</v>
      </c>
      <c r="AC5322">
        <v>7.8939000000000297</v>
      </c>
      <c r="AD5322">
        <v>-1.1484749999999999</v>
      </c>
      <c r="AE5322">
        <v>-7.2904949999999999</v>
      </c>
      <c r="AF5322">
        <v>5.6853362455227803</v>
      </c>
      <c r="AG5322">
        <v>-1.1484749999999999</v>
      </c>
      <c r="AH5322">
        <v>8.9748793781017593</v>
      </c>
      <c r="AI5322">
        <v>96.169767891589302</v>
      </c>
      <c r="AJ5322">
        <v>57.646879712029502</v>
      </c>
      <c r="AK5322">
        <v>10.6859956439143</v>
      </c>
      <c r="AL5322">
        <v>82.771511818164001</v>
      </c>
      <c r="AM5322">
        <v>64.023211148908004</v>
      </c>
      <c r="AN5322">
        <v>0.99999992090038603</v>
      </c>
    </row>
    <row r="5323" spans="1:40" x14ac:dyDescent="0.25">
      <c r="A5323" t="str">
        <f>"20190312164612006"</f>
        <v>20190312164612006</v>
      </c>
      <c r="B5323" t="str">
        <f>"1552380371996568"</f>
        <v>1552380371996568</v>
      </c>
      <c r="C5323" t="s">
        <v>40</v>
      </c>
      <c r="D5323">
        <v>5.031326</v>
      </c>
      <c r="E5323">
        <v>0.55406750000000005</v>
      </c>
      <c r="F5323" t="s">
        <v>43</v>
      </c>
      <c r="G5323">
        <v>-311.04939999999999</v>
      </c>
      <c r="H5323">
        <v>-0.05</v>
      </c>
      <c r="I5323">
        <v>8.9084470000000007</v>
      </c>
      <c r="J5323">
        <v>-318.8168</v>
      </c>
      <c r="K5323">
        <v>1.09779</v>
      </c>
      <c r="L5323">
        <v>16.100279999999898</v>
      </c>
      <c r="M5323">
        <v>0.98300160000000003</v>
      </c>
      <c r="N5323">
        <v>0</v>
      </c>
      <c r="O5323">
        <v>-0.18246770000000001</v>
      </c>
      <c r="P5323">
        <v>0.79925139999999995</v>
      </c>
      <c r="Q5323">
        <v>0.1124618</v>
      </c>
      <c r="R5323">
        <v>-0.5903813</v>
      </c>
      <c r="S5323">
        <v>2.2701419999999999</v>
      </c>
      <c r="T5323">
        <v>-0.33003510000000003</v>
      </c>
      <c r="U5323">
        <v>-2.074341</v>
      </c>
      <c r="V5323">
        <v>0.43606139999999999</v>
      </c>
      <c r="W5323">
        <v>0.12563640000000001</v>
      </c>
      <c r="X5323">
        <v>0.8911038</v>
      </c>
      <c r="Y5323">
        <v>0.52658439999999995</v>
      </c>
      <c r="Z5323">
        <v>-1.0421450000000001E-2</v>
      </c>
      <c r="AA5323">
        <v>0.85005900000000001</v>
      </c>
      <c r="AB5323">
        <v>28</v>
      </c>
      <c r="AC5323">
        <v>7.7674000000000003</v>
      </c>
      <c r="AD5323">
        <v>-1.1477899999999901</v>
      </c>
      <c r="AE5323">
        <v>-7.1918329999999902</v>
      </c>
      <c r="AF5323">
        <v>5.5877575522704799</v>
      </c>
      <c r="AG5323">
        <v>-1.1477899999999901</v>
      </c>
      <c r="AH5323">
        <v>8.8454980116232491</v>
      </c>
      <c r="AI5323">
        <v>96.260549853540397</v>
      </c>
      <c r="AJ5323">
        <v>57.719136492066497</v>
      </c>
      <c r="AK5323">
        <v>10.525364194206601</v>
      </c>
      <c r="AL5323">
        <v>82.782491562930602</v>
      </c>
      <c r="AM5323">
        <v>63.925198044415303</v>
      </c>
      <c r="AN5323">
        <v>1.00000001597467</v>
      </c>
    </row>
    <row r="5324" spans="1:40" x14ac:dyDescent="0.25">
      <c r="A5324" t="str">
        <f>"20190312164612016"</f>
        <v>20190312164612016</v>
      </c>
      <c r="B5324" t="str">
        <f>"1552380372006328"</f>
        <v>1552380372006328</v>
      </c>
      <c r="C5324" t="s">
        <v>40</v>
      </c>
      <c r="D5324">
        <v>5.1583160000000001</v>
      </c>
      <c r="E5324">
        <v>0.55395139999999998</v>
      </c>
      <c r="F5324" t="s">
        <v>43</v>
      </c>
      <c r="G5324">
        <v>-310.69490000000002</v>
      </c>
      <c r="H5324">
        <v>-0.05</v>
      </c>
      <c r="I5324">
        <v>8.6101840000000003</v>
      </c>
      <c r="J5324">
        <v>-318.70080000000002</v>
      </c>
      <c r="K5324">
        <v>1.0971500000000001</v>
      </c>
      <c r="L5324">
        <v>16.076629999999899</v>
      </c>
      <c r="M5324">
        <v>0.98253559999999995</v>
      </c>
      <c r="N5324">
        <v>0</v>
      </c>
      <c r="O5324">
        <v>-0.18489630000000001</v>
      </c>
      <c r="P5324">
        <v>0.79695130000000003</v>
      </c>
      <c r="Q5324">
        <v>0.1119991</v>
      </c>
      <c r="R5324">
        <v>-0.59356980000000004</v>
      </c>
      <c r="S5324">
        <v>2.259369</v>
      </c>
      <c r="T5324">
        <v>-0.31929150000000001</v>
      </c>
      <c r="U5324">
        <v>-2.0835880000000002</v>
      </c>
      <c r="V5324">
        <v>0.43739820000000001</v>
      </c>
      <c r="W5324">
        <v>0.12570019999999901</v>
      </c>
      <c r="X5324">
        <v>0.89043939999999999</v>
      </c>
      <c r="Y5324">
        <v>0.52850019999999998</v>
      </c>
      <c r="Z5324">
        <v>-9.948017E-3</v>
      </c>
      <c r="AA5324">
        <v>0.84887489999999999</v>
      </c>
      <c r="AB5324">
        <v>28</v>
      </c>
      <c r="AC5324">
        <v>8.0058999999999898</v>
      </c>
      <c r="AD5324">
        <v>-1.1471499999999999</v>
      </c>
      <c r="AE5324">
        <v>-7.4664459999999897</v>
      </c>
      <c r="AF5324">
        <v>5.7934518490755096</v>
      </c>
      <c r="AG5324">
        <v>-1.1471499999999999</v>
      </c>
      <c r="AH5324">
        <v>9.1481683587492597</v>
      </c>
      <c r="AI5324">
        <v>96.0473326398522</v>
      </c>
      <c r="AJ5324">
        <v>57.654291425569603</v>
      </c>
      <c r="AK5324">
        <v>10.8889403419284</v>
      </c>
      <c r="AL5324">
        <v>82.7788069493796</v>
      </c>
      <c r="AM5324">
        <v>63.8389844877223</v>
      </c>
      <c r="AN5324">
        <v>1.0000000253578101</v>
      </c>
    </row>
    <row r="5325" spans="1:40" x14ac:dyDescent="0.25">
      <c r="A5325" t="str">
        <f>"20190312164612026"</f>
        <v>20190312164612026</v>
      </c>
      <c r="B5325" t="str">
        <f>"1552380372017064"</f>
        <v>1552380372017064</v>
      </c>
      <c r="C5325" t="s">
        <v>40</v>
      </c>
      <c r="D5325">
        <v>5.0020769999999999</v>
      </c>
      <c r="E5325">
        <v>0.5538476</v>
      </c>
      <c r="F5325" t="s">
        <v>43</v>
      </c>
      <c r="G5325">
        <v>-309.9905</v>
      </c>
      <c r="H5325">
        <v>-0.05</v>
      </c>
      <c r="I5325">
        <v>7.9585109999999997</v>
      </c>
      <c r="J5325">
        <v>-318.56360000000001</v>
      </c>
      <c r="K5325">
        <v>1.0963769999999999</v>
      </c>
      <c r="L5325">
        <v>16.048459999999999</v>
      </c>
      <c r="M5325">
        <v>0.98196130000000004</v>
      </c>
      <c r="N5325">
        <v>0</v>
      </c>
      <c r="O5325">
        <v>-0.18784919999999999</v>
      </c>
      <c r="P5325">
        <v>0.79410369999999997</v>
      </c>
      <c r="Q5325">
        <v>0.1119637</v>
      </c>
      <c r="R5325">
        <v>-0.59738080000000005</v>
      </c>
      <c r="S5325">
        <v>2.2464900000000001</v>
      </c>
      <c r="T5325">
        <v>-0.29586220000000002</v>
      </c>
      <c r="U5325">
        <v>-2.09375</v>
      </c>
      <c r="V5325">
        <v>0.43897989999999998</v>
      </c>
      <c r="W5325">
        <v>0.12625699999999901</v>
      </c>
      <c r="X5325">
        <v>0.88958179999999998</v>
      </c>
      <c r="Y5325">
        <v>0.53067449999999905</v>
      </c>
      <c r="Z5325">
        <v>-9.0598540000000009E-3</v>
      </c>
      <c r="AA5325">
        <v>0.84752729999999998</v>
      </c>
      <c r="AB5325">
        <v>28</v>
      </c>
      <c r="AC5325">
        <v>8.5731000000000002</v>
      </c>
      <c r="AD5325">
        <v>-1.146377</v>
      </c>
      <c r="AE5325">
        <v>-8.0899490000000007</v>
      </c>
      <c r="AF5325">
        <v>6.2756819263227701</v>
      </c>
      <c r="AG5325">
        <v>-1.146377</v>
      </c>
      <c r="AH5325">
        <v>9.8473143106563796</v>
      </c>
      <c r="AI5325">
        <v>95.6069547103845</v>
      </c>
      <c r="AJ5325">
        <v>57.490685469687598</v>
      </c>
      <c r="AK5325">
        <v>11.733199180076999</v>
      </c>
      <c r="AL5325">
        <v>82.746648126535206</v>
      </c>
      <c r="AM5325">
        <v>63.735148271754198</v>
      </c>
      <c r="AN5325">
        <v>0.99999998077212404</v>
      </c>
    </row>
    <row r="5326" spans="1:40" x14ac:dyDescent="0.25">
      <c r="A5326" t="str">
        <f>"20190312164612039"</f>
        <v>20190312164612039</v>
      </c>
      <c r="B5326" t="str">
        <f>"1552380372026824"</f>
        <v>1552380372026824</v>
      </c>
      <c r="C5326" t="s">
        <v>40</v>
      </c>
      <c r="D5326">
        <v>5.0806680000000002</v>
      </c>
      <c r="E5326">
        <v>0.55377019999999899</v>
      </c>
      <c r="F5326" t="s">
        <v>43</v>
      </c>
      <c r="G5326">
        <v>-309.34809999999999</v>
      </c>
      <c r="H5326">
        <v>-0.05</v>
      </c>
      <c r="I5326">
        <v>7.3615719999999998</v>
      </c>
      <c r="J5326">
        <v>-318.42410000000001</v>
      </c>
      <c r="K5326">
        <v>1.0954649999999999</v>
      </c>
      <c r="L5326">
        <v>16.019259999999999</v>
      </c>
      <c r="M5326">
        <v>0.98138020000000004</v>
      </c>
      <c r="N5326">
        <v>0</v>
      </c>
      <c r="O5326">
        <v>-0.19080169999999999</v>
      </c>
      <c r="P5326">
        <v>0.79136739999999905</v>
      </c>
      <c r="Q5326">
        <v>0.1116463</v>
      </c>
      <c r="R5326">
        <v>-0.60106029999999999</v>
      </c>
      <c r="S5326">
        <v>2.2333370000000001</v>
      </c>
      <c r="T5326">
        <v>-0.27781889999999998</v>
      </c>
      <c r="U5326">
        <v>-2.1052249999999999</v>
      </c>
      <c r="V5326">
        <v>0.44043779999999999</v>
      </c>
      <c r="W5326">
        <v>0.12634020000000001</v>
      </c>
      <c r="X5326">
        <v>0.88884909999999995</v>
      </c>
      <c r="Y5326">
        <v>0.53309629999999997</v>
      </c>
      <c r="Z5326">
        <v>-8.3696150000000004E-3</v>
      </c>
      <c r="AA5326">
        <v>0.84601319999999902</v>
      </c>
      <c r="AB5326">
        <v>28</v>
      </c>
      <c r="AC5326">
        <v>9.0760000000000201</v>
      </c>
      <c r="AD5326">
        <v>-1.145465</v>
      </c>
      <c r="AE5326">
        <v>-8.6576880000000003</v>
      </c>
      <c r="AF5326">
        <v>6.7104536320694903</v>
      </c>
      <c r="AG5326">
        <v>-1.145465</v>
      </c>
      <c r="AH5326">
        <v>10.474131741459001</v>
      </c>
      <c r="AI5326">
        <v>95.261183574007802</v>
      </c>
      <c r="AJ5326">
        <v>57.353564219726103</v>
      </c>
      <c r="AK5326">
        <v>12.4919859810928</v>
      </c>
      <c r="AL5326">
        <v>82.741842865766102</v>
      </c>
      <c r="AM5326">
        <v>63.6409082096337</v>
      </c>
      <c r="AN5326">
        <v>1.0000000121878401</v>
      </c>
    </row>
    <row r="5327" spans="1:40" x14ac:dyDescent="0.25">
      <c r="A5327" t="str">
        <f>"20190312164612051"</f>
        <v>20190312164612051</v>
      </c>
      <c r="B5327" t="str">
        <f>"1552380372046343"</f>
        <v>1552380372046343</v>
      </c>
      <c r="C5327" t="s">
        <v>40</v>
      </c>
      <c r="D5327">
        <v>5.3219770000000004</v>
      </c>
      <c r="E5327">
        <v>0.55349700000000002</v>
      </c>
      <c r="F5327" t="s">
        <v>43</v>
      </c>
      <c r="G5327">
        <v>-308.85570000000001</v>
      </c>
      <c r="H5327">
        <v>-0.05</v>
      </c>
      <c r="I5327">
        <v>6.9035799999999998</v>
      </c>
      <c r="J5327">
        <v>-318.27839999999998</v>
      </c>
      <c r="K5327">
        <v>1.094471</v>
      </c>
      <c r="L5327">
        <v>15.988490000000001</v>
      </c>
      <c r="M5327">
        <v>0.98077210000000004</v>
      </c>
      <c r="N5327">
        <v>0</v>
      </c>
      <c r="O5327">
        <v>-0.1938433</v>
      </c>
      <c r="P5327">
        <v>0.78848569999999996</v>
      </c>
      <c r="Q5327">
        <v>0.11172840000000001</v>
      </c>
      <c r="R5327">
        <v>-0.60482000000000002</v>
      </c>
      <c r="S5327">
        <v>2.221222</v>
      </c>
      <c r="T5327">
        <v>-0.2659088</v>
      </c>
      <c r="U5327">
        <v>-2.1161189999999999</v>
      </c>
      <c r="V5327">
        <v>0.4419419</v>
      </c>
      <c r="W5327">
        <v>0.1267768</v>
      </c>
      <c r="X5327">
        <v>0.88803999999999905</v>
      </c>
      <c r="Y5327">
        <v>0.53506290000000001</v>
      </c>
      <c r="Z5327">
        <v>-7.8439540000000002E-3</v>
      </c>
      <c r="AA5327">
        <v>0.84477579999999997</v>
      </c>
      <c r="AB5327">
        <v>28</v>
      </c>
      <c r="AC5327">
        <v>9.4226999999999599</v>
      </c>
      <c r="AD5327">
        <v>-1.144471</v>
      </c>
      <c r="AE5327">
        <v>-9.08490999999999</v>
      </c>
      <c r="AF5327">
        <v>7.0317492904058003</v>
      </c>
      <c r="AG5327">
        <v>-1.144471</v>
      </c>
      <c r="AH5327">
        <v>10.9218806795751</v>
      </c>
      <c r="AI5327">
        <v>95.035092421646397</v>
      </c>
      <c r="AJ5327">
        <v>57.2256659563649</v>
      </c>
      <c r="AK5327">
        <v>13.040045610803601</v>
      </c>
      <c r="AL5327">
        <v>82.716624816395793</v>
      </c>
      <c r="AM5327">
        <v>63.542311351713401</v>
      </c>
      <c r="AN5327">
        <v>1.00000002079692</v>
      </c>
    </row>
    <row r="5328" spans="1:40" x14ac:dyDescent="0.25">
      <c r="A5328" t="str">
        <f>"20190312164612061"</f>
        <v>20190312164612061</v>
      </c>
      <c r="B5328" t="str">
        <f>"1552380372057079"</f>
        <v>1552380372057079</v>
      </c>
      <c r="C5328" t="s">
        <v>40</v>
      </c>
      <c r="D5328">
        <v>5.05159</v>
      </c>
      <c r="E5328">
        <v>0.55330859999999904</v>
      </c>
      <c r="F5328" t="s">
        <v>43</v>
      </c>
      <c r="G5328">
        <v>-308.0181</v>
      </c>
      <c r="H5328">
        <v>-0.05</v>
      </c>
      <c r="I5328">
        <v>6.114166</v>
      </c>
      <c r="J5328">
        <v>-318.13639999999998</v>
      </c>
      <c r="K5328">
        <v>1.0933539999999999</v>
      </c>
      <c r="L5328">
        <v>15.95782</v>
      </c>
      <c r="M5328">
        <v>0.98021230000000004</v>
      </c>
      <c r="N5328">
        <v>0</v>
      </c>
      <c r="O5328">
        <v>-0.1966059</v>
      </c>
      <c r="P5328">
        <v>0.78582039999999997</v>
      </c>
      <c r="Q5328">
        <v>0.1115376</v>
      </c>
      <c r="R5328">
        <v>-0.60831400000000002</v>
      </c>
      <c r="S5328">
        <v>2.2089840000000001</v>
      </c>
      <c r="T5328">
        <v>-0.2463979</v>
      </c>
      <c r="U5328">
        <v>-2.1258849999999998</v>
      </c>
      <c r="V5328">
        <v>0.44342959999999898</v>
      </c>
      <c r="W5328">
        <v>0.12675790000000001</v>
      </c>
      <c r="X5328">
        <v>0.88730069999999905</v>
      </c>
      <c r="Y5328">
        <v>0.53712799999999905</v>
      </c>
      <c r="Z5328">
        <v>-7.1445700000000003E-3</v>
      </c>
      <c r="AA5328">
        <v>0.84347050000000001</v>
      </c>
      <c r="AB5328">
        <v>28</v>
      </c>
      <c r="AC5328">
        <v>10.1182999999999</v>
      </c>
      <c r="AD5328">
        <v>-1.143354</v>
      </c>
      <c r="AE5328">
        <v>-9.8436539999999901</v>
      </c>
      <c r="AF5328">
        <v>7.6116513615342196</v>
      </c>
      <c r="AG5328">
        <v>-1.143354</v>
      </c>
      <c r="AH5328">
        <v>11.7792728715831</v>
      </c>
      <c r="AI5328">
        <v>94.660735542911794</v>
      </c>
      <c r="AJ5328">
        <v>57.129849377998397</v>
      </c>
      <c r="AK5328">
        <v>14.07109676614</v>
      </c>
      <c r="AL5328">
        <v>82.717716023325494</v>
      </c>
      <c r="AM5328">
        <v>63.446353571692804</v>
      </c>
      <c r="AN5328">
        <v>0.999999953794528</v>
      </c>
    </row>
    <row r="5329" spans="1:40" x14ac:dyDescent="0.25">
      <c r="A5329" t="str">
        <f>"20190312164612074"</f>
        <v>20190312164612074</v>
      </c>
      <c r="B5329" t="str">
        <f>"1552380372066840"</f>
        <v>1552380372066840</v>
      </c>
      <c r="C5329" t="s">
        <v>40</v>
      </c>
      <c r="D5329">
        <v>4.8917890000000002</v>
      </c>
      <c r="E5329">
        <v>0.55304010000000003</v>
      </c>
      <c r="F5329" t="s">
        <v>43</v>
      </c>
      <c r="G5329">
        <v>-307.66759999999999</v>
      </c>
      <c r="H5329">
        <v>-0.05</v>
      </c>
      <c r="I5329">
        <v>5.7971190000000004</v>
      </c>
      <c r="J5329">
        <v>-317.9871</v>
      </c>
      <c r="K5329">
        <v>1.0921299999999901</v>
      </c>
      <c r="L5329">
        <v>15.925140000000001</v>
      </c>
      <c r="M5329">
        <v>0.97962780000000005</v>
      </c>
      <c r="N5329">
        <v>0</v>
      </c>
      <c r="O5329">
        <v>-0.19944990000000001</v>
      </c>
      <c r="P5329">
        <v>0.78317389999999998</v>
      </c>
      <c r="Q5329">
        <v>0.11152049999999999</v>
      </c>
      <c r="R5329">
        <v>-0.61172059999999995</v>
      </c>
      <c r="S5329">
        <v>2.199341</v>
      </c>
      <c r="T5329">
        <v>-0.24020179999999999</v>
      </c>
      <c r="U5329">
        <v>-2.1346129999999999</v>
      </c>
      <c r="V5329">
        <v>0.44477060000000002</v>
      </c>
      <c r="W5329">
        <v>0.12687089999999901</v>
      </c>
      <c r="X5329">
        <v>0.88661309999999904</v>
      </c>
      <c r="Y5329">
        <v>0.53830529999999999</v>
      </c>
      <c r="Z5329">
        <v>-6.789509E-3</v>
      </c>
      <c r="AA5329">
        <v>0.84272250000000004</v>
      </c>
      <c r="AB5329">
        <v>28</v>
      </c>
      <c r="AC5329">
        <v>10.3195</v>
      </c>
      <c r="AD5329">
        <v>-1.1421300000000001</v>
      </c>
      <c r="AE5329">
        <v>-10.128021</v>
      </c>
      <c r="AF5329">
        <v>7.8168551792078196</v>
      </c>
      <c r="AG5329">
        <v>-1.1421300000000001</v>
      </c>
      <c r="AH5329">
        <v>12.057402638942801</v>
      </c>
      <c r="AI5329">
        <v>94.544464557394093</v>
      </c>
      <c r="AJ5329">
        <v>57.0445212940038</v>
      </c>
      <c r="AK5329">
        <v>14.4148757964539</v>
      </c>
      <c r="AL5329">
        <v>82.711188878778401</v>
      </c>
      <c r="AM5329">
        <v>63.359309545836503</v>
      </c>
      <c r="AN5329">
        <v>0.99999995049138801</v>
      </c>
    </row>
    <row r="5330" spans="1:40" x14ac:dyDescent="0.25">
      <c r="A5330" t="str">
        <f>"20190312164612086"</f>
        <v>20190312164612086</v>
      </c>
      <c r="B5330" t="str">
        <f>"1552380372076600"</f>
        <v>1552380372076600</v>
      </c>
      <c r="C5330" t="s">
        <v>40</v>
      </c>
      <c r="D5330">
        <v>5.0915089999999896</v>
      </c>
      <c r="E5330">
        <v>0.5528516</v>
      </c>
      <c r="F5330" t="s">
        <v>43</v>
      </c>
      <c r="G5330">
        <v>-307.33199999999999</v>
      </c>
      <c r="H5330">
        <v>-0.05</v>
      </c>
      <c r="I5330">
        <v>5.5006870000000001</v>
      </c>
      <c r="J5330">
        <v>-317.83569999999997</v>
      </c>
      <c r="K5330">
        <v>1.090822</v>
      </c>
      <c r="L5330">
        <v>15.891450000000001</v>
      </c>
      <c r="M5330">
        <v>0.97904409999999997</v>
      </c>
      <c r="N5330">
        <v>0</v>
      </c>
      <c r="O5330">
        <v>-0.20225309999999999</v>
      </c>
      <c r="P5330">
        <v>0.78075569999999905</v>
      </c>
      <c r="Q5330">
        <v>0.1112157</v>
      </c>
      <c r="R5330">
        <v>-0.61485939999999994</v>
      </c>
      <c r="S5330">
        <v>2.190277</v>
      </c>
      <c r="T5330">
        <v>-0.2347765</v>
      </c>
      <c r="U5330">
        <v>-2.1428530000000001</v>
      </c>
      <c r="V5330">
        <v>0.4458512</v>
      </c>
      <c r="W5330">
        <v>0.126634</v>
      </c>
      <c r="X5330">
        <v>0.88610419999999901</v>
      </c>
      <c r="Y5330">
        <v>0.53930259999999997</v>
      </c>
      <c r="Z5330">
        <v>-6.4587069999999898E-3</v>
      </c>
      <c r="AA5330">
        <v>0.84208729999999998</v>
      </c>
      <c r="AB5330">
        <v>28</v>
      </c>
      <c r="AC5330">
        <v>10.503699999999901</v>
      </c>
      <c r="AD5330">
        <v>-1.140822</v>
      </c>
      <c r="AE5330">
        <v>-10.390763</v>
      </c>
      <c r="AF5330">
        <v>8.0031746090430502</v>
      </c>
      <c r="AG5330">
        <v>-1.140822</v>
      </c>
      <c r="AH5330">
        <v>12.315234888165</v>
      </c>
      <c r="AI5330">
        <v>94.441487002372497</v>
      </c>
      <c r="AJ5330">
        <v>56.981784629589299</v>
      </c>
      <c r="AK5330">
        <v>14.731506678177601</v>
      </c>
      <c r="AL5330">
        <v>82.724873402957002</v>
      </c>
      <c r="AM5330">
        <v>63.290339294941099</v>
      </c>
      <c r="AN5330">
        <v>1.0000000578775301</v>
      </c>
    </row>
    <row r="5331" spans="1:40" x14ac:dyDescent="0.25">
      <c r="A5331" t="str">
        <f>"20190312164612098"</f>
        <v>20190312164612098</v>
      </c>
      <c r="B5331" t="str">
        <f>"1552380372086361"</f>
        <v>1552380372086361</v>
      </c>
      <c r="C5331" t="s">
        <v>40</v>
      </c>
      <c r="D5331">
        <v>5.0982570000000003</v>
      </c>
      <c r="E5331">
        <v>0.55271009999999998</v>
      </c>
      <c r="F5331" t="s">
        <v>43</v>
      </c>
      <c r="G5331">
        <v>-307.053</v>
      </c>
      <c r="H5331">
        <v>-0.05</v>
      </c>
      <c r="I5331">
        <v>5.2606199999999896</v>
      </c>
      <c r="J5331">
        <v>-317.6968</v>
      </c>
      <c r="K5331">
        <v>1.0895729999999999</v>
      </c>
      <c r="L5331">
        <v>15.85989</v>
      </c>
      <c r="M5331">
        <v>0.97849629999999999</v>
      </c>
      <c r="N5331">
        <v>0</v>
      </c>
      <c r="O5331">
        <v>-0.20485680000000001</v>
      </c>
      <c r="P5331">
        <v>0.77858850000000002</v>
      </c>
      <c r="Q5331">
        <v>0.11086119999999999</v>
      </c>
      <c r="R5331">
        <v>-0.61766529999999997</v>
      </c>
      <c r="S5331">
        <v>2.1815190000000002</v>
      </c>
      <c r="T5331">
        <v>-0.2308067</v>
      </c>
      <c r="U5331">
        <v>-2.1507869999999998</v>
      </c>
      <c r="V5331">
        <v>0.4467313</v>
      </c>
      <c r="W5331">
        <v>0.12628249999999999</v>
      </c>
      <c r="X5331">
        <v>0.88571089999999997</v>
      </c>
      <c r="Y5331">
        <v>0.54033940000000003</v>
      </c>
      <c r="Z5331">
        <v>-6.192398E-3</v>
      </c>
      <c r="AA5331">
        <v>0.84142439999999996</v>
      </c>
      <c r="AB5331">
        <v>28</v>
      </c>
      <c r="AC5331">
        <v>10.643800000000001</v>
      </c>
      <c r="AD5331">
        <v>-1.1395729999999999</v>
      </c>
      <c r="AE5331">
        <v>-10.599269999999899</v>
      </c>
      <c r="AF5331">
        <v>8.1463767544537191</v>
      </c>
      <c r="AG5331">
        <v>-1.1395729999999999</v>
      </c>
      <c r="AH5331">
        <v>12.5178491415574</v>
      </c>
      <c r="AI5331">
        <v>94.363281669410796</v>
      </c>
      <c r="AJ5331">
        <v>56.944691607182797</v>
      </c>
      <c r="AK5331">
        <v>14.9786056753832</v>
      </c>
      <c r="AL5331">
        <v>82.745175153422693</v>
      </c>
      <c r="AM5331">
        <v>63.234720134460403</v>
      </c>
      <c r="AN5331">
        <v>0.99999996129237401</v>
      </c>
    </row>
    <row r="5332" spans="1:40" x14ac:dyDescent="0.25">
      <c r="A5332" t="str">
        <f>"20190312164612106"</f>
        <v>20190312164612106</v>
      </c>
      <c r="B5332" t="str">
        <f>"1552380372097097"</f>
        <v>1552380372097097</v>
      </c>
      <c r="C5332" t="s">
        <v>40</v>
      </c>
      <c r="D5332">
        <v>5.0300560000000001</v>
      </c>
      <c r="E5332">
        <v>0.55246219999999902</v>
      </c>
      <c r="F5332" t="s">
        <v>43</v>
      </c>
      <c r="G5332">
        <v>-307.0915</v>
      </c>
      <c r="H5332">
        <v>-0.05</v>
      </c>
      <c r="I5332">
        <v>5.334778</v>
      </c>
      <c r="J5332">
        <v>-317.57769999999999</v>
      </c>
      <c r="K5332">
        <v>1.0884879999999999</v>
      </c>
      <c r="L5332">
        <v>15.832610000000001</v>
      </c>
      <c r="M5332">
        <v>0.97801919999999998</v>
      </c>
      <c r="N5332">
        <v>0</v>
      </c>
      <c r="O5332">
        <v>-0.20709810000000001</v>
      </c>
      <c r="P5332">
        <v>0.77658769999999999</v>
      </c>
      <c r="Q5332">
        <v>0.11087329999999999</v>
      </c>
      <c r="R5332">
        <v>-0.62017690000000003</v>
      </c>
      <c r="S5332">
        <v>2.1744379999999999</v>
      </c>
      <c r="T5332">
        <v>-0.2336493</v>
      </c>
      <c r="U5332">
        <v>-2.1579899999999999</v>
      </c>
      <c r="V5332">
        <v>0.4476176</v>
      </c>
      <c r="W5332">
        <v>0.12627830000000001</v>
      </c>
      <c r="X5332">
        <v>0.88526399999999905</v>
      </c>
      <c r="Y5332">
        <v>0.54116549999999997</v>
      </c>
      <c r="Z5332">
        <v>-6.1267479999999996E-3</v>
      </c>
      <c r="AA5332">
        <v>0.84089369999999997</v>
      </c>
      <c r="AB5332">
        <v>28</v>
      </c>
      <c r="AC5332">
        <v>10.486199999999901</v>
      </c>
      <c r="AD5332">
        <v>-1.1384879999999999</v>
      </c>
      <c r="AE5332">
        <v>-10.497832000000001</v>
      </c>
      <c r="AF5332">
        <v>8.0503992640564395</v>
      </c>
      <c r="AG5332">
        <v>-1.1384879999999999</v>
      </c>
      <c r="AH5332">
        <v>12.360677278019301</v>
      </c>
      <c r="AI5332">
        <v>94.413328523767206</v>
      </c>
      <c r="AJ5332">
        <v>56.924159369509198</v>
      </c>
      <c r="AK5332">
        <v>14.794979756938099</v>
      </c>
      <c r="AL5332">
        <v>82.745418291977401</v>
      </c>
      <c r="AM5332">
        <v>63.177389612888597</v>
      </c>
      <c r="AN5332">
        <v>1.00000003728832</v>
      </c>
    </row>
    <row r="5333" spans="1:40" x14ac:dyDescent="0.25">
      <c r="A5333" t="str">
        <f>"20190312164612116"</f>
        <v>20190312164612116</v>
      </c>
      <c r="B5333" t="str">
        <f>"1552380372106856"</f>
        <v>1552380372106856</v>
      </c>
      <c r="C5333" t="s">
        <v>40</v>
      </c>
      <c r="D5333">
        <v>5.1950010000000004</v>
      </c>
      <c r="E5333">
        <v>0.55199500000000001</v>
      </c>
      <c r="F5333" t="s">
        <v>43</v>
      </c>
      <c r="G5333">
        <v>-307.04790000000003</v>
      </c>
      <c r="H5333">
        <v>-0.05</v>
      </c>
      <c r="I5333">
        <v>5.3216710000000003</v>
      </c>
      <c r="J5333">
        <v>-317.464</v>
      </c>
      <c r="K5333">
        <v>1.0874200000000001</v>
      </c>
      <c r="L5333">
        <v>15.805999999999999</v>
      </c>
      <c r="M5333">
        <v>0.97753950000000001</v>
      </c>
      <c r="N5333">
        <v>0</v>
      </c>
      <c r="O5333">
        <v>-0.20933669999999999</v>
      </c>
      <c r="P5333">
        <v>0.77471979999999996</v>
      </c>
      <c r="Q5333">
        <v>0.1107469</v>
      </c>
      <c r="R5333">
        <v>-0.62253069999999999</v>
      </c>
      <c r="S5333">
        <v>2.1681520000000001</v>
      </c>
      <c r="T5333">
        <v>-0.23442260000000001</v>
      </c>
      <c r="U5333">
        <v>-2.1642760000000001</v>
      </c>
      <c r="V5333">
        <v>0.44831729999999997</v>
      </c>
      <c r="W5333">
        <v>0.12608949999999999</v>
      </c>
      <c r="X5333">
        <v>0.88493670000000002</v>
      </c>
      <c r="Y5333">
        <v>0.54167869999999996</v>
      </c>
      <c r="Z5333">
        <v>-5.9898779999999997E-3</v>
      </c>
      <c r="AA5333">
        <v>0.84056430000000004</v>
      </c>
      <c r="AB5333">
        <v>28</v>
      </c>
      <c r="AC5333">
        <v>10.416099999999901</v>
      </c>
      <c r="AD5333">
        <v>-1.1374200000000001</v>
      </c>
      <c r="AE5333">
        <v>-10.484329000000001</v>
      </c>
      <c r="AF5333">
        <v>8.0232504670468092</v>
      </c>
      <c r="AG5333">
        <v>-1.1374200000000001</v>
      </c>
      <c r="AH5333">
        <v>12.3076848340897</v>
      </c>
      <c r="AI5333">
        <v>94.426906893676801</v>
      </c>
      <c r="AJ5333">
        <v>56.900092578162102</v>
      </c>
      <c r="AK5333">
        <v>14.7358534971222</v>
      </c>
      <c r="AL5333">
        <v>82.756322357518599</v>
      </c>
      <c r="AM5333">
        <v>63.1327953219186</v>
      </c>
      <c r="AN5333">
        <v>0.99999996324821405</v>
      </c>
    </row>
    <row r="5334" spans="1:40" x14ac:dyDescent="0.25">
      <c r="A5334" t="str">
        <f>"20190312164612127"</f>
        <v>20190312164612127</v>
      </c>
      <c r="B5334" t="str">
        <f>"1552380372116617"</f>
        <v>1552380372116617</v>
      </c>
      <c r="C5334" t="s">
        <v>40</v>
      </c>
      <c r="D5334">
        <v>5.0899919999999996</v>
      </c>
      <c r="E5334">
        <v>0.55170569999999997</v>
      </c>
      <c r="F5334" t="s">
        <v>43</v>
      </c>
      <c r="G5334">
        <v>-307.02820000000003</v>
      </c>
      <c r="H5334">
        <v>-0.05</v>
      </c>
      <c r="I5334">
        <v>5.3491210000000002</v>
      </c>
      <c r="J5334">
        <v>-317.32420000000002</v>
      </c>
      <c r="K5334">
        <v>1.086096</v>
      </c>
      <c r="L5334">
        <v>15.773129999999901</v>
      </c>
      <c r="M5334">
        <v>0.97693790000000003</v>
      </c>
      <c r="N5334">
        <v>0</v>
      </c>
      <c r="O5334">
        <v>-0.21211160000000001</v>
      </c>
      <c r="P5334">
        <v>0.77231660000000002</v>
      </c>
      <c r="Q5334">
        <v>0.1108508</v>
      </c>
      <c r="R5334">
        <v>-0.62549189999999999</v>
      </c>
      <c r="S5334">
        <v>2.163818</v>
      </c>
      <c r="T5334">
        <v>-0.23583889999999999</v>
      </c>
      <c r="U5334">
        <v>-2.1681819999999998</v>
      </c>
      <c r="V5334">
        <v>0.44925120000000002</v>
      </c>
      <c r="W5334">
        <v>0.12610279999999999</v>
      </c>
      <c r="X5334">
        <v>0.884461099999999</v>
      </c>
      <c r="Y5334">
        <v>0.54088930000000002</v>
      </c>
      <c r="Z5334">
        <v>-5.7611759999999998E-3</v>
      </c>
      <c r="AA5334">
        <v>0.84107399999999999</v>
      </c>
      <c r="AB5334">
        <v>28</v>
      </c>
      <c r="AC5334">
        <v>10.2959999999999</v>
      </c>
      <c r="AD5334">
        <v>-1.136096</v>
      </c>
      <c r="AE5334">
        <v>-10.4240089999999</v>
      </c>
      <c r="AF5334">
        <v>7.9542873694908502</v>
      </c>
      <c r="AG5334">
        <v>-1.136096</v>
      </c>
      <c r="AH5334">
        <v>12.1999409954659</v>
      </c>
      <c r="AI5334">
        <v>94.46045601857</v>
      </c>
      <c r="AJ5334">
        <v>56.895893984733497</v>
      </c>
      <c r="AK5334">
        <v>14.608215564212699</v>
      </c>
      <c r="AL5334">
        <v>82.755554438998502</v>
      </c>
      <c r="AM5334">
        <v>63.072264605586199</v>
      </c>
      <c r="AN5334">
        <v>0.99999999714124399</v>
      </c>
    </row>
    <row r="5335" spans="1:40" x14ac:dyDescent="0.25">
      <c r="A5335" t="str">
        <f>"20190312164612139"</f>
        <v>20190312164612139</v>
      </c>
      <c r="B5335" t="str">
        <f>"1552380372137112"</f>
        <v>1552380372137112</v>
      </c>
      <c r="C5335" t="s">
        <v>40</v>
      </c>
      <c r="D5335">
        <v>5.168609</v>
      </c>
      <c r="E5335">
        <v>0.55131260000000004</v>
      </c>
      <c r="F5335" t="s">
        <v>43</v>
      </c>
      <c r="G5335">
        <v>-306.74610000000001</v>
      </c>
      <c r="H5335">
        <v>-0.05</v>
      </c>
      <c r="I5335">
        <v>5.1022189999999998</v>
      </c>
      <c r="J5335">
        <v>-317.1934</v>
      </c>
      <c r="K5335">
        <v>1.0848150000000001</v>
      </c>
      <c r="L5335">
        <v>15.74161</v>
      </c>
      <c r="M5335">
        <v>0.97635470000000002</v>
      </c>
      <c r="N5335">
        <v>0</v>
      </c>
      <c r="O5335">
        <v>-0.21477309999999999</v>
      </c>
      <c r="P5335">
        <v>0.77034519999999995</v>
      </c>
      <c r="Q5335">
        <v>0.1109473</v>
      </c>
      <c r="R5335">
        <v>-0.62790009999999996</v>
      </c>
      <c r="S5335">
        <v>2.1561279999999998</v>
      </c>
      <c r="T5335">
        <v>-0.23157</v>
      </c>
      <c r="U5335">
        <v>-2.175049</v>
      </c>
      <c r="V5335">
        <v>0.4496542</v>
      </c>
      <c r="W5335">
        <v>0.12607579999999999</v>
      </c>
      <c r="X5335">
        <v>0.88426019999999905</v>
      </c>
      <c r="Y5335">
        <v>0.54146300000000003</v>
      </c>
      <c r="Z5335">
        <v>-5.4714940000000004E-3</v>
      </c>
      <c r="AA5335">
        <v>0.84070679999999998</v>
      </c>
      <c r="AB5335">
        <v>28</v>
      </c>
      <c r="AC5335">
        <v>10.447299999999901</v>
      </c>
      <c r="AD5335">
        <v>-1.1348149999999999</v>
      </c>
      <c r="AE5335">
        <v>-10.639391</v>
      </c>
      <c r="AF5335">
        <v>8.0995685142717502</v>
      </c>
      <c r="AG5335">
        <v>-1.1348149999999999</v>
      </c>
      <c r="AH5335">
        <v>12.417177743832999</v>
      </c>
      <c r="AI5335">
        <v>94.377219685582105</v>
      </c>
      <c r="AJ5335">
        <v>56.884096533180603</v>
      </c>
      <c r="AK5335">
        <v>14.8686622909914</v>
      </c>
      <c r="AL5335">
        <v>82.757114285897302</v>
      </c>
      <c r="AM5335">
        <v>63.046257543810697</v>
      </c>
      <c r="AN5335">
        <v>1.00000005411365</v>
      </c>
    </row>
    <row r="5336" spans="1:40" x14ac:dyDescent="0.25">
      <c r="A5336" t="str">
        <f>"20190312164612151"</f>
        <v>20190312164612151</v>
      </c>
      <c r="B5336" t="str">
        <f>"1552380372146703"</f>
        <v>1552380372146703</v>
      </c>
      <c r="C5336" t="s">
        <v>40</v>
      </c>
      <c r="D5336">
        <v>5.1390549999999999</v>
      </c>
      <c r="E5336">
        <v>0.55107289999999998</v>
      </c>
      <c r="F5336" t="s">
        <v>43</v>
      </c>
      <c r="G5336">
        <v>-306.30599999999998</v>
      </c>
      <c r="H5336">
        <v>-0.05</v>
      </c>
      <c r="I5336">
        <v>4.7021639999999998</v>
      </c>
      <c r="J5336">
        <v>-317.05329999999998</v>
      </c>
      <c r="K5336">
        <v>1.083431</v>
      </c>
      <c r="L5336">
        <v>15.70764</v>
      </c>
      <c r="M5336">
        <v>0.97571960000000002</v>
      </c>
      <c r="N5336">
        <v>0</v>
      </c>
      <c r="O5336">
        <v>-0.2176361</v>
      </c>
      <c r="P5336">
        <v>0.76795919999999995</v>
      </c>
      <c r="Q5336">
        <v>0.11082160000000001</v>
      </c>
      <c r="R5336">
        <v>-0.63083869999999997</v>
      </c>
      <c r="S5336">
        <v>2.1498409999999999</v>
      </c>
      <c r="T5336">
        <v>-0.2240829</v>
      </c>
      <c r="U5336">
        <v>-2.1798709999999999</v>
      </c>
      <c r="V5336">
        <v>0.45048250000000001</v>
      </c>
      <c r="W5336">
        <v>0.12579580000000001</v>
      </c>
      <c r="X5336">
        <v>0.88387839999999995</v>
      </c>
      <c r="Y5336">
        <v>0.54121969999999997</v>
      </c>
      <c r="Z5336">
        <v>-5.0624440000000001E-3</v>
      </c>
      <c r="AA5336">
        <v>0.840866</v>
      </c>
      <c r="AB5336">
        <v>28</v>
      </c>
      <c r="AC5336">
        <v>10.7472999999999</v>
      </c>
      <c r="AD5336">
        <v>-1.1334309999999901</v>
      </c>
      <c r="AE5336">
        <v>-11.005476</v>
      </c>
      <c r="AF5336">
        <v>8.3564353244555694</v>
      </c>
      <c r="AG5336">
        <v>-1.1334309999999901</v>
      </c>
      <c r="AH5336">
        <v>12.8158647645038</v>
      </c>
      <c r="AI5336">
        <v>94.236881167675904</v>
      </c>
      <c r="AJ5336">
        <v>56.894107742329901</v>
      </c>
      <c r="AK5336">
        <v>15.3414818979661</v>
      </c>
      <c r="AL5336">
        <v>82.773285796384101</v>
      </c>
      <c r="AM5336">
        <v>62.993621007271898</v>
      </c>
      <c r="AN5336">
        <v>1.0000000460452201</v>
      </c>
    </row>
    <row r="5337" spans="1:40" x14ac:dyDescent="0.25">
      <c r="A5337" t="str">
        <f>"20190312164612162"</f>
        <v>20190312164612162</v>
      </c>
      <c r="B5337" t="str">
        <f>"1552380372156463"</f>
        <v>1552380372156463</v>
      </c>
      <c r="C5337" t="s">
        <v>40</v>
      </c>
      <c r="D5337">
        <v>5.1400930000000002</v>
      </c>
      <c r="E5337">
        <v>0.55076499999999995</v>
      </c>
      <c r="F5337" t="s">
        <v>43</v>
      </c>
      <c r="G5337">
        <v>-306.11340000000001</v>
      </c>
      <c r="H5337">
        <v>-0.05</v>
      </c>
      <c r="I5337">
        <v>4.5398709999999998</v>
      </c>
      <c r="J5337">
        <v>-316.90620000000001</v>
      </c>
      <c r="K5337">
        <v>1.081939</v>
      </c>
      <c r="L5337">
        <v>15.671139999999999</v>
      </c>
      <c r="M5337">
        <v>0.9750335</v>
      </c>
      <c r="N5337">
        <v>0</v>
      </c>
      <c r="O5337">
        <v>-0.22069330000000001</v>
      </c>
      <c r="P5337">
        <v>0.76550989999999997</v>
      </c>
      <c r="Q5337">
        <v>0.11085399999999999</v>
      </c>
      <c r="R5337">
        <v>-0.63380349999999996</v>
      </c>
      <c r="S5337">
        <v>2.1421510000000001</v>
      </c>
      <c r="T5337">
        <v>-0.22193789999999999</v>
      </c>
      <c r="U5337">
        <v>-2.1867679999999998</v>
      </c>
      <c r="V5337">
        <v>0.45117879999999999</v>
      </c>
      <c r="W5337">
        <v>0.12562029999999999</v>
      </c>
      <c r="X5337">
        <v>0.88354809999999995</v>
      </c>
      <c r="Y5337">
        <v>0.54144139999999996</v>
      </c>
      <c r="Z5337">
        <v>-4.7888770000000004E-3</v>
      </c>
      <c r="AA5337">
        <v>0.8407249</v>
      </c>
      <c r="AB5337">
        <v>28</v>
      </c>
      <c r="AC5337">
        <v>10.7928</v>
      </c>
      <c r="AD5337">
        <v>-1.131939</v>
      </c>
      <c r="AE5337">
        <v>-11.131269</v>
      </c>
      <c r="AF5337">
        <v>8.4290942793563701</v>
      </c>
      <c r="AG5337">
        <v>-1.131939</v>
      </c>
      <c r="AH5337">
        <v>12.9150231314796</v>
      </c>
      <c r="AI5337">
        <v>94.197767383128493</v>
      </c>
      <c r="AJ5337">
        <v>56.869199448730903</v>
      </c>
      <c r="AK5337">
        <v>15.463787982142399</v>
      </c>
      <c r="AL5337">
        <v>82.783421327827298</v>
      </c>
      <c r="AM5337">
        <v>62.949130275998499</v>
      </c>
      <c r="AN5337">
        <v>1.0000000071775601</v>
      </c>
    </row>
    <row r="5338" spans="1:40" x14ac:dyDescent="0.25">
      <c r="A5338" t="str">
        <f>"20190312164612174"</f>
        <v>20190312164612174</v>
      </c>
      <c r="B5338" t="str">
        <f>"1552380372166223"</f>
        <v>1552380372166223</v>
      </c>
      <c r="C5338" t="s">
        <v>40</v>
      </c>
      <c r="D5338">
        <v>5.0892499999999998</v>
      </c>
      <c r="E5338">
        <v>0.55046729999999999</v>
      </c>
      <c r="F5338" t="s">
        <v>43</v>
      </c>
      <c r="G5338">
        <v>-305.89400000000001</v>
      </c>
      <c r="H5338">
        <v>-0.05</v>
      </c>
      <c r="I5338">
        <v>4.3544460000000003</v>
      </c>
      <c r="J5338">
        <v>-316.7663</v>
      </c>
      <c r="K5338">
        <v>1.080516</v>
      </c>
      <c r="L5338">
        <v>15.63599</v>
      </c>
      <c r="M5338">
        <v>0.97436330000000004</v>
      </c>
      <c r="N5338">
        <v>0</v>
      </c>
      <c r="O5338">
        <v>-0.22364110000000001</v>
      </c>
      <c r="P5338">
        <v>0.76316450000000002</v>
      </c>
      <c r="Q5338">
        <v>0.1107001</v>
      </c>
      <c r="R5338">
        <v>-0.636652</v>
      </c>
      <c r="S5338">
        <v>2.1345519999999998</v>
      </c>
      <c r="T5338">
        <v>-0.21940970000000001</v>
      </c>
      <c r="U5338">
        <v>-2.1935730000000002</v>
      </c>
      <c r="V5338">
        <v>0.4518315</v>
      </c>
      <c r="W5338">
        <v>0.12525219999999901</v>
      </c>
      <c r="X5338">
        <v>0.88326669999999996</v>
      </c>
      <c r="Y5338">
        <v>0.54172310000000001</v>
      </c>
      <c r="Z5338">
        <v>-4.5225400000000002E-3</v>
      </c>
      <c r="AA5338">
        <v>0.84054490000000004</v>
      </c>
      <c r="AB5338">
        <v>28</v>
      </c>
      <c r="AC5338">
        <v>10.8722999999999</v>
      </c>
      <c r="AD5338">
        <v>-1.1305160000000001</v>
      </c>
      <c r="AE5338">
        <v>-11.281544</v>
      </c>
      <c r="AF5338">
        <v>8.5190486920525501</v>
      </c>
      <c r="AG5338">
        <v>-1.1305160000000001</v>
      </c>
      <c r="AH5338">
        <v>13.052572295058599</v>
      </c>
      <c r="AI5338">
        <v>94.148456726253002</v>
      </c>
      <c r="AJ5338">
        <v>56.8686396881739</v>
      </c>
      <c r="AK5338">
        <v>15.627600601549499</v>
      </c>
      <c r="AL5338">
        <v>82.804679329372306</v>
      </c>
      <c r="AM5338">
        <v>62.9081694010533</v>
      </c>
      <c r="AN5338">
        <v>0.99999994066298803</v>
      </c>
    </row>
    <row r="5339" spans="1:40" x14ac:dyDescent="0.25">
      <c r="A5339" t="str">
        <f>"20190312164612183"</f>
        <v>20190312164612183</v>
      </c>
      <c r="B5339" t="str">
        <f>"1552380372176959"</f>
        <v>1552380372176959</v>
      </c>
      <c r="C5339" t="s">
        <v>40</v>
      </c>
      <c r="D5339">
        <v>5.9618769999999897</v>
      </c>
      <c r="E5339">
        <v>0.55039890000000002</v>
      </c>
      <c r="F5339" t="s">
        <v>43</v>
      </c>
      <c r="G5339">
        <v>-305.72949999999997</v>
      </c>
      <c r="H5339">
        <v>-0.05</v>
      </c>
      <c r="I5339">
        <v>4.2273250000000004</v>
      </c>
      <c r="J5339">
        <v>-316.64409999999998</v>
      </c>
      <c r="K5339">
        <v>1.0792790000000001</v>
      </c>
      <c r="L5339">
        <v>15.60486</v>
      </c>
      <c r="M5339">
        <v>0.97376130000000005</v>
      </c>
      <c r="N5339">
        <v>0</v>
      </c>
      <c r="O5339">
        <v>-0.2262585</v>
      </c>
      <c r="P5339">
        <v>0.76080449999999999</v>
      </c>
      <c r="Q5339">
        <v>0.111082</v>
      </c>
      <c r="R5339">
        <v>-0.63940410000000003</v>
      </c>
      <c r="S5339">
        <v>2.127777</v>
      </c>
      <c r="T5339">
        <v>-0.2179509</v>
      </c>
      <c r="U5339">
        <v>-2.1994630000000002</v>
      </c>
      <c r="V5339">
        <v>0.45269549999999997</v>
      </c>
      <c r="W5339">
        <v>0.12541869999999999</v>
      </c>
      <c r="X5339">
        <v>0.88280059999999905</v>
      </c>
      <c r="Y5339">
        <v>0.54194299999999995</v>
      </c>
      <c r="Z5339">
        <v>-4.304212E-3</v>
      </c>
      <c r="AA5339">
        <v>0.84040429999999999</v>
      </c>
      <c r="AB5339">
        <v>28</v>
      </c>
      <c r="AC5339">
        <v>10.9146</v>
      </c>
      <c r="AD5339">
        <v>-1.1292789999999999</v>
      </c>
      <c r="AE5339">
        <v>-11.377535</v>
      </c>
      <c r="AF5339">
        <v>8.5680923166640994</v>
      </c>
      <c r="AG5339">
        <v>-1.1292789999999999</v>
      </c>
      <c r="AH5339">
        <v>13.139008406144301</v>
      </c>
      <c r="AI5339">
        <v>94.117819509952398</v>
      </c>
      <c r="AJ5339">
        <v>56.891185863601599</v>
      </c>
      <c r="AK5339">
        <v>15.7264433011234</v>
      </c>
      <c r="AL5339">
        <v>82.795064061590594</v>
      </c>
      <c r="AM5339">
        <v>62.851487721261201</v>
      </c>
      <c r="AN5339">
        <v>0.999999982695149</v>
      </c>
    </row>
    <row r="5340" spans="1:40" x14ac:dyDescent="0.25">
      <c r="A5340" t="str">
        <f>"20190312164612195"</f>
        <v>20190312164612195</v>
      </c>
      <c r="B5340" t="str">
        <f>"1552380372186719"</f>
        <v>1552380372186719</v>
      </c>
      <c r="C5340" t="s">
        <v>40</v>
      </c>
      <c r="D5340">
        <v>4.9260339999999996</v>
      </c>
      <c r="E5340">
        <v>0.55050120000000002</v>
      </c>
      <c r="F5340" t="s">
        <v>43</v>
      </c>
      <c r="G5340">
        <v>-305.47239999999999</v>
      </c>
      <c r="H5340">
        <v>-0.05</v>
      </c>
      <c r="I5340">
        <v>3.9731900000000002</v>
      </c>
      <c r="J5340">
        <v>-316.50790000000001</v>
      </c>
      <c r="K5340">
        <v>1.0779219999999901</v>
      </c>
      <c r="L5340">
        <v>15.569610000000001</v>
      </c>
      <c r="M5340">
        <v>0.97306040000000005</v>
      </c>
      <c r="N5340">
        <v>0</v>
      </c>
      <c r="O5340">
        <v>-0.22927210000000001</v>
      </c>
      <c r="P5340">
        <v>0.7580981</v>
      </c>
      <c r="Q5340">
        <v>0.1114424</v>
      </c>
      <c r="R5340">
        <v>-0.64254809999999996</v>
      </c>
      <c r="S5340">
        <v>2.1196899999999999</v>
      </c>
      <c r="T5340">
        <v>-0.21426700000000001</v>
      </c>
      <c r="U5340">
        <v>-2.2069700000000001</v>
      </c>
      <c r="V5340">
        <v>0.45365680000000003</v>
      </c>
      <c r="W5340">
        <v>0.12553130000000001</v>
      </c>
      <c r="X5340">
        <v>0.88229099999999905</v>
      </c>
      <c r="Y5340">
        <v>0.54240339999999998</v>
      </c>
      <c r="Z5340">
        <v>-4.0268429999999996E-3</v>
      </c>
      <c r="AA5340">
        <v>0.84010849999999904</v>
      </c>
      <c r="AB5340">
        <v>28</v>
      </c>
      <c r="AC5340">
        <v>11.035500000000001</v>
      </c>
      <c r="AD5340">
        <v>-1.1279220000000001</v>
      </c>
      <c r="AE5340">
        <v>-11.59642</v>
      </c>
      <c r="AF5340">
        <v>8.7132015593305301</v>
      </c>
      <c r="AG5340">
        <v>-1.1279220000000001</v>
      </c>
      <c r="AH5340">
        <v>13.3346819495146</v>
      </c>
      <c r="AI5340">
        <v>94.050311426060603</v>
      </c>
      <c r="AJ5340">
        <v>56.838434465798599</v>
      </c>
      <c r="AK5340">
        <v>15.9689020332117</v>
      </c>
      <c r="AL5340">
        <v>82.7885613178602</v>
      </c>
      <c r="AM5340">
        <v>62.788657465068603</v>
      </c>
      <c r="AN5340">
        <v>1.00000000407346</v>
      </c>
    </row>
    <row r="5341" spans="1:40" x14ac:dyDescent="0.25">
      <c r="A5341" t="str">
        <f>"20190312164612205"</f>
        <v>20190312164612205</v>
      </c>
      <c r="B5341" t="str">
        <f>"1552380372196480"</f>
        <v>1552380372196480</v>
      </c>
      <c r="C5341" t="s">
        <v>40</v>
      </c>
      <c r="D5341">
        <v>5.1517839999999904</v>
      </c>
      <c r="E5341">
        <v>0.55086269999999904</v>
      </c>
      <c r="F5341" t="s">
        <v>43</v>
      </c>
      <c r="G5341">
        <v>-305.35340000000002</v>
      </c>
      <c r="H5341">
        <v>-0.05</v>
      </c>
      <c r="I5341">
        <v>3.8516689999999998</v>
      </c>
      <c r="J5341">
        <v>-316.38150000000002</v>
      </c>
      <c r="K5341">
        <v>1.076681</v>
      </c>
      <c r="L5341">
        <v>15.536440000000001</v>
      </c>
      <c r="M5341">
        <v>0.97238610000000003</v>
      </c>
      <c r="N5341">
        <v>0</v>
      </c>
      <c r="O5341">
        <v>-0.2321337</v>
      </c>
      <c r="P5341">
        <v>0.75545090000000004</v>
      </c>
      <c r="Q5341">
        <v>0.111622</v>
      </c>
      <c r="R5341">
        <v>-0.64562759999999997</v>
      </c>
      <c r="S5341">
        <v>2.1099549999999998</v>
      </c>
      <c r="T5341">
        <v>-0.2133533</v>
      </c>
      <c r="U5341">
        <v>-2.2165219999999999</v>
      </c>
      <c r="V5341">
        <v>0.45467410000000003</v>
      </c>
      <c r="W5341">
        <v>0.1254731</v>
      </c>
      <c r="X5341">
        <v>0.88177539999999999</v>
      </c>
      <c r="Y5341">
        <v>0.5436858</v>
      </c>
      <c r="Z5341">
        <v>-3.852481E-3</v>
      </c>
      <c r="AA5341">
        <v>0.83927999999999903</v>
      </c>
      <c r="AB5341">
        <v>28</v>
      </c>
      <c r="AC5341">
        <v>11.028099999999901</v>
      </c>
      <c r="AD5341">
        <v>-1.126681</v>
      </c>
      <c r="AE5341">
        <v>-11.6847709999999</v>
      </c>
      <c r="AF5341">
        <v>8.7615823648185192</v>
      </c>
      <c r="AG5341">
        <v>-1.126681</v>
      </c>
      <c r="AH5341">
        <v>13.3741288073976</v>
      </c>
      <c r="AI5341">
        <v>94.030863759320198</v>
      </c>
      <c r="AJ5341">
        <v>56.7706206578302</v>
      </c>
      <c r="AK5341">
        <v>16.0281644915481</v>
      </c>
      <c r="AL5341">
        <v>82.791922087465807</v>
      </c>
      <c r="AM5341">
        <v>62.722792128261297</v>
      </c>
      <c r="AN5341">
        <v>0.99999994603978803</v>
      </c>
    </row>
    <row r="5342" spans="1:40" x14ac:dyDescent="0.25">
      <c r="A5342" t="str">
        <f>"20190312164612216"</f>
        <v>20190312164612216</v>
      </c>
      <c r="B5342" t="str">
        <f>"1552380372206240"</f>
        <v>1552380372206240</v>
      </c>
      <c r="C5342" t="s">
        <v>40</v>
      </c>
      <c r="D5342">
        <v>5.0580530000000001</v>
      </c>
      <c r="E5342">
        <v>0.55131759999999996</v>
      </c>
      <c r="F5342" t="s">
        <v>43</v>
      </c>
      <c r="G5342">
        <v>-305.39019999999999</v>
      </c>
      <c r="H5342">
        <v>-0.05</v>
      </c>
      <c r="I5342">
        <v>3.8763730000000001</v>
      </c>
      <c r="J5342">
        <v>-316.24779999999998</v>
      </c>
      <c r="K5342">
        <v>1.075415</v>
      </c>
      <c r="L5342">
        <v>15.500730000000001</v>
      </c>
      <c r="M5342">
        <v>0.97161620000000004</v>
      </c>
      <c r="N5342">
        <v>0</v>
      </c>
      <c r="O5342">
        <v>-0.23535890000000001</v>
      </c>
      <c r="P5342">
        <v>0.75239979999999995</v>
      </c>
      <c r="Q5342">
        <v>0.1119685</v>
      </c>
      <c r="R5342">
        <v>-0.64912060000000005</v>
      </c>
      <c r="S5342">
        <v>2.0994869999999999</v>
      </c>
      <c r="T5342">
        <v>-0.2152115</v>
      </c>
      <c r="U5342">
        <v>-2.2272340000000002</v>
      </c>
      <c r="V5342">
        <v>0.45585360000000003</v>
      </c>
      <c r="W5342">
        <v>0.12557860000000001</v>
      </c>
      <c r="X5342">
        <v>0.88115129999999997</v>
      </c>
      <c r="Y5342">
        <v>0.54499739999999997</v>
      </c>
      <c r="Z5342">
        <v>-3.7006679999999998E-3</v>
      </c>
      <c r="AA5342">
        <v>0.8384296</v>
      </c>
      <c r="AB5342">
        <v>28</v>
      </c>
      <c r="AC5342">
        <v>10.8575999999999</v>
      </c>
      <c r="AD5342">
        <v>-1.1254150000000001</v>
      </c>
      <c r="AE5342">
        <v>-11.6243569999999</v>
      </c>
      <c r="AF5342">
        <v>8.6979234113035595</v>
      </c>
      <c r="AG5342">
        <v>-1.1254150000000001</v>
      </c>
      <c r="AH5342">
        <v>13.2228990222379</v>
      </c>
      <c r="AI5342">
        <v>94.067260984716</v>
      </c>
      <c r="AJ5342">
        <v>56.663382279966598</v>
      </c>
      <c r="AK5342">
        <v>15.8671197494513</v>
      </c>
      <c r="AL5342">
        <v>82.785829954200096</v>
      </c>
      <c r="AM5342">
        <v>62.645728757004498</v>
      </c>
      <c r="AN5342">
        <v>1.0000000514513001</v>
      </c>
    </row>
    <row r="5343" spans="1:40" x14ac:dyDescent="0.25">
      <c r="A5343" t="str">
        <f>"20190312164612227"</f>
        <v>20190312164612227</v>
      </c>
      <c r="B5343" t="str">
        <f>"1552380372216976"</f>
        <v>1552380372216976</v>
      </c>
      <c r="C5343" t="s">
        <v>40</v>
      </c>
      <c r="D5343">
        <v>5.0473220000000003</v>
      </c>
      <c r="E5343">
        <v>0.55192830000000004</v>
      </c>
      <c r="F5343" t="s">
        <v>43</v>
      </c>
      <c r="G5343">
        <v>-305.37939999999998</v>
      </c>
      <c r="H5343">
        <v>-0.05</v>
      </c>
      <c r="I5343">
        <v>3.8385310000000001</v>
      </c>
      <c r="J5343">
        <v>-316.11410000000001</v>
      </c>
      <c r="K5343">
        <v>1.0741639999999999</v>
      </c>
      <c r="L5343">
        <v>15.464779999999999</v>
      </c>
      <c r="M5343">
        <v>0.97081850000000003</v>
      </c>
      <c r="N5343">
        <v>0</v>
      </c>
      <c r="O5343">
        <v>-0.23865169999999999</v>
      </c>
      <c r="P5343">
        <v>0.74925759999999997</v>
      </c>
      <c r="Q5343">
        <v>0.1125347</v>
      </c>
      <c r="R5343">
        <v>-0.65264759999999999</v>
      </c>
      <c r="S5343">
        <v>2.087189</v>
      </c>
      <c r="T5343">
        <v>-0.21612619999999999</v>
      </c>
      <c r="U5343">
        <v>-2.2396240000000001</v>
      </c>
      <c r="V5343">
        <v>0.4570322</v>
      </c>
      <c r="W5343">
        <v>0.12590879999999999</v>
      </c>
      <c r="X5343">
        <v>0.88049330000000003</v>
      </c>
      <c r="Y5343">
        <v>0.54692980000000002</v>
      </c>
      <c r="Z5343">
        <v>-3.5525600000000002E-3</v>
      </c>
      <c r="AA5343">
        <v>0.837170999999999</v>
      </c>
      <c r="AB5343">
        <v>28</v>
      </c>
      <c r="AC5343">
        <v>10.7347</v>
      </c>
      <c r="AD5343">
        <v>-1.1241639999999999</v>
      </c>
      <c r="AE5343">
        <v>-11.626249</v>
      </c>
      <c r="AF5343">
        <v>8.6837279912470606</v>
      </c>
      <c r="AG5343">
        <v>-1.1241639999999999</v>
      </c>
      <c r="AH5343">
        <v>13.133462394225599</v>
      </c>
      <c r="AI5343">
        <v>94.083965642590698</v>
      </c>
      <c r="AJ5343">
        <v>56.5276786125456</v>
      </c>
      <c r="AK5343">
        <v>15.7847619869735</v>
      </c>
      <c r="AL5343">
        <v>82.7667588174656</v>
      </c>
      <c r="AM5343">
        <v>62.567807623707502</v>
      </c>
      <c r="AN5343">
        <v>0.99999995454958401</v>
      </c>
    </row>
    <row r="5344" spans="1:40" x14ac:dyDescent="0.25">
      <c r="A5344" t="str">
        <f>"20190312164612240"</f>
        <v>20190312164612240</v>
      </c>
      <c r="B5344" t="str">
        <f>"1552380372236496"</f>
        <v>1552380372236496</v>
      </c>
      <c r="C5344" t="s">
        <v>40</v>
      </c>
      <c r="D5344">
        <v>5.1268630000000002</v>
      </c>
      <c r="E5344">
        <v>0.55287940000000002</v>
      </c>
      <c r="F5344" t="s">
        <v>43</v>
      </c>
      <c r="G5344">
        <v>-305.44170000000003</v>
      </c>
      <c r="H5344">
        <v>-0.05</v>
      </c>
      <c r="I5344">
        <v>3.873856</v>
      </c>
      <c r="J5344">
        <v>-315.97879999999998</v>
      </c>
      <c r="K5344">
        <v>1.072945</v>
      </c>
      <c r="L5344">
        <v>15.427429999999999</v>
      </c>
      <c r="M5344">
        <v>0.96993589999999996</v>
      </c>
      <c r="N5344">
        <v>0</v>
      </c>
      <c r="O5344">
        <v>-0.2422406</v>
      </c>
      <c r="P5344">
        <v>0.74582579999999998</v>
      </c>
      <c r="Q5344">
        <v>0.112927</v>
      </c>
      <c r="R5344">
        <v>-0.65649930000000001</v>
      </c>
      <c r="S5344">
        <v>2.0743710000000002</v>
      </c>
      <c r="T5344">
        <v>-0.2185009</v>
      </c>
      <c r="U5344">
        <v>-2.2528990000000002</v>
      </c>
      <c r="V5344">
        <v>0.45832479999999998</v>
      </c>
      <c r="W5344">
        <v>0.12605169999999999</v>
      </c>
      <c r="X5344">
        <v>0.87980069999999999</v>
      </c>
      <c r="Y5344">
        <v>0.54885879999999998</v>
      </c>
      <c r="Z5344">
        <v>-3.4025090000000002E-3</v>
      </c>
      <c r="AA5344">
        <v>0.83590819999999999</v>
      </c>
      <c r="AB5344">
        <v>28</v>
      </c>
      <c r="AC5344">
        <v>10.537099999999899</v>
      </c>
      <c r="AD5344">
        <v>-1.1229450000000001</v>
      </c>
      <c r="AE5344">
        <v>-11.553573999999999</v>
      </c>
      <c r="AF5344">
        <v>8.6116551824935392</v>
      </c>
      <c r="AG5344">
        <v>-1.1229450000000001</v>
      </c>
      <c r="AH5344">
        <v>12.955782839268799</v>
      </c>
      <c r="AI5344">
        <v>94.128661238732903</v>
      </c>
      <c r="AJ5344">
        <v>56.388178327763697</v>
      </c>
      <c r="AK5344">
        <v>15.597240763464701</v>
      </c>
      <c r="AL5344">
        <v>82.758505552096693</v>
      </c>
      <c r="AM5344">
        <v>62.4831172322084</v>
      </c>
      <c r="AN5344">
        <v>0.99999996254420898</v>
      </c>
    </row>
    <row r="5345" spans="1:40" x14ac:dyDescent="0.25">
      <c r="A5345" t="str">
        <f>"20190312164612252"</f>
        <v>20190312164612252</v>
      </c>
      <c r="B5345" t="str">
        <f>"1552380372246255"</f>
        <v>1552380372246255</v>
      </c>
      <c r="C5345" t="s">
        <v>40</v>
      </c>
      <c r="D5345">
        <v>5.0748419999999896</v>
      </c>
      <c r="E5345">
        <v>0.55336640000000004</v>
      </c>
      <c r="F5345" t="s">
        <v>43</v>
      </c>
      <c r="G5345">
        <v>-305.52440000000001</v>
      </c>
      <c r="H5345">
        <v>-0.05</v>
      </c>
      <c r="I5345">
        <v>3.9013819999999999</v>
      </c>
      <c r="J5345">
        <v>-315.83879999999999</v>
      </c>
      <c r="K5345">
        <v>1.0716950000000001</v>
      </c>
      <c r="L5345">
        <v>15.388489999999999</v>
      </c>
      <c r="M5345">
        <v>0.96899429999999998</v>
      </c>
      <c r="N5345">
        <v>0</v>
      </c>
      <c r="O5345">
        <v>-0.24600859999999999</v>
      </c>
      <c r="P5345">
        <v>0.74228169999999905</v>
      </c>
      <c r="Q5345">
        <v>0.11318830000000001</v>
      </c>
      <c r="R5345">
        <v>-0.66045929999999997</v>
      </c>
      <c r="S5345">
        <v>2.058319</v>
      </c>
      <c r="T5345">
        <v>-0.22109219999999999</v>
      </c>
      <c r="U5345">
        <v>-2.2693180000000002</v>
      </c>
      <c r="V5345">
        <v>0.45959440000000001</v>
      </c>
      <c r="W5345">
        <v>0.12604699999999999</v>
      </c>
      <c r="X5345">
        <v>0.87913889999999995</v>
      </c>
      <c r="Y5345">
        <v>0.5518478</v>
      </c>
      <c r="Z5345">
        <v>-3.2856299999999999E-3</v>
      </c>
      <c r="AA5345">
        <v>0.83393839999999997</v>
      </c>
      <c r="AB5345">
        <v>28</v>
      </c>
      <c r="AC5345">
        <v>10.3143999999999</v>
      </c>
      <c r="AD5345">
        <v>-1.1216950000000001</v>
      </c>
      <c r="AE5345">
        <v>-11.487107999999999</v>
      </c>
      <c r="AF5345">
        <v>8.5506495776206197</v>
      </c>
      <c r="AG5345">
        <v>-1.1216950000000001</v>
      </c>
      <c r="AH5345">
        <v>12.7565777854375</v>
      </c>
      <c r="AI5345">
        <v>94.177481952657203</v>
      </c>
      <c r="AJ5345">
        <v>56.166315037399499</v>
      </c>
      <c r="AK5345">
        <v>15.3981195172724</v>
      </c>
      <c r="AL5345">
        <v>82.758777513823105</v>
      </c>
      <c r="AM5345">
        <v>62.400425342300103</v>
      </c>
      <c r="AN5345">
        <v>1.0000000321067799</v>
      </c>
    </row>
    <row r="5346" spans="1:40" x14ac:dyDescent="0.25">
      <c r="A5346" t="str">
        <f>"20190312164612262"</f>
        <v>20190312164612262</v>
      </c>
      <c r="B5346" t="str">
        <f>"1552380372256991"</f>
        <v>1552380372256991</v>
      </c>
      <c r="C5346" t="s">
        <v>40</v>
      </c>
      <c r="D5346">
        <v>5.1651099999999897</v>
      </c>
      <c r="E5346">
        <v>0.55370059999999999</v>
      </c>
      <c r="F5346" t="s">
        <v>43</v>
      </c>
      <c r="G5346">
        <v>-305.6146</v>
      </c>
      <c r="H5346">
        <v>-0.05</v>
      </c>
      <c r="I5346">
        <v>3.9697420000000001</v>
      </c>
      <c r="J5346">
        <v>-315.69450000000001</v>
      </c>
      <c r="K5346">
        <v>1.0704309999999999</v>
      </c>
      <c r="L5346">
        <v>15.34747</v>
      </c>
      <c r="M5346">
        <v>0.96796819999999895</v>
      </c>
      <c r="N5346">
        <v>0</v>
      </c>
      <c r="O5346">
        <v>-0.25004520000000002</v>
      </c>
      <c r="P5346">
        <v>0.73832799999999998</v>
      </c>
      <c r="Q5346">
        <v>0.1134647</v>
      </c>
      <c r="R5346">
        <v>-0.66482949999999996</v>
      </c>
      <c r="S5346">
        <v>2.0443120000000001</v>
      </c>
      <c r="T5346">
        <v>-0.22427939999999999</v>
      </c>
      <c r="U5346">
        <v>-2.2831419999999998</v>
      </c>
      <c r="V5346">
        <v>0.4611326</v>
      </c>
      <c r="W5346">
        <v>0.126002</v>
      </c>
      <c r="X5346">
        <v>0.87833950000000005</v>
      </c>
      <c r="Y5346">
        <v>0.55370640000000004</v>
      </c>
      <c r="Z5346">
        <v>-3.10027E-3</v>
      </c>
      <c r="AA5346">
        <v>0.83270619999999995</v>
      </c>
      <c r="AB5346">
        <v>27</v>
      </c>
      <c r="AC5346">
        <v>10.0799</v>
      </c>
      <c r="AD5346">
        <v>-1.120431</v>
      </c>
      <c r="AE5346">
        <v>-11.377727999999999</v>
      </c>
      <c r="AF5346">
        <v>8.4491305562618404</v>
      </c>
      <c r="AG5346">
        <v>-1.120431</v>
      </c>
      <c r="AH5346">
        <v>12.5370991281711</v>
      </c>
      <c r="AI5346">
        <v>94.238460055187801</v>
      </c>
      <c r="AJ5346">
        <v>56.0227773603416</v>
      </c>
      <c r="AK5346">
        <v>15.1598821674876</v>
      </c>
      <c r="AL5346">
        <v>82.761376515845498</v>
      </c>
      <c r="AM5346">
        <v>62.300304106236702</v>
      </c>
      <c r="AN5346">
        <v>1.0000000280235</v>
      </c>
    </row>
    <row r="5347" spans="1:40" x14ac:dyDescent="0.25">
      <c r="A5347" t="str">
        <f>"20190312164612275"</f>
        <v>20190312164612275</v>
      </c>
      <c r="B5347" t="str">
        <f>"1552380372266751"</f>
        <v>1552380372266751</v>
      </c>
      <c r="C5347" t="s">
        <v>40</v>
      </c>
      <c r="D5347">
        <v>5.1499290000000002</v>
      </c>
      <c r="E5347">
        <v>0.5540602</v>
      </c>
      <c r="F5347" t="s">
        <v>43</v>
      </c>
      <c r="G5347">
        <v>-305.59570000000002</v>
      </c>
      <c r="H5347">
        <v>-0.05</v>
      </c>
      <c r="I5347">
        <v>3.9153440000000002</v>
      </c>
      <c r="J5347">
        <v>-315.5564</v>
      </c>
      <c r="K5347">
        <v>1.069242</v>
      </c>
      <c r="L5347">
        <v>15.307589999999999</v>
      </c>
      <c r="M5347">
        <v>0.96695629999999999</v>
      </c>
      <c r="N5347">
        <v>0</v>
      </c>
      <c r="O5347">
        <v>-0.25395859999999998</v>
      </c>
      <c r="P5347">
        <v>0.73446</v>
      </c>
      <c r="Q5347">
        <v>0.11361930000000001</v>
      </c>
      <c r="R5347">
        <v>-0.66907359999999905</v>
      </c>
      <c r="S5347">
        <v>2.0292970000000001</v>
      </c>
      <c r="T5347">
        <v>-0.22514329999999999</v>
      </c>
      <c r="U5347">
        <v>-2.2972109999999999</v>
      </c>
      <c r="V5347">
        <v>0.46265319999999999</v>
      </c>
      <c r="W5347">
        <v>0.1258223</v>
      </c>
      <c r="X5347">
        <v>0.87756529999999999</v>
      </c>
      <c r="Y5347">
        <v>0.55592410000000003</v>
      </c>
      <c r="Z5347">
        <v>-2.9052380000000001E-3</v>
      </c>
      <c r="AA5347">
        <v>0.83122799999999997</v>
      </c>
      <c r="AB5347">
        <v>27</v>
      </c>
      <c r="AC5347">
        <v>9.9606999999999708</v>
      </c>
      <c r="AD5347">
        <v>-1.1192420000000001</v>
      </c>
      <c r="AE5347">
        <v>-11.392246</v>
      </c>
      <c r="AF5347">
        <v>8.4421418331774998</v>
      </c>
      <c r="AG5347">
        <v>-1.1192420000000001</v>
      </c>
      <c r="AH5347">
        <v>12.459697371728</v>
      </c>
      <c r="AI5347">
        <v>94.253051018821296</v>
      </c>
      <c r="AJ5347">
        <v>55.880163652167703</v>
      </c>
      <c r="AK5347">
        <v>15.091935594253499</v>
      </c>
      <c r="AL5347">
        <v>82.771755291583602</v>
      </c>
      <c r="AM5347">
        <v>62.201762277146798</v>
      </c>
      <c r="AN5347">
        <v>1.0000000452058</v>
      </c>
    </row>
    <row r="5348" spans="1:40" x14ac:dyDescent="0.25">
      <c r="A5348" t="str">
        <f>"20190312164612286"</f>
        <v>20190312164612286</v>
      </c>
      <c r="B5348" t="str">
        <f>"1552380372276513"</f>
        <v>1552380372276513</v>
      </c>
      <c r="C5348" t="s">
        <v>40</v>
      </c>
      <c r="D5348">
        <v>5.0715440000000003</v>
      </c>
      <c r="E5348">
        <v>0.5542279</v>
      </c>
      <c r="F5348" t="s">
        <v>43</v>
      </c>
      <c r="G5348">
        <v>-305.58390000000003</v>
      </c>
      <c r="H5348">
        <v>-0.05</v>
      </c>
      <c r="I5348">
        <v>3.8671570000000002</v>
      </c>
      <c r="J5348">
        <v>-315.41269999999997</v>
      </c>
      <c r="K5348">
        <v>1.068022</v>
      </c>
      <c r="L5348">
        <v>15.265499999999999</v>
      </c>
      <c r="M5348">
        <v>0.96587429999999996</v>
      </c>
      <c r="N5348">
        <v>0</v>
      </c>
      <c r="O5348">
        <v>-0.25807329999999901</v>
      </c>
      <c r="P5348">
        <v>0.73049149999999996</v>
      </c>
      <c r="Q5348">
        <v>0.1138503</v>
      </c>
      <c r="R5348">
        <v>-0.6733654</v>
      </c>
      <c r="S5348">
        <v>2.0144039999999999</v>
      </c>
      <c r="T5348">
        <v>-0.22608139999999999</v>
      </c>
      <c r="U5348">
        <v>-2.3109130000000002</v>
      </c>
      <c r="V5348">
        <v>0.46407799999999999</v>
      </c>
      <c r="W5348">
        <v>0.12568509999999999</v>
      </c>
      <c r="X5348">
        <v>0.87683230000000001</v>
      </c>
      <c r="Y5348">
        <v>0.55787010000000004</v>
      </c>
      <c r="Z5348">
        <v>-2.680553E-3</v>
      </c>
      <c r="AA5348">
        <v>0.829924</v>
      </c>
      <c r="AB5348">
        <v>27</v>
      </c>
      <c r="AC5348">
        <v>9.8287999999999407</v>
      </c>
      <c r="AD5348">
        <v>-1.1180219999999901</v>
      </c>
      <c r="AE5348">
        <v>-11.398343000000001</v>
      </c>
      <c r="AF5348">
        <v>8.4283636590750302</v>
      </c>
      <c r="AG5348">
        <v>-1.1180219999999901</v>
      </c>
      <c r="AH5348">
        <v>12.369753958692201</v>
      </c>
      <c r="AI5348">
        <v>94.271659433842302</v>
      </c>
      <c r="AJ5348">
        <v>55.730705774961002</v>
      </c>
      <c r="AK5348">
        <v>15.0099333829528</v>
      </c>
      <c r="AL5348">
        <v>82.779678908709002</v>
      </c>
      <c r="AM5348">
        <v>62.109228426221001</v>
      </c>
      <c r="AN5348">
        <v>1.0000000083846401</v>
      </c>
    </row>
    <row r="5349" spans="1:40" x14ac:dyDescent="0.25">
      <c r="A5349" t="str">
        <f>"20190312164612297"</f>
        <v>20190312164612297</v>
      </c>
      <c r="B5349" t="str">
        <f>"1552380372287249"</f>
        <v>1552380372287249</v>
      </c>
      <c r="C5349" t="s">
        <v>40</v>
      </c>
      <c r="D5349">
        <v>5.0744879999999997</v>
      </c>
      <c r="E5349">
        <v>0.55438790000000004</v>
      </c>
      <c r="F5349" t="s">
        <v>43</v>
      </c>
      <c r="G5349">
        <v>-305.55250000000001</v>
      </c>
      <c r="H5349">
        <v>-0.05</v>
      </c>
      <c r="I5349">
        <v>3.8124389999999999</v>
      </c>
      <c r="J5349">
        <v>-315.29660000000001</v>
      </c>
      <c r="K5349">
        <v>1.0670790000000001</v>
      </c>
      <c r="L5349">
        <v>15.23068</v>
      </c>
      <c r="M5349">
        <v>0.96497549999999999</v>
      </c>
      <c r="N5349">
        <v>0</v>
      </c>
      <c r="O5349">
        <v>-0.26143840000000002</v>
      </c>
      <c r="P5349">
        <v>0.72701669999999996</v>
      </c>
      <c r="Q5349">
        <v>0.11373659999999999</v>
      </c>
      <c r="R5349">
        <v>-0.67713429999999997</v>
      </c>
      <c r="S5349">
        <v>2.0003660000000001</v>
      </c>
      <c r="T5349">
        <v>-0.2268164</v>
      </c>
      <c r="U5349">
        <v>-2.3235169999999998</v>
      </c>
      <c r="V5349">
        <v>0.46555990000000003</v>
      </c>
      <c r="W5349">
        <v>0.12524469999999999</v>
      </c>
      <c r="X5349">
        <v>0.87610949999999999</v>
      </c>
      <c r="Y5349">
        <v>0.56008029999999998</v>
      </c>
      <c r="Z5349">
        <v>-2.5239009999999998E-3</v>
      </c>
      <c r="AA5349">
        <v>0.82843449999999996</v>
      </c>
      <c r="AB5349">
        <v>27</v>
      </c>
      <c r="AC5349">
        <v>9.7440999999999995</v>
      </c>
      <c r="AD5349">
        <v>-1.1170789999999999</v>
      </c>
      <c r="AE5349">
        <v>-11.418241</v>
      </c>
      <c r="AF5349">
        <v>8.4261767611530001</v>
      </c>
      <c r="AG5349">
        <v>-1.1170789999999999</v>
      </c>
      <c r="AH5349">
        <v>12.3226663886878</v>
      </c>
      <c r="AI5349">
        <v>94.279499062999406</v>
      </c>
      <c r="AJ5349">
        <v>55.635877601882697</v>
      </c>
      <c r="AK5349">
        <v>14.969850608116699</v>
      </c>
      <c r="AL5349">
        <v>82.805113290357895</v>
      </c>
      <c r="AM5349">
        <v>62.014062428500502</v>
      </c>
      <c r="AN5349">
        <v>1.0000000556781701</v>
      </c>
    </row>
    <row r="5350" spans="1:40" x14ac:dyDescent="0.25">
      <c r="A5350" t="str">
        <f>"20190312164612305"</f>
        <v>20190312164612305</v>
      </c>
      <c r="B5350" t="str">
        <f>"1552380372297008"</f>
        <v>1552380372297008</v>
      </c>
      <c r="C5350" t="s">
        <v>40</v>
      </c>
      <c r="D5350">
        <v>5.0144820000000001</v>
      </c>
      <c r="E5350">
        <v>0.55429229999999996</v>
      </c>
      <c r="F5350" t="s">
        <v>43</v>
      </c>
      <c r="G5350">
        <v>-305.57549999999998</v>
      </c>
      <c r="H5350">
        <v>-0.05</v>
      </c>
      <c r="I5350">
        <v>3.8139799999999999</v>
      </c>
      <c r="J5350">
        <v>-315.18009999999998</v>
      </c>
      <c r="K5350">
        <v>1.0661389999999999</v>
      </c>
      <c r="L5350">
        <v>15.195589999999999</v>
      </c>
      <c r="M5350">
        <v>0.96405879999999999</v>
      </c>
      <c r="N5350">
        <v>0</v>
      </c>
      <c r="O5350">
        <v>-0.26482270000000002</v>
      </c>
      <c r="P5350">
        <v>0.72361160000000002</v>
      </c>
      <c r="Q5350">
        <v>0.1135999</v>
      </c>
      <c r="R5350">
        <v>-0.68079529999999999</v>
      </c>
      <c r="S5350">
        <v>1.9878229999999999</v>
      </c>
      <c r="T5350">
        <v>-0.22842779999999999</v>
      </c>
      <c r="U5350">
        <v>-2.3345639999999999</v>
      </c>
      <c r="V5350">
        <v>0.46690949999999998</v>
      </c>
      <c r="W5350">
        <v>0.1247796</v>
      </c>
      <c r="X5350">
        <v>0.87545729999999999</v>
      </c>
      <c r="Y5350">
        <v>0.56168260000000003</v>
      </c>
      <c r="Z5350">
        <v>-2.3447720000000002E-3</v>
      </c>
      <c r="AA5350">
        <v>0.82734940000000001</v>
      </c>
      <c r="AB5350">
        <v>27</v>
      </c>
      <c r="AC5350">
        <v>9.6045999999999996</v>
      </c>
      <c r="AD5350">
        <v>-1.116139</v>
      </c>
      <c r="AE5350">
        <v>-11.381609999999901</v>
      </c>
      <c r="AF5350">
        <v>8.3838714246810699</v>
      </c>
      <c r="AG5350">
        <v>-1.116139</v>
      </c>
      <c r="AH5350">
        <v>12.207759443329101</v>
      </c>
      <c r="AI5350">
        <v>94.310055102816406</v>
      </c>
      <c r="AJ5350">
        <v>55.520052711466001</v>
      </c>
      <c r="AK5350">
        <v>14.8514126250366</v>
      </c>
      <c r="AL5350">
        <v>82.831971547666399</v>
      </c>
      <c r="AM5350">
        <v>61.927567074674997</v>
      </c>
      <c r="AN5350">
        <v>0.999999956944849</v>
      </c>
    </row>
    <row r="5351" spans="1:40" x14ac:dyDescent="0.25">
      <c r="A5351" t="str">
        <f>"20190312164612317"</f>
        <v>20190312164612317</v>
      </c>
      <c r="B5351" t="str">
        <f>"1552380372306768"</f>
        <v>1552380372306768</v>
      </c>
      <c r="C5351" t="s">
        <v>40</v>
      </c>
      <c r="D5351">
        <v>5.1366100000000001</v>
      </c>
      <c r="E5351">
        <v>0.55451609999999996</v>
      </c>
      <c r="F5351" t="s">
        <v>43</v>
      </c>
      <c r="G5351">
        <v>-305.60930000000002</v>
      </c>
      <c r="H5351">
        <v>-0.05</v>
      </c>
      <c r="I5351">
        <v>3.849167</v>
      </c>
      <c r="J5351">
        <v>-315.04969999999997</v>
      </c>
      <c r="K5351">
        <v>1.065153</v>
      </c>
      <c r="L5351">
        <v>15.155329999999999</v>
      </c>
      <c r="M5351">
        <v>0.96299979999999996</v>
      </c>
      <c r="N5351">
        <v>0</v>
      </c>
      <c r="O5351">
        <v>-0.26867380000000002</v>
      </c>
      <c r="P5351">
        <v>0.71985239999999995</v>
      </c>
      <c r="Q5351">
        <v>0.11339920000000001</v>
      </c>
      <c r="R5351">
        <v>-0.68480189999999996</v>
      </c>
      <c r="S5351">
        <v>1.97699</v>
      </c>
      <c r="T5351">
        <v>-0.23055610000000001</v>
      </c>
      <c r="U5351">
        <v>-2.3437809999999999</v>
      </c>
      <c r="V5351">
        <v>0.46827010000000002</v>
      </c>
      <c r="W5351">
        <v>0.1242114</v>
      </c>
      <c r="X5351">
        <v>0.87481119999999901</v>
      </c>
      <c r="Y5351">
        <v>0.56220950000000003</v>
      </c>
      <c r="Z5351">
        <v>-2.0779930000000002E-3</v>
      </c>
      <c r="AA5351">
        <v>0.82699230000000001</v>
      </c>
      <c r="AB5351">
        <v>27</v>
      </c>
      <c r="AC5351">
        <v>9.4403999999999506</v>
      </c>
      <c r="AD5351">
        <v>-1.1151530000000001</v>
      </c>
      <c r="AE5351">
        <v>-11.306163</v>
      </c>
      <c r="AF5351">
        <v>8.3056981238267706</v>
      </c>
      <c r="AG5351">
        <v>-1.1151530000000001</v>
      </c>
      <c r="AH5351">
        <v>12.062335693757699</v>
      </c>
      <c r="AI5351">
        <v>94.354334953633796</v>
      </c>
      <c r="AJ5351">
        <v>55.450075335597298</v>
      </c>
      <c r="AK5351">
        <v>14.687686336739599</v>
      </c>
      <c r="AL5351">
        <v>82.864782560874104</v>
      </c>
      <c r="AM5351">
        <v>61.840688347684498</v>
      </c>
      <c r="AN5351">
        <v>0.99999999704470399</v>
      </c>
    </row>
    <row r="5352" spans="1:40" x14ac:dyDescent="0.25">
      <c r="A5352" t="str">
        <f>"20190312164612328"</f>
        <v>20190312164612328</v>
      </c>
      <c r="B5352" t="str">
        <f>"1552380372316528"</f>
        <v>1552380372316528</v>
      </c>
      <c r="C5352" t="s">
        <v>40</v>
      </c>
      <c r="D5352">
        <v>5.15158</v>
      </c>
      <c r="E5352">
        <v>0.55474190000000001</v>
      </c>
      <c r="F5352" t="s">
        <v>43</v>
      </c>
      <c r="G5352">
        <v>-305.63819999999998</v>
      </c>
      <c r="H5352">
        <v>-0.05</v>
      </c>
      <c r="I5352">
        <v>3.8625029999999998</v>
      </c>
      <c r="J5352">
        <v>-314.92079999999999</v>
      </c>
      <c r="K5352">
        <v>1.0641929999999999</v>
      </c>
      <c r="L5352">
        <v>15.115360000000001</v>
      </c>
      <c r="M5352">
        <v>0.96193499999999998</v>
      </c>
      <c r="N5352">
        <v>0</v>
      </c>
      <c r="O5352">
        <v>-0.27248610000000001</v>
      </c>
      <c r="P5352">
        <v>0.71615280000000003</v>
      </c>
      <c r="Q5352">
        <v>0.11316759999999999</v>
      </c>
      <c r="R5352">
        <v>-0.68870790000000004</v>
      </c>
      <c r="S5352">
        <v>1.9631959999999999</v>
      </c>
      <c r="T5352">
        <v>-0.2326174</v>
      </c>
      <c r="U5352">
        <v>-2.3556520000000001</v>
      </c>
      <c r="V5352">
        <v>0.46956120000000001</v>
      </c>
      <c r="W5352">
        <v>0.12361800000000001</v>
      </c>
      <c r="X5352">
        <v>0.87420299999999995</v>
      </c>
      <c r="Y5352">
        <v>0.56383359999999905</v>
      </c>
      <c r="Z5352">
        <v>-1.8610639999999999E-3</v>
      </c>
      <c r="AA5352">
        <v>0.82588629999999996</v>
      </c>
      <c r="AB5352">
        <v>27</v>
      </c>
      <c r="AC5352">
        <v>9.2826000000000004</v>
      </c>
      <c r="AD5352">
        <v>-1.114193</v>
      </c>
      <c r="AE5352">
        <v>-11.252857000000001</v>
      </c>
      <c r="AF5352">
        <v>8.2488083158411794</v>
      </c>
      <c r="AG5352">
        <v>-1.114193</v>
      </c>
      <c r="AH5352">
        <v>11.9285087991541</v>
      </c>
      <c r="AI5352">
        <v>94.393169505421298</v>
      </c>
      <c r="AJ5352">
        <v>55.335347366119599</v>
      </c>
      <c r="AK5352">
        <v>14.5455693200451</v>
      </c>
      <c r="AL5352">
        <v>82.899046026379295</v>
      </c>
      <c r="AM5352">
        <v>61.758392941563699</v>
      </c>
      <c r="AN5352">
        <v>1.0000000078392199</v>
      </c>
    </row>
    <row r="5353" spans="1:40" x14ac:dyDescent="0.25">
      <c r="A5353" t="str">
        <f>"20190312164612340"</f>
        <v>20190312164612340</v>
      </c>
      <c r="B5353" t="str">
        <f>"1552380372337025"</f>
        <v>1552380372337025</v>
      </c>
      <c r="C5353" t="s">
        <v>40</v>
      </c>
      <c r="D5353">
        <v>5.1535570000000002</v>
      </c>
      <c r="E5353">
        <v>0.55512790000000001</v>
      </c>
      <c r="F5353" t="s">
        <v>43</v>
      </c>
      <c r="G5353">
        <v>-305.6771</v>
      </c>
      <c r="H5353">
        <v>-0.05</v>
      </c>
      <c r="I5353">
        <v>3.892639</v>
      </c>
      <c r="J5353">
        <v>-314.78660000000002</v>
      </c>
      <c r="K5353">
        <v>1.0632809999999999</v>
      </c>
      <c r="L5353">
        <v>15.07254</v>
      </c>
      <c r="M5353">
        <v>0.96077849999999998</v>
      </c>
      <c r="N5353">
        <v>0</v>
      </c>
      <c r="O5353">
        <v>-0.27656160000000002</v>
      </c>
      <c r="P5353">
        <v>0.71251330000000002</v>
      </c>
      <c r="Q5353">
        <v>0.1126327</v>
      </c>
      <c r="R5353">
        <v>-0.6925597</v>
      </c>
      <c r="S5353">
        <v>1.9497679999999999</v>
      </c>
      <c r="T5353">
        <v>-0.23501469999999999</v>
      </c>
      <c r="U5353">
        <v>-2.3671880000000001</v>
      </c>
      <c r="V5353">
        <v>0.47054600000000002</v>
      </c>
      <c r="W5353">
        <v>0.122731199999999</v>
      </c>
      <c r="X5353">
        <v>0.87379830000000003</v>
      </c>
      <c r="Y5353">
        <v>0.56509140000000002</v>
      </c>
      <c r="Z5353">
        <v>-1.60205E-3</v>
      </c>
      <c r="AA5353">
        <v>0.82502679999999995</v>
      </c>
      <c r="AB5353">
        <v>27</v>
      </c>
      <c r="AC5353">
        <v>9.1095000000000201</v>
      </c>
      <c r="AD5353">
        <v>-1.113281</v>
      </c>
      <c r="AE5353">
        <v>-11.179900999999999</v>
      </c>
      <c r="AF5353">
        <v>8.1750725339075299</v>
      </c>
      <c r="AG5353">
        <v>-1.113281</v>
      </c>
      <c r="AH5353">
        <v>11.776440883503</v>
      </c>
      <c r="AI5353">
        <v>94.440516288411402</v>
      </c>
      <c r="AJ5353">
        <v>55.232054359390901</v>
      </c>
      <c r="AK5353">
        <v>14.379004325830399</v>
      </c>
      <c r="AL5353">
        <v>82.950245594405104</v>
      </c>
      <c r="AM5353">
        <v>61.6972504634751</v>
      </c>
      <c r="AN5353">
        <v>0.99999997732616397</v>
      </c>
    </row>
    <row r="5354" spans="1:40" x14ac:dyDescent="0.25">
      <c r="A5354" t="str">
        <f>"20190312164612352"</f>
        <v>20190312164612352</v>
      </c>
      <c r="B5354" t="str">
        <f>"1552380372346783"</f>
        <v>1552380372346783</v>
      </c>
      <c r="C5354" t="s">
        <v>40</v>
      </c>
      <c r="D5354">
        <v>5.1414589999999896</v>
      </c>
      <c r="E5354">
        <v>0.55521790000000004</v>
      </c>
      <c r="F5354" t="s">
        <v>43</v>
      </c>
      <c r="G5354">
        <v>-305.7715</v>
      </c>
      <c r="H5354">
        <v>-0.05</v>
      </c>
      <c r="I5354">
        <v>3.9900359999999999</v>
      </c>
      <c r="J5354">
        <v>-314.64999999999998</v>
      </c>
      <c r="K5354">
        <v>1.062379</v>
      </c>
      <c r="L5354">
        <v>15.028589999999999</v>
      </c>
      <c r="M5354">
        <v>0.95957349999999997</v>
      </c>
      <c r="N5354">
        <v>0</v>
      </c>
      <c r="O5354">
        <v>-0.28073749999999997</v>
      </c>
      <c r="P5354">
        <v>0.70877049999999997</v>
      </c>
      <c r="Q5354">
        <v>0.1120694</v>
      </c>
      <c r="R5354">
        <v>-0.6964804</v>
      </c>
      <c r="S5354">
        <v>1.935486</v>
      </c>
      <c r="T5354">
        <v>-0.23901320000000001</v>
      </c>
      <c r="U5354">
        <v>-2.3793329999999999</v>
      </c>
      <c r="V5354">
        <v>0.47154079999999898</v>
      </c>
      <c r="W5354">
        <v>0.12181500000000001</v>
      </c>
      <c r="X5354">
        <v>0.87339020000000001</v>
      </c>
      <c r="Y5354">
        <v>0.56652639999999999</v>
      </c>
      <c r="Z5354">
        <v>-1.3461879999999999E-3</v>
      </c>
      <c r="AA5354">
        <v>0.82404249999999901</v>
      </c>
      <c r="AB5354">
        <v>27</v>
      </c>
      <c r="AC5354">
        <v>8.8784999999999705</v>
      </c>
      <c r="AD5354">
        <v>-1.112379</v>
      </c>
      <c r="AE5354">
        <v>-11.038554</v>
      </c>
      <c r="AF5354">
        <v>8.0517697189083499</v>
      </c>
      <c r="AG5354">
        <v>-1.112379</v>
      </c>
      <c r="AH5354">
        <v>11.5496480293652</v>
      </c>
      <c r="AI5354">
        <v>94.517462609437601</v>
      </c>
      <c r="AJ5354">
        <v>55.117944219005302</v>
      </c>
      <c r="AK5354">
        <v>14.1231282741533</v>
      </c>
      <c r="AL5354">
        <v>83.003137237260802</v>
      </c>
      <c r="AM5354">
        <v>61.635520415415101</v>
      </c>
      <c r="AN5354">
        <v>1.0000000308728301</v>
      </c>
    </row>
    <row r="5355" spans="1:40" x14ac:dyDescent="0.25">
      <c r="A5355" t="str">
        <f>"20190312164612363"</f>
        <v>20190312164612363</v>
      </c>
      <c r="B5355" t="str">
        <f>"1552380372356543"</f>
        <v>1552380372356543</v>
      </c>
      <c r="C5355" t="s">
        <v>40</v>
      </c>
      <c r="D5355">
        <v>5.1536759999999999</v>
      </c>
      <c r="E5355">
        <v>0.55534830000000002</v>
      </c>
      <c r="F5355" t="s">
        <v>43</v>
      </c>
      <c r="G5355">
        <v>-305.82769999999999</v>
      </c>
      <c r="H5355">
        <v>-0.05</v>
      </c>
      <c r="I5355">
        <v>4.0590519999999897</v>
      </c>
      <c r="J5355">
        <v>-314.51190000000003</v>
      </c>
      <c r="K5355">
        <v>1.061537</v>
      </c>
      <c r="L5355">
        <v>14.98325</v>
      </c>
      <c r="M5355">
        <v>0.95830689999999996</v>
      </c>
      <c r="N5355">
        <v>0</v>
      </c>
      <c r="O5355">
        <v>-0.28505419999999998</v>
      </c>
      <c r="P5355">
        <v>0.70492790000000005</v>
      </c>
      <c r="Q5355">
        <v>0.1114185</v>
      </c>
      <c r="R5355">
        <v>-0.70047340000000002</v>
      </c>
      <c r="S5355">
        <v>1.922272</v>
      </c>
      <c r="T5355">
        <v>-0.24237429999999999</v>
      </c>
      <c r="U5355">
        <v>-2.3901370000000002</v>
      </c>
      <c r="V5355">
        <v>0.47251080000000001</v>
      </c>
      <c r="W5355">
        <v>0.1208225</v>
      </c>
      <c r="X5355">
        <v>0.87300370000000005</v>
      </c>
      <c r="Y5355">
        <v>0.56739059999999997</v>
      </c>
      <c r="Z5355">
        <v>-1.0367740000000001E-3</v>
      </c>
      <c r="AA5355">
        <v>0.82344810000000002</v>
      </c>
      <c r="AB5355">
        <v>27</v>
      </c>
      <c r="AC5355">
        <v>8.6842000000000308</v>
      </c>
      <c r="AD5355">
        <v>-1.111537</v>
      </c>
      <c r="AE5355">
        <v>-10.924197999999899</v>
      </c>
      <c r="AF5355">
        <v>7.9444342922104898</v>
      </c>
      <c r="AG5355">
        <v>-1.111537</v>
      </c>
      <c r="AH5355">
        <v>11.366251946403899</v>
      </c>
      <c r="AI5355">
        <v>94.582716150324401</v>
      </c>
      <c r="AJ5355">
        <v>55.048401360113402</v>
      </c>
      <c r="AK5355">
        <v>13.9119097910657</v>
      </c>
      <c r="AL5355">
        <v>83.060426219903405</v>
      </c>
      <c r="AM5355">
        <v>61.575656793308902</v>
      </c>
      <c r="AN5355">
        <v>0.99999999641828996</v>
      </c>
    </row>
    <row r="5356" spans="1:40" x14ac:dyDescent="0.25">
      <c r="A5356" t="str">
        <f>"20190312164612374"</f>
        <v>20190312164612374</v>
      </c>
      <c r="B5356" t="str">
        <f>"1552380372367279"</f>
        <v>1552380372367279</v>
      </c>
      <c r="C5356" t="s">
        <v>40</v>
      </c>
      <c r="D5356">
        <v>5.1873370000000003</v>
      </c>
      <c r="E5356">
        <v>0.55545459999999902</v>
      </c>
      <c r="F5356" t="s">
        <v>43</v>
      </c>
      <c r="G5356">
        <v>-305.8485</v>
      </c>
      <c r="H5356">
        <v>-0.05</v>
      </c>
      <c r="I5356">
        <v>4.0766910000000003</v>
      </c>
      <c r="J5356">
        <v>-314.38889999999998</v>
      </c>
      <c r="K5356">
        <v>1.060829</v>
      </c>
      <c r="L5356">
        <v>14.942259999999999</v>
      </c>
      <c r="M5356">
        <v>0.95714429999999995</v>
      </c>
      <c r="N5356">
        <v>0</v>
      </c>
      <c r="O5356">
        <v>-0.2889525</v>
      </c>
      <c r="P5356">
        <v>0.70141569999999998</v>
      </c>
      <c r="Q5356">
        <v>0.1110217</v>
      </c>
      <c r="R5356">
        <v>-0.70405269999999898</v>
      </c>
      <c r="S5356">
        <v>1.907837</v>
      </c>
      <c r="T5356">
        <v>-0.24478079999999999</v>
      </c>
      <c r="U5356">
        <v>-2.4018250000000001</v>
      </c>
      <c r="V5356">
        <v>0.4733832</v>
      </c>
      <c r="W5356">
        <v>0.1201295</v>
      </c>
      <c r="X5356">
        <v>0.87262669999999998</v>
      </c>
      <c r="Y5356">
        <v>0.56901489999999999</v>
      </c>
      <c r="Z5356">
        <v>-7.9004649999999896E-4</v>
      </c>
      <c r="AA5356">
        <v>0.82232680000000002</v>
      </c>
      <c r="AB5356">
        <v>27</v>
      </c>
      <c r="AC5356">
        <v>8.5403999999999698</v>
      </c>
      <c r="AD5356">
        <v>-1.1108290000000001</v>
      </c>
      <c r="AE5356">
        <v>-10.865569000000001</v>
      </c>
      <c r="AF5356">
        <v>7.8827339013462803</v>
      </c>
      <c r="AG5356">
        <v>-1.1108290000000001</v>
      </c>
      <c r="AH5356">
        <v>11.243547352846001</v>
      </c>
      <c r="AI5356">
        <v>94.624942016360706</v>
      </c>
      <c r="AJ5356">
        <v>54.966102998945303</v>
      </c>
      <c r="AK5356">
        <v>13.776385298849799</v>
      </c>
      <c r="AL5356">
        <v>83.100423927359003</v>
      </c>
      <c r="AM5356">
        <v>61.521020339894498</v>
      </c>
      <c r="AN5356">
        <v>1.0000000541826799</v>
      </c>
    </row>
    <row r="5357" spans="1:40" x14ac:dyDescent="0.25">
      <c r="A5357" t="str">
        <f>"20190312164612384"</f>
        <v>20190312164612384</v>
      </c>
      <c r="B5357" t="str">
        <f>"1552380372377039"</f>
        <v>1552380372377039</v>
      </c>
      <c r="C5357" t="s">
        <v>40</v>
      </c>
      <c r="D5357">
        <v>5.1571239999999996</v>
      </c>
      <c r="E5357">
        <v>0.5555099</v>
      </c>
      <c r="F5357" t="s">
        <v>43</v>
      </c>
      <c r="G5357">
        <v>-305.86869999999999</v>
      </c>
      <c r="H5357">
        <v>-0.05</v>
      </c>
      <c r="I5357">
        <v>4.0992129999999998</v>
      </c>
      <c r="J5357">
        <v>-314.26100000000002</v>
      </c>
      <c r="K5357">
        <v>1.0601339999999999</v>
      </c>
      <c r="L5357">
        <v>14.899050000000001</v>
      </c>
      <c r="M5357">
        <v>0.95590050000000004</v>
      </c>
      <c r="N5357">
        <v>0</v>
      </c>
      <c r="O5357">
        <v>-0.29305959999999998</v>
      </c>
      <c r="P5357">
        <v>0.69762360000000001</v>
      </c>
      <c r="Q5357">
        <v>0.1104222</v>
      </c>
      <c r="R5357">
        <v>-0.70790450000000005</v>
      </c>
      <c r="S5357">
        <v>1.895203</v>
      </c>
      <c r="T5357">
        <v>-0.24708939999999999</v>
      </c>
      <c r="U5357">
        <v>-2.411896</v>
      </c>
      <c r="V5357">
        <v>0.47441040000000001</v>
      </c>
      <c r="W5357">
        <v>0.1192281</v>
      </c>
      <c r="X5357">
        <v>0.87219230000000003</v>
      </c>
      <c r="Y5357">
        <v>0.56981040000000005</v>
      </c>
      <c r="Z5357">
        <v>-4.7662669999999998E-4</v>
      </c>
      <c r="AA5357">
        <v>0.82177610000000001</v>
      </c>
      <c r="AB5357">
        <v>27</v>
      </c>
      <c r="AC5357">
        <v>8.3922999999999703</v>
      </c>
      <c r="AD5357">
        <v>-1.110134</v>
      </c>
      <c r="AE5357">
        <v>-10.799837</v>
      </c>
      <c r="AF5357">
        <v>7.8141027101583802</v>
      </c>
      <c r="AG5357">
        <v>-1.110134</v>
      </c>
      <c r="AH5357">
        <v>11.1160391882323</v>
      </c>
      <c r="AI5357">
        <v>94.670758910666507</v>
      </c>
      <c r="AJ5357">
        <v>54.8944127971372</v>
      </c>
      <c r="AK5357">
        <v>13.6330086883702</v>
      </c>
      <c r="AL5357">
        <v>83.152443772831305</v>
      </c>
      <c r="AM5357">
        <v>61.456962882060303</v>
      </c>
      <c r="AN5357">
        <v>0.99999998781852995</v>
      </c>
    </row>
    <row r="5358" spans="1:40" x14ac:dyDescent="0.25">
      <c r="A5358" t="str">
        <f>"20190312164612395"</f>
        <v>20190312164612395</v>
      </c>
      <c r="B5358" t="str">
        <f>"1552380372386800"</f>
        <v>1552380372386800</v>
      </c>
      <c r="C5358" t="s">
        <v>40</v>
      </c>
      <c r="D5358">
        <v>5.0532260000000004</v>
      </c>
      <c r="E5358">
        <v>0.55560350000000003</v>
      </c>
      <c r="F5358" t="s">
        <v>43</v>
      </c>
      <c r="G5358">
        <v>-305.8929</v>
      </c>
      <c r="H5358">
        <v>-0.05</v>
      </c>
      <c r="I5358">
        <v>4.1249849999999997</v>
      </c>
      <c r="J5358">
        <v>-314.13369999999998</v>
      </c>
      <c r="K5358">
        <v>1.059485</v>
      </c>
      <c r="L5358">
        <v>14.85529</v>
      </c>
      <c r="M5358">
        <v>0.95461910000000005</v>
      </c>
      <c r="N5358">
        <v>0</v>
      </c>
      <c r="O5358">
        <v>-0.29722490000000001</v>
      </c>
      <c r="P5358">
        <v>0.69375399999999998</v>
      </c>
      <c r="Q5358">
        <v>0.1101982</v>
      </c>
      <c r="R5358">
        <v>-0.71173189999999997</v>
      </c>
      <c r="S5358">
        <v>1.881561</v>
      </c>
      <c r="T5358">
        <v>-0.24961330000000001</v>
      </c>
      <c r="U5358">
        <v>-2.4225460000000001</v>
      </c>
      <c r="V5358">
        <v>0.47539979999999998</v>
      </c>
      <c r="W5358">
        <v>0.1187106</v>
      </c>
      <c r="X5358">
        <v>0.8717241</v>
      </c>
      <c r="Y5358">
        <v>0.57085640000000004</v>
      </c>
      <c r="Z5358">
        <v>-1.6463179999999999E-4</v>
      </c>
      <c r="AA5358">
        <v>0.8210499</v>
      </c>
      <c r="AB5358">
        <v>27</v>
      </c>
      <c r="AC5358">
        <v>8.2407999999999699</v>
      </c>
      <c r="AD5358">
        <v>-1.1094850000000001</v>
      </c>
      <c r="AE5358">
        <v>-10.730305</v>
      </c>
      <c r="AF5358">
        <v>7.7433139749712403</v>
      </c>
      <c r="AG5358">
        <v>-1.1094850000000001</v>
      </c>
      <c r="AH5358">
        <v>10.9842622606939</v>
      </c>
      <c r="AI5358">
        <v>94.7193905157919</v>
      </c>
      <c r="AJ5358">
        <v>54.818222403228503</v>
      </c>
      <c r="AK5358">
        <v>13.484950340728499</v>
      </c>
      <c r="AL5358">
        <v>83.182306793608703</v>
      </c>
      <c r="AM5358">
        <v>61.3939005990647</v>
      </c>
      <c r="AN5358">
        <v>1.0000000414565999</v>
      </c>
    </row>
    <row r="5359" spans="1:40" x14ac:dyDescent="0.25">
      <c r="A5359" t="str">
        <f>"20190312164612406"</f>
        <v>20190312164612406</v>
      </c>
      <c r="B5359" t="str">
        <f>"1552380372396560"</f>
        <v>1552380372396560</v>
      </c>
      <c r="C5359" t="s">
        <v>40</v>
      </c>
      <c r="D5359">
        <v>5.1455979999999997</v>
      </c>
      <c r="E5359">
        <v>0.55566689999999996</v>
      </c>
      <c r="F5359" t="s">
        <v>43</v>
      </c>
      <c r="G5359">
        <v>-305.94920000000002</v>
      </c>
      <c r="H5359">
        <v>-0.05</v>
      </c>
      <c r="I5359">
        <v>4.194229</v>
      </c>
      <c r="J5359">
        <v>-314.00560000000002</v>
      </c>
      <c r="K5359">
        <v>1.0588550000000001</v>
      </c>
      <c r="L5359">
        <v>14.81082</v>
      </c>
      <c r="M5359">
        <v>0.95329799999999998</v>
      </c>
      <c r="N5359">
        <v>0</v>
      </c>
      <c r="O5359">
        <v>-0.30145139999999998</v>
      </c>
      <c r="P5359">
        <v>0.68986539999999996</v>
      </c>
      <c r="Q5359">
        <v>0.10981150000000001</v>
      </c>
      <c r="R5359">
        <v>-0.71556070000000005</v>
      </c>
      <c r="S5359">
        <v>1.8681030000000001</v>
      </c>
      <c r="T5359">
        <v>-0.2532394</v>
      </c>
      <c r="U5359">
        <v>-2.4333800000000001</v>
      </c>
      <c r="V5359">
        <v>0.47634660000000001</v>
      </c>
      <c r="W5359">
        <v>0.1180335</v>
      </c>
      <c r="X5359">
        <v>0.87129899999999905</v>
      </c>
      <c r="Y5359">
        <v>0.57182809999999995</v>
      </c>
      <c r="Z5359">
        <v>1.644548E-4</v>
      </c>
      <c r="AA5359">
        <v>0.82037340000000003</v>
      </c>
      <c r="AB5359">
        <v>27</v>
      </c>
      <c r="AC5359">
        <v>8.0563999999999893</v>
      </c>
      <c r="AD5359">
        <v>-1.1088549999999999</v>
      </c>
      <c r="AE5359">
        <v>-10.616591</v>
      </c>
      <c r="AF5359">
        <v>7.6406160632467497</v>
      </c>
      <c r="AG5359">
        <v>-1.1088549999999999</v>
      </c>
      <c r="AH5359">
        <v>10.807624809284</v>
      </c>
      <c r="AI5359">
        <v>94.788918858842905</v>
      </c>
      <c r="AJ5359">
        <v>54.7410136320254</v>
      </c>
      <c r="AK5359">
        <v>13.2820678832484</v>
      </c>
      <c r="AL5359">
        <v>83.221375957627004</v>
      </c>
      <c r="AM5359">
        <v>61.334195980911602</v>
      </c>
      <c r="AN5359">
        <v>0.99999996892740395</v>
      </c>
    </row>
    <row r="5360" spans="1:40" x14ac:dyDescent="0.25">
      <c r="A5360" t="str">
        <f>"20190312164612418"</f>
        <v>20190312164612418</v>
      </c>
      <c r="B5360" t="str">
        <f>"1552380372407296"</f>
        <v>1552380372407296</v>
      </c>
      <c r="C5360" t="s">
        <v>40</v>
      </c>
      <c r="D5360">
        <v>5.1842240000000004</v>
      </c>
      <c r="E5360">
        <v>0.55569780000000002</v>
      </c>
      <c r="F5360" t="s">
        <v>43</v>
      </c>
      <c r="G5360">
        <v>-305.95319999999998</v>
      </c>
      <c r="H5360">
        <v>-0.05</v>
      </c>
      <c r="I5360">
        <v>4.1971280000000002</v>
      </c>
      <c r="J5360">
        <v>-313.87639999999999</v>
      </c>
      <c r="K5360">
        <v>1.058268</v>
      </c>
      <c r="L5360">
        <v>14.764860000000001</v>
      </c>
      <c r="M5360">
        <v>0.95190969999999997</v>
      </c>
      <c r="N5360">
        <v>0</v>
      </c>
      <c r="O5360">
        <v>-0.30582179999999998</v>
      </c>
      <c r="P5360">
        <v>0.68591469999999999</v>
      </c>
      <c r="Q5360">
        <v>0.1093247</v>
      </c>
      <c r="R5360">
        <v>-0.71942309999999998</v>
      </c>
      <c r="S5360">
        <v>1.8542479999999999</v>
      </c>
      <c r="T5360">
        <v>-0.255337799999999</v>
      </c>
      <c r="U5360">
        <v>-2.4440309999999998</v>
      </c>
      <c r="V5360">
        <v>0.47722150000000002</v>
      </c>
      <c r="W5360">
        <v>0.1172598</v>
      </c>
      <c r="X5360">
        <v>0.870924699999999</v>
      </c>
      <c r="Y5360">
        <v>0.57273479999999999</v>
      </c>
      <c r="Z5360">
        <v>5.1724349999999997E-4</v>
      </c>
      <c r="AA5360">
        <v>0.81974059999999904</v>
      </c>
      <c r="AB5360">
        <v>27</v>
      </c>
      <c r="AC5360">
        <v>7.9231999999999996</v>
      </c>
      <c r="AD5360">
        <v>-1.108268</v>
      </c>
      <c r="AE5360">
        <v>-10.567731999999999</v>
      </c>
      <c r="AF5360">
        <v>7.5843432811279801</v>
      </c>
      <c r="AG5360">
        <v>-1.108268</v>
      </c>
      <c r="AH5360">
        <v>10.7005130940206</v>
      </c>
      <c r="AI5360">
        <v>94.829958656109895</v>
      </c>
      <c r="AJ5360">
        <v>54.6716286766423</v>
      </c>
      <c r="AK5360">
        <v>13.162503615996499</v>
      </c>
      <c r="AL5360">
        <v>83.266016096923096</v>
      </c>
      <c r="AM5360">
        <v>61.279547405088103</v>
      </c>
      <c r="AN5360">
        <v>1.00000002691418</v>
      </c>
    </row>
    <row r="5361" spans="1:40" x14ac:dyDescent="0.25">
      <c r="A5361" t="str">
        <f>"20190312164612429"</f>
        <v>20190312164612429</v>
      </c>
      <c r="B5361" t="str">
        <f>"1552380372417055"</f>
        <v>1552380372417055</v>
      </c>
      <c r="C5361" t="s">
        <v>40</v>
      </c>
      <c r="D5361">
        <v>5.0597349999999999</v>
      </c>
      <c r="E5361">
        <v>0.55574969999999901</v>
      </c>
      <c r="F5361" t="s">
        <v>43</v>
      </c>
      <c r="G5361">
        <v>-305.94959999999998</v>
      </c>
      <c r="H5361">
        <v>-0.05</v>
      </c>
      <c r="I5361">
        <v>4.1920010000000003</v>
      </c>
      <c r="J5361">
        <v>-313.74579999999997</v>
      </c>
      <c r="K5361">
        <v>1.057687</v>
      </c>
      <c r="L5361">
        <v>14.71814</v>
      </c>
      <c r="M5361">
        <v>0.95047720000000002</v>
      </c>
      <c r="N5361">
        <v>0</v>
      </c>
      <c r="O5361">
        <v>-0.31025920000000001</v>
      </c>
      <c r="P5361">
        <v>0.68190949999999995</v>
      </c>
      <c r="Q5361">
        <v>0.1089888</v>
      </c>
      <c r="R5361">
        <v>-0.72327109999999994</v>
      </c>
      <c r="S5361">
        <v>1.840271</v>
      </c>
      <c r="T5361">
        <v>-0.257295</v>
      </c>
      <c r="U5361">
        <v>-2.45459</v>
      </c>
      <c r="V5361">
        <v>0.47804960000000002</v>
      </c>
      <c r="W5361">
        <v>0.116635199999999</v>
      </c>
      <c r="X5361">
        <v>0.8705543</v>
      </c>
      <c r="Y5361">
        <v>0.57359009999999999</v>
      </c>
      <c r="Z5361">
        <v>8.8489609999999996E-4</v>
      </c>
      <c r="AA5361">
        <v>0.81914200000000004</v>
      </c>
      <c r="AB5361">
        <v>27</v>
      </c>
      <c r="AC5361">
        <v>7.79619999999999</v>
      </c>
      <c r="AD5361">
        <v>-1.1076870000000001</v>
      </c>
      <c r="AE5361">
        <v>-10.526139000000001</v>
      </c>
      <c r="AF5361">
        <v>7.5334018241189504</v>
      </c>
      <c r="AG5361">
        <v>-1.1076870000000001</v>
      </c>
      <c r="AH5361">
        <v>10.601902003985</v>
      </c>
      <c r="AI5361">
        <v>94.868035481553207</v>
      </c>
      <c r="AJ5361">
        <v>54.603511082824802</v>
      </c>
      <c r="AK5361">
        <v>13.0529475458882</v>
      </c>
      <c r="AL5361">
        <v>83.302050052515199</v>
      </c>
      <c r="AM5361">
        <v>61.227383754811797</v>
      </c>
      <c r="AN5361">
        <v>0.99999998959384495</v>
      </c>
    </row>
    <row r="5362" spans="1:40" x14ac:dyDescent="0.25">
      <c r="A5362" t="str">
        <f>"20190312164612440"</f>
        <v>20190312164612440</v>
      </c>
      <c r="B5362" t="str">
        <f>"1552380372436579"</f>
        <v>1552380372436579</v>
      </c>
      <c r="C5362" t="s">
        <v>40</v>
      </c>
      <c r="D5362">
        <v>5.1713079999999998</v>
      </c>
      <c r="E5362">
        <v>0.55576519999999996</v>
      </c>
      <c r="F5362" t="s">
        <v>43</v>
      </c>
      <c r="G5362">
        <v>-305.97199999999998</v>
      </c>
      <c r="H5362">
        <v>-0.05</v>
      </c>
      <c r="I5362">
        <v>4.227341</v>
      </c>
      <c r="J5362">
        <v>-313.61869999999999</v>
      </c>
      <c r="K5362">
        <v>1.0571660000000001</v>
      </c>
      <c r="L5362">
        <v>14.67145</v>
      </c>
      <c r="M5362">
        <v>0.94902030000000004</v>
      </c>
      <c r="N5362">
        <v>0</v>
      </c>
      <c r="O5362">
        <v>-0.31469989999999998</v>
      </c>
      <c r="P5362">
        <v>0.67791119999999905</v>
      </c>
      <c r="Q5362">
        <v>0.1087645</v>
      </c>
      <c r="R5362">
        <v>-0.72705369999999903</v>
      </c>
      <c r="S5362">
        <v>1.8265690000000001</v>
      </c>
      <c r="T5362">
        <v>-0.26026700000000003</v>
      </c>
      <c r="U5362">
        <v>-2.464966</v>
      </c>
      <c r="V5362">
        <v>0.47882400000000003</v>
      </c>
      <c r="W5362">
        <v>0.1161331</v>
      </c>
      <c r="X5362">
        <v>0.87019579999999996</v>
      </c>
      <c r="Y5362">
        <v>0.57434149999999995</v>
      </c>
      <c r="Z5362">
        <v>1.2695639999999999E-3</v>
      </c>
      <c r="AA5362">
        <v>0.81861479999999998</v>
      </c>
      <c r="AB5362">
        <v>27</v>
      </c>
      <c r="AC5362">
        <v>7.6467000000000098</v>
      </c>
      <c r="AD5362">
        <v>-1.1071660000000001</v>
      </c>
      <c r="AE5362">
        <v>-10.444108999999999</v>
      </c>
      <c r="AF5362">
        <v>7.4519545855601796</v>
      </c>
      <c r="AG5362">
        <v>-1.1071660000000001</v>
      </c>
      <c r="AH5362">
        <v>10.4687543588301</v>
      </c>
      <c r="AI5362">
        <v>94.924428507767701</v>
      </c>
      <c r="AJ5362">
        <v>54.555666445487198</v>
      </c>
      <c r="AK5362">
        <v>12.8977618803548</v>
      </c>
      <c r="AL5362">
        <v>83.331015340541896</v>
      </c>
      <c r="AM5362">
        <v>61.178272764150897</v>
      </c>
      <c r="AN5362">
        <v>1.0000000251146199</v>
      </c>
    </row>
    <row r="5363" spans="1:40" x14ac:dyDescent="0.25">
      <c r="A5363" t="str">
        <f>"20190312164612454"</f>
        <v>20190312164612454</v>
      </c>
      <c r="B5363" t="str">
        <f>"1552380372447313"</f>
        <v>1552380372447313</v>
      </c>
      <c r="C5363" t="s">
        <v>40</v>
      </c>
      <c r="D5363">
        <v>5.1734419999999997</v>
      </c>
      <c r="E5363">
        <v>0.55571649999999995</v>
      </c>
      <c r="F5363" t="s">
        <v>43</v>
      </c>
      <c r="G5363">
        <v>-305.95530000000002</v>
      </c>
      <c r="H5363">
        <v>-0.05</v>
      </c>
      <c r="I5363">
        <v>4.2077939999999998</v>
      </c>
      <c r="J5363">
        <v>-313.47570000000002</v>
      </c>
      <c r="K5363">
        <v>1.0565990000000001</v>
      </c>
      <c r="L5363">
        <v>14.618379999999901</v>
      </c>
      <c r="M5363">
        <v>0.94734090000000004</v>
      </c>
      <c r="N5363">
        <v>0</v>
      </c>
      <c r="O5363">
        <v>-0.31973309999999999</v>
      </c>
      <c r="P5363">
        <v>0.67320760000000002</v>
      </c>
      <c r="Q5363">
        <v>0.10888829999999999</v>
      </c>
      <c r="R5363">
        <v>-0.73139259999999995</v>
      </c>
      <c r="S5363">
        <v>1.812775</v>
      </c>
      <c r="T5363">
        <v>-0.26189839999999998</v>
      </c>
      <c r="U5363">
        <v>-2.4751590000000001</v>
      </c>
      <c r="V5363">
        <v>0.47982180000000002</v>
      </c>
      <c r="W5363">
        <v>0.1159432</v>
      </c>
      <c r="X5363">
        <v>0.86967129999999904</v>
      </c>
      <c r="Y5363">
        <v>0.57457879999999995</v>
      </c>
      <c r="Z5363">
        <v>1.7388029999999999E-3</v>
      </c>
      <c r="AA5363">
        <v>0.81844740000000005</v>
      </c>
      <c r="AB5363">
        <v>27</v>
      </c>
      <c r="AC5363">
        <v>7.5203999999999898</v>
      </c>
      <c r="AD5363">
        <v>-1.1065989999999899</v>
      </c>
      <c r="AE5363">
        <v>-10.410586</v>
      </c>
      <c r="AF5363">
        <v>7.40406065052575</v>
      </c>
      <c r="AG5363">
        <v>-1.1065989999999899</v>
      </c>
      <c r="AH5363">
        <v>10.377595468607399</v>
      </c>
      <c r="AI5363">
        <v>94.961116686432405</v>
      </c>
      <c r="AJ5363">
        <v>54.493436699526498</v>
      </c>
      <c r="AK5363">
        <v>12.796060455215301</v>
      </c>
      <c r="AL5363">
        <v>83.341969491872504</v>
      </c>
      <c r="AM5363">
        <v>61.113259047263497</v>
      </c>
      <c r="AN5363">
        <v>0.99999997771258398</v>
      </c>
    </row>
    <row r="5364" spans="1:40" x14ac:dyDescent="0.25">
      <c r="A5364" t="str">
        <f>"20190312164612465"</f>
        <v>20190312164612465</v>
      </c>
      <c r="B5364" t="str">
        <f>"1552380372457073"</f>
        <v>1552380372457073</v>
      </c>
      <c r="C5364" t="s">
        <v>40</v>
      </c>
      <c r="D5364">
        <v>5.1086729999999996</v>
      </c>
      <c r="E5364">
        <v>0.55567509999999998</v>
      </c>
      <c r="F5364" t="s">
        <v>43</v>
      </c>
      <c r="G5364">
        <v>-305.89699999999999</v>
      </c>
      <c r="H5364">
        <v>-0.05</v>
      </c>
      <c r="I5364">
        <v>4.1354220000000002</v>
      </c>
      <c r="J5364">
        <v>-313.32530000000003</v>
      </c>
      <c r="K5364">
        <v>1.0560449999999999</v>
      </c>
      <c r="L5364">
        <v>14.561489999999999</v>
      </c>
      <c r="M5364">
        <v>0.94550970000000001</v>
      </c>
      <c r="N5364">
        <v>0</v>
      </c>
      <c r="O5364">
        <v>-0.32512059999999998</v>
      </c>
      <c r="P5364">
        <v>0.66827910000000001</v>
      </c>
      <c r="Q5364">
        <v>0.1088933</v>
      </c>
      <c r="R5364">
        <v>-0.73589789999999999</v>
      </c>
      <c r="S5364">
        <v>1.7975159999999999</v>
      </c>
      <c r="T5364">
        <v>-0.26246120000000001</v>
      </c>
      <c r="U5364">
        <v>-2.4863279999999999</v>
      </c>
      <c r="V5364">
        <v>0.48073490000000002</v>
      </c>
      <c r="W5364">
        <v>0.1156292</v>
      </c>
      <c r="X5364">
        <v>0.8692088</v>
      </c>
      <c r="Y5364">
        <v>0.57497810000000005</v>
      </c>
      <c r="Z5364">
        <v>2.2303890000000002E-3</v>
      </c>
      <c r="AA5364">
        <v>0.818165699999999</v>
      </c>
      <c r="AB5364">
        <v>27</v>
      </c>
      <c r="AC5364">
        <v>7.4283000000000303</v>
      </c>
      <c r="AD5364">
        <v>-1.1060449999999999</v>
      </c>
      <c r="AE5364">
        <v>-10.426068000000001</v>
      </c>
      <c r="AF5364">
        <v>7.3888459584553399</v>
      </c>
      <c r="AG5364">
        <v>-1.1060449999999999</v>
      </c>
      <c r="AH5364">
        <v>10.3376953204319</v>
      </c>
      <c r="AI5364">
        <v>94.9746862898551</v>
      </c>
      <c r="AJ5364">
        <v>54.4447913620021</v>
      </c>
      <c r="AK5364">
        <v>12.754854945387899</v>
      </c>
      <c r="AL5364">
        <v>83.3600826522717</v>
      </c>
      <c r="AM5364">
        <v>61.054254658182202</v>
      </c>
      <c r="AN5364">
        <v>1.00000004698404</v>
      </c>
    </row>
    <row r="5365" spans="1:40" x14ac:dyDescent="0.25">
      <c r="A5365" t="str">
        <f>"20190312164612477"</f>
        <v>20190312164612477</v>
      </c>
      <c r="B5365" t="str">
        <f>"1552380372466831"</f>
        <v>1552380372466831</v>
      </c>
      <c r="C5365" t="s">
        <v>40</v>
      </c>
      <c r="D5365">
        <v>5.178839</v>
      </c>
      <c r="E5365">
        <v>0.55563629999999997</v>
      </c>
      <c r="F5365" t="s">
        <v>43</v>
      </c>
      <c r="G5365">
        <v>-305.83319999999998</v>
      </c>
      <c r="H5365">
        <v>-0.05</v>
      </c>
      <c r="I5365">
        <v>4.0551760000000003</v>
      </c>
      <c r="J5365">
        <v>-313.19170000000003</v>
      </c>
      <c r="K5365">
        <v>1.0555890000000001</v>
      </c>
      <c r="L5365">
        <v>14.50989</v>
      </c>
      <c r="M5365">
        <v>0.94382109999999997</v>
      </c>
      <c r="N5365">
        <v>0</v>
      </c>
      <c r="O5365">
        <v>-0.33000119999999999</v>
      </c>
      <c r="P5365">
        <v>0.66358209999999995</v>
      </c>
      <c r="Q5365">
        <v>0.1089276</v>
      </c>
      <c r="R5365">
        <v>-0.74013109999999904</v>
      </c>
      <c r="S5365">
        <v>1.7813110000000001</v>
      </c>
      <c r="T5365">
        <v>-0.2629707</v>
      </c>
      <c r="U5365">
        <v>-2.4979550000000001</v>
      </c>
      <c r="V5365">
        <v>0.48179339999999998</v>
      </c>
      <c r="W5365">
        <v>0.115382</v>
      </c>
      <c r="X5365">
        <v>0.86865530000000002</v>
      </c>
      <c r="Y5365">
        <v>0.57607900000000001</v>
      </c>
      <c r="Z5365">
        <v>2.6382490000000001E-3</v>
      </c>
      <c r="AA5365">
        <v>0.81738980000000006</v>
      </c>
      <c r="AB5365">
        <v>27</v>
      </c>
      <c r="AC5365">
        <v>7.3585000000000402</v>
      </c>
      <c r="AD5365">
        <v>-1.1055889999999999</v>
      </c>
      <c r="AE5365">
        <v>-10.454713999999999</v>
      </c>
      <c r="AF5365">
        <v>7.38495807686928</v>
      </c>
      <c r="AG5365">
        <v>-1.1055889999999999</v>
      </c>
      <c r="AH5365">
        <v>10.319566817269299</v>
      </c>
      <c r="AI5365">
        <v>94.979276580297906</v>
      </c>
      <c r="AJ5365">
        <v>54.411476735444097</v>
      </c>
      <c r="AK5365">
        <v>12.7378723549156</v>
      </c>
      <c r="AL5365">
        <v>83.374341015143699</v>
      </c>
      <c r="AM5365">
        <v>60.985374613721703</v>
      </c>
      <c r="AN5365">
        <v>0.99999995821282395</v>
      </c>
    </row>
    <row r="5366" spans="1:40" x14ac:dyDescent="0.25">
      <c r="A5366" t="str">
        <f>"20190312164612491"</f>
        <v>20190312164612491</v>
      </c>
      <c r="B5366" t="str">
        <f>"1552380372486351"</f>
        <v>1552380372486351</v>
      </c>
      <c r="C5366" t="s">
        <v>40</v>
      </c>
      <c r="D5366">
        <v>5.1380119999999998</v>
      </c>
      <c r="E5366">
        <v>0.55560790000000004</v>
      </c>
      <c r="F5366" t="s">
        <v>43</v>
      </c>
      <c r="G5366">
        <v>-305.77730000000003</v>
      </c>
      <c r="H5366">
        <v>-0.05</v>
      </c>
      <c r="I5366">
        <v>3.9755549999999999</v>
      </c>
      <c r="J5366">
        <v>-313.04070000000002</v>
      </c>
      <c r="K5366">
        <v>1.055097</v>
      </c>
      <c r="L5366">
        <v>14.45087</v>
      </c>
      <c r="M5366">
        <v>0.94185890000000005</v>
      </c>
      <c r="N5366">
        <v>0</v>
      </c>
      <c r="O5366">
        <v>-0.3355708</v>
      </c>
      <c r="P5366">
        <v>0.65851179999999998</v>
      </c>
      <c r="Q5366">
        <v>0.109222</v>
      </c>
      <c r="R5366">
        <v>-0.7446026</v>
      </c>
      <c r="S5366">
        <v>1.7658389999999999</v>
      </c>
      <c r="T5366">
        <v>-0.26330949999999997</v>
      </c>
      <c r="U5366">
        <v>-2.5088810000000001</v>
      </c>
      <c r="V5366">
        <v>0.4825836</v>
      </c>
      <c r="W5366">
        <v>0.1153711</v>
      </c>
      <c r="X5366">
        <v>0.86821809999999999</v>
      </c>
      <c r="Y5366">
        <v>0.57631330000000003</v>
      </c>
      <c r="Z5366">
        <v>3.1594349999999999E-3</v>
      </c>
      <c r="AA5366">
        <v>0.81722269999999997</v>
      </c>
      <c r="AB5366">
        <v>27</v>
      </c>
      <c r="AC5366">
        <v>7.2633999999999901</v>
      </c>
      <c r="AD5366">
        <v>-1.105097</v>
      </c>
      <c r="AE5366">
        <v>-10.475315</v>
      </c>
      <c r="AF5366">
        <v>7.3745504063818403</v>
      </c>
      <c r="AG5366">
        <v>-1.105097</v>
      </c>
      <c r="AH5366">
        <v>10.2805638913952</v>
      </c>
      <c r="AI5366">
        <v>94.9918536264843</v>
      </c>
      <c r="AJ5366">
        <v>54.347014854634502</v>
      </c>
      <c r="AK5366">
        <v>12.7002057857633</v>
      </c>
      <c r="AL5366">
        <v>83.374970318330696</v>
      </c>
      <c r="AM5366">
        <v>60.9332839241534</v>
      </c>
      <c r="AN5366">
        <v>1.0000000454358799</v>
      </c>
    </row>
    <row r="5367" spans="1:40" x14ac:dyDescent="0.25">
      <c r="A5367" t="str">
        <f>"20190312164612505"</f>
        <v>20190312164612505</v>
      </c>
      <c r="B5367" t="str">
        <f>"1552380372497087"</f>
        <v>1552380372497087</v>
      </c>
      <c r="C5367" t="s">
        <v>40</v>
      </c>
      <c r="D5367">
        <v>5.1511959999999997</v>
      </c>
      <c r="E5367">
        <v>0.55555480000000002</v>
      </c>
      <c r="F5367" t="s">
        <v>43</v>
      </c>
      <c r="G5367">
        <v>-305.65289999999999</v>
      </c>
      <c r="H5367">
        <v>-0.05</v>
      </c>
      <c r="I5367">
        <v>3.8027950000000001</v>
      </c>
      <c r="J5367">
        <v>-312.85849999999999</v>
      </c>
      <c r="K5367">
        <v>1.0545450000000001</v>
      </c>
      <c r="L5367">
        <v>14.37787</v>
      </c>
      <c r="M5367">
        <v>0.93937930000000003</v>
      </c>
      <c r="N5367">
        <v>0</v>
      </c>
      <c r="O5367">
        <v>-0.34246120000000002</v>
      </c>
      <c r="P5367">
        <v>0.65233149999999995</v>
      </c>
      <c r="Q5367">
        <v>0.1096519</v>
      </c>
      <c r="R5367">
        <v>-0.74995979999999995</v>
      </c>
      <c r="S5367">
        <v>1.74890099999999</v>
      </c>
      <c r="T5367">
        <v>-0.26160709999999998</v>
      </c>
      <c r="U5367">
        <v>-2.5206909999999998</v>
      </c>
      <c r="V5367">
        <v>0.48338449999999999</v>
      </c>
      <c r="W5367">
        <v>0.11544450000000001</v>
      </c>
      <c r="X5367">
        <v>0.8677627</v>
      </c>
      <c r="Y5367">
        <v>0.57586280000000001</v>
      </c>
      <c r="Z5367">
        <v>3.8168579999999998E-3</v>
      </c>
      <c r="AA5367">
        <v>0.81753739999999997</v>
      </c>
      <c r="AB5367">
        <v>27</v>
      </c>
      <c r="AC5367">
        <v>7.2055999999999996</v>
      </c>
      <c r="AD5367">
        <v>-1.1045450000000001</v>
      </c>
      <c r="AE5367">
        <v>-10.575075</v>
      </c>
      <c r="AF5367">
        <v>7.4122154973191003</v>
      </c>
      <c r="AG5367">
        <v>-1.1045450000000001</v>
      </c>
      <c r="AH5367">
        <v>10.3149844951589</v>
      </c>
      <c r="AI5367">
        <v>94.969859581088798</v>
      </c>
      <c r="AJ5367">
        <v>54.299460710236303</v>
      </c>
      <c r="AK5367">
        <v>12.749896602368599</v>
      </c>
      <c r="AL5367">
        <v>83.370736585681499</v>
      </c>
      <c r="AM5367">
        <v>60.880143376495901</v>
      </c>
      <c r="AN5367">
        <v>1.0000000554658901</v>
      </c>
    </row>
    <row r="5368" spans="1:40" x14ac:dyDescent="0.25">
      <c r="A5368" t="str">
        <f>"20190312164612519"</f>
        <v>20190312164612519</v>
      </c>
      <c r="B5368" t="str">
        <f>"1552380372506847"</f>
        <v>1552380372506847</v>
      </c>
      <c r="C5368" t="s">
        <v>40</v>
      </c>
      <c r="D5368">
        <v>5.0079659999999997</v>
      </c>
      <c r="E5368">
        <v>0.55557440000000002</v>
      </c>
      <c r="F5368" t="s">
        <v>43</v>
      </c>
      <c r="G5368">
        <v>-305.524</v>
      </c>
      <c r="H5368">
        <v>-0.05</v>
      </c>
      <c r="I5368">
        <v>3.6234130000000002</v>
      </c>
      <c r="J5368">
        <v>-312.72089999999997</v>
      </c>
      <c r="K5368">
        <v>1.054165</v>
      </c>
      <c r="L5368">
        <v>14.32138</v>
      </c>
      <c r="M5368">
        <v>0.93742449999999999</v>
      </c>
      <c r="N5368">
        <v>0</v>
      </c>
      <c r="O5368">
        <v>-0.34778399999999998</v>
      </c>
      <c r="P5368">
        <v>0.64707700000000001</v>
      </c>
      <c r="Q5368">
        <v>0.1100698</v>
      </c>
      <c r="R5368">
        <v>-0.75443729999999998</v>
      </c>
      <c r="S5368">
        <v>1.7286379999999999</v>
      </c>
      <c r="T5368">
        <v>-0.26032470000000002</v>
      </c>
      <c r="U5368">
        <v>-2.5346679999999999</v>
      </c>
      <c r="V5368">
        <v>0.48450100000000001</v>
      </c>
      <c r="W5368">
        <v>0.1155885</v>
      </c>
      <c r="X5368">
        <v>0.86712060000000002</v>
      </c>
      <c r="Y5368">
        <v>0.57780220000000004</v>
      </c>
      <c r="Z5368">
        <v>4.19776E-3</v>
      </c>
      <c r="AA5368">
        <v>0.81616599999999995</v>
      </c>
      <c r="AB5368">
        <v>27</v>
      </c>
      <c r="AC5368">
        <v>7.1968999999999701</v>
      </c>
      <c r="AD5368">
        <v>-1.1041650000000001</v>
      </c>
      <c r="AE5368">
        <v>-10.697967</v>
      </c>
      <c r="AF5368">
        <v>7.4718327702691996</v>
      </c>
      <c r="AG5368">
        <v>-1.1041650000000001</v>
      </c>
      <c r="AH5368">
        <v>10.3923907535862</v>
      </c>
      <c r="AI5368">
        <v>94.9304431599016</v>
      </c>
      <c r="AJ5368">
        <v>54.284941410546999</v>
      </c>
      <c r="AK5368">
        <v>12.8471495231167</v>
      </c>
      <c r="AL5368">
        <v>83.362430203025895</v>
      </c>
      <c r="AM5368">
        <v>60.805857129207901</v>
      </c>
      <c r="AN5368">
        <v>1.0000000276387999</v>
      </c>
    </row>
    <row r="5369" spans="1:40" x14ac:dyDescent="0.25">
      <c r="A5369" t="str">
        <f>"20190312164612531"</f>
        <v>20190312164612531</v>
      </c>
      <c r="B5369" t="str">
        <f>"1552380372526368"</f>
        <v>1552380372526368</v>
      </c>
      <c r="C5369" t="s">
        <v>40</v>
      </c>
      <c r="D5369">
        <v>5.0561239999999996</v>
      </c>
      <c r="E5369">
        <v>0.55554429999999999</v>
      </c>
      <c r="F5369" t="s">
        <v>43</v>
      </c>
      <c r="G5369">
        <v>-305.4033</v>
      </c>
      <c r="H5369">
        <v>-0.05</v>
      </c>
      <c r="I5369">
        <v>3.4297789999999999</v>
      </c>
      <c r="J5369">
        <v>-312.58150000000001</v>
      </c>
      <c r="K5369">
        <v>1.0537909999999999</v>
      </c>
      <c r="L5369">
        <v>14.263579999999999</v>
      </c>
      <c r="M5369">
        <v>0.93539159999999999</v>
      </c>
      <c r="N5369">
        <v>0</v>
      </c>
      <c r="O5369">
        <v>-0.35322249999999999</v>
      </c>
      <c r="P5369">
        <v>0.64229539999999996</v>
      </c>
      <c r="Q5369">
        <v>0.1105172</v>
      </c>
      <c r="R5369">
        <v>-0.75844769999999995</v>
      </c>
      <c r="S5369">
        <v>1.710968</v>
      </c>
      <c r="T5369">
        <v>-0.2581717</v>
      </c>
      <c r="U5369">
        <v>-2.5466310000000001</v>
      </c>
      <c r="V5369">
        <v>0.48492010000000002</v>
      </c>
      <c r="W5369">
        <v>0.1157812</v>
      </c>
      <c r="X5369">
        <v>0.86686059999999998</v>
      </c>
      <c r="Y5369">
        <v>0.57876549999999904</v>
      </c>
      <c r="Z5369">
        <v>4.6232809999999999E-3</v>
      </c>
      <c r="AA5369">
        <v>0.81548089999999995</v>
      </c>
      <c r="AB5369">
        <v>27</v>
      </c>
      <c r="AC5369">
        <v>7.1782000000000004</v>
      </c>
      <c r="AD5369">
        <v>-1.103791</v>
      </c>
      <c r="AE5369">
        <v>-10.833800999999999</v>
      </c>
      <c r="AF5369">
        <v>7.5449689937216897</v>
      </c>
      <c r="AG5369">
        <v>-1.103791</v>
      </c>
      <c r="AH5369">
        <v>10.4671222305538</v>
      </c>
      <c r="AI5369">
        <v>94.889483719371398</v>
      </c>
      <c r="AJ5369">
        <v>54.214973899591399</v>
      </c>
      <c r="AK5369">
        <v>12.9501181259962</v>
      </c>
      <c r="AL5369">
        <v>83.351314790858396</v>
      </c>
      <c r="AM5369">
        <v>60.777437350967801</v>
      </c>
      <c r="AN5369">
        <v>1.0000000447449</v>
      </c>
    </row>
    <row r="5370" spans="1:40" x14ac:dyDescent="0.25">
      <c r="A5370" t="str">
        <f>"20190312164612543"</f>
        <v>20190312164612543</v>
      </c>
      <c r="B5370" t="str">
        <f>"1552380372537103"</f>
        <v>1552380372537103</v>
      </c>
      <c r="C5370" t="s">
        <v>40</v>
      </c>
      <c r="D5370">
        <v>5.0846770000000001</v>
      </c>
      <c r="E5370">
        <v>0.55559530000000001</v>
      </c>
      <c r="F5370" t="s">
        <v>43</v>
      </c>
      <c r="G5370">
        <v>-305.28339999999997</v>
      </c>
      <c r="H5370">
        <v>-0.05</v>
      </c>
      <c r="I5370">
        <v>3.249908</v>
      </c>
      <c r="J5370">
        <v>-312.43529999999998</v>
      </c>
      <c r="K5370">
        <v>1.0534250000000001</v>
      </c>
      <c r="L5370">
        <v>14.201510000000001</v>
      </c>
      <c r="M5370">
        <v>0.93316670000000002</v>
      </c>
      <c r="N5370">
        <v>0</v>
      </c>
      <c r="O5370">
        <v>-0.35906569999999999</v>
      </c>
      <c r="P5370">
        <v>0.63726110000000002</v>
      </c>
      <c r="Q5370">
        <v>0.11103540000000001</v>
      </c>
      <c r="R5370">
        <v>-0.76260719999999904</v>
      </c>
      <c r="S5370">
        <v>1.694763</v>
      </c>
      <c r="T5370">
        <v>-0.25632129999999997</v>
      </c>
      <c r="U5370">
        <v>-2.5575869999999998</v>
      </c>
      <c r="V5370">
        <v>0.48520570000000002</v>
      </c>
      <c r="W5370">
        <v>0.1160413</v>
      </c>
      <c r="X5370">
        <v>0.86666599999999905</v>
      </c>
      <c r="Y5370">
        <v>0.57889330000000006</v>
      </c>
      <c r="Z5370">
        <v>5.1298510000000004E-3</v>
      </c>
      <c r="AA5370">
        <v>0.81538719999999998</v>
      </c>
      <c r="AB5370">
        <v>27</v>
      </c>
      <c r="AC5370">
        <v>7.1519000000000101</v>
      </c>
      <c r="AD5370">
        <v>-1.1034250000000001</v>
      </c>
      <c r="AE5370">
        <v>-10.951601999999999</v>
      </c>
      <c r="AF5370">
        <v>7.5986322807359103</v>
      </c>
      <c r="AG5370">
        <v>-1.1034250000000001</v>
      </c>
      <c r="AH5370">
        <v>10.5327443530708</v>
      </c>
      <c r="AI5370">
        <v>94.856178641130001</v>
      </c>
      <c r="AJ5370">
        <v>54.192208858097601</v>
      </c>
      <c r="AK5370">
        <v>13.034395378214199</v>
      </c>
      <c r="AL5370">
        <v>83.336311096717296</v>
      </c>
      <c r="AM5370">
        <v>60.757578777066698</v>
      </c>
      <c r="AN5370">
        <v>1.00000005508708</v>
      </c>
    </row>
    <row r="5371" spans="1:40" x14ac:dyDescent="0.25">
      <c r="A5371" t="str">
        <f>"20190312164612555"</f>
        <v>20190312164612555</v>
      </c>
      <c r="B5371" t="str">
        <f>"1552380372546863"</f>
        <v>1552380372546863</v>
      </c>
      <c r="C5371" t="s">
        <v>40</v>
      </c>
      <c r="D5371">
        <v>5.0919359999999996</v>
      </c>
      <c r="E5371">
        <v>0.55563180000000001</v>
      </c>
      <c r="F5371" t="s">
        <v>43</v>
      </c>
      <c r="G5371">
        <v>-305.14150000000001</v>
      </c>
      <c r="H5371">
        <v>-0.05</v>
      </c>
      <c r="I5371">
        <v>3.0337679999999998</v>
      </c>
      <c r="J5371">
        <v>-312.30579999999998</v>
      </c>
      <c r="K5371">
        <v>1.0531170000000001</v>
      </c>
      <c r="L5371">
        <v>14.14551</v>
      </c>
      <c r="M5371">
        <v>0.93112779999999995</v>
      </c>
      <c r="N5371">
        <v>0</v>
      </c>
      <c r="O5371">
        <v>-0.36432530000000002</v>
      </c>
      <c r="P5371">
        <v>0.63243749999999999</v>
      </c>
      <c r="Q5371">
        <v>0.1111355</v>
      </c>
      <c r="R5371">
        <v>-0.76659759999999999</v>
      </c>
      <c r="S5371">
        <v>1.677765</v>
      </c>
      <c r="T5371">
        <v>-0.25381419999999999</v>
      </c>
      <c r="U5371">
        <v>-2.568848</v>
      </c>
      <c r="V5371">
        <v>0.48579879999999998</v>
      </c>
      <c r="W5371">
        <v>0.1159091</v>
      </c>
      <c r="X5371">
        <v>0.86635130000000005</v>
      </c>
      <c r="Y5371">
        <v>0.57973850000000005</v>
      </c>
      <c r="Z5371">
        <v>5.5238589999999999E-3</v>
      </c>
      <c r="AA5371">
        <v>0.81478390000000001</v>
      </c>
      <c r="AB5371">
        <v>27</v>
      </c>
      <c r="AC5371">
        <v>7.1642999999999599</v>
      </c>
      <c r="AD5371">
        <v>-1.1031169999999999</v>
      </c>
      <c r="AE5371">
        <v>-11.111742</v>
      </c>
      <c r="AF5371">
        <v>7.6838617032749896</v>
      </c>
      <c r="AG5371">
        <v>-1.1031169999999999</v>
      </c>
      <c r="AH5371">
        <v>10.6464886177091</v>
      </c>
      <c r="AI5371">
        <v>94.802530257276203</v>
      </c>
      <c r="AJ5371">
        <v>54.180986863495903</v>
      </c>
      <c r="AK5371">
        <v>13.175975018106</v>
      </c>
      <c r="AL5371">
        <v>83.343936584058596</v>
      </c>
      <c r="AM5371">
        <v>60.718858083534101</v>
      </c>
      <c r="AN5371">
        <v>0.99999998427796899</v>
      </c>
    </row>
    <row r="5372" spans="1:40" x14ac:dyDescent="0.25">
      <c r="A5372" t="str">
        <f>"20190312164612568"</f>
        <v>20190312164612568</v>
      </c>
      <c r="B5372" t="str">
        <f>"1552380372556624"</f>
        <v>1552380372556624</v>
      </c>
      <c r="C5372" t="s">
        <v>40</v>
      </c>
      <c r="D5372">
        <v>5.4105720000000002</v>
      </c>
      <c r="E5372">
        <v>0.55559060000000005</v>
      </c>
      <c r="F5372" t="s">
        <v>43</v>
      </c>
      <c r="G5372">
        <v>-305.06720000000001</v>
      </c>
      <c r="H5372">
        <v>-0.05</v>
      </c>
      <c r="I5372">
        <v>2.904404</v>
      </c>
      <c r="J5372">
        <v>-312.1617</v>
      </c>
      <c r="K5372">
        <v>1.052786</v>
      </c>
      <c r="L5372">
        <v>14.082520000000001</v>
      </c>
      <c r="M5372">
        <v>0.92879719999999999</v>
      </c>
      <c r="N5372">
        <v>0</v>
      </c>
      <c r="O5372">
        <v>-0.3702318</v>
      </c>
      <c r="P5372">
        <v>0.62719269999999905</v>
      </c>
      <c r="Q5372">
        <v>0.1113256</v>
      </c>
      <c r="R5372">
        <v>-0.77086719999999997</v>
      </c>
      <c r="S5372">
        <v>1.661133</v>
      </c>
      <c r="T5372">
        <v>-0.25314740000000002</v>
      </c>
      <c r="U5372">
        <v>-2.5796510000000001</v>
      </c>
      <c r="V5372">
        <v>0.48621579999999898</v>
      </c>
      <c r="W5372">
        <v>0.11585090000000001</v>
      </c>
      <c r="X5372">
        <v>0.86612509999999998</v>
      </c>
      <c r="Y5372">
        <v>0.57985149999999996</v>
      </c>
      <c r="Z5372">
        <v>6.0513499999999996E-3</v>
      </c>
      <c r="AA5372">
        <v>0.81469969999999903</v>
      </c>
      <c r="AB5372">
        <v>27</v>
      </c>
      <c r="AC5372">
        <v>7.0944999999999796</v>
      </c>
      <c r="AD5372">
        <v>-1.102786</v>
      </c>
      <c r="AE5372">
        <v>-11.178115999999999</v>
      </c>
      <c r="AF5372">
        <v>7.7031720764328497</v>
      </c>
      <c r="AG5372">
        <v>-1.102786</v>
      </c>
      <c r="AH5372">
        <v>10.655334566264001</v>
      </c>
      <c r="AI5372">
        <v>94.7943801257519</v>
      </c>
      <c r="AJ5372">
        <v>54.135312540789599</v>
      </c>
      <c r="AK5372">
        <v>13.1943606029224</v>
      </c>
      <c r="AL5372">
        <v>83.3472936666967</v>
      </c>
      <c r="AM5372">
        <v>60.691495389341902</v>
      </c>
      <c r="AN5372">
        <v>0.99999996202522901</v>
      </c>
    </row>
    <row r="5373" spans="1:40" x14ac:dyDescent="0.25">
      <c r="A5373" t="str">
        <f>"20190312164612579"</f>
        <v>20190312164612579</v>
      </c>
      <c r="B5373" t="str">
        <f>"1552380372577120"</f>
        <v>1552380372577120</v>
      </c>
      <c r="C5373" t="s">
        <v>40</v>
      </c>
      <c r="D5373">
        <v>5.0692250000000003</v>
      </c>
      <c r="E5373">
        <v>0.55559740000000002</v>
      </c>
      <c r="F5373" t="s">
        <v>43</v>
      </c>
      <c r="G5373">
        <v>-304.94150000000002</v>
      </c>
      <c r="H5373">
        <v>-0.05</v>
      </c>
      <c r="I5373">
        <v>2.7050320000000001</v>
      </c>
      <c r="J5373">
        <v>-312.04270000000002</v>
      </c>
      <c r="K5373">
        <v>1.052535</v>
      </c>
      <c r="L5373">
        <v>14.02896</v>
      </c>
      <c r="M5373">
        <v>0.92678450000000001</v>
      </c>
      <c r="N5373">
        <v>0</v>
      </c>
      <c r="O5373">
        <v>-0.37524590000000002</v>
      </c>
      <c r="P5373">
        <v>0.62252430000000003</v>
      </c>
      <c r="Q5373">
        <v>0.1115324</v>
      </c>
      <c r="R5373">
        <v>-0.77461250000000004</v>
      </c>
      <c r="S5373">
        <v>1.643921</v>
      </c>
      <c r="T5373">
        <v>-0.251085</v>
      </c>
      <c r="U5373">
        <v>-2.5904539999999998</v>
      </c>
      <c r="V5373">
        <v>0.48677049999999999</v>
      </c>
      <c r="W5373">
        <v>0.1158547</v>
      </c>
      <c r="X5373">
        <v>0.86581299999999894</v>
      </c>
      <c r="Y5373">
        <v>0.5808664</v>
      </c>
      <c r="Z5373">
        <v>6.4127330000000003E-3</v>
      </c>
      <c r="AA5373">
        <v>0.81397359999999996</v>
      </c>
      <c r="AB5373">
        <v>27</v>
      </c>
      <c r="AC5373">
        <v>7.1012000000000004</v>
      </c>
      <c r="AD5373">
        <v>-1.102535</v>
      </c>
      <c r="AE5373">
        <v>-11.323928</v>
      </c>
      <c r="AF5373">
        <v>7.7782440047690997</v>
      </c>
      <c r="AG5373">
        <v>-1.102535</v>
      </c>
      <c r="AH5373">
        <v>10.758751287339599</v>
      </c>
      <c r="AI5373">
        <v>94.747366653986205</v>
      </c>
      <c r="AJ5373">
        <v>54.134236011568298</v>
      </c>
      <c r="AK5373">
        <v>13.321688800102701</v>
      </c>
      <c r="AL5373">
        <v>83.347074660863598</v>
      </c>
      <c r="AM5373">
        <v>60.654780930256997</v>
      </c>
      <c r="AN5373">
        <v>0.99999999107566995</v>
      </c>
    </row>
    <row r="5374" spans="1:40" x14ac:dyDescent="0.25">
      <c r="A5374" t="str">
        <f>"20190312164612592"</f>
        <v>20190312164612592</v>
      </c>
      <c r="B5374" t="str">
        <f>"1552380372586879"</f>
        <v>1552380372586879</v>
      </c>
      <c r="C5374" t="s">
        <v>40</v>
      </c>
      <c r="D5374">
        <v>5.1076499999999996</v>
      </c>
      <c r="E5374">
        <v>0.55556539999999999</v>
      </c>
      <c r="F5374" t="s">
        <v>43</v>
      </c>
      <c r="G5374">
        <v>-304.90460000000002</v>
      </c>
      <c r="H5374">
        <v>-0.05</v>
      </c>
      <c r="I5374">
        <v>2.6296689999999998</v>
      </c>
      <c r="J5374">
        <v>-311.8956</v>
      </c>
      <c r="K5374">
        <v>1.0522290000000001</v>
      </c>
      <c r="L5374">
        <v>13.96219</v>
      </c>
      <c r="M5374">
        <v>0.92423670000000002</v>
      </c>
      <c r="N5374">
        <v>0</v>
      </c>
      <c r="O5374">
        <v>-0.38148260000000001</v>
      </c>
      <c r="P5374">
        <v>0.61678040000000001</v>
      </c>
      <c r="Q5374">
        <v>0.11179840000000001</v>
      </c>
      <c r="R5374">
        <v>-0.77915559999999995</v>
      </c>
      <c r="S5374">
        <v>1.6283570000000001</v>
      </c>
      <c r="T5374">
        <v>-0.25151299999999999</v>
      </c>
      <c r="U5374">
        <v>-2.6004330000000002</v>
      </c>
      <c r="V5374">
        <v>0.48734040000000001</v>
      </c>
      <c r="W5374">
        <v>0.11587500000000001</v>
      </c>
      <c r="X5374">
        <v>0.86548969999999903</v>
      </c>
      <c r="Y5374">
        <v>0.5803043</v>
      </c>
      <c r="Z5374">
        <v>7.0292410000000003E-3</v>
      </c>
      <c r="AA5374">
        <v>0.81436940000000002</v>
      </c>
      <c r="AB5374">
        <v>27</v>
      </c>
      <c r="AC5374">
        <v>6.9909999999999801</v>
      </c>
      <c r="AD5374">
        <v>-1.1022289999999999</v>
      </c>
      <c r="AE5374">
        <v>-11.332521</v>
      </c>
      <c r="AF5374">
        <v>7.7548541103567903</v>
      </c>
      <c r="AG5374">
        <v>-1.1022289999999999</v>
      </c>
      <c r="AH5374">
        <v>10.7124825239522</v>
      </c>
      <c r="AI5374">
        <v>94.764344085190402</v>
      </c>
      <c r="AJ5374">
        <v>54.098912030406403</v>
      </c>
      <c r="AK5374">
        <v>13.2706425190094</v>
      </c>
      <c r="AL5374">
        <v>83.345904070111999</v>
      </c>
      <c r="AM5374">
        <v>60.616985459750502</v>
      </c>
      <c r="AN5374">
        <v>1.00000005095162</v>
      </c>
    </row>
    <row r="5375" spans="1:40" x14ac:dyDescent="0.25">
      <c r="A5375" t="str">
        <f>"20190312164612602"</f>
        <v>20190312164612602</v>
      </c>
      <c r="B5375" t="str">
        <f>"1552380372596639"</f>
        <v>1552380372596639</v>
      </c>
      <c r="C5375" t="s">
        <v>40</v>
      </c>
      <c r="D5375">
        <v>5.0268509999999997</v>
      </c>
      <c r="E5375">
        <v>0.55554969999999904</v>
      </c>
      <c r="F5375" t="s">
        <v>43</v>
      </c>
      <c r="G5375">
        <v>-304.81950000000001</v>
      </c>
      <c r="H5375">
        <v>-0.05</v>
      </c>
      <c r="I5375">
        <v>2.4810639999999999</v>
      </c>
      <c r="J5375">
        <v>-311.77569999999997</v>
      </c>
      <c r="K5375">
        <v>1.0519959999999999</v>
      </c>
      <c r="L5375">
        <v>13.90649</v>
      </c>
      <c r="M5375">
        <v>0.92208020000000002</v>
      </c>
      <c r="N5375">
        <v>0</v>
      </c>
      <c r="O5375">
        <v>-0.38666929999999999</v>
      </c>
      <c r="P5375">
        <v>0.61216939999999997</v>
      </c>
      <c r="Q5375">
        <v>0.11182</v>
      </c>
      <c r="R5375">
        <v>-0.78278059999999905</v>
      </c>
      <c r="S5375">
        <v>1.6098330000000001</v>
      </c>
      <c r="T5375">
        <v>-0.25075829999999999</v>
      </c>
      <c r="U5375">
        <v>-2.6119690000000002</v>
      </c>
      <c r="V5375">
        <v>0.48761199999999999</v>
      </c>
      <c r="W5375">
        <v>0.1157083</v>
      </c>
      <c r="X5375">
        <v>0.86535890000000004</v>
      </c>
      <c r="Y5375">
        <v>0.58153500000000002</v>
      </c>
      <c r="Z5375">
        <v>7.4248980000000001E-3</v>
      </c>
      <c r="AA5375">
        <v>0.81348750000000003</v>
      </c>
      <c r="AB5375">
        <v>27</v>
      </c>
      <c r="AC5375">
        <v>6.95619999999996</v>
      </c>
      <c r="AD5375">
        <v>-1.101996</v>
      </c>
      <c r="AE5375">
        <v>-11.425426</v>
      </c>
      <c r="AF5375">
        <v>7.79351567491209</v>
      </c>
      <c r="AG5375">
        <v>-1.101996</v>
      </c>
      <c r="AH5375">
        <v>10.7603859259678</v>
      </c>
      <c r="AI5375">
        <v>94.741402770585097</v>
      </c>
      <c r="AJ5375">
        <v>54.084995550469699</v>
      </c>
      <c r="AK5375">
        <v>13.331886101931801</v>
      </c>
      <c r="AL5375">
        <v>83.3555192801158</v>
      </c>
      <c r="AM5375">
        <v>60.599632175192603</v>
      </c>
      <c r="AN5375">
        <v>0.99999994952104798</v>
      </c>
    </row>
    <row r="5376" spans="1:40" x14ac:dyDescent="0.25">
      <c r="A5376" t="str">
        <f>"20190312164612613"</f>
        <v>20190312164612613</v>
      </c>
      <c r="B5376" t="str">
        <f>"1552380372606399"</f>
        <v>1552380372606399</v>
      </c>
      <c r="C5376" t="s">
        <v>40</v>
      </c>
      <c r="D5376">
        <v>5.1914339999999903</v>
      </c>
      <c r="E5376">
        <v>0.55547919999999995</v>
      </c>
      <c r="F5376" t="s">
        <v>43</v>
      </c>
      <c r="G5376">
        <v>-304.80110000000002</v>
      </c>
      <c r="H5376">
        <v>-0.05</v>
      </c>
      <c r="I5376">
        <v>2.442307</v>
      </c>
      <c r="J5376">
        <v>-311.65870000000001</v>
      </c>
      <c r="K5376">
        <v>1.051779</v>
      </c>
      <c r="L5376">
        <v>13.8515</v>
      </c>
      <c r="M5376">
        <v>0.9199214</v>
      </c>
      <c r="N5376">
        <v>0</v>
      </c>
      <c r="O5376">
        <v>-0.39177970000000001</v>
      </c>
      <c r="P5376">
        <v>0.60769110000000004</v>
      </c>
      <c r="Q5376">
        <v>0.11145670000000001</v>
      </c>
      <c r="R5376">
        <v>-0.78631340000000005</v>
      </c>
      <c r="S5376">
        <v>1.594757</v>
      </c>
      <c r="T5376">
        <v>-0.25197330000000001</v>
      </c>
      <c r="U5376">
        <v>-2.6213069999999998</v>
      </c>
      <c r="V5376">
        <v>0.4878152</v>
      </c>
      <c r="W5376">
        <v>0.1151698</v>
      </c>
      <c r="X5376">
        <v>0.86531630000000004</v>
      </c>
      <c r="Y5376">
        <v>0.58173059999999999</v>
      </c>
      <c r="Z5376">
        <v>7.9262129999999997E-3</v>
      </c>
      <c r="AA5376">
        <v>0.81334289999999998</v>
      </c>
      <c r="AB5376">
        <v>27</v>
      </c>
      <c r="AC5376">
        <v>6.8575999999999899</v>
      </c>
      <c r="AD5376">
        <v>-1.1017790000000001</v>
      </c>
      <c r="AE5376">
        <v>-11.409193</v>
      </c>
      <c r="AF5376">
        <v>7.7567424293242899</v>
      </c>
      <c r="AG5376">
        <v>-1.1017790000000001</v>
      </c>
      <c r="AH5376">
        <v>10.706362509037801</v>
      </c>
      <c r="AI5376">
        <v>94.763788064128207</v>
      </c>
      <c r="AJ5376">
        <v>54.0767307887618</v>
      </c>
      <c r="AK5376">
        <v>13.266769322432999</v>
      </c>
      <c r="AL5376">
        <v>83.386581224056201</v>
      </c>
      <c r="AM5376">
        <v>60.588214919101503</v>
      </c>
      <c r="AN5376">
        <v>1.00000002561438</v>
      </c>
    </row>
    <row r="5377" spans="1:40" x14ac:dyDescent="0.25">
      <c r="A5377" t="str">
        <f>"20190312164612624"</f>
        <v>20190312164612624</v>
      </c>
      <c r="B5377" t="str">
        <f>"1552380372617136"</f>
        <v>1552380372617136</v>
      </c>
      <c r="C5377" t="s">
        <v>40</v>
      </c>
      <c r="D5377">
        <v>5.2556949999999896</v>
      </c>
      <c r="E5377">
        <v>0.55552650000000003</v>
      </c>
      <c r="F5377" t="s">
        <v>43</v>
      </c>
      <c r="G5377">
        <v>-304.78859999999997</v>
      </c>
      <c r="H5377">
        <v>-0.05</v>
      </c>
      <c r="I5377">
        <v>2.412369</v>
      </c>
      <c r="J5377">
        <v>-311.53469999999999</v>
      </c>
      <c r="K5377">
        <v>1.0515620000000001</v>
      </c>
      <c r="L5377">
        <v>13.792210000000001</v>
      </c>
      <c r="M5377">
        <v>0.91756450000000001</v>
      </c>
      <c r="N5377">
        <v>0</v>
      </c>
      <c r="O5377">
        <v>-0.39727129999999999</v>
      </c>
      <c r="P5377">
        <v>0.6030664</v>
      </c>
      <c r="Q5377">
        <v>0.1110862</v>
      </c>
      <c r="R5377">
        <v>-0.78991849999999997</v>
      </c>
      <c r="S5377">
        <v>1.579712</v>
      </c>
      <c r="T5377">
        <v>-0.25334259999999997</v>
      </c>
      <c r="U5377">
        <v>-2.6303100000000001</v>
      </c>
      <c r="V5377">
        <v>0.48778749999999998</v>
      </c>
      <c r="W5377">
        <v>0.1146274</v>
      </c>
      <c r="X5377">
        <v>0.86540399999999995</v>
      </c>
      <c r="Y5377">
        <v>0.58152680000000001</v>
      </c>
      <c r="Z5377">
        <v>8.4947269999999901E-3</v>
      </c>
      <c r="AA5377">
        <v>0.81348299999999996</v>
      </c>
      <c r="AB5377">
        <v>27</v>
      </c>
      <c r="AC5377">
        <v>6.74610000000001</v>
      </c>
      <c r="AD5377">
        <v>-1.1015619999999999</v>
      </c>
      <c r="AE5377">
        <v>-11.379841000000001</v>
      </c>
      <c r="AF5377">
        <v>7.709228055604</v>
      </c>
      <c r="AG5377">
        <v>-1.1015619999999999</v>
      </c>
      <c r="AH5377">
        <v>10.638448211904301</v>
      </c>
      <c r="AI5377">
        <v>94.792758331271003</v>
      </c>
      <c r="AJ5377">
        <v>54.070764423652797</v>
      </c>
      <c r="AK5377">
        <v>13.1841653664737</v>
      </c>
      <c r="AL5377">
        <v>83.417866034103298</v>
      </c>
      <c r="AM5377">
        <v>60.592090615491003</v>
      </c>
      <c r="AN5377">
        <v>1.0000000846015</v>
      </c>
    </row>
    <row r="5378" spans="1:40" x14ac:dyDescent="0.25">
      <c r="A5378" t="str">
        <f>"20190312164612635"</f>
        <v>20190312164612635</v>
      </c>
      <c r="B5378" t="str">
        <f>"1552380372626896"</f>
        <v>1552380372626896</v>
      </c>
      <c r="C5378" t="s">
        <v>40</v>
      </c>
      <c r="D5378">
        <v>5.364846</v>
      </c>
      <c r="E5378">
        <v>0.55571099999999996</v>
      </c>
      <c r="F5378" t="s">
        <v>43</v>
      </c>
      <c r="G5378">
        <v>-304.77249999999998</v>
      </c>
      <c r="H5378">
        <v>-0.05</v>
      </c>
      <c r="I5378">
        <v>2.3717039999999998</v>
      </c>
      <c r="J5378">
        <v>-311.41840000000002</v>
      </c>
      <c r="K5378">
        <v>1.0513699999999999</v>
      </c>
      <c r="L5378">
        <v>13.735569999999999</v>
      </c>
      <c r="M5378">
        <v>0.91528779999999998</v>
      </c>
      <c r="N5378">
        <v>0</v>
      </c>
      <c r="O5378">
        <v>-0.40249119999999999</v>
      </c>
      <c r="P5378">
        <v>0.59876819999999997</v>
      </c>
      <c r="Q5378">
        <v>0.11038729999999999</v>
      </c>
      <c r="R5378">
        <v>-0.79327890000000001</v>
      </c>
      <c r="S5378">
        <v>1.563293</v>
      </c>
      <c r="T5378">
        <v>-0.25465939999999998</v>
      </c>
      <c r="U5378">
        <v>-2.6401979999999998</v>
      </c>
      <c r="V5378">
        <v>0.48765510000000001</v>
      </c>
      <c r="W5378">
        <v>0.1137794</v>
      </c>
      <c r="X5378">
        <v>0.86559039999999998</v>
      </c>
      <c r="Y5378">
        <v>0.58198139999999998</v>
      </c>
      <c r="Z5378">
        <v>9.0080260000000006E-3</v>
      </c>
      <c r="AA5378">
        <v>0.81315209999999905</v>
      </c>
      <c r="AB5378">
        <v>27</v>
      </c>
      <c r="AC5378">
        <v>6.6459000000000401</v>
      </c>
      <c r="AD5378">
        <v>-1.10137</v>
      </c>
      <c r="AE5378">
        <v>-11.363866</v>
      </c>
      <c r="AF5378">
        <v>7.6735446429883698</v>
      </c>
      <c r="AG5378">
        <v>-1.10137</v>
      </c>
      <c r="AH5378">
        <v>10.584014042941</v>
      </c>
      <c r="AI5378">
        <v>94.815646599635201</v>
      </c>
      <c r="AJ5378">
        <v>54.057411015993203</v>
      </c>
      <c r="AK5378">
        <v>13.119361894772499</v>
      </c>
      <c r="AL5378">
        <v>83.466772239409593</v>
      </c>
      <c r="AM5378">
        <v>60.604020672748298</v>
      </c>
      <c r="AN5378">
        <v>0.99999999449626498</v>
      </c>
    </row>
    <row r="5379" spans="1:40" x14ac:dyDescent="0.25">
      <c r="A5379" t="str">
        <f>"20190312164612645"</f>
        <v>20190312164612645</v>
      </c>
      <c r="B5379" t="str">
        <f>"1552380372636655"</f>
        <v>1552380372636655</v>
      </c>
      <c r="C5379" t="s">
        <v>40</v>
      </c>
      <c r="D5379">
        <v>5.0976119999999998</v>
      </c>
      <c r="E5379">
        <v>0.55571099999999996</v>
      </c>
      <c r="F5379" t="s">
        <v>43</v>
      </c>
      <c r="G5379">
        <v>-304.74059999999997</v>
      </c>
      <c r="H5379">
        <v>-0.05</v>
      </c>
      <c r="I5379">
        <v>2.2924959999999999</v>
      </c>
      <c r="J5379">
        <v>-311.29969999999997</v>
      </c>
      <c r="K5379">
        <v>1.0511790000000001</v>
      </c>
      <c r="L5379">
        <v>13.67709</v>
      </c>
      <c r="M5379">
        <v>0.91290839999999995</v>
      </c>
      <c r="N5379">
        <v>0</v>
      </c>
      <c r="O5379">
        <v>-0.40786149999999999</v>
      </c>
      <c r="P5379">
        <v>0.59453639999999996</v>
      </c>
      <c r="Q5379">
        <v>0.1099996</v>
      </c>
      <c r="R5379">
        <v>-0.79650940000000003</v>
      </c>
      <c r="S5379">
        <v>1.546448</v>
      </c>
      <c r="T5379">
        <v>-0.255055899999999</v>
      </c>
      <c r="U5379">
        <v>-2.649994</v>
      </c>
      <c r="V5379">
        <v>0.4872416</v>
      </c>
      <c r="W5379">
        <v>0.11325209999999999</v>
      </c>
      <c r="X5379">
        <v>0.86589240000000001</v>
      </c>
      <c r="Y5379">
        <v>0.58238080000000003</v>
      </c>
      <c r="Z5379">
        <v>9.5106940000000001E-3</v>
      </c>
      <c r="AA5379">
        <v>0.81286049999999999</v>
      </c>
      <c r="AB5379">
        <v>27</v>
      </c>
      <c r="AC5379">
        <v>6.5590999999999999</v>
      </c>
      <c r="AD5379">
        <v>-1.1011789999999999</v>
      </c>
      <c r="AE5379">
        <v>-11.384594</v>
      </c>
      <c r="AF5379">
        <v>7.6650008367618696</v>
      </c>
      <c r="AG5379">
        <v>-1.1011789999999999</v>
      </c>
      <c r="AH5379">
        <v>10.558345537684501</v>
      </c>
      <c r="AI5379">
        <v>94.824289177872203</v>
      </c>
      <c r="AJ5379">
        <v>54.021622647230998</v>
      </c>
      <c r="AK5379">
        <v>13.093643248185099</v>
      </c>
      <c r="AL5379">
        <v>83.497181102475096</v>
      </c>
      <c r="AM5379">
        <v>60.633343984112898</v>
      </c>
      <c r="AN5379">
        <v>1.00000003165136</v>
      </c>
    </row>
    <row r="5380" spans="1:40" x14ac:dyDescent="0.25">
      <c r="A5380" t="str">
        <f>"20190312164612657"</f>
        <v>20190312164612657</v>
      </c>
      <c r="B5380" t="str">
        <f>"1552380372646416"</f>
        <v>1552380372646416</v>
      </c>
      <c r="C5380" t="s">
        <v>40</v>
      </c>
      <c r="D5380">
        <v>4.7106110000000001</v>
      </c>
      <c r="E5380">
        <v>0.58377889999999999</v>
      </c>
      <c r="F5380" t="s">
        <v>43</v>
      </c>
      <c r="G5380">
        <v>-304.70209999999997</v>
      </c>
      <c r="H5380">
        <v>-0.05</v>
      </c>
      <c r="I5380">
        <v>2.2217859999999998</v>
      </c>
      <c r="J5380">
        <v>-311.18180000000001</v>
      </c>
      <c r="K5380">
        <v>1.051005</v>
      </c>
      <c r="L5380">
        <v>13.61774</v>
      </c>
      <c r="M5380">
        <v>0.9104679</v>
      </c>
      <c r="N5380">
        <v>0</v>
      </c>
      <c r="O5380">
        <v>-0.4132826</v>
      </c>
      <c r="P5380">
        <v>0.58994899999999995</v>
      </c>
      <c r="Q5380">
        <v>0.1093256</v>
      </c>
      <c r="R5380">
        <v>-0.80000499999999997</v>
      </c>
      <c r="S5380">
        <v>1.5312809999999999</v>
      </c>
      <c r="T5380">
        <v>-0.25558130000000001</v>
      </c>
      <c r="U5380">
        <v>-2.6587519999999998</v>
      </c>
      <c r="V5380">
        <v>0.4871607</v>
      </c>
      <c r="W5380">
        <v>0.1124401</v>
      </c>
      <c r="X5380">
        <v>0.86604369999999997</v>
      </c>
      <c r="Y5380">
        <v>0.58220079999999996</v>
      </c>
      <c r="Z5380">
        <v>1.0055440000000001E-2</v>
      </c>
      <c r="AA5380">
        <v>0.81298289999999995</v>
      </c>
      <c r="AB5380">
        <v>27</v>
      </c>
      <c r="AC5380">
        <v>6.4797000000000304</v>
      </c>
      <c r="AD5380">
        <v>-1.101005</v>
      </c>
      <c r="AE5380">
        <v>-11.395954</v>
      </c>
      <c r="AF5380">
        <v>7.6447251116421802</v>
      </c>
      <c r="AG5380">
        <v>-1.101005</v>
      </c>
      <c r="AH5380">
        <v>10.536291865532201</v>
      </c>
      <c r="AI5380">
        <v>94.8345047935113</v>
      </c>
      <c r="AJ5380">
        <v>54.0368156084646</v>
      </c>
      <c r="AK5380">
        <v>13.0639764359202</v>
      </c>
      <c r="AL5380">
        <v>83.544004200095202</v>
      </c>
      <c r="AM5380">
        <v>60.641687669978197</v>
      </c>
      <c r="AN5380">
        <v>1.0000000070110899</v>
      </c>
    </row>
    <row r="5381" spans="1:40" x14ac:dyDescent="0.25">
      <c r="A5381" t="str">
        <f>"20190312164612670"</f>
        <v>20190312164612670</v>
      </c>
      <c r="B5381" t="str">
        <f>"1552380372666911"</f>
        <v>1552380372666911</v>
      </c>
      <c r="C5381" t="s">
        <v>40</v>
      </c>
      <c r="D5381">
        <v>4.8489649999999997</v>
      </c>
      <c r="E5381">
        <v>0.58934370000000003</v>
      </c>
      <c r="F5381" t="s">
        <v>42</v>
      </c>
      <c r="G5381">
        <v>-301.245</v>
      </c>
      <c r="H5381" s="1">
        <v>-1.2070400000000001E-6</v>
      </c>
      <c r="I5381">
        <v>-7.6099750000000004</v>
      </c>
      <c r="J5381">
        <v>-311.03629999999998</v>
      </c>
      <c r="K5381">
        <v>1.050799</v>
      </c>
      <c r="L5381">
        <v>13.543699999999999</v>
      </c>
      <c r="M5381">
        <v>0.90738249999999998</v>
      </c>
      <c r="N5381">
        <v>0</v>
      </c>
      <c r="O5381">
        <v>-0.42001569999999999</v>
      </c>
      <c r="P5381">
        <v>0.58413990000000005</v>
      </c>
      <c r="Q5381">
        <v>0.1087834</v>
      </c>
      <c r="R5381">
        <v>-0.80433030000000005</v>
      </c>
      <c r="S5381">
        <v>1.311523</v>
      </c>
      <c r="T5381">
        <v>-0.13871800000000001</v>
      </c>
      <c r="U5381">
        <v>-2.801758</v>
      </c>
      <c r="V5381">
        <v>0.48709849999999999</v>
      </c>
      <c r="W5381">
        <v>0.1117322</v>
      </c>
      <c r="X5381">
        <v>0.86617029999999995</v>
      </c>
      <c r="Y5381">
        <v>0.6435978</v>
      </c>
      <c r="Z5381">
        <v>3.9988790000000003E-3</v>
      </c>
      <c r="AA5381">
        <v>0.76535350000000002</v>
      </c>
      <c r="AB5381">
        <v>27</v>
      </c>
      <c r="AC5381">
        <v>9.7912999999999695</v>
      </c>
      <c r="AD5381">
        <v>-1.05080020704</v>
      </c>
      <c r="AE5381">
        <v>-21.153675</v>
      </c>
      <c r="AF5381">
        <v>15.0532228010299</v>
      </c>
      <c r="AG5381">
        <v>-1.05080020704</v>
      </c>
      <c r="AH5381">
        <v>17.7354547825813</v>
      </c>
      <c r="AI5381">
        <v>92.586368976058395</v>
      </c>
      <c r="AJ5381">
        <v>49.6765881382346</v>
      </c>
      <c r="AK5381">
        <v>23.286263206395901</v>
      </c>
      <c r="AL5381">
        <v>83.584821116059601</v>
      </c>
      <c r="AM5381">
        <v>60.648391994681397</v>
      </c>
      <c r="AN5381">
        <v>1.00000001091059</v>
      </c>
    </row>
    <row r="5382" spans="1:40" x14ac:dyDescent="0.25">
      <c r="A5382" t="str">
        <f>"20190312164612684"</f>
        <v>20190312164612684</v>
      </c>
      <c r="B5382" t="str">
        <f>"1552380372676671"</f>
        <v>1552380372676671</v>
      </c>
      <c r="C5382" t="s">
        <v>40</v>
      </c>
      <c r="D5382">
        <v>5.0989449999999996</v>
      </c>
      <c r="E5382">
        <v>0.58869930000000004</v>
      </c>
      <c r="F5382" t="s">
        <v>42</v>
      </c>
      <c r="G5382">
        <v>-303.10599999999999</v>
      </c>
      <c r="H5382" s="1">
        <v>-3.2544819999999999E-6</v>
      </c>
      <c r="I5382">
        <v>-4.3262130000000001</v>
      </c>
      <c r="J5382">
        <v>-310.88310000000001</v>
      </c>
      <c r="K5382">
        <v>1.050605</v>
      </c>
      <c r="L5382">
        <v>13.463710000000001</v>
      </c>
      <c r="M5382">
        <v>0.90401030000000004</v>
      </c>
      <c r="N5382">
        <v>0</v>
      </c>
      <c r="O5382">
        <v>-0.42722710000000003</v>
      </c>
      <c r="P5382">
        <v>0.57782500000000003</v>
      </c>
      <c r="Q5382">
        <v>0.1084334</v>
      </c>
      <c r="R5382">
        <v>-0.80892540000000002</v>
      </c>
      <c r="S5382">
        <v>1.2593379999999901</v>
      </c>
      <c r="T5382">
        <v>-0.16686889999999999</v>
      </c>
      <c r="U5382">
        <v>-2.8377690000000002</v>
      </c>
      <c r="V5382">
        <v>0.48704320000000001</v>
      </c>
      <c r="W5382">
        <v>0.1112223</v>
      </c>
      <c r="X5382">
        <v>0.86626700000000001</v>
      </c>
      <c r="Y5382">
        <v>0.65277510000000005</v>
      </c>
      <c r="Z5382">
        <v>4.9132780000000001E-3</v>
      </c>
      <c r="AA5382">
        <v>0.75753590000000004</v>
      </c>
      <c r="AB5382">
        <v>27</v>
      </c>
      <c r="AC5382">
        <v>7.7771000000000097</v>
      </c>
      <c r="AD5382">
        <v>-1.0506082544819999</v>
      </c>
      <c r="AE5382">
        <v>-17.789923000000002</v>
      </c>
      <c r="AF5382">
        <v>12.723975739962199</v>
      </c>
      <c r="AG5382">
        <v>-1.0506082544819999</v>
      </c>
      <c r="AH5382">
        <v>14.5899687732948</v>
      </c>
      <c r="AI5382">
        <v>93.106397960823003</v>
      </c>
      <c r="AJ5382">
        <v>48.908174545767103</v>
      </c>
      <c r="AK5382">
        <v>19.387380564203301</v>
      </c>
      <c r="AL5382">
        <v>83.614219385130696</v>
      </c>
      <c r="AM5382">
        <v>60.653903682904399</v>
      </c>
      <c r="AN5382">
        <v>0.99999999698626496</v>
      </c>
    </row>
    <row r="5383" spans="1:40" x14ac:dyDescent="0.25">
      <c r="A5383" t="str">
        <f>"20190312164612698"</f>
        <v>20190312164612698</v>
      </c>
      <c r="B5383" t="str">
        <f>"1552380372686431"</f>
        <v>1552380372686431</v>
      </c>
      <c r="C5383" t="s">
        <v>40</v>
      </c>
      <c r="D5383">
        <v>5.2260629999999999</v>
      </c>
      <c r="E5383">
        <v>0.58918169999999903</v>
      </c>
      <c r="F5383" t="s">
        <v>42</v>
      </c>
      <c r="G5383">
        <v>-302.4074</v>
      </c>
      <c r="H5383" s="1">
        <v>-2.2806100000000001E-6</v>
      </c>
      <c r="I5383">
        <v>-5.9931599999999996</v>
      </c>
      <c r="J5383">
        <v>-310.74340000000001</v>
      </c>
      <c r="K5383">
        <v>1.050443</v>
      </c>
      <c r="L5383">
        <v>13.38931</v>
      </c>
      <c r="M5383">
        <v>0.90083919999999995</v>
      </c>
      <c r="N5383">
        <v>0</v>
      </c>
      <c r="O5383">
        <v>-0.43387569999999998</v>
      </c>
      <c r="P5383">
        <v>0.57265269999999902</v>
      </c>
      <c r="Q5383">
        <v>0.10753210000000001</v>
      </c>
      <c r="R5383">
        <v>-0.81271510000000002</v>
      </c>
      <c r="S5383">
        <v>1.2389829999999999</v>
      </c>
      <c r="T5383">
        <v>-0.15357789999999999</v>
      </c>
      <c r="U5383">
        <v>-2.8442080000000001</v>
      </c>
      <c r="V5383">
        <v>0.48629539999999999</v>
      </c>
      <c r="W5383">
        <v>0.11021</v>
      </c>
      <c r="X5383">
        <v>0.86681629999999998</v>
      </c>
      <c r="Y5383">
        <v>0.65242869999999997</v>
      </c>
      <c r="Z5383">
        <v>4.9245799999999996E-3</v>
      </c>
      <c r="AA5383">
        <v>0.75783409999999995</v>
      </c>
      <c r="AB5383">
        <v>27</v>
      </c>
      <c r="AC5383">
        <v>8.3360000000000092</v>
      </c>
      <c r="AD5383">
        <v>-1.05044528061</v>
      </c>
      <c r="AE5383">
        <v>-19.382470000000001</v>
      </c>
      <c r="AF5383">
        <v>13.811133225034901</v>
      </c>
      <c r="AG5383">
        <v>-1.05044528061</v>
      </c>
      <c r="AH5383">
        <v>15.8815284512772</v>
      </c>
      <c r="AI5383">
        <v>92.857251832548201</v>
      </c>
      <c r="AJ5383">
        <v>48.988635983116097</v>
      </c>
      <c r="AK5383">
        <v>21.073058207008</v>
      </c>
      <c r="AL5383">
        <v>83.672578580611798</v>
      </c>
      <c r="AM5383">
        <v>60.706998941525498</v>
      </c>
      <c r="AN5383">
        <v>0.99999997905342497</v>
      </c>
    </row>
    <row r="5384" spans="1:40" x14ac:dyDescent="0.25">
      <c r="A5384" t="str">
        <f>"20190312164612709"</f>
        <v>20190312164612709</v>
      </c>
      <c r="B5384" t="str">
        <f>"1552380372706928"</f>
        <v>1552380372706928</v>
      </c>
      <c r="C5384" t="s">
        <v>40</v>
      </c>
      <c r="D5384">
        <v>5.2033290000000001</v>
      </c>
      <c r="E5384">
        <v>0.59056940000000002</v>
      </c>
      <c r="F5384" t="s">
        <v>42</v>
      </c>
      <c r="G5384">
        <v>-302.99689999999998</v>
      </c>
      <c r="H5384" s="1">
        <v>-3.0249360000000002E-6</v>
      </c>
      <c r="I5384">
        <v>-4.7503919999999997</v>
      </c>
      <c r="J5384">
        <v>-310.61520000000002</v>
      </c>
      <c r="K5384">
        <v>1.0503039999999999</v>
      </c>
      <c r="L5384">
        <v>13.32025</v>
      </c>
      <c r="M5384">
        <v>0.89786080000000001</v>
      </c>
      <c r="N5384">
        <v>0</v>
      </c>
      <c r="O5384">
        <v>-0.44000719999999999</v>
      </c>
      <c r="P5384">
        <v>0.56779840000000004</v>
      </c>
      <c r="Q5384">
        <v>0.1073161</v>
      </c>
      <c r="R5384">
        <v>-0.81614229999999999</v>
      </c>
      <c r="S5384">
        <v>1.218933</v>
      </c>
      <c r="T5384">
        <v>-0.16529099999999999</v>
      </c>
      <c r="U5384">
        <v>-2.8543400000000001</v>
      </c>
      <c r="V5384">
        <v>0.48559020000000003</v>
      </c>
      <c r="W5384">
        <v>0.1098982</v>
      </c>
      <c r="X5384">
        <v>0.867251199999999</v>
      </c>
      <c r="Y5384">
        <v>0.65270479999999997</v>
      </c>
      <c r="Z5384">
        <v>5.6725589999999998E-3</v>
      </c>
      <c r="AA5384">
        <v>0.75759109999999996</v>
      </c>
      <c r="AB5384">
        <v>27</v>
      </c>
      <c r="AC5384">
        <v>7.6183000000000298</v>
      </c>
      <c r="AD5384">
        <v>-1.050307024936</v>
      </c>
      <c r="AE5384">
        <v>-18.070641999999999</v>
      </c>
      <c r="AF5384">
        <v>12.837533908306201</v>
      </c>
      <c r="AG5384">
        <v>-1.050307024936</v>
      </c>
      <c r="AH5384">
        <v>14.7508470000774</v>
      </c>
      <c r="AI5384">
        <v>93.074458724366195</v>
      </c>
      <c r="AJ5384">
        <v>48.967232296743902</v>
      </c>
      <c r="AK5384">
        <v>19.5829749760662</v>
      </c>
      <c r="AL5384">
        <v>83.690553037803994</v>
      </c>
      <c r="AM5384">
        <v>60.754718091989801</v>
      </c>
      <c r="AN5384">
        <v>1.0000000503003501</v>
      </c>
    </row>
    <row r="5385" spans="1:40" x14ac:dyDescent="0.25">
      <c r="A5385" t="str">
        <f>"20190312164612721"</f>
        <v>20190312164612721</v>
      </c>
      <c r="B5385" t="str">
        <f>"1552380372716688"</f>
        <v>1552380372716688</v>
      </c>
      <c r="C5385" t="s">
        <v>40</v>
      </c>
      <c r="D5385">
        <v>5.8242940000000001</v>
      </c>
      <c r="E5385">
        <v>0.58915699999999904</v>
      </c>
      <c r="F5385" t="s">
        <v>42</v>
      </c>
      <c r="G5385">
        <v>-304.02350000000001</v>
      </c>
      <c r="H5385" s="1">
        <v>-4.1967040000000001E-6</v>
      </c>
      <c r="I5385">
        <v>-2.479832</v>
      </c>
      <c r="J5385">
        <v>-310.48849999999999</v>
      </c>
      <c r="K5385">
        <v>1.0501830000000001</v>
      </c>
      <c r="L5385">
        <v>13.25015</v>
      </c>
      <c r="M5385">
        <v>0.89482150000000005</v>
      </c>
      <c r="N5385">
        <v>0</v>
      </c>
      <c r="O5385">
        <v>-0.44615700000000003</v>
      </c>
      <c r="P5385">
        <v>0.56286449999999999</v>
      </c>
      <c r="Q5385">
        <v>0.1069716</v>
      </c>
      <c r="R5385">
        <v>-0.8195981</v>
      </c>
      <c r="S5385">
        <v>1.196655</v>
      </c>
      <c r="T5385">
        <v>-0.19067290000000001</v>
      </c>
      <c r="U5385">
        <v>-2.868347</v>
      </c>
      <c r="V5385">
        <v>0.4849195</v>
      </c>
      <c r="W5385">
        <v>0.109473</v>
      </c>
      <c r="X5385">
        <v>0.86768009999999995</v>
      </c>
      <c r="Y5385">
        <v>0.65375450000000002</v>
      </c>
      <c r="Z5385">
        <v>6.9359969999999898E-3</v>
      </c>
      <c r="AA5385">
        <v>0.75667479999999998</v>
      </c>
      <c r="AB5385">
        <v>27</v>
      </c>
      <c r="AC5385">
        <v>6.4649999999999697</v>
      </c>
      <c r="AD5385">
        <v>-1.050187196704</v>
      </c>
      <c r="AE5385">
        <v>-15.729982</v>
      </c>
      <c r="AF5385">
        <v>11.1499381777986</v>
      </c>
      <c r="AG5385">
        <v>-1.050187196704</v>
      </c>
      <c r="AH5385">
        <v>12.7559477870841</v>
      </c>
      <c r="AI5385">
        <v>93.547042260635806</v>
      </c>
      <c r="AJ5385">
        <v>48.843384611929601</v>
      </c>
      <c r="AK5385">
        <v>16.974634560533801</v>
      </c>
      <c r="AL5385">
        <v>83.715062818085499</v>
      </c>
      <c r="AM5385">
        <v>60.800529188963601</v>
      </c>
      <c r="AN5385">
        <v>1.0000000075726201</v>
      </c>
    </row>
    <row r="5386" spans="1:40" x14ac:dyDescent="0.25">
      <c r="A5386" t="str">
        <f>"20190312164612734"</f>
        <v>20190312164612734</v>
      </c>
      <c r="B5386" t="str">
        <f>"1552380372726448"</f>
        <v>1552380372726448</v>
      </c>
      <c r="C5386" t="s">
        <v>40</v>
      </c>
      <c r="D5386">
        <v>5.138814</v>
      </c>
      <c r="E5386">
        <v>0.58869669999999996</v>
      </c>
      <c r="F5386" t="s">
        <v>42</v>
      </c>
      <c r="G5386">
        <v>-303.90929999999997</v>
      </c>
      <c r="H5386" s="1">
        <v>-4.1130640000000003E-6</v>
      </c>
      <c r="I5386">
        <v>-2.6449020000000001</v>
      </c>
      <c r="J5386">
        <v>-310.36110000000002</v>
      </c>
      <c r="K5386">
        <v>1.050068</v>
      </c>
      <c r="L5386">
        <v>13.17892</v>
      </c>
      <c r="M5386">
        <v>0.89170000000000005</v>
      </c>
      <c r="N5386">
        <v>0</v>
      </c>
      <c r="O5386">
        <v>-0.4523645</v>
      </c>
      <c r="P5386">
        <v>0.55755129999999997</v>
      </c>
      <c r="Q5386">
        <v>0.1066911</v>
      </c>
      <c r="R5386">
        <v>-0.82325800000000005</v>
      </c>
      <c r="S5386">
        <v>1.187683</v>
      </c>
      <c r="T5386">
        <v>-0.18958230000000001</v>
      </c>
      <c r="U5386">
        <v>-2.869415</v>
      </c>
      <c r="V5386">
        <v>0.484543</v>
      </c>
      <c r="W5386">
        <v>0.1091066</v>
      </c>
      <c r="X5386">
        <v>0.86793659999999995</v>
      </c>
      <c r="Y5386">
        <v>0.65062679999999995</v>
      </c>
      <c r="Z5386">
        <v>7.4788930000000003E-3</v>
      </c>
      <c r="AA5386">
        <v>0.75936079999999995</v>
      </c>
      <c r="AB5386">
        <v>27</v>
      </c>
      <c r="AC5386">
        <v>6.4518000000000404</v>
      </c>
      <c r="AD5386">
        <v>-1.0500721130640001</v>
      </c>
      <c r="AE5386">
        <v>-15.823822</v>
      </c>
      <c r="AF5386">
        <v>11.150761060788801</v>
      </c>
      <c r="AG5386">
        <v>-1.0500721130640001</v>
      </c>
      <c r="AH5386">
        <v>12.864164135718299</v>
      </c>
      <c r="AI5386">
        <v>93.529580463848504</v>
      </c>
      <c r="AJ5386">
        <v>49.080991007583201</v>
      </c>
      <c r="AK5386">
        <v>17.056636321037601</v>
      </c>
      <c r="AL5386">
        <v>83.736182800302004</v>
      </c>
      <c r="AM5386">
        <v>60.826685638207302</v>
      </c>
      <c r="AN5386">
        <v>1.00000005531605</v>
      </c>
    </row>
    <row r="5387" spans="1:40" x14ac:dyDescent="0.25">
      <c r="A5387" t="str">
        <f>"20190312164612744"</f>
        <v>20190312164612744</v>
      </c>
      <c r="B5387" t="str">
        <f>"1552380372737184"</f>
        <v>1552380372737184</v>
      </c>
      <c r="C5387" t="s">
        <v>40</v>
      </c>
      <c r="D5387">
        <v>5.1098280000000003</v>
      </c>
      <c r="E5387">
        <v>0.58791499999999997</v>
      </c>
      <c r="F5387" t="s">
        <v>42</v>
      </c>
      <c r="G5387">
        <v>-303.54880000000003</v>
      </c>
      <c r="H5387" s="1">
        <v>-3.6955539999999998E-6</v>
      </c>
      <c r="I5387">
        <v>-3.5655890000000001</v>
      </c>
      <c r="J5387">
        <v>-310.22829999999999</v>
      </c>
      <c r="K5387">
        <v>1.04996</v>
      </c>
      <c r="L5387">
        <v>13.10333</v>
      </c>
      <c r="M5387">
        <v>0.8883643</v>
      </c>
      <c r="N5387">
        <v>0</v>
      </c>
      <c r="O5387">
        <v>-0.45888129999999999</v>
      </c>
      <c r="P5387">
        <v>0.5517552</v>
      </c>
      <c r="Q5387">
        <v>0.1064498</v>
      </c>
      <c r="R5387">
        <v>-0.82718510000000001</v>
      </c>
      <c r="S5387">
        <v>1.1697390000000001</v>
      </c>
      <c r="T5387">
        <v>-0.18030860000000001</v>
      </c>
      <c r="U5387">
        <v>-2.8752140000000002</v>
      </c>
      <c r="V5387">
        <v>0.48432019999999998</v>
      </c>
      <c r="W5387">
        <v>0.1087801</v>
      </c>
      <c r="X5387">
        <v>0.86810180000000003</v>
      </c>
      <c r="Y5387">
        <v>0.64970859999999997</v>
      </c>
      <c r="Z5387">
        <v>7.6022069999999997E-3</v>
      </c>
      <c r="AA5387">
        <v>0.76014539999999997</v>
      </c>
      <c r="AB5387">
        <v>27</v>
      </c>
      <c r="AC5387">
        <v>6.67949999999996</v>
      </c>
      <c r="AD5387">
        <v>-1.0499636955539999</v>
      </c>
      <c r="AE5387">
        <v>-16.668918999999999</v>
      </c>
      <c r="AF5387">
        <v>11.7043519825858</v>
      </c>
      <c r="AG5387">
        <v>-1.0499636955539999</v>
      </c>
      <c r="AH5387">
        <v>13.538210120838899</v>
      </c>
      <c r="AI5387">
        <v>93.357668739242499</v>
      </c>
      <c r="AJ5387">
        <v>49.155206555177202</v>
      </c>
      <c r="AK5387">
        <v>17.927002325269701</v>
      </c>
      <c r="AL5387">
        <v>83.755001227511897</v>
      </c>
      <c r="AM5387">
        <v>60.842539777233597</v>
      </c>
      <c r="AN5387">
        <v>0.99999995072364301</v>
      </c>
    </row>
    <row r="5388" spans="1:40" x14ac:dyDescent="0.25">
      <c r="A5388" t="str">
        <f>"20190312164612756"</f>
        <v>20190312164612756</v>
      </c>
      <c r="B5388" t="str">
        <f>"1552380372746944"</f>
        <v>1552380372746944</v>
      </c>
      <c r="C5388" t="s">
        <v>40</v>
      </c>
      <c r="D5388">
        <v>5.2253369999999997</v>
      </c>
      <c r="E5388">
        <v>0.58724860000000001</v>
      </c>
      <c r="F5388" t="s">
        <v>42</v>
      </c>
      <c r="G5388">
        <v>-303.24770000000001</v>
      </c>
      <c r="H5388" s="1">
        <v>-3.289891E-6</v>
      </c>
      <c r="I5388">
        <v>-4.3310149999999998</v>
      </c>
      <c r="J5388">
        <v>-310.11430000000001</v>
      </c>
      <c r="K5388">
        <v>1.049874</v>
      </c>
      <c r="L5388">
        <v>13.037050000000001</v>
      </c>
      <c r="M5388">
        <v>0.88542500000000002</v>
      </c>
      <c r="N5388">
        <v>0</v>
      </c>
      <c r="O5388">
        <v>-0.46452840000000001</v>
      </c>
      <c r="P5388">
        <v>0.54637250000000004</v>
      </c>
      <c r="Q5388">
        <v>0.1063236</v>
      </c>
      <c r="R5388">
        <v>-0.83076620000000001</v>
      </c>
      <c r="S5388">
        <v>1.1531070000000001</v>
      </c>
      <c r="T5388">
        <v>-0.17343939999999999</v>
      </c>
      <c r="U5388">
        <v>-2.8799130000000002</v>
      </c>
      <c r="V5388">
        <v>0.4844523</v>
      </c>
      <c r="W5388">
        <v>0.1085791</v>
      </c>
      <c r="X5388">
        <v>0.86805330000000003</v>
      </c>
      <c r="Y5388">
        <v>0.64910789999999996</v>
      </c>
      <c r="Z5388">
        <v>7.7157099999999998E-3</v>
      </c>
      <c r="AA5388">
        <v>0.76065719999999903</v>
      </c>
      <c r="AB5388">
        <v>27</v>
      </c>
      <c r="AC5388">
        <v>6.8666</v>
      </c>
      <c r="AD5388">
        <v>-1.049877289891</v>
      </c>
      <c r="AE5388">
        <v>-17.368064999999898</v>
      </c>
      <c r="AF5388">
        <v>12.151426611802</v>
      </c>
      <c r="AG5388">
        <v>-1.049877289891</v>
      </c>
      <c r="AH5388">
        <v>14.1049150931561</v>
      </c>
      <c r="AI5388">
        <v>93.227628398678902</v>
      </c>
      <c r="AJ5388">
        <v>49.255002778549802</v>
      </c>
      <c r="AK5388">
        <v>18.646931136543198</v>
      </c>
      <c r="AL5388">
        <v>83.766586557116199</v>
      </c>
      <c r="AM5388">
        <v>60.834528841533697</v>
      </c>
      <c r="AN5388">
        <v>0.99999999178649501</v>
      </c>
    </row>
    <row r="5389" spans="1:40" x14ac:dyDescent="0.25">
      <c r="A5389" t="str">
        <f>"20190312164612769"</f>
        <v>20190312164612769</v>
      </c>
      <c r="B5389" t="str">
        <f>"1552380372756704"</f>
        <v>1552380372756704</v>
      </c>
      <c r="C5389" t="s">
        <v>40</v>
      </c>
      <c r="D5389">
        <v>5.193835</v>
      </c>
      <c r="E5389">
        <v>0.58691099999999996</v>
      </c>
      <c r="F5389" t="s">
        <v>42</v>
      </c>
      <c r="G5389">
        <v>-303.01190000000003</v>
      </c>
      <c r="H5389" s="1">
        <v>-2.9255880000000001E-6</v>
      </c>
      <c r="I5389">
        <v>-4.9689719999999999</v>
      </c>
      <c r="J5389">
        <v>-309.98719999999997</v>
      </c>
      <c r="K5389">
        <v>1.0497840000000001</v>
      </c>
      <c r="L5389">
        <v>12.96265</v>
      </c>
      <c r="M5389">
        <v>0.88209159999999998</v>
      </c>
      <c r="N5389">
        <v>0</v>
      </c>
      <c r="O5389">
        <v>-0.47082869999999999</v>
      </c>
      <c r="P5389">
        <v>0.54030900000000004</v>
      </c>
      <c r="Q5389">
        <v>0.1062</v>
      </c>
      <c r="R5389">
        <v>-0.83473829999999904</v>
      </c>
      <c r="S5389">
        <v>1.137726</v>
      </c>
      <c r="T5389">
        <v>-0.16817889999999999</v>
      </c>
      <c r="U5389">
        <v>-2.884369</v>
      </c>
      <c r="V5389">
        <v>0.48460769999999997</v>
      </c>
      <c r="W5389">
        <v>0.10837380000000001</v>
      </c>
      <c r="X5389">
        <v>0.86799219999999899</v>
      </c>
      <c r="Y5389">
        <v>0.6476189</v>
      </c>
      <c r="Z5389">
        <v>7.9468969999999996E-3</v>
      </c>
      <c r="AA5389">
        <v>0.76192299999999902</v>
      </c>
      <c r="AB5389">
        <v>27</v>
      </c>
      <c r="AC5389">
        <v>6.9752999999999403</v>
      </c>
      <c r="AD5389">
        <v>-1.0497869255879999</v>
      </c>
      <c r="AE5389">
        <v>-17.931622000000001</v>
      </c>
      <c r="AF5389">
        <v>12.497429061721601</v>
      </c>
      <c r="AG5389">
        <v>-1.0497869255879999</v>
      </c>
      <c r="AH5389">
        <v>14.553963122935199</v>
      </c>
      <c r="AI5389">
        <v>93.132310527377101</v>
      </c>
      <c r="AJ5389">
        <v>49.3474473765814</v>
      </c>
      <c r="AK5389">
        <v>19.2121219110659</v>
      </c>
      <c r="AL5389">
        <v>83.7784191397689</v>
      </c>
      <c r="AM5389">
        <v>60.824991717505199</v>
      </c>
      <c r="AN5389">
        <v>0.99999998134328405</v>
      </c>
    </row>
    <row r="5390" spans="1:40" x14ac:dyDescent="0.25">
      <c r="A5390" t="str">
        <f>"20190312164612781"</f>
        <v>20190312164612781</v>
      </c>
      <c r="B5390" t="str">
        <f>"1552380372777200"</f>
        <v>1552380372777200</v>
      </c>
      <c r="C5390" t="s">
        <v>40</v>
      </c>
      <c r="D5390">
        <v>5.2168060000000001</v>
      </c>
      <c r="E5390">
        <v>0.58660619999999997</v>
      </c>
      <c r="F5390" t="s">
        <v>42</v>
      </c>
      <c r="G5390">
        <v>-303.20010000000002</v>
      </c>
      <c r="H5390" s="1">
        <v>-3.168623E-6</v>
      </c>
      <c r="I5390">
        <v>-4.5608089999999999</v>
      </c>
      <c r="J5390">
        <v>-309.86090000000002</v>
      </c>
      <c r="K5390">
        <v>1.049712</v>
      </c>
      <c r="L5390">
        <v>12.88663</v>
      </c>
      <c r="M5390">
        <v>0.87868139999999995</v>
      </c>
      <c r="N5390">
        <v>0</v>
      </c>
      <c r="O5390">
        <v>-0.47716330000000001</v>
      </c>
      <c r="P5390">
        <v>0.5341167</v>
      </c>
      <c r="Q5390">
        <v>0.1060792</v>
      </c>
      <c r="R5390">
        <v>-0.83872930000000001</v>
      </c>
      <c r="S5390">
        <v>1.1197809999999999</v>
      </c>
      <c r="T5390">
        <v>-0.1732031</v>
      </c>
      <c r="U5390">
        <v>-2.8911739999999999</v>
      </c>
      <c r="V5390">
        <v>0.48480709999999999</v>
      </c>
      <c r="W5390">
        <v>0.108181399999999</v>
      </c>
      <c r="X5390">
        <v>0.86790489999999998</v>
      </c>
      <c r="Y5390">
        <v>0.64684469999999905</v>
      </c>
      <c r="Z5390">
        <v>8.6362100000000001E-3</v>
      </c>
      <c r="AA5390">
        <v>0.76257280000000005</v>
      </c>
      <c r="AB5390">
        <v>27</v>
      </c>
      <c r="AC5390">
        <v>6.6607999999999903</v>
      </c>
      <c r="AD5390">
        <v>-1.049715168623</v>
      </c>
      <c r="AE5390">
        <v>-17.447438999999999</v>
      </c>
      <c r="AF5390">
        <v>12.1155970954987</v>
      </c>
      <c r="AG5390">
        <v>-1.049715168623</v>
      </c>
      <c r="AH5390">
        <v>14.1350022063823</v>
      </c>
      <c r="AI5390">
        <v>93.227223113172499</v>
      </c>
      <c r="AJ5390">
        <v>49.398983614269298</v>
      </c>
      <c r="AK5390">
        <v>18.6463905968454</v>
      </c>
      <c r="AL5390">
        <v>83.789508330649099</v>
      </c>
      <c r="AM5390">
        <v>60.812504731222504</v>
      </c>
      <c r="AN5390">
        <v>1.0000000274801799</v>
      </c>
    </row>
    <row r="5391" spans="1:40" x14ac:dyDescent="0.25">
      <c r="A5391" t="str">
        <f>"20190312164612793"</f>
        <v>20190312164612793</v>
      </c>
      <c r="B5391" t="str">
        <f>"1552380372786960"</f>
        <v>1552380372786960</v>
      </c>
      <c r="C5391" t="s">
        <v>40</v>
      </c>
      <c r="D5391">
        <v>5.129251</v>
      </c>
      <c r="E5391">
        <v>0.58610989999999996</v>
      </c>
      <c r="F5391" t="s">
        <v>42</v>
      </c>
      <c r="G5391">
        <v>-303.72570000000002</v>
      </c>
      <c r="H5391" s="1">
        <v>-3.8556790000000003E-6</v>
      </c>
      <c r="I5391">
        <v>-3.2303199999999999</v>
      </c>
      <c r="J5391">
        <v>-309.73680000000002</v>
      </c>
      <c r="K5391">
        <v>1.0496399999999999</v>
      </c>
      <c r="L5391">
        <v>12.81119</v>
      </c>
      <c r="M5391">
        <v>0.87526659999999901</v>
      </c>
      <c r="N5391">
        <v>0</v>
      </c>
      <c r="O5391">
        <v>-0.48339890000000002</v>
      </c>
      <c r="P5391">
        <v>0.52781029999999995</v>
      </c>
      <c r="Q5391">
        <v>0.1061511</v>
      </c>
      <c r="R5391">
        <v>-0.84270259999999997</v>
      </c>
      <c r="S5391">
        <v>1.1032409999999999</v>
      </c>
      <c r="T5391">
        <v>-0.18876080000000001</v>
      </c>
      <c r="U5391">
        <v>-2.8981629999999998</v>
      </c>
      <c r="V5391">
        <v>0.48514980000000002</v>
      </c>
      <c r="W5391">
        <v>0.10818</v>
      </c>
      <c r="X5391">
        <v>0.86771359999999997</v>
      </c>
      <c r="Y5391">
        <v>0.64579580000000003</v>
      </c>
      <c r="Z5391">
        <v>9.905489E-3</v>
      </c>
      <c r="AA5391">
        <v>0.76344599999999996</v>
      </c>
      <c r="AB5391">
        <v>27</v>
      </c>
      <c r="AC5391">
        <v>6.0110999999999901</v>
      </c>
      <c r="AD5391">
        <v>-1.049643855679</v>
      </c>
      <c r="AE5391">
        <v>-16.041509999999999</v>
      </c>
      <c r="AF5391">
        <v>11.0944889962514</v>
      </c>
      <c r="AG5391">
        <v>-1.049643855679</v>
      </c>
      <c r="AH5391">
        <v>12.968597568139799</v>
      </c>
      <c r="AI5391">
        <v>93.519398062134201</v>
      </c>
      <c r="AJ5391">
        <v>49.453384915231503</v>
      </c>
      <c r="AK5391">
        <v>17.098946201332701</v>
      </c>
      <c r="AL5391">
        <v>83.789589259888601</v>
      </c>
      <c r="AM5391">
        <v>60.7898846502287</v>
      </c>
      <c r="AN5391">
        <v>1.0000000662324899</v>
      </c>
    </row>
    <row r="5392" spans="1:40" x14ac:dyDescent="0.25">
      <c r="A5392" t="str">
        <f>"20190312164612804"</f>
        <v>20190312164612804</v>
      </c>
      <c r="B5392" t="str">
        <f>"1552380372796721"</f>
        <v>1552380372796721</v>
      </c>
      <c r="C5392" t="s">
        <v>40</v>
      </c>
      <c r="D5392">
        <v>5.4355799999999999</v>
      </c>
      <c r="E5392">
        <v>0.58540930000000002</v>
      </c>
      <c r="F5392" t="s">
        <v>42</v>
      </c>
      <c r="G5392">
        <v>-303.58460000000002</v>
      </c>
      <c r="H5392" s="1">
        <v>-3.6649560000000001E-6</v>
      </c>
      <c r="I5392">
        <v>-3.6618029999999999</v>
      </c>
      <c r="J5392">
        <v>-309.61759999999998</v>
      </c>
      <c r="K5392">
        <v>1.04958</v>
      </c>
      <c r="L5392">
        <v>12.73743</v>
      </c>
      <c r="M5392">
        <v>0.871915</v>
      </c>
      <c r="N5392">
        <v>0</v>
      </c>
      <c r="O5392">
        <v>-0.4894192</v>
      </c>
      <c r="P5392">
        <v>0.52208900000000003</v>
      </c>
      <c r="Q5392">
        <v>0.1059576</v>
      </c>
      <c r="R5392">
        <v>-0.84628389999999998</v>
      </c>
      <c r="S5392">
        <v>1.0845640000000001</v>
      </c>
      <c r="T5392">
        <v>-0.1850417</v>
      </c>
      <c r="U5392">
        <v>-2.9040219999999999</v>
      </c>
      <c r="V5392">
        <v>0.48507359999999999</v>
      </c>
      <c r="W5392">
        <v>0.1079368</v>
      </c>
      <c r="X5392">
        <v>0.86778650000000002</v>
      </c>
      <c r="Y5392">
        <v>0.64536640000000001</v>
      </c>
      <c r="Z5392">
        <v>1.0162890000000001E-2</v>
      </c>
      <c r="AA5392">
        <v>0.76380559999999997</v>
      </c>
      <c r="AB5392">
        <v>27</v>
      </c>
      <c r="AC5392">
        <v>6.0329999999999497</v>
      </c>
      <c r="AD5392">
        <v>-1.049583664956</v>
      </c>
      <c r="AE5392">
        <v>-16.399232999999999</v>
      </c>
      <c r="AF5392">
        <v>11.306599929009399</v>
      </c>
      <c r="AG5392">
        <v>-1.049583664956</v>
      </c>
      <c r="AH5392">
        <v>13.240141429073899</v>
      </c>
      <c r="AI5392">
        <v>93.449788144734001</v>
      </c>
      <c r="AJ5392">
        <v>49.503876469250201</v>
      </c>
      <c r="AK5392">
        <v>17.442539175426798</v>
      </c>
      <c r="AL5392">
        <v>83.803605749956901</v>
      </c>
      <c r="AM5392">
        <v>60.795768136739397</v>
      </c>
      <c r="AN5392">
        <v>1.0000000798967199</v>
      </c>
    </row>
    <row r="5393" spans="1:40" x14ac:dyDescent="0.25">
      <c r="A5393" t="str">
        <f>"20190312164612815"</f>
        <v>20190312164612815</v>
      </c>
      <c r="B5393" t="str">
        <f>"1552380372806480"</f>
        <v>1552380372806480</v>
      </c>
      <c r="C5393" t="s">
        <v>40</v>
      </c>
      <c r="D5393">
        <v>5.2197950000000004</v>
      </c>
      <c r="E5393">
        <v>0.58483580000000002</v>
      </c>
      <c r="F5393" t="s">
        <v>42</v>
      </c>
      <c r="G5393">
        <v>-303.47890000000001</v>
      </c>
      <c r="H5393" s="1">
        <v>-3.521036E-6</v>
      </c>
      <c r="I5393">
        <v>-3.9721700000000002</v>
      </c>
      <c r="J5393">
        <v>-309.5095</v>
      </c>
      <c r="K5393">
        <v>1.049531</v>
      </c>
      <c r="L5393">
        <v>12.66943</v>
      </c>
      <c r="M5393">
        <v>0.86881379999999997</v>
      </c>
      <c r="N5393">
        <v>0</v>
      </c>
      <c r="O5393">
        <v>-0.49490410000000001</v>
      </c>
      <c r="P5393">
        <v>0.51695440000000004</v>
      </c>
      <c r="Q5393">
        <v>0.10597570000000001</v>
      </c>
      <c r="R5393">
        <v>-0.84942770000000001</v>
      </c>
      <c r="S5393">
        <v>1.0685420000000001</v>
      </c>
      <c r="T5393">
        <v>-0.18269659999999999</v>
      </c>
      <c r="U5393">
        <v>-2.908569</v>
      </c>
      <c r="V5393">
        <v>0.48486469999999998</v>
      </c>
      <c r="W5393">
        <v>0.10791729999999999</v>
      </c>
      <c r="X5393">
        <v>0.86790560000000005</v>
      </c>
      <c r="Y5393">
        <v>0.64465919999999999</v>
      </c>
      <c r="Z5393">
        <v>1.0455269999999999E-2</v>
      </c>
      <c r="AA5393">
        <v>0.76439860000000004</v>
      </c>
      <c r="AB5393">
        <v>27</v>
      </c>
      <c r="AC5393">
        <v>6.03059999999999</v>
      </c>
      <c r="AD5393">
        <v>-1.0495345210359901</v>
      </c>
      <c r="AE5393">
        <v>-16.6416</v>
      </c>
      <c r="AF5393">
        <v>11.435014575026001</v>
      </c>
      <c r="AG5393">
        <v>-1.0495345210359901</v>
      </c>
      <c r="AH5393">
        <v>13.4298155972235</v>
      </c>
      <c r="AI5393">
        <v>93.405210652680196</v>
      </c>
      <c r="AJ5393">
        <v>49.586776440337097</v>
      </c>
      <c r="AK5393">
        <v>17.669777248662001</v>
      </c>
      <c r="AL5393">
        <v>83.804729245175494</v>
      </c>
      <c r="AM5393">
        <v>60.809626278767396</v>
      </c>
      <c r="AN5393">
        <v>1.0000000257283601</v>
      </c>
    </row>
    <row r="5394" spans="1:40" x14ac:dyDescent="0.25">
      <c r="A5394" t="str">
        <f>"20190312164612826"</f>
        <v>20190312164612826</v>
      </c>
      <c r="B5394" t="str">
        <f>"1552380372817216"</f>
        <v>1552380372817216</v>
      </c>
      <c r="C5394" t="s">
        <v>40</v>
      </c>
      <c r="D5394">
        <v>4.9540579999999999</v>
      </c>
      <c r="E5394">
        <v>0.58429619999999904</v>
      </c>
      <c r="F5394" t="s">
        <v>42</v>
      </c>
      <c r="G5394">
        <v>-303.35599999999999</v>
      </c>
      <c r="H5394" s="1">
        <v>-3.3171150000000002E-6</v>
      </c>
      <c r="I5394">
        <v>-4.334416</v>
      </c>
      <c r="J5394">
        <v>-309.39</v>
      </c>
      <c r="K5394">
        <v>1.04948</v>
      </c>
      <c r="L5394">
        <v>12.593439999999999</v>
      </c>
      <c r="M5394">
        <v>0.86532589999999998</v>
      </c>
      <c r="N5394">
        <v>0</v>
      </c>
      <c r="O5394">
        <v>-0.50097789999999998</v>
      </c>
      <c r="P5394">
        <v>0.51112000000000002</v>
      </c>
      <c r="Q5394">
        <v>0.10594870000000001</v>
      </c>
      <c r="R5394">
        <v>-0.85295480000000001</v>
      </c>
      <c r="S5394">
        <v>1.0540769999999999</v>
      </c>
      <c r="T5394">
        <v>-0.17978269999999999</v>
      </c>
      <c r="U5394">
        <v>-2.9127200000000002</v>
      </c>
      <c r="V5394">
        <v>0.48474299999999998</v>
      </c>
      <c r="W5394">
        <v>0.1078495</v>
      </c>
      <c r="X5394">
        <v>0.86798199999999903</v>
      </c>
      <c r="Y5394">
        <v>0.64302469999999901</v>
      </c>
      <c r="Z5394">
        <v>1.077908E-2</v>
      </c>
      <c r="AA5394">
        <v>0.76576949999999999</v>
      </c>
      <c r="AB5394">
        <v>27</v>
      </c>
      <c r="AC5394">
        <v>6.03399999999999</v>
      </c>
      <c r="AD5394">
        <v>-1.049483317115</v>
      </c>
      <c r="AE5394">
        <v>-16.927855999999998</v>
      </c>
      <c r="AF5394">
        <v>11.587045668767299</v>
      </c>
      <c r="AG5394">
        <v>-1.049483317115</v>
      </c>
      <c r="AH5394">
        <v>13.656874628157899</v>
      </c>
      <c r="AI5394">
        <v>93.353552151143603</v>
      </c>
      <c r="AJ5394">
        <v>49.687376930355498</v>
      </c>
      <c r="AK5394">
        <v>17.940771086333601</v>
      </c>
      <c r="AL5394">
        <v>83.808636678392801</v>
      </c>
      <c r="AM5394">
        <v>60.817896798933504</v>
      </c>
      <c r="AN5394">
        <v>1.00000002151162</v>
      </c>
    </row>
    <row r="5395" spans="1:40" x14ac:dyDescent="0.25">
      <c r="A5395" t="str">
        <f>"20190312164612837"</f>
        <v>20190312164612837</v>
      </c>
      <c r="B5395" t="str">
        <f>"1552380372826976"</f>
        <v>1552380372826976</v>
      </c>
      <c r="C5395" t="s">
        <v>40</v>
      </c>
      <c r="D5395">
        <v>5.7477330000000002</v>
      </c>
      <c r="E5395">
        <v>0.58355230000000002</v>
      </c>
      <c r="F5395" t="s">
        <v>42</v>
      </c>
      <c r="G5395">
        <v>-303.24880000000002</v>
      </c>
      <c r="H5395" s="1">
        <v>-3.1179950000000001E-6</v>
      </c>
      <c r="I5395">
        <v>-4.6953230000000001</v>
      </c>
      <c r="J5395">
        <v>-309.2808</v>
      </c>
      <c r="K5395">
        <v>1.0494410000000001</v>
      </c>
      <c r="L5395">
        <v>12.522489999999999</v>
      </c>
      <c r="M5395">
        <v>0.86206849999999902</v>
      </c>
      <c r="N5395">
        <v>0</v>
      </c>
      <c r="O5395">
        <v>-0.50656309999999904</v>
      </c>
      <c r="P5395">
        <v>0.50546800000000003</v>
      </c>
      <c r="Q5395">
        <v>0.106403</v>
      </c>
      <c r="R5395">
        <v>-0.85625960000000001</v>
      </c>
      <c r="S5395">
        <v>1.03653</v>
      </c>
      <c r="T5395">
        <v>-0.1771356</v>
      </c>
      <c r="U5395">
        <v>-2.9180600000000001</v>
      </c>
      <c r="V5395">
        <v>0.48483769999999998</v>
      </c>
      <c r="W5395">
        <v>0.10826529999999999</v>
      </c>
      <c r="X5395">
        <v>0.86787739999999902</v>
      </c>
      <c r="Y5395">
        <v>0.64261650000000003</v>
      </c>
      <c r="Z5395">
        <v>1.1025510000000001E-2</v>
      </c>
      <c r="AA5395">
        <v>0.76610859999999903</v>
      </c>
      <c r="AB5395">
        <v>27</v>
      </c>
      <c r="AC5395">
        <v>6.0319999999999796</v>
      </c>
      <c r="AD5395">
        <v>-1.049444117995</v>
      </c>
      <c r="AE5395">
        <v>-17.217813</v>
      </c>
      <c r="AF5395">
        <v>11.749832372949101</v>
      </c>
      <c r="AG5395">
        <v>-1.049444117995</v>
      </c>
      <c r="AH5395">
        <v>13.877599447057399</v>
      </c>
      <c r="AI5395">
        <v>93.3030762815728</v>
      </c>
      <c r="AJ5395">
        <v>49.746206896195403</v>
      </c>
      <c r="AK5395">
        <v>18.213941368143399</v>
      </c>
      <c r="AL5395">
        <v>83.784673116598199</v>
      </c>
      <c r="AM5395">
        <v>60.810192111854398</v>
      </c>
      <c r="AN5395">
        <v>1.0000000759780601</v>
      </c>
    </row>
    <row r="5396" spans="1:40" x14ac:dyDescent="0.25">
      <c r="A5396" t="str">
        <f>"20190312164612849"</f>
        <v>20190312164612849</v>
      </c>
      <c r="B5396" t="str">
        <f>"1552380372846495"</f>
        <v>1552380372846495</v>
      </c>
      <c r="C5396" t="s">
        <v>40</v>
      </c>
      <c r="D5396">
        <v>5.255026</v>
      </c>
      <c r="E5396">
        <v>0.58268679999999995</v>
      </c>
      <c r="F5396" t="s">
        <v>42</v>
      </c>
      <c r="G5396">
        <v>-303.23590000000002</v>
      </c>
      <c r="H5396" s="1">
        <v>-3.0898469999999999E-6</v>
      </c>
      <c r="I5396">
        <v>-4.747611</v>
      </c>
      <c r="J5396">
        <v>-309.16199999999998</v>
      </c>
      <c r="K5396">
        <v>1.049404</v>
      </c>
      <c r="L5396">
        <v>12.44473</v>
      </c>
      <c r="M5396">
        <v>0.85847039999999997</v>
      </c>
      <c r="N5396">
        <v>0</v>
      </c>
      <c r="O5396">
        <v>-0.51263760000000003</v>
      </c>
      <c r="P5396">
        <v>0.49919980000000003</v>
      </c>
      <c r="Q5396">
        <v>0.106847499999999</v>
      </c>
      <c r="R5396">
        <v>-0.85987389999999997</v>
      </c>
      <c r="S5396">
        <v>1.0227360000000001</v>
      </c>
      <c r="T5396">
        <v>-0.17755580000000001</v>
      </c>
      <c r="U5396">
        <v>-2.9219360000000001</v>
      </c>
      <c r="V5396">
        <v>0.4850178</v>
      </c>
      <c r="W5396">
        <v>0.10866729999999999</v>
      </c>
      <c r="X5396">
        <v>0.86772640000000001</v>
      </c>
      <c r="Y5396">
        <v>0.64075039999999905</v>
      </c>
      <c r="Z5396">
        <v>1.1545710000000001E-2</v>
      </c>
      <c r="AA5396">
        <v>0.76766250000000003</v>
      </c>
      <c r="AB5396">
        <v>27</v>
      </c>
      <c r="AC5396">
        <v>5.9261000000000204</v>
      </c>
      <c r="AD5396">
        <v>-1.049407089847</v>
      </c>
      <c r="AE5396">
        <v>-17.192340999999999</v>
      </c>
      <c r="AF5396">
        <v>11.6836218721485</v>
      </c>
      <c r="AG5396">
        <v>-1.049407089847</v>
      </c>
      <c r="AH5396">
        <v>13.856286408366</v>
      </c>
      <c r="AI5396">
        <v>93.313690183514893</v>
      </c>
      <c r="AJ5396">
        <v>49.862410394403497</v>
      </c>
      <c r="AK5396">
        <v>18.1550254288513</v>
      </c>
      <c r="AL5396">
        <v>83.761502896158206</v>
      </c>
      <c r="AM5396">
        <v>60.796885305122302</v>
      </c>
      <c r="AN5396">
        <v>0.99999997683154496</v>
      </c>
    </row>
    <row r="5397" spans="1:40" x14ac:dyDescent="0.25">
      <c r="A5397" t="str">
        <f>"20190312164612862"</f>
        <v>20190312164612862</v>
      </c>
      <c r="B5397" t="str">
        <f>"1552380372857232"</f>
        <v>1552380372857232</v>
      </c>
      <c r="C5397" t="s">
        <v>40</v>
      </c>
      <c r="D5397">
        <v>5.5374040000000004</v>
      </c>
      <c r="E5397">
        <v>0.58272869999999999</v>
      </c>
      <c r="F5397" t="s">
        <v>42</v>
      </c>
      <c r="G5397">
        <v>-303.41860000000003</v>
      </c>
      <c r="H5397" s="1">
        <v>-3.3901029999999998E-6</v>
      </c>
      <c r="I5397">
        <v>-4.2152289999999999</v>
      </c>
      <c r="J5397">
        <v>-309.0292</v>
      </c>
      <c r="K5397">
        <v>1.0493709999999901</v>
      </c>
      <c r="L5397">
        <v>12.355650000000001</v>
      </c>
      <c r="M5397">
        <v>0.85435309999999898</v>
      </c>
      <c r="N5397">
        <v>0</v>
      </c>
      <c r="O5397">
        <v>-0.51947089999999996</v>
      </c>
      <c r="P5397">
        <v>0.49172349999999998</v>
      </c>
      <c r="Q5397">
        <v>0.1069103</v>
      </c>
      <c r="R5397">
        <v>-0.86416360000000003</v>
      </c>
      <c r="S5397">
        <v>1.008759</v>
      </c>
      <c r="T5397">
        <v>-0.18431539999999999</v>
      </c>
      <c r="U5397">
        <v>-2.9261170000000001</v>
      </c>
      <c r="V5397">
        <v>0.4856202</v>
      </c>
      <c r="W5397">
        <v>0.1086786</v>
      </c>
      <c r="X5397">
        <v>0.86738799999999905</v>
      </c>
      <c r="Y5397">
        <v>0.63822950000000001</v>
      </c>
      <c r="Z5397">
        <v>1.2576250000000001E-2</v>
      </c>
      <c r="AA5397">
        <v>0.76974339999999997</v>
      </c>
      <c r="AB5397">
        <v>27</v>
      </c>
      <c r="AC5397">
        <v>5.6105999999999696</v>
      </c>
      <c r="AD5397">
        <v>-1.0493743901029999</v>
      </c>
      <c r="AE5397">
        <v>-16.570879000000001</v>
      </c>
      <c r="AF5397">
        <v>11.2038268182037</v>
      </c>
      <c r="AG5397">
        <v>-1.0493743901029999</v>
      </c>
      <c r="AH5397">
        <v>13.355020904561</v>
      </c>
      <c r="AI5397">
        <v>93.444899935269802</v>
      </c>
      <c r="AJ5397">
        <v>50.005957899454799</v>
      </c>
      <c r="AK5397">
        <v>17.463776949565201</v>
      </c>
      <c r="AL5397">
        <v>83.760851614173106</v>
      </c>
      <c r="AM5397">
        <v>60.7570614734516</v>
      </c>
      <c r="AN5397">
        <v>0.99999997964499898</v>
      </c>
    </row>
    <row r="5398" spans="1:40" x14ac:dyDescent="0.25">
      <c r="A5398" t="str">
        <f>"20190312164612876"</f>
        <v>20190312164612876</v>
      </c>
      <c r="B5398" t="str">
        <f>"1552380372866992"</f>
        <v>1552380372866992</v>
      </c>
      <c r="C5398" t="s">
        <v>40</v>
      </c>
      <c r="D5398">
        <v>5.8169259999999996</v>
      </c>
      <c r="E5398">
        <v>0.58219339999999997</v>
      </c>
      <c r="F5398" t="s">
        <v>42</v>
      </c>
      <c r="G5398">
        <v>-303.55130000000003</v>
      </c>
      <c r="H5398" s="1">
        <v>-3.5379679999999998E-6</v>
      </c>
      <c r="I5398">
        <v>-3.9771079999999999</v>
      </c>
      <c r="J5398">
        <v>-308.8861</v>
      </c>
      <c r="K5398">
        <v>1.0493380000000001</v>
      </c>
      <c r="L5398">
        <v>12.258240000000001</v>
      </c>
      <c r="M5398">
        <v>0.84982569999999902</v>
      </c>
      <c r="N5398">
        <v>0</v>
      </c>
      <c r="O5398">
        <v>-0.52684529999999996</v>
      </c>
      <c r="P5398">
        <v>0.48437029999999998</v>
      </c>
      <c r="Q5398">
        <v>0.1069475</v>
      </c>
      <c r="R5398">
        <v>-0.86830169999999995</v>
      </c>
      <c r="S5398">
        <v>0.98431400000000002</v>
      </c>
      <c r="T5398">
        <v>-0.1885588</v>
      </c>
      <c r="U5398">
        <v>-2.9347840000000001</v>
      </c>
      <c r="V5398">
        <v>0.48547679999999999</v>
      </c>
      <c r="W5398">
        <v>0.10868999999999999</v>
      </c>
      <c r="X5398">
        <v>0.86746690000000004</v>
      </c>
      <c r="Y5398">
        <v>0.63801439999999998</v>
      </c>
      <c r="Z5398">
        <v>1.341992E-2</v>
      </c>
      <c r="AA5398">
        <v>0.76990749999999997</v>
      </c>
      <c r="AB5398">
        <v>27</v>
      </c>
      <c r="AC5398">
        <v>5.3347999999999702</v>
      </c>
      <c r="AD5398">
        <v>-1.04934153796799</v>
      </c>
      <c r="AE5398">
        <v>-16.235347999999998</v>
      </c>
      <c r="AF5398">
        <v>10.946594568478</v>
      </c>
      <c r="AG5398">
        <v>-1.04934153796799</v>
      </c>
      <c r="AH5398">
        <v>13.0395107355814</v>
      </c>
      <c r="AI5398">
        <v>93.5269453994879</v>
      </c>
      <c r="AJ5398">
        <v>49.986733759500702</v>
      </c>
      <c r="AK5398">
        <v>17.0574878142498</v>
      </c>
      <c r="AL5398">
        <v>83.760194871857294</v>
      </c>
      <c r="AM5398">
        <v>60.766494861945297</v>
      </c>
      <c r="AN5398">
        <v>1.0000000310169199</v>
      </c>
    </row>
    <row r="5399" spans="1:40" x14ac:dyDescent="0.25">
      <c r="A5399" t="str">
        <f>"20190312164612892"</f>
        <v>20190312164612892</v>
      </c>
      <c r="B5399" t="str">
        <f>"1552380372886511"</f>
        <v>1552380372886511</v>
      </c>
      <c r="C5399" t="s">
        <v>40</v>
      </c>
      <c r="D5399">
        <v>5.3646430000000001</v>
      </c>
      <c r="E5399">
        <v>0.5811016</v>
      </c>
      <c r="F5399" t="s">
        <v>42</v>
      </c>
      <c r="G5399">
        <v>-303.54590000000002</v>
      </c>
      <c r="H5399" s="1">
        <v>-3.5057659999999999E-6</v>
      </c>
      <c r="I5399">
        <v>-4.0421899999999997</v>
      </c>
      <c r="J5399">
        <v>-308.73579999999998</v>
      </c>
      <c r="K5399">
        <v>1.0493079999999999</v>
      </c>
      <c r="L5399">
        <v>12.15405</v>
      </c>
      <c r="M5399">
        <v>0.84496309999999997</v>
      </c>
      <c r="N5399">
        <v>0</v>
      </c>
      <c r="O5399">
        <v>-0.53460949999999996</v>
      </c>
      <c r="P5399">
        <v>0.47698370000000001</v>
      </c>
      <c r="Q5399">
        <v>0.106498</v>
      </c>
      <c r="R5399">
        <v>-0.872436199999999</v>
      </c>
      <c r="S5399">
        <v>0.96347050000000001</v>
      </c>
      <c r="T5399">
        <v>-0.18931780000000001</v>
      </c>
      <c r="U5399">
        <v>-2.9408569999999998</v>
      </c>
      <c r="V5399">
        <v>0.48492829999999898</v>
      </c>
      <c r="W5399">
        <v>0.108233</v>
      </c>
      <c r="X5399">
        <v>0.86783080000000001</v>
      </c>
      <c r="Y5399">
        <v>0.63636459999999995</v>
      </c>
      <c r="Z5399">
        <v>1.4121119999999999E-2</v>
      </c>
      <c r="AA5399">
        <v>0.77125909999999998</v>
      </c>
      <c r="AB5399">
        <v>26</v>
      </c>
      <c r="AC5399">
        <v>5.1898999999999598</v>
      </c>
      <c r="AD5399">
        <v>-1.0493115057660001</v>
      </c>
      <c r="AE5399">
        <v>-16.19624</v>
      </c>
      <c r="AF5399">
        <v>10.870531353022001</v>
      </c>
      <c r="AG5399">
        <v>-1.0493115057660001</v>
      </c>
      <c r="AH5399">
        <v>12.995968647871001</v>
      </c>
      <c r="AI5399">
        <v>93.543917701458</v>
      </c>
      <c r="AJ5399">
        <v>50.089065194655198</v>
      </c>
      <c r="AK5399">
        <v>16.975414799928</v>
      </c>
      <c r="AL5399">
        <v>83.786534659024596</v>
      </c>
      <c r="AM5399">
        <v>60.804323689127202</v>
      </c>
      <c r="AN5399">
        <v>1.00000006792926</v>
      </c>
    </row>
    <row r="5400" spans="1:40" x14ac:dyDescent="0.25">
      <c r="A5400" t="str">
        <f>"20190312164612905"</f>
        <v>20190312164612905</v>
      </c>
      <c r="B5400" t="str">
        <f>"1552380372897248"</f>
        <v>1552380372897248</v>
      </c>
      <c r="C5400" t="s">
        <v>40</v>
      </c>
      <c r="D5400">
        <v>5.2971979999999999</v>
      </c>
      <c r="E5400">
        <v>0.58042729999999998</v>
      </c>
      <c r="F5400" t="s">
        <v>42</v>
      </c>
      <c r="G5400">
        <v>-303.52359999999999</v>
      </c>
      <c r="H5400" s="1">
        <v>-3.482864E-6</v>
      </c>
      <c r="I5400">
        <v>-4.0780839999999996</v>
      </c>
      <c r="J5400">
        <v>-308.60120000000001</v>
      </c>
      <c r="K5400">
        <v>1.0492779999999999</v>
      </c>
      <c r="L5400">
        <v>12.058870000000001</v>
      </c>
      <c r="M5400">
        <v>0.8405106</v>
      </c>
      <c r="N5400">
        <v>0</v>
      </c>
      <c r="O5400">
        <v>-0.54158329999999999</v>
      </c>
      <c r="P5400">
        <v>0.47060279999999999</v>
      </c>
      <c r="Q5400">
        <v>0.1063553</v>
      </c>
      <c r="R5400">
        <v>-0.87591209999999997</v>
      </c>
      <c r="S5400">
        <v>0.94561770000000001</v>
      </c>
      <c r="T5400">
        <v>-0.19036939999999999</v>
      </c>
      <c r="U5400">
        <v>-2.9448850000000002</v>
      </c>
      <c r="V5400">
        <v>0.48409269999999999</v>
      </c>
      <c r="W5400">
        <v>0.1081008</v>
      </c>
      <c r="X5400">
        <v>0.86831360000000002</v>
      </c>
      <c r="Y5400">
        <v>0.63453130000000002</v>
      </c>
      <c r="Z5400">
        <v>1.480325E-2</v>
      </c>
      <c r="AA5400">
        <v>0.77275539999999998</v>
      </c>
      <c r="AB5400">
        <v>26</v>
      </c>
      <c r="AC5400">
        <v>5.0776000000000101</v>
      </c>
      <c r="AD5400">
        <v>-1.049281482864</v>
      </c>
      <c r="AE5400">
        <v>-16.136953999999999</v>
      </c>
      <c r="AF5400">
        <v>10.773132440978101</v>
      </c>
      <c r="AG5400">
        <v>-1.049281482864</v>
      </c>
      <c r="AH5400">
        <v>12.958919032650201</v>
      </c>
      <c r="AI5400">
        <v>93.562868552109506</v>
      </c>
      <c r="AJ5400">
        <v>50.262251151929803</v>
      </c>
      <c r="AK5400">
        <v>16.8847551571209</v>
      </c>
      <c r="AL5400">
        <v>83.794153544246896</v>
      </c>
      <c r="AM5400">
        <v>60.859937231894101</v>
      </c>
      <c r="AN5400">
        <v>1.00000001654944</v>
      </c>
    </row>
    <row r="5401" spans="1:40" x14ac:dyDescent="0.25">
      <c r="A5401" t="str">
        <f>"20190312164612921"</f>
        <v>20190312164612921</v>
      </c>
      <c r="B5401" t="str">
        <f>"1552380372916771"</f>
        <v>1552380372916771</v>
      </c>
      <c r="C5401" t="s">
        <v>40</v>
      </c>
      <c r="D5401">
        <v>5.3520629999999896</v>
      </c>
      <c r="E5401">
        <v>0.57945939999999996</v>
      </c>
      <c r="F5401" t="s">
        <v>42</v>
      </c>
      <c r="G5401">
        <v>-303.47879999999998</v>
      </c>
      <c r="H5401" s="1">
        <v>-3.402976E-6</v>
      </c>
      <c r="I5401">
        <v>-4.221895</v>
      </c>
      <c r="J5401">
        <v>-308.45119999999997</v>
      </c>
      <c r="K5401">
        <v>1.0492619999999999</v>
      </c>
      <c r="L5401">
        <v>11.950559999999999</v>
      </c>
      <c r="M5401">
        <v>0.83543699999999999</v>
      </c>
      <c r="N5401">
        <v>0</v>
      </c>
      <c r="O5401">
        <v>-0.54937769999999997</v>
      </c>
      <c r="P5401">
        <v>0.46432580000000001</v>
      </c>
      <c r="Q5401">
        <v>0.10582179999999999</v>
      </c>
      <c r="R5401">
        <v>-0.87932009999999905</v>
      </c>
      <c r="S5401">
        <v>0.92800899999999997</v>
      </c>
      <c r="T5401">
        <v>-0.1900944</v>
      </c>
      <c r="U5401">
        <v>-2.9495239999999998</v>
      </c>
      <c r="V5401">
        <v>0.48226459999999999</v>
      </c>
      <c r="W5401">
        <v>0.1076135</v>
      </c>
      <c r="X5401">
        <v>0.86939069999999996</v>
      </c>
      <c r="Y5401">
        <v>0.63189669999999998</v>
      </c>
      <c r="Z5401">
        <v>1.5474689999999999E-2</v>
      </c>
      <c r="AA5401">
        <v>0.77489809999999903</v>
      </c>
      <c r="AB5401">
        <v>26</v>
      </c>
      <c r="AC5401">
        <v>4.9723999999999897</v>
      </c>
      <c r="AD5401">
        <v>-1.049265402976</v>
      </c>
      <c r="AE5401">
        <v>-16.172454999999999</v>
      </c>
      <c r="AF5401">
        <v>10.7392754900595</v>
      </c>
      <c r="AG5401">
        <v>-1.049265402976</v>
      </c>
      <c r="AH5401">
        <v>12.990448265388</v>
      </c>
      <c r="AI5401">
        <v>93.562252269453495</v>
      </c>
      <c r="AJ5401">
        <v>50.419272360558303</v>
      </c>
      <c r="AK5401">
        <v>16.887413717706899</v>
      </c>
      <c r="AL5401">
        <v>83.822237502954707</v>
      </c>
      <c r="AM5401">
        <v>60.982183655180798</v>
      </c>
      <c r="AN5401">
        <v>0.99999999952094898</v>
      </c>
    </row>
    <row r="5402" spans="1:40" x14ac:dyDescent="0.25">
      <c r="A5402" t="str">
        <f>"20190312164612933"</f>
        <v>20190312164612933</v>
      </c>
      <c r="B5402" t="str">
        <f>"1552380372926528"</f>
        <v>1552380372926528</v>
      </c>
      <c r="C5402" t="s">
        <v>40</v>
      </c>
      <c r="D5402">
        <v>5.1816849999999999</v>
      </c>
      <c r="E5402">
        <v>0.57945939999999996</v>
      </c>
      <c r="F5402" t="s">
        <v>42</v>
      </c>
      <c r="G5402">
        <v>-303.613</v>
      </c>
      <c r="H5402" s="1">
        <v>-3.6595369999999998E-6</v>
      </c>
      <c r="I5402">
        <v>-3.6890320000000001</v>
      </c>
      <c r="J5402">
        <v>-308.33390000000003</v>
      </c>
      <c r="K5402">
        <v>1.0492549999999901</v>
      </c>
      <c r="L5402">
        <v>11.864750000000001</v>
      </c>
      <c r="M5402">
        <v>0.83139909999999995</v>
      </c>
      <c r="N5402">
        <v>0</v>
      </c>
      <c r="O5402">
        <v>-0.55546980000000001</v>
      </c>
      <c r="P5402">
        <v>0.45873770000000003</v>
      </c>
      <c r="Q5402">
        <v>0.105799</v>
      </c>
      <c r="R5402">
        <v>-0.88225089999999995</v>
      </c>
      <c r="S5402">
        <v>0.9135742</v>
      </c>
      <c r="T5402">
        <v>-0.1981282</v>
      </c>
      <c r="U5402">
        <v>-2.9531559999999999</v>
      </c>
      <c r="V5402">
        <v>0.4814253</v>
      </c>
      <c r="W5402">
        <v>0.1076097</v>
      </c>
      <c r="X5402">
        <v>0.86985619999999997</v>
      </c>
      <c r="Y5402">
        <v>0.62994640000000002</v>
      </c>
      <c r="Z5402">
        <v>1.668859E-2</v>
      </c>
      <c r="AA5402">
        <v>0.77645929999999996</v>
      </c>
      <c r="AB5402">
        <v>26</v>
      </c>
      <c r="AC5402">
        <v>4.7209000000000199</v>
      </c>
      <c r="AD5402">
        <v>-1.0492586595369999</v>
      </c>
      <c r="AE5402">
        <v>-15.553782</v>
      </c>
      <c r="AF5402">
        <v>10.2674784221111</v>
      </c>
      <c r="AG5402">
        <v>-1.0492586595369999</v>
      </c>
      <c r="AH5402">
        <v>12.5139009680016</v>
      </c>
      <c r="AI5402">
        <v>93.708786028311096</v>
      </c>
      <c r="AJ5402">
        <v>50.6316069899448</v>
      </c>
      <c r="AK5402">
        <v>16.220967120368702</v>
      </c>
      <c r="AL5402">
        <v>83.822456426220995</v>
      </c>
      <c r="AM5402">
        <v>61.037494306749799</v>
      </c>
      <c r="AN5402">
        <v>0.99999998784630995</v>
      </c>
    </row>
    <row r="5403" spans="1:40" x14ac:dyDescent="0.25">
      <c r="A5403" t="str">
        <f>"20190312164612945"</f>
        <v>20190312164612945</v>
      </c>
      <c r="B5403" t="str">
        <f>"1552380372937263"</f>
        <v>1552380372937263</v>
      </c>
      <c r="C5403" t="s">
        <v>40</v>
      </c>
      <c r="D5403">
        <v>5.3810120000000001</v>
      </c>
      <c r="E5403">
        <v>0.57909480000000002</v>
      </c>
      <c r="F5403" t="s">
        <v>42</v>
      </c>
      <c r="G5403">
        <v>-303.59660000000002</v>
      </c>
      <c r="H5403" s="1">
        <v>-3.6158429999999999E-6</v>
      </c>
      <c r="I5403">
        <v>-3.7952689999999998</v>
      </c>
      <c r="J5403">
        <v>-308.21559999999999</v>
      </c>
      <c r="K5403">
        <v>1.0492490000000001</v>
      </c>
      <c r="L5403">
        <v>11.776579999999999</v>
      </c>
      <c r="M5403">
        <v>0.82724709999999901</v>
      </c>
      <c r="N5403">
        <v>0</v>
      </c>
      <c r="O5403">
        <v>-0.56163469999999904</v>
      </c>
      <c r="P5403">
        <v>0.4527989</v>
      </c>
      <c r="Q5403">
        <v>0.10574169999999999</v>
      </c>
      <c r="R5403">
        <v>-0.88532029999999995</v>
      </c>
      <c r="S5403">
        <v>0.89505000000000001</v>
      </c>
      <c r="T5403">
        <v>-0.1982448</v>
      </c>
      <c r="U5403">
        <v>-2.958771</v>
      </c>
      <c r="V5403">
        <v>0.48080699999999998</v>
      </c>
      <c r="W5403">
        <v>0.1075665</v>
      </c>
      <c r="X5403">
        <v>0.87020350000000002</v>
      </c>
      <c r="Y5403">
        <v>0.62904369999999998</v>
      </c>
      <c r="Z5403">
        <v>1.7222299999999999E-2</v>
      </c>
      <c r="AA5403">
        <v>0.77717910000000001</v>
      </c>
      <c r="AB5403">
        <v>26</v>
      </c>
      <c r="AC5403">
        <v>4.6189999999999696</v>
      </c>
      <c r="AD5403">
        <v>-1.04925261584299</v>
      </c>
      <c r="AE5403">
        <v>-15.571848999999901</v>
      </c>
      <c r="AF5403">
        <v>10.2459955129217</v>
      </c>
      <c r="AG5403">
        <v>-1.04925261584299</v>
      </c>
      <c r="AH5403">
        <v>12.515952326531</v>
      </c>
      <c r="AI5403">
        <v>93.711515590761394</v>
      </c>
      <c r="AJ5403">
        <v>50.695046126220703</v>
      </c>
      <c r="AK5403">
        <v>16.2089610321779</v>
      </c>
      <c r="AL5403">
        <v>83.824946299365195</v>
      </c>
      <c r="AM5403">
        <v>61.078362675262603</v>
      </c>
      <c r="AN5403">
        <v>1.00000002729174</v>
      </c>
    </row>
    <row r="5404" spans="1:40" x14ac:dyDescent="0.25">
      <c r="A5404" t="str">
        <f>"20190312164612956"</f>
        <v>20190312164612956</v>
      </c>
      <c r="B5404" t="str">
        <f>"1552380372947024"</f>
        <v>1552380372947024</v>
      </c>
      <c r="C5404" t="s">
        <v>40</v>
      </c>
      <c r="D5404">
        <v>5.2921040000000001</v>
      </c>
      <c r="E5404">
        <v>0.57855000000000001</v>
      </c>
      <c r="F5404" t="s">
        <v>42</v>
      </c>
      <c r="G5404">
        <v>-303.62790000000001</v>
      </c>
      <c r="H5404" s="1">
        <v>-3.6572299999999999E-6</v>
      </c>
      <c r="I5404">
        <v>-3.7019250000000001</v>
      </c>
      <c r="J5404">
        <v>-308.10309999999998</v>
      </c>
      <c r="K5404">
        <v>1.049239</v>
      </c>
      <c r="L5404">
        <v>11.69135</v>
      </c>
      <c r="M5404">
        <v>0.8232294</v>
      </c>
      <c r="N5404">
        <v>0</v>
      </c>
      <c r="O5404">
        <v>-0.56750749999999905</v>
      </c>
      <c r="P5404">
        <v>0.44755440000000002</v>
      </c>
      <c r="Q5404">
        <v>0.1057834</v>
      </c>
      <c r="R5404">
        <v>-0.88797809999999899</v>
      </c>
      <c r="S5404">
        <v>0.87832639999999995</v>
      </c>
      <c r="T5404">
        <v>-0.2008827</v>
      </c>
      <c r="U5404">
        <v>-2.963409</v>
      </c>
      <c r="V5404">
        <v>0.47975580000000001</v>
      </c>
      <c r="W5404">
        <v>0.1076367</v>
      </c>
      <c r="X5404">
        <v>0.87077479999999996</v>
      </c>
      <c r="Y5404">
        <v>0.62787709999999997</v>
      </c>
      <c r="Z5404">
        <v>1.7971259999999999E-2</v>
      </c>
      <c r="AA5404">
        <v>0.77810500000000005</v>
      </c>
      <c r="AB5404">
        <v>26</v>
      </c>
      <c r="AC5404">
        <v>4.4751999999999699</v>
      </c>
      <c r="AD5404">
        <v>-1.04924265723</v>
      </c>
      <c r="AE5404">
        <v>-15.393274999999999</v>
      </c>
      <c r="AF5404">
        <v>10.0904176803471</v>
      </c>
      <c r="AG5404">
        <v>-1.04924265723</v>
      </c>
      <c r="AH5404">
        <v>12.3683487008244</v>
      </c>
      <c r="AI5404">
        <v>93.760805305914303</v>
      </c>
      <c r="AJ5404">
        <v>50.791547660521701</v>
      </c>
      <c r="AK5404">
        <v>15.9966711756789</v>
      </c>
      <c r="AL5404">
        <v>83.820900599161902</v>
      </c>
      <c r="AM5404">
        <v>61.147311041425297</v>
      </c>
      <c r="AN5404">
        <v>1.0000000195677801</v>
      </c>
    </row>
    <row r="5405" spans="1:40" x14ac:dyDescent="0.25">
      <c r="A5405" t="str">
        <f>"20190312164612970"</f>
        <v>20190312164612970</v>
      </c>
      <c r="B5405" t="str">
        <f>"1552380372966544"</f>
        <v>1552380372966544</v>
      </c>
      <c r="C5405" t="s">
        <v>40</v>
      </c>
      <c r="D5405">
        <v>5.3515319999999997</v>
      </c>
      <c r="E5405">
        <v>0.57751799999999998</v>
      </c>
      <c r="F5405" t="s">
        <v>42</v>
      </c>
      <c r="G5405">
        <v>-303.64299999999997</v>
      </c>
      <c r="H5405" s="1">
        <v>-3.6977019999999998E-6</v>
      </c>
      <c r="I5405">
        <v>-3.6035059999999999</v>
      </c>
      <c r="J5405">
        <v>-307.97590000000002</v>
      </c>
      <c r="K5405">
        <v>1.049229</v>
      </c>
      <c r="L5405">
        <v>11.593870000000001</v>
      </c>
      <c r="M5405">
        <v>0.81861240000000002</v>
      </c>
      <c r="N5405">
        <v>0</v>
      </c>
      <c r="O5405">
        <v>-0.57414759999999998</v>
      </c>
      <c r="P5405">
        <v>0.44145459999999898</v>
      </c>
      <c r="Q5405">
        <v>0.105402</v>
      </c>
      <c r="R5405">
        <v>-0.89107130000000001</v>
      </c>
      <c r="S5405">
        <v>0.86511229999999995</v>
      </c>
      <c r="T5405">
        <v>-0.203517</v>
      </c>
      <c r="U5405">
        <v>-2.966675</v>
      </c>
      <c r="V5405">
        <v>0.478709</v>
      </c>
      <c r="W5405">
        <v>0.1072859</v>
      </c>
      <c r="X5405">
        <v>0.871394</v>
      </c>
      <c r="Y5405">
        <v>0.62500849999999997</v>
      </c>
      <c r="Z5405">
        <v>1.8864840000000001E-2</v>
      </c>
      <c r="AA5405">
        <v>0.78038999999999903</v>
      </c>
      <c r="AB5405">
        <v>26</v>
      </c>
      <c r="AC5405">
        <v>4.3329000000000502</v>
      </c>
      <c r="AD5405">
        <v>-1.0492326977019999</v>
      </c>
      <c r="AE5405">
        <v>-15.197375999999901</v>
      </c>
      <c r="AF5405">
        <v>9.9104846764143701</v>
      </c>
      <c r="AG5405">
        <v>-1.0492326977019999</v>
      </c>
      <c r="AH5405">
        <v>12.220034718606501</v>
      </c>
      <c r="AI5405">
        <v>93.815250820292107</v>
      </c>
      <c r="AJ5405">
        <v>50.957844262183002</v>
      </c>
      <c r="AK5405">
        <v>15.7685714095894</v>
      </c>
      <c r="AL5405">
        <v>83.841117134801195</v>
      </c>
      <c r="AM5405">
        <v>61.217367273723497</v>
      </c>
      <c r="AN5405">
        <v>1.0000000371279001</v>
      </c>
    </row>
    <row r="5406" spans="1:40" x14ac:dyDescent="0.25">
      <c r="A5406" t="str">
        <f>"20190312164612984"</f>
        <v>20190312164612984</v>
      </c>
      <c r="B5406" t="str">
        <f>"1552380372976304"</f>
        <v>1552380372976304</v>
      </c>
      <c r="C5406" t="s">
        <v>40</v>
      </c>
      <c r="D5406">
        <v>5.2153609999999997</v>
      </c>
      <c r="E5406">
        <v>0.57710289999999997</v>
      </c>
      <c r="F5406" t="s">
        <v>42</v>
      </c>
      <c r="G5406">
        <v>-303.71780000000001</v>
      </c>
      <c r="H5406" s="1">
        <v>-3.8530220000000004E-6</v>
      </c>
      <c r="I5406">
        <v>-3.2335980000000002</v>
      </c>
      <c r="J5406">
        <v>-307.84730000000002</v>
      </c>
      <c r="K5406">
        <v>1.049223</v>
      </c>
      <c r="L5406">
        <v>11.493069999999999</v>
      </c>
      <c r="M5406">
        <v>0.81384369999999995</v>
      </c>
      <c r="N5406">
        <v>0</v>
      </c>
      <c r="O5406">
        <v>-0.58088769999999901</v>
      </c>
      <c r="P5406">
        <v>0.43558350000000001</v>
      </c>
      <c r="Q5406">
        <v>0.1050845</v>
      </c>
      <c r="R5406">
        <v>-0.89399329999999999</v>
      </c>
      <c r="S5406">
        <v>0.85266109999999995</v>
      </c>
      <c r="T5406">
        <v>-0.21010509999999999</v>
      </c>
      <c r="U5406">
        <v>-2.969147</v>
      </c>
      <c r="V5406">
        <v>0.47726489999999999</v>
      </c>
      <c r="W5406">
        <v>0.10701090000000001</v>
      </c>
      <c r="X5406">
        <v>0.87221959999999998</v>
      </c>
      <c r="Y5406">
        <v>0.62175209999999903</v>
      </c>
      <c r="Z5406">
        <v>2.018093E-2</v>
      </c>
      <c r="AA5406">
        <v>0.78295400000000004</v>
      </c>
      <c r="AB5406">
        <v>26</v>
      </c>
      <c r="AC5406">
        <v>4.1295000000000002</v>
      </c>
      <c r="AD5406">
        <v>-1.0492268530219999</v>
      </c>
      <c r="AE5406">
        <v>-14.726668</v>
      </c>
      <c r="AF5406">
        <v>9.5426147153615695</v>
      </c>
      <c r="AG5406">
        <v>-1.0492268530219999</v>
      </c>
      <c r="AH5406">
        <v>11.860848050381099</v>
      </c>
      <c r="AI5406">
        <v>93.942794160060004</v>
      </c>
      <c r="AJ5406">
        <v>51.181673019174902</v>
      </c>
      <c r="AK5406">
        <v>15.259164101259501</v>
      </c>
      <c r="AL5406">
        <v>83.856964935220105</v>
      </c>
      <c r="AM5406">
        <v>61.313212111095901</v>
      </c>
      <c r="AN5406">
        <v>1.0000000740574799</v>
      </c>
    </row>
    <row r="5407" spans="1:40" x14ac:dyDescent="0.25">
      <c r="A5407" t="str">
        <f>"20190312164613001"</f>
        <v>20190312164613001</v>
      </c>
      <c r="B5407" t="str">
        <f>"1552380372996800"</f>
        <v>1552380372996800</v>
      </c>
      <c r="C5407" t="s">
        <v>40</v>
      </c>
      <c r="D5407">
        <v>5.7823159999999998</v>
      </c>
      <c r="E5407">
        <v>0.57590620000000003</v>
      </c>
      <c r="F5407" t="s">
        <v>42</v>
      </c>
      <c r="G5407">
        <v>-303.7801</v>
      </c>
      <c r="H5407" s="1">
        <v>-3.9642780000000001E-6</v>
      </c>
      <c r="I5407">
        <v>-2.9726530000000002</v>
      </c>
      <c r="J5407">
        <v>-307.6823</v>
      </c>
      <c r="K5407">
        <v>1.0492220000000001</v>
      </c>
      <c r="L5407">
        <v>11.361510000000001</v>
      </c>
      <c r="M5407">
        <v>0.8075985</v>
      </c>
      <c r="N5407">
        <v>0</v>
      </c>
      <c r="O5407">
        <v>-0.58953940000000005</v>
      </c>
      <c r="P5407">
        <v>0.42880190000000001</v>
      </c>
      <c r="Q5407">
        <v>0.10466</v>
      </c>
      <c r="R5407">
        <v>-0.89731550000000004</v>
      </c>
      <c r="S5407">
        <v>0.83609009999999995</v>
      </c>
      <c r="T5407">
        <v>-0.21568999999999999</v>
      </c>
      <c r="U5407">
        <v>-2.9737239999999998</v>
      </c>
      <c r="V5407">
        <v>0.47458420000000001</v>
      </c>
      <c r="W5407">
        <v>0.1066681</v>
      </c>
      <c r="X5407">
        <v>0.87372289999999997</v>
      </c>
      <c r="Y5407">
        <v>0.61775089999999999</v>
      </c>
      <c r="Z5407">
        <v>2.163197E-2</v>
      </c>
      <c r="AA5407">
        <v>0.7860762</v>
      </c>
      <c r="AB5407">
        <v>26</v>
      </c>
      <c r="AC5407">
        <v>3.9021999999999899</v>
      </c>
      <c r="AD5407">
        <v>-1.049225964278</v>
      </c>
      <c r="AE5407">
        <v>-14.334163</v>
      </c>
      <c r="AF5407">
        <v>9.2307603376603993</v>
      </c>
      <c r="AG5407">
        <v>-1.049225964278</v>
      </c>
      <c r="AH5407">
        <v>11.545694972255699</v>
      </c>
      <c r="AI5407">
        <v>94.060020646456607</v>
      </c>
      <c r="AJ5407">
        <v>51.357733235087899</v>
      </c>
      <c r="AK5407">
        <v>14.819274068854</v>
      </c>
      <c r="AL5407">
        <v>83.876718392360402</v>
      </c>
      <c r="AM5407">
        <v>61.490308669919699</v>
      </c>
      <c r="AN5407">
        <v>0.99999997621582903</v>
      </c>
    </row>
    <row r="5408" spans="1:40" x14ac:dyDescent="0.25">
      <c r="A5408" t="str">
        <f>"20190312164613019"</f>
        <v>20190312164613019</v>
      </c>
      <c r="B5408" t="str">
        <f>"1552380373006560"</f>
        <v>1552380373006560</v>
      </c>
      <c r="C5408" t="s">
        <v>40</v>
      </c>
      <c r="D5408">
        <v>5.2449599999999998</v>
      </c>
      <c r="E5408">
        <v>0.57525740000000003</v>
      </c>
      <c r="F5408" t="s">
        <v>42</v>
      </c>
      <c r="G5408">
        <v>-303.73869999999999</v>
      </c>
      <c r="H5408" s="1">
        <v>-3.9695699999999997E-6</v>
      </c>
      <c r="I5408">
        <v>-2.9397579999999999</v>
      </c>
      <c r="J5408">
        <v>-307.51710000000003</v>
      </c>
      <c r="K5408">
        <v>1.0492170000000001</v>
      </c>
      <c r="L5408">
        <v>11.226749999999999</v>
      </c>
      <c r="M5408">
        <v>0.80118159999999905</v>
      </c>
      <c r="N5408">
        <v>0</v>
      </c>
      <c r="O5408">
        <v>-0.59823139999999997</v>
      </c>
      <c r="P5408">
        <v>0.42052610000000001</v>
      </c>
      <c r="Q5408">
        <v>0.1047111</v>
      </c>
      <c r="R5408">
        <v>-0.90121790000000002</v>
      </c>
      <c r="S5408">
        <v>0.8208008</v>
      </c>
      <c r="T5408">
        <v>-0.21837819999999999</v>
      </c>
      <c r="U5408">
        <v>-2.9765630000000001</v>
      </c>
      <c r="V5408">
        <v>0.47317749999999997</v>
      </c>
      <c r="W5408">
        <v>0.1067587</v>
      </c>
      <c r="X5408">
        <v>0.87447450000000004</v>
      </c>
      <c r="Y5408">
        <v>0.61320079999999999</v>
      </c>
      <c r="Z5408">
        <v>2.2863029999999999E-2</v>
      </c>
      <c r="AA5408">
        <v>0.78959609999999902</v>
      </c>
      <c r="AB5408">
        <v>26</v>
      </c>
      <c r="AC5408">
        <v>3.7784000000000302</v>
      </c>
      <c r="AD5408">
        <v>-1.0492209695700001</v>
      </c>
      <c r="AE5408">
        <v>-14.166507999999901</v>
      </c>
      <c r="AF5408">
        <v>9.0443041145212906</v>
      </c>
      <c r="AG5408">
        <v>-1.0492209695700001</v>
      </c>
      <c r="AH5408">
        <v>11.444731864550301</v>
      </c>
      <c r="AI5408">
        <v>94.114106650778893</v>
      </c>
      <c r="AJ5408">
        <v>51.6821230458307</v>
      </c>
      <c r="AK5408">
        <v>14.624711587254801</v>
      </c>
      <c r="AL5408">
        <v>83.8714977835686</v>
      </c>
      <c r="AM5408">
        <v>61.5822128473975</v>
      </c>
      <c r="AN5408">
        <v>1.0000000088410901</v>
      </c>
    </row>
    <row r="5409" spans="1:40" x14ac:dyDescent="0.25">
      <c r="A5409" t="str">
        <f>"20190312164613034"</f>
        <v>20190312164613034</v>
      </c>
      <c r="B5409" t="str">
        <f>"1552380373027056"</f>
        <v>1552380373027056</v>
      </c>
      <c r="C5409" t="s">
        <v>40</v>
      </c>
      <c r="D5409">
        <v>5.3371469999999999</v>
      </c>
      <c r="E5409">
        <v>0.57403289999999996</v>
      </c>
      <c r="F5409" t="s">
        <v>42</v>
      </c>
      <c r="G5409">
        <v>-303.65159999999997</v>
      </c>
      <c r="H5409" s="1">
        <v>-3.8434920000000003E-6</v>
      </c>
      <c r="I5409">
        <v>-3.2278470000000001</v>
      </c>
      <c r="J5409">
        <v>-307.37139999999999</v>
      </c>
      <c r="K5409">
        <v>1.049218</v>
      </c>
      <c r="L5409">
        <v>11.105560000000001</v>
      </c>
      <c r="M5409">
        <v>0.79538830000000005</v>
      </c>
      <c r="N5409">
        <v>0</v>
      </c>
      <c r="O5409">
        <v>-0.60591260000000002</v>
      </c>
      <c r="P5409">
        <v>0.41420190000000001</v>
      </c>
      <c r="Q5409">
        <v>0.1056665</v>
      </c>
      <c r="R5409">
        <v>-0.90403089999999997</v>
      </c>
      <c r="S5409">
        <v>0.79742429999999997</v>
      </c>
      <c r="T5409">
        <v>-0.21644849999999999</v>
      </c>
      <c r="U5409">
        <v>-2.981903</v>
      </c>
      <c r="V5409">
        <v>0.47081919999999999</v>
      </c>
      <c r="W5409">
        <v>0.1077813</v>
      </c>
      <c r="X5409">
        <v>0.87562119999999999</v>
      </c>
      <c r="Y5409">
        <v>0.61174319999999904</v>
      </c>
      <c r="Z5409">
        <v>2.3402490000000001E-2</v>
      </c>
      <c r="AA5409">
        <v>0.79071020000000003</v>
      </c>
      <c r="AB5409">
        <v>26</v>
      </c>
      <c r="AC5409">
        <v>3.7198000000000202</v>
      </c>
      <c r="AD5409">
        <v>-1.049221843492</v>
      </c>
      <c r="AE5409">
        <v>-14.333406999999999</v>
      </c>
      <c r="AF5409">
        <v>9.1020954252222399</v>
      </c>
      <c r="AG5409">
        <v>-1.049221843492</v>
      </c>
      <c r="AH5409">
        <v>11.586632983721101</v>
      </c>
      <c r="AI5409">
        <v>94.073140310535194</v>
      </c>
      <c r="AJ5409">
        <v>51.847933666132299</v>
      </c>
      <c r="AK5409">
        <v>14.7715629337645</v>
      </c>
      <c r="AL5409">
        <v>83.812567070171198</v>
      </c>
      <c r="AM5409">
        <v>61.733198244467502</v>
      </c>
      <c r="AN5409">
        <v>1.0000000068038799</v>
      </c>
    </row>
    <row r="5410" spans="1:40" x14ac:dyDescent="0.25">
      <c r="A5410" t="str">
        <f>"20190312164613047"</f>
        <v>20190312164613047</v>
      </c>
      <c r="B5410" t="str">
        <f>"1552380373036815"</f>
        <v>1552380373036815</v>
      </c>
      <c r="C5410" t="s">
        <v>40</v>
      </c>
      <c r="D5410">
        <v>5.354088</v>
      </c>
      <c r="E5410">
        <v>0.57362009999999997</v>
      </c>
      <c r="F5410" t="s">
        <v>42</v>
      </c>
      <c r="G5410">
        <v>-303.54759999999999</v>
      </c>
      <c r="H5410" s="1">
        <v>-3.7513960000000001E-6</v>
      </c>
      <c r="I5410">
        <v>-3.4196230000000001</v>
      </c>
      <c r="J5410">
        <v>-307.25110000000001</v>
      </c>
      <c r="K5410">
        <v>1.0492170000000001</v>
      </c>
      <c r="L5410">
        <v>11.003909999999999</v>
      </c>
      <c r="M5410">
        <v>0.79051169999999904</v>
      </c>
      <c r="N5410">
        <v>0</v>
      </c>
      <c r="O5410">
        <v>-0.61226150000000001</v>
      </c>
      <c r="P5410">
        <v>0.4081014</v>
      </c>
      <c r="Q5410">
        <v>0.105818</v>
      </c>
      <c r="R5410">
        <v>-0.90678329999999996</v>
      </c>
      <c r="S5410">
        <v>0.78549190000000002</v>
      </c>
      <c r="T5410">
        <v>-0.21553349999999999</v>
      </c>
      <c r="U5410">
        <v>-2.9837950000000002</v>
      </c>
      <c r="V5410">
        <v>0.46969630000000001</v>
      </c>
      <c r="W5410">
        <v>0.1079619</v>
      </c>
      <c r="X5410">
        <v>0.87620189999999998</v>
      </c>
      <c r="Y5410">
        <v>0.60849880000000001</v>
      </c>
      <c r="Z5410">
        <v>2.3997729999999998E-2</v>
      </c>
      <c r="AA5410">
        <v>0.79319189999999995</v>
      </c>
      <c r="AB5410">
        <v>26</v>
      </c>
      <c r="AC5410">
        <v>3.70350000000002</v>
      </c>
      <c r="AD5410">
        <v>-1.0492207513959999</v>
      </c>
      <c r="AE5410">
        <v>-14.423533000000001</v>
      </c>
      <c r="AF5410">
        <v>9.0903708301840105</v>
      </c>
      <c r="AG5410">
        <v>-1.0492207513959999</v>
      </c>
      <c r="AH5410">
        <v>11.701877353832501</v>
      </c>
      <c r="AI5410">
        <v>94.050232652743901</v>
      </c>
      <c r="AJ5410">
        <v>52.158862840786</v>
      </c>
      <c r="AK5410">
        <v>14.8549533698211</v>
      </c>
      <c r="AL5410">
        <v>83.802159159887907</v>
      </c>
      <c r="AM5410">
        <v>61.806046090722703</v>
      </c>
      <c r="AN5410">
        <v>1.00000007782445</v>
      </c>
    </row>
    <row r="5411" spans="1:40" x14ac:dyDescent="0.25">
      <c r="A5411" t="str">
        <f>"20190312164613066"</f>
        <v>20190312164613066</v>
      </c>
      <c r="B5411" t="str">
        <f>"1552380373056336"</f>
        <v>1552380373056336</v>
      </c>
      <c r="C5411" t="s">
        <v>40</v>
      </c>
      <c r="D5411">
        <v>5.2489290000000004</v>
      </c>
      <c r="E5411">
        <v>0.57277789999999995</v>
      </c>
      <c r="F5411" t="s">
        <v>42</v>
      </c>
      <c r="G5411">
        <v>-303.5222</v>
      </c>
      <c r="H5411" s="1">
        <v>-3.7151109999999999E-6</v>
      </c>
      <c r="I5411">
        <v>-3.5023840000000002</v>
      </c>
      <c r="J5411">
        <v>-307.09129999999999</v>
      </c>
      <c r="K5411">
        <v>1.0492109999999999</v>
      </c>
      <c r="L5411">
        <v>10.86557</v>
      </c>
      <c r="M5411">
        <v>0.78386460000000002</v>
      </c>
      <c r="N5411">
        <v>0</v>
      </c>
      <c r="O5411">
        <v>-0.62074890000000005</v>
      </c>
      <c r="P5411">
        <v>0.40075290000000002</v>
      </c>
      <c r="Q5411">
        <v>0.1074213</v>
      </c>
      <c r="R5411">
        <v>-0.90986690000000003</v>
      </c>
      <c r="S5411">
        <v>0.76806640000000004</v>
      </c>
      <c r="T5411">
        <v>-0.216114</v>
      </c>
      <c r="U5411">
        <v>-2.987946</v>
      </c>
      <c r="V5411">
        <v>0.46722439999999998</v>
      </c>
      <c r="W5411">
        <v>0.1096295</v>
      </c>
      <c r="X5411">
        <v>0.87731569999999903</v>
      </c>
      <c r="Y5411">
        <v>0.60455579999999998</v>
      </c>
      <c r="Z5411">
        <v>2.4967340000000001E-2</v>
      </c>
      <c r="AA5411">
        <v>0.79617139999999997</v>
      </c>
      <c r="AB5411">
        <v>26</v>
      </c>
      <c r="AC5411">
        <v>3.5690999999999899</v>
      </c>
      <c r="AD5411">
        <v>-1.0492147151109901</v>
      </c>
      <c r="AE5411">
        <v>-14.367953999999999</v>
      </c>
      <c r="AF5411">
        <v>9.0028248294338198</v>
      </c>
      <c r="AG5411">
        <v>-1.0492147151109901</v>
      </c>
      <c r="AH5411">
        <v>11.659352308667501</v>
      </c>
      <c r="AI5411">
        <v>94.074112100319098</v>
      </c>
      <c r="AJ5411">
        <v>52.326302583665203</v>
      </c>
      <c r="AK5411">
        <v>14.767945107072499</v>
      </c>
      <c r="AL5411">
        <v>83.706042015015001</v>
      </c>
      <c r="AM5411">
        <v>61.961962010666603</v>
      </c>
      <c r="AN5411">
        <v>1.0000000523460399</v>
      </c>
    </row>
    <row r="5412" spans="1:40" x14ac:dyDescent="0.25">
      <c r="A5412" t="str">
        <f>"20190312164613080"</f>
        <v>20190312164613080</v>
      </c>
      <c r="B5412" t="str">
        <f>"1552380373076832"</f>
        <v>1552380373076832</v>
      </c>
      <c r="C5412" t="s">
        <v>40</v>
      </c>
      <c r="D5412">
        <v>5.3915660000000001</v>
      </c>
      <c r="E5412">
        <v>0.57176359999999904</v>
      </c>
      <c r="F5412" t="s">
        <v>42</v>
      </c>
      <c r="G5412">
        <v>-303.39830000000001</v>
      </c>
      <c r="H5412" s="1">
        <v>-3.5464570000000001E-6</v>
      </c>
      <c r="I5412">
        <v>-3.8730410000000002</v>
      </c>
      <c r="J5412">
        <v>-306.9599</v>
      </c>
      <c r="K5412">
        <v>1.049202</v>
      </c>
      <c r="L5412">
        <v>10.749420000000001</v>
      </c>
      <c r="M5412">
        <v>0.77826079999999997</v>
      </c>
      <c r="N5412">
        <v>0</v>
      </c>
      <c r="O5412">
        <v>-0.62776030000000005</v>
      </c>
      <c r="P5412">
        <v>0.39368389999999998</v>
      </c>
      <c r="Q5412">
        <v>0.1080551</v>
      </c>
      <c r="R5412">
        <v>-0.91287320000000005</v>
      </c>
      <c r="S5412">
        <v>0.74972530000000004</v>
      </c>
      <c r="T5412">
        <v>-0.213004</v>
      </c>
      <c r="U5412">
        <v>-2.9921259999999998</v>
      </c>
      <c r="V5412">
        <v>0.46611089999999999</v>
      </c>
      <c r="W5412">
        <v>0.11028540000000001</v>
      </c>
      <c r="X5412">
        <v>0.87782559999999998</v>
      </c>
      <c r="Y5412">
        <v>0.6022729</v>
      </c>
      <c r="Z5412">
        <v>2.531137E-2</v>
      </c>
      <c r="AA5412">
        <v>0.79788890000000001</v>
      </c>
      <c r="AB5412">
        <v>26</v>
      </c>
      <c r="AC5412">
        <v>3.5615999999999901</v>
      </c>
      <c r="AD5412">
        <v>-1.049205546457</v>
      </c>
      <c r="AE5412">
        <v>-14.622460999999999</v>
      </c>
      <c r="AF5412">
        <v>9.10106316905574</v>
      </c>
      <c r="AG5412">
        <v>-1.049205546457</v>
      </c>
      <c r="AH5412">
        <v>11.894801056059601</v>
      </c>
      <c r="AI5412">
        <v>94.007232127066999</v>
      </c>
      <c r="AJ5412">
        <v>52.579331121654</v>
      </c>
      <c r="AK5412">
        <v>15.013876090107299</v>
      </c>
      <c r="AL5412">
        <v>83.668232193768404</v>
      </c>
      <c r="AM5412">
        <v>62.032435854505799</v>
      </c>
      <c r="AN5412">
        <v>1.0000000122836601</v>
      </c>
    </row>
    <row r="5413" spans="1:40" x14ac:dyDescent="0.25">
      <c r="A5413" t="str">
        <f>"20190312164613101"</f>
        <v>20190312164613101</v>
      </c>
      <c r="B5413" t="str">
        <f>"1552380373096352"</f>
        <v>1552380373096352</v>
      </c>
      <c r="C5413" t="s">
        <v>40</v>
      </c>
      <c r="D5413">
        <v>5.9126799999999999</v>
      </c>
      <c r="E5413">
        <v>0.57094230000000001</v>
      </c>
      <c r="F5413" t="s">
        <v>42</v>
      </c>
      <c r="G5413">
        <v>-303.27600000000001</v>
      </c>
      <c r="H5413" s="1">
        <v>-3.3141510000000001E-6</v>
      </c>
      <c r="I5413">
        <v>-4.2956390000000004</v>
      </c>
      <c r="J5413">
        <v>-306.78379999999999</v>
      </c>
      <c r="K5413">
        <v>1.0491870000000001</v>
      </c>
      <c r="L5413">
        <v>10.590730000000001</v>
      </c>
      <c r="M5413">
        <v>0.77056349999999996</v>
      </c>
      <c r="N5413">
        <v>0</v>
      </c>
      <c r="O5413">
        <v>-0.63718520000000001</v>
      </c>
      <c r="P5413">
        <v>0.38480449999999999</v>
      </c>
      <c r="Q5413">
        <v>0.1088751</v>
      </c>
      <c r="R5413">
        <v>-0.91655450000000005</v>
      </c>
      <c r="S5413">
        <v>0.73330689999999998</v>
      </c>
      <c r="T5413">
        <v>-0.2088507</v>
      </c>
      <c r="U5413">
        <v>-2.994812</v>
      </c>
      <c r="V5413">
        <v>0.46389330000000001</v>
      </c>
      <c r="W5413">
        <v>0.11115360000000001</v>
      </c>
      <c r="X5413">
        <v>0.87889019999999995</v>
      </c>
      <c r="Y5413">
        <v>0.59685790000000005</v>
      </c>
      <c r="Z5413">
        <v>2.5837300000000001E-2</v>
      </c>
      <c r="AA5413">
        <v>0.80193080000000005</v>
      </c>
      <c r="AB5413">
        <v>26</v>
      </c>
      <c r="AC5413">
        <v>3.5077999999999698</v>
      </c>
      <c r="AD5413">
        <v>-1.0491903141509999</v>
      </c>
      <c r="AE5413">
        <v>-14.886369</v>
      </c>
      <c r="AF5413">
        <v>9.1935564848333406</v>
      </c>
      <c r="AG5413">
        <v>-1.0491903141509999</v>
      </c>
      <c r="AH5413">
        <v>12.1326421645763</v>
      </c>
      <c r="AI5413">
        <v>93.942816083172005</v>
      </c>
      <c r="AJ5413">
        <v>52.846830199733098</v>
      </c>
      <c r="AK5413">
        <v>15.258547999360401</v>
      </c>
      <c r="AL5413">
        <v>83.618180504899001</v>
      </c>
      <c r="AM5413">
        <v>62.174140299130798</v>
      </c>
      <c r="AN5413">
        <v>1.0000000501169399</v>
      </c>
    </row>
    <row r="5414" spans="1:40" x14ac:dyDescent="0.25">
      <c r="A5414" t="str">
        <f>"20190312164613122"</f>
        <v>20190312164613122</v>
      </c>
      <c r="B5414" t="str">
        <f>"1552380373116851"</f>
        <v>1552380373116851</v>
      </c>
      <c r="C5414" t="s">
        <v>40</v>
      </c>
      <c r="D5414">
        <v>5.4397250000000001</v>
      </c>
      <c r="E5414">
        <v>0.57019759999999997</v>
      </c>
      <c r="F5414" t="s">
        <v>42</v>
      </c>
      <c r="G5414">
        <v>-303.13170000000002</v>
      </c>
      <c r="H5414" s="1">
        <v>-3.011741E-6</v>
      </c>
      <c r="I5414">
        <v>-4.8541429999999997</v>
      </c>
      <c r="J5414">
        <v>-306.58609999999999</v>
      </c>
      <c r="K5414">
        <v>1.0491629999999901</v>
      </c>
      <c r="L5414">
        <v>10.407780000000001</v>
      </c>
      <c r="M5414">
        <v>0.76163459999999905</v>
      </c>
      <c r="N5414">
        <v>0</v>
      </c>
      <c r="O5414">
        <v>-0.64783139999999995</v>
      </c>
      <c r="P5414">
        <v>0.37405890000000003</v>
      </c>
      <c r="Q5414">
        <v>0.1095994</v>
      </c>
      <c r="R5414">
        <v>-0.92090609999999995</v>
      </c>
      <c r="S5414">
        <v>0.70928959999999996</v>
      </c>
      <c r="T5414">
        <v>-0.20376279999999999</v>
      </c>
      <c r="U5414">
        <v>-2.9995419999999999</v>
      </c>
      <c r="V5414">
        <v>0.46191310000000002</v>
      </c>
      <c r="W5414">
        <v>0.1119132</v>
      </c>
      <c r="X5414">
        <v>0.87983619999999996</v>
      </c>
      <c r="Y5414">
        <v>0.59208319999999903</v>
      </c>
      <c r="Z5414">
        <v>2.6280999999999999E-2</v>
      </c>
      <c r="AA5414">
        <v>0.80544819999999995</v>
      </c>
      <c r="AB5414">
        <v>26</v>
      </c>
      <c r="AC5414">
        <v>3.4543999999999602</v>
      </c>
      <c r="AD5414">
        <v>-1.04916601174099</v>
      </c>
      <c r="AE5414">
        <v>-15.261922999999999</v>
      </c>
      <c r="AF5414">
        <v>9.34519558984851</v>
      </c>
      <c r="AG5414">
        <v>-1.04916601174099</v>
      </c>
      <c r="AH5414">
        <v>12.4635368308714</v>
      </c>
      <c r="AI5414">
        <v>93.8530200285484</v>
      </c>
      <c r="AJ5414">
        <v>53.137331940411201</v>
      </c>
      <c r="AK5414">
        <v>15.613237341025799</v>
      </c>
      <c r="AL5414">
        <v>83.574385105729704</v>
      </c>
      <c r="AM5414">
        <v>62.300573392431197</v>
      </c>
      <c r="AN5414">
        <v>1.0000000075581399</v>
      </c>
    </row>
    <row r="5415" spans="1:40" x14ac:dyDescent="0.25">
      <c r="A5415" t="str">
        <f>"20190312164613136"</f>
        <v>20190312164613136</v>
      </c>
      <c r="B5415" t="str">
        <f>"1552380373126608"</f>
        <v>1552380373126608</v>
      </c>
      <c r="C5415" t="s">
        <v>40</v>
      </c>
      <c r="D5415">
        <v>5.3358449999999999</v>
      </c>
      <c r="E5415">
        <v>0.56983700000000004</v>
      </c>
      <c r="F5415" t="s">
        <v>42</v>
      </c>
      <c r="G5415">
        <v>-302.97809999999998</v>
      </c>
      <c r="H5415" s="1">
        <v>-2.634263E-6</v>
      </c>
      <c r="I5415">
        <v>-5.5662469999999997</v>
      </c>
      <c r="J5415">
        <v>-306.46719999999999</v>
      </c>
      <c r="K5415">
        <v>1.049145</v>
      </c>
      <c r="L5415">
        <v>10.29501</v>
      </c>
      <c r="M5415">
        <v>0.75610699999999997</v>
      </c>
      <c r="N5415">
        <v>0</v>
      </c>
      <c r="O5415">
        <v>-0.65427449999999998</v>
      </c>
      <c r="P5415">
        <v>0.36730180000000001</v>
      </c>
      <c r="Q5415">
        <v>0.109999</v>
      </c>
      <c r="R5415">
        <v>-0.92357469999999997</v>
      </c>
      <c r="S5415">
        <v>0.67883300000000002</v>
      </c>
      <c r="T5415">
        <v>-0.1973953</v>
      </c>
      <c r="U5415">
        <v>-3.0054319999999999</v>
      </c>
      <c r="V5415">
        <v>0.46086559999999999</v>
      </c>
      <c r="W5415">
        <v>0.1123282</v>
      </c>
      <c r="X5415">
        <v>0.88033249999999996</v>
      </c>
      <c r="Y5415">
        <v>0.59335400000000005</v>
      </c>
      <c r="Z5415">
        <v>2.5956989999999999E-2</v>
      </c>
      <c r="AA5415">
        <v>0.80452299999999999</v>
      </c>
      <c r="AB5415">
        <v>26</v>
      </c>
      <c r="AC5415">
        <v>3.4891000000000001</v>
      </c>
      <c r="AD5415">
        <v>-1.049147634263</v>
      </c>
      <c r="AE5415">
        <v>-15.861257</v>
      </c>
      <c r="AF5415">
        <v>9.6707225345465293</v>
      </c>
      <c r="AG5415">
        <v>-1.049147634263</v>
      </c>
      <c r="AH5415">
        <v>12.9631285168091</v>
      </c>
      <c r="AI5415">
        <v>93.7115973769031</v>
      </c>
      <c r="AJ5415">
        <v>53.276412086034</v>
      </c>
      <c r="AK5415">
        <v>16.206982632247598</v>
      </c>
      <c r="AL5415">
        <v>83.550456546264101</v>
      </c>
      <c r="AM5415">
        <v>62.367353232692999</v>
      </c>
      <c r="AN5415">
        <v>1.00000001816742</v>
      </c>
    </row>
    <row r="5416" spans="1:40" x14ac:dyDescent="0.25">
      <c r="A5416" t="str">
        <f>"20190312164613151"</f>
        <v>20190312164613151</v>
      </c>
      <c r="B5416" t="str">
        <f>"1552380373147103"</f>
        <v>1552380373147103</v>
      </c>
      <c r="C5416" t="s">
        <v>40</v>
      </c>
      <c r="D5416">
        <v>5.2975909999999997</v>
      </c>
      <c r="E5416">
        <v>0.56916109999999998</v>
      </c>
      <c r="F5416" t="s">
        <v>42</v>
      </c>
      <c r="G5416">
        <v>-302.91379999999998</v>
      </c>
      <c r="H5416" s="1">
        <v>-2.4435969999999999E-6</v>
      </c>
      <c r="I5416">
        <v>-5.9334089999999904</v>
      </c>
      <c r="J5416">
        <v>-306.34100000000001</v>
      </c>
      <c r="K5416">
        <v>1.0491280000000001</v>
      </c>
      <c r="L5416">
        <v>10.173579999999999</v>
      </c>
      <c r="M5416">
        <v>0.75012199999999996</v>
      </c>
      <c r="N5416">
        <v>0</v>
      </c>
      <c r="O5416">
        <v>-0.66112769999999899</v>
      </c>
      <c r="P5416">
        <v>0.3604348</v>
      </c>
      <c r="Q5416">
        <v>0.11011410000000001</v>
      </c>
      <c r="R5416">
        <v>-0.92626249999999999</v>
      </c>
      <c r="S5416">
        <v>0.65893550000000001</v>
      </c>
      <c r="T5416">
        <v>-0.1945519</v>
      </c>
      <c r="U5416">
        <v>-3.009369</v>
      </c>
      <c r="V5416">
        <v>0.45938519999999999</v>
      </c>
      <c r="W5416">
        <v>0.1124718</v>
      </c>
      <c r="X5416">
        <v>0.88108759999999997</v>
      </c>
      <c r="Y5416">
        <v>0.59133389999999997</v>
      </c>
      <c r="Z5416">
        <v>2.620977E-2</v>
      </c>
      <c r="AA5416">
        <v>0.80600079999999996</v>
      </c>
      <c r="AB5416">
        <v>26</v>
      </c>
      <c r="AC5416">
        <v>3.42720000000002</v>
      </c>
      <c r="AD5416">
        <v>-1.0491304435969999</v>
      </c>
      <c r="AE5416">
        <v>-16.106988999999999</v>
      </c>
      <c r="AF5416">
        <v>9.7778186034401902</v>
      </c>
      <c r="AG5416">
        <v>-1.0491304435969999</v>
      </c>
      <c r="AH5416">
        <v>13.1676512193417</v>
      </c>
      <c r="AI5416">
        <v>93.660079406716406</v>
      </c>
      <c r="AJ5416">
        <v>53.403764375000499</v>
      </c>
      <c r="AK5416">
        <v>16.434520070987599</v>
      </c>
      <c r="AL5416">
        <v>83.542176370125304</v>
      </c>
      <c r="AM5416">
        <v>62.463173143451002</v>
      </c>
      <c r="AN5416">
        <v>1.0000000133240099</v>
      </c>
    </row>
    <row r="5417" spans="1:40" x14ac:dyDescent="0.25">
      <c r="A5417" t="str">
        <f>"20190312164613165"</f>
        <v>20190312164613165</v>
      </c>
      <c r="B5417" t="str">
        <f>"1552380373156863"</f>
        <v>1552380373156863</v>
      </c>
      <c r="C5417" t="s">
        <v>40</v>
      </c>
      <c r="D5417">
        <v>5.3564769999999999</v>
      </c>
      <c r="E5417">
        <v>0.56880010000000003</v>
      </c>
      <c r="F5417" t="s">
        <v>42</v>
      </c>
      <c r="G5417">
        <v>-302.82279999999997</v>
      </c>
      <c r="H5417" s="1">
        <v>-2.2112760000000001E-6</v>
      </c>
      <c r="I5417">
        <v>-6.3736280000000001</v>
      </c>
      <c r="J5417">
        <v>-306.21260000000001</v>
      </c>
      <c r="K5417">
        <v>1.0491140000000001</v>
      </c>
      <c r="L5417">
        <v>10.047330000000001</v>
      </c>
      <c r="M5417">
        <v>0.74387479999999995</v>
      </c>
      <c r="N5417">
        <v>0</v>
      </c>
      <c r="O5417">
        <v>-0.66814890000000005</v>
      </c>
      <c r="P5417">
        <v>0.3540662</v>
      </c>
      <c r="Q5417">
        <v>0.1109769</v>
      </c>
      <c r="R5417">
        <v>-0.92861260000000001</v>
      </c>
      <c r="S5417">
        <v>0.64047240000000005</v>
      </c>
      <c r="T5417">
        <v>-0.1909865</v>
      </c>
      <c r="U5417">
        <v>-3.0122990000000001</v>
      </c>
      <c r="V5417">
        <v>0.45709850000000002</v>
      </c>
      <c r="W5417">
        <v>0.11338670000000001</v>
      </c>
      <c r="X5417">
        <v>0.88215900000000003</v>
      </c>
      <c r="Y5417">
        <v>0.58864709999999998</v>
      </c>
      <c r="Z5417">
        <v>2.638538E-2</v>
      </c>
      <c r="AA5417">
        <v>0.80795939999999999</v>
      </c>
      <c r="AB5417">
        <v>26</v>
      </c>
      <c r="AC5417">
        <v>3.3898000000000299</v>
      </c>
      <c r="AD5417">
        <v>-1.049116211276</v>
      </c>
      <c r="AE5417">
        <v>-16.420957999999999</v>
      </c>
      <c r="AF5417">
        <v>9.9125696329470703</v>
      </c>
      <c r="AG5417">
        <v>-1.049116211276</v>
      </c>
      <c r="AH5417">
        <v>13.4421404201144</v>
      </c>
      <c r="AI5417">
        <v>93.594286493558698</v>
      </c>
      <c r="AJ5417">
        <v>53.594010966755398</v>
      </c>
      <c r="AK5417">
        <v>16.7347190184616</v>
      </c>
      <c r="AL5417">
        <v>83.489419159421701</v>
      </c>
      <c r="AM5417">
        <v>62.608667517034299</v>
      </c>
      <c r="AN5417">
        <v>1.0000000418600601</v>
      </c>
    </row>
    <row r="5418" spans="1:40" x14ac:dyDescent="0.25">
      <c r="A5418" t="str">
        <f>"20190312164613183"</f>
        <v>20190312164613183</v>
      </c>
      <c r="B5418" t="str">
        <f>"1552380373176384"</f>
        <v>1552380373176384</v>
      </c>
      <c r="C5418" t="s">
        <v>40</v>
      </c>
      <c r="D5418">
        <v>5.671106</v>
      </c>
      <c r="E5418">
        <v>0.54678769999999999</v>
      </c>
      <c r="F5418" t="s">
        <v>42</v>
      </c>
      <c r="G5418">
        <v>-302.71100000000001</v>
      </c>
      <c r="H5418" s="1">
        <v>-1.9094459999999999E-6</v>
      </c>
      <c r="I5418">
        <v>-6.9492619999999903</v>
      </c>
      <c r="J5418">
        <v>-306.07560000000001</v>
      </c>
      <c r="K5418">
        <v>1.0490969999999999</v>
      </c>
      <c r="L5418">
        <v>9.9097290000000005</v>
      </c>
      <c r="M5418">
        <v>0.73703580000000002</v>
      </c>
      <c r="N5418">
        <v>0</v>
      </c>
      <c r="O5418">
        <v>-0.67568549999999905</v>
      </c>
      <c r="P5418">
        <v>0.34567130000000001</v>
      </c>
      <c r="Q5418">
        <v>0.1111239</v>
      </c>
      <c r="R5418">
        <v>-0.93175269999999999</v>
      </c>
      <c r="S5418">
        <v>0.6213379</v>
      </c>
      <c r="T5418">
        <v>-0.1861604</v>
      </c>
      <c r="U5418">
        <v>-3.0159609999999999</v>
      </c>
      <c r="V5418">
        <v>0.45607579999999998</v>
      </c>
      <c r="W5418">
        <v>0.11354640000000001</v>
      </c>
      <c r="X5418">
        <v>0.8826676</v>
      </c>
      <c r="Y5418">
        <v>0.58553859999999902</v>
      </c>
      <c r="Z5418">
        <v>2.6406809999999999E-2</v>
      </c>
      <c r="AA5418">
        <v>0.81021430000000005</v>
      </c>
      <c r="AB5418">
        <v>26</v>
      </c>
      <c r="AC5418">
        <v>3.36459999999999</v>
      </c>
      <c r="AD5418">
        <v>-1.0490989094459999</v>
      </c>
      <c r="AE5418">
        <v>-16.8589909999999</v>
      </c>
      <c r="AF5418">
        <v>10.115751781516099</v>
      </c>
      <c r="AG5418">
        <v>-1.0490989094459999</v>
      </c>
      <c r="AH5418">
        <v>13.821313060610001</v>
      </c>
      <c r="AI5418">
        <v>93.505084573142994</v>
      </c>
      <c r="AJ5418">
        <v>53.799784609378797</v>
      </c>
      <c r="AK5418">
        <v>17.159770900173299</v>
      </c>
      <c r="AL5418">
        <v>83.480209312901806</v>
      </c>
      <c r="AM5418">
        <v>62.674526921848503</v>
      </c>
      <c r="AN5418">
        <v>1.0000000061941801</v>
      </c>
    </row>
    <row r="5419" spans="1:40" x14ac:dyDescent="0.25">
      <c r="A5419" t="str">
        <f>"20190312164613200"</f>
        <v>20190312164613200</v>
      </c>
      <c r="B5419" t="str">
        <f>"1552380373196880"</f>
        <v>1552380373196880</v>
      </c>
      <c r="C5419" t="s">
        <v>40</v>
      </c>
      <c r="D5419">
        <v>5.38673</v>
      </c>
      <c r="E5419">
        <v>0.54650489999999996</v>
      </c>
      <c r="F5419" t="s">
        <v>42</v>
      </c>
      <c r="G5419">
        <v>-299.44929999999999</v>
      </c>
      <c r="H5419" s="1">
        <v>-1.8872300000000001E-6</v>
      </c>
      <c r="I5419">
        <v>-16.19575</v>
      </c>
      <c r="J5419">
        <v>-305.93119999999999</v>
      </c>
      <c r="K5419">
        <v>1.049077</v>
      </c>
      <c r="L5419">
        <v>9.761749</v>
      </c>
      <c r="M5419">
        <v>0.72963859999999903</v>
      </c>
      <c r="N5419">
        <v>0</v>
      </c>
      <c r="O5419">
        <v>-0.68366669999999996</v>
      </c>
      <c r="P5419">
        <v>0.33752749999999998</v>
      </c>
      <c r="Q5419">
        <v>0.1117234</v>
      </c>
      <c r="R5419">
        <v>-0.93466199999999999</v>
      </c>
      <c r="S5419">
        <v>0.75021359999999904</v>
      </c>
      <c r="T5419">
        <v>-0.1187763</v>
      </c>
      <c r="U5419">
        <v>-2.955597</v>
      </c>
      <c r="V5419">
        <v>0.4541365</v>
      </c>
      <c r="W5419">
        <v>0.11418490000000001</v>
      </c>
      <c r="X5419">
        <v>0.8835847</v>
      </c>
      <c r="Y5419">
        <v>0.53907510000000003</v>
      </c>
      <c r="Z5419">
        <v>1.830528E-2</v>
      </c>
      <c r="AA5419">
        <v>0.8420588</v>
      </c>
      <c r="AB5419">
        <v>26</v>
      </c>
      <c r="AC5419">
        <v>6.4818999999999898</v>
      </c>
      <c r="AD5419">
        <v>-1.0490788872299901</v>
      </c>
      <c r="AE5419">
        <v>-25.957498999999999</v>
      </c>
      <c r="AF5419">
        <v>14.4875087694877</v>
      </c>
      <c r="AG5419">
        <v>-1.0490788872299901</v>
      </c>
      <c r="AH5419">
        <v>22.443769839637199</v>
      </c>
      <c r="AI5419">
        <v>92.248935415131598</v>
      </c>
      <c r="AJ5419">
        <v>57.157657608127202</v>
      </c>
      <c r="AK5419">
        <v>26.734084638757</v>
      </c>
      <c r="AL5419">
        <v>83.443386670425596</v>
      </c>
      <c r="AM5419">
        <v>62.798171532261399</v>
      </c>
      <c r="AN5419">
        <v>1.00000003704717</v>
      </c>
    </row>
    <row r="5420" spans="1:40" x14ac:dyDescent="0.25">
      <c r="A5420" t="str">
        <f>"20190312164613214"</f>
        <v>20190312164613214</v>
      </c>
      <c r="B5420" t="str">
        <f>"1552380373206640"</f>
        <v>1552380373206640</v>
      </c>
      <c r="C5420" t="s">
        <v>40</v>
      </c>
      <c r="D5420">
        <v>5.4026959999999997</v>
      </c>
      <c r="E5420">
        <v>0.54650489999999996</v>
      </c>
      <c r="F5420" t="s">
        <v>42</v>
      </c>
      <c r="G5420">
        <v>-299.74900000000002</v>
      </c>
      <c r="H5420" s="1">
        <v>-2.166686E-6</v>
      </c>
      <c r="I5420">
        <v>-15.420400000000001</v>
      </c>
      <c r="J5420">
        <v>-305.80880000000002</v>
      </c>
      <c r="K5420">
        <v>1.0490569999999999</v>
      </c>
      <c r="L5420">
        <v>9.6337589999999995</v>
      </c>
      <c r="M5420">
        <v>0.72320769999999901</v>
      </c>
      <c r="N5420">
        <v>0</v>
      </c>
      <c r="O5420">
        <v>-0.69046589999999997</v>
      </c>
      <c r="P5420">
        <v>0.329812099999999</v>
      </c>
      <c r="Q5420">
        <v>0.1120352</v>
      </c>
      <c r="R5420">
        <v>-0.93737530000000002</v>
      </c>
      <c r="S5420">
        <v>0.72714230000000002</v>
      </c>
      <c r="T5420">
        <v>-0.123390899999999</v>
      </c>
      <c r="U5420">
        <v>-2.961884</v>
      </c>
      <c r="V5420">
        <v>0.45313419999999999</v>
      </c>
      <c r="W5420">
        <v>0.1145099</v>
      </c>
      <c r="X5420">
        <v>0.88405710000000004</v>
      </c>
      <c r="Y5420">
        <v>0.53779549999999998</v>
      </c>
      <c r="Z5420">
        <v>1.938747E-2</v>
      </c>
      <c r="AA5420">
        <v>0.84285239999999995</v>
      </c>
      <c r="AB5420">
        <v>26</v>
      </c>
      <c r="AC5420">
        <v>6.0597999999999903</v>
      </c>
      <c r="AD5420">
        <v>-1.0490591666860001</v>
      </c>
      <c r="AE5420">
        <v>-25.054158999999999</v>
      </c>
      <c r="AF5420">
        <v>13.9138145971905</v>
      </c>
      <c r="AG5420">
        <v>-1.0490591666860001</v>
      </c>
      <c r="AH5420">
        <v>21.6481460822848</v>
      </c>
      <c r="AI5420">
        <v>92.334402116078493</v>
      </c>
      <c r="AJ5420">
        <v>57.270112754247599</v>
      </c>
      <c r="AK5420">
        <v>25.7553293626803</v>
      </c>
      <c r="AL5420">
        <v>83.424642604871096</v>
      </c>
      <c r="AM5420">
        <v>62.862040662759703</v>
      </c>
      <c r="AN5420">
        <v>1.00000003823402</v>
      </c>
    </row>
    <row r="5421" spans="1:40" x14ac:dyDescent="0.25">
      <c r="A5421" t="str">
        <f>"20190312164613234"</f>
        <v>20190312164613234</v>
      </c>
      <c r="B5421" t="str">
        <f>"1552380373227136"</f>
        <v>1552380373227136</v>
      </c>
      <c r="C5421" t="s">
        <v>40</v>
      </c>
      <c r="D5421">
        <v>5.5132059999999896</v>
      </c>
      <c r="E5421">
        <v>0.54519949999999995</v>
      </c>
      <c r="F5421" t="s">
        <v>42</v>
      </c>
      <c r="G5421">
        <v>-299.77670000000001</v>
      </c>
      <c r="H5421" s="1">
        <v>-1.9832739999999998E-6</v>
      </c>
      <c r="I5421">
        <v>-15.8364799999999</v>
      </c>
      <c r="J5421">
        <v>-305.64699999999999</v>
      </c>
      <c r="K5421">
        <v>1.0490299999999999</v>
      </c>
      <c r="L5421">
        <v>9.4606630000000003</v>
      </c>
      <c r="M5421">
        <v>0.7144644</v>
      </c>
      <c r="N5421">
        <v>0</v>
      </c>
      <c r="O5421">
        <v>-0.69950900000000005</v>
      </c>
      <c r="P5421">
        <v>0.32038610000000001</v>
      </c>
      <c r="Q5421">
        <v>0.1120091</v>
      </c>
      <c r="R5421">
        <v>-0.94064170000000003</v>
      </c>
      <c r="S5421">
        <v>0.70285030000000004</v>
      </c>
      <c r="T5421">
        <v>-0.1222343</v>
      </c>
      <c r="U5421">
        <v>-2.967743</v>
      </c>
      <c r="V5421">
        <v>0.45089129999999999</v>
      </c>
      <c r="W5421">
        <v>0.1145317</v>
      </c>
      <c r="X5421">
        <v>0.88520030000000005</v>
      </c>
      <c r="Y5421">
        <v>0.53409459999999997</v>
      </c>
      <c r="Z5421">
        <v>1.973832E-2</v>
      </c>
      <c r="AA5421">
        <v>0.84519429999999995</v>
      </c>
      <c r="AB5421">
        <v>26</v>
      </c>
      <c r="AC5421">
        <v>5.8702999999999799</v>
      </c>
      <c r="AD5421">
        <v>-1.0490319832739901</v>
      </c>
      <c r="AE5421">
        <v>-25.297142999999998</v>
      </c>
      <c r="AF5421">
        <v>13.946414260043101</v>
      </c>
      <c r="AG5421">
        <v>-1.0490319832739901</v>
      </c>
      <c r="AH5421">
        <v>21.856528419137799</v>
      </c>
      <c r="AI5421">
        <v>92.316978232657505</v>
      </c>
      <c r="AJ5421">
        <v>57.458493177225598</v>
      </c>
      <c r="AK5421">
        <v>25.9482325670024</v>
      </c>
      <c r="AL5421">
        <v>83.423385183672707</v>
      </c>
      <c r="AM5421">
        <v>63.007234592282302</v>
      </c>
      <c r="AN5421">
        <v>1.0000000229203301</v>
      </c>
    </row>
    <row r="5422" spans="1:40" x14ac:dyDescent="0.25">
      <c r="A5422" t="str">
        <f>"20190312164613255"</f>
        <v>20190312164613255</v>
      </c>
      <c r="B5422" t="str">
        <f>"1552380373246860"</f>
        <v>1552380373246860</v>
      </c>
      <c r="C5422" t="s">
        <v>40</v>
      </c>
      <c r="D5422">
        <v>5.3155830000000002</v>
      </c>
      <c r="E5422">
        <v>0.54608889999999999</v>
      </c>
      <c r="F5422" t="s">
        <v>42</v>
      </c>
      <c r="G5422">
        <v>-302.82069999999999</v>
      </c>
      <c r="H5422" s="1">
        <v>-3.9541869999999996E-6</v>
      </c>
      <c r="I5422">
        <v>-2.5557949999999998</v>
      </c>
      <c r="J5422">
        <v>-305.47739999999999</v>
      </c>
      <c r="K5422">
        <v>1.0490060000000001</v>
      </c>
      <c r="L5422">
        <v>9.2741699999999998</v>
      </c>
      <c r="M5422">
        <v>0.70498870000000002</v>
      </c>
      <c r="N5422">
        <v>0</v>
      </c>
      <c r="O5422">
        <v>-0.70905739999999995</v>
      </c>
      <c r="P5422">
        <v>0.31020429999999999</v>
      </c>
      <c r="Q5422">
        <v>0.1116188</v>
      </c>
      <c r="R5422">
        <v>-0.94409460000000001</v>
      </c>
      <c r="S5422">
        <v>0.70123290000000005</v>
      </c>
      <c r="T5422">
        <v>-0.2602795</v>
      </c>
      <c r="U5422">
        <v>-2.9814449999999999</v>
      </c>
      <c r="V5422">
        <v>0.44857190000000002</v>
      </c>
      <c r="W5422">
        <v>0.1141935</v>
      </c>
      <c r="X5422">
        <v>0.88642149999999997</v>
      </c>
      <c r="Y5422">
        <v>0.52404010000000001</v>
      </c>
      <c r="Z5422">
        <v>4.31857E-2</v>
      </c>
      <c r="AA5422">
        <v>0.85059799999999997</v>
      </c>
      <c r="AB5422">
        <v>26</v>
      </c>
      <c r="AC5422">
        <v>2.6566999999999998</v>
      </c>
      <c r="AD5422">
        <v>-1.0490099541869999</v>
      </c>
      <c r="AE5422">
        <v>-11.829965</v>
      </c>
      <c r="AF5422">
        <v>6.4090018100307802</v>
      </c>
      <c r="AG5422">
        <v>-1.0490099541869999</v>
      </c>
      <c r="AH5422">
        <v>10.185992649744099</v>
      </c>
      <c r="AI5422">
        <v>94.981693760169605</v>
      </c>
      <c r="AJ5422">
        <v>57.821997014095203</v>
      </c>
      <c r="AK5422">
        <v>12.080156139123501</v>
      </c>
      <c r="AL5422">
        <v>83.442890374536802</v>
      </c>
      <c r="AM5422">
        <v>63.158396358193897</v>
      </c>
      <c r="AN5422">
        <v>0.999999990287054</v>
      </c>
    </row>
    <row r="5423" spans="1:40" x14ac:dyDescent="0.25">
      <c r="A5423" t="str">
        <f>"20190312164613271"</f>
        <v>20190312164613271</v>
      </c>
      <c r="B5423" t="str">
        <f>"1552380373266379"</f>
        <v>1552380373266379</v>
      </c>
      <c r="C5423" t="s">
        <v>40</v>
      </c>
      <c r="D5423">
        <v>5.4146140000000003</v>
      </c>
      <c r="E5423">
        <v>0.5413502</v>
      </c>
      <c r="F5423" t="s">
        <v>42</v>
      </c>
      <c r="G5423">
        <v>-302.76780000000002</v>
      </c>
      <c r="H5423" s="1">
        <v>-3.7756159999999999E-6</v>
      </c>
      <c r="I5423">
        <v>-2.9963660000000001</v>
      </c>
      <c r="J5423">
        <v>-305.35930000000002</v>
      </c>
      <c r="K5423">
        <v>1.0489869999999999</v>
      </c>
      <c r="L5423">
        <v>9.1416629999999994</v>
      </c>
      <c r="M5423">
        <v>0.69821880000000003</v>
      </c>
      <c r="N5423">
        <v>0</v>
      </c>
      <c r="O5423">
        <v>-0.7157251</v>
      </c>
      <c r="P5423">
        <v>0.3022282</v>
      </c>
      <c r="Q5423">
        <v>0.1116726</v>
      </c>
      <c r="R5423">
        <v>-0.94667210000000002</v>
      </c>
      <c r="S5423">
        <v>0.66043090000000004</v>
      </c>
      <c r="T5423">
        <v>-0.25569029999999998</v>
      </c>
      <c r="U5423">
        <v>-2.990875</v>
      </c>
      <c r="V5423">
        <v>0.44762679999999999</v>
      </c>
      <c r="W5423">
        <v>0.11426310000000001</v>
      </c>
      <c r="X5423">
        <v>0.88689019999999996</v>
      </c>
      <c r="Y5423">
        <v>0.52757430000000005</v>
      </c>
      <c r="Z5423">
        <v>4.3009970000000002E-2</v>
      </c>
      <c r="AA5423">
        <v>0.84841939999999905</v>
      </c>
      <c r="AB5423">
        <v>26</v>
      </c>
      <c r="AC5423">
        <v>2.5914999999999901</v>
      </c>
      <c r="AD5423">
        <v>-1.048990775616</v>
      </c>
      <c r="AE5423">
        <v>-12.138029</v>
      </c>
      <c r="AF5423">
        <v>6.5739946949352097</v>
      </c>
      <c r="AG5423">
        <v>-1.048990775616</v>
      </c>
      <c r="AH5423">
        <v>10.423665795241</v>
      </c>
      <c r="AI5423">
        <v>94.865330839484201</v>
      </c>
      <c r="AJ5423">
        <v>57.761200894944501</v>
      </c>
      <c r="AK5423">
        <v>12.3681282539939</v>
      </c>
      <c r="AL5423">
        <v>83.438876493503003</v>
      </c>
      <c r="AM5423">
        <v>63.2192363419733</v>
      </c>
      <c r="AN5423">
        <v>1.00000001747794</v>
      </c>
    </row>
    <row r="5424" spans="1:40" x14ac:dyDescent="0.25">
      <c r="A5424" t="str">
        <f>"20190312164613290"</f>
        <v>20190312164613290</v>
      </c>
      <c r="B5424" t="str">
        <f>"1552380373286876"</f>
        <v>1552380373286876</v>
      </c>
      <c r="C5424" t="s">
        <v>40</v>
      </c>
      <c r="D5424">
        <v>5.3944700000000001</v>
      </c>
      <c r="E5424">
        <v>0.53999969999999997</v>
      </c>
      <c r="F5424" t="s">
        <v>42</v>
      </c>
      <c r="G5424">
        <v>-300.37849999999997</v>
      </c>
      <c r="H5424" s="1">
        <v>-3.0712529999999999E-6</v>
      </c>
      <c r="I5424">
        <v>-13.486470000000001</v>
      </c>
      <c r="J5424">
        <v>-305.21190000000001</v>
      </c>
      <c r="K5424">
        <v>1.0489710000000001</v>
      </c>
      <c r="L5424">
        <v>8.9721979999999899</v>
      </c>
      <c r="M5424">
        <v>0.68952919999999995</v>
      </c>
      <c r="N5424">
        <v>0</v>
      </c>
      <c r="O5424">
        <v>-0.72410010000000002</v>
      </c>
      <c r="P5424">
        <v>0.29282160000000002</v>
      </c>
      <c r="Q5424">
        <v>0.11174290000000001</v>
      </c>
      <c r="R5424">
        <v>-0.94961549999999995</v>
      </c>
      <c r="S5424">
        <v>0.65509030000000001</v>
      </c>
      <c r="T5424">
        <v>-0.13796700000000001</v>
      </c>
      <c r="U5424">
        <v>-2.9761350000000002</v>
      </c>
      <c r="V5424">
        <v>0.44571830000000001</v>
      </c>
      <c r="W5424">
        <v>0.1143801</v>
      </c>
      <c r="X5424">
        <v>0.88783579999999995</v>
      </c>
      <c r="Y5424">
        <v>0.51783029999999997</v>
      </c>
      <c r="Z5424">
        <v>2.4053939999999999E-2</v>
      </c>
      <c r="AA5424">
        <v>0.85514519999999905</v>
      </c>
      <c r="AB5424">
        <v>26</v>
      </c>
      <c r="AC5424">
        <v>4.8334000000000401</v>
      </c>
      <c r="AD5424">
        <v>-1.04897407125299</v>
      </c>
      <c r="AE5424">
        <v>-22.458667999999999</v>
      </c>
      <c r="AF5424">
        <v>11.962470451814401</v>
      </c>
      <c r="AG5424">
        <v>-1.04897407125299</v>
      </c>
      <c r="AH5424">
        <v>19.556558870159801</v>
      </c>
      <c r="AI5424">
        <v>92.619832621339</v>
      </c>
      <c r="AJ5424">
        <v>58.546464186449903</v>
      </c>
      <c r="AK5424">
        <v>22.949074943333098</v>
      </c>
      <c r="AL5424">
        <v>83.432128591191798</v>
      </c>
      <c r="AM5424">
        <v>63.342074329265998</v>
      </c>
      <c r="AN5424">
        <v>1.00000000899627</v>
      </c>
    </row>
    <row r="5425" spans="1:40" x14ac:dyDescent="0.25">
      <c r="A5425" t="str">
        <f>"20190312164613313"</f>
        <v>20190312164613313</v>
      </c>
      <c r="B5425" t="str">
        <f>"1552380373306396"</f>
        <v>1552380373306396</v>
      </c>
      <c r="C5425" t="s">
        <v>40</v>
      </c>
      <c r="D5425">
        <v>5.3346239999999998</v>
      </c>
      <c r="E5425">
        <v>0.53967569999999998</v>
      </c>
      <c r="F5425" t="s">
        <v>42</v>
      </c>
      <c r="G5425">
        <v>-300.56979999999999</v>
      </c>
      <c r="H5425" s="1">
        <v>-3.4376540000000001E-6</v>
      </c>
      <c r="I5425">
        <v>-12.75104</v>
      </c>
      <c r="J5425">
        <v>-305.03660000000002</v>
      </c>
      <c r="K5425">
        <v>1.048948</v>
      </c>
      <c r="L5425">
        <v>8.7647399999999998</v>
      </c>
      <c r="M5425">
        <v>0.67884500000000003</v>
      </c>
      <c r="N5425">
        <v>0</v>
      </c>
      <c r="O5425">
        <v>-0.73412569999999999</v>
      </c>
      <c r="P5425">
        <v>0.28071760000000001</v>
      </c>
      <c r="Q5425">
        <v>0.1116065</v>
      </c>
      <c r="R5425">
        <v>-0.95327949999999995</v>
      </c>
      <c r="S5425">
        <v>0.63674929999999996</v>
      </c>
      <c r="T5425">
        <v>-0.1438873</v>
      </c>
      <c r="U5425">
        <v>-2.9797669999999998</v>
      </c>
      <c r="V5425">
        <v>0.44401200000000002</v>
      </c>
      <c r="W5425">
        <v>0.11428779999999999</v>
      </c>
      <c r="X5425">
        <v>0.888702199999999</v>
      </c>
      <c r="Y5425">
        <v>0.51053149999999903</v>
      </c>
      <c r="Z5425">
        <v>2.584738E-2</v>
      </c>
      <c r="AA5425">
        <v>0.85947050000000003</v>
      </c>
      <c r="AB5425">
        <v>26</v>
      </c>
      <c r="AC5425">
        <v>4.4668000000000303</v>
      </c>
      <c r="AD5425">
        <v>-1.0489514376539999</v>
      </c>
      <c r="AE5425">
        <v>-21.515779999999999</v>
      </c>
      <c r="AF5425">
        <v>11.3022302786216</v>
      </c>
      <c r="AG5425">
        <v>-1.0489514376539999</v>
      </c>
      <c r="AH5425">
        <v>18.786899223165801</v>
      </c>
      <c r="AI5425">
        <v>92.739146992609193</v>
      </c>
      <c r="AJ5425">
        <v>58.968813247661799</v>
      </c>
      <c r="AK5425">
        <v>21.949676325880901</v>
      </c>
      <c r="AL5425">
        <v>83.437451701023406</v>
      </c>
      <c r="AM5425">
        <v>63.452441264437397</v>
      </c>
      <c r="AN5425">
        <v>0.99999997882883895</v>
      </c>
    </row>
    <row r="5426" spans="1:40" x14ac:dyDescent="0.25">
      <c r="A5426" t="str">
        <f>"20190312164613334"</f>
        <v>20190312164613334</v>
      </c>
      <c r="B5426" t="str">
        <f>"1552380373326892"</f>
        <v>1552380373326892</v>
      </c>
      <c r="C5426" t="s">
        <v>40</v>
      </c>
      <c r="D5426">
        <v>5.3516430000000001</v>
      </c>
      <c r="E5426">
        <v>0.5368735</v>
      </c>
      <c r="F5426" t="s">
        <v>42</v>
      </c>
      <c r="G5426">
        <v>-300.72879999999998</v>
      </c>
      <c r="H5426" s="1">
        <v>-3.5327469999999999E-6</v>
      </c>
      <c r="I5426">
        <v>-12.627969999999999</v>
      </c>
      <c r="J5426">
        <v>-304.87439999999998</v>
      </c>
      <c r="K5426">
        <v>1.0489389999999901</v>
      </c>
      <c r="L5426">
        <v>8.5670169999999999</v>
      </c>
      <c r="M5426">
        <v>0.66861349999999997</v>
      </c>
      <c r="N5426">
        <v>0</v>
      </c>
      <c r="O5426">
        <v>-0.74345640000000002</v>
      </c>
      <c r="P5426">
        <v>0.26970719999999998</v>
      </c>
      <c r="Q5426">
        <v>0.1114077</v>
      </c>
      <c r="R5426">
        <v>-0.9564762</v>
      </c>
      <c r="S5426">
        <v>0.60150150000000002</v>
      </c>
      <c r="T5426">
        <v>-0.14646479999999901</v>
      </c>
      <c r="U5426">
        <v>-2.9870610000000002</v>
      </c>
      <c r="V5426">
        <v>0.44196150000000001</v>
      </c>
      <c r="W5426">
        <v>0.1141485</v>
      </c>
      <c r="X5426">
        <v>0.88974169999999997</v>
      </c>
      <c r="Y5426">
        <v>0.50878100000000004</v>
      </c>
      <c r="Z5426">
        <v>2.6927630000000001E-2</v>
      </c>
      <c r="AA5426">
        <v>0.86047479999999998</v>
      </c>
      <c r="AB5426">
        <v>26</v>
      </c>
      <c r="AC5426">
        <v>4.1456</v>
      </c>
      <c r="AD5426">
        <v>-1.0489425327469999</v>
      </c>
      <c r="AE5426">
        <v>-21.194987000000001</v>
      </c>
      <c r="AF5426">
        <v>11.064348067785</v>
      </c>
      <c r="AG5426">
        <v>-1.0489425327469999</v>
      </c>
      <c r="AH5426">
        <v>18.487857544716899</v>
      </c>
      <c r="AI5426">
        <v>92.787207640811801</v>
      </c>
      <c r="AJ5426">
        <v>59.100927362096201</v>
      </c>
      <c r="AK5426">
        <v>21.571299339535599</v>
      </c>
      <c r="AL5426">
        <v>83.445486180490605</v>
      </c>
      <c r="AM5426">
        <v>63.585025104270002</v>
      </c>
      <c r="AN5426">
        <v>1.00000007012669</v>
      </c>
    </row>
    <row r="5427" spans="1:40" x14ac:dyDescent="0.25">
      <c r="A5427" t="str">
        <f>"20190312164613356"</f>
        <v>20190312164613356</v>
      </c>
      <c r="B5427" t="str">
        <f>"1552380373346413"</f>
        <v>1552380373346413</v>
      </c>
      <c r="C5427" t="s">
        <v>40</v>
      </c>
      <c r="D5427">
        <v>5.3949629999999997</v>
      </c>
      <c r="E5427">
        <v>0.5344179</v>
      </c>
      <c r="F5427" t="s">
        <v>42</v>
      </c>
      <c r="G5427">
        <v>-302.24099999999999</v>
      </c>
      <c r="H5427" s="1">
        <v>-2.9063169999999999E-6</v>
      </c>
      <c r="I5427">
        <v>-4.5758190000000001</v>
      </c>
      <c r="J5427">
        <v>-304.7158</v>
      </c>
      <c r="K5427">
        <v>1.0489329999999999</v>
      </c>
      <c r="L5427">
        <v>8.3682859999999994</v>
      </c>
      <c r="M5427">
        <v>0.65828750000000003</v>
      </c>
      <c r="N5427">
        <v>0</v>
      </c>
      <c r="O5427">
        <v>-0.75261460000000002</v>
      </c>
      <c r="P5427">
        <v>0.25844709999999999</v>
      </c>
      <c r="Q5427">
        <v>0.1111752</v>
      </c>
      <c r="R5427">
        <v>-0.95960710000000005</v>
      </c>
      <c r="S5427">
        <v>0.600128199999999</v>
      </c>
      <c r="T5427">
        <v>-0.2390456</v>
      </c>
      <c r="U5427">
        <v>-2.9951479999999999</v>
      </c>
      <c r="V5427">
        <v>0.44014750000000002</v>
      </c>
      <c r="W5427">
        <v>0.1139723</v>
      </c>
      <c r="X5427">
        <v>0.89066299999999898</v>
      </c>
      <c r="Y5427">
        <v>0.49775599999999998</v>
      </c>
      <c r="Z5427">
        <v>4.50575E-2</v>
      </c>
      <c r="AA5427">
        <v>0.86614599999999897</v>
      </c>
      <c r="AB5427">
        <v>26</v>
      </c>
      <c r="AC5427">
        <v>2.4748000000000099</v>
      </c>
      <c r="AD5427">
        <v>-1.0489359063169901</v>
      </c>
      <c r="AE5427">
        <v>-12.944105</v>
      </c>
      <c r="AF5427">
        <v>6.6172123478507903</v>
      </c>
      <c r="AG5427">
        <v>-1.0489359063169901</v>
      </c>
      <c r="AH5427">
        <v>11.3007607272522</v>
      </c>
      <c r="AI5427">
        <v>94.579520847429706</v>
      </c>
      <c r="AJ5427">
        <v>59.648697601984701</v>
      </c>
      <c r="AK5427">
        <v>13.1375400591859</v>
      </c>
      <c r="AL5427">
        <v>83.455647837438804</v>
      </c>
      <c r="AM5427">
        <v>63.702356167102998</v>
      </c>
      <c r="AN5427">
        <v>1.0000000432462599</v>
      </c>
    </row>
    <row r="5428" spans="1:40" x14ac:dyDescent="0.25">
      <c r="A5428" t="str">
        <f>"20190312164613378"</f>
        <v>20190312164613378</v>
      </c>
      <c r="B5428" t="str">
        <f>"1552380373366908"</f>
        <v>1552380373366908</v>
      </c>
      <c r="C5428" t="s">
        <v>40</v>
      </c>
      <c r="D5428">
        <v>5.3975010000000001</v>
      </c>
      <c r="E5428">
        <v>0.53301569999999898</v>
      </c>
      <c r="F5428" t="s">
        <v>42</v>
      </c>
      <c r="G5428">
        <v>-302.1551</v>
      </c>
      <c r="H5428" s="1">
        <v>-2.7852169999999999E-6</v>
      </c>
      <c r="I5428">
        <v>-4.7836569999999998</v>
      </c>
      <c r="J5428">
        <v>-304.55329999999998</v>
      </c>
      <c r="K5428">
        <v>1.0489310000000001</v>
      </c>
      <c r="L5428">
        <v>8.1585389999999993</v>
      </c>
      <c r="M5428">
        <v>0.64734720000000001</v>
      </c>
      <c r="N5428">
        <v>0</v>
      </c>
      <c r="O5428">
        <v>-0.76204479999999997</v>
      </c>
      <c r="P5428">
        <v>0.2464479</v>
      </c>
      <c r="Q5428">
        <v>0.1105742</v>
      </c>
      <c r="R5428">
        <v>-0.96282769999999995</v>
      </c>
      <c r="S5428">
        <v>0.58349609999999996</v>
      </c>
      <c r="T5428">
        <v>-0.23901249999999999</v>
      </c>
      <c r="U5428">
        <v>-2.996826</v>
      </c>
      <c r="V5428">
        <v>0.43842759999999997</v>
      </c>
      <c r="W5428">
        <v>0.1134289</v>
      </c>
      <c r="X5428">
        <v>0.89158019999999905</v>
      </c>
      <c r="Y5428">
        <v>0.4899462</v>
      </c>
      <c r="Z5428">
        <v>4.6280399999999999E-2</v>
      </c>
      <c r="AA5428">
        <v>0.8705233</v>
      </c>
      <c r="AB5428">
        <v>26</v>
      </c>
      <c r="AC5428">
        <v>2.3981999999999699</v>
      </c>
      <c r="AD5428">
        <v>-1.048933785217</v>
      </c>
      <c r="AE5428">
        <v>-12.942195999999999</v>
      </c>
      <c r="AF5428">
        <v>6.5099671937745596</v>
      </c>
      <c r="AG5428">
        <v>-1.048933785217</v>
      </c>
      <c r="AH5428">
        <v>11.344266814385101</v>
      </c>
      <c r="AI5428">
        <v>94.585140838754697</v>
      </c>
      <c r="AJ5428">
        <v>60.150414202664201</v>
      </c>
      <c r="AK5428">
        <v>13.121445214066499</v>
      </c>
      <c r="AL5428">
        <v>83.486985724967795</v>
      </c>
      <c r="AM5428">
        <v>63.814707805562797</v>
      </c>
      <c r="AN5428">
        <v>1.0000000644145</v>
      </c>
    </row>
    <row r="5429" spans="1:40" x14ac:dyDescent="0.25">
      <c r="A5429" t="str">
        <f>"20190312164613402"</f>
        <v>20190312164613402</v>
      </c>
      <c r="B5429" t="str">
        <f>"1552380373397164"</f>
        <v>1552380373397164</v>
      </c>
      <c r="C5429" t="s">
        <v>40</v>
      </c>
      <c r="D5429">
        <v>5.5361699999999896</v>
      </c>
      <c r="E5429">
        <v>0.53524859999999996</v>
      </c>
      <c r="F5429" t="s">
        <v>42</v>
      </c>
      <c r="G5429">
        <v>-302.20119999999997</v>
      </c>
      <c r="H5429" s="1">
        <v>-2.9336230000000002E-6</v>
      </c>
      <c r="I5429">
        <v>-4.4956690000000004</v>
      </c>
      <c r="J5429">
        <v>-304.39359999999999</v>
      </c>
      <c r="K5429">
        <v>1.0489329999999999</v>
      </c>
      <c r="L5429">
        <v>7.946167</v>
      </c>
      <c r="M5429">
        <v>0.63623319999999906</v>
      </c>
      <c r="N5429">
        <v>0</v>
      </c>
      <c r="O5429">
        <v>-0.77134809999999998</v>
      </c>
      <c r="P5429">
        <v>0.23405599999999999</v>
      </c>
      <c r="Q5429">
        <v>0.110448</v>
      </c>
      <c r="R5429">
        <v>-0.96592929999999999</v>
      </c>
      <c r="S5429">
        <v>0.55792240000000004</v>
      </c>
      <c r="T5429">
        <v>-0.2488078</v>
      </c>
      <c r="U5429">
        <v>-3.0015869999999998</v>
      </c>
      <c r="V5429">
        <v>0.4369633</v>
      </c>
      <c r="W5429">
        <v>0.113354</v>
      </c>
      <c r="X5429">
        <v>0.8923082</v>
      </c>
      <c r="Y5429">
        <v>0.48474309999999998</v>
      </c>
      <c r="Z5429">
        <v>4.9324449999999999E-2</v>
      </c>
      <c r="AA5429">
        <v>0.87326469999999901</v>
      </c>
      <c r="AB5429">
        <v>26</v>
      </c>
      <c r="AC5429">
        <v>2.1924000000000201</v>
      </c>
      <c r="AD5429">
        <v>-1.048935933623</v>
      </c>
      <c r="AE5429">
        <v>-12.441836</v>
      </c>
      <c r="AF5429">
        <v>6.1828970360850297</v>
      </c>
      <c r="AG5429">
        <v>-1.048935933623</v>
      </c>
      <c r="AH5429">
        <v>10.917861468724199</v>
      </c>
      <c r="AI5429">
        <v>94.778834731041002</v>
      </c>
      <c r="AJ5429">
        <v>60.476676967683197</v>
      </c>
      <c r="AK5429">
        <v>12.590797488718801</v>
      </c>
      <c r="AL5429">
        <v>83.491304545597899</v>
      </c>
      <c r="AM5429">
        <v>63.909009720941597</v>
      </c>
      <c r="AN5429">
        <v>0.99999998932506395</v>
      </c>
    </row>
    <row r="5430" spans="1:40" x14ac:dyDescent="0.25">
      <c r="A5430" t="str">
        <f>"20190312164613424"</f>
        <v>20190312164613424</v>
      </c>
      <c r="B5430" t="str">
        <f>"1552380373416687"</f>
        <v>1552380373416687</v>
      </c>
      <c r="C5430" t="s">
        <v>40</v>
      </c>
      <c r="D5430">
        <v>5.2832439999999998</v>
      </c>
      <c r="E5430">
        <v>0.5364004</v>
      </c>
      <c r="F5430" t="s">
        <v>42</v>
      </c>
      <c r="G5430">
        <v>-302.22590000000002</v>
      </c>
      <c r="H5430" s="1">
        <v>-2.6619010000000001E-6</v>
      </c>
      <c r="I5430">
        <v>-5.0843749999999996</v>
      </c>
      <c r="J5430">
        <v>-304.23570000000001</v>
      </c>
      <c r="K5430">
        <v>1.048932</v>
      </c>
      <c r="L5430">
        <v>7.7296139999999998</v>
      </c>
      <c r="M5430">
        <v>0.62486660000000005</v>
      </c>
      <c r="N5430">
        <v>0</v>
      </c>
      <c r="O5430">
        <v>-0.78058479999999997</v>
      </c>
      <c r="P5430">
        <v>0.2221389</v>
      </c>
      <c r="Q5430">
        <v>0.1101819</v>
      </c>
      <c r="R5430">
        <v>-0.96876969999999996</v>
      </c>
      <c r="S5430">
        <v>0.50109859999999995</v>
      </c>
      <c r="T5430">
        <v>-0.24246989999999999</v>
      </c>
      <c r="U5430">
        <v>-3.0121150000000001</v>
      </c>
      <c r="V5430">
        <v>0.43489230000000001</v>
      </c>
      <c r="W5430">
        <v>0.1131626</v>
      </c>
      <c r="X5430">
        <v>0.89334369999999996</v>
      </c>
      <c r="Y5430">
        <v>0.48845509999999898</v>
      </c>
      <c r="Z5430">
        <v>4.8917479999999999E-2</v>
      </c>
      <c r="AA5430">
        <v>0.87121680000000001</v>
      </c>
      <c r="AB5430">
        <v>26</v>
      </c>
      <c r="AC5430">
        <v>2.0097999999999798</v>
      </c>
      <c r="AD5430">
        <v>-1.048934661901</v>
      </c>
      <c r="AE5430">
        <v>-12.813988999999999</v>
      </c>
      <c r="AF5430">
        <v>6.3971152871485897</v>
      </c>
      <c r="AG5430">
        <v>-1.048934661901</v>
      </c>
      <c r="AH5430">
        <v>11.1863934561759</v>
      </c>
      <c r="AI5430">
        <v>94.653546976068199</v>
      </c>
      <c r="AJ5430">
        <v>60.236239539855099</v>
      </c>
      <c r="AK5430">
        <v>12.9289886100337</v>
      </c>
      <c r="AL5430">
        <v>83.502342219914397</v>
      </c>
      <c r="AM5430">
        <v>64.042528376414296</v>
      </c>
      <c r="AN5430">
        <v>1.00000002648386</v>
      </c>
    </row>
    <row r="5431" spans="1:40" x14ac:dyDescent="0.25">
      <c r="A5431" t="str">
        <f>"20190312164613445"</f>
        <v>20190312164613445</v>
      </c>
      <c r="B5431" t="str">
        <f>"1552380373437180"</f>
        <v>1552380373437180</v>
      </c>
      <c r="C5431" t="s">
        <v>40</v>
      </c>
      <c r="D5431">
        <v>5.3070789999999999</v>
      </c>
      <c r="E5431">
        <v>0.53710369999999996</v>
      </c>
      <c r="F5431" t="s">
        <v>42</v>
      </c>
      <c r="G5431">
        <v>-302.18720000000002</v>
      </c>
      <c r="H5431" s="1">
        <v>-2.2594619999999999E-6</v>
      </c>
      <c r="I5431">
        <v>-5.9139530000000002</v>
      </c>
      <c r="J5431">
        <v>-304.08969999999999</v>
      </c>
      <c r="K5431">
        <v>1.048934</v>
      </c>
      <c r="L5431">
        <v>7.5232849999999996</v>
      </c>
      <c r="M5431">
        <v>0.61401110000000003</v>
      </c>
      <c r="N5431">
        <v>0</v>
      </c>
      <c r="O5431">
        <v>-0.78915190000000002</v>
      </c>
      <c r="P5431">
        <v>0.211342</v>
      </c>
      <c r="Q5431">
        <v>0.10929759999999999</v>
      </c>
      <c r="R5431">
        <v>-0.97128190000000003</v>
      </c>
      <c r="S5431">
        <v>0.45330809999999999</v>
      </c>
      <c r="T5431">
        <v>-0.2321172</v>
      </c>
      <c r="U5431">
        <v>-3.0191650000000001</v>
      </c>
      <c r="V5431">
        <v>0.43251279999999998</v>
      </c>
      <c r="W5431">
        <v>0.1123666</v>
      </c>
      <c r="X5431">
        <v>0.89459849999999996</v>
      </c>
      <c r="Y5431">
        <v>0.49016850000000001</v>
      </c>
      <c r="Z5431">
        <v>4.7661599999999998E-2</v>
      </c>
      <c r="AA5431">
        <v>0.87032359999999898</v>
      </c>
      <c r="AB5431">
        <v>26</v>
      </c>
      <c r="AC5431">
        <v>1.9024999999999701</v>
      </c>
      <c r="AD5431">
        <v>-1.048936259462</v>
      </c>
      <c r="AE5431">
        <v>-13.437238000000001</v>
      </c>
      <c r="AF5431">
        <v>6.7099423392834998</v>
      </c>
      <c r="AG5431">
        <v>-1.048936259462</v>
      </c>
      <c r="AH5431">
        <v>11.7036136876815</v>
      </c>
      <c r="AI5431">
        <v>94.445961034454101</v>
      </c>
      <c r="AJ5431">
        <v>60.173392514098303</v>
      </c>
      <c r="AK5431">
        <v>13.5313771222078</v>
      </c>
      <c r="AL5431">
        <v>83.548242418434199</v>
      </c>
      <c r="AM5431">
        <v>64.197560707493295</v>
      </c>
      <c r="AN5431">
        <v>1.0000000255808199</v>
      </c>
    </row>
    <row r="5432" spans="1:40" x14ac:dyDescent="0.25">
      <c r="A5432" t="str">
        <f>"20190312164613468"</f>
        <v>20190312164613468</v>
      </c>
      <c r="B5432" t="str">
        <f>"1552380373456700"</f>
        <v>1552380373456700</v>
      </c>
      <c r="C5432" t="s">
        <v>40</v>
      </c>
      <c r="D5432">
        <v>5.8840479999999999</v>
      </c>
      <c r="E5432">
        <v>0.53714669999999998</v>
      </c>
      <c r="F5432" t="s">
        <v>42</v>
      </c>
      <c r="G5432">
        <v>-302.0992</v>
      </c>
      <c r="H5432" s="1">
        <v>-1.6765960000000001E-6</v>
      </c>
      <c r="I5432">
        <v>-7.0974659999999998</v>
      </c>
      <c r="J5432">
        <v>-303.94069999999999</v>
      </c>
      <c r="K5432">
        <v>1.048945</v>
      </c>
      <c r="L5432">
        <v>7.3063659999999997</v>
      </c>
      <c r="M5432">
        <v>0.60257450000000001</v>
      </c>
      <c r="N5432">
        <v>0</v>
      </c>
      <c r="O5432">
        <v>-0.79791869999999998</v>
      </c>
      <c r="P5432">
        <v>0.19991510000000001</v>
      </c>
      <c r="Q5432">
        <v>0.108359999999999</v>
      </c>
      <c r="R5432">
        <v>-0.97380270000000002</v>
      </c>
      <c r="S5432">
        <v>0.41162109999999902</v>
      </c>
      <c r="T5432">
        <v>-0.21691679999999999</v>
      </c>
      <c r="U5432">
        <v>-3.0235289999999999</v>
      </c>
      <c r="V5432">
        <v>0.43016310000000002</v>
      </c>
      <c r="W5432">
        <v>0.11151989999999901</v>
      </c>
      <c r="X5432">
        <v>0.89583649999999904</v>
      </c>
      <c r="Y5432">
        <v>0.48954900000000001</v>
      </c>
      <c r="Z5432">
        <v>4.5427000000000002E-2</v>
      </c>
      <c r="AA5432">
        <v>0.87079169999999995</v>
      </c>
      <c r="AB5432">
        <v>26</v>
      </c>
      <c r="AC5432">
        <v>1.8414999999999899</v>
      </c>
      <c r="AD5432">
        <v>-1.048946676596</v>
      </c>
      <c r="AE5432">
        <v>-14.403832</v>
      </c>
      <c r="AF5432">
        <v>7.1734115330183998</v>
      </c>
      <c r="AG5432">
        <v>-1.048946676596</v>
      </c>
      <c r="AH5432">
        <v>12.5387476382302</v>
      </c>
      <c r="AI5432">
        <v>94.153135747986795</v>
      </c>
      <c r="AJ5432">
        <v>60.226147236379397</v>
      </c>
      <c r="AK5432">
        <v>14.4837258496426</v>
      </c>
      <c r="AL5432">
        <v>83.597061488384099</v>
      </c>
      <c r="AM5432">
        <v>64.350595620138506</v>
      </c>
      <c r="AN5432">
        <v>1.00000000771493</v>
      </c>
    </row>
    <row r="5433" spans="1:40" x14ac:dyDescent="0.25">
      <c r="A5433" t="str">
        <f>"20190312164613491"</f>
        <v>20190312164613491</v>
      </c>
      <c r="B5433" t="str">
        <f>"1552380373486956"</f>
        <v>1552380373486956</v>
      </c>
      <c r="C5433" t="s">
        <v>40</v>
      </c>
      <c r="D5433">
        <v>5.2624750000000002</v>
      </c>
      <c r="E5433">
        <v>0.53740549999999998</v>
      </c>
      <c r="F5433" t="s">
        <v>42</v>
      </c>
      <c r="G5433">
        <v>-302.04660000000001</v>
      </c>
      <c r="H5433" s="1">
        <v>-1.213787E-6</v>
      </c>
      <c r="I5433">
        <v>-8.0469010000000001</v>
      </c>
      <c r="J5433">
        <v>-303.79059999999998</v>
      </c>
      <c r="K5433">
        <v>1.048962</v>
      </c>
      <c r="L5433">
        <v>7.0804140000000002</v>
      </c>
      <c r="M5433">
        <v>0.5906458</v>
      </c>
      <c r="N5433">
        <v>0</v>
      </c>
      <c r="O5433">
        <v>-0.80678859999999997</v>
      </c>
      <c r="P5433">
        <v>0.1880156</v>
      </c>
      <c r="Q5433">
        <v>0.1076488</v>
      </c>
      <c r="R5433">
        <v>-0.97624920000000004</v>
      </c>
      <c r="S5433">
        <v>0.37344359999999999</v>
      </c>
      <c r="T5433">
        <v>-0.20681150000000001</v>
      </c>
      <c r="U5433">
        <v>-3.027069</v>
      </c>
      <c r="V5433">
        <v>0.4277975</v>
      </c>
      <c r="W5433">
        <v>0.1109029</v>
      </c>
      <c r="X5433">
        <v>0.89704509999999904</v>
      </c>
      <c r="Y5433">
        <v>0.48752380000000001</v>
      </c>
      <c r="Z5433">
        <v>4.4199269999999999E-2</v>
      </c>
      <c r="AA5433">
        <v>0.8719903</v>
      </c>
      <c r="AB5433">
        <v>26</v>
      </c>
      <c r="AC5433">
        <v>1.74399999999997</v>
      </c>
      <c r="AD5433">
        <v>-1.048963213787</v>
      </c>
      <c r="AE5433">
        <v>-15.127314999999999</v>
      </c>
      <c r="AF5433">
        <v>7.4931532881564502</v>
      </c>
      <c r="AG5433">
        <v>-1.048963213787</v>
      </c>
      <c r="AH5433">
        <v>13.1736390870451</v>
      </c>
      <c r="AI5433">
        <v>93.959294428368196</v>
      </c>
      <c r="AJ5433">
        <v>60.3688225313375</v>
      </c>
      <c r="AK5433">
        <v>15.1918542916726</v>
      </c>
      <c r="AL5433">
        <v>83.632633807463705</v>
      </c>
      <c r="AM5433">
        <v>64.503697860103102</v>
      </c>
      <c r="AN5433">
        <v>1.0000000328343299</v>
      </c>
    </row>
    <row r="5434" spans="1:40" x14ac:dyDescent="0.25">
      <c r="A5434" t="str">
        <f>"20190312164613514"</f>
        <v>20190312164613514</v>
      </c>
      <c r="B5434" t="str">
        <f>"1552380373506477"</f>
        <v>1552380373506477</v>
      </c>
      <c r="C5434" t="s">
        <v>40</v>
      </c>
      <c r="D5434">
        <v>5.3386750000000003</v>
      </c>
      <c r="E5434">
        <v>0.53709510000000005</v>
      </c>
      <c r="F5434" t="s">
        <v>42</v>
      </c>
      <c r="G5434">
        <v>-302.0575</v>
      </c>
      <c r="H5434" s="1">
        <v>-9.201526E-7</v>
      </c>
      <c r="I5434">
        <v>-8.67421199999999</v>
      </c>
      <c r="J5434">
        <v>-303.64690000000002</v>
      </c>
      <c r="K5434">
        <v>1.0489809999999999</v>
      </c>
      <c r="L5434">
        <v>6.8568729999999896</v>
      </c>
      <c r="M5434">
        <v>0.57883030000000002</v>
      </c>
      <c r="N5434">
        <v>0</v>
      </c>
      <c r="O5434">
        <v>-0.81530719999999901</v>
      </c>
      <c r="P5434">
        <v>0.1770033</v>
      </c>
      <c r="Q5434">
        <v>0.107005</v>
      </c>
      <c r="R5434">
        <v>-0.97837629999999998</v>
      </c>
      <c r="S5434">
        <v>0.33343509999999998</v>
      </c>
      <c r="T5434">
        <v>-0.20181009999999999</v>
      </c>
      <c r="U5434">
        <v>-3.0310359999999998</v>
      </c>
      <c r="V5434">
        <v>0.42485060000000002</v>
      </c>
      <c r="W5434">
        <v>0.110373</v>
      </c>
      <c r="X5434">
        <v>0.89850980000000003</v>
      </c>
      <c r="Y5434">
        <v>0.48630190000000001</v>
      </c>
      <c r="Z5434">
        <v>4.3938020000000001E-2</v>
      </c>
      <c r="AA5434">
        <v>0.8726855</v>
      </c>
      <c r="AB5434">
        <v>26</v>
      </c>
      <c r="AC5434">
        <v>1.5894000000000099</v>
      </c>
      <c r="AD5434">
        <v>-1.0489819201525901</v>
      </c>
      <c r="AE5434">
        <v>-15.5310849999999</v>
      </c>
      <c r="AF5434">
        <v>7.6603146154364099</v>
      </c>
      <c r="AG5434">
        <v>-1.0489819201525901</v>
      </c>
      <c r="AH5434">
        <v>13.523108407264999</v>
      </c>
      <c r="AI5434">
        <v>93.861220227306404</v>
      </c>
      <c r="AJ5434">
        <v>60.470134623583498</v>
      </c>
      <c r="AK5434">
        <v>15.577395291605001</v>
      </c>
      <c r="AL5434">
        <v>83.663182469154194</v>
      </c>
      <c r="AM5434">
        <v>64.693382857155896</v>
      </c>
      <c r="AN5434">
        <v>1.0000000460726901</v>
      </c>
    </row>
    <row r="5435" spans="1:40" x14ac:dyDescent="0.25">
      <c r="A5435" t="str">
        <f>"20190312164613541"</f>
        <v>20190312164613541</v>
      </c>
      <c r="B5435" t="str">
        <f>"1552380373536733"</f>
        <v>1552380373536733</v>
      </c>
      <c r="C5435" t="s">
        <v>40</v>
      </c>
      <c r="D5435">
        <v>5.3066319999999996</v>
      </c>
      <c r="E5435">
        <v>0.53671469999999999</v>
      </c>
      <c r="F5435" t="s">
        <v>42</v>
      </c>
      <c r="G5435">
        <v>-302.1035</v>
      </c>
      <c r="H5435" s="1">
        <v>-9.320802E-7</v>
      </c>
      <c r="I5435">
        <v>-8.6748940000000001</v>
      </c>
      <c r="J5435">
        <v>-303.48439999999999</v>
      </c>
      <c r="K5435">
        <v>1.049004</v>
      </c>
      <c r="L5435">
        <v>6.5952149999999996</v>
      </c>
      <c r="M5435">
        <v>0.56497589999999998</v>
      </c>
      <c r="N5435">
        <v>0</v>
      </c>
      <c r="O5435">
        <v>-0.82496840000000005</v>
      </c>
      <c r="P5435">
        <v>0.1632277</v>
      </c>
      <c r="Q5435">
        <v>0.1068132</v>
      </c>
      <c r="R5435">
        <v>-0.98078949999999998</v>
      </c>
      <c r="S5435">
        <v>0.3015137</v>
      </c>
      <c r="T5435">
        <v>-0.20492179999999999</v>
      </c>
      <c r="U5435">
        <v>-3.0341800000000001</v>
      </c>
      <c r="V5435">
        <v>0.42230279999999998</v>
      </c>
      <c r="W5435">
        <v>0.1102868</v>
      </c>
      <c r="X5435">
        <v>0.89972059999999998</v>
      </c>
      <c r="Y5435">
        <v>0.4807208</v>
      </c>
      <c r="Z5435">
        <v>4.5633029999999998E-2</v>
      </c>
      <c r="AA5435">
        <v>0.87568550000000001</v>
      </c>
      <c r="AB5435">
        <v>26</v>
      </c>
      <c r="AC5435">
        <v>1.38089999999999</v>
      </c>
      <c r="AD5435">
        <v>-1.0490049320802</v>
      </c>
      <c r="AE5435">
        <v>-15.270109</v>
      </c>
      <c r="AF5435">
        <v>7.4540118049750701</v>
      </c>
      <c r="AG5435">
        <v>-1.0490049320802</v>
      </c>
      <c r="AH5435">
        <v>13.316732182176301</v>
      </c>
      <c r="AI5435">
        <v>93.932194690466503</v>
      </c>
      <c r="AJ5435">
        <v>60.762174286300102</v>
      </c>
      <c r="AK5435">
        <v>15.2969951084534</v>
      </c>
      <c r="AL5435">
        <v>83.6681513813094</v>
      </c>
      <c r="AM5435">
        <v>64.855998842199696</v>
      </c>
      <c r="AN5435">
        <v>0.99999999560321995</v>
      </c>
    </row>
    <row r="5436" spans="1:40" x14ac:dyDescent="0.25">
      <c r="A5436" t="str">
        <f>"20190312164613558"</f>
        <v>20190312164613558</v>
      </c>
      <c r="B5436" t="str">
        <f>"1552380373546492"</f>
        <v>1552380373546492</v>
      </c>
      <c r="C5436" t="s">
        <v>40</v>
      </c>
      <c r="D5436">
        <v>6.2880929999999999</v>
      </c>
      <c r="E5436">
        <v>0.53654019999999902</v>
      </c>
      <c r="F5436" t="s">
        <v>42</v>
      </c>
      <c r="G5436">
        <v>-302.1123</v>
      </c>
      <c r="H5436" s="1">
        <v>-5.9627849999999995E-7</v>
      </c>
      <c r="I5436">
        <v>-9.3902370000000008</v>
      </c>
      <c r="J5436">
        <v>-303.37689999999998</v>
      </c>
      <c r="K5436">
        <v>1.0490200000000001</v>
      </c>
      <c r="L5436">
        <v>6.4164729999999999</v>
      </c>
      <c r="M5436">
        <v>0.55550140000000003</v>
      </c>
      <c r="N5436">
        <v>0</v>
      </c>
      <c r="O5436">
        <v>-0.83137739999999904</v>
      </c>
      <c r="P5436">
        <v>0.1580877</v>
      </c>
      <c r="Q5436">
        <v>0.1067892</v>
      </c>
      <c r="R5436">
        <v>-0.9816336</v>
      </c>
      <c r="S5436">
        <v>0.2606812</v>
      </c>
      <c r="T5436">
        <v>-0.19930049999999999</v>
      </c>
      <c r="U5436">
        <v>-3.0370789999999999</v>
      </c>
      <c r="V5436">
        <v>0.41670279999999998</v>
      </c>
      <c r="W5436">
        <v>0.1104541</v>
      </c>
      <c r="X5436">
        <v>0.90230750000000004</v>
      </c>
      <c r="Y5436">
        <v>0.48244510000000002</v>
      </c>
      <c r="Z5436">
        <v>4.493685E-2</v>
      </c>
      <c r="AA5436">
        <v>0.87477280000000002</v>
      </c>
      <c r="AB5436">
        <v>26</v>
      </c>
      <c r="AC5436">
        <v>1.26459999999997</v>
      </c>
      <c r="AD5436">
        <v>-1.0490205962785</v>
      </c>
      <c r="AE5436">
        <v>-15.806710000000001</v>
      </c>
      <c r="AF5436">
        <v>7.6964952540509204</v>
      </c>
      <c r="AG5436">
        <v>-1.0490205962785</v>
      </c>
      <c r="AH5436">
        <v>13.7850908802235</v>
      </c>
      <c r="AI5436">
        <v>93.801353993580804</v>
      </c>
      <c r="AJ5436">
        <v>60.824492826430401</v>
      </c>
      <c r="AK5436">
        <v>15.8229331662327</v>
      </c>
      <c r="AL5436">
        <v>83.658507399999706</v>
      </c>
      <c r="AM5436">
        <v>65.211607113152994</v>
      </c>
      <c r="AN5436">
        <v>1.0000000781454399</v>
      </c>
    </row>
    <row r="5437" spans="1:40" x14ac:dyDescent="0.25">
      <c r="A5437" t="str">
        <f>"20190312164613580"</f>
        <v>20190312164613580</v>
      </c>
      <c r="B5437" t="str">
        <f>"1552380373576749"</f>
        <v>1552380373576749</v>
      </c>
      <c r="C5437" t="s">
        <v>40</v>
      </c>
      <c r="D5437">
        <v>5.2647909999999998</v>
      </c>
      <c r="E5437">
        <v>0.53588559999999996</v>
      </c>
      <c r="F5437" t="s">
        <v>42</v>
      </c>
      <c r="G5437">
        <v>-302.07459999999998</v>
      </c>
      <c r="H5437" s="1">
        <v>-4.4257719999999999E-7</v>
      </c>
      <c r="I5437">
        <v>-9.694172</v>
      </c>
      <c r="J5437">
        <v>-303.24869999999999</v>
      </c>
      <c r="K5437">
        <v>1.0490489999999999</v>
      </c>
      <c r="L5437">
        <v>6.1973570000000002</v>
      </c>
      <c r="M5437">
        <v>0.54387289999999999</v>
      </c>
      <c r="N5437">
        <v>0</v>
      </c>
      <c r="O5437">
        <v>-0.83903099999999997</v>
      </c>
      <c r="P5437">
        <v>0.14817830000000001</v>
      </c>
      <c r="Q5437">
        <v>0.1067578</v>
      </c>
      <c r="R5437">
        <v>-0.98318179999999999</v>
      </c>
      <c r="S5437">
        <v>0.24557499999999999</v>
      </c>
      <c r="T5437">
        <v>-0.19782040000000001</v>
      </c>
      <c r="U5437">
        <v>-3.0380859999999998</v>
      </c>
      <c r="V5437">
        <v>0.4132286</v>
      </c>
      <c r="W5437">
        <v>0.1105503</v>
      </c>
      <c r="X5437">
        <v>0.90389200000000003</v>
      </c>
      <c r="Y5437">
        <v>0.4745819</v>
      </c>
      <c r="Z5437">
        <v>4.546505E-2</v>
      </c>
      <c r="AA5437">
        <v>0.87903639999999905</v>
      </c>
      <c r="AB5437">
        <v>25</v>
      </c>
      <c r="AC5437">
        <v>1.1741000000000099</v>
      </c>
      <c r="AD5437">
        <v>-1.0490494425771999</v>
      </c>
      <c r="AE5437">
        <v>-15.891529</v>
      </c>
      <c r="AF5437">
        <v>7.6256932759133198</v>
      </c>
      <c r="AG5437">
        <v>-1.0490494425771999</v>
      </c>
      <c r="AH5437">
        <v>13.9133469779599</v>
      </c>
      <c r="AI5437">
        <v>93.782834457588294</v>
      </c>
      <c r="AJ5437">
        <v>61.273524554092297</v>
      </c>
      <c r="AK5437">
        <v>15.900720952220601</v>
      </c>
      <c r="AL5437">
        <v>83.652961060792094</v>
      </c>
      <c r="AM5437">
        <v>65.4317366286528</v>
      </c>
      <c r="AN5437">
        <v>0.99999999617602398</v>
      </c>
    </row>
    <row r="5438" spans="1:40" x14ac:dyDescent="0.25">
      <c r="A5438" t="str">
        <f>"20190312164613603"</f>
        <v>20190312164613603</v>
      </c>
      <c r="B5438" t="str">
        <f>"1552380373597248"</f>
        <v>1552380373597248</v>
      </c>
      <c r="C5438" t="s">
        <v>40</v>
      </c>
      <c r="D5438">
        <v>5.4359900000000003</v>
      </c>
      <c r="E5438">
        <v>0.53539680000000001</v>
      </c>
      <c r="F5438" t="s">
        <v>42</v>
      </c>
      <c r="G5438">
        <v>-302.07209999999998</v>
      </c>
      <c r="H5438" s="1">
        <v>-2.298596E-7</v>
      </c>
      <c r="I5438">
        <v>-10.142749999999999</v>
      </c>
      <c r="J5438">
        <v>-303.11840000000001</v>
      </c>
      <c r="K5438">
        <v>1.0490759999999999</v>
      </c>
      <c r="L5438">
        <v>5.9670719999999999</v>
      </c>
      <c r="M5438">
        <v>0.53163879999999997</v>
      </c>
      <c r="N5438">
        <v>0</v>
      </c>
      <c r="O5438">
        <v>-0.84683560000000002</v>
      </c>
      <c r="P5438">
        <v>0.13832050000000001</v>
      </c>
      <c r="Q5438">
        <v>0.106785</v>
      </c>
      <c r="R5438">
        <v>-0.98461379999999998</v>
      </c>
      <c r="S5438">
        <v>0.21887210000000001</v>
      </c>
      <c r="T5438">
        <v>-0.1951398</v>
      </c>
      <c r="U5438">
        <v>-3.03952</v>
      </c>
      <c r="V5438">
        <v>0.40914889999999998</v>
      </c>
      <c r="W5438">
        <v>0.1107247</v>
      </c>
      <c r="X5438">
        <v>0.90572470000000005</v>
      </c>
      <c r="Y5438">
        <v>0.46951559999999998</v>
      </c>
      <c r="Z5438">
        <v>4.5659579999999998E-2</v>
      </c>
      <c r="AA5438">
        <v>0.88174279999999905</v>
      </c>
      <c r="AB5438">
        <v>25</v>
      </c>
      <c r="AC5438">
        <v>1.04630000000003</v>
      </c>
      <c r="AD5438">
        <v>-1.0490762298595999</v>
      </c>
      <c r="AE5438">
        <v>-16.109822000000001</v>
      </c>
      <c r="AF5438">
        <v>7.6471515136712096</v>
      </c>
      <c r="AG5438">
        <v>-1.0490762298595999</v>
      </c>
      <c r="AH5438">
        <v>14.1405418849752</v>
      </c>
      <c r="AI5438">
        <v>93.733701737259906</v>
      </c>
      <c r="AJ5438">
        <v>61.595645168240303</v>
      </c>
      <c r="AK5438">
        <v>16.1100717568184</v>
      </c>
      <c r="AL5438">
        <v>83.642907021185295</v>
      </c>
      <c r="AM5438">
        <v>65.689569389667895</v>
      </c>
      <c r="AN5438">
        <v>1.00000000687569</v>
      </c>
    </row>
    <row r="5439" spans="1:40" x14ac:dyDescent="0.25">
      <c r="A5439" t="str">
        <f>"20190312164613625"</f>
        <v>20190312164613625</v>
      </c>
      <c r="B5439" t="str">
        <f>"1552380373616764"</f>
        <v>1552380373616764</v>
      </c>
      <c r="C5439" t="s">
        <v>40</v>
      </c>
      <c r="D5439">
        <v>5.5730680000000001</v>
      </c>
      <c r="E5439">
        <v>0.53471569999999902</v>
      </c>
      <c r="F5439" t="s">
        <v>42</v>
      </c>
      <c r="G5439">
        <v>-302.1114</v>
      </c>
      <c r="H5439" s="1">
        <v>-3.3311499999999998E-7</v>
      </c>
      <c r="I5439">
        <v>-9.9464240000000004</v>
      </c>
      <c r="J5439">
        <v>-302.99419999999998</v>
      </c>
      <c r="K5439">
        <v>1.049104</v>
      </c>
      <c r="L5439">
        <v>5.7401429999999998</v>
      </c>
      <c r="M5439">
        <v>0.51956819999999904</v>
      </c>
      <c r="N5439">
        <v>0</v>
      </c>
      <c r="O5439">
        <v>-0.85429480000000002</v>
      </c>
      <c r="P5439">
        <v>0.12885450000000001</v>
      </c>
      <c r="Q5439">
        <v>0.106598</v>
      </c>
      <c r="R5439">
        <v>-0.98591779999999996</v>
      </c>
      <c r="S5439">
        <v>0.19247439999999999</v>
      </c>
      <c r="T5439">
        <v>-0.2005131</v>
      </c>
      <c r="U5439">
        <v>-3.041595</v>
      </c>
      <c r="V5439">
        <v>0.40498699999999999</v>
      </c>
      <c r="W5439">
        <v>0.1106849</v>
      </c>
      <c r="X5439">
        <v>0.90759809999999996</v>
      </c>
      <c r="Y5439">
        <v>0.46464539999999999</v>
      </c>
      <c r="Z5439">
        <v>4.7694239999999999E-2</v>
      </c>
      <c r="AA5439">
        <v>0.88421149999999904</v>
      </c>
      <c r="AB5439">
        <v>25</v>
      </c>
      <c r="AC5439">
        <v>0.88279999999997405</v>
      </c>
      <c r="AD5439">
        <v>-1.0491043331150001</v>
      </c>
      <c r="AE5439">
        <v>-15.686567</v>
      </c>
      <c r="AF5439">
        <v>7.3640837238401398</v>
      </c>
      <c r="AG5439">
        <v>-1.0491043331150001</v>
      </c>
      <c r="AH5439">
        <v>13.7996879006597</v>
      </c>
      <c r="AI5439">
        <v>93.837150842178104</v>
      </c>
      <c r="AJ5439">
        <v>61.913776140091798</v>
      </c>
      <c r="AK5439">
        <v>15.6767896952501</v>
      </c>
      <c r="AL5439">
        <v>83.645201224195802</v>
      </c>
      <c r="AM5439">
        <v>65.952690679177095</v>
      </c>
      <c r="AN5439">
        <v>0.99999996419030901</v>
      </c>
    </row>
    <row r="5440" spans="1:40" x14ac:dyDescent="0.25">
      <c r="A5440" t="str">
        <f>"20190312164613646"</f>
        <v>20190312164613646</v>
      </c>
      <c r="B5440" t="str">
        <f>"1552380373637260"</f>
        <v>1552380373637260</v>
      </c>
      <c r="C5440" t="s">
        <v>40</v>
      </c>
      <c r="D5440">
        <v>5.2311459999999999</v>
      </c>
      <c r="E5440">
        <v>0.53398769999999995</v>
      </c>
      <c r="F5440" t="s">
        <v>42</v>
      </c>
      <c r="G5440">
        <v>-302.12439999999998</v>
      </c>
      <c r="H5440" s="1">
        <v>-3.285597E-7</v>
      </c>
      <c r="I5440">
        <v>-9.9633719999999997</v>
      </c>
      <c r="J5440">
        <v>-302.87720000000002</v>
      </c>
      <c r="K5440">
        <v>1.0491280000000001</v>
      </c>
      <c r="L5440">
        <v>5.5188600000000001</v>
      </c>
      <c r="M5440">
        <v>0.50778760000000001</v>
      </c>
      <c r="N5440">
        <v>0</v>
      </c>
      <c r="O5440">
        <v>-0.86134929999999998</v>
      </c>
      <c r="P5440">
        <v>0.12018180000000001</v>
      </c>
      <c r="Q5440">
        <v>0.1065371</v>
      </c>
      <c r="R5440">
        <v>-0.98701890000000003</v>
      </c>
      <c r="S5440">
        <v>0.16854859999999999</v>
      </c>
      <c r="T5440">
        <v>-0.2032814</v>
      </c>
      <c r="U5440">
        <v>-3.0428160000000002</v>
      </c>
      <c r="V5440">
        <v>0.40048669999999997</v>
      </c>
      <c r="W5440">
        <v>0.11078010000000001</v>
      </c>
      <c r="X5440">
        <v>0.90958130000000004</v>
      </c>
      <c r="Y5440">
        <v>0.45943260000000002</v>
      </c>
      <c r="Z5440">
        <v>4.9120860000000002E-2</v>
      </c>
      <c r="AA5440">
        <v>0.88685329999999996</v>
      </c>
      <c r="AB5440">
        <v>25</v>
      </c>
      <c r="AC5440">
        <v>0.752800000000036</v>
      </c>
      <c r="AD5440">
        <v>-1.0491283285597</v>
      </c>
      <c r="AE5440">
        <v>-15.482232</v>
      </c>
      <c r="AF5440">
        <v>7.1811908746388697</v>
      </c>
      <c r="AG5440">
        <v>-1.0491283285597</v>
      </c>
      <c r="AH5440">
        <v>13.656881322411399</v>
      </c>
      <c r="AI5440">
        <v>93.889752285004903</v>
      </c>
      <c r="AJ5440">
        <v>62.263282881952101</v>
      </c>
      <c r="AK5440">
        <v>15.465464108206101</v>
      </c>
      <c r="AL5440">
        <v>83.639713042921002</v>
      </c>
      <c r="AM5440">
        <v>66.236209047649595</v>
      </c>
      <c r="AN5440">
        <v>0.999999984371294</v>
      </c>
    </row>
    <row r="5441" spans="1:40" x14ac:dyDescent="0.25">
      <c r="A5441" t="str">
        <f>"20190312164613669"</f>
        <v>20190312164613669</v>
      </c>
      <c r="B5441" t="str">
        <f>"1552380373656775"</f>
        <v>1552380373656775</v>
      </c>
      <c r="C5441" t="s">
        <v>40</v>
      </c>
      <c r="D5441">
        <v>5.3073230000000002</v>
      </c>
      <c r="E5441">
        <v>0.53339729999999996</v>
      </c>
      <c r="F5441" t="s">
        <v>42</v>
      </c>
      <c r="G5441">
        <v>-302.12990000000002</v>
      </c>
      <c r="H5441" s="1">
        <v>-3.8458400000000002E-7</v>
      </c>
      <c r="I5441">
        <v>-9.8479880000000009</v>
      </c>
      <c r="J5441">
        <v>-302.75839999999999</v>
      </c>
      <c r="K5441">
        <v>1.049153</v>
      </c>
      <c r="L5441">
        <v>5.2865909999999996</v>
      </c>
      <c r="M5441">
        <v>0.4954054</v>
      </c>
      <c r="N5441">
        <v>0</v>
      </c>
      <c r="O5441">
        <v>-0.86853019999999903</v>
      </c>
      <c r="P5441">
        <v>0.11080909999999999</v>
      </c>
      <c r="Q5441">
        <v>0.1070255</v>
      </c>
      <c r="R5441">
        <v>-0.98806269999999996</v>
      </c>
      <c r="S5441">
        <v>0.14801029999999901</v>
      </c>
      <c r="T5441">
        <v>-0.20781269999999999</v>
      </c>
      <c r="U5441">
        <v>-3.0438839999999998</v>
      </c>
      <c r="V5441">
        <v>0.39606649999999999</v>
      </c>
      <c r="W5441">
        <v>0.1114213</v>
      </c>
      <c r="X5441">
        <v>0.91143660000000004</v>
      </c>
      <c r="Y5441">
        <v>0.45269510000000002</v>
      </c>
      <c r="Z5441">
        <v>5.1039330000000001E-2</v>
      </c>
      <c r="AA5441">
        <v>0.89020339999999998</v>
      </c>
      <c r="AB5441">
        <v>25</v>
      </c>
      <c r="AC5441">
        <v>0.62849999999997397</v>
      </c>
      <c r="AD5441">
        <v>-1.049153384584</v>
      </c>
      <c r="AE5441">
        <v>-15.134579</v>
      </c>
      <c r="AF5441">
        <v>6.9194820720912604</v>
      </c>
      <c r="AG5441">
        <v>-1.049153384584</v>
      </c>
      <c r="AH5441">
        <v>13.3934893305039</v>
      </c>
      <c r="AI5441">
        <v>93.981033776632003</v>
      </c>
      <c r="AJ5441">
        <v>62.6777544982805</v>
      </c>
      <c r="AK5441">
        <v>15.1117673161248</v>
      </c>
      <c r="AL5441">
        <v>83.602746406319397</v>
      </c>
      <c r="AM5441">
        <v>66.512552695659295</v>
      </c>
      <c r="AN5441">
        <v>1.0000000271677401</v>
      </c>
    </row>
    <row r="5442" spans="1:40" x14ac:dyDescent="0.25">
      <c r="A5442" t="str">
        <f>"20190312164613692"</f>
        <v>20190312164613692</v>
      </c>
      <c r="B5442" t="str">
        <f>"1552380373687031"</f>
        <v>1552380373687031</v>
      </c>
      <c r="C5442" t="s">
        <v>40</v>
      </c>
      <c r="D5442">
        <v>5.217727</v>
      </c>
      <c r="E5442">
        <v>0.53244539999999996</v>
      </c>
      <c r="F5442" t="s">
        <v>42</v>
      </c>
      <c r="G5442">
        <v>-302.14249999999998</v>
      </c>
      <c r="H5442" s="1">
        <v>-3.835373E-7</v>
      </c>
      <c r="I5442">
        <v>-9.8572860000000002</v>
      </c>
      <c r="J5442">
        <v>-302.63889999999998</v>
      </c>
      <c r="K5442">
        <v>1.0491820000000001</v>
      </c>
      <c r="L5442">
        <v>5.0436399999999999</v>
      </c>
      <c r="M5442">
        <v>0.4824445</v>
      </c>
      <c r="N5442">
        <v>0</v>
      </c>
      <c r="O5442">
        <v>-0.87579580000000001</v>
      </c>
      <c r="P5442">
        <v>0.10157099999999999</v>
      </c>
      <c r="Q5442">
        <v>0.1070199</v>
      </c>
      <c r="R5442">
        <v>-0.98905520000000002</v>
      </c>
      <c r="S5442">
        <v>0.1238403</v>
      </c>
      <c r="T5442">
        <v>-0.2109683</v>
      </c>
      <c r="U5442">
        <v>-3.0451969999999999</v>
      </c>
      <c r="V5442">
        <v>0.39101960000000002</v>
      </c>
      <c r="W5442">
        <v>0.1115881</v>
      </c>
      <c r="X5442">
        <v>0.91359279999999998</v>
      </c>
      <c r="Y5442">
        <v>0.44650919999999999</v>
      </c>
      <c r="Z5442">
        <v>5.2644379999999998E-2</v>
      </c>
      <c r="AA5442">
        <v>0.893229099999999</v>
      </c>
      <c r="AB5442">
        <v>25</v>
      </c>
      <c r="AC5442">
        <v>0.49639999999999401</v>
      </c>
      <c r="AD5442">
        <v>-1.0491823835373</v>
      </c>
      <c r="AE5442">
        <v>-14.900926</v>
      </c>
      <c r="AF5442">
        <v>6.7216118820923398</v>
      </c>
      <c r="AG5442">
        <v>-1.0491823835373</v>
      </c>
      <c r="AH5442">
        <v>13.225680375523799</v>
      </c>
      <c r="AI5442">
        <v>94.045222787323297</v>
      </c>
      <c r="AJ5442">
        <v>63.059217063937801</v>
      </c>
      <c r="AK5442">
        <v>14.8727761821029</v>
      </c>
      <c r="AL5442">
        <v>83.593129439171705</v>
      </c>
      <c r="AM5442">
        <v>66.828975505314204</v>
      </c>
      <c r="AN5442">
        <v>1.0000000179288</v>
      </c>
    </row>
    <row r="5443" spans="1:40" x14ac:dyDescent="0.25">
      <c r="A5443" t="str">
        <f>"20190312164613715"</f>
        <v>20190312164613715</v>
      </c>
      <c r="B5443" t="str">
        <f>"1552380373706551"</f>
        <v>1552380373706551</v>
      </c>
      <c r="C5443" t="s">
        <v>40</v>
      </c>
      <c r="D5443">
        <v>5.3702649999999998</v>
      </c>
      <c r="E5443">
        <v>0.53186109999999998</v>
      </c>
      <c r="F5443" t="s">
        <v>42</v>
      </c>
      <c r="G5443">
        <v>-302.1395</v>
      </c>
      <c r="H5443" s="1">
        <v>-3.9050470000000001E-7</v>
      </c>
      <c r="I5443">
        <v>-9.8408470000000001</v>
      </c>
      <c r="J5443">
        <v>-302.52769999999998</v>
      </c>
      <c r="K5443">
        <v>1.04921</v>
      </c>
      <c r="L5443">
        <v>4.8090210000000004</v>
      </c>
      <c r="M5443">
        <v>0.4699141</v>
      </c>
      <c r="N5443">
        <v>0</v>
      </c>
      <c r="O5443">
        <v>-0.882582599999999</v>
      </c>
      <c r="P5443">
        <v>9.3539369999999997E-2</v>
      </c>
      <c r="Q5443">
        <v>0.1056893</v>
      </c>
      <c r="R5443">
        <v>-0.98999040000000005</v>
      </c>
      <c r="S5443">
        <v>0.1022034</v>
      </c>
      <c r="T5443">
        <v>-0.21470239999999999</v>
      </c>
      <c r="U5443">
        <v>-3.0459290000000001</v>
      </c>
      <c r="V5443">
        <v>0.38542880000000002</v>
      </c>
      <c r="W5443">
        <v>0.1104451</v>
      </c>
      <c r="X5443">
        <v>0.91610400000000003</v>
      </c>
      <c r="Y5443">
        <v>0.44009510000000002</v>
      </c>
      <c r="Z5443">
        <v>5.4381770000000003E-2</v>
      </c>
      <c r="AA5443">
        <v>0.89630290000000001</v>
      </c>
      <c r="AB5443">
        <v>25</v>
      </c>
      <c r="AC5443">
        <v>0.388199999999983</v>
      </c>
      <c r="AD5443">
        <v>-1.0492103905047001</v>
      </c>
      <c r="AE5443">
        <v>-14.649868</v>
      </c>
      <c r="AF5443">
        <v>6.5089462194585401</v>
      </c>
      <c r="AG5443">
        <v>-1.0492103905047001</v>
      </c>
      <c r="AH5443">
        <v>13.0467650658621</v>
      </c>
      <c r="AI5443">
        <v>94.115963251234007</v>
      </c>
      <c r="AJ5443">
        <v>63.485689730364498</v>
      </c>
      <c r="AK5443">
        <v>14.617978725362301</v>
      </c>
      <c r="AL5443">
        <v>83.659025798654099</v>
      </c>
      <c r="AM5443">
        <v>67.182242575392905</v>
      </c>
      <c r="AN5443">
        <v>1.0000000093997199</v>
      </c>
    </row>
    <row r="5444" spans="1:40" x14ac:dyDescent="0.25">
      <c r="A5444" t="str">
        <f>"20190312164613739"</f>
        <v>20190312164613739</v>
      </c>
      <c r="B5444" t="str">
        <f>"1552380373727047"</f>
        <v>1552380373727047</v>
      </c>
      <c r="C5444" t="s">
        <v>40</v>
      </c>
      <c r="D5444">
        <v>5.2660460000000002</v>
      </c>
      <c r="E5444">
        <v>0.53122849999999999</v>
      </c>
      <c r="F5444" t="s">
        <v>42</v>
      </c>
      <c r="G5444">
        <v>-302.14400000000001</v>
      </c>
      <c r="H5444" s="1">
        <v>-5.104523E-7</v>
      </c>
      <c r="I5444">
        <v>-9.5896600000000003</v>
      </c>
      <c r="J5444">
        <v>-302.41239999999999</v>
      </c>
      <c r="K5444">
        <v>1.049237</v>
      </c>
      <c r="L5444">
        <v>4.5562129999999996</v>
      </c>
      <c r="M5444">
        <v>0.45639350000000001</v>
      </c>
      <c r="N5444">
        <v>0</v>
      </c>
      <c r="O5444">
        <v>-0.88964949999999998</v>
      </c>
      <c r="P5444">
        <v>8.5205890000000006E-2</v>
      </c>
      <c r="Q5444">
        <v>0.103479</v>
      </c>
      <c r="R5444">
        <v>-0.99097550000000001</v>
      </c>
      <c r="S5444">
        <v>8.1176760000000001E-2</v>
      </c>
      <c r="T5444">
        <v>-0.2219834</v>
      </c>
      <c r="U5444">
        <v>-3.0463559999999998</v>
      </c>
      <c r="V5444">
        <v>0.3791891</v>
      </c>
      <c r="W5444">
        <v>0.1084435</v>
      </c>
      <c r="X5444">
        <v>0.91894260000000005</v>
      </c>
      <c r="Y5444">
        <v>0.43256840000000002</v>
      </c>
      <c r="Z5444">
        <v>5.7107489999999997E-2</v>
      </c>
      <c r="AA5444">
        <v>0.89979069999999906</v>
      </c>
      <c r="AB5444">
        <v>25</v>
      </c>
      <c r="AC5444">
        <v>0.26839999999998498</v>
      </c>
      <c r="AD5444">
        <v>-1.0492375104523</v>
      </c>
      <c r="AE5444">
        <v>-14.145873</v>
      </c>
      <c r="AF5444">
        <v>6.1840041561930299</v>
      </c>
      <c r="AG5444">
        <v>-1.0492375104523</v>
      </c>
      <c r="AH5444">
        <v>12.639307206025</v>
      </c>
      <c r="AI5444">
        <v>94.264493278997804</v>
      </c>
      <c r="AJ5444">
        <v>63.9289921370206</v>
      </c>
      <c r="AK5444">
        <v>14.1100989863795</v>
      </c>
      <c r="AL5444">
        <v>83.774401653376103</v>
      </c>
      <c r="AM5444">
        <v>67.577177653967297</v>
      </c>
      <c r="AN5444">
        <v>0.999999934172907</v>
      </c>
    </row>
    <row r="5445" spans="1:40" x14ac:dyDescent="0.25">
      <c r="A5445" t="str">
        <f>"20190312164613759"</f>
        <v>20190312164613759</v>
      </c>
      <c r="B5445" t="str">
        <f>"1552380373746567"</f>
        <v>1552380373746567</v>
      </c>
      <c r="C5445" t="s">
        <v>40</v>
      </c>
      <c r="D5445">
        <v>5.2173400000000001</v>
      </c>
      <c r="E5445">
        <v>0.53061610000000003</v>
      </c>
      <c r="F5445" t="s">
        <v>42</v>
      </c>
      <c r="G5445">
        <v>-302.14550000000003</v>
      </c>
      <c r="H5445" s="1">
        <v>-6.7068439999999899E-7</v>
      </c>
      <c r="I5445">
        <v>-9.2515269999999994</v>
      </c>
      <c r="J5445">
        <v>-302.32190000000003</v>
      </c>
      <c r="K5445">
        <v>1.0492619999999999</v>
      </c>
      <c r="L5445">
        <v>4.3504639999999997</v>
      </c>
      <c r="M5445">
        <v>0.4453761</v>
      </c>
      <c r="N5445">
        <v>0</v>
      </c>
      <c r="O5445">
        <v>-0.89521600000000001</v>
      </c>
      <c r="P5445">
        <v>8.152616E-2</v>
      </c>
      <c r="Q5445">
        <v>0.10257280000000001</v>
      </c>
      <c r="R5445">
        <v>-0.99137929999999996</v>
      </c>
      <c r="S5445">
        <v>5.8868410000000003E-2</v>
      </c>
      <c r="T5445">
        <v>-0.2314967</v>
      </c>
      <c r="U5445">
        <v>-3.0464479999999998</v>
      </c>
      <c r="V5445">
        <v>0.37124649999999998</v>
      </c>
      <c r="W5445">
        <v>0.10778890000000001</v>
      </c>
      <c r="X5445">
        <v>0.92225679999999999</v>
      </c>
      <c r="Y5445">
        <v>0.42802010000000001</v>
      </c>
      <c r="Z5445">
        <v>6.0250610000000003E-2</v>
      </c>
      <c r="AA5445">
        <v>0.90175870000000002</v>
      </c>
      <c r="AB5445">
        <v>25</v>
      </c>
      <c r="AC5445">
        <v>0.176400000000001</v>
      </c>
      <c r="AD5445">
        <v>-1.0492626706843999</v>
      </c>
      <c r="AE5445">
        <v>-13.601991</v>
      </c>
      <c r="AF5445">
        <v>5.8658598983242998</v>
      </c>
      <c r="AG5445">
        <v>-1.0492626706843999</v>
      </c>
      <c r="AH5445">
        <v>12.1841928552199</v>
      </c>
      <c r="AI5445">
        <v>94.436850338577898</v>
      </c>
      <c r="AJ5445">
        <v>64.292349458876899</v>
      </c>
      <c r="AK5445">
        <v>13.563326289375</v>
      </c>
      <c r="AL5445">
        <v>83.812129077590697</v>
      </c>
      <c r="AM5445">
        <v>68.073175794623197</v>
      </c>
      <c r="AN5445">
        <v>1.00000000793585</v>
      </c>
    </row>
    <row r="5446" spans="1:40" x14ac:dyDescent="0.25">
      <c r="A5446" t="str">
        <f>"20190312164613781"</f>
        <v>20190312164613781</v>
      </c>
      <c r="B5446" t="str">
        <f>"1552380373776612"</f>
        <v>1552380373776612</v>
      </c>
      <c r="C5446" t="s">
        <v>40</v>
      </c>
      <c r="D5446">
        <v>5.3355459999999999</v>
      </c>
      <c r="E5446">
        <v>0.52976880000000004</v>
      </c>
      <c r="F5446" t="s">
        <v>42</v>
      </c>
      <c r="G5446">
        <v>-302.1044</v>
      </c>
      <c r="H5446" s="1">
        <v>-6.9399019999999997E-7</v>
      </c>
      <c r="I5446">
        <v>-9.1790719999999997</v>
      </c>
      <c r="J5446">
        <v>-302.21850000000001</v>
      </c>
      <c r="K5446">
        <v>1.0492950000000001</v>
      </c>
      <c r="L5446">
        <v>4.1063539999999996</v>
      </c>
      <c r="M5446">
        <v>0.43229250000000002</v>
      </c>
      <c r="N5446">
        <v>0</v>
      </c>
      <c r="O5446">
        <v>-0.90160669999999998</v>
      </c>
      <c r="P5446">
        <v>7.5104770000000001E-2</v>
      </c>
      <c r="Q5446">
        <v>0.1034255</v>
      </c>
      <c r="R5446">
        <v>-0.99179740000000005</v>
      </c>
      <c r="S5446">
        <v>4.8980709999999997E-2</v>
      </c>
      <c r="T5446">
        <v>-0.23626739999999999</v>
      </c>
      <c r="U5446">
        <v>-3.0465089999999999</v>
      </c>
      <c r="V5446">
        <v>0.36374139999999999</v>
      </c>
      <c r="W5446">
        <v>0.10887860000000001</v>
      </c>
      <c r="X5446">
        <v>0.92511489999999996</v>
      </c>
      <c r="Y5446">
        <v>0.41776269999999999</v>
      </c>
      <c r="Z5446">
        <v>6.2407020000000001E-2</v>
      </c>
      <c r="AA5446">
        <v>0.9064103</v>
      </c>
      <c r="AB5446">
        <v>25</v>
      </c>
      <c r="AC5446">
        <v>0.114100000000007</v>
      </c>
      <c r="AD5446">
        <v>-1.0492956939902001</v>
      </c>
      <c r="AE5446">
        <v>-13.285425999999999</v>
      </c>
      <c r="AF5446">
        <v>5.6059937955605701</v>
      </c>
      <c r="AG5446">
        <v>-1.0492956939902001</v>
      </c>
      <c r="AH5446">
        <v>11.9543626519872</v>
      </c>
      <c r="AI5446">
        <v>94.543784772730106</v>
      </c>
      <c r="AJ5446">
        <v>64.875788934844607</v>
      </c>
      <c r="AK5446">
        <v>13.245186835394801</v>
      </c>
      <c r="AL5446">
        <v>83.749323973552805</v>
      </c>
      <c r="AM5446">
        <v>68.535986962156898</v>
      </c>
      <c r="AN5446">
        <v>0.99999996690696402</v>
      </c>
    </row>
    <row r="5447" spans="1:40" x14ac:dyDescent="0.25">
      <c r="A5447" t="str">
        <f>"20190312164613803"</f>
        <v>20190312164613803</v>
      </c>
      <c r="B5447" t="str">
        <f>"1552380373797105"</f>
        <v>1552380373797105</v>
      </c>
      <c r="C5447" t="s">
        <v>40</v>
      </c>
      <c r="D5447">
        <v>5.2604739999999897</v>
      </c>
      <c r="E5447">
        <v>0.52928980000000003</v>
      </c>
      <c r="F5447" t="s">
        <v>42</v>
      </c>
      <c r="G5447">
        <v>-302.07299999999998</v>
      </c>
      <c r="H5447" s="1">
        <v>-5.8902459999999997E-7</v>
      </c>
      <c r="I5447">
        <v>-9.3834250000000008</v>
      </c>
      <c r="J5447">
        <v>-302.12079999999997</v>
      </c>
      <c r="K5447">
        <v>1.0493250000000001</v>
      </c>
      <c r="L5447">
        <v>3.8664550000000002</v>
      </c>
      <c r="M5447">
        <v>0.41942289999999999</v>
      </c>
      <c r="N5447">
        <v>0</v>
      </c>
      <c r="O5447">
        <v>-0.90766530000000001</v>
      </c>
      <c r="P5447">
        <v>6.9182720000000003E-2</v>
      </c>
      <c r="Q5447">
        <v>0.1053978</v>
      </c>
      <c r="R5447">
        <v>-0.99202080000000004</v>
      </c>
      <c r="S5447">
        <v>3.2867430000000003E-2</v>
      </c>
      <c r="T5447">
        <v>-0.23701140000000001</v>
      </c>
      <c r="U5447">
        <v>-3.0470280000000001</v>
      </c>
      <c r="V5447">
        <v>0.35603309999999999</v>
      </c>
      <c r="W5447">
        <v>0.111091</v>
      </c>
      <c r="X5447">
        <v>0.92784659999999997</v>
      </c>
      <c r="Y5447">
        <v>0.4096207</v>
      </c>
      <c r="Z5447">
        <v>6.3436160000000005E-2</v>
      </c>
      <c r="AA5447">
        <v>0.91004770000000001</v>
      </c>
      <c r="AB5447">
        <v>25</v>
      </c>
      <c r="AC5447">
        <v>4.7799999999995103E-2</v>
      </c>
      <c r="AD5447">
        <v>-1.0493255890246</v>
      </c>
      <c r="AE5447">
        <v>-13.249879999999999</v>
      </c>
      <c r="AF5447">
        <v>5.4801752896542997</v>
      </c>
      <c r="AG5447">
        <v>-1.0493255890246</v>
      </c>
      <c r="AH5447">
        <v>11.972788340623101</v>
      </c>
      <c r="AI5447">
        <v>94.556344801504693</v>
      </c>
      <c r="AJ5447">
        <v>65.405519932133004</v>
      </c>
      <c r="AK5447">
        <v>13.2091281334719</v>
      </c>
      <c r="AL5447">
        <v>83.621789545110005</v>
      </c>
      <c r="AM5447">
        <v>69.007203707424196</v>
      </c>
      <c r="AN5447">
        <v>1.0000000458540801</v>
      </c>
    </row>
    <row r="5448" spans="1:40" x14ac:dyDescent="0.25">
      <c r="A5448" t="str">
        <f>"20190312164613825"</f>
        <v>20190312164613825</v>
      </c>
      <c r="B5448" t="str">
        <f>"1552380373816625"</f>
        <v>1552380373816625</v>
      </c>
      <c r="C5448" t="s">
        <v>40</v>
      </c>
      <c r="D5448">
        <v>5.3382779999999999</v>
      </c>
      <c r="E5448">
        <v>0.52877859999999999</v>
      </c>
      <c r="F5448" t="s">
        <v>42</v>
      </c>
      <c r="G5448">
        <v>-302.03379999999999</v>
      </c>
      <c r="H5448" s="1">
        <v>-3.5685200000000002E-7</v>
      </c>
      <c r="I5448">
        <v>-9.8525700000000001</v>
      </c>
      <c r="J5448">
        <v>-302.03100000000001</v>
      </c>
      <c r="K5448">
        <v>1.0493629999999901</v>
      </c>
      <c r="L5448">
        <v>3.6367799999999999</v>
      </c>
      <c r="M5448">
        <v>0.40710259999999998</v>
      </c>
      <c r="N5448">
        <v>0</v>
      </c>
      <c r="O5448">
        <v>-0.91325750000000006</v>
      </c>
      <c r="P5448">
        <v>6.4469540000000006E-2</v>
      </c>
      <c r="Q5448">
        <v>0.10770200000000001</v>
      </c>
      <c r="R5448">
        <v>-0.99209080000000005</v>
      </c>
      <c r="S5448">
        <v>1.9317629999999999E-2</v>
      </c>
      <c r="T5448">
        <v>-0.2330972</v>
      </c>
      <c r="U5448">
        <v>-3.0475460000000001</v>
      </c>
      <c r="V5448">
        <v>0.34780559999999899</v>
      </c>
      <c r="W5448">
        <v>0.113651</v>
      </c>
      <c r="X5448">
        <v>0.93065290000000001</v>
      </c>
      <c r="Y5448">
        <v>0.40131309999999998</v>
      </c>
      <c r="Z5448">
        <v>6.3160740000000007E-2</v>
      </c>
      <c r="AA5448">
        <v>0.91376069999999998</v>
      </c>
      <c r="AB5448">
        <v>25</v>
      </c>
      <c r="AC5448">
        <v>-2.7999999999792601E-3</v>
      </c>
      <c r="AD5448">
        <v>-1.04936335685199</v>
      </c>
      <c r="AE5448">
        <v>-13.48935</v>
      </c>
      <c r="AF5448">
        <v>5.4616817196874097</v>
      </c>
      <c r="AG5448">
        <v>-1.04936335685199</v>
      </c>
      <c r="AH5448">
        <v>12.245411729738199</v>
      </c>
      <c r="AI5448">
        <v>94.475003707543905</v>
      </c>
      <c r="AJ5448">
        <v>65.962238419988495</v>
      </c>
      <c r="AK5448">
        <v>13.4492096084744</v>
      </c>
      <c r="AL5448">
        <v>83.474177431382401</v>
      </c>
      <c r="AM5448">
        <v>69.508170731200707</v>
      </c>
      <c r="AN5448">
        <v>1.0000000527353801</v>
      </c>
    </row>
    <row r="5449" spans="1:40" x14ac:dyDescent="0.25">
      <c r="A5449" t="str">
        <f>"20190312164613847"</f>
        <v>20190312164613847</v>
      </c>
      <c r="B5449" t="str">
        <f>"1552380373837121"</f>
        <v>1552380373837121</v>
      </c>
      <c r="C5449" t="s">
        <v>40</v>
      </c>
      <c r="D5449">
        <v>5.356433</v>
      </c>
      <c r="E5449">
        <v>0.52829150000000002</v>
      </c>
      <c r="F5449" t="s">
        <v>42</v>
      </c>
      <c r="G5449">
        <v>-301.98680000000002</v>
      </c>
      <c r="H5449" s="1">
        <v>-4.6495080000000003E-6</v>
      </c>
      <c r="I5449">
        <v>-10.38603</v>
      </c>
      <c r="J5449">
        <v>-301.94060000000002</v>
      </c>
      <c r="K5449">
        <v>1.049404</v>
      </c>
      <c r="L5449">
        <v>3.3958129999999902</v>
      </c>
      <c r="M5449">
        <v>0.39419900000000002</v>
      </c>
      <c r="N5449">
        <v>0</v>
      </c>
      <c r="O5449">
        <v>-0.91890119999999997</v>
      </c>
      <c r="P5449">
        <v>6.0497000000000002E-2</v>
      </c>
      <c r="Q5449">
        <v>0.1087428</v>
      </c>
      <c r="R5449">
        <v>-0.99222759999999999</v>
      </c>
      <c r="S5449">
        <v>9.6130369999999996E-3</v>
      </c>
      <c r="T5449">
        <v>-0.2280954</v>
      </c>
      <c r="U5449">
        <v>-3.0480649999999998</v>
      </c>
      <c r="V5449">
        <v>0.33835900000000002</v>
      </c>
      <c r="W5449">
        <v>0.1149917</v>
      </c>
      <c r="X5449">
        <v>0.93396469999999998</v>
      </c>
      <c r="Y5449">
        <v>0.3913045</v>
      </c>
      <c r="Z5449">
        <v>6.2592690000000006E-2</v>
      </c>
      <c r="AA5449">
        <v>0.91813009999999995</v>
      </c>
      <c r="AB5449">
        <v>25</v>
      </c>
      <c r="AC5449">
        <v>-4.6199999999998902E-2</v>
      </c>
      <c r="AD5449">
        <v>-1.0494086495079999</v>
      </c>
      <c r="AE5449">
        <v>-13.781843</v>
      </c>
      <c r="AF5449">
        <v>5.4443000767807899</v>
      </c>
      <c r="AG5449">
        <v>-1.0494086495079999</v>
      </c>
      <c r="AH5449">
        <v>12.574474878551101</v>
      </c>
      <c r="AI5449">
        <v>94.3794675417967</v>
      </c>
      <c r="AJ5449">
        <v>66.589105710924798</v>
      </c>
      <c r="AK5449">
        <v>13.742600929627899</v>
      </c>
      <c r="AL5449">
        <v>83.396853565404101</v>
      </c>
      <c r="AM5449">
        <v>70.085438174417007</v>
      </c>
      <c r="AN5449">
        <v>0.99999998239798904</v>
      </c>
    </row>
    <row r="5450" spans="1:40" x14ac:dyDescent="0.25">
      <c r="A5450" t="str">
        <f>"20190312164613870"</f>
        <v>20190312164613870</v>
      </c>
      <c r="B5450" t="str">
        <f>"1552380373866992"</f>
        <v>1552380373866992</v>
      </c>
      <c r="C5450" t="s">
        <v>40</v>
      </c>
      <c r="D5450">
        <v>5.3855789999999999</v>
      </c>
      <c r="E5450">
        <v>0.52739639999999999</v>
      </c>
      <c r="F5450" t="s">
        <v>42</v>
      </c>
      <c r="G5450">
        <v>-301.94409999999999</v>
      </c>
      <c r="H5450" s="1">
        <v>-4.4925380000000004E-6</v>
      </c>
      <c r="I5450">
        <v>-10.82504</v>
      </c>
      <c r="J5450">
        <v>-301.85419999999999</v>
      </c>
      <c r="K5450">
        <v>1.0494619999999999</v>
      </c>
      <c r="L5450">
        <v>3.1553339999999999</v>
      </c>
      <c r="M5450">
        <v>0.381386</v>
      </c>
      <c r="N5450">
        <v>0</v>
      </c>
      <c r="O5450">
        <v>-0.92429300000000003</v>
      </c>
      <c r="P5450">
        <v>5.5813540000000002E-2</v>
      </c>
      <c r="Q5450">
        <v>0.10792789999999999</v>
      </c>
      <c r="R5450">
        <v>-0.992591</v>
      </c>
      <c r="S5450">
        <v>-7.6293949999999998E-4</v>
      </c>
      <c r="T5450">
        <v>-0.22493679999999999</v>
      </c>
      <c r="U5450">
        <v>-3.048187</v>
      </c>
      <c r="V5450">
        <v>0.32975080000000001</v>
      </c>
      <c r="W5450">
        <v>0.11446729999999999</v>
      </c>
      <c r="X5450">
        <v>0.93710280000000001</v>
      </c>
      <c r="Y5450">
        <v>0.3816194</v>
      </c>
      <c r="Z5450">
        <v>6.2470119999999997E-2</v>
      </c>
      <c r="AA5450">
        <v>0.92220610000000003</v>
      </c>
      <c r="AB5450">
        <v>25</v>
      </c>
      <c r="AC5450">
        <v>-8.9899999999999994E-2</v>
      </c>
      <c r="AD5450">
        <v>-1.049466492538</v>
      </c>
      <c r="AE5450">
        <v>-13.980373999999999</v>
      </c>
      <c r="AF5450">
        <v>5.3852828168659697</v>
      </c>
      <c r="AG5450">
        <v>-1.049466492538</v>
      </c>
      <c r="AH5450">
        <v>12.816918027805601</v>
      </c>
      <c r="AI5450">
        <v>94.3169879480227</v>
      </c>
      <c r="AJ5450">
        <v>67.2093212317358</v>
      </c>
      <c r="AK5450">
        <v>13.9418807435754</v>
      </c>
      <c r="AL5450">
        <v>83.427099343241494</v>
      </c>
      <c r="AM5450">
        <v>70.613882383145096</v>
      </c>
      <c r="AN5450">
        <v>1.00000000531888</v>
      </c>
    </row>
    <row r="5451" spans="1:40" x14ac:dyDescent="0.25">
      <c r="A5451" t="str">
        <f>"20190312164613897"</f>
        <v>20190312164613897</v>
      </c>
      <c r="B5451" t="str">
        <f>"1552380373886511"</f>
        <v>1552380373886511</v>
      </c>
      <c r="C5451" t="s">
        <v>40</v>
      </c>
      <c r="D5451">
        <v>5.3668709999999997</v>
      </c>
      <c r="E5451">
        <v>0.52694300000000005</v>
      </c>
      <c r="F5451" t="s">
        <v>42</v>
      </c>
      <c r="G5451">
        <v>-301.89550000000003</v>
      </c>
      <c r="H5451" s="1">
        <v>-4.5489219999999999E-6</v>
      </c>
      <c r="I5451">
        <v>-10.634</v>
      </c>
      <c r="J5451">
        <v>-301.75479999999999</v>
      </c>
      <c r="K5451">
        <v>1.049569</v>
      </c>
      <c r="L5451">
        <v>2.864471</v>
      </c>
      <c r="M5451">
        <v>0.3660369</v>
      </c>
      <c r="N5451">
        <v>0</v>
      </c>
      <c r="O5451">
        <v>-0.93047860000000004</v>
      </c>
      <c r="P5451">
        <v>4.5875970000000002E-2</v>
      </c>
      <c r="Q5451">
        <v>0.1063847</v>
      </c>
      <c r="R5451">
        <v>-0.99326619999999999</v>
      </c>
      <c r="S5451">
        <v>-9.1247559999999995E-3</v>
      </c>
      <c r="T5451">
        <v>-0.2319843</v>
      </c>
      <c r="U5451">
        <v>-3.0481259999999999</v>
      </c>
      <c r="V5451">
        <v>0.3235941</v>
      </c>
      <c r="W5451">
        <v>0.1131764</v>
      </c>
      <c r="X5451">
        <v>0.93940299999999999</v>
      </c>
      <c r="Y5451">
        <v>0.36881700000000001</v>
      </c>
      <c r="Z5451">
        <v>6.5316630000000001E-2</v>
      </c>
      <c r="AA5451">
        <v>0.92720429999999998</v>
      </c>
      <c r="AB5451">
        <v>25</v>
      </c>
      <c r="AC5451">
        <v>-0.14070000000003799</v>
      </c>
      <c r="AD5451">
        <v>-1.0495735489219999</v>
      </c>
      <c r="AE5451">
        <v>-13.498470999999901</v>
      </c>
      <c r="AF5451">
        <v>5.0419519435906697</v>
      </c>
      <c r="AG5451">
        <v>-1.0495735489219999</v>
      </c>
      <c r="AH5451">
        <v>12.434783694910401</v>
      </c>
      <c r="AI5451">
        <v>94.472614048249497</v>
      </c>
      <c r="AJ5451">
        <v>67.928841994035906</v>
      </c>
      <c r="AK5451">
        <v>13.459076104075001</v>
      </c>
      <c r="AL5451">
        <v>83.501546368690896</v>
      </c>
      <c r="AM5451">
        <v>70.992818730279396</v>
      </c>
      <c r="AN5451">
        <v>1.0000000177403801</v>
      </c>
    </row>
    <row r="5452" spans="1:40" x14ac:dyDescent="0.25">
      <c r="A5452" t="str">
        <f>"20190312164613919"</f>
        <v>20190312164613919</v>
      </c>
      <c r="B5452" t="str">
        <f>"1552380373907007"</f>
        <v>1552380373907007</v>
      </c>
      <c r="C5452" t="s">
        <v>40</v>
      </c>
      <c r="D5452">
        <v>5.3187259999999998</v>
      </c>
      <c r="E5452">
        <v>0.52649029999999997</v>
      </c>
      <c r="F5452" t="s">
        <v>42</v>
      </c>
      <c r="G5452">
        <v>-301.88619999999997</v>
      </c>
      <c r="H5452" s="1">
        <v>-4.6062720000000003E-6</v>
      </c>
      <c r="I5452">
        <v>-10.460660000000001</v>
      </c>
      <c r="J5452">
        <v>-301.67500000000001</v>
      </c>
      <c r="K5452">
        <v>1.0496989999999999</v>
      </c>
      <c r="L5452">
        <v>2.6197509999999999</v>
      </c>
      <c r="M5452">
        <v>0.35324739999999999</v>
      </c>
      <c r="N5452">
        <v>0</v>
      </c>
      <c r="O5452">
        <v>-0.93540909999999999</v>
      </c>
      <c r="P5452">
        <v>3.8373999999999998E-2</v>
      </c>
      <c r="Q5452">
        <v>0.1046391</v>
      </c>
      <c r="R5452">
        <v>-0.99376980000000004</v>
      </c>
      <c r="S5452">
        <v>-3.0059809999999999E-2</v>
      </c>
      <c r="T5452">
        <v>-0.2400349</v>
      </c>
      <c r="U5452">
        <v>-3.0474239999999999</v>
      </c>
      <c r="V5452">
        <v>0.3177856</v>
      </c>
      <c r="W5452">
        <v>0.11167009999999999</v>
      </c>
      <c r="X5452">
        <v>0.9415637</v>
      </c>
      <c r="Y5452">
        <v>0.3624348</v>
      </c>
      <c r="Z5452">
        <v>6.8259650000000005E-2</v>
      </c>
      <c r="AA5452">
        <v>0.9295061</v>
      </c>
      <c r="AB5452">
        <v>25</v>
      </c>
      <c r="AC5452">
        <v>-0.211199999999962</v>
      </c>
      <c r="AD5452">
        <v>-1.049703606272</v>
      </c>
      <c r="AE5452">
        <v>-13.080411</v>
      </c>
      <c r="AF5452">
        <v>4.7878979798033701</v>
      </c>
      <c r="AG5452">
        <v>-1.049703606272</v>
      </c>
      <c r="AH5452">
        <v>12.0844998529828</v>
      </c>
      <c r="AI5452">
        <v>94.616970369055906</v>
      </c>
      <c r="AJ5452">
        <v>68.386450748393301</v>
      </c>
      <c r="AK5452">
        <v>13.0407431315385</v>
      </c>
      <c r="AL5452">
        <v>83.588401842644103</v>
      </c>
      <c r="AM5452">
        <v>71.350032340074605</v>
      </c>
      <c r="AN5452">
        <v>1.0000000499795201</v>
      </c>
    </row>
    <row r="5453" spans="1:40" x14ac:dyDescent="0.25">
      <c r="A5453" t="str">
        <f>"20190312164613948"</f>
        <v>20190312164613948</v>
      </c>
      <c r="B5453" t="str">
        <f>"1552380373937263"</f>
        <v>1552380373937263</v>
      </c>
      <c r="C5453" t="s">
        <v>40</v>
      </c>
      <c r="D5453">
        <v>5.4048400000000001</v>
      </c>
      <c r="E5453">
        <v>0.52604430000000002</v>
      </c>
      <c r="F5453" t="s">
        <v>42</v>
      </c>
      <c r="G5453">
        <v>-301.86759999999998</v>
      </c>
      <c r="H5453" s="1">
        <v>-7.0059970000000004E-8</v>
      </c>
      <c r="I5453">
        <v>-10.365690000000001</v>
      </c>
      <c r="J5453">
        <v>-301.5779</v>
      </c>
      <c r="K5453">
        <v>1.049906</v>
      </c>
      <c r="L5453">
        <v>2.3077700000000001</v>
      </c>
      <c r="M5453">
        <v>0.33719829999999901</v>
      </c>
      <c r="N5453">
        <v>0</v>
      </c>
      <c r="O5453">
        <v>-0.94131430000000005</v>
      </c>
      <c r="P5453">
        <v>2.9075859999999999E-2</v>
      </c>
      <c r="Q5453">
        <v>0.1015836</v>
      </c>
      <c r="R5453">
        <v>-0.99440229999999996</v>
      </c>
      <c r="S5453">
        <v>-4.5196529999999999E-2</v>
      </c>
      <c r="T5453">
        <v>-0.24626700000000001</v>
      </c>
      <c r="U5453">
        <v>-3.046478</v>
      </c>
      <c r="V5453">
        <v>0.31045109999999998</v>
      </c>
      <c r="W5453">
        <v>0.1089417</v>
      </c>
      <c r="X5453">
        <v>0.94432609999999995</v>
      </c>
      <c r="Y5453">
        <v>0.35108859999999997</v>
      </c>
      <c r="Z5453">
        <v>7.0926399999999903E-2</v>
      </c>
      <c r="AA5453">
        <v>0.93365209999999998</v>
      </c>
      <c r="AB5453">
        <v>25</v>
      </c>
      <c r="AC5453">
        <v>-0.28969999999998203</v>
      </c>
      <c r="AD5453">
        <v>-1.0499060700599701</v>
      </c>
      <c r="AE5453">
        <v>-12.67346</v>
      </c>
      <c r="AF5453">
        <v>4.51570391580597</v>
      </c>
      <c r="AG5453">
        <v>-1.0499060700599701</v>
      </c>
      <c r="AH5453">
        <v>11.7527360507053</v>
      </c>
      <c r="AI5453">
        <v>94.766829457157996</v>
      </c>
      <c r="AJ5453">
        <v>68.981938682347007</v>
      </c>
      <c r="AK5453">
        <v>12.6341081714826</v>
      </c>
      <c r="AL5453">
        <v>83.745687065892497</v>
      </c>
      <c r="AM5453">
        <v>71.801507090062302</v>
      </c>
      <c r="AN5453">
        <v>0.99999998131565404</v>
      </c>
    </row>
    <row r="5454" spans="1:40" x14ac:dyDescent="0.25">
      <c r="A5454" t="str">
        <f>"20190312164613966"</f>
        <v>20190312164613966</v>
      </c>
      <c r="B5454" t="str">
        <f>"1552380373957098"</f>
        <v>1552380373957098</v>
      </c>
      <c r="C5454" t="s">
        <v>40</v>
      </c>
      <c r="D5454">
        <v>5.4093679999999997</v>
      </c>
      <c r="E5454">
        <v>0.52573740000000002</v>
      </c>
      <c r="F5454" t="s">
        <v>42</v>
      </c>
      <c r="G5454">
        <v>-301.87270000000001</v>
      </c>
      <c r="H5454" s="1">
        <v>-1.59169799999999E-7</v>
      </c>
      <c r="I5454">
        <v>-10.180009999999999</v>
      </c>
      <c r="J5454">
        <v>-301.51589999999999</v>
      </c>
      <c r="K5454">
        <v>1.0500780000000001</v>
      </c>
      <c r="L5454">
        <v>2.0980829999999999</v>
      </c>
      <c r="M5454">
        <v>0.32668429999999998</v>
      </c>
      <c r="N5454">
        <v>0</v>
      </c>
      <c r="O5454">
        <v>-0.94501539999999995</v>
      </c>
      <c r="P5454">
        <v>2.625444E-2</v>
      </c>
      <c r="Q5454">
        <v>9.7211930000000002E-2</v>
      </c>
      <c r="R5454">
        <v>-0.99491779999999996</v>
      </c>
      <c r="S5454">
        <v>-7.1868899999999999E-2</v>
      </c>
      <c r="T5454">
        <v>-0.25601859999999999</v>
      </c>
      <c r="U5454">
        <v>-3.0451350000000001</v>
      </c>
      <c r="V5454">
        <v>0.3025795</v>
      </c>
      <c r="W5454">
        <v>0.1048886</v>
      </c>
      <c r="X5454">
        <v>0.94733520000000004</v>
      </c>
      <c r="Y5454">
        <v>0.34882370000000001</v>
      </c>
      <c r="Z5454">
        <v>7.4239310000000003E-2</v>
      </c>
      <c r="AA5454">
        <v>0.9342433</v>
      </c>
      <c r="AB5454">
        <v>25</v>
      </c>
      <c r="AC5454">
        <v>-0.35680000000002099</v>
      </c>
      <c r="AD5454">
        <v>-1.0500781591698001</v>
      </c>
      <c r="AE5454">
        <v>-12.278093</v>
      </c>
      <c r="AF5454">
        <v>4.3171760859797903</v>
      </c>
      <c r="AG5454">
        <v>-1.0500781591698001</v>
      </c>
      <c r="AH5454">
        <v>11.404362261419299</v>
      </c>
      <c r="AI5454">
        <v>94.921782010259804</v>
      </c>
      <c r="AJ5454">
        <v>69.265599337115304</v>
      </c>
      <c r="AK5454">
        <v>12.2392872377196</v>
      </c>
      <c r="AL5454">
        <v>83.979251489473199</v>
      </c>
      <c r="AM5454">
        <v>72.286483042632298</v>
      </c>
      <c r="AN5454">
        <v>0.99999997669462404</v>
      </c>
    </row>
    <row r="5455" spans="1:40" x14ac:dyDescent="0.25">
      <c r="A5455" t="str">
        <f>"20190312164613987"</f>
        <v>20190312164613987</v>
      </c>
      <c r="B5455" t="str">
        <f>"1552380373976618"</f>
        <v>1552380373976618</v>
      </c>
      <c r="C5455" t="s">
        <v>40</v>
      </c>
      <c r="D5455">
        <v>5.3970840000000004</v>
      </c>
      <c r="E5455">
        <v>0.52547929999999998</v>
      </c>
      <c r="F5455" t="s">
        <v>42</v>
      </c>
      <c r="G5455">
        <v>-301.83390000000003</v>
      </c>
      <c r="H5455" s="1">
        <v>-3.6034919999999998E-7</v>
      </c>
      <c r="I5455">
        <v>-9.7326200000000007</v>
      </c>
      <c r="J5455">
        <v>-301.45429999999999</v>
      </c>
      <c r="K5455">
        <v>1.050292</v>
      </c>
      <c r="L5455">
        <v>1.8818360000000001</v>
      </c>
      <c r="M5455">
        <v>0.31610450000000001</v>
      </c>
      <c r="N5455">
        <v>0</v>
      </c>
      <c r="O5455">
        <v>-0.94860730000000004</v>
      </c>
      <c r="P5455">
        <v>2.0272129999999999E-2</v>
      </c>
      <c r="Q5455">
        <v>9.4468620000000003E-2</v>
      </c>
      <c r="R5455">
        <v>-0.99532180000000003</v>
      </c>
      <c r="S5455">
        <v>-8.1817630000000002E-2</v>
      </c>
      <c r="T5455">
        <v>-0.27017140000000001</v>
      </c>
      <c r="U5455">
        <v>-3.0438839999999998</v>
      </c>
      <c r="V5455">
        <v>0.29764370000000001</v>
      </c>
      <c r="W5455">
        <v>0.10240340000000001</v>
      </c>
      <c r="X5455">
        <v>0.94916900000000004</v>
      </c>
      <c r="Y5455">
        <v>0.34139059999999999</v>
      </c>
      <c r="Z5455">
        <v>7.8937800000000002E-2</v>
      </c>
      <c r="AA5455">
        <v>0.93660089999999996</v>
      </c>
      <c r="AB5455">
        <v>25</v>
      </c>
      <c r="AC5455">
        <v>-0.37960000000003802</v>
      </c>
      <c r="AD5455">
        <v>-1.05029236034919</v>
      </c>
      <c r="AE5455">
        <v>-11.614456000000001</v>
      </c>
      <c r="AF5455">
        <v>3.99925183519079</v>
      </c>
      <c r="AG5455">
        <v>-1.05029236034919</v>
      </c>
      <c r="AH5455">
        <v>10.810466361183201</v>
      </c>
      <c r="AI5455">
        <v>95.206402473211099</v>
      </c>
      <c r="AJ5455">
        <v>69.698420024683102</v>
      </c>
      <c r="AK5455">
        <v>11.5742521239931</v>
      </c>
      <c r="AL5455">
        <v>84.122414233620901</v>
      </c>
      <c r="AM5455">
        <v>72.589438014957693</v>
      </c>
      <c r="AN5455">
        <v>1.0000000095211199</v>
      </c>
    </row>
    <row r="5456" spans="1:40" x14ac:dyDescent="0.25">
      <c r="A5456" t="str">
        <f>"20190312164614027"</f>
        <v>20190312164614027</v>
      </c>
      <c r="B5456" t="str">
        <f>"1552380374016634"</f>
        <v>1552380374016634</v>
      </c>
      <c r="C5456" t="s">
        <v>40</v>
      </c>
      <c r="D5456">
        <v>5.448709</v>
      </c>
      <c r="E5456">
        <v>0.52505109999999999</v>
      </c>
      <c r="F5456" t="s">
        <v>42</v>
      </c>
      <c r="G5456">
        <v>-301.81709999999998</v>
      </c>
      <c r="H5456" s="1">
        <v>-4.6112360000000003E-7</v>
      </c>
      <c r="I5456">
        <v>-9.5099850000000004</v>
      </c>
      <c r="J5456">
        <v>-301.33710000000002</v>
      </c>
      <c r="K5456">
        <v>1.0508569999999999</v>
      </c>
      <c r="L5456">
        <v>1.4469299999999901</v>
      </c>
      <c r="M5456">
        <v>0.29574129999999998</v>
      </c>
      <c r="N5456">
        <v>0</v>
      </c>
      <c r="O5456">
        <v>-0.95515349999999999</v>
      </c>
      <c r="P5456">
        <v>8.0378059999999998E-3</v>
      </c>
      <c r="Q5456">
        <v>9.3685530000000003E-2</v>
      </c>
      <c r="R5456">
        <v>-0.9955695</v>
      </c>
      <c r="S5456">
        <v>-9.6893309999999996E-2</v>
      </c>
      <c r="T5456">
        <v>-0.28052749999999999</v>
      </c>
      <c r="U5456">
        <v>-3.042694</v>
      </c>
      <c r="V5456">
        <v>0.28884470000000001</v>
      </c>
      <c r="W5456">
        <v>0.1021316</v>
      </c>
      <c r="X5456">
        <v>0.9519128</v>
      </c>
      <c r="Y5456">
        <v>0.32587820000000001</v>
      </c>
      <c r="Z5456">
        <v>8.3117300000000005E-2</v>
      </c>
      <c r="AA5456">
        <v>0.941751</v>
      </c>
      <c r="AB5456">
        <v>25</v>
      </c>
      <c r="AC5456">
        <v>-0.47999999999996101</v>
      </c>
      <c r="AD5456">
        <v>-1.0508574611235999</v>
      </c>
      <c r="AE5456">
        <v>-10.956914999999899</v>
      </c>
      <c r="AF5456">
        <v>3.66563751167021</v>
      </c>
      <c r="AG5456">
        <v>-1.0508574611235999</v>
      </c>
      <c r="AH5456">
        <v>10.230783548641799</v>
      </c>
      <c r="AI5456">
        <v>95.523096904202902</v>
      </c>
      <c r="AJ5456">
        <v>70.287657281423193</v>
      </c>
      <c r="AK5456">
        <v>10.918339241373699</v>
      </c>
      <c r="AL5456">
        <v>84.138069554616806</v>
      </c>
      <c r="AM5456">
        <v>73.120309057874707</v>
      </c>
      <c r="AN5456">
        <v>1.0000000516202401</v>
      </c>
    </row>
    <row r="5457" spans="1:40" x14ac:dyDescent="0.25">
      <c r="A5457" t="str">
        <f>"20190312164614050"</f>
        <v>20190312164614050</v>
      </c>
      <c r="B5457" t="str">
        <f>"1552380374046890"</f>
        <v>1552380374046890</v>
      </c>
      <c r="C5457" t="s">
        <v>40</v>
      </c>
      <c r="D5457">
        <v>5.4024710000000002</v>
      </c>
      <c r="E5457">
        <v>0.50433289999999997</v>
      </c>
      <c r="F5457" t="s">
        <v>42</v>
      </c>
      <c r="G5457">
        <v>-301.8177</v>
      </c>
      <c r="H5457" s="1">
        <v>-3.3877540000000001E-7</v>
      </c>
      <c r="I5457">
        <v>-9.7691119999999998</v>
      </c>
      <c r="J5457">
        <v>-301.27210000000002</v>
      </c>
      <c r="K5457">
        <v>1.051188</v>
      </c>
      <c r="L5457">
        <v>1.1915279999999999</v>
      </c>
      <c r="M5457">
        <v>0.28427669999999999</v>
      </c>
      <c r="N5457">
        <v>0</v>
      </c>
      <c r="O5457">
        <v>-0.95862899999999995</v>
      </c>
      <c r="P5457">
        <v>1.2635109999999999E-3</v>
      </c>
      <c r="Q5457">
        <v>9.4084840000000003E-2</v>
      </c>
      <c r="R5457">
        <v>-0.99556330000000004</v>
      </c>
      <c r="S5457">
        <v>-0.13031010000000001</v>
      </c>
      <c r="T5457">
        <v>-0.28494000000000003</v>
      </c>
      <c r="U5457">
        <v>-3.041229</v>
      </c>
      <c r="V5457">
        <v>0.28382089999999999</v>
      </c>
      <c r="W5457">
        <v>0.1028289</v>
      </c>
      <c r="X5457">
        <v>0.95334770000000002</v>
      </c>
      <c r="Y5457">
        <v>0.3248934</v>
      </c>
      <c r="Z5457">
        <v>8.4935750000000004E-2</v>
      </c>
      <c r="AA5457">
        <v>0.94192900000000002</v>
      </c>
      <c r="AB5457">
        <v>25</v>
      </c>
      <c r="AC5457">
        <v>-0.54559999999997899</v>
      </c>
      <c r="AD5457">
        <v>-1.0511883387754</v>
      </c>
      <c r="AE5457">
        <v>-10.96064</v>
      </c>
      <c r="AF5457">
        <v>3.6061903603621901</v>
      </c>
      <c r="AG5457">
        <v>-1.0511883387754</v>
      </c>
      <c r="AH5457">
        <v>10.2590815165739</v>
      </c>
      <c r="AI5457">
        <v>95.521399040403097</v>
      </c>
      <c r="AJ5457">
        <v>70.632812674364999</v>
      </c>
      <c r="AK5457">
        <v>10.925125143560299</v>
      </c>
      <c r="AL5457">
        <v>84.097905214290293</v>
      </c>
      <c r="AM5457">
        <v>73.421218664424302</v>
      </c>
      <c r="AN5457">
        <v>0.999999961523654</v>
      </c>
    </row>
    <row r="5458" spans="1:40" x14ac:dyDescent="0.25">
      <c r="A5458" t="str">
        <f>"20190312164614072"</f>
        <v>20190312164614072</v>
      </c>
      <c r="B5458" t="str">
        <f>"1552380374066460"</f>
        <v>1552380374066460</v>
      </c>
      <c r="C5458" t="s">
        <v>40</v>
      </c>
      <c r="D5458">
        <v>5.4836210000000003</v>
      </c>
      <c r="E5458">
        <v>0.4992799</v>
      </c>
      <c r="F5458" t="s">
        <v>42</v>
      </c>
      <c r="G5458">
        <v>-301.23009999999999</v>
      </c>
      <c r="H5458" s="1">
        <v>-3.7756290000000001E-6</v>
      </c>
      <c r="I5458">
        <v>-12.37271</v>
      </c>
      <c r="J5458">
        <v>-301.21249999999998</v>
      </c>
      <c r="K5458">
        <v>1.0518019999999999</v>
      </c>
      <c r="L5458">
        <v>0.94854740000000004</v>
      </c>
      <c r="M5458">
        <v>0.27280310000000002</v>
      </c>
      <c r="N5458">
        <v>0</v>
      </c>
      <c r="O5458">
        <v>-0.96195109999999995</v>
      </c>
      <c r="P5458">
        <v>-6.1665849999999996E-3</v>
      </c>
      <c r="Q5458">
        <v>9.41636E-2</v>
      </c>
      <c r="R5458">
        <v>-0.99553809999999998</v>
      </c>
      <c r="S5458">
        <v>9.399414E-3</v>
      </c>
      <c r="T5458">
        <v>-0.2352494</v>
      </c>
      <c r="U5458">
        <v>-3.0355829999999999</v>
      </c>
      <c r="V5458">
        <v>0.27942790000000001</v>
      </c>
      <c r="W5458">
        <v>0.1036845</v>
      </c>
      <c r="X5458">
        <v>0.95455199999999996</v>
      </c>
      <c r="Y5458">
        <v>0.2698468</v>
      </c>
      <c r="Z5458">
        <v>7.1440169999999997E-2</v>
      </c>
      <c r="AA5458">
        <v>0.96024940000000003</v>
      </c>
      <c r="AB5458">
        <v>25</v>
      </c>
      <c r="AC5458">
        <v>-1.7600000000015801E-2</v>
      </c>
      <c r="AD5458">
        <v>-1.051805775629</v>
      </c>
      <c r="AE5458">
        <v>-13.3212574</v>
      </c>
      <c r="AF5458">
        <v>3.6288052895708498</v>
      </c>
      <c r="AG5458">
        <v>-1.051805775629</v>
      </c>
      <c r="AH5458">
        <v>12.7316891956281</v>
      </c>
      <c r="AI5458">
        <v>94.542556780135001</v>
      </c>
      <c r="AJ5458">
        <v>74.091308185498406</v>
      </c>
      <c r="AK5458">
        <v>13.2804530417203</v>
      </c>
      <c r="AL5458">
        <v>84.048619570104506</v>
      </c>
      <c r="AM5458">
        <v>73.683558664095997</v>
      </c>
      <c r="AN5458">
        <v>0.99999997377132899</v>
      </c>
    </row>
    <row r="5459" spans="1:40" x14ac:dyDescent="0.25">
      <c r="A5459" t="str">
        <f>"20190312164614095"</f>
        <v>20190312164614095</v>
      </c>
      <c r="B5459" t="str">
        <f>"1552380374086957"</f>
        <v>1552380374086957</v>
      </c>
      <c r="C5459" t="s">
        <v>40</v>
      </c>
      <c r="D5459">
        <v>5.4294739999999999</v>
      </c>
      <c r="E5459">
        <v>0.49802950000000001</v>
      </c>
      <c r="F5459" t="s">
        <v>42</v>
      </c>
      <c r="G5459">
        <v>-301.0881</v>
      </c>
      <c r="H5459" s="1">
        <v>-3.7673150000000001E-6</v>
      </c>
      <c r="I5459">
        <v>-12.30405</v>
      </c>
      <c r="J5459">
        <v>-301.15309999999999</v>
      </c>
      <c r="K5459">
        <v>1.052217</v>
      </c>
      <c r="L5459">
        <v>0.69812010000000002</v>
      </c>
      <c r="M5459">
        <v>0.26085750000000002</v>
      </c>
      <c r="N5459">
        <v>0</v>
      </c>
      <c r="O5459">
        <v>-0.96525399999999995</v>
      </c>
      <c r="P5459">
        <v>-1.3609929999999999E-2</v>
      </c>
      <c r="Q5459">
        <v>9.3945169999999995E-2</v>
      </c>
      <c r="R5459">
        <v>-0.99548440000000005</v>
      </c>
      <c r="S5459">
        <v>2.8503420000000002E-2</v>
      </c>
      <c r="T5459">
        <v>-0.24098749999999999</v>
      </c>
      <c r="U5459">
        <v>-3.0364070000000001</v>
      </c>
      <c r="V5459">
        <v>0.27470810000000001</v>
      </c>
      <c r="W5459">
        <v>0.1039269</v>
      </c>
      <c r="X5459">
        <v>0.95589469999999999</v>
      </c>
      <c r="Y5459">
        <v>0.25182840000000001</v>
      </c>
      <c r="Z5459">
        <v>7.3736919999999997E-2</v>
      </c>
      <c r="AA5459">
        <v>0.96495869999999995</v>
      </c>
      <c r="AB5459">
        <v>25</v>
      </c>
      <c r="AC5459">
        <v>6.4999999999997699E-2</v>
      </c>
      <c r="AD5459">
        <v>-1.0522207673149999</v>
      </c>
      <c r="AE5459">
        <v>-13.002170100000001</v>
      </c>
      <c r="AF5459">
        <v>3.3077064484082199</v>
      </c>
      <c r="AG5459">
        <v>-1.0522207673149999</v>
      </c>
      <c r="AH5459">
        <v>12.4870716033604</v>
      </c>
      <c r="AI5459">
        <v>94.656776171597599</v>
      </c>
      <c r="AJ5459">
        <v>75.163636138723803</v>
      </c>
      <c r="AK5459">
        <v>12.9605188059529</v>
      </c>
      <c r="AL5459">
        <v>84.034655845537003</v>
      </c>
      <c r="AM5459">
        <v>73.966236883461804</v>
      </c>
      <c r="AN5459">
        <v>1.0000000091186501</v>
      </c>
    </row>
    <row r="5460" spans="1:40" x14ac:dyDescent="0.25">
      <c r="A5460" t="str">
        <f>"20190312164614124"</f>
        <v>20190312164614124</v>
      </c>
      <c r="B5460" t="str">
        <f>"1552380374117212"</f>
        <v>1552380374117212</v>
      </c>
      <c r="C5460" t="s">
        <v>40</v>
      </c>
      <c r="D5460">
        <v>5.4364629999999998</v>
      </c>
      <c r="E5460">
        <v>0.49641760000000001</v>
      </c>
      <c r="F5460" t="s">
        <v>42</v>
      </c>
      <c r="G5460">
        <v>-301.08120000000002</v>
      </c>
      <c r="H5460" s="1">
        <v>-3.2426889999999998E-6</v>
      </c>
      <c r="I5460">
        <v>-13.52267</v>
      </c>
      <c r="J5460">
        <v>-301.0838</v>
      </c>
      <c r="K5460">
        <v>1.052163</v>
      </c>
      <c r="L5460">
        <v>0.39007570000000003</v>
      </c>
      <c r="M5460">
        <v>0.25063730000000001</v>
      </c>
      <c r="N5460">
        <v>0</v>
      </c>
      <c r="O5460">
        <v>-0.96796070000000001</v>
      </c>
      <c r="P5460">
        <v>-1.7986180000000001E-2</v>
      </c>
      <c r="Q5460">
        <v>9.33282E-2</v>
      </c>
      <c r="R5460">
        <v>-0.99547330000000001</v>
      </c>
      <c r="S5460">
        <v>1.5350340000000001E-2</v>
      </c>
      <c r="T5460">
        <v>-0.22456509999999999</v>
      </c>
      <c r="U5460">
        <v>-3.0350039999999998</v>
      </c>
      <c r="V5460">
        <v>0.26897989999999999</v>
      </c>
      <c r="W5460">
        <v>0.10279430000000001</v>
      </c>
      <c r="X5460">
        <v>0.95764459999999996</v>
      </c>
      <c r="Y5460">
        <v>0.24576890000000001</v>
      </c>
      <c r="Z5460">
        <v>6.9128140000000005E-2</v>
      </c>
      <c r="AA5460">
        <v>0.96686039999999995</v>
      </c>
      <c r="AB5460">
        <v>25</v>
      </c>
      <c r="AC5460">
        <v>2.5999999999726199E-3</v>
      </c>
      <c r="AD5460">
        <v>-1.0521662426889999</v>
      </c>
      <c r="AE5460">
        <v>-13.9127457</v>
      </c>
      <c r="AF5460">
        <v>3.4651242948772101</v>
      </c>
      <c r="AG5460">
        <v>-1.0521662426889999</v>
      </c>
      <c r="AH5460">
        <v>13.3926157487527</v>
      </c>
      <c r="AI5460">
        <v>94.349462265070599</v>
      </c>
      <c r="AJ5460">
        <v>75.493751202817904</v>
      </c>
      <c r="AK5460">
        <v>13.873582694276999</v>
      </c>
      <c r="AL5460">
        <v>84.099898539855701</v>
      </c>
      <c r="AM5460">
        <v>74.311193364130105</v>
      </c>
      <c r="AN5460">
        <v>1.0000000173128201</v>
      </c>
    </row>
    <row r="5461" spans="1:40" x14ac:dyDescent="0.25">
      <c r="A5461" t="str">
        <f>"20190312164614162"</f>
        <v>20190312164614162</v>
      </c>
      <c r="B5461" t="str">
        <f>"1552380374157229"</f>
        <v>1552380374157229</v>
      </c>
      <c r="C5461" t="s">
        <v>40</v>
      </c>
      <c r="D5461">
        <v>5.4833080000000001</v>
      </c>
      <c r="E5461">
        <v>0.49422480000000002</v>
      </c>
      <c r="F5461" t="s">
        <v>42</v>
      </c>
      <c r="G5461">
        <v>-301.02120000000002</v>
      </c>
      <c r="H5461" s="1">
        <v>-3.716663E-6</v>
      </c>
      <c r="I5461">
        <v>-12.380610000000001</v>
      </c>
      <c r="J5461">
        <v>-300.99919999999997</v>
      </c>
      <c r="K5461">
        <v>1.053231</v>
      </c>
      <c r="L5461">
        <v>-1.8127440000000002E-2</v>
      </c>
      <c r="M5461">
        <v>0.23905970000000001</v>
      </c>
      <c r="N5461">
        <v>0</v>
      </c>
      <c r="O5461">
        <v>-0.97092429999999996</v>
      </c>
      <c r="P5461">
        <v>-1.6718759999999999E-2</v>
      </c>
      <c r="Q5461">
        <v>9.3831510000000007E-2</v>
      </c>
      <c r="R5461">
        <v>-0.99544790000000005</v>
      </c>
      <c r="S5461">
        <v>1.4892580000000001E-2</v>
      </c>
      <c r="T5461">
        <v>-0.25024760000000001</v>
      </c>
      <c r="U5461">
        <v>-3.0373839999999999</v>
      </c>
      <c r="V5461">
        <v>0.25628640000000003</v>
      </c>
      <c r="W5461">
        <v>0.1007863</v>
      </c>
      <c r="X5461">
        <v>0.96133210000000002</v>
      </c>
      <c r="Y5461">
        <v>0.23431840000000001</v>
      </c>
      <c r="Z5461">
        <v>7.7400490000000002E-2</v>
      </c>
      <c r="AA5461">
        <v>0.96907379999999999</v>
      </c>
      <c r="AB5461">
        <v>24</v>
      </c>
      <c r="AC5461">
        <v>-2.20000000000482E-2</v>
      </c>
      <c r="AD5461">
        <v>-1.0532347166630001</v>
      </c>
      <c r="AE5461">
        <v>-12.36248256</v>
      </c>
      <c r="AF5461">
        <v>2.95551248138301</v>
      </c>
      <c r="AG5461">
        <v>-1.0532347166630001</v>
      </c>
      <c r="AH5461">
        <v>11.912250909635</v>
      </c>
      <c r="AI5461">
        <v>94.9047809620061</v>
      </c>
      <c r="AJ5461">
        <v>76.065884377963698</v>
      </c>
      <c r="AK5461">
        <v>12.318525850526701</v>
      </c>
      <c r="AL5461">
        <v>84.215549096735501</v>
      </c>
      <c r="AM5461">
        <v>75.0724126487261</v>
      </c>
      <c r="AN5461">
        <v>1.00000000179153</v>
      </c>
    </row>
    <row r="5462" spans="1:40" x14ac:dyDescent="0.25">
      <c r="A5462" t="str">
        <f>"20190312164614183"</f>
        <v>20190312164614183</v>
      </c>
      <c r="B5462" t="str">
        <f>"1552380374176749"</f>
        <v>1552380374176749</v>
      </c>
      <c r="C5462" t="s">
        <v>40</v>
      </c>
      <c r="D5462">
        <v>5.4882660000000003</v>
      </c>
      <c r="E5462">
        <v>0.49376110000000001</v>
      </c>
      <c r="F5462" t="s">
        <v>42</v>
      </c>
      <c r="G5462">
        <v>-300.86250000000001</v>
      </c>
      <c r="H5462" s="1">
        <v>-3.6197479999999999E-6</v>
      </c>
      <c r="I5462">
        <v>-12.50808</v>
      </c>
      <c r="J5462">
        <v>-300.95049999999998</v>
      </c>
      <c r="K5462">
        <v>1.055267</v>
      </c>
      <c r="L5462">
        <v>-0.26580809999999999</v>
      </c>
      <c r="M5462">
        <v>0.23018739999999999</v>
      </c>
      <c r="N5462">
        <v>0</v>
      </c>
      <c r="O5462">
        <v>-0.97308640000000002</v>
      </c>
      <c r="P5462">
        <v>-1.973254E-2</v>
      </c>
      <c r="Q5462">
        <v>9.5786720000000006E-2</v>
      </c>
      <c r="R5462">
        <v>-0.99520640000000005</v>
      </c>
      <c r="S5462">
        <v>3.3264160000000001E-2</v>
      </c>
      <c r="T5462">
        <v>-0.25621939999999999</v>
      </c>
      <c r="U5462">
        <v>-3.0384220000000002</v>
      </c>
      <c r="V5462">
        <v>0.25018889999999999</v>
      </c>
      <c r="W5462">
        <v>0.1016634</v>
      </c>
      <c r="X5462">
        <v>0.96284479999999995</v>
      </c>
      <c r="Y5462">
        <v>0.21955949999999999</v>
      </c>
      <c r="Z5462">
        <v>7.9621140000000007E-2</v>
      </c>
      <c r="AA5462">
        <v>0.9723446</v>
      </c>
      <c r="AB5462">
        <v>25</v>
      </c>
      <c r="AC5462">
        <v>8.7999999999965398E-2</v>
      </c>
      <c r="AD5462">
        <v>-1.055270619748</v>
      </c>
      <c r="AE5462">
        <v>-12.2422719</v>
      </c>
      <c r="AF5462">
        <v>2.7123917555099899</v>
      </c>
      <c r="AG5462">
        <v>-1.055270619748</v>
      </c>
      <c r="AH5462">
        <v>11.845728431246901</v>
      </c>
      <c r="AI5462">
        <v>94.962950990725105</v>
      </c>
      <c r="AJ5462">
        <v>77.102951564519699</v>
      </c>
      <c r="AK5462">
        <v>12.198030463280199</v>
      </c>
      <c r="AL5462">
        <v>84.165035618513798</v>
      </c>
      <c r="AM5462">
        <v>75.434186638081201</v>
      </c>
      <c r="AN5462">
        <v>1.0000000207349</v>
      </c>
    </row>
    <row r="5463" spans="1:40" x14ac:dyDescent="0.25">
      <c r="A5463" t="str">
        <f>"20190312164614206"</f>
        <v>20190312164614206</v>
      </c>
      <c r="B5463" t="str">
        <f>"1552380374196269"</f>
        <v>1552380374196269</v>
      </c>
      <c r="C5463" t="s">
        <v>40</v>
      </c>
      <c r="D5463">
        <v>4.9001489999999999</v>
      </c>
      <c r="E5463">
        <v>0.49283529999999998</v>
      </c>
      <c r="F5463" t="s">
        <v>42</v>
      </c>
      <c r="G5463">
        <v>-300.8272</v>
      </c>
      <c r="H5463" s="1">
        <v>-3.1756059999999999E-6</v>
      </c>
      <c r="I5463">
        <v>-13.521520000000001</v>
      </c>
      <c r="J5463">
        <v>-300.9042</v>
      </c>
      <c r="K5463">
        <v>1.0577049999999999</v>
      </c>
      <c r="L5463">
        <v>-0.50796509999999995</v>
      </c>
      <c r="M5463">
        <v>0.22050359999999999</v>
      </c>
      <c r="N5463">
        <v>0</v>
      </c>
      <c r="O5463">
        <v>-0.97534169999999998</v>
      </c>
      <c r="P5463">
        <v>-2.2872050000000001E-2</v>
      </c>
      <c r="Q5463">
        <v>9.6918980000000002E-2</v>
      </c>
      <c r="R5463">
        <v>-0.99502990000000002</v>
      </c>
      <c r="S5463">
        <v>2.8259280000000001E-2</v>
      </c>
      <c r="T5463">
        <v>-0.24187520000000001</v>
      </c>
      <c r="U5463">
        <v>-3.0383</v>
      </c>
      <c r="V5463">
        <v>0.24339240000000001</v>
      </c>
      <c r="W5463">
        <v>0.1020491</v>
      </c>
      <c r="X5463">
        <v>0.96454450000000003</v>
      </c>
      <c r="Y5463">
        <v>0.21145120000000001</v>
      </c>
      <c r="Z5463">
        <v>7.5532840000000004E-2</v>
      </c>
      <c r="AA5463">
        <v>0.97446560000000004</v>
      </c>
      <c r="AB5463">
        <v>25</v>
      </c>
      <c r="AC5463">
        <v>7.6999999999998098E-2</v>
      </c>
      <c r="AD5463">
        <v>-1.0577081756059901</v>
      </c>
      <c r="AE5463">
        <v>-13.0135548999999</v>
      </c>
      <c r="AF5463">
        <v>2.7762164856584</v>
      </c>
      <c r="AG5463">
        <v>-1.0577081756059901</v>
      </c>
      <c r="AH5463">
        <v>12.6267828810675</v>
      </c>
      <c r="AI5463">
        <v>94.677116671609198</v>
      </c>
      <c r="AJ5463">
        <v>77.599834574105202</v>
      </c>
      <c r="AK5463">
        <v>12.9715754820147</v>
      </c>
      <c r="AL5463">
        <v>84.142820896676199</v>
      </c>
      <c r="AM5463">
        <v>75.837683039557803</v>
      </c>
      <c r="AN5463">
        <v>0.99999998583440897</v>
      </c>
    </row>
    <row r="5464" spans="1:40" x14ac:dyDescent="0.25">
      <c r="A5464" t="str">
        <f>"20190312164614229"</f>
        <v>20190312164614229</v>
      </c>
      <c r="B5464" t="str">
        <f>"1552380374216765"</f>
        <v>1552380374216765</v>
      </c>
      <c r="C5464" t="s">
        <v>40</v>
      </c>
      <c r="D5464">
        <v>5.4901600000000004</v>
      </c>
      <c r="E5464">
        <v>0.49233159999999998</v>
      </c>
      <c r="F5464" t="s">
        <v>42</v>
      </c>
      <c r="G5464">
        <v>-300.78680000000003</v>
      </c>
      <c r="H5464" s="1">
        <v>-2.8271890000000001E-6</v>
      </c>
      <c r="I5464">
        <v>-14.3086</v>
      </c>
      <c r="J5464">
        <v>-300.85750000000002</v>
      </c>
      <c r="K5464">
        <v>1.060012</v>
      </c>
      <c r="L5464">
        <v>-0.76049800000000001</v>
      </c>
      <c r="M5464">
        <v>0.2105321</v>
      </c>
      <c r="N5464">
        <v>0</v>
      </c>
      <c r="O5464">
        <v>-0.97755709999999996</v>
      </c>
      <c r="P5464">
        <v>-2.4503299999999999E-2</v>
      </c>
      <c r="Q5464">
        <v>9.7446099999999994E-2</v>
      </c>
      <c r="R5464">
        <v>-0.99493960000000004</v>
      </c>
      <c r="S5464">
        <v>2.5848389999999999E-2</v>
      </c>
      <c r="T5464">
        <v>-0.23285890000000001</v>
      </c>
      <c r="U5464">
        <v>-3.0382690000000001</v>
      </c>
      <c r="V5464">
        <v>0.23491909999999999</v>
      </c>
      <c r="W5464">
        <v>0.10148169999999999</v>
      </c>
      <c r="X5464">
        <v>0.96670290000000003</v>
      </c>
      <c r="Y5464">
        <v>0.20223079999999999</v>
      </c>
      <c r="Z5464">
        <v>7.3061119999999993E-2</v>
      </c>
      <c r="AA5464">
        <v>0.97660880000000005</v>
      </c>
      <c r="AB5464">
        <v>25</v>
      </c>
      <c r="AC5464">
        <v>7.0699999999987995E-2</v>
      </c>
      <c r="AD5464">
        <v>-1.060014827189</v>
      </c>
      <c r="AE5464">
        <v>-13.548101999999901</v>
      </c>
      <c r="AF5464">
        <v>2.7663442127648099</v>
      </c>
      <c r="AG5464">
        <v>-1.060014827189</v>
      </c>
      <c r="AH5464">
        <v>13.178642220682599</v>
      </c>
      <c r="AI5464">
        <v>94.500968353446297</v>
      </c>
      <c r="AJ5464">
        <v>78.145095558071603</v>
      </c>
      <c r="AK5464">
        <v>13.5075128176181</v>
      </c>
      <c r="AL5464">
        <v>84.175500308932399</v>
      </c>
      <c r="AM5464">
        <v>76.341275703644101</v>
      </c>
      <c r="AN5464">
        <v>1.0000000079240501</v>
      </c>
    </row>
    <row r="5465" spans="1:40" x14ac:dyDescent="0.25">
      <c r="A5465" t="str">
        <f>"20190312164614251"</f>
        <v>20190312164614251</v>
      </c>
      <c r="B5465" t="str">
        <f>"1552380374247021"</f>
        <v>1552380374247021</v>
      </c>
      <c r="C5465" t="s">
        <v>40</v>
      </c>
      <c r="D5465">
        <v>5.4235889999999998</v>
      </c>
      <c r="E5465">
        <v>0.49133690000000002</v>
      </c>
      <c r="F5465" t="s">
        <v>42</v>
      </c>
      <c r="G5465">
        <v>-300.74860000000001</v>
      </c>
      <c r="H5465" s="1">
        <v>-2.6916530000000002E-6</v>
      </c>
      <c r="I5465">
        <v>-14.600849999999999</v>
      </c>
      <c r="J5465">
        <v>-300.8134</v>
      </c>
      <c r="K5465">
        <v>1.0619400000000001</v>
      </c>
      <c r="L5465">
        <v>-1.0113529999999999</v>
      </c>
      <c r="M5465">
        <v>0.201686</v>
      </c>
      <c r="N5465">
        <v>0</v>
      </c>
      <c r="O5465">
        <v>-0.97943199999999997</v>
      </c>
      <c r="P5465">
        <v>-2.5399709999999999E-2</v>
      </c>
      <c r="Q5465">
        <v>9.8623660000000002E-2</v>
      </c>
      <c r="R5465">
        <v>-0.99480060000000003</v>
      </c>
      <c r="S5465">
        <v>2.3925780000000001E-2</v>
      </c>
      <c r="T5465">
        <v>-0.2327253</v>
      </c>
      <c r="U5465">
        <v>-3.0386350000000002</v>
      </c>
      <c r="V5465">
        <v>0.226934</v>
      </c>
      <c r="W5465">
        <v>0.101301</v>
      </c>
      <c r="X5465">
        <v>0.96862740000000003</v>
      </c>
      <c r="Y5465">
        <v>0.19398750000000001</v>
      </c>
      <c r="Z5465">
        <v>7.3287630000000006E-2</v>
      </c>
      <c r="AA5465">
        <v>0.97826259999999998</v>
      </c>
      <c r="AB5465">
        <v>25</v>
      </c>
      <c r="AC5465">
        <v>6.4799999999991004E-2</v>
      </c>
      <c r="AD5465">
        <v>-1.0619426916529999</v>
      </c>
      <c r="AE5465">
        <v>-13.589497</v>
      </c>
      <c r="AF5465">
        <v>2.6611419028849101</v>
      </c>
      <c r="AG5465">
        <v>-1.0619426916529999</v>
      </c>
      <c r="AH5465">
        <v>13.242431763831499</v>
      </c>
      <c r="AI5465">
        <v>94.495384801567695</v>
      </c>
      <c r="AJ5465">
        <v>78.637426705982307</v>
      </c>
      <c r="AK5465">
        <v>13.548852258674099</v>
      </c>
      <c r="AL5465">
        <v>84.185907162326799</v>
      </c>
      <c r="AM5465">
        <v>76.814326300898799</v>
      </c>
      <c r="AN5465">
        <v>0.99999998649388</v>
      </c>
    </row>
    <row r="5466" spans="1:40" x14ac:dyDescent="0.25">
      <c r="A5466" t="str">
        <f>"20190312164614274"</f>
        <v>20190312164614274</v>
      </c>
      <c r="B5466" t="str">
        <f>"1552380374266541"</f>
        <v>1552380374266541</v>
      </c>
      <c r="C5466" t="s">
        <v>40</v>
      </c>
      <c r="D5466">
        <v>5.545757</v>
      </c>
      <c r="E5466">
        <v>0.4910043</v>
      </c>
      <c r="F5466" t="s">
        <v>42</v>
      </c>
      <c r="G5466">
        <v>-300.68270000000001</v>
      </c>
      <c r="H5466" s="1">
        <v>-2.5058589999999999E-6</v>
      </c>
      <c r="I5466">
        <v>-14.9931</v>
      </c>
      <c r="J5466">
        <v>-300.7722</v>
      </c>
      <c r="K5466">
        <v>1.063693</v>
      </c>
      <c r="L5466">
        <v>-1.256653</v>
      </c>
      <c r="M5466">
        <v>0.1937546</v>
      </c>
      <c r="N5466">
        <v>0</v>
      </c>
      <c r="O5466">
        <v>-0.98104009999999997</v>
      </c>
      <c r="P5466">
        <v>-2.5259340000000002E-2</v>
      </c>
      <c r="Q5466">
        <v>9.9527119999999997E-2</v>
      </c>
      <c r="R5466">
        <v>-0.99471449999999995</v>
      </c>
      <c r="S5466">
        <v>2.8411869999999999E-2</v>
      </c>
      <c r="T5466">
        <v>-0.2308394</v>
      </c>
      <c r="U5466">
        <v>-3.0392760000000001</v>
      </c>
      <c r="V5466">
        <v>0.2188802</v>
      </c>
      <c r="W5466">
        <v>0.1009376</v>
      </c>
      <c r="X5466">
        <v>0.97051690000000002</v>
      </c>
      <c r="Y5466">
        <v>0.18459790000000001</v>
      </c>
      <c r="Z5466">
        <v>7.2931599999999999E-2</v>
      </c>
      <c r="AA5466">
        <v>0.98010439999999999</v>
      </c>
      <c r="AB5466">
        <v>25</v>
      </c>
      <c r="AC5466">
        <v>8.9499999999986798E-2</v>
      </c>
      <c r="AD5466">
        <v>-1.0636955058589901</v>
      </c>
      <c r="AE5466">
        <v>-13.736447</v>
      </c>
      <c r="AF5466">
        <v>2.5583815105449199</v>
      </c>
      <c r="AG5466">
        <v>-1.0636955058589901</v>
      </c>
      <c r="AH5466">
        <v>13.413052056707</v>
      </c>
      <c r="AI5466">
        <v>94.454269104295406</v>
      </c>
      <c r="AJ5466">
        <v>79.2012159443901</v>
      </c>
      <c r="AK5466">
        <v>13.696230487204</v>
      </c>
      <c r="AL5466">
        <v>84.206835784118994</v>
      </c>
      <c r="AM5466">
        <v>77.290743035421301</v>
      </c>
      <c r="AN5466">
        <v>0.99999999711570497</v>
      </c>
    </row>
    <row r="5467" spans="1:40" x14ac:dyDescent="0.25">
      <c r="A5467" t="str">
        <f>"20190312164614299"</f>
        <v>20190312164614299</v>
      </c>
      <c r="B5467" t="str">
        <f>"1552380374287036"</f>
        <v>1552380374287036</v>
      </c>
      <c r="C5467" t="s">
        <v>40</v>
      </c>
      <c r="D5467">
        <v>5.545884</v>
      </c>
      <c r="E5467">
        <v>0.4907318</v>
      </c>
      <c r="F5467" t="s">
        <v>41</v>
      </c>
      <c r="G5467">
        <v>-300.76280000000003</v>
      </c>
      <c r="H5467">
        <v>0.99637450000000005</v>
      </c>
      <c r="I5467">
        <v>-2.1600259999999998</v>
      </c>
      <c r="J5467">
        <v>-300.7278</v>
      </c>
      <c r="K5467">
        <v>1.0657080000000001</v>
      </c>
      <c r="L5467">
        <v>-1.533539</v>
      </c>
      <c r="M5467">
        <v>0.18474570000000001</v>
      </c>
      <c r="N5467">
        <v>0</v>
      </c>
      <c r="O5467">
        <v>-0.98278189999999999</v>
      </c>
      <c r="P5467">
        <v>-2.5377719999999999E-2</v>
      </c>
      <c r="Q5467">
        <v>9.9717249999999993E-2</v>
      </c>
      <c r="R5467">
        <v>-0.99469260000000004</v>
      </c>
      <c r="S5467">
        <v>3.2104489999999999E-2</v>
      </c>
      <c r="T5467">
        <v>-0.22621269999999999</v>
      </c>
      <c r="U5467">
        <v>-3.0393979999999998</v>
      </c>
      <c r="V5467">
        <v>0.20999419999999999</v>
      </c>
      <c r="W5467">
        <v>0.1000172</v>
      </c>
      <c r="X5467">
        <v>0.97257340000000003</v>
      </c>
      <c r="Y5467">
        <v>0.17437949999999999</v>
      </c>
      <c r="Z5467">
        <v>7.1736980000000006E-2</v>
      </c>
      <c r="AA5467">
        <v>0.98206190000000004</v>
      </c>
      <c r="AB5467">
        <v>25</v>
      </c>
      <c r="AC5467">
        <v>-3.5000000000024997E-2</v>
      </c>
      <c r="AD5467">
        <v>-6.9333500000000006E-2</v>
      </c>
      <c r="AE5467">
        <v>-0.62648699999999902</v>
      </c>
      <c r="AF5467">
        <v>0.148327750744884</v>
      </c>
      <c r="AG5467">
        <v>-6.9333500000000006E-2</v>
      </c>
      <c r="AH5467">
        <v>0.60188772220772102</v>
      </c>
      <c r="AI5467">
        <v>96.381845844143498</v>
      </c>
      <c r="AJ5467">
        <v>76.156022299986802</v>
      </c>
      <c r="AK5467">
        <v>0.62376043959815697</v>
      </c>
      <c r="AL5467">
        <v>84.2598391351803</v>
      </c>
      <c r="AM5467">
        <v>77.815962833767998</v>
      </c>
      <c r="AN5467">
        <v>1.0000000113585199</v>
      </c>
    </row>
    <row r="5468" spans="1:40" x14ac:dyDescent="0.25">
      <c r="A5468" t="str">
        <f>"20190312164614325"</f>
        <v>20190312164614325</v>
      </c>
      <c r="B5468" t="str">
        <f>"1552380374316317"</f>
        <v>1552380374316317</v>
      </c>
      <c r="C5468" t="s">
        <v>40</v>
      </c>
      <c r="D5468">
        <v>5.5447670000000002</v>
      </c>
      <c r="E5468">
        <v>0.49040089999999997</v>
      </c>
      <c r="F5468" t="s">
        <v>41</v>
      </c>
      <c r="G5468">
        <v>-300.71890000000002</v>
      </c>
      <c r="H5468">
        <v>1.0033589999999999</v>
      </c>
      <c r="I5468">
        <v>-2.3761939999999999</v>
      </c>
      <c r="J5468">
        <v>-300.68560000000002</v>
      </c>
      <c r="K5468">
        <v>1.067939</v>
      </c>
      <c r="L5468">
        <v>-1.8050839999999999</v>
      </c>
      <c r="M5468">
        <v>0.1754368</v>
      </c>
      <c r="N5468">
        <v>0</v>
      </c>
      <c r="O5468">
        <v>-0.98448740000000001</v>
      </c>
      <c r="P5468">
        <v>-2.6175049999999998E-2</v>
      </c>
      <c r="Q5468">
        <v>9.8619769999999995E-2</v>
      </c>
      <c r="R5468">
        <v>-0.99478080000000002</v>
      </c>
      <c r="S5468">
        <v>3.2806399999999999E-2</v>
      </c>
      <c r="T5468">
        <v>-0.22425439999999999</v>
      </c>
      <c r="U5468">
        <v>-3.0393370000000002</v>
      </c>
      <c r="V5468">
        <v>0.20148830000000001</v>
      </c>
      <c r="W5468">
        <v>9.8730940000000003E-2</v>
      </c>
      <c r="X5468">
        <v>0.97450230000000004</v>
      </c>
      <c r="Y5468">
        <v>0.1648259</v>
      </c>
      <c r="Z5468">
        <v>7.1368970000000004E-2</v>
      </c>
      <c r="AA5468">
        <v>0.98373719999999998</v>
      </c>
      <c r="AB5468">
        <v>25</v>
      </c>
      <c r="AC5468">
        <v>-3.3299999999996999E-2</v>
      </c>
      <c r="AD5468">
        <v>-6.4579999999999804E-2</v>
      </c>
      <c r="AE5468">
        <v>-0.57111000000000001</v>
      </c>
      <c r="AF5468">
        <v>0.13130431983550001</v>
      </c>
      <c r="AG5468">
        <v>-6.4579999999999804E-2</v>
      </c>
      <c r="AH5468">
        <v>0.54940906370102205</v>
      </c>
      <c r="AI5468">
        <v>96.522015517776197</v>
      </c>
      <c r="AJ5468">
        <v>76.558892925131303</v>
      </c>
      <c r="AK5468">
        <v>0.56856109617550998</v>
      </c>
      <c r="AL5468">
        <v>84.333903138071506</v>
      </c>
      <c r="AM5468">
        <v>78.3181221763992</v>
      </c>
      <c r="AN5468">
        <v>1.0000000331277299</v>
      </c>
    </row>
    <row r="5469" spans="1:40" x14ac:dyDescent="0.25">
      <c r="A5469" t="str">
        <f>"20190312164614345"</f>
        <v>20190312164614345</v>
      </c>
      <c r="B5469" t="str">
        <f>"1552380374336813"</f>
        <v>1552380374336813</v>
      </c>
      <c r="C5469" t="s">
        <v>40</v>
      </c>
      <c r="D5469">
        <v>5.5399089999999998</v>
      </c>
      <c r="E5469">
        <v>0.49019560000000001</v>
      </c>
      <c r="F5469" t="s">
        <v>41</v>
      </c>
      <c r="G5469">
        <v>-300.67750000000001</v>
      </c>
      <c r="H5469">
        <v>1.009633</v>
      </c>
      <c r="I5469">
        <v>-2.591186</v>
      </c>
      <c r="J5469">
        <v>-300.65179999999998</v>
      </c>
      <c r="K5469">
        <v>1.0699019999999999</v>
      </c>
      <c r="L5469">
        <v>-2.0313110000000001</v>
      </c>
      <c r="M5469">
        <v>0.1683675</v>
      </c>
      <c r="N5469">
        <v>0</v>
      </c>
      <c r="O5469">
        <v>-0.98571989999999998</v>
      </c>
      <c r="P5469">
        <v>-2.6261840000000002E-2</v>
      </c>
      <c r="Q5469">
        <v>9.8188800000000007E-2</v>
      </c>
      <c r="R5469">
        <v>-0.99482130000000002</v>
      </c>
      <c r="S5469">
        <v>3.17688E-2</v>
      </c>
      <c r="T5469">
        <v>-0.2253124</v>
      </c>
      <c r="U5469">
        <v>-3.03891</v>
      </c>
      <c r="V5469">
        <v>0.19459170000000001</v>
      </c>
      <c r="W5469">
        <v>9.8720970000000005E-2</v>
      </c>
      <c r="X5469">
        <v>0.97590379999999999</v>
      </c>
      <c r="Y5469">
        <v>0.15807939999999901</v>
      </c>
      <c r="Z5469">
        <v>7.1891410000000003E-2</v>
      </c>
      <c r="AA5469">
        <v>0.98480579999999995</v>
      </c>
      <c r="AB5469">
        <v>24</v>
      </c>
      <c r="AC5469">
        <v>-2.5700000000028901E-2</v>
      </c>
      <c r="AD5469">
        <v>-6.02690000000001E-2</v>
      </c>
      <c r="AE5469">
        <v>-0.55987499999999901</v>
      </c>
      <c r="AF5469">
        <v>0.118231100753204</v>
      </c>
      <c r="AG5469">
        <v>-6.02690000000001E-2</v>
      </c>
      <c r="AH5469">
        <v>0.54129594623530397</v>
      </c>
      <c r="AI5469">
        <v>96.208081870461896</v>
      </c>
      <c r="AJ5469">
        <v>77.678832835698401</v>
      </c>
      <c r="AK5469">
        <v>0.55732597907964798</v>
      </c>
      <c r="AL5469">
        <v>84.334476954649801</v>
      </c>
      <c r="AM5469">
        <v>78.723325223815806</v>
      </c>
      <c r="AN5469">
        <v>0.99999999324053501</v>
      </c>
    </row>
    <row r="5470" spans="1:40" x14ac:dyDescent="0.25">
      <c r="A5470" t="str">
        <f>"20190312164614370"</f>
        <v>20190312164614370</v>
      </c>
      <c r="B5470" t="str">
        <f>"1552380374367069"</f>
        <v>1552380374367069</v>
      </c>
      <c r="C5470" t="s">
        <v>40</v>
      </c>
      <c r="D5470">
        <v>5.4271640000000003</v>
      </c>
      <c r="E5470">
        <v>0.49002689999999999</v>
      </c>
      <c r="F5470" t="s">
        <v>41</v>
      </c>
      <c r="G5470">
        <v>-300.64350000000002</v>
      </c>
      <c r="H5470">
        <v>1.0124500000000001</v>
      </c>
      <c r="I5470">
        <v>-2.804643</v>
      </c>
      <c r="J5470">
        <v>-300.61509999999998</v>
      </c>
      <c r="K5470">
        <v>1.0723119999999999</v>
      </c>
      <c r="L5470">
        <v>-2.290314</v>
      </c>
      <c r="M5470">
        <v>0.16172400000000001</v>
      </c>
      <c r="N5470">
        <v>0</v>
      </c>
      <c r="O5470">
        <v>-0.9868306</v>
      </c>
      <c r="P5470">
        <v>-2.5671039999999999E-2</v>
      </c>
      <c r="Q5470">
        <v>9.7567100000000004E-2</v>
      </c>
      <c r="R5470">
        <v>-0.99489810000000001</v>
      </c>
      <c r="S5470">
        <v>3.3782960000000001E-2</v>
      </c>
      <c r="T5470">
        <v>-0.22517509999999999</v>
      </c>
      <c r="U5470">
        <v>-3.0387270000000002</v>
      </c>
      <c r="V5470">
        <v>0.18747549999999999</v>
      </c>
      <c r="W5470">
        <v>9.8505540000000003E-2</v>
      </c>
      <c r="X5470">
        <v>0.97731760000000001</v>
      </c>
      <c r="Y5470">
        <v>0.15077119999999999</v>
      </c>
      <c r="Z5470">
        <v>7.2017230000000002E-2</v>
      </c>
      <c r="AA5470">
        <v>0.98594190000000004</v>
      </c>
      <c r="AB5470">
        <v>24</v>
      </c>
      <c r="AC5470">
        <v>-2.8400000000033201E-2</v>
      </c>
      <c r="AD5470">
        <v>-5.9861999999999999E-2</v>
      </c>
      <c r="AE5470">
        <v>-0.51432900000000004</v>
      </c>
      <c r="AF5470">
        <v>0.109724091557415</v>
      </c>
      <c r="AG5470">
        <v>-5.9861999999999999E-2</v>
      </c>
      <c r="AH5470">
        <v>0.496263236669579</v>
      </c>
      <c r="AI5470">
        <v>96.717403845599804</v>
      </c>
      <c r="AJ5470">
        <v>77.532447699344999</v>
      </c>
      <c r="AK5470">
        <v>0.51176169784565395</v>
      </c>
      <c r="AL5470">
        <v>84.346880952116905</v>
      </c>
      <c r="AM5470">
        <v>79.141057526903296</v>
      </c>
      <c r="AN5470">
        <v>1.0000000478903399</v>
      </c>
    </row>
    <row r="5471" spans="1:40" x14ac:dyDescent="0.25">
      <c r="A5471" t="str">
        <f>"20190312164614392"</f>
        <v>20190312164614392</v>
      </c>
      <c r="B5471" t="str">
        <f>"1552380374386589"</f>
        <v>1552380374386589</v>
      </c>
      <c r="C5471" t="s">
        <v>40</v>
      </c>
      <c r="D5471">
        <v>5.3657240000000002</v>
      </c>
      <c r="E5471">
        <v>0.49002689999999999</v>
      </c>
      <c r="F5471" t="s">
        <v>41</v>
      </c>
      <c r="G5471">
        <v>-300.60399999999998</v>
      </c>
      <c r="H5471">
        <v>1.0026250000000001</v>
      </c>
      <c r="I5471">
        <v>-3.2296689999999999</v>
      </c>
      <c r="J5471">
        <v>-300.5831</v>
      </c>
      <c r="K5471">
        <v>1.074935</v>
      </c>
      <c r="L5471">
        <v>-2.527374</v>
      </c>
      <c r="M5471">
        <v>0.15610669999999999</v>
      </c>
      <c r="N5471">
        <v>0</v>
      </c>
      <c r="O5471">
        <v>-0.98773420000000001</v>
      </c>
      <c r="P5471">
        <v>-2.3576340000000001E-2</v>
      </c>
      <c r="Q5471">
        <v>9.5507540000000002E-2</v>
      </c>
      <c r="R5471">
        <v>-0.99514959999999997</v>
      </c>
      <c r="S5471">
        <v>3.6376949999999998E-2</v>
      </c>
      <c r="T5471">
        <v>-0.2249768</v>
      </c>
      <c r="U5471">
        <v>-3.0383909999999998</v>
      </c>
      <c r="V5471">
        <v>0.17982390000000001</v>
      </c>
      <c r="W5471">
        <v>9.6714549999999996E-2</v>
      </c>
      <c r="X5471">
        <v>0.97893289999999999</v>
      </c>
      <c r="Y5471">
        <v>0.14430100000000001</v>
      </c>
      <c r="Z5471">
        <v>7.2097359999999999E-2</v>
      </c>
      <c r="AA5471">
        <v>0.9869038</v>
      </c>
      <c r="AB5471">
        <v>24</v>
      </c>
      <c r="AC5471">
        <v>-2.0900000000040098E-2</v>
      </c>
      <c r="AD5471">
        <v>-7.2309999999999805E-2</v>
      </c>
      <c r="AE5471">
        <v>-0.702294999999999</v>
      </c>
      <c r="AF5471">
        <v>0.128911951327567</v>
      </c>
      <c r="AG5471">
        <v>-7.2309999999999805E-2</v>
      </c>
      <c r="AH5471">
        <v>0.68318602471165002</v>
      </c>
      <c r="AI5471">
        <v>95.9378100678544</v>
      </c>
      <c r="AJ5471">
        <v>79.314364605565501</v>
      </c>
      <c r="AK5471">
        <v>0.69899225436079604</v>
      </c>
      <c r="AL5471">
        <v>84.4499891271834</v>
      </c>
      <c r="AM5471">
        <v>79.591162094485398</v>
      </c>
      <c r="AN5471">
        <v>0.99999998094766096</v>
      </c>
    </row>
    <row r="5472" spans="1:40" x14ac:dyDescent="0.25">
      <c r="A5472" t="str">
        <f>"20190312164614429"</f>
        <v>20190312164614429</v>
      </c>
      <c r="B5472" t="str">
        <f>"1552380374416845"</f>
        <v>1552380374416845</v>
      </c>
      <c r="C5472" t="s">
        <v>40</v>
      </c>
      <c r="D5472">
        <v>5.5381499999999999</v>
      </c>
      <c r="E5472">
        <v>0.4877108</v>
      </c>
      <c r="F5472" t="s">
        <v>41</v>
      </c>
      <c r="G5472">
        <v>-300.57100000000003</v>
      </c>
      <c r="H5472">
        <v>1.0048189999999999</v>
      </c>
      <c r="I5472">
        <v>-3.4455290000000001</v>
      </c>
      <c r="J5472">
        <v>-300.53129999999999</v>
      </c>
      <c r="K5472">
        <v>1.079906</v>
      </c>
      <c r="L5472">
        <v>-2.9304809999999999</v>
      </c>
      <c r="M5472">
        <v>0.14636099999999999</v>
      </c>
      <c r="N5472">
        <v>0</v>
      </c>
      <c r="O5472">
        <v>-0.9892244</v>
      </c>
      <c r="P5472">
        <v>-2.0936949999999999E-2</v>
      </c>
      <c r="Q5472">
        <v>9.1757560000000002E-2</v>
      </c>
      <c r="R5472">
        <v>-0.9955619</v>
      </c>
      <c r="S5472">
        <v>4.0832519999999997E-2</v>
      </c>
      <c r="T5472">
        <v>-0.23165269999999999</v>
      </c>
      <c r="U5472">
        <v>-3.037811</v>
      </c>
      <c r="V5472">
        <v>0.1674341</v>
      </c>
      <c r="W5472">
        <v>9.3651020000000001E-2</v>
      </c>
      <c r="X5472">
        <v>0.9814252</v>
      </c>
      <c r="Y5472">
        <v>0.13308919999999999</v>
      </c>
      <c r="Z5472">
        <v>7.4467619999999998E-2</v>
      </c>
      <c r="AA5472">
        <v>0.98830249999999997</v>
      </c>
      <c r="AB5472">
        <v>24</v>
      </c>
      <c r="AC5472">
        <v>-3.9699999999982E-2</v>
      </c>
      <c r="AD5472">
        <v>-7.5086999999999904E-2</v>
      </c>
      <c r="AE5472">
        <v>-0.51504799999999895</v>
      </c>
      <c r="AF5472">
        <v>0.112283581331254</v>
      </c>
      <c r="AG5472">
        <v>-7.5086999999999904E-2</v>
      </c>
      <c r="AH5472">
        <v>0.49326906622104399</v>
      </c>
      <c r="AI5472">
        <v>98.442565020933102</v>
      </c>
      <c r="AJ5472">
        <v>77.176188493638193</v>
      </c>
      <c r="AK5472">
        <v>0.51142940069588605</v>
      </c>
      <c r="AL5472">
        <v>84.626317514746702</v>
      </c>
      <c r="AM5472">
        <v>80.318378166811897</v>
      </c>
      <c r="AN5472">
        <v>1.0000000572924399</v>
      </c>
    </row>
    <row r="5473" spans="1:40" x14ac:dyDescent="0.25">
      <c r="A5473" t="str">
        <f>"20190312164614453"</f>
        <v>20190312164614453</v>
      </c>
      <c r="B5473" t="str">
        <f>"1552380374447101"</f>
        <v>1552380374447101</v>
      </c>
      <c r="C5473" t="s">
        <v>40</v>
      </c>
      <c r="D5473">
        <v>5.2989829999999998</v>
      </c>
      <c r="E5473">
        <v>0.49166389999999999</v>
      </c>
      <c r="F5473" t="s">
        <v>41</v>
      </c>
      <c r="G5473">
        <v>-300.5129</v>
      </c>
      <c r="H5473">
        <v>0.98016630000000005</v>
      </c>
      <c r="I5473">
        <v>-3.6450930000000001</v>
      </c>
      <c r="J5473">
        <v>-300.49849999999998</v>
      </c>
      <c r="K5473">
        <v>1.083277</v>
      </c>
      <c r="L5473">
        <v>-3.2004700000000001</v>
      </c>
      <c r="M5473">
        <v>0.14001069999999999</v>
      </c>
      <c r="N5473">
        <v>0</v>
      </c>
      <c r="O5473">
        <v>-0.99014060000000004</v>
      </c>
      <c r="P5473">
        <v>-2.03109E-2</v>
      </c>
      <c r="Q5473">
        <v>8.8603470000000004E-2</v>
      </c>
      <c r="R5473">
        <v>-0.99585999999999997</v>
      </c>
      <c r="S5473">
        <v>7.9376219999999997E-2</v>
      </c>
      <c r="T5473">
        <v>-0.42588759999999998</v>
      </c>
      <c r="U5473">
        <v>-3.0542910000000001</v>
      </c>
      <c r="V5473">
        <v>0.16043859999999999</v>
      </c>
      <c r="W5473">
        <v>9.128037E-2</v>
      </c>
      <c r="X5473">
        <v>0.98281600000000002</v>
      </c>
      <c r="Y5473">
        <v>0.11447889999999999</v>
      </c>
      <c r="Z5473">
        <v>0.13559499999999999</v>
      </c>
      <c r="AA5473">
        <v>0.98412840000000001</v>
      </c>
      <c r="AB5473">
        <v>24</v>
      </c>
      <c r="AC5473">
        <v>-1.44000000000232E-2</v>
      </c>
      <c r="AD5473">
        <v>-0.1031107</v>
      </c>
      <c r="AE5473">
        <v>-0.44462299999999899</v>
      </c>
      <c r="AF5473">
        <v>7.2609823526118597E-2</v>
      </c>
      <c r="AG5473">
        <v>-0.1031107</v>
      </c>
      <c r="AH5473">
        <v>0.41588424065090501</v>
      </c>
      <c r="AI5473">
        <v>103.725039301588</v>
      </c>
      <c r="AJ5473">
        <v>80.096469898816395</v>
      </c>
      <c r="AK5473">
        <v>0.43458451945365401</v>
      </c>
      <c r="AL5473">
        <v>84.762729731043393</v>
      </c>
      <c r="AM5473">
        <v>80.728599497309602</v>
      </c>
      <c r="AN5473">
        <v>0.99999997008664798</v>
      </c>
    </row>
    <row r="5474" spans="1:40" x14ac:dyDescent="0.25">
      <c r="A5474" t="str">
        <f>"20190312164614477"</f>
        <v>20190312164614477</v>
      </c>
      <c r="B5474" t="str">
        <f>"1552380374466622"</f>
        <v>1552380374466622</v>
      </c>
      <c r="C5474" t="s">
        <v>40</v>
      </c>
      <c r="D5474">
        <v>5.5333300000000003</v>
      </c>
      <c r="E5474">
        <v>0.48927100000000001</v>
      </c>
      <c r="F5474" t="s">
        <v>41</v>
      </c>
      <c r="G5474">
        <v>-300.488</v>
      </c>
      <c r="H5474">
        <v>1.0120610000000001</v>
      </c>
      <c r="I5474">
        <v>-4.0982659999999997</v>
      </c>
      <c r="J5474">
        <v>-300.4683</v>
      </c>
      <c r="K5474">
        <v>1.0863510000000001</v>
      </c>
      <c r="L5474">
        <v>-3.4593199999999902</v>
      </c>
      <c r="M5474">
        <v>0.13443540000000001</v>
      </c>
      <c r="N5474">
        <v>0</v>
      </c>
      <c r="O5474">
        <v>-0.99090959999999995</v>
      </c>
      <c r="P5474">
        <v>-1.7745449999999999E-2</v>
      </c>
      <c r="Q5474">
        <v>8.5309270000000006E-2</v>
      </c>
      <c r="R5474">
        <v>-0.99619639999999998</v>
      </c>
      <c r="S5474">
        <v>3.6346440000000001E-2</v>
      </c>
      <c r="T5474">
        <v>-0.2404345</v>
      </c>
      <c r="U5474">
        <v>-3.0346069999999998</v>
      </c>
      <c r="V5474">
        <v>0.15231129999999901</v>
      </c>
      <c r="W5474">
        <v>8.8906819999999998E-2</v>
      </c>
      <c r="X5474">
        <v>0.98432560000000002</v>
      </c>
      <c r="Y5474">
        <v>0.1225946</v>
      </c>
      <c r="Z5474">
        <v>7.7608700000000003E-2</v>
      </c>
      <c r="AA5474">
        <v>0.98941769999999996</v>
      </c>
      <c r="AB5474">
        <v>24</v>
      </c>
      <c r="AC5474">
        <v>-1.97000000000002E-2</v>
      </c>
      <c r="AD5474">
        <v>-7.4289999999999898E-2</v>
      </c>
      <c r="AE5474">
        <v>-0.63894600000000101</v>
      </c>
      <c r="AF5474">
        <v>0.10401441702469599</v>
      </c>
      <c r="AG5474">
        <v>-7.4289999999999898E-2</v>
      </c>
      <c r="AH5474">
        <v>0.62209543421496505</v>
      </c>
      <c r="AI5474">
        <v>96.717572800389604</v>
      </c>
      <c r="AJ5474">
        <v>80.507943088084701</v>
      </c>
      <c r="AK5474">
        <v>0.63509112127323297</v>
      </c>
      <c r="AL5474">
        <v>84.899279731268706</v>
      </c>
      <c r="AM5474">
        <v>81.203999362011402</v>
      </c>
      <c r="AN5474">
        <v>1.0000000207827799</v>
      </c>
    </row>
    <row r="5475" spans="1:40" x14ac:dyDescent="0.25">
      <c r="A5475" t="str">
        <f>"20190312164614502"</f>
        <v>20190312164614502</v>
      </c>
      <c r="B5475" t="str">
        <f>"1552380374496877"</f>
        <v>1552380374496877</v>
      </c>
      <c r="C5475" t="s">
        <v>40</v>
      </c>
      <c r="D5475">
        <v>5.538208</v>
      </c>
      <c r="E5475">
        <v>0.49014560000000001</v>
      </c>
      <c r="F5475" t="s">
        <v>41</v>
      </c>
      <c r="G5475">
        <v>-300.45139999999998</v>
      </c>
      <c r="H5475">
        <v>1.0095130000000001</v>
      </c>
      <c r="I5475">
        <v>-4.3118990000000004</v>
      </c>
      <c r="J5475">
        <v>-300.43779999999998</v>
      </c>
      <c r="K5475">
        <v>1.089313</v>
      </c>
      <c r="L5475">
        <v>-3.7311399999999999</v>
      </c>
      <c r="M5475">
        <v>0.12910819999999901</v>
      </c>
      <c r="N5475">
        <v>0</v>
      </c>
      <c r="O5475">
        <v>-0.99161330000000003</v>
      </c>
      <c r="P5475">
        <v>-1.480425E-2</v>
      </c>
      <c r="Q5475">
        <v>8.1997760000000003E-2</v>
      </c>
      <c r="R5475">
        <v>-0.99652269999999998</v>
      </c>
      <c r="S5475">
        <v>6.097412E-2</v>
      </c>
      <c r="T5475">
        <v>-0.27331420000000001</v>
      </c>
      <c r="U5475">
        <v>-3.0359500000000001</v>
      </c>
      <c r="V5475">
        <v>0.14406260000000001</v>
      </c>
      <c r="W5475">
        <v>8.6594539999999998E-2</v>
      </c>
      <c r="X5475">
        <v>0.98577239999999999</v>
      </c>
      <c r="Y5475">
        <v>0.1092499</v>
      </c>
      <c r="Z5475">
        <v>8.8262679999999996E-2</v>
      </c>
      <c r="AA5475">
        <v>0.99008799999999997</v>
      </c>
      <c r="AB5475">
        <v>24</v>
      </c>
      <c r="AC5475">
        <v>-1.35999999999967E-2</v>
      </c>
      <c r="AD5475">
        <v>-7.9800000000000093E-2</v>
      </c>
      <c r="AE5475">
        <v>-0.58075899999999903</v>
      </c>
      <c r="AF5475">
        <v>8.6829708712446094E-2</v>
      </c>
      <c r="AG5475">
        <v>-7.9800000000000093E-2</v>
      </c>
      <c r="AH5475">
        <v>0.56350877076930195</v>
      </c>
      <c r="AI5475">
        <v>97.967413459247396</v>
      </c>
      <c r="AJ5475">
        <v>81.240324771948806</v>
      </c>
      <c r="AK5475">
        <v>0.57571657354033001</v>
      </c>
      <c r="AL5475">
        <v>85.0322762608386</v>
      </c>
      <c r="AM5475">
        <v>81.685547324459705</v>
      </c>
      <c r="AN5475">
        <v>0.99999993583916302</v>
      </c>
    </row>
    <row r="5476" spans="1:40" x14ac:dyDescent="0.25">
      <c r="A5476" t="str">
        <f>"20190312164614528"</f>
        <v>20190312164614528</v>
      </c>
      <c r="B5476" t="str">
        <f>"1552380374516397"</f>
        <v>1552380374516397</v>
      </c>
      <c r="C5476" t="s">
        <v>40</v>
      </c>
      <c r="D5476">
        <v>5.6749130000000001</v>
      </c>
      <c r="E5476">
        <v>0.49036649999999998</v>
      </c>
      <c r="F5476" t="s">
        <v>41</v>
      </c>
      <c r="G5476">
        <v>-300.42230000000001</v>
      </c>
      <c r="H5476">
        <v>1.0187539999999999</v>
      </c>
      <c r="I5476">
        <v>-4.5323079999999996</v>
      </c>
      <c r="J5476">
        <v>-300.40769999999998</v>
      </c>
      <c r="K5476">
        <v>1.092055</v>
      </c>
      <c r="L5476">
        <v>-4.0094599999999998</v>
      </c>
      <c r="M5476">
        <v>0.12406449999999999</v>
      </c>
      <c r="N5476">
        <v>0</v>
      </c>
      <c r="O5476">
        <v>-0.99225160000000001</v>
      </c>
      <c r="P5476">
        <v>-1.21832E-2</v>
      </c>
      <c r="Q5476">
        <v>7.8729289999999993E-2</v>
      </c>
      <c r="R5476">
        <v>-0.99682159999999997</v>
      </c>
      <c r="S5476">
        <v>5.9326169999999998E-2</v>
      </c>
      <c r="T5476">
        <v>-0.26692700000000003</v>
      </c>
      <c r="U5476">
        <v>-3.033325</v>
      </c>
      <c r="V5476">
        <v>0.13641059999999999</v>
      </c>
      <c r="W5476">
        <v>8.4306019999999995E-2</v>
      </c>
      <c r="X5476">
        <v>0.98705860000000001</v>
      </c>
      <c r="Y5476">
        <v>0.1047126</v>
      </c>
      <c r="Z5476">
        <v>8.6396280000000006E-2</v>
      </c>
      <c r="AA5476">
        <v>0.99074260000000003</v>
      </c>
      <c r="AB5476">
        <v>24</v>
      </c>
      <c r="AC5476">
        <v>-1.46000000000299E-2</v>
      </c>
      <c r="AD5476">
        <v>-7.3300999999999797E-2</v>
      </c>
      <c r="AE5476">
        <v>-0.52284799999999998</v>
      </c>
      <c r="AF5476">
        <v>7.7827041100407807E-2</v>
      </c>
      <c r="AG5476">
        <v>-7.3300999999999797E-2</v>
      </c>
      <c r="AH5476">
        <v>0.507039002335962</v>
      </c>
      <c r="AI5476">
        <v>98.132132167483405</v>
      </c>
      <c r="AJ5476">
        <v>81.273593739363704</v>
      </c>
      <c r="AK5476">
        <v>0.518187837388425</v>
      </c>
      <c r="AL5476">
        <v>85.163880585715901</v>
      </c>
      <c r="AM5476">
        <v>82.131615551132995</v>
      </c>
      <c r="AN5476">
        <v>1.0000000183172799</v>
      </c>
    </row>
    <row r="5477" spans="1:40" x14ac:dyDescent="0.25">
      <c r="A5477" t="str">
        <f>"20190312164614564"</f>
        <v>20190312164614564</v>
      </c>
      <c r="B5477" t="str">
        <f>"1552380374556413"</f>
        <v>1552380374556413</v>
      </c>
      <c r="C5477" t="s">
        <v>40</v>
      </c>
      <c r="D5477">
        <v>5.5522910000000003</v>
      </c>
      <c r="E5477">
        <v>0.4939479</v>
      </c>
      <c r="F5477" t="s">
        <v>41</v>
      </c>
      <c r="G5477">
        <v>-300.39190000000002</v>
      </c>
      <c r="H5477">
        <v>1.024159</v>
      </c>
      <c r="I5477">
        <v>-4.7505879999999996</v>
      </c>
      <c r="J5477">
        <v>-300.3673</v>
      </c>
      <c r="K5477">
        <v>1.0953790000000001</v>
      </c>
      <c r="L5477">
        <v>-4.4028320000000001</v>
      </c>
      <c r="M5477">
        <v>0.1174113</v>
      </c>
      <c r="N5477">
        <v>0</v>
      </c>
      <c r="O5477">
        <v>-0.99305310000000002</v>
      </c>
      <c r="P5477">
        <v>-3.9689419999999996E-3</v>
      </c>
      <c r="Q5477">
        <v>7.5335699999999894E-2</v>
      </c>
      <c r="R5477">
        <v>-0.99715039999999999</v>
      </c>
      <c r="S5477">
        <v>6.4788819999999997E-2</v>
      </c>
      <c r="T5477">
        <v>-0.27770899999999998</v>
      </c>
      <c r="U5477">
        <v>-3.0322879999999999</v>
      </c>
      <c r="V5477">
        <v>0.1215864</v>
      </c>
      <c r="W5477">
        <v>8.2194790000000004E-2</v>
      </c>
      <c r="X5477">
        <v>0.98917169999999999</v>
      </c>
      <c r="Y5477">
        <v>9.6260559999999995E-2</v>
      </c>
      <c r="Z5477">
        <v>9.0036030000000003E-2</v>
      </c>
      <c r="AA5477">
        <v>0.99127569999999998</v>
      </c>
      <c r="AB5477">
        <v>24</v>
      </c>
      <c r="AC5477">
        <v>-2.46000000000208E-2</v>
      </c>
      <c r="AD5477">
        <v>-7.1220000000000006E-2</v>
      </c>
      <c r="AE5477">
        <v>-0.34775599999999901</v>
      </c>
      <c r="AF5477">
        <v>6.2647058907537204E-2</v>
      </c>
      <c r="AG5477">
        <v>-7.1220000000000006E-2</v>
      </c>
      <c r="AH5477">
        <v>0.32874251106591601</v>
      </c>
      <c r="AI5477">
        <v>102.014110478783</v>
      </c>
      <c r="AJ5477">
        <v>79.210751204004495</v>
      </c>
      <c r="AK5477">
        <v>0.34215286199546602</v>
      </c>
      <c r="AL5477">
        <v>85.285266196522699</v>
      </c>
      <c r="AM5477">
        <v>82.992502813619794</v>
      </c>
      <c r="AN5477">
        <v>0.999999944124495</v>
      </c>
    </row>
    <row r="5478" spans="1:40" x14ac:dyDescent="0.25">
      <c r="A5478" t="str">
        <f>"20190312164614589"</f>
        <v>20190312164614589</v>
      </c>
      <c r="B5478" t="str">
        <f>"1552380374576910"</f>
        <v>1552380374576910</v>
      </c>
      <c r="C5478" t="s">
        <v>40</v>
      </c>
      <c r="D5478">
        <v>5.3872269999999904</v>
      </c>
      <c r="E5478">
        <v>0.49326910000000002</v>
      </c>
      <c r="F5478" t="s">
        <v>42</v>
      </c>
      <c r="G5478">
        <v>-299.97899999999998</v>
      </c>
      <c r="H5478" s="1">
        <v>-1.6225130000000001E-6</v>
      </c>
      <c r="I5478">
        <v>-26.615749999999998</v>
      </c>
      <c r="J5478">
        <v>-300.34010000000001</v>
      </c>
      <c r="K5478">
        <v>1.097353</v>
      </c>
      <c r="L5478">
        <v>-4.6795039999999997</v>
      </c>
      <c r="M5478">
        <v>0.1129125</v>
      </c>
      <c r="N5478">
        <v>0</v>
      </c>
      <c r="O5478">
        <v>-0.99356940000000005</v>
      </c>
      <c r="P5478">
        <v>-1.424792E-3</v>
      </c>
      <c r="Q5478">
        <v>7.4266380000000007E-2</v>
      </c>
      <c r="R5478">
        <v>-0.99723779999999995</v>
      </c>
      <c r="S5478">
        <v>5.2795410000000001E-2</v>
      </c>
      <c r="T5478">
        <v>-0.14892710000000001</v>
      </c>
      <c r="U5478">
        <v>-3.0200499999999999</v>
      </c>
      <c r="V5478">
        <v>0.1145446</v>
      </c>
      <c r="W5478">
        <v>8.190443E-2</v>
      </c>
      <c r="X5478">
        <v>0.99003600000000003</v>
      </c>
      <c r="Y5478">
        <v>9.5552559999999995E-2</v>
      </c>
      <c r="Z5478">
        <v>4.8664440000000003E-2</v>
      </c>
      <c r="AA5478">
        <v>0.99423410000000001</v>
      </c>
      <c r="AB5478">
        <v>24</v>
      </c>
      <c r="AC5478">
        <v>0.36109999999996401</v>
      </c>
      <c r="AD5478">
        <v>-1.097354622513</v>
      </c>
      <c r="AE5478">
        <v>-21.936246000000001</v>
      </c>
      <c r="AF5478">
        <v>2.1128872439272102</v>
      </c>
      <c r="AG5478">
        <v>-1.097354622513</v>
      </c>
      <c r="AH5478">
        <v>21.782231813477399</v>
      </c>
      <c r="AI5478">
        <v>92.870582658407699</v>
      </c>
      <c r="AJ5478">
        <v>84.459614376403707</v>
      </c>
      <c r="AK5478">
        <v>21.911962542163302</v>
      </c>
      <c r="AL5478">
        <v>85.301959340631598</v>
      </c>
      <c r="AM5478">
        <v>83.400369690536195</v>
      </c>
      <c r="AN5478">
        <v>1.0000000411693899</v>
      </c>
    </row>
    <row r="5479" spans="1:40" x14ac:dyDescent="0.25">
      <c r="A5479" t="str">
        <f>"20190312164614612"</f>
        <v>20190312164614612</v>
      </c>
      <c r="B5479" t="str">
        <f>"1552380374607165"</f>
        <v>1552380374607165</v>
      </c>
      <c r="C5479" t="s">
        <v>40</v>
      </c>
      <c r="D5479">
        <v>5.5070779999999999</v>
      </c>
      <c r="E5479">
        <v>0.492705</v>
      </c>
      <c r="F5479" t="s">
        <v>41</v>
      </c>
      <c r="G5479">
        <v>-300.31939999999997</v>
      </c>
      <c r="H5479">
        <v>1.0420499999999999</v>
      </c>
      <c r="I5479">
        <v>-5.627999</v>
      </c>
      <c r="J5479">
        <v>-300.31720000000001</v>
      </c>
      <c r="K5479">
        <v>1.09881299999999</v>
      </c>
      <c r="L5479">
        <v>-4.9218440000000001</v>
      </c>
      <c r="M5479">
        <v>0.1090622</v>
      </c>
      <c r="N5479">
        <v>0</v>
      </c>
      <c r="O5479">
        <v>-0.9939945</v>
      </c>
      <c r="P5479">
        <v>2.3003640000000001E-3</v>
      </c>
      <c r="Q5479">
        <v>7.3708140000000005E-2</v>
      </c>
      <c r="R5479">
        <v>-0.99727759999999999</v>
      </c>
      <c r="S5479">
        <v>6.588745E-2</v>
      </c>
      <c r="T5479">
        <v>-0.17614649999999901</v>
      </c>
      <c r="U5479">
        <v>-3.021515</v>
      </c>
      <c r="V5479">
        <v>0.1069855</v>
      </c>
      <c r="W5479">
        <v>8.1961909999999999E-2</v>
      </c>
      <c r="X5479">
        <v>0.9908766</v>
      </c>
      <c r="Y5479">
        <v>8.7405819999999995E-2</v>
      </c>
      <c r="Z5479">
        <v>5.7560189999999997E-2</v>
      </c>
      <c r="AA5479">
        <v>0.99450839999999996</v>
      </c>
      <c r="AB5479">
        <v>24</v>
      </c>
      <c r="AC5479">
        <v>-2.1999999999593399E-3</v>
      </c>
      <c r="AD5479">
        <v>-5.6762999999999897E-2</v>
      </c>
      <c r="AE5479">
        <v>-0.70615499999999898</v>
      </c>
      <c r="AF5479">
        <v>7.8696300671644501E-2</v>
      </c>
      <c r="AG5479">
        <v>-5.6762999999999897E-2</v>
      </c>
      <c r="AH5479">
        <v>0.69719757800941795</v>
      </c>
      <c r="AI5479">
        <v>94.625280923519696</v>
      </c>
      <c r="AJ5479">
        <v>83.559986703320803</v>
      </c>
      <c r="AK5479">
        <v>0.70391733086393005</v>
      </c>
      <c r="AL5479">
        <v>85.298654883264106</v>
      </c>
      <c r="AM5479">
        <v>83.837614981921007</v>
      </c>
      <c r="AN5479">
        <v>1.00000004416432</v>
      </c>
    </row>
    <row r="5480" spans="1:40" x14ac:dyDescent="0.25">
      <c r="A5480" t="str">
        <f>"20190312164614633"</f>
        <v>20190312164614633</v>
      </c>
      <c r="B5480" t="str">
        <f>"1552380374626686"</f>
        <v>1552380374626686</v>
      </c>
      <c r="C5480" t="s">
        <v>40</v>
      </c>
      <c r="D5480">
        <v>5.5330339999999998</v>
      </c>
      <c r="E5480">
        <v>0.49232049999999999</v>
      </c>
      <c r="F5480" t="s">
        <v>41</v>
      </c>
      <c r="G5480">
        <v>-300.29199999999997</v>
      </c>
      <c r="H5480">
        <v>1.0038309999999999</v>
      </c>
      <c r="I5480">
        <v>-5.8230740000000001</v>
      </c>
      <c r="J5480">
        <v>-300.29629999999997</v>
      </c>
      <c r="K5480">
        <v>1.0999810000000001</v>
      </c>
      <c r="L5480">
        <v>-5.1508180000000001</v>
      </c>
      <c r="M5480">
        <v>0.10546030000000001</v>
      </c>
      <c r="N5480">
        <v>0</v>
      </c>
      <c r="O5480">
        <v>-0.9943786</v>
      </c>
      <c r="P5480">
        <v>6.0733860000000001E-3</v>
      </c>
      <c r="Q5480">
        <v>7.3350239999999997E-2</v>
      </c>
      <c r="R5480">
        <v>-0.9972879</v>
      </c>
      <c r="S5480">
        <v>8.5510249999999996E-2</v>
      </c>
      <c r="T5480">
        <v>-0.31919180000000003</v>
      </c>
      <c r="U5480">
        <v>-3.0315859999999999</v>
      </c>
      <c r="V5480">
        <v>9.9631280000000003E-2</v>
      </c>
      <c r="W5480">
        <v>8.2129690000000005E-2</v>
      </c>
      <c r="X5480">
        <v>0.99162910000000004</v>
      </c>
      <c r="Y5480">
        <v>7.7537019999999998E-2</v>
      </c>
      <c r="Z5480">
        <v>0.1036585</v>
      </c>
      <c r="AA5480">
        <v>0.99158610000000003</v>
      </c>
      <c r="AB5480">
        <v>24</v>
      </c>
      <c r="AC5480">
        <v>4.2999999999437898E-3</v>
      </c>
      <c r="AD5480">
        <v>-9.6149999999999902E-2</v>
      </c>
      <c r="AE5480">
        <v>-0.67225599999999996</v>
      </c>
      <c r="AF5480">
        <v>6.5287965018867203E-2</v>
      </c>
      <c r="AG5480">
        <v>-9.6149999999999902E-2</v>
      </c>
      <c r="AH5480">
        <v>0.65555067936420197</v>
      </c>
      <c r="AI5480">
        <v>98.303609392504796</v>
      </c>
      <c r="AJ5480">
        <v>84.312521714416107</v>
      </c>
      <c r="AK5480">
        <v>0.66577326027047001</v>
      </c>
      <c r="AL5480">
        <v>85.289008951412001</v>
      </c>
      <c r="AM5480">
        <v>84.262613900709795</v>
      </c>
      <c r="AN5480">
        <v>0.99999997495037196</v>
      </c>
    </row>
    <row r="5481" spans="1:40" x14ac:dyDescent="0.25">
      <c r="A5481" t="str">
        <f>"20190312164614654"</f>
        <v>20190312164614654</v>
      </c>
      <c r="B5481" t="str">
        <f>"1552380374647181"</f>
        <v>1552380374647181</v>
      </c>
      <c r="C5481" t="s">
        <v>40</v>
      </c>
      <c r="D5481">
        <v>4.897195</v>
      </c>
      <c r="E5481">
        <v>0.4926547</v>
      </c>
      <c r="F5481" t="s">
        <v>41</v>
      </c>
      <c r="G5481">
        <v>-300.26799999999997</v>
      </c>
      <c r="H5481">
        <v>1.0097240000000001</v>
      </c>
      <c r="I5481">
        <v>-6.0415660000000004</v>
      </c>
      <c r="J5481">
        <v>-300.27499999999998</v>
      </c>
      <c r="K5481">
        <v>1.1010180000000001</v>
      </c>
      <c r="L5481">
        <v>-5.394501</v>
      </c>
      <c r="M5481">
        <v>0.1016345</v>
      </c>
      <c r="N5481">
        <v>0</v>
      </c>
      <c r="O5481">
        <v>-0.99477260000000001</v>
      </c>
      <c r="P5481">
        <v>9.6382210000000006E-3</v>
      </c>
      <c r="Q5481">
        <v>7.1851880000000007E-2</v>
      </c>
      <c r="R5481">
        <v>-0.99736880000000006</v>
      </c>
      <c r="S5481">
        <v>9.6740720000000002E-2</v>
      </c>
      <c r="T5481">
        <v>-0.30691489999999999</v>
      </c>
      <c r="U5481">
        <v>-3.030151</v>
      </c>
      <c r="V5481">
        <v>9.2265130000000001E-2</v>
      </c>
      <c r="W5481">
        <v>8.1130240000000006E-2</v>
      </c>
      <c r="X5481">
        <v>0.99242379999999997</v>
      </c>
      <c r="Y5481">
        <v>7.0002880000000003E-2</v>
      </c>
      <c r="Z5481">
        <v>9.9841979999999997E-2</v>
      </c>
      <c r="AA5481">
        <v>0.99253769999999997</v>
      </c>
      <c r="AB5481">
        <v>24</v>
      </c>
      <c r="AC5481">
        <v>7.0000000000049996E-3</v>
      </c>
      <c r="AD5481">
        <v>-9.1294E-2</v>
      </c>
      <c r="AE5481">
        <v>-0.647065</v>
      </c>
      <c r="AF5481">
        <v>5.7656019410517102E-2</v>
      </c>
      <c r="AG5481">
        <v>-9.1294E-2</v>
      </c>
      <c r="AH5481">
        <v>0.63184926574654798</v>
      </c>
      <c r="AI5481">
        <v>98.188043138807004</v>
      </c>
      <c r="AJ5481">
        <v>84.786219472379798</v>
      </c>
      <c r="AK5481">
        <v>0.64100881868716697</v>
      </c>
      <c r="AL5481">
        <v>85.346465014001694</v>
      </c>
      <c r="AM5481">
        <v>84.688508731497905</v>
      </c>
      <c r="AN5481">
        <v>0.99999998443140703</v>
      </c>
    </row>
    <row r="5482" spans="1:40" x14ac:dyDescent="0.25">
      <c r="A5482" t="str">
        <f>"20190312164614696"</f>
        <v>20190312164614696</v>
      </c>
      <c r="B5482" t="str">
        <f>"1552380374687197"</f>
        <v>1552380374687197</v>
      </c>
      <c r="C5482" t="s">
        <v>40</v>
      </c>
      <c r="D5482">
        <v>5.4776910000000001</v>
      </c>
      <c r="E5482">
        <v>0.49399890000000002</v>
      </c>
      <c r="F5482" t="s">
        <v>41</v>
      </c>
      <c r="G5482">
        <v>-300.24579999999997</v>
      </c>
      <c r="H5482">
        <v>1.012364</v>
      </c>
      <c r="I5482">
        <v>-6.2585309999999996</v>
      </c>
      <c r="J5482">
        <v>-300.23790000000002</v>
      </c>
      <c r="K5482">
        <v>1.1025049999999901</v>
      </c>
      <c r="L5482">
        <v>-5.8453059999999999</v>
      </c>
      <c r="M5482">
        <v>9.4480439999999999E-2</v>
      </c>
      <c r="N5482">
        <v>0</v>
      </c>
      <c r="O5482">
        <v>-0.99547050000000004</v>
      </c>
      <c r="P5482">
        <v>1.6878170000000001E-2</v>
      </c>
      <c r="Q5482">
        <v>7.0201189999999997E-2</v>
      </c>
      <c r="R5482">
        <v>-0.99739040000000001</v>
      </c>
      <c r="S5482">
        <v>0.1034241</v>
      </c>
      <c r="T5482">
        <v>-0.31042130000000001</v>
      </c>
      <c r="U5482">
        <v>-3.0292659999999998</v>
      </c>
      <c r="V5482">
        <v>7.7917130000000001E-2</v>
      </c>
      <c r="W5482">
        <v>8.0275199999999894E-2</v>
      </c>
      <c r="X5482">
        <v>0.99372269999999896</v>
      </c>
      <c r="Y5482">
        <v>6.0636919999999997E-2</v>
      </c>
      <c r="Z5482">
        <v>0.10113519999999999</v>
      </c>
      <c r="AA5482">
        <v>0.99302310000000005</v>
      </c>
      <c r="AB5482">
        <v>24</v>
      </c>
      <c r="AC5482">
        <v>-7.8999999999496105E-3</v>
      </c>
      <c r="AD5482">
        <v>-9.0140999999999805E-2</v>
      </c>
      <c r="AE5482">
        <v>-0.41322499999999901</v>
      </c>
      <c r="AF5482">
        <v>4.4778507961701901E-2</v>
      </c>
      <c r="AG5482">
        <v>-9.0140999999999805E-2</v>
      </c>
      <c r="AH5482">
        <v>0.391984072190808</v>
      </c>
      <c r="AI5482">
        <v>102.86974730027799</v>
      </c>
      <c r="AJ5482">
        <v>83.483036580719002</v>
      </c>
      <c r="AK5482">
        <v>0.40469992279164602</v>
      </c>
      <c r="AL5482">
        <v>85.395615569895099</v>
      </c>
      <c r="AM5482">
        <v>85.516649279926597</v>
      </c>
      <c r="AN5482">
        <v>0.99999999568888298</v>
      </c>
    </row>
    <row r="5483" spans="1:40" x14ac:dyDescent="0.25">
      <c r="A5483" t="str">
        <f>"20190312164614722"</f>
        <v>20190312164614722</v>
      </c>
      <c r="B5483" t="str">
        <f>"1552380374716477"</f>
        <v>1552380374716477</v>
      </c>
      <c r="C5483" t="s">
        <v>40</v>
      </c>
      <c r="D5483">
        <v>5.2972789999999996</v>
      </c>
      <c r="E5483">
        <v>0.4951198</v>
      </c>
      <c r="F5483" t="s">
        <v>41</v>
      </c>
      <c r="G5483">
        <v>-300.20690000000002</v>
      </c>
      <c r="H5483">
        <v>1.0168809999999999</v>
      </c>
      <c r="I5483">
        <v>-6.6922379999999997</v>
      </c>
      <c r="J5483">
        <v>-300.2174</v>
      </c>
      <c r="K5483">
        <v>1.103186</v>
      </c>
      <c r="L5483">
        <v>-6.1159059999999998</v>
      </c>
      <c r="M5483">
        <v>9.0104589999999998E-2</v>
      </c>
      <c r="N5483">
        <v>0</v>
      </c>
      <c r="O5483">
        <v>-0.99587219999999999</v>
      </c>
      <c r="P5483">
        <v>1.999834E-2</v>
      </c>
      <c r="Q5483">
        <v>6.9191349999999999E-2</v>
      </c>
      <c r="R5483">
        <v>-0.99740309999999999</v>
      </c>
      <c r="S5483">
        <v>0.1113281</v>
      </c>
      <c r="T5483">
        <v>-0.30590519999999999</v>
      </c>
      <c r="U5483">
        <v>-3.0274960000000002</v>
      </c>
      <c r="V5483">
        <v>7.0442359999999996E-2</v>
      </c>
      <c r="W5483">
        <v>7.9667760000000004E-2</v>
      </c>
      <c r="X5483">
        <v>0.99432940000000003</v>
      </c>
      <c r="Y5483">
        <v>5.3635059999999998E-2</v>
      </c>
      <c r="Z5483">
        <v>9.9813020000000002E-2</v>
      </c>
      <c r="AA5483">
        <v>0.99355959999999999</v>
      </c>
      <c r="AB5483">
        <v>24</v>
      </c>
      <c r="AC5483">
        <v>1.0499999999979E-2</v>
      </c>
      <c r="AD5483">
        <v>-8.6305000000000007E-2</v>
      </c>
      <c r="AE5483">
        <v>-0.57633199999999996</v>
      </c>
      <c r="AF5483">
        <v>4.0566591975777999E-2</v>
      </c>
      <c r="AG5483">
        <v>-8.6305000000000007E-2</v>
      </c>
      <c r="AH5483">
        <v>0.562327692699505</v>
      </c>
      <c r="AI5483">
        <v>98.703292162843894</v>
      </c>
      <c r="AJ5483">
        <v>85.873802742037</v>
      </c>
      <c r="AK5483">
        <v>0.57035658616893203</v>
      </c>
      <c r="AL5483">
        <v>85.430531245251103</v>
      </c>
      <c r="AM5483">
        <v>85.947703014043498</v>
      </c>
      <c r="AN5483">
        <v>1.00000001688507</v>
      </c>
    </row>
    <row r="5484" spans="1:40" x14ac:dyDescent="0.25">
      <c r="A5484" t="str">
        <f>"20190312164614749"</f>
        <v>20190312164614749</v>
      </c>
      <c r="B5484" t="str">
        <f>"1552380374736973"</f>
        <v>1552380374736973</v>
      </c>
      <c r="C5484" t="s">
        <v>40</v>
      </c>
      <c r="D5484">
        <v>5.7131160000000003</v>
      </c>
      <c r="E5484">
        <v>0.49558809999999898</v>
      </c>
      <c r="F5484" t="s">
        <v>41</v>
      </c>
      <c r="G5484">
        <v>-300.18869999999998</v>
      </c>
      <c r="H5484">
        <v>1.024734</v>
      </c>
      <c r="I5484">
        <v>-6.9117050000000004</v>
      </c>
      <c r="J5484">
        <v>-300.19639999999998</v>
      </c>
      <c r="K5484">
        <v>1.1037809999999999</v>
      </c>
      <c r="L5484">
        <v>-6.4084779999999997</v>
      </c>
      <c r="M5484">
        <v>8.5304699999999997E-2</v>
      </c>
      <c r="N5484">
        <v>0</v>
      </c>
      <c r="O5484">
        <v>-0.99629089999999998</v>
      </c>
      <c r="P5484">
        <v>2.1925050000000001E-2</v>
      </c>
      <c r="Q5484">
        <v>6.6946740000000005E-2</v>
      </c>
      <c r="R5484">
        <v>-0.99751570000000001</v>
      </c>
      <c r="S5484">
        <v>0.10955810000000001</v>
      </c>
      <c r="T5484">
        <v>-0.29817379999999999</v>
      </c>
      <c r="U5484">
        <v>-3.0263059999999999</v>
      </c>
      <c r="V5484">
        <v>6.3733079999999998E-2</v>
      </c>
      <c r="W5484">
        <v>7.7803890000000001E-2</v>
      </c>
      <c r="X5484">
        <v>0.99492950000000002</v>
      </c>
      <c r="Y5484">
        <v>4.9380460000000001E-2</v>
      </c>
      <c r="Z5484">
        <v>9.7426429999999994E-2</v>
      </c>
      <c r="AA5484">
        <v>0.99401689999999998</v>
      </c>
      <c r="AB5484">
        <v>24</v>
      </c>
      <c r="AC5484">
        <v>7.6999999999998103E-3</v>
      </c>
      <c r="AD5484">
        <v>-7.9046999999999798E-2</v>
      </c>
      <c r="AE5484">
        <v>-0.50322699999999998</v>
      </c>
      <c r="AF5484">
        <v>3.4409606572359197E-2</v>
      </c>
      <c r="AG5484">
        <v>-7.9046999999999798E-2</v>
      </c>
      <c r="AH5484">
        <v>0.489962742055495</v>
      </c>
      <c r="AI5484">
        <v>99.142575424754696</v>
      </c>
      <c r="AJ5484">
        <v>85.982768980957104</v>
      </c>
      <c r="AK5484">
        <v>0.49748963590813</v>
      </c>
      <c r="AL5484">
        <v>85.537655770359507</v>
      </c>
      <c r="AM5484">
        <v>86.334761370698502</v>
      </c>
      <c r="AN5484">
        <v>1.00000003037783</v>
      </c>
    </row>
    <row r="5485" spans="1:40" x14ac:dyDescent="0.25">
      <c r="A5485" t="str">
        <f>"20190312164614774"</f>
        <v>20190312164614774</v>
      </c>
      <c r="B5485" t="str">
        <f>"1552380374767229"</f>
        <v>1552380374767229</v>
      </c>
      <c r="C5485" t="s">
        <v>40</v>
      </c>
      <c r="D5485">
        <v>5.6253900000000003</v>
      </c>
      <c r="E5485">
        <v>0.4966023</v>
      </c>
      <c r="F5485" t="s">
        <v>41</v>
      </c>
      <c r="G5485">
        <v>-300.1626</v>
      </c>
      <c r="H5485">
        <v>1.011409</v>
      </c>
      <c r="I5485">
        <v>-7.3367279999999999</v>
      </c>
      <c r="J5485">
        <v>-300.17899999999997</v>
      </c>
      <c r="K5485">
        <v>1.1041989999999999</v>
      </c>
      <c r="L5485">
        <v>-6.6709589999999999</v>
      </c>
      <c r="M5485">
        <v>8.0928280000000005E-2</v>
      </c>
      <c r="N5485">
        <v>0</v>
      </c>
      <c r="O5485">
        <v>-0.99665300000000001</v>
      </c>
      <c r="P5485">
        <v>2.449554E-2</v>
      </c>
      <c r="Q5485">
        <v>6.4729910000000002E-2</v>
      </c>
      <c r="R5485">
        <v>-0.99760249999999995</v>
      </c>
      <c r="S5485">
        <v>0.1104126</v>
      </c>
      <c r="T5485">
        <v>-0.30101240000000001</v>
      </c>
      <c r="U5485">
        <v>-3.0252379999999999</v>
      </c>
      <c r="V5485">
        <v>5.6800049999999998E-2</v>
      </c>
      <c r="W5485">
        <v>7.5893619999999995E-2</v>
      </c>
      <c r="X5485">
        <v>0.99549679999999996</v>
      </c>
      <c r="Y5485">
        <v>4.4704170000000001E-2</v>
      </c>
      <c r="Z5485">
        <v>9.8443729999999993E-2</v>
      </c>
      <c r="AA5485">
        <v>0.99413799999999997</v>
      </c>
      <c r="AB5485">
        <v>24</v>
      </c>
      <c r="AC5485">
        <v>1.6400000000032802E-2</v>
      </c>
      <c r="AD5485">
        <v>-9.27899999999999E-2</v>
      </c>
      <c r="AE5485">
        <v>-0.66576899999999894</v>
      </c>
      <c r="AF5485">
        <v>3.6822108721981099E-2</v>
      </c>
      <c r="AG5485">
        <v>-9.27899999999999E-2</v>
      </c>
      <c r="AH5485">
        <v>0.65225014369270196</v>
      </c>
      <c r="AI5485">
        <v>98.0839459068455</v>
      </c>
      <c r="AJ5485">
        <v>86.768855592773406</v>
      </c>
      <c r="AK5485">
        <v>0.65984551353925502</v>
      </c>
      <c r="AL5485">
        <v>85.647430617255196</v>
      </c>
      <c r="AM5485">
        <v>86.734415968448005</v>
      </c>
      <c r="AN5485">
        <v>0.99999998302347304</v>
      </c>
    </row>
    <row r="5486" spans="1:40" x14ac:dyDescent="0.25">
      <c r="A5486" t="str">
        <f>"20190312164614794"</f>
        <v>20190312164614794</v>
      </c>
      <c r="B5486" t="str">
        <f>"1552380374786750"</f>
        <v>1552380374786750</v>
      </c>
      <c r="C5486" t="s">
        <v>40</v>
      </c>
      <c r="D5486">
        <v>5.7626739999999996</v>
      </c>
      <c r="E5486">
        <v>0.49724449999999998</v>
      </c>
      <c r="F5486" t="s">
        <v>41</v>
      </c>
      <c r="G5486">
        <v>-300.14760000000001</v>
      </c>
      <c r="H5486">
        <v>1.016821</v>
      </c>
      <c r="I5486">
        <v>-7.5547679999999904</v>
      </c>
      <c r="J5486">
        <v>-300.16469999999998</v>
      </c>
      <c r="K5486">
        <v>1.1044969999999901</v>
      </c>
      <c r="L5486">
        <v>-6.9016419999999998</v>
      </c>
      <c r="M5486">
        <v>7.7043589999999995E-2</v>
      </c>
      <c r="N5486">
        <v>0</v>
      </c>
      <c r="O5486">
        <v>-0.99695840000000002</v>
      </c>
      <c r="P5486">
        <v>2.6692270000000001E-2</v>
      </c>
      <c r="Q5486">
        <v>6.2787229999999999E-2</v>
      </c>
      <c r="R5486">
        <v>-0.99767019999999995</v>
      </c>
      <c r="S5486">
        <v>0.10879519999999999</v>
      </c>
      <c r="T5486">
        <v>-0.29846470000000003</v>
      </c>
      <c r="U5486">
        <v>-3.023895</v>
      </c>
      <c r="V5486">
        <v>5.072753E-2</v>
      </c>
      <c r="W5486">
        <v>7.4196120000000004E-2</v>
      </c>
      <c r="X5486">
        <v>0.99595270000000002</v>
      </c>
      <c r="Y5486">
        <v>4.1323180000000001E-2</v>
      </c>
      <c r="Z5486">
        <v>9.7714739999999994E-2</v>
      </c>
      <c r="AA5486">
        <v>0.99435620000000002</v>
      </c>
      <c r="AB5486">
        <v>24</v>
      </c>
      <c r="AC5486">
        <v>1.7099999999970798E-2</v>
      </c>
      <c r="AD5486">
        <v>-8.7675999999999796E-2</v>
      </c>
      <c r="AE5486">
        <v>-0.65312599999999899</v>
      </c>
      <c r="AF5486">
        <v>3.2684887508332802E-2</v>
      </c>
      <c r="AG5486">
        <v>-8.7675999999999796E-2</v>
      </c>
      <c r="AH5486">
        <v>0.64095948182551599</v>
      </c>
      <c r="AI5486">
        <v>97.779089513359693</v>
      </c>
      <c r="AJ5486">
        <v>87.080805488100594</v>
      </c>
      <c r="AK5486">
        <v>0.64775337914168096</v>
      </c>
      <c r="AL5486">
        <v>85.744965592236596</v>
      </c>
      <c r="AM5486">
        <v>87.084235108028196</v>
      </c>
      <c r="AN5486">
        <v>1.0000000635801201</v>
      </c>
    </row>
    <row r="5487" spans="1:40" x14ac:dyDescent="0.25">
      <c r="A5487" t="str">
        <f>"20190312164614813"</f>
        <v>20190312164614813</v>
      </c>
      <c r="B5487" t="str">
        <f>"1552380374807245"</f>
        <v>1552380374807245</v>
      </c>
      <c r="C5487" t="s">
        <v>40</v>
      </c>
      <c r="D5487">
        <v>5.6143539999999996</v>
      </c>
      <c r="E5487">
        <v>0.4978977</v>
      </c>
      <c r="F5487" t="s">
        <v>41</v>
      </c>
      <c r="G5487">
        <v>-300.13319999999999</v>
      </c>
      <c r="H5487">
        <v>1.0182899999999999</v>
      </c>
      <c r="I5487">
        <v>-7.7707579999999998</v>
      </c>
      <c r="J5487">
        <v>-300.1533</v>
      </c>
      <c r="K5487">
        <v>1.1047100000000001</v>
      </c>
      <c r="L5487">
        <v>-7.0975650000000003</v>
      </c>
      <c r="M5487">
        <v>7.3716459999999998E-2</v>
      </c>
      <c r="N5487">
        <v>0</v>
      </c>
      <c r="O5487">
        <v>-0.99720790000000004</v>
      </c>
      <c r="P5487">
        <v>2.9827369999999999E-2</v>
      </c>
      <c r="Q5487">
        <v>6.0974430000000003E-2</v>
      </c>
      <c r="R5487">
        <v>-0.99769370000000002</v>
      </c>
      <c r="S5487">
        <v>0.1098938</v>
      </c>
      <c r="T5487">
        <v>-0.29971789999999998</v>
      </c>
      <c r="U5487">
        <v>-3.0229189999999999</v>
      </c>
      <c r="V5487">
        <v>4.4271079999999997E-2</v>
      </c>
      <c r="W5487">
        <v>7.2584930000000006E-2</v>
      </c>
      <c r="X5487">
        <v>0.99637920000000002</v>
      </c>
      <c r="Y5487">
        <v>3.7618289999999999E-2</v>
      </c>
      <c r="Z5487">
        <v>9.8196140000000001E-2</v>
      </c>
      <c r="AA5487">
        <v>0.9944558</v>
      </c>
      <c r="AB5487">
        <v>24</v>
      </c>
      <c r="AC5487">
        <v>2.0100000000013499E-2</v>
      </c>
      <c r="AD5487">
        <v>-8.6420000000000094E-2</v>
      </c>
      <c r="AE5487">
        <v>-0.67319300000000004</v>
      </c>
      <c r="AF5487">
        <v>2.9104425788668099E-2</v>
      </c>
      <c r="AG5487">
        <v>-8.6420000000000094E-2</v>
      </c>
      <c r="AH5487">
        <v>0.66194402526620499</v>
      </c>
      <c r="AI5487">
        <v>97.431072859328296</v>
      </c>
      <c r="AJ5487">
        <v>87.482434509770798</v>
      </c>
      <c r="AK5487">
        <v>0.66819561251636095</v>
      </c>
      <c r="AL5487">
        <v>85.837529360176205</v>
      </c>
      <c r="AM5487">
        <v>87.455909559966699</v>
      </c>
      <c r="AN5487">
        <v>1.00000000539005</v>
      </c>
    </row>
    <row r="5488" spans="1:40" x14ac:dyDescent="0.25">
      <c r="A5488" t="str">
        <f>"20190312164614833"</f>
        <v>20190312164614833</v>
      </c>
      <c r="B5488" t="str">
        <f>"1552380374826765"</f>
        <v>1552380374826765</v>
      </c>
      <c r="C5488" t="s">
        <v>40</v>
      </c>
      <c r="D5488">
        <v>5.5473809999999997</v>
      </c>
      <c r="E5488">
        <v>0.49871330000000003</v>
      </c>
      <c r="F5488" t="s">
        <v>41</v>
      </c>
      <c r="G5488">
        <v>-300.12029999999999</v>
      </c>
      <c r="H5488">
        <v>1.016157</v>
      </c>
      <c r="I5488">
        <v>-7.9849199999999998</v>
      </c>
      <c r="J5488">
        <v>-300.14109999999999</v>
      </c>
      <c r="K5488">
        <v>1.104924</v>
      </c>
      <c r="L5488">
        <v>-7.322235</v>
      </c>
      <c r="M5488">
        <v>6.9867159999999998E-2</v>
      </c>
      <c r="N5488">
        <v>0</v>
      </c>
      <c r="O5488">
        <v>-0.99748309999999996</v>
      </c>
      <c r="P5488">
        <v>3.2156740000000003E-2</v>
      </c>
      <c r="Q5488">
        <v>6.0677099999999998E-2</v>
      </c>
      <c r="R5488">
        <v>-0.99763939999999995</v>
      </c>
      <c r="S5488">
        <v>0.1133118</v>
      </c>
      <c r="T5488">
        <v>-0.30123359999999999</v>
      </c>
      <c r="U5488">
        <v>-3.021973</v>
      </c>
      <c r="V5488">
        <v>3.8099420000000002E-2</v>
      </c>
      <c r="W5488">
        <v>7.2491260000000002E-2</v>
      </c>
      <c r="X5488">
        <v>0.99664109999999995</v>
      </c>
      <c r="Y5488">
        <v>3.2628699999999997E-2</v>
      </c>
      <c r="Z5488">
        <v>9.8766240000000005E-2</v>
      </c>
      <c r="AA5488">
        <v>0.9945756</v>
      </c>
      <c r="AB5488">
        <v>24</v>
      </c>
      <c r="AC5488">
        <v>2.0800000000008301E-2</v>
      </c>
      <c r="AD5488">
        <v>-8.8766999999999999E-2</v>
      </c>
      <c r="AE5488">
        <v>-0.66268499999999797</v>
      </c>
      <c r="AF5488">
        <v>2.5104142715906299E-2</v>
      </c>
      <c r="AG5488">
        <v>-8.8766999999999999E-2</v>
      </c>
      <c r="AH5488">
        <v>0.65085212764980604</v>
      </c>
      <c r="AI5488">
        <v>97.760713340626495</v>
      </c>
      <c r="AJ5488">
        <v>87.791128430301995</v>
      </c>
      <c r="AK5488">
        <v>0.65735704935505201</v>
      </c>
      <c r="AL5488">
        <v>85.842910473146304</v>
      </c>
      <c r="AM5488">
        <v>87.810773062831601</v>
      </c>
      <c r="AN5488">
        <v>1.00000001539496</v>
      </c>
    </row>
    <row r="5489" spans="1:40" x14ac:dyDescent="0.25">
      <c r="A5489" t="str">
        <f>"20190312164614857"</f>
        <v>20190312164614857</v>
      </c>
      <c r="B5489" t="str">
        <f>"1552380374847261"</f>
        <v>1552380374847261</v>
      </c>
      <c r="C5489" t="s">
        <v>40</v>
      </c>
      <c r="D5489">
        <v>5.5870329999999999</v>
      </c>
      <c r="E5489">
        <v>0.49943209999999999</v>
      </c>
      <c r="F5489" t="s">
        <v>41</v>
      </c>
      <c r="G5489">
        <v>-300.10849999999999</v>
      </c>
      <c r="H5489">
        <v>1.0185789999999999</v>
      </c>
      <c r="I5489">
        <v>-8.2011859999999999</v>
      </c>
      <c r="J5489">
        <v>-300.12869999999998</v>
      </c>
      <c r="K5489">
        <v>1.105124</v>
      </c>
      <c r="L5489">
        <v>-7.5684509999999996</v>
      </c>
      <c r="M5489">
        <v>6.5610299999999996E-2</v>
      </c>
      <c r="N5489">
        <v>0</v>
      </c>
      <c r="O5489">
        <v>-0.99777020000000005</v>
      </c>
      <c r="P5489">
        <v>3.3500250000000002E-2</v>
      </c>
      <c r="Q5489">
        <v>6.0711679999999997E-2</v>
      </c>
      <c r="R5489">
        <v>-0.99759350000000002</v>
      </c>
      <c r="S5489">
        <v>0.112335199999999</v>
      </c>
      <c r="T5489">
        <v>-0.29662319999999998</v>
      </c>
      <c r="U5489">
        <v>-3.021515</v>
      </c>
      <c r="V5489">
        <v>3.2506239999999999E-2</v>
      </c>
      <c r="W5489">
        <v>7.2720489999999999E-2</v>
      </c>
      <c r="X5489">
        <v>0.99682249999999994</v>
      </c>
      <c r="Y5489">
        <v>2.8673939999999998E-2</v>
      </c>
      <c r="Z5489">
        <v>9.7332399999999999E-2</v>
      </c>
      <c r="AA5489">
        <v>0.99483880000000002</v>
      </c>
      <c r="AB5489">
        <v>24</v>
      </c>
      <c r="AC5489">
        <v>2.0199999999988401E-2</v>
      </c>
      <c r="AD5489">
        <v>-8.6544999999999803E-2</v>
      </c>
      <c r="AE5489">
        <v>-0.63273500000000005</v>
      </c>
      <c r="AF5489">
        <v>2.0968682017149E-2</v>
      </c>
      <c r="AG5489">
        <v>-8.6544999999999803E-2</v>
      </c>
      <c r="AH5489">
        <v>0.62108903544472105</v>
      </c>
      <c r="AI5489">
        <v>97.928281193898997</v>
      </c>
      <c r="AJ5489">
        <v>88.066362855620994</v>
      </c>
      <c r="AK5489">
        <v>0.627440286083218</v>
      </c>
      <c r="AL5489">
        <v>85.829741787102293</v>
      </c>
      <c r="AM5489">
        <v>88.132254643800593</v>
      </c>
      <c r="AN5489">
        <v>1.0000000109055101</v>
      </c>
    </row>
    <row r="5490" spans="1:40" x14ac:dyDescent="0.25">
      <c r="A5490" t="str">
        <f>"20190312164614879"</f>
        <v>20190312164614879</v>
      </c>
      <c r="B5490" t="str">
        <f>"1552380374866781"</f>
        <v>1552380374866781</v>
      </c>
      <c r="C5490" t="s">
        <v>40</v>
      </c>
      <c r="D5490">
        <v>5.6150060000000002</v>
      </c>
      <c r="E5490">
        <v>0.50013180000000002</v>
      </c>
      <c r="F5490" t="s">
        <v>41</v>
      </c>
      <c r="G5490">
        <v>-300.09809999999999</v>
      </c>
      <c r="H5490">
        <v>1.0229649999999999</v>
      </c>
      <c r="I5490">
        <v>-8.4183219999999999</v>
      </c>
      <c r="J5490">
        <v>-300.11779999999999</v>
      </c>
      <c r="K5490">
        <v>1.1052759999999999</v>
      </c>
      <c r="L5490">
        <v>-7.8067320000000002</v>
      </c>
      <c r="M5490">
        <v>6.1457610000000003E-2</v>
      </c>
      <c r="N5490">
        <v>0</v>
      </c>
      <c r="O5490">
        <v>-0.9980329</v>
      </c>
      <c r="P5490">
        <v>3.4264910000000003E-2</v>
      </c>
      <c r="Q5490">
        <v>6.0131480000000001E-2</v>
      </c>
      <c r="R5490">
        <v>-0.99760260000000001</v>
      </c>
      <c r="S5490">
        <v>0.1098633</v>
      </c>
      <c r="T5490">
        <v>-0.29157450000000001</v>
      </c>
      <c r="U5490">
        <v>-3.0213009999999998</v>
      </c>
      <c r="V5490">
        <v>2.7593469999999998E-2</v>
      </c>
      <c r="W5490">
        <v>7.2310070000000004E-2</v>
      </c>
      <c r="X5490">
        <v>0.99700049999999996</v>
      </c>
      <c r="Y5490">
        <v>2.5318750000000001E-2</v>
      </c>
      <c r="Z5490">
        <v>9.5741580000000007E-2</v>
      </c>
      <c r="AA5490">
        <v>0.99508419999999997</v>
      </c>
      <c r="AB5490">
        <v>24</v>
      </c>
      <c r="AC5490">
        <v>1.97000000000002E-2</v>
      </c>
      <c r="AD5490">
        <v>-8.2310999999999995E-2</v>
      </c>
      <c r="AE5490">
        <v>-0.61158999999999797</v>
      </c>
      <c r="AF5490">
        <v>1.7608372399465999E-2</v>
      </c>
      <c r="AG5490">
        <v>-8.2310999999999995E-2</v>
      </c>
      <c r="AH5490">
        <v>0.60077388419967404</v>
      </c>
      <c r="AI5490">
        <v>97.798116768549093</v>
      </c>
      <c r="AJ5490">
        <v>88.321170901430506</v>
      </c>
      <c r="AK5490">
        <v>0.60664191697897196</v>
      </c>
      <c r="AL5490">
        <v>85.853319444352806</v>
      </c>
      <c r="AM5490">
        <v>88.414658883663805</v>
      </c>
      <c r="AN5490">
        <v>1.00000007140514</v>
      </c>
    </row>
    <row r="5491" spans="1:40" x14ac:dyDescent="0.25">
      <c r="A5491" t="str">
        <f>"20190312164614901"</f>
        <v>20190312164614901</v>
      </c>
      <c r="B5491" t="str">
        <f>"1552380374897037"</f>
        <v>1552380374897037</v>
      </c>
      <c r="C5491" t="s">
        <v>40</v>
      </c>
      <c r="D5491">
        <v>5.435308</v>
      </c>
      <c r="E5491">
        <v>0.5013744</v>
      </c>
      <c r="F5491" t="s">
        <v>41</v>
      </c>
      <c r="G5491">
        <v>-300.08870000000002</v>
      </c>
      <c r="H5491">
        <v>1.0260609999999999</v>
      </c>
      <c r="I5491">
        <v>-8.6346919999999994</v>
      </c>
      <c r="J5491">
        <v>-300.10770000000002</v>
      </c>
      <c r="K5491">
        <v>1.1054139999999999</v>
      </c>
      <c r="L5491">
        <v>-8.0509339999999998</v>
      </c>
      <c r="M5491">
        <v>5.7176200000000003E-2</v>
      </c>
      <c r="N5491">
        <v>0</v>
      </c>
      <c r="O5491">
        <v>-0.99828570000000005</v>
      </c>
      <c r="P5491">
        <v>3.4655419999999999E-2</v>
      </c>
      <c r="Q5491">
        <v>5.9444589999999999E-2</v>
      </c>
      <c r="R5491">
        <v>-0.99762969999999895</v>
      </c>
      <c r="S5491">
        <v>0.1069946</v>
      </c>
      <c r="T5491">
        <v>-0.2886803</v>
      </c>
      <c r="U5491">
        <v>-3.0209350000000001</v>
      </c>
      <c r="V5491">
        <v>2.2924940000000001E-2</v>
      </c>
      <c r="W5491">
        <v>7.1778809999999998E-2</v>
      </c>
      <c r="X5491">
        <v>0.99715710000000002</v>
      </c>
      <c r="Y5491">
        <v>2.196706E-2</v>
      </c>
      <c r="Z5491">
        <v>9.4852829999999999E-2</v>
      </c>
      <c r="AA5491">
        <v>0.99524889999999999</v>
      </c>
      <c r="AB5491">
        <v>24</v>
      </c>
      <c r="AC5491">
        <v>1.9000000000005401E-2</v>
      </c>
      <c r="AD5491">
        <v>-7.9352999999999702E-2</v>
      </c>
      <c r="AE5491">
        <v>-0.583757999999999</v>
      </c>
      <c r="AF5491">
        <v>1.4149580946408301E-2</v>
      </c>
      <c r="AG5491">
        <v>-7.9352999999999702E-2</v>
      </c>
      <c r="AH5491">
        <v>0.57330681502992498</v>
      </c>
      <c r="AI5491">
        <v>97.878030283122996</v>
      </c>
      <c r="AJ5491">
        <v>88.586190328887596</v>
      </c>
      <c r="AK5491">
        <v>0.57894543215204297</v>
      </c>
      <c r="AL5491">
        <v>85.883837475021195</v>
      </c>
      <c r="AM5491">
        <v>88.682984895708799</v>
      </c>
      <c r="AN5491">
        <v>1.00000001625971</v>
      </c>
    </row>
    <row r="5492" spans="1:40" x14ac:dyDescent="0.25">
      <c r="A5492" t="str">
        <f>"20190312164614925"</f>
        <v>20190312164614925</v>
      </c>
      <c r="B5492" t="str">
        <f>"1552380374917533"</f>
        <v>1552380374917533</v>
      </c>
      <c r="C5492" t="s">
        <v>40</v>
      </c>
      <c r="D5492">
        <v>5.6188099999999999</v>
      </c>
      <c r="E5492">
        <v>0.50197000000000003</v>
      </c>
      <c r="F5492" t="s">
        <v>41</v>
      </c>
      <c r="G5492">
        <v>-300.08159999999998</v>
      </c>
      <c r="H5492">
        <v>1.0304610000000001</v>
      </c>
      <c r="I5492">
        <v>-8.85161499999999</v>
      </c>
      <c r="J5492">
        <v>-300.09840000000003</v>
      </c>
      <c r="K5492">
        <v>1.1055459999999999</v>
      </c>
      <c r="L5492">
        <v>-8.3026730000000004</v>
      </c>
      <c r="M5492">
        <v>5.274073E-2</v>
      </c>
      <c r="N5492">
        <v>0</v>
      </c>
      <c r="O5492">
        <v>-0.99852839999999998</v>
      </c>
      <c r="P5492">
        <v>3.3887420000000001E-2</v>
      </c>
      <c r="Q5492">
        <v>5.9595389999999998E-2</v>
      </c>
      <c r="R5492">
        <v>-0.99764750000000002</v>
      </c>
      <c r="S5492">
        <v>9.8846439999999994E-2</v>
      </c>
      <c r="T5492">
        <v>-0.28255770000000002</v>
      </c>
      <c r="U5492">
        <v>-3.0205380000000002</v>
      </c>
      <c r="V5492">
        <v>1.9263249999999999E-2</v>
      </c>
      <c r="W5492">
        <v>7.2067030000000004E-2</v>
      </c>
      <c r="X5492">
        <v>0.99721380000000004</v>
      </c>
      <c r="Y5492">
        <v>2.019663E-2</v>
      </c>
      <c r="Z5492">
        <v>9.291075E-2</v>
      </c>
      <c r="AA5492">
        <v>0.99546959999999995</v>
      </c>
      <c r="AB5492">
        <v>24</v>
      </c>
      <c r="AC5492">
        <v>1.6800000000046101E-2</v>
      </c>
      <c r="AD5492">
        <v>-7.5084999999999805E-2</v>
      </c>
      <c r="AE5492">
        <v>-0.54894199999999804</v>
      </c>
      <c r="AF5492">
        <v>1.19538586153439E-2</v>
      </c>
      <c r="AG5492">
        <v>-7.5084999999999805E-2</v>
      </c>
      <c r="AH5492">
        <v>0.53898941345301599</v>
      </c>
      <c r="AI5492">
        <v>97.928739247758898</v>
      </c>
      <c r="AJ5492">
        <v>88.729486391859695</v>
      </c>
      <c r="AK5492">
        <v>0.54432549065354496</v>
      </c>
      <c r="AL5492">
        <v>85.867280931297501</v>
      </c>
      <c r="AM5492">
        <v>88.893350981039603</v>
      </c>
      <c r="AN5492">
        <v>1.00000004626201</v>
      </c>
    </row>
    <row r="5493" spans="1:40" x14ac:dyDescent="0.25">
      <c r="A5493" t="str">
        <f>"20190312164614966"</f>
        <v>20190312164614966</v>
      </c>
      <c r="B5493" t="str">
        <f>"1552380374956573"</f>
        <v>1552380374956573</v>
      </c>
      <c r="C5493" t="s">
        <v>40</v>
      </c>
      <c r="D5493">
        <v>5.46462</v>
      </c>
      <c r="E5493">
        <v>0.50335189999999996</v>
      </c>
      <c r="F5493" t="s">
        <v>41</v>
      </c>
      <c r="G5493">
        <v>-300.07510000000002</v>
      </c>
      <c r="H5493">
        <v>1.034222</v>
      </c>
      <c r="I5493">
        <v>-9.0680859999999992</v>
      </c>
      <c r="J5493">
        <v>-300.08499999999998</v>
      </c>
      <c r="K5493">
        <v>1.1057360000000001</v>
      </c>
      <c r="L5493">
        <v>-8.7371829999999999</v>
      </c>
      <c r="M5493">
        <v>4.5051149999999998E-2</v>
      </c>
      <c r="N5493">
        <v>0</v>
      </c>
      <c r="O5493">
        <v>-0.99890279999999998</v>
      </c>
      <c r="P5493">
        <v>3.1069679999999999E-2</v>
      </c>
      <c r="Q5493">
        <v>6.2087549999999998E-2</v>
      </c>
      <c r="R5493">
        <v>-0.99758729999999995</v>
      </c>
      <c r="S5493">
        <v>9.2346189999999995E-2</v>
      </c>
      <c r="T5493">
        <v>-0.28126820000000002</v>
      </c>
      <c r="U5493">
        <v>-3.0207519999999999</v>
      </c>
      <c r="V5493">
        <v>1.440954E-2</v>
      </c>
      <c r="W5493">
        <v>7.4752460000000007E-2</v>
      </c>
      <c r="X5493">
        <v>0.99709800000000004</v>
      </c>
      <c r="Y5493">
        <v>1.463976E-2</v>
      </c>
      <c r="Z5493">
        <v>9.2543719999999996E-2</v>
      </c>
      <c r="AA5493">
        <v>0.99560099999999996</v>
      </c>
      <c r="AB5493">
        <v>24</v>
      </c>
      <c r="AC5493">
        <v>9.8999999999591602E-3</v>
      </c>
      <c r="AD5493">
        <v>-7.1513999999999994E-2</v>
      </c>
      <c r="AE5493">
        <v>-0.330902999999999</v>
      </c>
      <c r="AF5493">
        <v>4.7950710466184996E-3</v>
      </c>
      <c r="AG5493">
        <v>-7.1513999999999994E-2</v>
      </c>
      <c r="AH5493">
        <v>0.31625494818650601</v>
      </c>
      <c r="AI5493">
        <v>102.740450434152</v>
      </c>
      <c r="AJ5493">
        <v>89.131345501410493</v>
      </c>
      <c r="AK5493">
        <v>0.32427524906287802</v>
      </c>
      <c r="AL5493">
        <v>85.713000590207699</v>
      </c>
      <c r="AM5493">
        <v>89.172048926670001</v>
      </c>
      <c r="AN5493">
        <v>0.999999993361531</v>
      </c>
    </row>
    <row r="5494" spans="1:40" x14ac:dyDescent="0.25">
      <c r="A5494" t="str">
        <f>"20190312164614992"</f>
        <v>20190312164614992</v>
      </c>
      <c r="B5494" t="str">
        <f>"1552380374986830"</f>
        <v>1552380374986830</v>
      </c>
      <c r="C5494" t="s">
        <v>40</v>
      </c>
      <c r="D5494">
        <v>5.6145529999999999</v>
      </c>
      <c r="E5494">
        <v>0.50426040000000005</v>
      </c>
      <c r="F5494" t="s">
        <v>41</v>
      </c>
      <c r="G5494">
        <v>-300.06639999999999</v>
      </c>
      <c r="H5494">
        <v>1.03898</v>
      </c>
      <c r="I5494">
        <v>-9.5005129999999998</v>
      </c>
      <c r="J5494">
        <v>-300.07810000000001</v>
      </c>
      <c r="K5494">
        <v>1.1058250000000001</v>
      </c>
      <c r="L5494">
        <v>-9.0203550000000003</v>
      </c>
      <c r="M5494">
        <v>4.0031730000000001E-2</v>
      </c>
      <c r="N5494">
        <v>0</v>
      </c>
      <c r="O5494">
        <v>-0.99911539999999999</v>
      </c>
      <c r="P5494">
        <v>2.7716620000000001E-2</v>
      </c>
      <c r="Q5494">
        <v>6.2556539999999994E-2</v>
      </c>
      <c r="R5494">
        <v>-0.99765649999999995</v>
      </c>
      <c r="S5494">
        <v>7.4279789999999998E-2</v>
      </c>
      <c r="T5494">
        <v>-0.26385839999999999</v>
      </c>
      <c r="U5494">
        <v>-3.0213619999999999</v>
      </c>
      <c r="V5494">
        <v>1.2751429999999999E-2</v>
      </c>
      <c r="W5494">
        <v>7.5319720000000007E-2</v>
      </c>
      <c r="X5494">
        <v>0.99707789999999996</v>
      </c>
      <c r="Y5494">
        <v>1.5558219999999999E-2</v>
      </c>
      <c r="Z5494">
        <v>8.6877140000000005E-2</v>
      </c>
      <c r="AA5494">
        <v>0.99609760000000003</v>
      </c>
      <c r="AB5494">
        <v>24</v>
      </c>
      <c r="AC5494">
        <v>1.17000000000189E-2</v>
      </c>
      <c r="AD5494">
        <v>-6.6845000000000002E-2</v>
      </c>
      <c r="AE5494">
        <v>-0.48015799999999897</v>
      </c>
      <c r="AF5494">
        <v>7.3894031566597998E-3</v>
      </c>
      <c r="AG5494">
        <v>-6.6845000000000002E-2</v>
      </c>
      <c r="AH5494">
        <v>0.47111630887697697</v>
      </c>
      <c r="AI5494">
        <v>98.074608156717602</v>
      </c>
      <c r="AJ5494">
        <v>89.101396212216599</v>
      </c>
      <c r="AK5494">
        <v>0.47589225019312797</v>
      </c>
      <c r="AL5494">
        <v>85.680407122788097</v>
      </c>
      <c r="AM5494">
        <v>89.267295669889407</v>
      </c>
      <c r="AN5494">
        <v>0.99999999892816605</v>
      </c>
    </row>
    <row r="5495" spans="1:40" x14ac:dyDescent="0.25">
      <c r="A5495" t="str">
        <f>"20190312164615013"</f>
        <v>20190312164615013</v>
      </c>
      <c r="B5495" t="str">
        <f>"1552380375007325"</f>
        <v>1552380375007325</v>
      </c>
      <c r="C5495" t="s">
        <v>40</v>
      </c>
      <c r="D5495">
        <v>5.6154929999999998</v>
      </c>
      <c r="E5495">
        <v>0.50465609999999905</v>
      </c>
      <c r="F5495" t="s">
        <v>41</v>
      </c>
      <c r="G5495">
        <v>-300.06110000000001</v>
      </c>
      <c r="H5495">
        <v>1.0290440000000001</v>
      </c>
      <c r="I5495">
        <v>-9.9223660000000002</v>
      </c>
      <c r="J5495">
        <v>-300.07380000000001</v>
      </c>
      <c r="K5495">
        <v>1.1058859999999999</v>
      </c>
      <c r="L5495">
        <v>-9.2408450000000002</v>
      </c>
      <c r="M5495">
        <v>3.6122670000000003E-2</v>
      </c>
      <c r="N5495">
        <v>0</v>
      </c>
      <c r="O5495">
        <v>-0.99926369999999998</v>
      </c>
      <c r="P5495">
        <v>2.4765659999999998E-2</v>
      </c>
      <c r="Q5495">
        <v>6.2233429999999999E-2</v>
      </c>
      <c r="R5495">
        <v>-0.99775460000000005</v>
      </c>
      <c r="S5495">
        <v>5.706787E-2</v>
      </c>
      <c r="T5495">
        <v>-0.25718930000000001</v>
      </c>
      <c r="U5495">
        <v>-3.021576</v>
      </c>
      <c r="V5495">
        <v>1.1797119999999999E-2</v>
      </c>
      <c r="W5495">
        <v>7.5062009999999998E-2</v>
      </c>
      <c r="X5495">
        <v>0.99710909999999997</v>
      </c>
      <c r="Y5495">
        <v>1.7316069999999999E-2</v>
      </c>
      <c r="Z5495">
        <v>8.4714189999999995E-2</v>
      </c>
      <c r="AA5495">
        <v>0.9962548</v>
      </c>
      <c r="AB5495">
        <v>24</v>
      </c>
      <c r="AC5495">
        <v>1.26999999999952E-2</v>
      </c>
      <c r="AD5495">
        <v>-7.6841999999999994E-2</v>
      </c>
      <c r="AE5495">
        <v>-0.68152100000000004</v>
      </c>
      <c r="AF5495">
        <v>1.1779015074573299E-2</v>
      </c>
      <c r="AG5495">
        <v>-7.6841999999999994E-2</v>
      </c>
      <c r="AH5495">
        <v>0.67298246163841002</v>
      </c>
      <c r="AI5495">
        <v>96.512906329469502</v>
      </c>
      <c r="AJ5495">
        <v>88.997271124278996</v>
      </c>
      <c r="AK5495">
        <v>0.67745762364373796</v>
      </c>
      <c r="AL5495">
        <v>85.695214815593602</v>
      </c>
      <c r="AM5495">
        <v>89.322146743679397</v>
      </c>
      <c r="AN5495">
        <v>1.0000000173441701</v>
      </c>
    </row>
    <row r="5496" spans="1:40" x14ac:dyDescent="0.25">
      <c r="A5496" t="str">
        <f>"20190312164615033"</f>
        <v>20190312164615033</v>
      </c>
      <c r="B5496" t="str">
        <f>"1552380375026846"</f>
        <v>1552380375026846</v>
      </c>
      <c r="C5496" t="s">
        <v>40</v>
      </c>
      <c r="D5496">
        <v>5.6224170000000004</v>
      </c>
      <c r="E5496">
        <v>0.50500219999999996</v>
      </c>
      <c r="F5496" t="s">
        <v>41</v>
      </c>
      <c r="G5496">
        <v>-300.06049999999999</v>
      </c>
      <c r="H5496">
        <v>1.0300689999999999</v>
      </c>
      <c r="I5496">
        <v>-10.13664</v>
      </c>
      <c r="J5496">
        <v>-300.0702</v>
      </c>
      <c r="K5496">
        <v>1.1059319999999999</v>
      </c>
      <c r="L5496">
        <v>-9.4703060000000008</v>
      </c>
      <c r="M5496">
        <v>3.2054350000000002E-2</v>
      </c>
      <c r="N5496">
        <v>0</v>
      </c>
      <c r="O5496">
        <v>-0.99940189999999995</v>
      </c>
      <c r="P5496">
        <v>2.0931129999999999E-2</v>
      </c>
      <c r="Q5496">
        <v>6.2103640000000002E-2</v>
      </c>
      <c r="R5496">
        <v>-0.99785049999999997</v>
      </c>
      <c r="S5496">
        <v>4.5379639999999999E-2</v>
      </c>
      <c r="T5496">
        <v>-0.25551750000000001</v>
      </c>
      <c r="U5496">
        <v>-3.021576</v>
      </c>
      <c r="V5496">
        <v>1.1568439999999999E-2</v>
      </c>
      <c r="W5496">
        <v>7.4988310000000002E-2</v>
      </c>
      <c r="X5496">
        <v>0.99711729999999998</v>
      </c>
      <c r="Y5496">
        <v>1.7097649999999999E-2</v>
      </c>
      <c r="Z5496">
        <v>8.418784E-2</v>
      </c>
      <c r="AA5496">
        <v>0.99630320000000006</v>
      </c>
      <c r="AB5496">
        <v>24</v>
      </c>
      <c r="AC5496">
        <v>9.7000000000093695E-3</v>
      </c>
      <c r="AD5496">
        <v>-7.5862999999999695E-2</v>
      </c>
      <c r="AE5496">
        <v>-0.66633399999999998</v>
      </c>
      <c r="AF5496">
        <v>1.15164410102487E-2</v>
      </c>
      <c r="AG5496">
        <v>-7.5862999999999695E-2</v>
      </c>
      <c r="AH5496">
        <v>0.65777809192874703</v>
      </c>
      <c r="AI5496">
        <v>96.577982120587606</v>
      </c>
      <c r="AJ5496">
        <v>88.996962556150805</v>
      </c>
      <c r="AK5496">
        <v>0.66223850794405303</v>
      </c>
      <c r="AL5496">
        <v>85.699449343005298</v>
      </c>
      <c r="AM5496">
        <v>89.335290792288106</v>
      </c>
      <c r="AN5496">
        <v>0.99999999269998896</v>
      </c>
    </row>
    <row r="5497" spans="1:40" x14ac:dyDescent="0.25">
      <c r="A5497" t="str">
        <f>"20190312164615056"</f>
        <v>20190312164615056</v>
      </c>
      <c r="B5497" t="str">
        <f>"1552380375047341"</f>
        <v>1552380375047341</v>
      </c>
      <c r="C5497" t="s">
        <v>40</v>
      </c>
      <c r="D5497">
        <v>5.6079040000000004</v>
      </c>
      <c r="E5497">
        <v>0.50534990000000002</v>
      </c>
      <c r="F5497" t="s">
        <v>41</v>
      </c>
      <c r="G5497">
        <v>-300.06079999999997</v>
      </c>
      <c r="H5497">
        <v>1.0316590000000001</v>
      </c>
      <c r="I5497">
        <v>-10.35098</v>
      </c>
      <c r="J5497">
        <v>-300.06760000000003</v>
      </c>
      <c r="K5497">
        <v>1.105977</v>
      </c>
      <c r="L5497">
        <v>-9.7009279999999993</v>
      </c>
      <c r="M5497">
        <v>2.796506E-2</v>
      </c>
      <c r="N5497">
        <v>0</v>
      </c>
      <c r="O5497">
        <v>-0.99952390000000002</v>
      </c>
      <c r="P5497">
        <v>1.6992730000000001E-2</v>
      </c>
      <c r="Q5497">
        <v>6.2167069999999998E-2</v>
      </c>
      <c r="R5497">
        <v>-0.99792130000000001</v>
      </c>
      <c r="S5497">
        <v>3.1951899999999998E-2</v>
      </c>
      <c r="T5497">
        <v>-0.25502419999999998</v>
      </c>
      <c r="U5497">
        <v>-3.0216669999999999</v>
      </c>
      <c r="V5497">
        <v>1.1423829999999999E-2</v>
      </c>
      <c r="W5497">
        <v>7.5101470000000004E-2</v>
      </c>
      <c r="X5497">
        <v>0.99711050000000001</v>
      </c>
      <c r="Y5497">
        <v>1.743376E-2</v>
      </c>
      <c r="Z5497">
        <v>8.4041539999999998E-2</v>
      </c>
      <c r="AA5497">
        <v>0.99630980000000002</v>
      </c>
      <c r="AB5497">
        <v>24</v>
      </c>
      <c r="AC5497">
        <v>6.8000000000552003E-3</v>
      </c>
      <c r="AD5497">
        <v>-7.4317999999999801E-2</v>
      </c>
      <c r="AE5497">
        <v>-0.65005199999999996</v>
      </c>
      <c r="AF5497">
        <v>1.12361025650445E-2</v>
      </c>
      <c r="AG5497">
        <v>-7.4317999999999801E-2</v>
      </c>
      <c r="AH5497">
        <v>0.64160275671312705</v>
      </c>
      <c r="AI5497">
        <v>96.606224330625693</v>
      </c>
      <c r="AJ5497">
        <v>88.996707157396898</v>
      </c>
      <c r="AK5497">
        <v>0.64599033471619105</v>
      </c>
      <c r="AL5497">
        <v>85.692947630652895</v>
      </c>
      <c r="AM5497">
        <v>89.343594708261193</v>
      </c>
      <c r="AN5497">
        <v>1.0000000419491299</v>
      </c>
    </row>
    <row r="5498" spans="1:40" x14ac:dyDescent="0.25">
      <c r="A5498" t="str">
        <f>"20190312164615079"</f>
        <v>20190312164615079</v>
      </c>
      <c r="B5498" t="str">
        <f>"1552380375076622"</f>
        <v>1552380375076622</v>
      </c>
      <c r="C5498" t="s">
        <v>40</v>
      </c>
      <c r="D5498">
        <v>5.7283770000000001</v>
      </c>
      <c r="E5498">
        <v>0.50596470000000004</v>
      </c>
      <c r="F5498" t="s">
        <v>41</v>
      </c>
      <c r="G5498">
        <v>-300.06270000000001</v>
      </c>
      <c r="H5498">
        <v>1.033682</v>
      </c>
      <c r="I5498">
        <v>-10.565340000000001</v>
      </c>
      <c r="J5498">
        <v>-300.06569999999999</v>
      </c>
      <c r="K5498">
        <v>1.1060179999999999</v>
      </c>
      <c r="L5498">
        <v>-9.9539790000000004</v>
      </c>
      <c r="M5498">
        <v>2.3477930000000001E-2</v>
      </c>
      <c r="N5498">
        <v>0</v>
      </c>
      <c r="O5498">
        <v>-0.99963880000000005</v>
      </c>
      <c r="P5498">
        <v>1.253392E-2</v>
      </c>
      <c r="Q5498">
        <v>6.2638159999999998E-2</v>
      </c>
      <c r="R5498">
        <v>-0.99795780000000001</v>
      </c>
      <c r="S5498">
        <v>1.748657E-2</v>
      </c>
      <c r="T5498">
        <v>-0.25255630000000001</v>
      </c>
      <c r="U5498">
        <v>-3.0216980000000002</v>
      </c>
      <c r="V5498">
        <v>1.140467E-2</v>
      </c>
      <c r="W5498">
        <v>7.561785E-2</v>
      </c>
      <c r="X5498">
        <v>0.99707159999999995</v>
      </c>
      <c r="Y5498">
        <v>1.7714319999999999E-2</v>
      </c>
      <c r="Z5498">
        <v>8.3248890000000006E-2</v>
      </c>
      <c r="AA5498">
        <v>0.99637129999999996</v>
      </c>
      <c r="AB5498">
        <v>24</v>
      </c>
      <c r="AC5498">
        <v>2.9999999999858998E-3</v>
      </c>
      <c r="AD5498">
        <v>-7.23359999999999E-2</v>
      </c>
      <c r="AE5498">
        <v>-0.61136100000000004</v>
      </c>
      <c r="AF5498">
        <v>1.1198771833562E-2</v>
      </c>
      <c r="AG5498">
        <v>-7.23359999999999E-2</v>
      </c>
      <c r="AH5498">
        <v>0.60282384413324297</v>
      </c>
      <c r="AI5498">
        <v>96.841336098403602</v>
      </c>
      <c r="AJ5498">
        <v>88.935727956831499</v>
      </c>
      <c r="AK5498">
        <v>0.60725159237515403</v>
      </c>
      <c r="AL5498">
        <v>85.663276468904598</v>
      </c>
      <c r="AM5498">
        <v>89.344669968409093</v>
      </c>
      <c r="AN5498">
        <v>0.99999995063149405</v>
      </c>
    </row>
    <row r="5499" spans="1:40" x14ac:dyDescent="0.25">
      <c r="A5499" t="str">
        <f>"20190312164615101"</f>
        <v>20190312164615101</v>
      </c>
      <c r="B5499" t="str">
        <f>"1552380375097118"</f>
        <v>1552380375097118</v>
      </c>
      <c r="C5499" t="s">
        <v>40</v>
      </c>
      <c r="D5499">
        <v>5.6091499999999996</v>
      </c>
      <c r="E5499">
        <v>0.50634230000000002</v>
      </c>
      <c r="F5499" t="s">
        <v>41</v>
      </c>
      <c r="G5499">
        <v>-300.0659</v>
      </c>
      <c r="H5499">
        <v>1.038581</v>
      </c>
      <c r="I5499">
        <v>-10.781840000000001</v>
      </c>
      <c r="J5499">
        <v>-300.065</v>
      </c>
      <c r="K5499">
        <v>1.1060540000000001</v>
      </c>
      <c r="L5499">
        <v>-10.17923</v>
      </c>
      <c r="M5499">
        <v>1.9483650000000002E-2</v>
      </c>
      <c r="N5499">
        <v>0</v>
      </c>
      <c r="O5499">
        <v>-0.9997241</v>
      </c>
      <c r="P5499">
        <v>7.4653430000000002E-3</v>
      </c>
      <c r="Q5499">
        <v>6.4196450000000002E-2</v>
      </c>
      <c r="R5499">
        <v>-0.9979095</v>
      </c>
      <c r="S5499">
        <v>-7.9345700000000002E-4</v>
      </c>
      <c r="T5499">
        <v>-0.24617</v>
      </c>
      <c r="U5499">
        <v>-3.0216059999999998</v>
      </c>
      <c r="V5499">
        <v>1.2493529999999999E-2</v>
      </c>
      <c r="W5499">
        <v>7.7203939999999999E-2</v>
      </c>
      <c r="X5499">
        <v>0.99693699999999996</v>
      </c>
      <c r="Y5499">
        <v>1.9747000000000001E-2</v>
      </c>
      <c r="Z5499">
        <v>8.1169859999999996E-2</v>
      </c>
      <c r="AA5499">
        <v>0.99650470000000002</v>
      </c>
      <c r="AB5499">
        <v>24</v>
      </c>
      <c r="AC5499">
        <v>-9.0000000000145497E-4</v>
      </c>
      <c r="AD5499">
        <v>-6.7473000000000102E-2</v>
      </c>
      <c r="AE5499">
        <v>-0.60260999999999798</v>
      </c>
      <c r="AF5499">
        <v>1.24853556675905E-2</v>
      </c>
      <c r="AG5499">
        <v>-6.7473000000000102E-2</v>
      </c>
      <c r="AH5499">
        <v>0.59501843145998101</v>
      </c>
      <c r="AI5499">
        <v>96.468092941955902</v>
      </c>
      <c r="AJ5499">
        <v>88.7979309774217</v>
      </c>
      <c r="AK5499">
        <v>0.59896195506245797</v>
      </c>
      <c r="AL5499">
        <v>85.572133766548902</v>
      </c>
      <c r="AM5499">
        <v>89.282011731439496</v>
      </c>
      <c r="AN5499">
        <v>0.99999995930619101</v>
      </c>
    </row>
    <row r="5500" spans="1:40" x14ac:dyDescent="0.25">
      <c r="A5500" t="str">
        <f>"20190312164615126"</f>
        <v>20190312164615126</v>
      </c>
      <c r="B5500" t="str">
        <f>"1552380375116637"</f>
        <v>1552380375116637</v>
      </c>
      <c r="C5500" t="s">
        <v>40</v>
      </c>
      <c r="D5500">
        <v>5.6160350000000001</v>
      </c>
      <c r="E5500">
        <v>0.50667229999999996</v>
      </c>
      <c r="F5500" t="s">
        <v>41</v>
      </c>
      <c r="G5500">
        <v>-300.0702</v>
      </c>
      <c r="H5500">
        <v>1.040918</v>
      </c>
      <c r="I5500">
        <v>-10.99661</v>
      </c>
      <c r="J5500">
        <v>-300.06529999999998</v>
      </c>
      <c r="K5500">
        <v>1.1060939999999999</v>
      </c>
      <c r="L5500">
        <v>-10.44833</v>
      </c>
      <c r="M5500">
        <v>1.4709150000000001E-2</v>
      </c>
      <c r="N5500">
        <v>0</v>
      </c>
      <c r="O5500">
        <v>-0.99980539999999996</v>
      </c>
      <c r="P5500">
        <v>2.6530780000000001E-3</v>
      </c>
      <c r="Q5500">
        <v>6.540733E-2</v>
      </c>
      <c r="R5500">
        <v>-0.99785520000000005</v>
      </c>
      <c r="S5500">
        <v>-1.8646240000000001E-2</v>
      </c>
      <c r="T5500">
        <v>-0.2406036</v>
      </c>
      <c r="U5500">
        <v>-3.0219119999999999</v>
      </c>
      <c r="V5500">
        <v>1.2546079999999999E-2</v>
      </c>
      <c r="W5500">
        <v>7.8451339999999994E-2</v>
      </c>
      <c r="X5500">
        <v>0.99683900000000003</v>
      </c>
      <c r="Y5500">
        <v>2.0860239999999999E-2</v>
      </c>
      <c r="Z5500">
        <v>7.9346219999999995E-2</v>
      </c>
      <c r="AA5500">
        <v>0.99662879999999998</v>
      </c>
      <c r="AB5500">
        <v>24</v>
      </c>
      <c r="AC5500">
        <v>-4.9000000000205502E-3</v>
      </c>
      <c r="AD5500">
        <v>-6.5176000000000095E-2</v>
      </c>
      <c r="AE5500">
        <v>-0.54827999999999999</v>
      </c>
      <c r="AF5500">
        <v>1.2784260456564899E-2</v>
      </c>
      <c r="AG5500">
        <v>-6.5176000000000095E-2</v>
      </c>
      <c r="AH5500">
        <v>0.540511278332231</v>
      </c>
      <c r="AI5500">
        <v>96.873747131685704</v>
      </c>
      <c r="AJ5500">
        <v>88.645083546611303</v>
      </c>
      <c r="AK5500">
        <v>0.54457670744878905</v>
      </c>
      <c r="AL5500">
        <v>85.500445764238904</v>
      </c>
      <c r="AM5500">
        <v>89.278921188403899</v>
      </c>
      <c r="AN5500">
        <v>1.0000000043960799</v>
      </c>
    </row>
    <row r="5501" spans="1:40" x14ac:dyDescent="0.25">
      <c r="A5501" t="str">
        <f>"20190312164615151"</f>
        <v>20190312164615151</v>
      </c>
      <c r="B5501" t="str">
        <f>"1552380375146894"</f>
        <v>1552380375146894</v>
      </c>
      <c r="C5501" t="s">
        <v>40</v>
      </c>
      <c r="D5501">
        <v>5.6059369999999999</v>
      </c>
      <c r="E5501">
        <v>0.50699879999999997</v>
      </c>
      <c r="F5501" t="s">
        <v>41</v>
      </c>
      <c r="G5501">
        <v>-300.07409999999999</v>
      </c>
      <c r="H5501">
        <v>1.046624</v>
      </c>
      <c r="I5501">
        <v>-11.214320000000001</v>
      </c>
      <c r="J5501">
        <v>-300.06700000000001</v>
      </c>
      <c r="K5501">
        <v>1.106123</v>
      </c>
      <c r="L5501">
        <v>-10.718780000000001</v>
      </c>
      <c r="M5501">
        <v>9.9080250000000009E-3</v>
      </c>
      <c r="N5501">
        <v>0</v>
      </c>
      <c r="O5501">
        <v>-0.99986399999999998</v>
      </c>
      <c r="P5501">
        <v>-2.2923930000000002E-3</v>
      </c>
      <c r="Q5501">
        <v>6.6190570000000004E-2</v>
      </c>
      <c r="R5501">
        <v>-0.99780460000000004</v>
      </c>
      <c r="S5501">
        <v>-3.4912110000000003E-2</v>
      </c>
      <c r="T5501">
        <v>-0.23484099999999999</v>
      </c>
      <c r="U5501">
        <v>-3.0219420000000001</v>
      </c>
      <c r="V5501">
        <v>1.2703539999999999E-2</v>
      </c>
      <c r="W5501">
        <v>7.9264680000000004E-2</v>
      </c>
      <c r="X5501">
        <v>0.99677260000000001</v>
      </c>
      <c r="Y5501">
        <v>2.1425039999999999E-2</v>
      </c>
      <c r="Z5501">
        <v>7.7461180000000004E-2</v>
      </c>
      <c r="AA5501">
        <v>0.99676509999999996</v>
      </c>
      <c r="AB5501">
        <v>24</v>
      </c>
      <c r="AC5501">
        <v>-7.0999999999799002E-3</v>
      </c>
      <c r="AD5501">
        <v>-5.9498999999999899E-2</v>
      </c>
      <c r="AE5501">
        <v>-0.49553999999999798</v>
      </c>
      <c r="AF5501">
        <v>1.18392544972756E-2</v>
      </c>
      <c r="AG5501">
        <v>-5.9498999999999899E-2</v>
      </c>
      <c r="AH5501">
        <v>0.48840563067246401</v>
      </c>
      <c r="AI5501">
        <v>96.943694188952094</v>
      </c>
      <c r="AJ5501">
        <v>88.611386819207297</v>
      </c>
      <c r="AK5501">
        <v>0.49215887579176998</v>
      </c>
      <c r="AL5501">
        <v>85.453698957736805</v>
      </c>
      <c r="AM5501">
        <v>89.269823605906396</v>
      </c>
      <c r="AN5501">
        <v>0.99999994276739501</v>
      </c>
    </row>
    <row r="5502" spans="1:40" x14ac:dyDescent="0.25">
      <c r="A5502" t="str">
        <f>"20190312164615174"</f>
        <v>20190312164615174</v>
      </c>
      <c r="B5502" t="str">
        <f>"1552380375167389"</f>
        <v>1552380375167389</v>
      </c>
      <c r="C5502" t="s">
        <v>40</v>
      </c>
      <c r="D5502">
        <v>5.7278279999999997</v>
      </c>
      <c r="E5502">
        <v>0.50712599999999997</v>
      </c>
      <c r="F5502" t="s">
        <v>41</v>
      </c>
      <c r="G5502">
        <v>-300.08280000000002</v>
      </c>
      <c r="H5502">
        <v>1.0367820000000001</v>
      </c>
      <c r="I5502">
        <v>-11.63053</v>
      </c>
      <c r="J5502">
        <v>-300.06950000000001</v>
      </c>
      <c r="K5502">
        <v>1.1061510000000001</v>
      </c>
      <c r="L5502">
        <v>-10.951599999999999</v>
      </c>
      <c r="M5502">
        <v>5.773869E-3</v>
      </c>
      <c r="N5502">
        <v>0</v>
      </c>
      <c r="O5502">
        <v>-0.99989609999999995</v>
      </c>
      <c r="P5502">
        <v>-6.3283360000000004E-3</v>
      </c>
      <c r="Q5502">
        <v>6.7489419999999994E-2</v>
      </c>
      <c r="R5502">
        <v>-0.99769980000000003</v>
      </c>
      <c r="S5502">
        <v>-5.2276610000000001E-2</v>
      </c>
      <c r="T5502">
        <v>-0.2297043</v>
      </c>
      <c r="U5502">
        <v>-3.0217290000000001</v>
      </c>
      <c r="V5502">
        <v>1.262106E-2</v>
      </c>
      <c r="W5502">
        <v>8.0586530000000003E-2</v>
      </c>
      <c r="X5502">
        <v>0.99666770000000005</v>
      </c>
      <c r="Y5502">
        <v>2.3021119999999999E-2</v>
      </c>
      <c r="Z5502">
        <v>7.5781230000000005E-2</v>
      </c>
      <c r="AA5502">
        <v>0.99685869999999999</v>
      </c>
      <c r="AB5502">
        <v>24</v>
      </c>
      <c r="AC5502">
        <v>-1.33000000000151E-2</v>
      </c>
      <c r="AD5502">
        <v>-6.9369000000000194E-2</v>
      </c>
      <c r="AE5502">
        <v>-0.67893000000000103</v>
      </c>
      <c r="AF5502">
        <v>1.7042327510900599E-2</v>
      </c>
      <c r="AG5502">
        <v>-6.9369000000000194E-2</v>
      </c>
      <c r="AH5502">
        <v>0.67183097394926605</v>
      </c>
      <c r="AI5502">
        <v>95.893225260856099</v>
      </c>
      <c r="AJ5502">
        <v>88.546890342849196</v>
      </c>
      <c r="AK5502">
        <v>0.67561775927339895</v>
      </c>
      <c r="AL5502">
        <v>85.377719678837806</v>
      </c>
      <c r="AM5502">
        <v>89.274487553610697</v>
      </c>
      <c r="AN5502">
        <v>0.99999999209812696</v>
      </c>
    </row>
    <row r="5503" spans="1:40" x14ac:dyDescent="0.25">
      <c r="A5503" t="str">
        <f>"20190312164615194"</f>
        <v>20190312164615194</v>
      </c>
      <c r="B5503" t="str">
        <f>"1552380375186910"</f>
        <v>1552380375186910</v>
      </c>
      <c r="C5503" t="s">
        <v>40</v>
      </c>
      <c r="D5503">
        <v>5.5453739999999998</v>
      </c>
      <c r="E5503">
        <v>0.507135</v>
      </c>
      <c r="F5503" t="s">
        <v>41</v>
      </c>
      <c r="G5503">
        <v>-300.08920000000001</v>
      </c>
      <c r="H5503">
        <v>1.039458</v>
      </c>
      <c r="I5503">
        <v>-11.84482</v>
      </c>
      <c r="J5503">
        <v>-300.07279999999997</v>
      </c>
      <c r="K5503">
        <v>1.106179</v>
      </c>
      <c r="L5503">
        <v>-11.18173</v>
      </c>
      <c r="M5503">
        <v>1.685991E-3</v>
      </c>
      <c r="N5503">
        <v>0</v>
      </c>
      <c r="O5503">
        <v>-0.99991110000000005</v>
      </c>
      <c r="P5503">
        <v>-1.0373500000000001E-2</v>
      </c>
      <c r="Q5503">
        <v>6.9786299999999996E-2</v>
      </c>
      <c r="R5503">
        <v>-0.99750799999999995</v>
      </c>
      <c r="S5503">
        <v>-6.5978999999999996E-2</v>
      </c>
      <c r="T5503">
        <v>-0.22526299999999999</v>
      </c>
      <c r="U5503">
        <v>-3.0217290000000001</v>
      </c>
      <c r="V5503">
        <v>1.260126E-2</v>
      </c>
      <c r="W5503">
        <v>8.2902370000000003E-2</v>
      </c>
      <c r="X5503">
        <v>0.99647799999999997</v>
      </c>
      <c r="Y5503">
        <v>2.345498E-2</v>
      </c>
      <c r="Z5503">
        <v>7.4322250000000006E-2</v>
      </c>
      <c r="AA5503">
        <v>0.99695840000000002</v>
      </c>
      <c r="AB5503">
        <v>24</v>
      </c>
      <c r="AC5503">
        <v>-1.6400000000032802E-2</v>
      </c>
      <c r="AD5503">
        <v>-6.6721000000000003E-2</v>
      </c>
      <c r="AE5503">
        <v>-0.66308999999999996</v>
      </c>
      <c r="AF5503">
        <v>1.73425582279471E-2</v>
      </c>
      <c r="AG5503">
        <v>-6.6721000000000003E-2</v>
      </c>
      <c r="AH5503">
        <v>0.65641944867533697</v>
      </c>
      <c r="AI5503">
        <v>95.801820316355304</v>
      </c>
      <c r="AJ5503">
        <v>88.486601369830495</v>
      </c>
      <c r="AK5503">
        <v>0.66002950598145504</v>
      </c>
      <c r="AL5503">
        <v>85.244586270306698</v>
      </c>
      <c r="AM5503">
        <v>89.275487736017894</v>
      </c>
      <c r="AN5503">
        <v>0.99999999959460195</v>
      </c>
    </row>
    <row r="5504" spans="1:40" x14ac:dyDescent="0.25">
      <c r="A5504" t="str">
        <f>"20190312164615214"</f>
        <v>20190312164615214</v>
      </c>
      <c r="B5504" t="str">
        <f>"1552380375207406"</f>
        <v>1552380375207406</v>
      </c>
      <c r="C5504" t="s">
        <v>40</v>
      </c>
      <c r="D5504">
        <v>5.7533760000000003</v>
      </c>
      <c r="E5504">
        <v>0.50723050000000003</v>
      </c>
      <c r="F5504" t="s">
        <v>41</v>
      </c>
      <c r="G5504">
        <v>-300.09559999999999</v>
      </c>
      <c r="H5504">
        <v>1.0428230000000001</v>
      </c>
      <c r="I5504">
        <v>-12.05965</v>
      </c>
      <c r="J5504">
        <v>-300.07679999999999</v>
      </c>
      <c r="K5504">
        <v>1.106198</v>
      </c>
      <c r="L5504">
        <v>-11.39001</v>
      </c>
      <c r="M5504">
        <v>-2.0144830000000001E-3</v>
      </c>
      <c r="N5504">
        <v>0</v>
      </c>
      <c r="O5504">
        <v>-0.99991039999999998</v>
      </c>
      <c r="P5504">
        <v>-1.388823E-2</v>
      </c>
      <c r="Q5504">
        <v>7.1870879999999998E-2</v>
      </c>
      <c r="R5504">
        <v>-0.99731740000000002</v>
      </c>
      <c r="S5504">
        <v>-7.7850340000000004E-2</v>
      </c>
      <c r="T5504">
        <v>-0.21791389999999999</v>
      </c>
      <c r="U5504">
        <v>-3.0219420000000001</v>
      </c>
      <c r="V5504">
        <v>1.243761E-2</v>
      </c>
      <c r="W5504">
        <v>8.5002560000000005E-2</v>
      </c>
      <c r="X5504">
        <v>0.9963031</v>
      </c>
      <c r="Y5504">
        <v>2.3672450000000001E-2</v>
      </c>
      <c r="Z5504">
        <v>7.1901619999999999E-2</v>
      </c>
      <c r="AA5504">
        <v>0.99713079999999998</v>
      </c>
      <c r="AB5504">
        <v>24</v>
      </c>
      <c r="AC5504">
        <v>-1.87999999999988E-2</v>
      </c>
      <c r="AD5504">
        <v>-6.3374999999999904E-2</v>
      </c>
      <c r="AE5504">
        <v>-0.66963999999999901</v>
      </c>
      <c r="AF5504">
        <v>1.72960697759982E-2</v>
      </c>
      <c r="AG5504">
        <v>-6.3374999999999904E-2</v>
      </c>
      <c r="AH5504">
        <v>0.663736241922671</v>
      </c>
      <c r="AI5504">
        <v>95.452352711600497</v>
      </c>
      <c r="AJ5504">
        <v>88.507287206799802</v>
      </c>
      <c r="AK5504">
        <v>0.66697926766603999</v>
      </c>
      <c r="AL5504">
        <v>85.123827911662602</v>
      </c>
      <c r="AM5504">
        <v>89.284770323103203</v>
      </c>
      <c r="AN5504">
        <v>0.99999999820933705</v>
      </c>
    </row>
    <row r="5505" spans="1:40" x14ac:dyDescent="0.25">
      <c r="A5505" t="str">
        <f>"20190312164615255"</f>
        <v>20190312164615255</v>
      </c>
      <c r="B5505" t="str">
        <f>"1552380375247425"</f>
        <v>1552380375247425</v>
      </c>
      <c r="C5505" t="s">
        <v>40</v>
      </c>
      <c r="D5505">
        <v>5.6941810000000004</v>
      </c>
      <c r="E5505">
        <v>0.50750169999999994</v>
      </c>
      <c r="F5505" t="s">
        <v>41</v>
      </c>
      <c r="G5505">
        <v>-300.1028</v>
      </c>
      <c r="H5505">
        <v>1.044376</v>
      </c>
      <c r="I5505">
        <v>-12.27267</v>
      </c>
      <c r="J5505">
        <v>-300.08710000000002</v>
      </c>
      <c r="K5505">
        <v>1.106236</v>
      </c>
      <c r="L5505">
        <v>-11.8179</v>
      </c>
      <c r="M5505">
        <v>-9.6168299999999998E-3</v>
      </c>
      <c r="N5505">
        <v>0</v>
      </c>
      <c r="O5505">
        <v>-0.99986580000000003</v>
      </c>
      <c r="P5505">
        <v>-1.9927859999999999E-2</v>
      </c>
      <c r="Q5505">
        <v>7.3380849999999997E-2</v>
      </c>
      <c r="R5505">
        <v>-0.99710540000000003</v>
      </c>
      <c r="S5505">
        <v>-8.8470460000000001E-2</v>
      </c>
      <c r="T5505">
        <v>-0.2113767</v>
      </c>
      <c r="U5505">
        <v>-3.0220639999999999</v>
      </c>
      <c r="V5505">
        <v>1.0903950000000001E-2</v>
      </c>
      <c r="W5505">
        <v>8.6548459999999994E-2</v>
      </c>
      <c r="X5505">
        <v>0.99618799999999996</v>
      </c>
      <c r="Y5505">
        <v>1.9576130000000001E-2</v>
      </c>
      <c r="Z5505">
        <v>6.9747630000000005E-2</v>
      </c>
      <c r="AA5505">
        <v>0.99737260000000005</v>
      </c>
      <c r="AB5505">
        <v>24</v>
      </c>
      <c r="AC5505">
        <v>-1.5699999999981101E-2</v>
      </c>
      <c r="AD5505">
        <v>-6.1859999999999998E-2</v>
      </c>
      <c r="AE5505">
        <v>-0.45476999999999901</v>
      </c>
      <c r="AF5505">
        <v>1.11199388978468E-2</v>
      </c>
      <c r="AG5505">
        <v>-6.1859999999999998E-2</v>
      </c>
      <c r="AH5505">
        <v>0.44664563057089901</v>
      </c>
      <c r="AI5505">
        <v>97.882836750099798</v>
      </c>
      <c r="AJ5505">
        <v>88.573826912691999</v>
      </c>
      <c r="AK5505">
        <v>0.45104615279277999</v>
      </c>
      <c r="AL5505">
        <v>85.034926877252104</v>
      </c>
      <c r="AM5505">
        <v>89.372884067236001</v>
      </c>
      <c r="AN5505">
        <v>1.0000000316989801</v>
      </c>
    </row>
    <row r="5506" spans="1:40" x14ac:dyDescent="0.25">
      <c r="A5506" t="str">
        <f>"20190312164615278"</f>
        <v>20190312164615278</v>
      </c>
      <c r="B5506" t="str">
        <f>"1552380375266942"</f>
        <v>1552380375266942</v>
      </c>
      <c r="C5506" t="s">
        <v>40</v>
      </c>
      <c r="D5506">
        <v>5.7944129999999996</v>
      </c>
      <c r="E5506">
        <v>0.50764149999999997</v>
      </c>
      <c r="F5506" t="s">
        <v>41</v>
      </c>
      <c r="G5506">
        <v>-300.11880000000002</v>
      </c>
      <c r="H5506">
        <v>1.0467120000000001</v>
      </c>
      <c r="I5506">
        <v>-12.701320000000001</v>
      </c>
      <c r="J5506">
        <v>-300.09469999999999</v>
      </c>
      <c r="K5506">
        <v>1.106258</v>
      </c>
      <c r="L5506">
        <v>-12.06714</v>
      </c>
      <c r="M5506">
        <v>-1.4046100000000001E-2</v>
      </c>
      <c r="N5506">
        <v>0</v>
      </c>
      <c r="O5506">
        <v>-0.99981310000000001</v>
      </c>
      <c r="P5506">
        <v>-2.2713690000000002E-2</v>
      </c>
      <c r="Q5506">
        <v>7.3847120000000002E-2</v>
      </c>
      <c r="R5506">
        <v>-0.99701119999999999</v>
      </c>
      <c r="S5506">
        <v>-0.1079407</v>
      </c>
      <c r="T5506">
        <v>-0.20333580000000001</v>
      </c>
      <c r="U5506">
        <v>-3.021515</v>
      </c>
      <c r="V5506">
        <v>9.2749930000000005E-3</v>
      </c>
      <c r="W5506">
        <v>8.7038210000000005E-2</v>
      </c>
      <c r="X5506">
        <v>0.99616179999999999</v>
      </c>
      <c r="Y5506">
        <v>2.157887E-2</v>
      </c>
      <c r="Z5506">
        <v>6.7105070000000003E-2</v>
      </c>
      <c r="AA5506">
        <v>0.99751250000000002</v>
      </c>
      <c r="AB5506">
        <v>23</v>
      </c>
      <c r="AC5506">
        <v>-2.4100000000032599E-2</v>
      </c>
      <c r="AD5506">
        <v>-5.95459999999998E-2</v>
      </c>
      <c r="AE5506">
        <v>-0.63417999999999797</v>
      </c>
      <c r="AF5506">
        <v>1.50565307364559E-2</v>
      </c>
      <c r="AG5506">
        <v>-5.95459999999998E-2</v>
      </c>
      <c r="AH5506">
        <v>0.62891930150147102</v>
      </c>
      <c r="AI5506">
        <v>95.407094017097805</v>
      </c>
      <c r="AJ5506">
        <v>88.628582540127994</v>
      </c>
      <c r="AK5506">
        <v>0.63191131738157302</v>
      </c>
      <c r="AL5506">
        <v>85.006759837015196</v>
      </c>
      <c r="AM5506">
        <v>89.466549913316499</v>
      </c>
      <c r="AN5506">
        <v>1.0000000036371901</v>
      </c>
    </row>
    <row r="5507" spans="1:40" x14ac:dyDescent="0.25">
      <c r="A5507" t="str">
        <f>"20190312164615303"</f>
        <v>20190312164615303</v>
      </c>
      <c r="B5507" t="str">
        <f>"1552380375297198"</f>
        <v>1552380375297198</v>
      </c>
      <c r="C5507" t="s">
        <v>40</v>
      </c>
      <c r="D5507">
        <v>5.9810189999999999</v>
      </c>
      <c r="E5507">
        <v>0.50790740000000001</v>
      </c>
      <c r="F5507" t="s">
        <v>42</v>
      </c>
      <c r="G5507">
        <v>-300.74329999999998</v>
      </c>
      <c r="H5507" s="1">
        <v>-8.9783579999999996E-7</v>
      </c>
      <c r="I5507">
        <v>-28.779</v>
      </c>
      <c r="J5507">
        <v>-300.1035</v>
      </c>
      <c r="K5507">
        <v>1.1062780000000001</v>
      </c>
      <c r="L5507">
        <v>-12.31958</v>
      </c>
      <c r="M5507">
        <v>-1.853248E-2</v>
      </c>
      <c r="N5507">
        <v>0</v>
      </c>
      <c r="O5507">
        <v>-0.99973979999999996</v>
      </c>
      <c r="P5507">
        <v>-2.5092039999999999E-2</v>
      </c>
      <c r="Q5507">
        <v>7.5063560000000001E-2</v>
      </c>
      <c r="R5507">
        <v>-0.9968631</v>
      </c>
      <c r="S5507">
        <v>-0.11724850000000001</v>
      </c>
      <c r="T5507">
        <v>-0.1999881</v>
      </c>
      <c r="U5507">
        <v>-3.0211489999999999</v>
      </c>
      <c r="V5507">
        <v>7.1874560000000001E-3</v>
      </c>
      <c r="W5507">
        <v>8.8277990000000001E-2</v>
      </c>
      <c r="X5507">
        <v>0.99607000000000001</v>
      </c>
      <c r="Y5507">
        <v>2.016865E-2</v>
      </c>
      <c r="Z5507">
        <v>6.6003069999999997E-2</v>
      </c>
      <c r="AA5507">
        <v>0.99761560000000005</v>
      </c>
      <c r="AB5507">
        <v>23</v>
      </c>
      <c r="AC5507">
        <v>-0.63979999999997905</v>
      </c>
      <c r="AD5507">
        <v>-1.1062788978358</v>
      </c>
      <c r="AE5507">
        <v>-16.459420000000001</v>
      </c>
      <c r="AF5507">
        <v>0.33312661182759001</v>
      </c>
      <c r="AG5507">
        <v>-1.1062788978358</v>
      </c>
      <c r="AH5507">
        <v>16.3945001056269</v>
      </c>
      <c r="AI5507">
        <v>93.859595978052894</v>
      </c>
      <c r="AJ5507">
        <v>88.835943603492495</v>
      </c>
      <c r="AK5507">
        <v>16.435159264598099</v>
      </c>
      <c r="AL5507">
        <v>84.935451432506298</v>
      </c>
      <c r="AM5507">
        <v>89.586571478838806</v>
      </c>
      <c r="AN5507">
        <v>1.00000005397109</v>
      </c>
    </row>
    <row r="5508" spans="1:40" x14ac:dyDescent="0.25">
      <c r="A5508" t="str">
        <f>"20190312164615324"</f>
        <v>20190312164615324</v>
      </c>
      <c r="B5508" t="str">
        <f>"1552380375316718"</f>
        <v>1552380375316718</v>
      </c>
      <c r="C5508" t="s">
        <v>40</v>
      </c>
      <c r="D5508">
        <v>5.581353</v>
      </c>
      <c r="E5508">
        <v>0.50800020000000001</v>
      </c>
      <c r="F5508" t="s">
        <v>42</v>
      </c>
      <c r="G5508">
        <v>-300.8297</v>
      </c>
      <c r="H5508" s="1">
        <v>-5.5797699999999999E-7</v>
      </c>
      <c r="I5508">
        <v>-29.624829999999999</v>
      </c>
      <c r="J5508">
        <v>-300.11219999999997</v>
      </c>
      <c r="K5508">
        <v>1.1063019999999999</v>
      </c>
      <c r="L5508">
        <v>-12.54297</v>
      </c>
      <c r="M5508">
        <v>-2.2498170000000001E-2</v>
      </c>
      <c r="N5508">
        <v>0</v>
      </c>
      <c r="O5508">
        <v>-0.99965850000000001</v>
      </c>
      <c r="P5508">
        <v>-2.770686E-2</v>
      </c>
      <c r="Q5508">
        <v>7.8404630000000003E-2</v>
      </c>
      <c r="R5508">
        <v>-0.99653689999999995</v>
      </c>
      <c r="S5508">
        <v>-0.12676999999999999</v>
      </c>
      <c r="T5508">
        <v>-0.19311049999999999</v>
      </c>
      <c r="U5508">
        <v>-3.0207820000000001</v>
      </c>
      <c r="V5508">
        <v>5.8735410000000004E-3</v>
      </c>
      <c r="W5508">
        <v>9.163222E-2</v>
      </c>
      <c r="X5508">
        <v>0.99577559999999998</v>
      </c>
      <c r="Y5508">
        <v>1.9352790000000002E-2</v>
      </c>
      <c r="Z5508">
        <v>6.3738989999999995E-2</v>
      </c>
      <c r="AA5508">
        <v>0.99777899999999997</v>
      </c>
      <c r="AB5508">
        <v>23</v>
      </c>
      <c r="AC5508">
        <v>-0.717500000000029</v>
      </c>
      <c r="AD5508">
        <v>-1.1063025579770001</v>
      </c>
      <c r="AE5508">
        <v>-17.081859999999999</v>
      </c>
      <c r="AF5508">
        <v>0.33158542873478902</v>
      </c>
      <c r="AG5508">
        <v>-1.1063025579770001</v>
      </c>
      <c r="AH5508">
        <v>17.022405121654</v>
      </c>
      <c r="AI5508">
        <v>93.717775258362295</v>
      </c>
      <c r="AJ5508">
        <v>88.884056449746296</v>
      </c>
      <c r="AK5508">
        <v>17.061539507677701</v>
      </c>
      <c r="AL5508">
        <v>84.742485546252595</v>
      </c>
      <c r="AM5508">
        <v>89.662047144598304</v>
      </c>
      <c r="AN5508">
        <v>1.00000000389068</v>
      </c>
    </row>
    <row r="5509" spans="1:40" x14ac:dyDescent="0.25">
      <c r="A5509" t="str">
        <f>"20190312164615352"</f>
        <v>20190312164615352</v>
      </c>
      <c r="B5509" t="str">
        <f>"1552380375346974"</f>
        <v>1552380375346974</v>
      </c>
      <c r="C5509" t="s">
        <v>40</v>
      </c>
      <c r="D5509">
        <v>5.54528</v>
      </c>
      <c r="E5509">
        <v>0.50821830000000001</v>
      </c>
      <c r="F5509" t="s">
        <v>42</v>
      </c>
      <c r="G5509">
        <v>-300.9323</v>
      </c>
      <c r="H5509" s="1">
        <v>-4.2879080000000003E-6</v>
      </c>
      <c r="I5509">
        <v>-30.898969999999998</v>
      </c>
      <c r="J5509">
        <v>-300.12509999999997</v>
      </c>
      <c r="K5509">
        <v>1.106339</v>
      </c>
      <c r="L5509">
        <v>-12.83966</v>
      </c>
      <c r="M5509">
        <v>-2.7740979999999998E-2</v>
      </c>
      <c r="N5509">
        <v>0</v>
      </c>
      <c r="O5509">
        <v>-0.99952640000000004</v>
      </c>
      <c r="P5509">
        <v>-3.2035479999999998E-2</v>
      </c>
      <c r="Q5509">
        <v>8.1855700000000003E-2</v>
      </c>
      <c r="R5509">
        <v>-0.99612940000000005</v>
      </c>
      <c r="S5509">
        <v>-0.13497919999999999</v>
      </c>
      <c r="T5509">
        <v>-0.18207380000000001</v>
      </c>
      <c r="U5509">
        <v>-3.0209959999999998</v>
      </c>
      <c r="V5509">
        <v>5.0010469999999998E-3</v>
      </c>
      <c r="W5509">
        <v>9.5094139999999994E-2</v>
      </c>
      <c r="X5509">
        <v>0.99545570000000005</v>
      </c>
      <c r="Y5509">
        <v>1.6822179999999999E-2</v>
      </c>
      <c r="Z5509">
        <v>6.0091510000000001E-2</v>
      </c>
      <c r="AA5509">
        <v>0.99805109999999997</v>
      </c>
      <c r="AB5509">
        <v>23</v>
      </c>
      <c r="AC5509">
        <v>-0.80720000000002201</v>
      </c>
      <c r="AD5509">
        <v>-1.106343287908</v>
      </c>
      <c r="AE5509">
        <v>-18.05931</v>
      </c>
      <c r="AF5509">
        <v>0.304720552563228</v>
      </c>
      <c r="AG5509">
        <v>-1.106343287908</v>
      </c>
      <c r="AH5509">
        <v>18.007306546205299</v>
      </c>
      <c r="AI5509">
        <v>93.515249956694305</v>
      </c>
      <c r="AJ5509">
        <v>89.030530450530307</v>
      </c>
      <c r="AK5509">
        <v>18.043833825849202</v>
      </c>
      <c r="AL5509">
        <v>84.543261714027594</v>
      </c>
      <c r="AM5509">
        <v>89.712155472514794</v>
      </c>
      <c r="AN5509">
        <v>0.99999997829796206</v>
      </c>
    </row>
    <row r="5510" spans="1:40" x14ac:dyDescent="0.25">
      <c r="A5510" t="str">
        <f>"20190312164615389"</f>
        <v>20190312164615389</v>
      </c>
      <c r="B5510" t="str">
        <f>"1552380375386990"</f>
        <v>1552380375386990</v>
      </c>
      <c r="C5510" t="s">
        <v>40</v>
      </c>
      <c r="D5510">
        <v>5.6052759999999999</v>
      </c>
      <c r="E5510">
        <v>0.50841009999999998</v>
      </c>
      <c r="F5510" t="s">
        <v>42</v>
      </c>
      <c r="G5510">
        <v>-301.10289999999998</v>
      </c>
      <c r="H5510" s="1">
        <v>-3.6183539999999999E-6</v>
      </c>
      <c r="I5510">
        <v>-32.660449999999997</v>
      </c>
      <c r="J5510">
        <v>-300.14440000000002</v>
      </c>
      <c r="K5510">
        <v>1.106393</v>
      </c>
      <c r="L5510">
        <v>-13.23096</v>
      </c>
      <c r="M5510">
        <v>-3.4570620000000003E-2</v>
      </c>
      <c r="N5510">
        <v>0</v>
      </c>
      <c r="O5510">
        <v>-0.99931349999999997</v>
      </c>
      <c r="P5510">
        <v>-3.7464619999999997E-2</v>
      </c>
      <c r="Q5510">
        <v>8.4784170000000006E-2</v>
      </c>
      <c r="R5510">
        <v>-0.99569479999999999</v>
      </c>
      <c r="S5510">
        <v>-0.14901729999999899</v>
      </c>
      <c r="T5510">
        <v>-0.16860849999999999</v>
      </c>
      <c r="U5510">
        <v>-3.020721</v>
      </c>
      <c r="V5510">
        <v>3.6378600000000001E-3</v>
      </c>
      <c r="W5510">
        <v>9.803481E-2</v>
      </c>
      <c r="X5510">
        <v>0.99517630000000001</v>
      </c>
      <c r="Y5510">
        <v>1.463426E-2</v>
      </c>
      <c r="Z5510">
        <v>5.5643949999999998E-2</v>
      </c>
      <c r="AA5510">
        <v>0.99834339999999999</v>
      </c>
      <c r="AB5510">
        <v>23</v>
      </c>
      <c r="AC5510">
        <v>-0.95849999999995805</v>
      </c>
      <c r="AD5510">
        <v>-1.1063966183539999</v>
      </c>
      <c r="AE5510">
        <v>-19.429489999999898</v>
      </c>
      <c r="AF5510">
        <v>0.28525512505349099</v>
      </c>
      <c r="AG5510">
        <v>-1.1063966183539999</v>
      </c>
      <c r="AH5510">
        <v>19.388296330843801</v>
      </c>
      <c r="AI5510">
        <v>93.265699140906605</v>
      </c>
      <c r="AJ5510">
        <v>89.157082431104996</v>
      </c>
      <c r="AK5510">
        <v>19.4219339556102</v>
      </c>
      <c r="AL5510">
        <v>84.373982494398206</v>
      </c>
      <c r="AM5510">
        <v>89.790556611870599</v>
      </c>
      <c r="AN5510">
        <v>0.99999996303940197</v>
      </c>
    </row>
    <row r="5511" spans="1:40" x14ac:dyDescent="0.25">
      <c r="A5511" t="str">
        <f>"20190312164615413"</f>
        <v>20190312164615413</v>
      </c>
      <c r="B5511" t="str">
        <f>"1552380375406510"</f>
        <v>1552380375406510</v>
      </c>
      <c r="C5511" t="s">
        <v>40</v>
      </c>
      <c r="D5511">
        <v>5.6037589999999904</v>
      </c>
      <c r="E5511">
        <v>0.50846819999999904</v>
      </c>
      <c r="F5511" t="s">
        <v>42</v>
      </c>
      <c r="G5511">
        <v>-301.29969999999997</v>
      </c>
      <c r="H5511" s="1">
        <v>-2.920837E-6</v>
      </c>
      <c r="I5511">
        <v>-34.408439999999999</v>
      </c>
      <c r="J5511">
        <v>-300.15839999999997</v>
      </c>
      <c r="K5511">
        <v>1.106449</v>
      </c>
      <c r="L5511">
        <v>-13.4850799999999</v>
      </c>
      <c r="M5511">
        <v>-3.8918149999999999E-2</v>
      </c>
      <c r="N5511">
        <v>0</v>
      </c>
      <c r="O5511">
        <v>-0.99915370000000003</v>
      </c>
      <c r="P5511">
        <v>-4.1306750000000003E-2</v>
      </c>
      <c r="Q5511">
        <v>8.5586090000000004E-2</v>
      </c>
      <c r="R5511">
        <v>-0.99547419999999998</v>
      </c>
      <c r="S5511">
        <v>-0.16476440000000001</v>
      </c>
      <c r="T5511">
        <v>-0.15778739999999999</v>
      </c>
      <c r="U5511">
        <v>-3.020203</v>
      </c>
      <c r="V5511">
        <v>3.1432779999999998E-3</v>
      </c>
      <c r="W5511">
        <v>9.8841010000000007E-2</v>
      </c>
      <c r="X5511">
        <v>0.99509829999999999</v>
      </c>
      <c r="Y5511">
        <v>1.5494050000000001E-2</v>
      </c>
      <c r="Z5511">
        <v>5.2071880000000001E-2</v>
      </c>
      <c r="AA5511">
        <v>0.9985231</v>
      </c>
      <c r="AB5511">
        <v>23</v>
      </c>
      <c r="AC5511">
        <v>-1.1413</v>
      </c>
      <c r="AD5511">
        <v>-1.1064519208370001</v>
      </c>
      <c r="AE5511">
        <v>-20.923359999999999</v>
      </c>
      <c r="AF5511">
        <v>0.32515797489068299</v>
      </c>
      <c r="AG5511">
        <v>-1.1064519208370001</v>
      </c>
      <c r="AH5511">
        <v>20.893672774110598</v>
      </c>
      <c r="AI5511">
        <v>93.030975473578295</v>
      </c>
      <c r="AJ5511">
        <v>89.108405878120905</v>
      </c>
      <c r="AK5511">
        <v>20.9254755155855</v>
      </c>
      <c r="AL5511">
        <v>84.327565552783696</v>
      </c>
      <c r="AM5511">
        <v>89.819016910939993</v>
      </c>
      <c r="AN5511">
        <v>1.0000000260586399</v>
      </c>
    </row>
    <row r="5512" spans="1:40" x14ac:dyDescent="0.25">
      <c r="A5512" t="str">
        <f>"20190312164615436"</f>
        <v>20190312164615436</v>
      </c>
      <c r="B5512" t="str">
        <f>"1552380375427006"</f>
        <v>1552380375427006</v>
      </c>
      <c r="C5512" t="s">
        <v>40</v>
      </c>
      <c r="D5512">
        <v>5.691249</v>
      </c>
      <c r="E5512">
        <v>0.50852559999999902</v>
      </c>
      <c r="F5512" t="s">
        <v>42</v>
      </c>
      <c r="G5512">
        <v>-301.41739999999999</v>
      </c>
      <c r="H5512" s="1">
        <v>-2.666023E-6</v>
      </c>
      <c r="I5512">
        <v>-35.075420000000001</v>
      </c>
      <c r="J5512">
        <v>-300.1728</v>
      </c>
      <c r="K5512">
        <v>1.1065160000000001</v>
      </c>
      <c r="L5512">
        <v>-13.73001</v>
      </c>
      <c r="M5512">
        <v>-4.3028619999999997E-2</v>
      </c>
      <c r="N5512">
        <v>0</v>
      </c>
      <c r="O5512">
        <v>-0.99898489999999995</v>
      </c>
      <c r="P5512">
        <v>-4.4387370000000002E-2</v>
      </c>
      <c r="Q5512">
        <v>8.6094920000000005E-2</v>
      </c>
      <c r="R5512">
        <v>-0.99529769999999895</v>
      </c>
      <c r="S5512">
        <v>-0.1760864</v>
      </c>
      <c r="T5512">
        <v>-0.1547481</v>
      </c>
      <c r="U5512">
        <v>-3.0196230000000002</v>
      </c>
      <c r="V5512">
        <v>2.1184860000000002E-3</v>
      </c>
      <c r="W5512">
        <v>9.935679E-2</v>
      </c>
      <c r="X5512">
        <v>0.99504959999999998</v>
      </c>
      <c r="Y5512">
        <v>1.512575E-2</v>
      </c>
      <c r="Z5512">
        <v>5.1063129999999998E-2</v>
      </c>
      <c r="AA5512">
        <v>0.99858089999999999</v>
      </c>
      <c r="AB5512">
        <v>23</v>
      </c>
      <c r="AC5512">
        <v>-1.2445999999999899</v>
      </c>
      <c r="AD5512">
        <v>-1.106518666023</v>
      </c>
      <c r="AE5512">
        <v>-21.345410000000001</v>
      </c>
      <c r="AF5512">
        <v>0.32403412975120399</v>
      </c>
      <c r="AG5512">
        <v>-1.106518666023</v>
      </c>
      <c r="AH5512">
        <v>21.3220916943737</v>
      </c>
      <c r="AI5512">
        <v>92.970380590979104</v>
      </c>
      <c r="AJ5512">
        <v>89.129336875205794</v>
      </c>
      <c r="AK5512">
        <v>21.353242749024801</v>
      </c>
      <c r="AL5512">
        <v>84.297867103422405</v>
      </c>
      <c r="AM5512">
        <v>89.878016007078898</v>
      </c>
      <c r="AN5512">
        <v>0.99999998308109705</v>
      </c>
    </row>
    <row r="5513" spans="1:40" x14ac:dyDescent="0.25">
      <c r="A5513" t="str">
        <f>"20190312164615460"</f>
        <v>20190312164615460</v>
      </c>
      <c r="B5513" t="str">
        <f>"1552380375446526"</f>
        <v>1552380375446526</v>
      </c>
      <c r="C5513" t="s">
        <v>40</v>
      </c>
      <c r="D5513">
        <v>5.6716790000000001</v>
      </c>
      <c r="E5513">
        <v>0.50858349999999997</v>
      </c>
      <c r="F5513" t="s">
        <v>42</v>
      </c>
      <c r="G5513">
        <v>-301.51350000000002</v>
      </c>
      <c r="H5513" s="1">
        <v>-2.4732849999999999E-6</v>
      </c>
      <c r="I5513">
        <v>-35.584299999999999</v>
      </c>
      <c r="J5513">
        <v>-300.18740000000003</v>
      </c>
      <c r="K5513">
        <v>1.106595</v>
      </c>
      <c r="L5513">
        <v>-13.96509</v>
      </c>
      <c r="M5513">
        <v>-4.6858810000000001E-2</v>
      </c>
      <c r="N5513">
        <v>0</v>
      </c>
      <c r="O5513">
        <v>-0.9988127</v>
      </c>
      <c r="P5513">
        <v>-4.7680819999999999E-2</v>
      </c>
      <c r="Q5513">
        <v>8.6607770000000001E-2</v>
      </c>
      <c r="R5513">
        <v>-0.99510089999999995</v>
      </c>
      <c r="S5513">
        <v>-0.18521119999999999</v>
      </c>
      <c r="T5513">
        <v>-0.15286369999999999</v>
      </c>
      <c r="U5513">
        <v>-3.0191349999999999</v>
      </c>
      <c r="V5513">
        <v>1.5824700000000001E-3</v>
      </c>
      <c r="W5513">
        <v>9.9871109999999999E-2</v>
      </c>
      <c r="X5513">
        <v>0.99499910000000003</v>
      </c>
      <c r="Y5513">
        <v>1.4310359999999999E-2</v>
      </c>
      <c r="Z5513">
        <v>5.0433779999999998E-2</v>
      </c>
      <c r="AA5513">
        <v>0.99862490000000004</v>
      </c>
      <c r="AB5513">
        <v>23</v>
      </c>
      <c r="AC5513">
        <v>-1.3260999999999901</v>
      </c>
      <c r="AD5513">
        <v>-1.1065974732849999</v>
      </c>
      <c r="AE5513">
        <v>-21.619209999999999</v>
      </c>
      <c r="AF5513">
        <v>0.310691747618904</v>
      </c>
      <c r="AG5513">
        <v>-1.1065974732849999</v>
      </c>
      <c r="AH5513">
        <v>21.601219701345901</v>
      </c>
      <c r="AI5513">
        <v>92.932308847220298</v>
      </c>
      <c r="AJ5513">
        <v>89.175967897587697</v>
      </c>
      <c r="AK5513">
        <v>21.6317770864007</v>
      </c>
      <c r="AL5513">
        <v>84.268251392460002</v>
      </c>
      <c r="AM5513">
        <v>89.9088755198282</v>
      </c>
      <c r="AN5513">
        <v>0.999999975912371</v>
      </c>
    </row>
    <row r="5514" spans="1:40" x14ac:dyDescent="0.25">
      <c r="A5514" t="str">
        <f>"20190312164615482"</f>
        <v>20190312164615482</v>
      </c>
      <c r="B5514" t="str">
        <f>"1552380375476470"</f>
        <v>1552380375476470</v>
      </c>
      <c r="C5514" t="s">
        <v>40</v>
      </c>
      <c r="D5514">
        <v>5.6927289999999999</v>
      </c>
      <c r="E5514">
        <v>0.5086138</v>
      </c>
      <c r="F5514" t="s">
        <v>42</v>
      </c>
      <c r="G5514">
        <v>-301.61860000000001</v>
      </c>
      <c r="H5514" s="1">
        <v>-2.2962199999999998E-6</v>
      </c>
      <c r="I5514">
        <v>-36.062199999999997</v>
      </c>
      <c r="J5514">
        <v>-300.20280000000002</v>
      </c>
      <c r="K5514">
        <v>1.106692</v>
      </c>
      <c r="L5514">
        <v>-14.198549999999999</v>
      </c>
      <c r="M5514">
        <v>-5.0529030000000003E-2</v>
      </c>
      <c r="N5514">
        <v>0</v>
      </c>
      <c r="O5514">
        <v>-0.99863369999999996</v>
      </c>
      <c r="P5514">
        <v>-5.1137040000000002E-2</v>
      </c>
      <c r="Q5514">
        <v>8.8051939999999995E-2</v>
      </c>
      <c r="R5514">
        <v>-0.99480239999999998</v>
      </c>
      <c r="S5514">
        <v>-0.19549559999999999</v>
      </c>
      <c r="T5514">
        <v>-0.15116559999999901</v>
      </c>
      <c r="U5514">
        <v>-3.0185550000000001</v>
      </c>
      <c r="V5514">
        <v>1.3740099999999999E-3</v>
      </c>
      <c r="W5514">
        <v>0.1013119</v>
      </c>
      <c r="X5514">
        <v>0.99485369999999995</v>
      </c>
      <c r="Y5514">
        <v>1.403829E-2</v>
      </c>
      <c r="Z5514">
        <v>4.9865850000000003E-2</v>
      </c>
      <c r="AA5514">
        <v>0.99865729999999997</v>
      </c>
      <c r="AB5514">
        <v>23</v>
      </c>
      <c r="AC5514">
        <v>-1.41579999999999</v>
      </c>
      <c r="AD5514">
        <v>-1.1066942962199999</v>
      </c>
      <c r="AE5514">
        <v>-21.86365</v>
      </c>
      <c r="AF5514">
        <v>0.30835724296698203</v>
      </c>
      <c r="AG5514">
        <v>-1.1066942962199999</v>
      </c>
      <c r="AH5514">
        <v>21.851507852034501</v>
      </c>
      <c r="AI5514">
        <v>92.899044060997696</v>
      </c>
      <c r="AJ5514">
        <v>89.191525082572397</v>
      </c>
      <c r="AK5514">
        <v>21.881687591730699</v>
      </c>
      <c r="AL5514">
        <v>84.185279118128705</v>
      </c>
      <c r="AM5514">
        <v>89.920867838202497</v>
      </c>
      <c r="AN5514">
        <v>0.99999993669438703</v>
      </c>
    </row>
    <row r="5515" spans="1:40" x14ac:dyDescent="0.25">
      <c r="A5515" t="str">
        <f>"20190312164615524"</f>
        <v>20190312164615524</v>
      </c>
      <c r="B5515" t="str">
        <f>"1552380375516485"</f>
        <v>1552380375516485</v>
      </c>
      <c r="C5515" t="s">
        <v>40</v>
      </c>
      <c r="D5515">
        <v>5.6102210000000001</v>
      </c>
      <c r="E5515">
        <v>0.50859239999999994</v>
      </c>
      <c r="F5515" t="s">
        <v>42</v>
      </c>
      <c r="G5515">
        <v>-301.76220000000001</v>
      </c>
      <c r="H5515" s="1">
        <v>-1.9284200000000002E-6</v>
      </c>
      <c r="I5515">
        <v>-37.00864</v>
      </c>
      <c r="J5515">
        <v>-300.23340000000002</v>
      </c>
      <c r="K5515">
        <v>1.106911</v>
      </c>
      <c r="L5515">
        <v>-14.637119999999999</v>
      </c>
      <c r="M5515">
        <v>-5.7042660000000002E-2</v>
      </c>
      <c r="N5515">
        <v>0</v>
      </c>
      <c r="O5515">
        <v>-0.99828309999999998</v>
      </c>
      <c r="P5515">
        <v>-5.7019399999999998E-2</v>
      </c>
      <c r="Q5515">
        <v>9.1980530000000005E-2</v>
      </c>
      <c r="R5515">
        <v>-0.99412710000000004</v>
      </c>
      <c r="S5515">
        <v>-0.20632929999999999</v>
      </c>
      <c r="T5515">
        <v>-0.14642820000000001</v>
      </c>
      <c r="U5515">
        <v>-3.0180359999999999</v>
      </c>
      <c r="V5515">
        <v>7.5867670000000003E-4</v>
      </c>
      <c r="W5515">
        <v>0.1052309</v>
      </c>
      <c r="X5515">
        <v>0.99444750000000004</v>
      </c>
      <c r="Y5515">
        <v>1.110062E-2</v>
      </c>
      <c r="Z5515">
        <v>4.8284800000000003E-2</v>
      </c>
      <c r="AA5515">
        <v>0.99877190000000005</v>
      </c>
      <c r="AB5515">
        <v>23</v>
      </c>
      <c r="AC5515">
        <v>-1.52879999999998</v>
      </c>
      <c r="AD5515">
        <v>-1.1069129284200001</v>
      </c>
      <c r="AE5515">
        <v>-22.37152</v>
      </c>
      <c r="AF5515">
        <v>0.24945845441794401</v>
      </c>
      <c r="AG5515">
        <v>-1.1069129284200001</v>
      </c>
      <c r="AH5515">
        <v>22.3677965503148</v>
      </c>
      <c r="AI5515">
        <v>92.8329034852691</v>
      </c>
      <c r="AJ5515">
        <v>89.3610312025843</v>
      </c>
      <c r="AK5515">
        <v>22.396557955807801</v>
      </c>
      <c r="AL5515">
        <v>83.959529987282707</v>
      </c>
      <c r="AM5515">
        <v>89.956288326441097</v>
      </c>
      <c r="AN5515">
        <v>0.99999997408069696</v>
      </c>
    </row>
    <row r="5516" spans="1:40" x14ac:dyDescent="0.25">
      <c r="A5516" t="str">
        <f>"20190312164615554"</f>
        <v>20190312164615554</v>
      </c>
      <c r="B5516" t="str">
        <f>"1552380375546741"</f>
        <v>1552380375546741</v>
      </c>
      <c r="C5516" t="s">
        <v>40</v>
      </c>
      <c r="D5516">
        <v>5.6969609999999999</v>
      </c>
      <c r="E5516">
        <v>0.50854820000000001</v>
      </c>
      <c r="F5516" t="s">
        <v>42</v>
      </c>
      <c r="G5516">
        <v>-302.05259999999998</v>
      </c>
      <c r="H5516" s="1">
        <v>-1.0743199999999999E-6</v>
      </c>
      <c r="I5516">
        <v>-39.179659999999998</v>
      </c>
      <c r="J5516">
        <v>-300.25619999999998</v>
      </c>
      <c r="K5516">
        <v>1.1070420000000001</v>
      </c>
      <c r="L5516">
        <v>-14.94406</v>
      </c>
      <c r="M5516">
        <v>-6.1331320000000002E-2</v>
      </c>
      <c r="N5516">
        <v>0</v>
      </c>
      <c r="O5516">
        <v>-0.99802880000000005</v>
      </c>
      <c r="P5516">
        <v>-6.0660550000000001E-2</v>
      </c>
      <c r="Q5516">
        <v>9.4210340000000004E-2</v>
      </c>
      <c r="R5516">
        <v>-0.99370289999999994</v>
      </c>
      <c r="S5516">
        <v>-0.22366330000000001</v>
      </c>
      <c r="T5516">
        <v>-0.13609399999999999</v>
      </c>
      <c r="U5516">
        <v>-3.017487</v>
      </c>
      <c r="V5516">
        <v>1.2149100000000001E-4</v>
      </c>
      <c r="W5516">
        <v>0.1074551</v>
      </c>
      <c r="X5516">
        <v>0.99420989999999998</v>
      </c>
      <c r="Y5516">
        <v>1.25369E-2</v>
      </c>
      <c r="Z5516">
        <v>4.4865719999999998E-2</v>
      </c>
      <c r="AA5516">
        <v>0.99891439999999998</v>
      </c>
      <c r="AB5516">
        <v>23</v>
      </c>
      <c r="AC5516">
        <v>-1.7964</v>
      </c>
      <c r="AD5516">
        <v>-1.1070430743199999</v>
      </c>
      <c r="AE5516">
        <v>-24.235600000000002</v>
      </c>
      <c r="AF5516">
        <v>0.30585004620977801</v>
      </c>
      <c r="AG5516">
        <v>-1.1070430743199999</v>
      </c>
      <c r="AH5516">
        <v>24.2498316635482</v>
      </c>
      <c r="AI5516">
        <v>92.613620357853407</v>
      </c>
      <c r="AJ5516">
        <v>89.277397552993094</v>
      </c>
      <c r="AK5516">
        <v>24.277014320743699</v>
      </c>
      <c r="AL5516">
        <v>83.8313659003325</v>
      </c>
      <c r="AM5516">
        <v>89.992998539328397</v>
      </c>
      <c r="AN5516">
        <v>0.99999996926704104</v>
      </c>
    </row>
    <row r="5517" spans="1:40" x14ac:dyDescent="0.25">
      <c r="A5517" t="str">
        <f>"20190312164615575"</f>
        <v>20190312164615575</v>
      </c>
      <c r="B5517" t="str">
        <f>"1552380375567213"</f>
        <v>1552380375567213</v>
      </c>
      <c r="C5517" t="s">
        <v>40</v>
      </c>
      <c r="D5517">
        <v>5.2999179999999999</v>
      </c>
      <c r="E5517">
        <v>0.50845989999999996</v>
      </c>
      <c r="F5517" t="s">
        <v>52</v>
      </c>
      <c r="G5517">
        <v>-302.25139999999999</v>
      </c>
      <c r="H5517" s="1">
        <v>-7.0844509999999998E-7</v>
      </c>
      <c r="I5517">
        <v>-40.644779999999997</v>
      </c>
      <c r="J5517">
        <v>-300.27429999999998</v>
      </c>
      <c r="K5517">
        <v>1.1071260000000001</v>
      </c>
      <c r="L5517">
        <v>-15.17728</v>
      </c>
      <c r="M5517">
        <v>-6.4457630000000002E-2</v>
      </c>
      <c r="N5517">
        <v>0</v>
      </c>
      <c r="O5517">
        <v>-0.99783180000000005</v>
      </c>
      <c r="P5517">
        <v>-6.3099580000000002E-2</v>
      </c>
      <c r="Q5517">
        <v>9.5117049999999995E-2</v>
      </c>
      <c r="R5517">
        <v>-0.99346429999999997</v>
      </c>
      <c r="S5517">
        <v>-0.2342224</v>
      </c>
      <c r="T5517">
        <v>-0.12995660000000001</v>
      </c>
      <c r="U5517">
        <v>-3.017029</v>
      </c>
      <c r="V5517">
        <v>-5.6202550000000002E-4</v>
      </c>
      <c r="W5517">
        <v>0.1083591</v>
      </c>
      <c r="X5517">
        <v>0.99411170000000004</v>
      </c>
      <c r="Y5517">
        <v>1.289847E-2</v>
      </c>
      <c r="Z5517">
        <v>4.2834299999999999E-2</v>
      </c>
      <c r="AA5517">
        <v>0.99899890000000002</v>
      </c>
      <c r="AB5517">
        <v>23</v>
      </c>
      <c r="AC5517">
        <v>-1.9771000000000001</v>
      </c>
      <c r="AD5517">
        <v>-1.1071267084451</v>
      </c>
      <c r="AE5517">
        <v>-25.467500000000001</v>
      </c>
      <c r="AF5517">
        <v>0.33064674207220202</v>
      </c>
      <c r="AG5517">
        <v>-1.1071267084451</v>
      </c>
      <c r="AH5517">
        <v>25.494089210117401</v>
      </c>
      <c r="AI5517">
        <v>92.4864011306762</v>
      </c>
      <c r="AJ5517">
        <v>89.256941459646796</v>
      </c>
      <c r="AK5517">
        <v>25.520259431871398</v>
      </c>
      <c r="AL5517">
        <v>83.779266751252905</v>
      </c>
      <c r="AM5517">
        <v>90.032392421996306</v>
      </c>
      <c r="AN5517">
        <v>1.00000004125118</v>
      </c>
    </row>
    <row r="5518" spans="1:40" x14ac:dyDescent="0.25">
      <c r="A5518" t="str">
        <f>"20190312164615597"</f>
        <v>20190312164615597</v>
      </c>
      <c r="B5518" t="str">
        <f>"1552380375586733"</f>
        <v>1552380375586733</v>
      </c>
      <c r="C5518" t="s">
        <v>40</v>
      </c>
      <c r="D5518">
        <v>5.7147759999999996</v>
      </c>
      <c r="E5518">
        <v>0.50840280000000004</v>
      </c>
      <c r="F5518" t="s">
        <v>52</v>
      </c>
      <c r="G5518">
        <v>-302.37060000000002</v>
      </c>
      <c r="H5518" s="1">
        <v>-1.04049E-6</v>
      </c>
      <c r="I5518">
        <v>-41.431069999999998</v>
      </c>
      <c r="J5518">
        <v>-300.2921</v>
      </c>
      <c r="K5518">
        <v>1.1071789999999999</v>
      </c>
      <c r="L5518">
        <v>-15.399629999999901</v>
      </c>
      <c r="M5518">
        <v>-6.7357559999999997E-2</v>
      </c>
      <c r="N5518">
        <v>0</v>
      </c>
      <c r="O5518">
        <v>-0.99764010000000003</v>
      </c>
      <c r="P5518">
        <v>-6.4786109999999994E-2</v>
      </c>
      <c r="Q5518">
        <v>9.5286960000000004E-2</v>
      </c>
      <c r="R5518">
        <v>-0.99333939999999998</v>
      </c>
      <c r="S5518">
        <v>-0.24087520000000001</v>
      </c>
      <c r="T5518">
        <v>-0.12721060000000001</v>
      </c>
      <c r="U5518">
        <v>-3.0166019999999998</v>
      </c>
      <c r="V5518">
        <v>-1.7769280000000001E-3</v>
      </c>
      <c r="W5518">
        <v>0.1085298</v>
      </c>
      <c r="X5518">
        <v>0.99409159999999996</v>
      </c>
      <c r="Y5518">
        <v>1.21958E-2</v>
      </c>
      <c r="Z5518">
        <v>4.1921229999999997E-2</v>
      </c>
      <c r="AA5518">
        <v>0.99904649999999995</v>
      </c>
      <c r="AB5518">
        <v>23</v>
      </c>
      <c r="AC5518">
        <v>-2.07850000000002</v>
      </c>
      <c r="AD5518">
        <v>-1.1071800404899901</v>
      </c>
      <c r="AE5518">
        <v>-26.03144</v>
      </c>
      <c r="AF5518">
        <v>0.31963447851508803</v>
      </c>
      <c r="AG5518">
        <v>-1.1071800404899901</v>
      </c>
      <c r="AH5518">
        <v>26.0654707225032</v>
      </c>
      <c r="AI5518">
        <v>92.4321015416824</v>
      </c>
      <c r="AJ5518">
        <v>89.297431114594005</v>
      </c>
      <c r="AK5518">
        <v>26.0909328661815</v>
      </c>
      <c r="AL5518">
        <v>83.769428032555297</v>
      </c>
      <c r="AM5518">
        <v>90.102415478077305</v>
      </c>
      <c r="AN5518">
        <v>0.99999999207585799</v>
      </c>
    </row>
    <row r="5519" spans="1:40" x14ac:dyDescent="0.25">
      <c r="A5519" t="str">
        <f>"20190312164615617"</f>
        <v>20190312164615617</v>
      </c>
      <c r="B5519" t="str">
        <f>"1552380375607232"</f>
        <v>1552380375607232</v>
      </c>
      <c r="C5519" t="s">
        <v>40</v>
      </c>
      <c r="D5519">
        <v>5.5836249999999996</v>
      </c>
      <c r="E5519">
        <v>0.50840280000000004</v>
      </c>
      <c r="F5519" t="s">
        <v>52</v>
      </c>
      <c r="G5519">
        <v>-302.43340000000001</v>
      </c>
      <c r="H5519" s="1">
        <v>-1.167712E-6</v>
      </c>
      <c r="I5519">
        <v>-41.680929999999996</v>
      </c>
      <c r="J5519">
        <v>-300.30939999999998</v>
      </c>
      <c r="K5519">
        <v>1.1072150000000001</v>
      </c>
      <c r="L5519">
        <v>-15.60873</v>
      </c>
      <c r="M5519">
        <v>-7.0025619999999997E-2</v>
      </c>
      <c r="N5519">
        <v>0</v>
      </c>
      <c r="O5519">
        <v>-0.99745669999999997</v>
      </c>
      <c r="P5519">
        <v>-6.5940170000000006E-2</v>
      </c>
      <c r="Q5519">
        <v>9.6238560000000001E-2</v>
      </c>
      <c r="R5519">
        <v>-0.99317180000000005</v>
      </c>
      <c r="S5519">
        <v>-0.24575810000000001</v>
      </c>
      <c r="T5519">
        <v>-0.1270694</v>
      </c>
      <c r="U5519">
        <v>-3.0162659999999999</v>
      </c>
      <c r="V5519">
        <v>-3.2825419999999998E-3</v>
      </c>
      <c r="W5519">
        <v>0.109482</v>
      </c>
      <c r="X5519">
        <v>0.99398330000000001</v>
      </c>
      <c r="Y5519">
        <v>1.113722E-2</v>
      </c>
      <c r="Z5519">
        <v>4.1865380000000001E-2</v>
      </c>
      <c r="AA5519">
        <v>0.99906119999999998</v>
      </c>
      <c r="AB5519">
        <v>23</v>
      </c>
      <c r="AC5519">
        <v>-2.1240000000000201</v>
      </c>
      <c r="AD5519">
        <v>-1.107216167712</v>
      </c>
      <c r="AE5519">
        <v>-26.072199999999899</v>
      </c>
      <c r="AF5519">
        <v>0.29237809787902402</v>
      </c>
      <c r="AG5519">
        <v>-1.107216167712</v>
      </c>
      <c r="AH5519">
        <v>26.110155532841802</v>
      </c>
      <c r="AI5519">
        <v>92.428053656709395</v>
      </c>
      <c r="AJ5519">
        <v>89.358436188921999</v>
      </c>
      <c r="AK5519">
        <v>26.135256542520299</v>
      </c>
      <c r="AL5519">
        <v>83.714543624280495</v>
      </c>
      <c r="AM5519">
        <v>90.189213560193096</v>
      </c>
      <c r="AN5519">
        <v>0.99999994204243403</v>
      </c>
    </row>
    <row r="5520" spans="1:40" x14ac:dyDescent="0.25">
      <c r="A5520" t="str">
        <f>"20190312164615657"</f>
        <v>20190312164615657</v>
      </c>
      <c r="B5520" t="str">
        <f>"1552380375647246"</f>
        <v>1552380375647246</v>
      </c>
      <c r="C5520" t="s">
        <v>40</v>
      </c>
      <c r="D5520">
        <v>5.6372980000000004</v>
      </c>
      <c r="E5520">
        <v>0.5081445</v>
      </c>
      <c r="F5520" t="s">
        <v>52</v>
      </c>
      <c r="G5520">
        <v>-302.52910000000003</v>
      </c>
      <c r="H5520" s="1">
        <v>-1.6996119999999999E-6</v>
      </c>
      <c r="I5520">
        <v>-42.4968</v>
      </c>
      <c r="J5520">
        <v>-300.3449</v>
      </c>
      <c r="K5520">
        <v>1.1072959999999901</v>
      </c>
      <c r="L5520">
        <v>-16.020109999999999</v>
      </c>
      <c r="M5520">
        <v>-7.513773E-2</v>
      </c>
      <c r="N5520">
        <v>0</v>
      </c>
      <c r="O5520">
        <v>-0.99708459999999999</v>
      </c>
      <c r="P5520">
        <v>-6.673627E-2</v>
      </c>
      <c r="Q5520">
        <v>9.6656510000000001E-2</v>
      </c>
      <c r="R5520">
        <v>-0.99307809999999996</v>
      </c>
      <c r="S5520">
        <v>-0.24899289999999999</v>
      </c>
      <c r="T5520">
        <v>-0.12420109999999999</v>
      </c>
      <c r="U5520">
        <v>-3.0161440000000002</v>
      </c>
      <c r="V5520">
        <v>-7.6028299999999997E-3</v>
      </c>
      <c r="W5520">
        <v>0.10990949999999999</v>
      </c>
      <c r="X5520">
        <v>0.99391249999999998</v>
      </c>
      <c r="Y5520">
        <v>7.0822639999999996E-3</v>
      </c>
      <c r="Z5520">
        <v>4.0899720000000001E-2</v>
      </c>
      <c r="AA5520">
        <v>0.99913819999999998</v>
      </c>
      <c r="AB5520">
        <v>23</v>
      </c>
      <c r="AC5520">
        <v>-2.1842000000000299</v>
      </c>
      <c r="AD5520">
        <v>-1.1072976996120001</v>
      </c>
      <c r="AE5520">
        <v>-26.476690000000001</v>
      </c>
      <c r="AF5520">
        <v>0.18812362887858</v>
      </c>
      <c r="AG5520">
        <v>-1.1072976996120001</v>
      </c>
      <c r="AH5520">
        <v>26.519890863467001</v>
      </c>
      <c r="AI5520">
        <v>92.390849274458901</v>
      </c>
      <c r="AJ5520">
        <v>89.593568871503393</v>
      </c>
      <c r="AK5520">
        <v>26.543664217765901</v>
      </c>
      <c r="AL5520">
        <v>83.689901200581602</v>
      </c>
      <c r="AM5520">
        <v>90.438269541164502</v>
      </c>
      <c r="AN5520">
        <v>0.99999997943525398</v>
      </c>
    </row>
    <row r="5521" spans="1:40" x14ac:dyDescent="0.25">
      <c r="A5521" t="str">
        <f>"20190312164615680"</f>
        <v>20190312164615680</v>
      </c>
      <c r="B5521" t="str">
        <f>"1552380375677032"</f>
        <v>1552380375677032</v>
      </c>
      <c r="C5521" t="s">
        <v>40</v>
      </c>
      <c r="D5521">
        <v>5.6767010000000004</v>
      </c>
      <c r="E5521">
        <v>0.50791220000000004</v>
      </c>
      <c r="F5521" t="s">
        <v>52</v>
      </c>
      <c r="G5521">
        <v>-302.58269999999999</v>
      </c>
      <c r="H5521" s="1">
        <v>-1.9926039999999999E-6</v>
      </c>
      <c r="I5521">
        <v>-42.945999999999998</v>
      </c>
      <c r="J5521">
        <v>-300.3664</v>
      </c>
      <c r="K5521">
        <v>1.1073329999999999</v>
      </c>
      <c r="L5521">
        <v>-16.259829999999901</v>
      </c>
      <c r="M5521">
        <v>-7.80449E-2</v>
      </c>
      <c r="N5521">
        <v>0</v>
      </c>
      <c r="O5521">
        <v>-0.99686129999999995</v>
      </c>
      <c r="P5521">
        <v>-6.6626249999999998E-2</v>
      </c>
      <c r="Q5521">
        <v>9.5751000000000003E-2</v>
      </c>
      <c r="R5521">
        <v>-0.99317339999999998</v>
      </c>
      <c r="S5521">
        <v>-0.25067139999999999</v>
      </c>
      <c r="T5521">
        <v>-0.1240356</v>
      </c>
      <c r="U5521">
        <v>-3.0161440000000002</v>
      </c>
      <c r="V5521">
        <v>-1.0637499999999999E-2</v>
      </c>
      <c r="W5521">
        <v>0.10901189999999999</v>
      </c>
      <c r="X5521">
        <v>0.99398350000000002</v>
      </c>
      <c r="Y5521">
        <v>4.7187749999999997E-3</v>
      </c>
      <c r="Z5521">
        <v>4.0830959999999999E-2</v>
      </c>
      <c r="AA5521">
        <v>0.99915489999999996</v>
      </c>
      <c r="AB5521">
        <v>23</v>
      </c>
      <c r="AC5521">
        <v>-2.21629999999998</v>
      </c>
      <c r="AD5521">
        <v>-1.1073349926039999</v>
      </c>
      <c r="AE5521">
        <v>-26.686170000000001</v>
      </c>
      <c r="AF5521">
        <v>0.12641922990638399</v>
      </c>
      <c r="AG5521">
        <v>-1.1073349926039999</v>
      </c>
      <c r="AH5521">
        <v>26.732032613959198</v>
      </c>
      <c r="AI5521">
        <v>92.3720104869967</v>
      </c>
      <c r="AJ5521">
        <v>89.729042889092597</v>
      </c>
      <c r="AK5521">
        <v>26.7552563112618</v>
      </c>
      <c r="AL5521">
        <v>83.741640760981099</v>
      </c>
      <c r="AM5521">
        <v>90.613149602609099</v>
      </c>
      <c r="AN5521">
        <v>0.99999997451005396</v>
      </c>
    </row>
    <row r="5522" spans="1:40" x14ac:dyDescent="0.25">
      <c r="A5522" t="str">
        <f>"20190312164615704"</f>
        <v>20190312164615704</v>
      </c>
      <c r="B5522" t="str">
        <f>"1552380375696552"</f>
        <v>1552380375696552</v>
      </c>
      <c r="C5522" t="s">
        <v>40</v>
      </c>
      <c r="D5522">
        <v>5.5852589999999998</v>
      </c>
      <c r="E5522">
        <v>0.50775020000000004</v>
      </c>
      <c r="F5522" t="s">
        <v>52</v>
      </c>
      <c r="G5522">
        <v>-302.52960000000002</v>
      </c>
      <c r="H5522" s="1">
        <v>-1.670535E-6</v>
      </c>
      <c r="I5522">
        <v>-42.450940000000003</v>
      </c>
      <c r="J5522">
        <v>-300.38839999999999</v>
      </c>
      <c r="K5522">
        <v>1.107369</v>
      </c>
      <c r="L5522">
        <v>-16.49765</v>
      </c>
      <c r="M5522">
        <v>-8.0872669999999994E-2</v>
      </c>
      <c r="N5522">
        <v>0</v>
      </c>
      <c r="O5522">
        <v>-0.99663630000000003</v>
      </c>
      <c r="P5522">
        <v>-6.6842879999999993E-2</v>
      </c>
      <c r="Q5522">
        <v>9.6138860000000007E-2</v>
      </c>
      <c r="R5522">
        <v>-0.99312149999999999</v>
      </c>
      <c r="S5522">
        <v>-0.249115</v>
      </c>
      <c r="T5522">
        <v>-0.1275222</v>
      </c>
      <c r="U5522">
        <v>-3.0162049999999998</v>
      </c>
      <c r="V5522">
        <v>-1.325082E-2</v>
      </c>
      <c r="W5522">
        <v>0.1094038</v>
      </c>
      <c r="X5522">
        <v>0.99390909999999999</v>
      </c>
      <c r="Y5522">
        <v>1.3642000000000001E-3</v>
      </c>
      <c r="Z5522">
        <v>4.1962739999999998E-2</v>
      </c>
      <c r="AA5522">
        <v>0.99911830000000001</v>
      </c>
      <c r="AB5522">
        <v>23</v>
      </c>
      <c r="AC5522">
        <v>-2.14120000000002</v>
      </c>
      <c r="AD5522">
        <v>-1.1073706705349999</v>
      </c>
      <c r="AE5522">
        <v>-25.953289999999999</v>
      </c>
      <c r="AF5522">
        <v>3.5025536171457899E-2</v>
      </c>
      <c r="AG5522">
        <v>-1.1073706705349999</v>
      </c>
      <c r="AH5522">
        <v>25.994439194298</v>
      </c>
      <c r="AI5522">
        <v>92.439339747416199</v>
      </c>
      <c r="AJ5522">
        <v>89.922798327430101</v>
      </c>
      <c r="AK5522">
        <v>26.018039234657898</v>
      </c>
      <c r="AL5522">
        <v>83.719051832500398</v>
      </c>
      <c r="AM5522">
        <v>90.763823456428895</v>
      </c>
      <c r="AN5522">
        <v>1.0000000373739599</v>
      </c>
    </row>
    <row r="5523" spans="1:40" x14ac:dyDescent="0.25">
      <c r="A5523" t="str">
        <f>"20190312164615725"</f>
        <v>20190312164615725</v>
      </c>
      <c r="B5523" t="str">
        <f>"1552380375717048"</f>
        <v>1552380375717048</v>
      </c>
      <c r="C5523" t="s">
        <v>40</v>
      </c>
      <c r="D5523">
        <v>5.6432270000000004</v>
      </c>
      <c r="E5523">
        <v>0.50760680000000002</v>
      </c>
      <c r="F5523" t="s">
        <v>52</v>
      </c>
      <c r="G5523">
        <v>-302.54640000000001</v>
      </c>
      <c r="H5523" s="1">
        <v>-1.873869E-6</v>
      </c>
      <c r="I5523">
        <v>-42.767139999999998</v>
      </c>
      <c r="J5523">
        <v>-300.40989999999999</v>
      </c>
      <c r="K5523">
        <v>1.1074269999999999</v>
      </c>
      <c r="L5523">
        <v>-16.724879999999999</v>
      </c>
      <c r="M5523">
        <v>-8.3496360000000006E-2</v>
      </c>
      <c r="N5523">
        <v>0</v>
      </c>
      <c r="O5523">
        <v>-0.99641970000000002</v>
      </c>
      <c r="P5523">
        <v>-6.6745559999999995E-2</v>
      </c>
      <c r="Q5523">
        <v>9.8186300000000004E-2</v>
      </c>
      <c r="R5523">
        <v>-0.99292729999999996</v>
      </c>
      <c r="S5523">
        <v>-0.24780269999999999</v>
      </c>
      <c r="T5523">
        <v>-0.12715480000000001</v>
      </c>
      <c r="U5523">
        <v>-3.0164179999999998</v>
      </c>
      <c r="V5523">
        <v>-1.595659E-2</v>
      </c>
      <c r="W5523">
        <v>0.1114531</v>
      </c>
      <c r="X5523">
        <v>0.99364160000000001</v>
      </c>
      <c r="Y5523">
        <v>-1.7057179999999999E-3</v>
      </c>
      <c r="Z5523">
        <v>4.1826219999999997E-2</v>
      </c>
      <c r="AA5523">
        <v>0.99912350000000005</v>
      </c>
      <c r="AB5523">
        <v>23</v>
      </c>
      <c r="AC5523">
        <v>-2.1365000000000101</v>
      </c>
      <c r="AD5523">
        <v>-1.1074288738689999</v>
      </c>
      <c r="AE5523">
        <v>-26.042259999999999</v>
      </c>
      <c r="AF5523">
        <v>-4.55055039590632E-2</v>
      </c>
      <c r="AG5523">
        <v>-1.1074288738689999</v>
      </c>
      <c r="AH5523">
        <v>26.0828614776641</v>
      </c>
      <c r="AI5523">
        <v>92.431206327667496</v>
      </c>
      <c r="AJ5523">
        <v>90.099961067475604</v>
      </c>
      <c r="AK5523">
        <v>26.106400217659001</v>
      </c>
      <c r="AL5523">
        <v>83.600912920581393</v>
      </c>
      <c r="AM5523">
        <v>90.920016518547996</v>
      </c>
      <c r="AN5523">
        <v>1.0000000177572901</v>
      </c>
    </row>
    <row r="5524" spans="1:40" x14ac:dyDescent="0.25">
      <c r="A5524" t="str">
        <f>"20190312164615751"</f>
        <v>20190312164615751</v>
      </c>
      <c r="B5524" t="str">
        <f>"1552380375747304"</f>
        <v>1552380375747304</v>
      </c>
      <c r="C5524" t="s">
        <v>40</v>
      </c>
      <c r="D5524">
        <v>5.679138</v>
      </c>
      <c r="E5524">
        <v>0.50743660000000002</v>
      </c>
      <c r="F5524" t="s">
        <v>52</v>
      </c>
      <c r="G5524">
        <v>-302.65550000000002</v>
      </c>
      <c r="H5524" s="1">
        <v>-2.857531E-6</v>
      </c>
      <c r="I5524">
        <v>-44.290799999999997</v>
      </c>
      <c r="J5524">
        <v>-300.4348</v>
      </c>
      <c r="K5524">
        <v>1.1075060000000001</v>
      </c>
      <c r="L5524">
        <v>-16.98096</v>
      </c>
      <c r="M5524">
        <v>-8.63258999999999E-2</v>
      </c>
      <c r="N5524">
        <v>0</v>
      </c>
      <c r="O5524">
        <v>-0.99617840000000002</v>
      </c>
      <c r="P5524">
        <v>-6.6141400000000003E-2</v>
      </c>
      <c r="Q5524">
        <v>9.9321370000000006E-2</v>
      </c>
      <c r="R5524">
        <v>-0.99285469999999998</v>
      </c>
      <c r="S5524">
        <v>-0.24575810000000001</v>
      </c>
      <c r="T5524">
        <v>-0.1211984</v>
      </c>
      <c r="U5524">
        <v>-3.0168460000000001</v>
      </c>
      <c r="V5524">
        <v>-1.9394290000000002E-2</v>
      </c>
      <c r="W5524">
        <v>0.1125898</v>
      </c>
      <c r="X5524">
        <v>0.99345229999999995</v>
      </c>
      <c r="Y5524">
        <v>-5.2233879999999998E-3</v>
      </c>
      <c r="Z5524">
        <v>3.985089E-2</v>
      </c>
      <c r="AA5524">
        <v>0.99919199999999997</v>
      </c>
      <c r="AB5524">
        <v>23</v>
      </c>
      <c r="AC5524">
        <v>-2.2207000000000199</v>
      </c>
      <c r="AD5524">
        <v>-1.1075088575309999</v>
      </c>
      <c r="AE5524">
        <v>-27.309840000000001</v>
      </c>
      <c r="AF5524">
        <v>-0.14510889034841101</v>
      </c>
      <c r="AG5524">
        <v>-1.1075088575309999</v>
      </c>
      <c r="AH5524">
        <v>27.354901933430401</v>
      </c>
      <c r="AI5524">
        <v>92.318416446638693</v>
      </c>
      <c r="AJ5524">
        <v>90.303932692684199</v>
      </c>
      <c r="AK5524">
        <v>27.377696985816002</v>
      </c>
      <c r="AL5524">
        <v>83.535372403534694</v>
      </c>
      <c r="AM5524">
        <v>91.118392730366907</v>
      </c>
      <c r="AN5524">
        <v>1.0000000369619599</v>
      </c>
    </row>
    <row r="5525" spans="1:40" x14ac:dyDescent="0.25">
      <c r="A5525" t="str">
        <f>"20190312164615780"</f>
        <v>20190312164615780</v>
      </c>
      <c r="B5525" t="str">
        <f>"1552380375777091"</f>
        <v>1552380375777091</v>
      </c>
      <c r="C5525" t="s">
        <v>40</v>
      </c>
      <c r="D5525">
        <v>5.5844199999999997</v>
      </c>
      <c r="E5525">
        <v>0.50721799999999995</v>
      </c>
      <c r="F5525" t="s">
        <v>52</v>
      </c>
      <c r="G5525">
        <v>-302.67059999999998</v>
      </c>
      <c r="H5525" s="1">
        <v>-3.2136570000000001E-6</v>
      </c>
      <c r="I5525">
        <v>-44.847760000000001</v>
      </c>
      <c r="J5525">
        <v>-300.46519999999998</v>
      </c>
      <c r="K5525">
        <v>1.1076269999999999</v>
      </c>
      <c r="L5525">
        <v>-17.285640000000001</v>
      </c>
      <c r="M5525">
        <v>-8.9472739999999995E-2</v>
      </c>
      <c r="N5525">
        <v>0</v>
      </c>
      <c r="O5525">
        <v>-0.99590100000000004</v>
      </c>
      <c r="P5525">
        <v>-6.5038789999999999E-2</v>
      </c>
      <c r="Q5525">
        <v>9.890359E-2</v>
      </c>
      <c r="R5525">
        <v>-0.99296960000000001</v>
      </c>
      <c r="S5525">
        <v>-0.2420959</v>
      </c>
      <c r="T5525">
        <v>-0.1199226</v>
      </c>
      <c r="U5525">
        <v>-3.0174560000000001</v>
      </c>
      <c r="V5525">
        <v>-2.3679490000000001E-2</v>
      </c>
      <c r="W5525">
        <v>0.1121733</v>
      </c>
      <c r="X5525">
        <v>0.99340649999999997</v>
      </c>
      <c r="Y5525">
        <v>-9.6023640000000004E-3</v>
      </c>
      <c r="Z5525">
        <v>3.9408930000000002E-2</v>
      </c>
      <c r="AA5525">
        <v>0.99917699999999998</v>
      </c>
      <c r="AB5525">
        <v>23</v>
      </c>
      <c r="AC5525">
        <v>-2.2053999999999898</v>
      </c>
      <c r="AD5525">
        <v>-1.107630213657</v>
      </c>
      <c r="AE5525">
        <v>-27.56212</v>
      </c>
      <c r="AF5525">
        <v>-0.26928991613497499</v>
      </c>
      <c r="AG5525">
        <v>-1.107630213657</v>
      </c>
      <c r="AH5525">
        <v>27.604599890963598</v>
      </c>
      <c r="AI5525">
        <v>92.297642301968096</v>
      </c>
      <c r="AJ5525">
        <v>90.558917220668505</v>
      </c>
      <c r="AK5525">
        <v>27.628125106299301</v>
      </c>
      <c r="AL5525">
        <v>83.559388128043196</v>
      </c>
      <c r="AM5525">
        <v>91.365481266976005</v>
      </c>
      <c r="AN5525">
        <v>1.0000000208608999</v>
      </c>
    </row>
    <row r="5526" spans="1:40" x14ac:dyDescent="0.25">
      <c r="A5526" t="str">
        <f>"20190312164615815"</f>
        <v>20190312164615815</v>
      </c>
      <c r="B5526" t="str">
        <f>"1552380375807346"</f>
        <v>1552380375807346</v>
      </c>
      <c r="C5526" t="s">
        <v>40</v>
      </c>
      <c r="D5526">
        <v>5.6399210000000002</v>
      </c>
      <c r="E5526">
        <v>0.50700339999999999</v>
      </c>
      <c r="F5526" t="s">
        <v>52</v>
      </c>
      <c r="G5526">
        <v>-302.6302</v>
      </c>
      <c r="H5526" s="1">
        <v>-3.130824E-6</v>
      </c>
      <c r="I5526">
        <v>-44.726300000000002</v>
      </c>
      <c r="J5526">
        <v>-300.50080000000003</v>
      </c>
      <c r="K5526">
        <v>1.1077699999999999</v>
      </c>
      <c r="L5526">
        <v>-17.63541</v>
      </c>
      <c r="M5526">
        <v>-9.279308E-2</v>
      </c>
      <c r="N5526">
        <v>0</v>
      </c>
      <c r="O5526">
        <v>-0.99559719999999996</v>
      </c>
      <c r="P5526">
        <v>-6.0436330000000003E-2</v>
      </c>
      <c r="Q5526">
        <v>9.8538749999999994E-2</v>
      </c>
      <c r="R5526">
        <v>-0.99329630000000002</v>
      </c>
      <c r="S5526">
        <v>-0.23809810000000001</v>
      </c>
      <c r="T5526">
        <v>-0.1218119</v>
      </c>
      <c r="U5526">
        <v>-3.017792</v>
      </c>
      <c r="V5526">
        <v>-3.1651720000000001E-2</v>
      </c>
      <c r="W5526">
        <v>0.1118137</v>
      </c>
      <c r="X5526">
        <v>0.99322500000000002</v>
      </c>
      <c r="Y5526">
        <v>-1.426268E-2</v>
      </c>
      <c r="Z5526">
        <v>4.0006989999999999E-2</v>
      </c>
      <c r="AA5526">
        <v>0.99909760000000003</v>
      </c>
      <c r="AB5526">
        <v>23</v>
      </c>
      <c r="AC5526">
        <v>-2.1293999999999702</v>
      </c>
      <c r="AD5526">
        <v>-1.107773130824</v>
      </c>
      <c r="AE5526">
        <v>-27.090890000000002</v>
      </c>
      <c r="AF5526">
        <v>-0.39320361138861798</v>
      </c>
      <c r="AG5526">
        <v>-1.107773130824</v>
      </c>
      <c r="AH5526">
        <v>27.126515405330601</v>
      </c>
      <c r="AI5526">
        <v>92.338259100731605</v>
      </c>
      <c r="AJ5526">
        <v>90.830454241307393</v>
      </c>
      <c r="AK5526">
        <v>27.151972459197601</v>
      </c>
      <c r="AL5526">
        <v>83.5801221088783</v>
      </c>
      <c r="AM5526">
        <v>91.825262597651601</v>
      </c>
      <c r="AN5526">
        <v>1.0000000177558199</v>
      </c>
    </row>
    <row r="5527" spans="1:40" x14ac:dyDescent="0.25">
      <c r="A5527" t="str">
        <f>"20190312164615837"</f>
        <v>20190312164615837</v>
      </c>
      <c r="B5527" t="str">
        <f>"1552380375826867"</f>
        <v>1552380375826867</v>
      </c>
      <c r="C5527" t="s">
        <v>40</v>
      </c>
      <c r="D5527">
        <v>5.7007580000000004</v>
      </c>
      <c r="E5527">
        <v>0.506884</v>
      </c>
      <c r="F5527" t="s">
        <v>52</v>
      </c>
      <c r="G5527">
        <v>-302.48950000000002</v>
      </c>
      <c r="H5527" s="1">
        <v>-3.0625089999999999E-6</v>
      </c>
      <c r="I5527">
        <v>-44.649639999999998</v>
      </c>
      <c r="J5527">
        <v>-300.52550000000002</v>
      </c>
      <c r="K5527">
        <v>1.1078870000000001</v>
      </c>
      <c r="L5527">
        <v>-17.8735</v>
      </c>
      <c r="M5527">
        <v>-9.4808229999999993E-2</v>
      </c>
      <c r="N5527">
        <v>0</v>
      </c>
      <c r="O5527">
        <v>-0.9954075</v>
      </c>
      <c r="P5527">
        <v>-5.8899060000000003E-2</v>
      </c>
      <c r="Q5527">
        <v>0.1004472</v>
      </c>
      <c r="R5527">
        <v>-0.99319740000000001</v>
      </c>
      <c r="S5527">
        <v>-0.2222595</v>
      </c>
      <c r="T5527">
        <v>-0.1238008</v>
      </c>
      <c r="U5527">
        <v>-3.019012</v>
      </c>
      <c r="V5527">
        <v>-3.5212500000000001E-2</v>
      </c>
      <c r="W5527">
        <v>0.1137122</v>
      </c>
      <c r="X5527">
        <v>0.99288949999999998</v>
      </c>
      <c r="Y5527">
        <v>-2.1531089999999999E-2</v>
      </c>
      <c r="Z5527">
        <v>4.0636539999999999E-2</v>
      </c>
      <c r="AA5527">
        <v>0.998942</v>
      </c>
      <c r="AB5527">
        <v>23</v>
      </c>
      <c r="AC5527">
        <v>-1.96399999999999</v>
      </c>
      <c r="AD5527">
        <v>-1.107890062509</v>
      </c>
      <c r="AE5527">
        <v>-26.776140000000002</v>
      </c>
      <c r="AF5527">
        <v>-0.58267708245963101</v>
      </c>
      <c r="AG5527">
        <v>-1.107890062509</v>
      </c>
      <c r="AH5527">
        <v>26.7960980729444</v>
      </c>
      <c r="AI5527">
        <v>92.366998183063302</v>
      </c>
      <c r="AJ5527">
        <v>91.245691710474503</v>
      </c>
      <c r="AK5527">
        <v>26.8253202200437</v>
      </c>
      <c r="AL5527">
        <v>83.470647519592006</v>
      </c>
      <c r="AM5527">
        <v>92.031124742620804</v>
      </c>
      <c r="AN5527">
        <v>0.99999997189766898</v>
      </c>
    </row>
    <row r="5528" spans="1:40" x14ac:dyDescent="0.25">
      <c r="A5528" t="str">
        <f>"20190312164615860"</f>
        <v>20190312164615860</v>
      </c>
      <c r="B5528" t="str">
        <f>"1552380375857124"</f>
        <v>1552380375857124</v>
      </c>
      <c r="C5528" t="s">
        <v>40</v>
      </c>
      <c r="D5528">
        <v>5.7042260000000002</v>
      </c>
      <c r="E5528">
        <v>0.50672729999999999</v>
      </c>
      <c r="F5528" t="s">
        <v>52</v>
      </c>
      <c r="G5528">
        <v>-302.55029999999999</v>
      </c>
      <c r="H5528" s="1">
        <v>-3.789219E-6</v>
      </c>
      <c r="I5528">
        <v>-46.10868</v>
      </c>
      <c r="J5528">
        <v>-300.54899999999998</v>
      </c>
      <c r="K5528">
        <v>1.1080110000000001</v>
      </c>
      <c r="L5528">
        <v>-18.098510000000001</v>
      </c>
      <c r="M5528">
        <v>-9.6529509999999999E-2</v>
      </c>
      <c r="N5528">
        <v>0</v>
      </c>
      <c r="O5528">
        <v>-0.99524210000000002</v>
      </c>
      <c r="P5528">
        <v>-5.700533E-2</v>
      </c>
      <c r="Q5528">
        <v>0.1015875</v>
      </c>
      <c r="R5528">
        <v>-0.99319210000000002</v>
      </c>
      <c r="S5528">
        <v>-0.21655269999999999</v>
      </c>
      <c r="T5528">
        <v>-0.1184863</v>
      </c>
      <c r="U5528">
        <v>-3.0196839999999998</v>
      </c>
      <c r="V5528">
        <v>-3.8846079999999998E-2</v>
      </c>
      <c r="W5528">
        <v>0.1148425</v>
      </c>
      <c r="X5528">
        <v>0.9926239</v>
      </c>
      <c r="Y5528">
        <v>-2.5149089999999999E-2</v>
      </c>
      <c r="Z5528">
        <v>3.8877509999999997E-2</v>
      </c>
      <c r="AA5528">
        <v>0.99892749999999997</v>
      </c>
      <c r="AB5528">
        <v>23</v>
      </c>
      <c r="AC5528">
        <v>-2.0012999999999499</v>
      </c>
      <c r="AD5528">
        <v>-1.108014789219</v>
      </c>
      <c r="AE5528">
        <v>-28.010169999999999</v>
      </c>
      <c r="AF5528">
        <v>-0.71098545677201797</v>
      </c>
      <c r="AG5528">
        <v>-1.108014789219</v>
      </c>
      <c r="AH5528">
        <v>28.028907460180701</v>
      </c>
      <c r="AI5528">
        <v>92.263061810618296</v>
      </c>
      <c r="AJ5528">
        <v>91.453061708506098</v>
      </c>
      <c r="AK5528">
        <v>28.059808454518102</v>
      </c>
      <c r="AL5528">
        <v>83.405459304874498</v>
      </c>
      <c r="AM5528">
        <v>92.241111894023405</v>
      </c>
      <c r="AN5528">
        <v>1.0000000122944099</v>
      </c>
    </row>
    <row r="5529" spans="1:40" x14ac:dyDescent="0.25">
      <c r="A5529" t="str">
        <f>"20190312164615882"</f>
        <v>20190312164615882</v>
      </c>
      <c r="B5529" t="str">
        <f>"1552380375876644"</f>
        <v>1552380375876644</v>
      </c>
      <c r="C5529" t="s">
        <v>40</v>
      </c>
      <c r="D5529">
        <v>5.7576429999999998</v>
      </c>
      <c r="E5529">
        <v>0.50663879999999994</v>
      </c>
      <c r="F5529" t="s">
        <v>52</v>
      </c>
      <c r="G5529">
        <v>-302.56240000000003</v>
      </c>
      <c r="H5529" s="1">
        <v>-4.1738840000000004E-6</v>
      </c>
      <c r="I5529">
        <v>-47.044289999999997</v>
      </c>
      <c r="J5529">
        <v>-300.57279999999997</v>
      </c>
      <c r="K5529">
        <v>1.108141</v>
      </c>
      <c r="L5529">
        <v>-18.323239999999998</v>
      </c>
      <c r="M5529">
        <v>-9.803655E-2</v>
      </c>
      <c r="N5529">
        <v>0</v>
      </c>
      <c r="O5529">
        <v>-0.99509499999999995</v>
      </c>
      <c r="P5529">
        <v>-5.504817E-2</v>
      </c>
      <c r="Q5529">
        <v>0.1028096</v>
      </c>
      <c r="R5529">
        <v>-0.99317679999999997</v>
      </c>
      <c r="S5529">
        <v>-0.21008299999999999</v>
      </c>
      <c r="T5529">
        <v>-0.115615</v>
      </c>
      <c r="U5529">
        <v>-3.0203250000000001</v>
      </c>
      <c r="V5529">
        <v>-4.2332950000000001E-2</v>
      </c>
      <c r="W5529">
        <v>0.11604979999999999</v>
      </c>
      <c r="X5529">
        <v>0.99234089999999997</v>
      </c>
      <c r="Y5529">
        <v>-2.880448E-2</v>
      </c>
      <c r="Z5529">
        <v>3.7921290000000003E-2</v>
      </c>
      <c r="AA5529">
        <v>0.99886549999999996</v>
      </c>
      <c r="AB5529">
        <v>23</v>
      </c>
      <c r="AC5529">
        <v>-1.98960000000005</v>
      </c>
      <c r="AD5529">
        <v>-1.108145173884</v>
      </c>
      <c r="AE5529">
        <v>-28.721050000000002</v>
      </c>
      <c r="AF5529">
        <v>-0.83470804308038105</v>
      </c>
      <c r="AG5529">
        <v>-1.108145173884</v>
      </c>
      <c r="AH5529">
        <v>28.7351693828919</v>
      </c>
      <c r="AI5529">
        <v>92.207534020496297</v>
      </c>
      <c r="AJ5529">
        <v>91.663877544918904</v>
      </c>
      <c r="AK5529">
        <v>28.768640612776199</v>
      </c>
      <c r="AL5529">
        <v>83.335820724310494</v>
      </c>
      <c r="AM5529">
        <v>92.4427388073331</v>
      </c>
      <c r="AN5529">
        <v>1.0000000482742699</v>
      </c>
    </row>
    <row r="5530" spans="1:40" x14ac:dyDescent="0.25">
      <c r="A5530" t="str">
        <f>"20190312164615905"</f>
        <v>20190312164615905</v>
      </c>
      <c r="B5530" t="str">
        <f>"1552380375897139"</f>
        <v>1552380375897139</v>
      </c>
      <c r="C5530" t="s">
        <v>40</v>
      </c>
      <c r="D5530">
        <v>5.7062030000000004</v>
      </c>
      <c r="E5530">
        <v>0.5065617</v>
      </c>
      <c r="F5530" t="s">
        <v>52</v>
      </c>
      <c r="G5530">
        <v>-302.58760000000001</v>
      </c>
      <c r="H5530" s="1">
        <v>-4.7159939999999997E-6</v>
      </c>
      <c r="I5530">
        <v>-48.105350000000001</v>
      </c>
      <c r="J5530">
        <v>-300.59829999999999</v>
      </c>
      <c r="K5530">
        <v>1.108322</v>
      </c>
      <c r="L5530">
        <v>-18.56427</v>
      </c>
      <c r="M5530">
        <v>-9.9395010000000006E-2</v>
      </c>
      <c r="N5530">
        <v>0</v>
      </c>
      <c r="O5530">
        <v>-0.99496019999999996</v>
      </c>
      <c r="P5530">
        <v>-5.3448509999999998E-2</v>
      </c>
      <c r="Q5530">
        <v>0.10433779999999999</v>
      </c>
      <c r="R5530">
        <v>-0.99310480000000001</v>
      </c>
      <c r="S5530">
        <v>-0.20437620000000001</v>
      </c>
      <c r="T5530">
        <v>-0.11240319999999999</v>
      </c>
      <c r="U5530">
        <v>-3.020905</v>
      </c>
      <c r="V5530">
        <v>-4.5318990000000003E-2</v>
      </c>
      <c r="W5530">
        <v>0.1175553</v>
      </c>
      <c r="X5530">
        <v>0.99203180000000002</v>
      </c>
      <c r="Y5530">
        <v>-3.205769E-2</v>
      </c>
      <c r="Z5530">
        <v>3.6855270000000002E-2</v>
      </c>
      <c r="AA5530">
        <v>0.99880630000000004</v>
      </c>
      <c r="AB5530">
        <v>23</v>
      </c>
      <c r="AC5530">
        <v>-1.9893000000000101</v>
      </c>
      <c r="AD5530">
        <v>-1.108326715994</v>
      </c>
      <c r="AE5530">
        <v>-29.541079999999901</v>
      </c>
      <c r="AF5530">
        <v>-0.95570609081658797</v>
      </c>
      <c r="AG5530">
        <v>-1.108326715994</v>
      </c>
      <c r="AH5530">
        <v>29.551103633172001</v>
      </c>
      <c r="AI5530">
        <v>92.146774510300403</v>
      </c>
      <c r="AJ5530">
        <v>91.852345251885495</v>
      </c>
      <c r="AK5530">
        <v>29.5873197194319</v>
      </c>
      <c r="AL5530">
        <v>83.248967613391599</v>
      </c>
      <c r="AM5530">
        <v>92.615624633362003</v>
      </c>
      <c r="AN5530">
        <v>1.00000007581197</v>
      </c>
    </row>
    <row r="5531" spans="1:40" x14ac:dyDescent="0.25">
      <c r="A5531" t="str">
        <f>"20190312164615928"</f>
        <v>20190312164615928</v>
      </c>
      <c r="B5531" t="str">
        <f>"1552380375916659"</f>
        <v>1552380375916659</v>
      </c>
      <c r="C5531" t="s">
        <v>40</v>
      </c>
      <c r="D5531">
        <v>5.7103859999999997</v>
      </c>
      <c r="E5531">
        <v>0.50641659999999999</v>
      </c>
      <c r="F5531" t="s">
        <v>52</v>
      </c>
      <c r="G5531">
        <v>-302.64280000000002</v>
      </c>
      <c r="H5531" s="1">
        <v>-5.4787809999999996E-6</v>
      </c>
      <c r="I5531">
        <v>-49.5961</v>
      </c>
      <c r="J5531">
        <v>-300.62200000000001</v>
      </c>
      <c r="K5531">
        <v>1.1085020000000001</v>
      </c>
      <c r="L5531">
        <v>-18.787870000000002</v>
      </c>
      <c r="M5531">
        <v>-0.1003971</v>
      </c>
      <c r="N5531">
        <v>0</v>
      </c>
      <c r="O5531">
        <v>-0.99485979999999996</v>
      </c>
      <c r="P5531">
        <v>-5.1375079999999997E-2</v>
      </c>
      <c r="Q5531">
        <v>0.1059163</v>
      </c>
      <c r="R5531">
        <v>-0.99304729999999997</v>
      </c>
      <c r="S5531">
        <v>-0.1990662</v>
      </c>
      <c r="T5531">
        <v>-0.1079137</v>
      </c>
      <c r="U5531">
        <v>-3.0214539999999999</v>
      </c>
      <c r="V5531">
        <v>-4.8424679999999998E-2</v>
      </c>
      <c r="W5531">
        <v>0.1191093</v>
      </c>
      <c r="X5531">
        <v>0.99169960000000001</v>
      </c>
      <c r="Y5531">
        <v>-3.4820520000000001E-2</v>
      </c>
      <c r="Z5531">
        <v>3.5373790000000002E-2</v>
      </c>
      <c r="AA5531">
        <v>0.99876739999999997</v>
      </c>
      <c r="AB5531">
        <v>23</v>
      </c>
      <c r="AC5531">
        <v>-2.0207999999999999</v>
      </c>
      <c r="AD5531">
        <v>-1.1085074787809901</v>
      </c>
      <c r="AE5531">
        <v>-30.808229999999998</v>
      </c>
      <c r="AF5531">
        <v>-1.0813447456891401</v>
      </c>
      <c r="AG5531">
        <v>-1.1085074787809901</v>
      </c>
      <c r="AH5531">
        <v>30.815718847900801</v>
      </c>
      <c r="AI5531">
        <v>92.058897592467801</v>
      </c>
      <c r="AJ5531">
        <v>92.009723642409497</v>
      </c>
      <c r="AK5531">
        <v>30.854604573749</v>
      </c>
      <c r="AL5531">
        <v>83.159299694192299</v>
      </c>
      <c r="AM5531">
        <v>92.795531803377401</v>
      </c>
      <c r="AN5531">
        <v>1.00000003580987</v>
      </c>
    </row>
    <row r="5532" spans="1:40" x14ac:dyDescent="0.25">
      <c r="A5532" t="str">
        <f>"20190312164615951"</f>
        <v>20190312164615951</v>
      </c>
      <c r="B5532" t="str">
        <f>"1552380375946914"</f>
        <v>1552380375946914</v>
      </c>
      <c r="C5532" t="s">
        <v>40</v>
      </c>
      <c r="D5532">
        <v>5.6394630000000001</v>
      </c>
      <c r="E5532">
        <v>0.50632279999999996</v>
      </c>
      <c r="F5532" t="s">
        <v>52</v>
      </c>
      <c r="G5532">
        <v>-302.678</v>
      </c>
      <c r="H5532" s="1">
        <v>-6.174557E-6</v>
      </c>
      <c r="I5532">
        <v>-51.101649999999999</v>
      </c>
      <c r="J5532">
        <v>-300.6463</v>
      </c>
      <c r="K5532">
        <v>1.108703</v>
      </c>
      <c r="L5532">
        <v>-19.018460000000001</v>
      </c>
      <c r="M5532">
        <v>-0.10114339999999999</v>
      </c>
      <c r="N5532">
        <v>0</v>
      </c>
      <c r="O5532">
        <v>-0.99478409999999995</v>
      </c>
      <c r="P5532">
        <v>-4.9572779999999997E-2</v>
      </c>
      <c r="Q5532">
        <v>0.10694720000000001</v>
      </c>
      <c r="R5532">
        <v>-0.99302820000000003</v>
      </c>
      <c r="S5532">
        <v>-0.1922913</v>
      </c>
      <c r="T5532">
        <v>-0.1036725</v>
      </c>
      <c r="U5532">
        <v>-3.022125</v>
      </c>
      <c r="V5532">
        <v>-5.1014410000000003E-2</v>
      </c>
      <c r="W5532">
        <v>0.12011189999999999</v>
      </c>
      <c r="X5532">
        <v>0.99144880000000002</v>
      </c>
      <c r="Y5532">
        <v>-3.781122E-2</v>
      </c>
      <c r="Z5532">
        <v>3.3974360000000002E-2</v>
      </c>
      <c r="AA5532">
        <v>0.99870720000000002</v>
      </c>
      <c r="AB5532">
        <v>23</v>
      </c>
      <c r="AC5532">
        <v>-2.0316999999999998</v>
      </c>
      <c r="AD5532">
        <v>-1.1087091745569999</v>
      </c>
      <c r="AE5532">
        <v>-32.083190000000002</v>
      </c>
      <c r="AF5532">
        <v>-1.2225527766111299</v>
      </c>
      <c r="AG5532">
        <v>-1.1087091745569999</v>
      </c>
      <c r="AH5532">
        <v>32.085980699736901</v>
      </c>
      <c r="AI5532">
        <v>91.977595303432693</v>
      </c>
      <c r="AJ5532">
        <v>92.182050987374396</v>
      </c>
      <c r="AK5532">
        <v>32.128399100939298</v>
      </c>
      <c r="AL5532">
        <v>83.101439525652793</v>
      </c>
      <c r="AM5532">
        <v>92.945522708086997</v>
      </c>
      <c r="AN5532">
        <v>1.0000000307853401</v>
      </c>
    </row>
    <row r="5533" spans="1:40" x14ac:dyDescent="0.25">
      <c r="A5533" t="str">
        <f>"20190312164615977"</f>
        <v>20190312164615977</v>
      </c>
      <c r="B5533" t="str">
        <f>"1552380375967411"</f>
        <v>1552380375967411</v>
      </c>
      <c r="C5533" t="s">
        <v>40</v>
      </c>
      <c r="D5533">
        <v>5.6971980000000002</v>
      </c>
      <c r="E5533">
        <v>0.50625629999999999</v>
      </c>
      <c r="F5533" t="s">
        <v>52</v>
      </c>
      <c r="G5533">
        <v>-302.69839999999999</v>
      </c>
      <c r="H5533" s="1">
        <v>-6.6677999999999999E-6</v>
      </c>
      <c r="I5533">
        <v>-52.309759999999997</v>
      </c>
      <c r="J5533">
        <v>-300.67360000000002</v>
      </c>
      <c r="K5533">
        <v>1.1089070000000001</v>
      </c>
      <c r="L5533">
        <v>-19.278379999999999</v>
      </c>
      <c r="M5533">
        <v>-0.1016431</v>
      </c>
      <c r="N5533">
        <v>0</v>
      </c>
      <c r="O5533">
        <v>-0.99473319999999998</v>
      </c>
      <c r="P5533">
        <v>-4.7629280000000003E-2</v>
      </c>
      <c r="Q5533">
        <v>0.1081564</v>
      </c>
      <c r="R5533">
        <v>-0.9929926</v>
      </c>
      <c r="S5533">
        <v>-0.1863098</v>
      </c>
      <c r="T5533">
        <v>-0.1006629</v>
      </c>
      <c r="U5533">
        <v>-3.0226139999999999</v>
      </c>
      <c r="V5533">
        <v>-5.3501760000000002E-2</v>
      </c>
      <c r="W5533">
        <v>0.1212877</v>
      </c>
      <c r="X5533">
        <v>0.99117449999999996</v>
      </c>
      <c r="Y5533">
        <v>-4.0289859999999997E-2</v>
      </c>
      <c r="Z5533">
        <v>3.2981780000000002E-2</v>
      </c>
      <c r="AA5533">
        <v>0.99864350000000002</v>
      </c>
      <c r="AB5533">
        <v>23</v>
      </c>
      <c r="AC5533">
        <v>-2.02479999999996</v>
      </c>
      <c r="AD5533">
        <v>-1.10891366779999</v>
      </c>
      <c r="AE5533">
        <v>-33.031379999999999</v>
      </c>
      <c r="AF5533">
        <v>-1.34188661316366</v>
      </c>
      <c r="AG5533">
        <v>-1.10891366779999</v>
      </c>
      <c r="AH5533">
        <v>33.029017197200901</v>
      </c>
      <c r="AI5533">
        <v>91.9213379426334</v>
      </c>
      <c r="AJ5533">
        <v>92.326505182782597</v>
      </c>
      <c r="AK5533">
        <v>33.074859428548102</v>
      </c>
      <c r="AL5533">
        <v>83.033574895461001</v>
      </c>
      <c r="AM5533">
        <v>93.089721392810105</v>
      </c>
      <c r="AN5533">
        <v>1.00000001697231</v>
      </c>
    </row>
    <row r="5534" spans="1:40" x14ac:dyDescent="0.25">
      <c r="A5534" t="str">
        <f>"20190312164616003"</f>
        <v>20190312164616003</v>
      </c>
      <c r="B5534" t="str">
        <f>"1552380375996691"</f>
        <v>1552380375996691</v>
      </c>
      <c r="C5534" t="s">
        <v>40</v>
      </c>
      <c r="D5534">
        <v>5.6037140000000001</v>
      </c>
      <c r="E5534">
        <v>0.47894599999999998</v>
      </c>
      <c r="F5534" t="s">
        <v>52</v>
      </c>
      <c r="G5534">
        <v>-302.73450000000003</v>
      </c>
      <c r="H5534" s="1">
        <v>-7.2719889999999999E-6</v>
      </c>
      <c r="I5534">
        <v>-53.787999999999997</v>
      </c>
      <c r="J5534">
        <v>-300.70150000000001</v>
      </c>
      <c r="K5534">
        <v>1.1090799999999901</v>
      </c>
      <c r="L5534">
        <v>-19.546479999999999</v>
      </c>
      <c r="M5534">
        <v>-0.10187019999999999</v>
      </c>
      <c r="N5534">
        <v>0</v>
      </c>
      <c r="O5534">
        <v>-0.99471030000000005</v>
      </c>
      <c r="P5534">
        <v>-4.577929E-2</v>
      </c>
      <c r="Q5534">
        <v>0.1094832</v>
      </c>
      <c r="R5534">
        <v>-0.99293410000000004</v>
      </c>
      <c r="S5534">
        <v>-0.18054200000000001</v>
      </c>
      <c r="T5534">
        <v>-9.7142820000000005E-2</v>
      </c>
      <c r="U5534">
        <v>-3.0231020000000002</v>
      </c>
      <c r="V5534">
        <v>-5.5613879999999997E-2</v>
      </c>
      <c r="W5534">
        <v>0.1225841</v>
      </c>
      <c r="X5534">
        <v>0.99089870000000002</v>
      </c>
      <c r="Y5534">
        <v>-4.2423799999999998E-2</v>
      </c>
      <c r="Z5534">
        <v>3.1823789999999998E-2</v>
      </c>
      <c r="AA5534">
        <v>0.9985927</v>
      </c>
      <c r="AB5534">
        <v>23</v>
      </c>
      <c r="AC5534">
        <v>-2.0330000000000101</v>
      </c>
      <c r="AD5534">
        <v>-1.1090872719889999</v>
      </c>
      <c r="AE5534">
        <v>-34.241520000000001</v>
      </c>
      <c r="AF5534">
        <v>-1.46454083505744</v>
      </c>
      <c r="AG5534">
        <v>-1.1090872719889999</v>
      </c>
      <c r="AH5534">
        <v>34.234684231324799</v>
      </c>
      <c r="AI5534">
        <v>91.853844929178607</v>
      </c>
      <c r="AJ5534">
        <v>92.449588135507398</v>
      </c>
      <c r="AK5534">
        <v>34.283940246899299</v>
      </c>
      <c r="AL5534">
        <v>82.958738085545093</v>
      </c>
      <c r="AM5534">
        <v>93.212337621977497</v>
      </c>
      <c r="AN5534">
        <v>0.99999999944157703</v>
      </c>
    </row>
    <row r="5535" spans="1:40" x14ac:dyDescent="0.25">
      <c r="A5535" t="str">
        <f>"20190312164616024"</f>
        <v>20190312164616024</v>
      </c>
      <c r="B5535" t="str">
        <f>"1552380376017187"</f>
        <v>1552380376017187</v>
      </c>
      <c r="C5535" t="s">
        <v>40</v>
      </c>
      <c r="D5535">
        <v>5.6906160000000003</v>
      </c>
      <c r="E5535">
        <v>0.47765829999999998</v>
      </c>
      <c r="F5535" t="s">
        <v>52</v>
      </c>
      <c r="G5535">
        <v>-300.2611</v>
      </c>
      <c r="H5535" s="1">
        <v>-5.8165070000000001E-6</v>
      </c>
      <c r="I5535">
        <v>-50.567</v>
      </c>
      <c r="J5535">
        <v>-300.72359999999998</v>
      </c>
      <c r="K5535">
        <v>1.109181</v>
      </c>
      <c r="L5535">
        <v>-19.761659999999999</v>
      </c>
      <c r="M5535">
        <v>-0.10185569999999999</v>
      </c>
      <c r="N5535">
        <v>0</v>
      </c>
      <c r="O5535">
        <v>-0.99471189999999998</v>
      </c>
      <c r="P5535">
        <v>-4.2955409999999999E-2</v>
      </c>
      <c r="Q5535">
        <v>0.1101114</v>
      </c>
      <c r="R5535">
        <v>-0.99299099999999996</v>
      </c>
      <c r="S5535">
        <v>4.3090820000000002E-2</v>
      </c>
      <c r="T5535">
        <v>-0.1085223</v>
      </c>
      <c r="U5535">
        <v>-3.0353089999999998</v>
      </c>
      <c r="V5535">
        <v>-5.8446100000000001E-2</v>
      </c>
      <c r="W5535">
        <v>0.1231898</v>
      </c>
      <c r="X5535">
        <v>0.99066050000000005</v>
      </c>
      <c r="Y5535">
        <v>-0.1159664</v>
      </c>
      <c r="Z5535">
        <v>3.5329350000000002E-2</v>
      </c>
      <c r="AA5535">
        <v>0.99262459999999997</v>
      </c>
      <c r="AB5535">
        <v>23</v>
      </c>
      <c r="AC5535">
        <v>0.46249999999997699</v>
      </c>
      <c r="AD5535">
        <v>-1.109186816507</v>
      </c>
      <c r="AE5535">
        <v>-30.805340000000001</v>
      </c>
      <c r="AF5535">
        <v>-3.5934085012392898</v>
      </c>
      <c r="AG5535">
        <v>-1.109186816507</v>
      </c>
      <c r="AH5535">
        <v>30.558378213763302</v>
      </c>
      <c r="AI5535">
        <v>92.064557180208396</v>
      </c>
      <c r="AJ5535">
        <v>96.706702451032797</v>
      </c>
      <c r="AK5535">
        <v>30.788916172968801</v>
      </c>
      <c r="AL5535">
        <v>82.923768636434502</v>
      </c>
      <c r="AM5535">
        <v>93.376371328869595</v>
      </c>
      <c r="AN5535">
        <v>0.99999994984474805</v>
      </c>
    </row>
    <row r="5536" spans="1:40" x14ac:dyDescent="0.25">
      <c r="A5536" t="str">
        <f>"20190312164616062"</f>
        <v>20190312164616062</v>
      </c>
      <c r="B5536" t="str">
        <f>"1552380376057203"</f>
        <v>1552380376057203</v>
      </c>
      <c r="C5536" t="s">
        <v>40</v>
      </c>
      <c r="D5536">
        <v>5.6445119999999998</v>
      </c>
      <c r="E5536">
        <v>0.47751130000000003</v>
      </c>
      <c r="F5536" t="s">
        <v>52</v>
      </c>
      <c r="G5536">
        <v>-299.98579999999998</v>
      </c>
      <c r="H5536" s="1">
        <v>-8.3495289999999996E-6</v>
      </c>
      <c r="I5536">
        <v>-56.82526</v>
      </c>
      <c r="J5536">
        <v>-300.76010000000002</v>
      </c>
      <c r="K5536">
        <v>1.109318</v>
      </c>
      <c r="L5536">
        <v>-20.119509999999998</v>
      </c>
      <c r="M5536">
        <v>-0.1014955</v>
      </c>
      <c r="N5536">
        <v>0</v>
      </c>
      <c r="O5536">
        <v>-0.99474830000000003</v>
      </c>
      <c r="P5536">
        <v>-3.7350260000000003E-2</v>
      </c>
      <c r="Q5536">
        <v>0.110245</v>
      </c>
      <c r="R5536">
        <v>-0.99320240000000004</v>
      </c>
      <c r="S5536">
        <v>6.0394290000000003E-2</v>
      </c>
      <c r="T5536">
        <v>-9.0792780000000003E-2</v>
      </c>
      <c r="U5536">
        <v>-3.0338440000000002</v>
      </c>
      <c r="V5536">
        <v>-6.3727580000000006E-2</v>
      </c>
      <c r="W5536">
        <v>0.123291</v>
      </c>
      <c r="X5536">
        <v>0.99032220000000004</v>
      </c>
      <c r="Y5536">
        <v>-0.12127540000000001</v>
      </c>
      <c r="Z5536">
        <v>2.9568130000000001E-2</v>
      </c>
      <c r="AA5536">
        <v>0.99217840000000002</v>
      </c>
      <c r="AB5536">
        <v>23</v>
      </c>
      <c r="AC5536">
        <v>0.77430000000003896</v>
      </c>
      <c r="AD5536">
        <v>-1.109326349529</v>
      </c>
      <c r="AE5536">
        <v>-36.705750000000002</v>
      </c>
      <c r="AF5536">
        <v>-4.49199325922425</v>
      </c>
      <c r="AG5536">
        <v>-1.109326349529</v>
      </c>
      <c r="AH5536">
        <v>36.404337332736901</v>
      </c>
      <c r="AI5536">
        <v>91.732268525188204</v>
      </c>
      <c r="AJ5536">
        <v>97.0342676251977</v>
      </c>
      <c r="AK5536">
        <v>36.697198599162597</v>
      </c>
      <c r="AL5536">
        <v>82.917925887603204</v>
      </c>
      <c r="AM5536">
        <v>93.681926808143302</v>
      </c>
      <c r="AN5536">
        <v>0.99999996747324704</v>
      </c>
    </row>
    <row r="5537" spans="1:40" x14ac:dyDescent="0.25">
      <c r="A5537" t="str">
        <f>"20190312164616084"</f>
        <v>20190312164616084</v>
      </c>
      <c r="B5537" t="str">
        <f>"1552380376076723"</f>
        <v>1552380376076723</v>
      </c>
      <c r="C5537" t="s">
        <v>40</v>
      </c>
      <c r="D5537">
        <v>5.7448560000000004</v>
      </c>
      <c r="E5537">
        <v>0.47749629999999998</v>
      </c>
      <c r="F5537" t="s">
        <v>52</v>
      </c>
      <c r="G5537">
        <v>-299.84780000000001</v>
      </c>
      <c r="H5537" s="1">
        <v>-6.6800569999999997E-6</v>
      </c>
      <c r="I5537">
        <v>-56.122259999999997</v>
      </c>
      <c r="J5537">
        <v>-300.78559999999999</v>
      </c>
      <c r="K5537">
        <v>1.10941</v>
      </c>
      <c r="L5537">
        <v>-20.372990000000001</v>
      </c>
      <c r="M5537">
        <v>-0.1010798</v>
      </c>
      <c r="N5537">
        <v>0</v>
      </c>
      <c r="O5537">
        <v>-0.99479099999999998</v>
      </c>
      <c r="P5537">
        <v>-3.393554E-2</v>
      </c>
      <c r="Q5537">
        <v>0.11102960000000001</v>
      </c>
      <c r="R5537">
        <v>-0.9932377</v>
      </c>
      <c r="S5537">
        <v>7.6873780000000003E-2</v>
      </c>
      <c r="T5537">
        <v>-9.3478560000000002E-2</v>
      </c>
      <c r="U5537">
        <v>-3.0338129999999999</v>
      </c>
      <c r="V5537">
        <v>-6.6739339999999994E-2</v>
      </c>
      <c r="W5537">
        <v>0.12405239999999999</v>
      </c>
      <c r="X5537">
        <v>0.99002869999999998</v>
      </c>
      <c r="Y5537">
        <v>-0.1262453</v>
      </c>
      <c r="Z5537">
        <v>3.0432819999999999E-2</v>
      </c>
      <c r="AA5537">
        <v>0.99153210000000003</v>
      </c>
      <c r="AB5537">
        <v>23</v>
      </c>
      <c r="AC5537">
        <v>0.93779999999998098</v>
      </c>
      <c r="AD5537">
        <v>-1.109416680057</v>
      </c>
      <c r="AE5537">
        <v>-35.749270000000003</v>
      </c>
      <c r="AF5537">
        <v>-4.5424673862234703</v>
      </c>
      <c r="AG5537">
        <v>-1.109416680057</v>
      </c>
      <c r="AH5537">
        <v>35.437236104275001</v>
      </c>
      <c r="AI5537">
        <v>91.778602911585693</v>
      </c>
      <c r="AJ5537">
        <v>97.304537869884598</v>
      </c>
      <c r="AK5537">
        <v>35.7444054088892</v>
      </c>
      <c r="AL5537">
        <v>82.873963491725704</v>
      </c>
      <c r="AM5537">
        <v>93.856560870592304</v>
      </c>
      <c r="AN5537">
        <v>0.99999998213654195</v>
      </c>
    </row>
    <row r="5538" spans="1:40" x14ac:dyDescent="0.25">
      <c r="A5538" t="str">
        <f>"20190312164616107"</f>
        <v>20190312164616107</v>
      </c>
      <c r="B5538" t="str">
        <f>"1552380376097219"</f>
        <v>1552380376097219</v>
      </c>
      <c r="C5538" t="s">
        <v>40</v>
      </c>
      <c r="D5538">
        <v>5.7374320000000001</v>
      </c>
      <c r="E5538">
        <v>0.477275</v>
      </c>
      <c r="F5538" t="s">
        <v>52</v>
      </c>
      <c r="G5538">
        <v>-299.77319999999997</v>
      </c>
      <c r="H5538" s="1">
        <v>-6.78123E-6</v>
      </c>
      <c r="I5538">
        <v>-55.455599999999997</v>
      </c>
      <c r="J5538">
        <v>-300.8082</v>
      </c>
      <c r="K5538">
        <v>1.109475</v>
      </c>
      <c r="L5538">
        <v>-20.60022</v>
      </c>
      <c r="M5538">
        <v>-0.1006404</v>
      </c>
      <c r="N5538">
        <v>0</v>
      </c>
      <c r="O5538">
        <v>-0.99483569999999999</v>
      </c>
      <c r="P5538">
        <v>-3.0077710000000001E-2</v>
      </c>
      <c r="Q5538">
        <v>0.111545699999999</v>
      </c>
      <c r="R5538">
        <v>-0.99330459999999998</v>
      </c>
      <c r="S5538">
        <v>8.7554930000000003E-2</v>
      </c>
      <c r="T5538">
        <v>-9.5948820000000004E-2</v>
      </c>
      <c r="U5538">
        <v>-3.0341490000000002</v>
      </c>
      <c r="V5538">
        <v>-7.0165160000000004E-2</v>
      </c>
      <c r="W5538">
        <v>0.1245492</v>
      </c>
      <c r="X5538">
        <v>0.98972939999999998</v>
      </c>
      <c r="Y5538">
        <v>-0.12929099999999999</v>
      </c>
      <c r="Z5538">
        <v>3.12272E-2</v>
      </c>
      <c r="AA5538">
        <v>0.99111490000000002</v>
      </c>
      <c r="AB5538">
        <v>23</v>
      </c>
      <c r="AC5538">
        <v>1.0350000000000199</v>
      </c>
      <c r="AD5538">
        <v>-1.10948178123</v>
      </c>
      <c r="AE5538">
        <v>-34.855379999999997</v>
      </c>
      <c r="AF5538">
        <v>-4.5333187085534501</v>
      </c>
      <c r="AG5538">
        <v>-1.10948178123</v>
      </c>
      <c r="AH5538">
        <v>34.539247170316997</v>
      </c>
      <c r="AI5538">
        <v>91.824207531236198</v>
      </c>
      <c r="AJ5538">
        <v>97.477399642728301</v>
      </c>
      <c r="AK5538">
        <v>34.853142231776602</v>
      </c>
      <c r="AL5538">
        <v>82.845276373744596</v>
      </c>
      <c r="AM5538">
        <v>94.055101166968299</v>
      </c>
      <c r="AN5538">
        <v>0.99999996906141198</v>
      </c>
    </row>
    <row r="5539" spans="1:40" x14ac:dyDescent="0.25">
      <c r="A5539" t="str">
        <f>"20190312164616128"</f>
        <v>20190312164616128</v>
      </c>
      <c r="B5539" t="str">
        <f>"1552380376116739"</f>
        <v>1552380376116739</v>
      </c>
      <c r="C5539" t="s">
        <v>40</v>
      </c>
      <c r="D5539">
        <v>5.7573460000000001</v>
      </c>
      <c r="E5539">
        <v>0.47674850000000002</v>
      </c>
      <c r="F5539" t="s">
        <v>52</v>
      </c>
      <c r="G5539">
        <v>-299.69749999999999</v>
      </c>
      <c r="H5539" s="1">
        <v>-6.9557000000000002E-6</v>
      </c>
      <c r="I5539">
        <v>-54.140830000000001</v>
      </c>
      <c r="J5539">
        <v>-300.82859999999999</v>
      </c>
      <c r="K5539">
        <v>1.10951</v>
      </c>
      <c r="L5539">
        <v>-20.8064</v>
      </c>
      <c r="M5539">
        <v>-0.1001947</v>
      </c>
      <c r="N5539">
        <v>0</v>
      </c>
      <c r="O5539">
        <v>-0.9948806</v>
      </c>
      <c r="P5539">
        <v>-2.5223840000000001E-2</v>
      </c>
      <c r="Q5539">
        <v>0.11197360000000001</v>
      </c>
      <c r="R5539">
        <v>-0.99339109999999997</v>
      </c>
      <c r="S5539">
        <v>0.1004944</v>
      </c>
      <c r="T5539">
        <v>-0.100379</v>
      </c>
      <c r="U5539">
        <v>-3.0345460000000002</v>
      </c>
      <c r="V5539">
        <v>-7.4568960000000004E-2</v>
      </c>
      <c r="W5539">
        <v>0.1249603</v>
      </c>
      <c r="X5539">
        <v>0.9893556</v>
      </c>
      <c r="Y5539">
        <v>-0.1330626</v>
      </c>
      <c r="Z5539">
        <v>3.2655030000000002E-2</v>
      </c>
      <c r="AA5539">
        <v>0.99056949999999999</v>
      </c>
      <c r="AB5539">
        <v>23</v>
      </c>
      <c r="AC5539">
        <v>1.1311</v>
      </c>
      <c r="AD5539">
        <v>-1.1095169557</v>
      </c>
      <c r="AE5539">
        <v>-33.334429999999998</v>
      </c>
      <c r="AF5539">
        <v>-4.4606942180539102</v>
      </c>
      <c r="AG5539">
        <v>-1.1095169557</v>
      </c>
      <c r="AH5539">
        <v>33.0167812277652</v>
      </c>
      <c r="AI5539">
        <v>91.907363698962499</v>
      </c>
      <c r="AJ5539">
        <v>97.694291286420906</v>
      </c>
      <c r="AK5539">
        <v>33.335216564829302</v>
      </c>
      <c r="AL5539">
        <v>82.821537232387001</v>
      </c>
      <c r="AM5539">
        <v>94.310304343895496</v>
      </c>
      <c r="AN5539">
        <v>1.00000005481146</v>
      </c>
    </row>
    <row r="5540" spans="1:40" x14ac:dyDescent="0.25">
      <c r="A5540" t="str">
        <f>"20190312164616150"</f>
        <v>20190312164616150</v>
      </c>
      <c r="B5540" t="str">
        <f>"1552380376146995"</f>
        <v>1552380376146995</v>
      </c>
      <c r="C5540" t="s">
        <v>40</v>
      </c>
      <c r="D5540">
        <v>5.7004449999999904</v>
      </c>
      <c r="E5540">
        <v>0.4763657</v>
      </c>
      <c r="F5540" t="s">
        <v>52</v>
      </c>
      <c r="G5540">
        <v>-299.55810000000002</v>
      </c>
      <c r="H5540" s="1">
        <v>-7.1159889999999899E-6</v>
      </c>
      <c r="I5540">
        <v>-53.150599999999997</v>
      </c>
      <c r="J5540">
        <v>-300.8503</v>
      </c>
      <c r="K5540">
        <v>1.1095189999999999</v>
      </c>
      <c r="L5540">
        <v>-21.028659999999999</v>
      </c>
      <c r="M5540">
        <v>-9.9680610000000003E-2</v>
      </c>
      <c r="N5540">
        <v>0</v>
      </c>
      <c r="O5540">
        <v>-0.99493220000000004</v>
      </c>
      <c r="P5540">
        <v>-2.0598350000000001E-2</v>
      </c>
      <c r="Q5540">
        <v>0.1126501</v>
      </c>
      <c r="R5540">
        <v>-0.99342160000000002</v>
      </c>
      <c r="S5540">
        <v>0.11920169999999999</v>
      </c>
      <c r="T5540">
        <v>-0.10410170000000001</v>
      </c>
      <c r="U5540">
        <v>-3.034729</v>
      </c>
      <c r="V5540">
        <v>-7.8664559999999994E-2</v>
      </c>
      <c r="W5540">
        <v>0.12562400000000001</v>
      </c>
      <c r="X5540">
        <v>0.98895420000000001</v>
      </c>
      <c r="Y5540">
        <v>-0.13864299999999999</v>
      </c>
      <c r="Z5540">
        <v>3.3848400000000001E-2</v>
      </c>
      <c r="AA5540">
        <v>0.98976379999999997</v>
      </c>
      <c r="AB5540">
        <v>23</v>
      </c>
      <c r="AC5540">
        <v>1.29219999999997</v>
      </c>
      <c r="AD5540">
        <v>-1.109526115989</v>
      </c>
      <c r="AE5540">
        <v>-32.121939999999903</v>
      </c>
      <c r="AF5540">
        <v>-4.4826362183619901</v>
      </c>
      <c r="AG5540">
        <v>-1.109526115989</v>
      </c>
      <c r="AH5540">
        <v>31.795236726194901</v>
      </c>
      <c r="AI5540">
        <v>91.979026082743005</v>
      </c>
      <c r="AJ5540">
        <v>98.024927433641096</v>
      </c>
      <c r="AK5540">
        <v>32.128836800341901</v>
      </c>
      <c r="AL5540">
        <v>82.783207269612504</v>
      </c>
      <c r="AM5540">
        <v>94.547912794846894</v>
      </c>
      <c r="AN5540">
        <v>0.99999995603681502</v>
      </c>
    </row>
    <row r="5541" spans="1:40" x14ac:dyDescent="0.25">
      <c r="A5541" t="str">
        <f>"20190312164616176"</f>
        <v>20190312164616176</v>
      </c>
      <c r="B5541" t="str">
        <f>"1552380376166514"</f>
        <v>1552380376166514</v>
      </c>
      <c r="C5541" t="s">
        <v>40</v>
      </c>
      <c r="D5541">
        <v>5.7544440000000003</v>
      </c>
      <c r="E5541">
        <v>0.47620059999999897</v>
      </c>
      <c r="F5541" t="s">
        <v>52</v>
      </c>
      <c r="G5541">
        <v>-299.44479999999999</v>
      </c>
      <c r="H5541" s="1">
        <v>-7.238138E-6</v>
      </c>
      <c r="I5541">
        <v>-52.418390000000002</v>
      </c>
      <c r="J5541">
        <v>-300.87549999999999</v>
      </c>
      <c r="K5541">
        <v>1.1095010000000001</v>
      </c>
      <c r="L5541">
        <v>-21.287289999999999</v>
      </c>
      <c r="M5541">
        <v>-9.9067849999999999E-2</v>
      </c>
      <c r="N5541">
        <v>0</v>
      </c>
      <c r="O5541">
        <v>-0.99499329999999997</v>
      </c>
      <c r="P5541">
        <v>-1.5677839999999998E-2</v>
      </c>
      <c r="Q5541">
        <v>0.1141717</v>
      </c>
      <c r="R5541">
        <v>-0.99333740000000004</v>
      </c>
      <c r="S5541">
        <v>0.13589479999999901</v>
      </c>
      <c r="T5541">
        <v>-0.1072723</v>
      </c>
      <c r="U5541">
        <v>-3.0348510000000002</v>
      </c>
      <c r="V5541">
        <v>-8.2938509999999993E-2</v>
      </c>
      <c r="W5541">
        <v>0.12713579999999999</v>
      </c>
      <c r="X5541">
        <v>0.9884117</v>
      </c>
      <c r="Y5541">
        <v>-0.1434628</v>
      </c>
      <c r="Z5541">
        <v>3.4863720000000001E-2</v>
      </c>
      <c r="AA5541">
        <v>0.98904139999999996</v>
      </c>
      <c r="AB5541">
        <v>23</v>
      </c>
      <c r="AC5541">
        <v>1.4307000000000001</v>
      </c>
      <c r="AD5541">
        <v>-1.1095082381379999</v>
      </c>
      <c r="AE5541">
        <v>-31.1311</v>
      </c>
      <c r="AF5541">
        <v>-4.5023132499810101</v>
      </c>
      <c r="AG5541">
        <v>-1.1095082381379999</v>
      </c>
      <c r="AH5541">
        <v>30.797144691258101</v>
      </c>
      <c r="AI5541">
        <v>92.041581978160707</v>
      </c>
      <c r="AJ5541">
        <v>98.317297178784997</v>
      </c>
      <c r="AK5541">
        <v>31.144276428675301</v>
      </c>
      <c r="AL5541">
        <v>82.695887670108704</v>
      </c>
      <c r="AM5541">
        <v>94.796503721044004</v>
      </c>
      <c r="AN5541">
        <v>0.99999999838977505</v>
      </c>
    </row>
    <row r="5542" spans="1:40" x14ac:dyDescent="0.25">
      <c r="A5542" t="str">
        <f>"20190312164616216"</f>
        <v>20190312164616216</v>
      </c>
      <c r="B5542" t="str">
        <f>"1552380376206531"</f>
        <v>1552380376206531</v>
      </c>
      <c r="C5542" t="s">
        <v>40</v>
      </c>
      <c r="D5542">
        <v>5.7026110000000001</v>
      </c>
      <c r="E5542">
        <v>0.47618579999999999</v>
      </c>
      <c r="F5542" t="s">
        <v>52</v>
      </c>
      <c r="G5542">
        <v>-299.30930000000001</v>
      </c>
      <c r="H5542" s="1">
        <v>-7.2722410000000001E-6</v>
      </c>
      <c r="I5542">
        <v>-52.538029999999999</v>
      </c>
      <c r="J5542">
        <v>-300.9135</v>
      </c>
      <c r="K5542">
        <v>1.1094580000000001</v>
      </c>
      <c r="L5542">
        <v>-21.681519999999999</v>
      </c>
      <c r="M5542">
        <v>-9.8166450000000002E-2</v>
      </c>
      <c r="N5542">
        <v>0</v>
      </c>
      <c r="O5542">
        <v>-0.99508269999999999</v>
      </c>
      <c r="P5542">
        <v>-7.4864160000000001E-3</v>
      </c>
      <c r="Q5542">
        <v>0.1168993</v>
      </c>
      <c r="R5542">
        <v>-0.99311590000000005</v>
      </c>
      <c r="S5542">
        <v>0.1520996</v>
      </c>
      <c r="T5542">
        <v>-0.10774980000000001</v>
      </c>
      <c r="U5542">
        <v>-3.0349119999999998</v>
      </c>
      <c r="V5542">
        <v>-9.0159610000000001E-2</v>
      </c>
      <c r="W5542">
        <v>0.1298502</v>
      </c>
      <c r="X5542">
        <v>0.98742600000000003</v>
      </c>
      <c r="Y5542">
        <v>-0.14783279999999999</v>
      </c>
      <c r="Z5542">
        <v>3.5006929999999999E-2</v>
      </c>
      <c r="AA5542">
        <v>0.98839270000000001</v>
      </c>
      <c r="AB5542">
        <v>23</v>
      </c>
      <c r="AC5542">
        <v>1.6041999999999901</v>
      </c>
      <c r="AD5542">
        <v>-1.1094652722409999</v>
      </c>
      <c r="AE5542">
        <v>-30.85651</v>
      </c>
      <c r="AF5542">
        <v>-4.6198311860830898</v>
      </c>
      <c r="AG5542">
        <v>-1.1094652722409999</v>
      </c>
      <c r="AH5542">
        <v>30.510617060494599</v>
      </c>
      <c r="AI5542">
        <v>92.059093056465997</v>
      </c>
      <c r="AJ5542">
        <v>98.610159971811001</v>
      </c>
      <c r="AK5542">
        <v>30.878333938060099</v>
      </c>
      <c r="AL5542">
        <v>82.539063720483398</v>
      </c>
      <c r="AM5542">
        <v>95.217080258513903</v>
      </c>
      <c r="AN5542">
        <v>0.99999996759569498</v>
      </c>
    </row>
    <row r="5543" spans="1:40" x14ac:dyDescent="0.25">
      <c r="A5543" t="str">
        <f>"20190312164616239"</f>
        <v>20190312164616239</v>
      </c>
      <c r="B5543" t="str">
        <f>"1552380376236787"</f>
        <v>1552380376236787</v>
      </c>
      <c r="C5543" t="s">
        <v>40</v>
      </c>
      <c r="D5543">
        <v>5.9138359999999999</v>
      </c>
      <c r="E5543">
        <v>0.47644690000000001</v>
      </c>
      <c r="F5543" t="s">
        <v>52</v>
      </c>
      <c r="G5543">
        <v>-299.1182</v>
      </c>
      <c r="H5543" s="1">
        <v>-7.3516269999999997E-6</v>
      </c>
      <c r="I5543">
        <v>-52.428420000000003</v>
      </c>
      <c r="J5543">
        <v>-300.93639999999999</v>
      </c>
      <c r="K5543">
        <v>1.109432</v>
      </c>
      <c r="L5543">
        <v>-21.920349999999999</v>
      </c>
      <c r="M5543">
        <v>-9.7656489999999999E-2</v>
      </c>
      <c r="N5543">
        <v>0</v>
      </c>
      <c r="O5543">
        <v>-0.99513309999999999</v>
      </c>
      <c r="P5543">
        <v>-3.567588E-3</v>
      </c>
      <c r="Q5543">
        <v>0.11711199999999999</v>
      </c>
      <c r="R5543">
        <v>-0.99311240000000001</v>
      </c>
      <c r="S5543">
        <v>0.1772156</v>
      </c>
      <c r="T5543">
        <v>-0.10951569999999999</v>
      </c>
      <c r="U5543">
        <v>-3.035034</v>
      </c>
      <c r="V5543">
        <v>-9.3544660000000002E-2</v>
      </c>
      <c r="W5543">
        <v>0.1300596</v>
      </c>
      <c r="X5543">
        <v>0.98708359999999995</v>
      </c>
      <c r="Y5543">
        <v>-0.15547349999999999</v>
      </c>
      <c r="Z5543">
        <v>3.5552060000000003E-2</v>
      </c>
      <c r="AA5543">
        <v>0.98720010000000002</v>
      </c>
      <c r="AB5543">
        <v>22</v>
      </c>
      <c r="AC5543">
        <v>1.81819999999999</v>
      </c>
      <c r="AD5543">
        <v>-1.109439351627</v>
      </c>
      <c r="AE5543">
        <v>-30.50807</v>
      </c>
      <c r="AF5543">
        <v>-4.7827745113233702</v>
      </c>
      <c r="AG5543">
        <v>-1.109439351627</v>
      </c>
      <c r="AH5543">
        <v>30.144923293776099</v>
      </c>
      <c r="AI5543">
        <v>92.081720022284202</v>
      </c>
      <c r="AJ5543">
        <v>99.015366120128903</v>
      </c>
      <c r="AK5543">
        <v>30.5421379095954</v>
      </c>
      <c r="AL5543">
        <v>82.526964127684806</v>
      </c>
      <c r="AM5543">
        <v>95.413679984130297</v>
      </c>
      <c r="AN5543">
        <v>1.0000000681778101</v>
      </c>
    </row>
    <row r="5544" spans="1:40" x14ac:dyDescent="0.25">
      <c r="A5544" t="str">
        <f>"20190312164616261"</f>
        <v>20190312164616261</v>
      </c>
      <c r="B5544" t="str">
        <f>"1552380376257283"</f>
        <v>1552380376257283</v>
      </c>
      <c r="C5544" t="s">
        <v>40</v>
      </c>
      <c r="D5544">
        <v>5.7750959999999996</v>
      </c>
      <c r="E5544">
        <v>0.47660750000000002</v>
      </c>
      <c r="F5544" t="s">
        <v>52</v>
      </c>
      <c r="G5544">
        <v>-299.14760000000001</v>
      </c>
      <c r="H5544" s="1">
        <v>-7.5078299999999999E-6</v>
      </c>
      <c r="I5544">
        <v>-50.948070000000001</v>
      </c>
      <c r="J5544">
        <v>-300.95650000000001</v>
      </c>
      <c r="K5544">
        <v>1.1094090000000001</v>
      </c>
      <c r="L5544">
        <v>-22.129760000000001</v>
      </c>
      <c r="M5544">
        <v>-9.72277E-2</v>
      </c>
      <c r="N5544">
        <v>0</v>
      </c>
      <c r="O5544">
        <v>-0.99517509999999998</v>
      </c>
      <c r="P5544" s="1">
        <v>6.1594180000000006E-5</v>
      </c>
      <c r="Q5544">
        <v>0.1168752</v>
      </c>
      <c r="R5544">
        <v>-0.9931468</v>
      </c>
      <c r="S5544">
        <v>0.18704219999999999</v>
      </c>
      <c r="T5544">
        <v>-0.1160036</v>
      </c>
      <c r="U5544">
        <v>-3.0351560000000002</v>
      </c>
      <c r="V5544">
        <v>-9.6727149999999998E-2</v>
      </c>
      <c r="W5544">
        <v>0.1298194</v>
      </c>
      <c r="X5544">
        <v>0.98680840000000003</v>
      </c>
      <c r="Y5544">
        <v>-0.158224799999999</v>
      </c>
      <c r="Z5544">
        <v>3.7644179999999999E-2</v>
      </c>
      <c r="AA5544">
        <v>0.98668529999999999</v>
      </c>
      <c r="AB5544">
        <v>22</v>
      </c>
      <c r="AC5544">
        <v>1.80889999999999</v>
      </c>
      <c r="AD5544">
        <v>-1.10941650783</v>
      </c>
      <c r="AE5544">
        <v>-28.818309999999901</v>
      </c>
      <c r="AF5544">
        <v>-4.5957248521624203</v>
      </c>
      <c r="AG5544">
        <v>-1.10941650783</v>
      </c>
      <c r="AH5544">
        <v>28.463841160302401</v>
      </c>
      <c r="AI5544">
        <v>92.203541898363795</v>
      </c>
      <c r="AJ5544">
        <v>99.171730007442207</v>
      </c>
      <c r="AK5544">
        <v>28.853799498567799</v>
      </c>
      <c r="AL5544">
        <v>82.540843875095405</v>
      </c>
      <c r="AM5544">
        <v>95.598259801357599</v>
      </c>
      <c r="AN5544">
        <v>1.0000000182370199</v>
      </c>
    </row>
    <row r="5545" spans="1:40" x14ac:dyDescent="0.25">
      <c r="A5545" t="str">
        <f>"20190312164616285"</f>
        <v>20190312164616285</v>
      </c>
      <c r="B5545" t="str">
        <f>"1552380376276803"</f>
        <v>1552380376276803</v>
      </c>
      <c r="C5545" t="s">
        <v>40</v>
      </c>
      <c r="D5545">
        <v>5.6461920000000001</v>
      </c>
      <c r="E5545">
        <v>0.47696329999999998</v>
      </c>
      <c r="F5545" t="s">
        <v>52</v>
      </c>
      <c r="G5545">
        <v>-299.15449999999998</v>
      </c>
      <c r="H5545" s="1">
        <v>-5.6580349999999998E-6</v>
      </c>
      <c r="I5545">
        <v>-49.904200000000003</v>
      </c>
      <c r="J5545">
        <v>-300.98009999999999</v>
      </c>
      <c r="K5545">
        <v>1.109399</v>
      </c>
      <c r="L5545">
        <v>-22.378299999999999</v>
      </c>
      <c r="M5545">
        <v>-9.6733150000000004E-2</v>
      </c>
      <c r="N5545">
        <v>0</v>
      </c>
      <c r="O5545">
        <v>-0.99522319999999997</v>
      </c>
      <c r="P5545">
        <v>3.6495170000000001E-3</v>
      </c>
      <c r="Q5545">
        <v>0.1176614</v>
      </c>
      <c r="R5545">
        <v>-0.99304740000000002</v>
      </c>
      <c r="S5545">
        <v>0.1968994</v>
      </c>
      <c r="T5545">
        <v>-0.1212269</v>
      </c>
      <c r="U5545">
        <v>-3.0349430000000002</v>
      </c>
      <c r="V5545">
        <v>-9.9792290000000006E-2</v>
      </c>
      <c r="W5545">
        <v>0.13060089999999999</v>
      </c>
      <c r="X5545">
        <v>0.9863999</v>
      </c>
      <c r="Y5545">
        <v>-0.1609255</v>
      </c>
      <c r="Z5545">
        <v>3.9329450000000002E-2</v>
      </c>
      <c r="AA5545">
        <v>0.98618260000000002</v>
      </c>
      <c r="AB5545">
        <v>22</v>
      </c>
      <c r="AC5545">
        <v>1.8255999999999999</v>
      </c>
      <c r="AD5545">
        <v>-1.1094046580349901</v>
      </c>
      <c r="AE5545">
        <v>-27.5259</v>
      </c>
      <c r="AF5545">
        <v>-4.4727013908686697</v>
      </c>
      <c r="AG5545">
        <v>-1.1094046580349901</v>
      </c>
      <c r="AH5545">
        <v>27.176227291768001</v>
      </c>
      <c r="AI5545">
        <v>92.306668083080297</v>
      </c>
      <c r="AJ5545">
        <v>99.346034878789098</v>
      </c>
      <c r="AK5545">
        <v>27.564164530073899</v>
      </c>
      <c r="AL5545">
        <v>82.495682070029801</v>
      </c>
      <c r="AM5545">
        <v>95.776854960311198</v>
      </c>
      <c r="AN5545">
        <v>0.99999992947212901</v>
      </c>
    </row>
    <row r="5546" spans="1:40" x14ac:dyDescent="0.25">
      <c r="A5546" t="str">
        <f>"20190312164616308"</f>
        <v>20190312164616308</v>
      </c>
      <c r="B5546" t="str">
        <f>"1552380376297300"</f>
        <v>1552380376297300</v>
      </c>
      <c r="C5546" t="s">
        <v>40</v>
      </c>
      <c r="D5546">
        <v>5.645607</v>
      </c>
      <c r="E5546">
        <v>0.47748970000000002</v>
      </c>
      <c r="F5546" t="s">
        <v>52</v>
      </c>
      <c r="G5546">
        <v>-299.10930000000002</v>
      </c>
      <c r="H5546" s="1">
        <v>-5.7676950000000003E-6</v>
      </c>
      <c r="I5546">
        <v>-50.148330000000001</v>
      </c>
      <c r="J5546">
        <v>-301.00170000000003</v>
      </c>
      <c r="K5546">
        <v>1.1093949999999999</v>
      </c>
      <c r="L5546">
        <v>-22.606780000000001</v>
      </c>
      <c r="M5546">
        <v>-9.6284449999999994E-2</v>
      </c>
      <c r="N5546">
        <v>0</v>
      </c>
      <c r="O5546">
        <v>-0.99526680000000001</v>
      </c>
      <c r="P5546">
        <v>7.0305519999999998E-3</v>
      </c>
      <c r="Q5546">
        <v>0.1188805</v>
      </c>
      <c r="R5546">
        <v>-0.99288370000000004</v>
      </c>
      <c r="S5546">
        <v>0.20443729999999999</v>
      </c>
      <c r="T5546">
        <v>-0.1212317</v>
      </c>
      <c r="U5546">
        <v>-3.0346069999999998</v>
      </c>
      <c r="V5546">
        <v>-0.1026933</v>
      </c>
      <c r="W5546">
        <v>0.1318134</v>
      </c>
      <c r="X5546">
        <v>0.98594079999999995</v>
      </c>
      <c r="Y5546">
        <v>-0.16292619999999999</v>
      </c>
      <c r="Z5546">
        <v>3.9328160000000001E-2</v>
      </c>
      <c r="AA5546">
        <v>0.98585409999999996</v>
      </c>
      <c r="AB5546">
        <v>22</v>
      </c>
      <c r="AC5546">
        <v>1.8924000000000001</v>
      </c>
      <c r="AD5546">
        <v>-1.109400767695</v>
      </c>
      <c r="AE5546">
        <v>-27.541550000000001</v>
      </c>
      <c r="AF5546">
        <v>-4.52834594438644</v>
      </c>
      <c r="AG5546">
        <v>-1.109400767695</v>
      </c>
      <c r="AH5546">
        <v>27.187435463191701</v>
      </c>
      <c r="AI5546">
        <v>92.304975721043604</v>
      </c>
      <c r="AJ5546">
        <v>99.4563894580279</v>
      </c>
      <c r="AK5546">
        <v>27.5842950629632</v>
      </c>
      <c r="AL5546">
        <v>82.4256054475902</v>
      </c>
      <c r="AM5546">
        <v>95.946353317671196</v>
      </c>
      <c r="AN5546">
        <v>0.99999997369454396</v>
      </c>
    </row>
    <row r="5547" spans="1:40" x14ac:dyDescent="0.25">
      <c r="A5547" t="str">
        <f>"20190312164616331"</f>
        <v>20190312164616331</v>
      </c>
      <c r="B5547" t="str">
        <f>"1552380376326579"</f>
        <v>1552380376326579</v>
      </c>
      <c r="C5547" t="s">
        <v>40</v>
      </c>
      <c r="D5547">
        <v>5.46462</v>
      </c>
      <c r="E5547">
        <v>0.47796369999999999</v>
      </c>
      <c r="F5547" t="s">
        <v>52</v>
      </c>
      <c r="G5547">
        <v>-299.06150000000002</v>
      </c>
      <c r="H5547" s="1">
        <v>-7.5695089999999997E-6</v>
      </c>
      <c r="I5547">
        <v>-50.668489999999998</v>
      </c>
      <c r="J5547">
        <v>-301.02229999999997</v>
      </c>
      <c r="K5547">
        <v>1.1093820000000001</v>
      </c>
      <c r="L5547">
        <v>-22.825379999999999</v>
      </c>
      <c r="M5547">
        <v>-9.5854670000000003E-2</v>
      </c>
      <c r="N5547">
        <v>0</v>
      </c>
      <c r="O5547">
        <v>-0.99530839999999998</v>
      </c>
      <c r="P5547">
        <v>9.8001049999999999E-3</v>
      </c>
      <c r="Q5547">
        <v>0.120057</v>
      </c>
      <c r="R5547">
        <v>-0.99271920000000002</v>
      </c>
      <c r="S5547">
        <v>0.2098083</v>
      </c>
      <c r="T5547">
        <v>-0.1199629</v>
      </c>
      <c r="U5547">
        <v>-3.0343930000000001</v>
      </c>
      <c r="V5547">
        <v>-0.1050059</v>
      </c>
      <c r="W5547">
        <v>0.1329842</v>
      </c>
      <c r="X5547">
        <v>0.98553990000000002</v>
      </c>
      <c r="Y5547">
        <v>-0.16424269999999999</v>
      </c>
      <c r="Z5547">
        <v>3.8915749999999999E-2</v>
      </c>
      <c r="AA5547">
        <v>0.98565199999999997</v>
      </c>
      <c r="AB5547">
        <v>22</v>
      </c>
      <c r="AC5547">
        <v>1.9607999999999399</v>
      </c>
      <c r="AD5547">
        <v>-1.1093895695089999</v>
      </c>
      <c r="AE5547">
        <v>-27.843109999999999</v>
      </c>
      <c r="AF5547">
        <v>-4.6136044496002802</v>
      </c>
      <c r="AG5547">
        <v>-1.1093895695089999</v>
      </c>
      <c r="AH5547">
        <v>27.483494958830399</v>
      </c>
      <c r="AI5547">
        <v>92.279664715419202</v>
      </c>
      <c r="AJ5547">
        <v>99.5292905339237</v>
      </c>
      <c r="AK5547">
        <v>27.890116284920101</v>
      </c>
      <c r="AL5547">
        <v>82.357927681199598</v>
      </c>
      <c r="AM5547">
        <v>96.081724679219803</v>
      </c>
      <c r="AN5547">
        <v>0.999999965488229</v>
      </c>
    </row>
    <row r="5548" spans="1:40" x14ac:dyDescent="0.25">
      <c r="A5548" t="str">
        <f>"20190312164616351"</f>
        <v>20190312164616351</v>
      </c>
      <c r="B5548" t="str">
        <f>"1552380376347075"</f>
        <v>1552380376347075</v>
      </c>
      <c r="C5548" t="s">
        <v>40</v>
      </c>
      <c r="D5548">
        <v>5.4549250000000002</v>
      </c>
      <c r="E5548">
        <v>0.47833229999999999</v>
      </c>
      <c r="F5548" t="s">
        <v>52</v>
      </c>
      <c r="G5548">
        <v>-299.00400000000002</v>
      </c>
      <c r="H5548" s="1">
        <v>-7.5039649999999997E-6</v>
      </c>
      <c r="I5548">
        <v>-51.430430000000001</v>
      </c>
      <c r="J5548">
        <v>-301.0419</v>
      </c>
      <c r="K5548">
        <v>1.109383</v>
      </c>
      <c r="L5548">
        <v>-23.034179999999999</v>
      </c>
      <c r="M5548">
        <v>-9.5441979999999996E-2</v>
      </c>
      <c r="N5548">
        <v>0</v>
      </c>
      <c r="O5548">
        <v>-0.99534789999999995</v>
      </c>
      <c r="P5548">
        <v>1.2303120000000001E-2</v>
      </c>
      <c r="Q5548">
        <v>0.1206353</v>
      </c>
      <c r="R5548">
        <v>-0.99262070000000002</v>
      </c>
      <c r="S5548">
        <v>0.21408079999999999</v>
      </c>
      <c r="T5548">
        <v>-0.1176722</v>
      </c>
      <c r="U5548">
        <v>-3.034119</v>
      </c>
      <c r="V5548">
        <v>-0.1070778</v>
      </c>
      <c r="W5548">
        <v>0.13355690000000001</v>
      </c>
      <c r="X5548">
        <v>0.98523950000000005</v>
      </c>
      <c r="Y5548">
        <v>-0.16522300000000001</v>
      </c>
      <c r="Z5548">
        <v>3.8174479999999997E-2</v>
      </c>
      <c r="AA5548">
        <v>0.98551710000000003</v>
      </c>
      <c r="AB5548">
        <v>22</v>
      </c>
      <c r="AC5548">
        <v>2.0378999999999698</v>
      </c>
      <c r="AD5548">
        <v>-1.1093905039650001</v>
      </c>
      <c r="AE5548">
        <v>-28.396249999999998</v>
      </c>
      <c r="AF5548">
        <v>-4.7318393536933296</v>
      </c>
      <c r="AG5548">
        <v>-1.1093905039650001</v>
      </c>
      <c r="AH5548">
        <v>28.029517433865301</v>
      </c>
      <c r="AI5548">
        <v>92.234957054060999</v>
      </c>
      <c r="AJ5548">
        <v>99.582116270713797</v>
      </c>
      <c r="AK5548">
        <v>28.447757355102802</v>
      </c>
      <c r="AL5548">
        <v>82.324819210327803</v>
      </c>
      <c r="AM5548">
        <v>96.202674860324706</v>
      </c>
      <c r="AN5548">
        <v>0.99999998657535005</v>
      </c>
    </row>
    <row r="5549" spans="1:40" x14ac:dyDescent="0.25">
      <c r="A5549" t="str">
        <f>"20190312164616379"</f>
        <v>20190312164616379</v>
      </c>
      <c r="B5549" t="str">
        <f>"1552380376366596"</f>
        <v>1552380376366596</v>
      </c>
      <c r="C5549" t="s">
        <v>40</v>
      </c>
      <c r="D5549">
        <v>5.3359100000000002</v>
      </c>
      <c r="E5549">
        <v>0.47834769999999999</v>
      </c>
      <c r="F5549" t="s">
        <v>52</v>
      </c>
      <c r="G5549">
        <v>-299.05970000000002</v>
      </c>
      <c r="H5549" s="1">
        <v>-7.5863760000000001E-6</v>
      </c>
      <c r="I5549">
        <v>-50.524059999999999</v>
      </c>
      <c r="J5549">
        <v>-301.0677</v>
      </c>
      <c r="K5549">
        <v>1.10938</v>
      </c>
      <c r="L5549">
        <v>-23.310120000000001</v>
      </c>
      <c r="M5549">
        <v>-9.4891299999999998E-2</v>
      </c>
      <c r="N5549">
        <v>0</v>
      </c>
      <c r="O5549">
        <v>-0.99540070000000003</v>
      </c>
      <c r="P5549">
        <v>1.439299E-2</v>
      </c>
      <c r="Q5549">
        <v>0.1219737</v>
      </c>
      <c r="R5549">
        <v>-0.99242929999999996</v>
      </c>
      <c r="S5549">
        <v>0.21881100000000001</v>
      </c>
      <c r="T5549">
        <v>-0.12246070000000001</v>
      </c>
      <c r="U5549">
        <v>-3.0344850000000001</v>
      </c>
      <c r="V5549">
        <v>-0.1085932</v>
      </c>
      <c r="W5549">
        <v>0.13488900000000001</v>
      </c>
      <c r="X5549">
        <v>0.98489210000000005</v>
      </c>
      <c r="Y5549">
        <v>-0.16619300000000001</v>
      </c>
      <c r="Z5549">
        <v>3.9718389999999999E-2</v>
      </c>
      <c r="AA5549">
        <v>0.98529299999999997</v>
      </c>
      <c r="AB5549">
        <v>22</v>
      </c>
      <c r="AC5549">
        <v>2.00799999999998</v>
      </c>
      <c r="AD5549">
        <v>-1.1093875863760001</v>
      </c>
      <c r="AE5549">
        <v>-27.213940000000001</v>
      </c>
      <c r="AF5549">
        <v>-4.5739673227094002</v>
      </c>
      <c r="AG5549">
        <v>-1.1093875863760001</v>
      </c>
      <c r="AH5549">
        <v>26.856172936242299</v>
      </c>
      <c r="AI5549">
        <v>92.331915586205298</v>
      </c>
      <c r="AJ5549">
        <v>99.665499028401598</v>
      </c>
      <c r="AK5549">
        <v>27.265471620116401</v>
      </c>
      <c r="AL5549">
        <v>82.247798551113704</v>
      </c>
      <c r="AM5549">
        <v>96.291959233234707</v>
      </c>
      <c r="AN5549">
        <v>0.99999998702482495</v>
      </c>
    </row>
    <row r="5550" spans="1:40" x14ac:dyDescent="0.25">
      <c r="A5550" t="str">
        <f>"20190312164616402"</f>
        <v>20190312164616402</v>
      </c>
      <c r="B5550" t="str">
        <f>"1552380376396851"</f>
        <v>1552380376396851</v>
      </c>
      <c r="C5550" t="s">
        <v>40</v>
      </c>
      <c r="D5550">
        <v>5.2893429999999997</v>
      </c>
      <c r="E5550">
        <v>0.47894730000000002</v>
      </c>
      <c r="F5550" t="s">
        <v>52</v>
      </c>
      <c r="G5550">
        <v>-299.03109999999998</v>
      </c>
      <c r="H5550" s="1">
        <v>-7.5753679999999901E-6</v>
      </c>
      <c r="I5550">
        <v>-50.711069999999999</v>
      </c>
      <c r="J5550">
        <v>-301.08920000000001</v>
      </c>
      <c r="K5550">
        <v>1.1093820000000001</v>
      </c>
      <c r="L5550">
        <v>-23.541530000000002</v>
      </c>
      <c r="M5550">
        <v>-9.4425750000000003E-2</v>
      </c>
      <c r="N5550">
        <v>0</v>
      </c>
      <c r="O5550">
        <v>-0.99544509999999997</v>
      </c>
      <c r="P5550">
        <v>1.6326960000000001E-2</v>
      </c>
      <c r="Q5550">
        <v>0.124166</v>
      </c>
      <c r="R5550">
        <v>-0.99212750000000005</v>
      </c>
      <c r="S5550">
        <v>0.22555539999999999</v>
      </c>
      <c r="T5550">
        <v>-0.1228677</v>
      </c>
      <c r="U5550">
        <v>-3.034729</v>
      </c>
      <c r="V5550">
        <v>-0.11002969999999999</v>
      </c>
      <c r="W5550">
        <v>0.13707339999999901</v>
      </c>
      <c r="X5550">
        <v>0.98443099999999994</v>
      </c>
      <c r="Y5550">
        <v>-0.16790359999999999</v>
      </c>
      <c r="Z5550">
        <v>3.984058E-2</v>
      </c>
      <c r="AA5550">
        <v>0.98499800000000004</v>
      </c>
      <c r="AB5550">
        <v>22</v>
      </c>
      <c r="AC5550">
        <v>2.05810000000002</v>
      </c>
      <c r="AD5550">
        <v>-1.1093895753680001</v>
      </c>
      <c r="AE5550">
        <v>-27.169540000000001</v>
      </c>
      <c r="AF5550">
        <v>-4.6069913100810496</v>
      </c>
      <c r="AG5550">
        <v>-1.1093895753680001</v>
      </c>
      <c r="AH5550">
        <v>26.8093253799554</v>
      </c>
      <c r="AI5550">
        <v>92.335397030913498</v>
      </c>
      <c r="AJ5550">
        <v>99.750636620714502</v>
      </c>
      <c r="AK5550">
        <v>27.224897455994601</v>
      </c>
      <c r="AL5550">
        <v>82.121468475740798</v>
      </c>
      <c r="AM5550">
        <v>96.377471424217404</v>
      </c>
      <c r="AN5550">
        <v>1.0000000228153201</v>
      </c>
    </row>
    <row r="5551" spans="1:40" x14ac:dyDescent="0.25">
      <c r="A5551" t="str">
        <f>"20190312164616424"</f>
        <v>20190312164616424</v>
      </c>
      <c r="B5551" t="str">
        <f>"1552380376416372"</f>
        <v>1552380376416372</v>
      </c>
      <c r="C5551" t="s">
        <v>40</v>
      </c>
      <c r="D5551">
        <v>5.5237550000000004</v>
      </c>
      <c r="E5551">
        <v>0.47936000000000001</v>
      </c>
      <c r="F5551" t="s">
        <v>52</v>
      </c>
      <c r="G5551">
        <v>-298.95159999999998</v>
      </c>
      <c r="H5551" s="1">
        <v>-7.4369359999999899E-6</v>
      </c>
      <c r="I5551">
        <v>-52.190089999999998</v>
      </c>
      <c r="J5551">
        <v>-301.10890000000001</v>
      </c>
      <c r="K5551">
        <v>1.109383</v>
      </c>
      <c r="L5551">
        <v>-23.755279999999999</v>
      </c>
      <c r="M5551">
        <v>-9.3993400000000005E-2</v>
      </c>
      <c r="N5551">
        <v>0</v>
      </c>
      <c r="O5551">
        <v>-0.99548570000000003</v>
      </c>
      <c r="P5551">
        <v>1.7748259999999998E-2</v>
      </c>
      <c r="Q5551">
        <v>0.12536019999999901</v>
      </c>
      <c r="R5551">
        <v>-0.99195250000000001</v>
      </c>
      <c r="S5551">
        <v>0.22644039999999999</v>
      </c>
      <c r="T5551">
        <v>-0.1175195</v>
      </c>
      <c r="U5551">
        <v>-3.0347900000000001</v>
      </c>
      <c r="V5551">
        <v>-0.11100069999999999</v>
      </c>
      <c r="W5551">
        <v>0.13826069999999999</v>
      </c>
      <c r="X5551">
        <v>0.98415589999999997</v>
      </c>
      <c r="Y5551">
        <v>-0.16776469999999999</v>
      </c>
      <c r="Z5551">
        <v>3.8110690000000003E-2</v>
      </c>
      <c r="AA5551">
        <v>0.98509009999999997</v>
      </c>
      <c r="AB5551">
        <v>22</v>
      </c>
      <c r="AC5551">
        <v>2.1573000000000202</v>
      </c>
      <c r="AD5551">
        <v>-1.1093904369359999</v>
      </c>
      <c r="AE5551">
        <v>-28.434809999999999</v>
      </c>
      <c r="AF5551">
        <v>-4.8133789560117499</v>
      </c>
      <c r="AG5551">
        <v>-1.1093904369359999</v>
      </c>
      <c r="AH5551">
        <v>28.063638905749499</v>
      </c>
      <c r="AI5551">
        <v>92.231246666601095</v>
      </c>
      <c r="AJ5551">
        <v>99.732476225518994</v>
      </c>
      <c r="AK5551">
        <v>28.495038037315201</v>
      </c>
      <c r="AL5551">
        <v>82.052787115800299</v>
      </c>
      <c r="AM5551">
        <v>96.435065313760404</v>
      </c>
      <c r="AN5551">
        <v>1.0000000060348899</v>
      </c>
    </row>
    <row r="5552" spans="1:40" x14ac:dyDescent="0.25">
      <c r="A5552" t="str">
        <f>"20190312164616445"</f>
        <v>20190312164616445</v>
      </c>
      <c r="B5552" t="str">
        <f>"1552380376436868"</f>
        <v>1552380376436868</v>
      </c>
      <c r="C5552" t="s">
        <v>40</v>
      </c>
      <c r="D5552">
        <v>5.4684189999999999</v>
      </c>
      <c r="E5552">
        <v>0.47978900000000002</v>
      </c>
      <c r="F5552" t="s">
        <v>52</v>
      </c>
      <c r="G5552">
        <v>-298.90469999999999</v>
      </c>
      <c r="H5552" s="1">
        <v>-7.3503289999999999E-6</v>
      </c>
      <c r="I5552">
        <v>-53.106310000000001</v>
      </c>
      <c r="J5552">
        <v>-301.12860000000001</v>
      </c>
      <c r="K5552">
        <v>1.1093820000000001</v>
      </c>
      <c r="L5552">
        <v>-23.968630000000001</v>
      </c>
      <c r="M5552">
        <v>-9.3560309999999994E-2</v>
      </c>
      <c r="N5552">
        <v>0</v>
      </c>
      <c r="O5552">
        <v>-0.99552669999999999</v>
      </c>
      <c r="P5552">
        <v>1.916721E-2</v>
      </c>
      <c r="Q5552">
        <v>0.12594250000000001</v>
      </c>
      <c r="R5552">
        <v>-0.99185279999999998</v>
      </c>
      <c r="S5552">
        <v>0.22790530000000001</v>
      </c>
      <c r="T5552">
        <v>-0.1147058</v>
      </c>
      <c r="U5552">
        <v>-3.0347599999999999</v>
      </c>
      <c r="V5552">
        <v>-0.1119753</v>
      </c>
      <c r="W5552">
        <v>0.1388308</v>
      </c>
      <c r="X5552">
        <v>0.98396519999999998</v>
      </c>
      <c r="Y5552">
        <v>-0.16781199999999999</v>
      </c>
      <c r="Z5552">
        <v>3.7201409999999997E-2</v>
      </c>
      <c r="AA5552">
        <v>0.98511680000000001</v>
      </c>
      <c r="AB5552">
        <v>22</v>
      </c>
      <c r="AC5552">
        <v>2.2239000000000102</v>
      </c>
      <c r="AD5552">
        <v>-1.10938935032899</v>
      </c>
      <c r="AE5552">
        <v>-29.13768</v>
      </c>
      <c r="AF5552">
        <v>-4.9333995182802504</v>
      </c>
      <c r="AG5552">
        <v>-1.10938935032899</v>
      </c>
      <c r="AH5552">
        <v>28.760311505652702</v>
      </c>
      <c r="AI5552">
        <v>92.1772421360929</v>
      </c>
      <c r="AJ5552">
        <v>99.733501268296493</v>
      </c>
      <c r="AK5552">
        <v>29.201450194121701</v>
      </c>
      <c r="AL5552">
        <v>82.019804556146795</v>
      </c>
      <c r="AM5552">
        <v>96.492333132121601</v>
      </c>
      <c r="AN5552">
        <v>0.999999986824884</v>
      </c>
    </row>
    <row r="5553" spans="1:40" x14ac:dyDescent="0.25">
      <c r="A5553" t="str">
        <f>"20190312164616469"</f>
        <v>20190312164616469</v>
      </c>
      <c r="B5553" t="str">
        <f>"1552380376457363"</f>
        <v>1552380376457363</v>
      </c>
      <c r="C5553" t="s">
        <v>40</v>
      </c>
      <c r="D5553">
        <v>5.5257269999999998</v>
      </c>
      <c r="E5553">
        <v>0.48021249999999999</v>
      </c>
      <c r="F5553" t="s">
        <v>52</v>
      </c>
      <c r="G5553">
        <v>-298.90260000000001</v>
      </c>
      <c r="H5553" s="1">
        <v>-7.3065729999999999E-6</v>
      </c>
      <c r="I5553">
        <v>-53.501840000000001</v>
      </c>
      <c r="J5553">
        <v>-301.14940000000001</v>
      </c>
      <c r="K5553">
        <v>1.109381</v>
      </c>
      <c r="L5553">
        <v>-24.19595</v>
      </c>
      <c r="M5553">
        <v>-9.3099470000000004E-2</v>
      </c>
      <c r="N5553">
        <v>0</v>
      </c>
      <c r="O5553">
        <v>-0.99557010000000001</v>
      </c>
      <c r="P5553">
        <v>2.005181E-2</v>
      </c>
      <c r="Q5553">
        <v>0.12675210000000001</v>
      </c>
      <c r="R5553">
        <v>-0.9917319</v>
      </c>
      <c r="S5553">
        <v>0.22872919999999999</v>
      </c>
      <c r="T5553">
        <v>-0.11399579999999999</v>
      </c>
      <c r="U5553">
        <v>-3.0346980000000001</v>
      </c>
      <c r="V5553">
        <v>-0.11239</v>
      </c>
      <c r="W5553">
        <v>0.139625</v>
      </c>
      <c r="X5553">
        <v>0.9838055</v>
      </c>
      <c r="Y5553">
        <v>-0.16762369999999999</v>
      </c>
      <c r="Z5553">
        <v>3.6974849999999997E-2</v>
      </c>
      <c r="AA5553">
        <v>0.98515739999999996</v>
      </c>
      <c r="AB5553">
        <v>22</v>
      </c>
      <c r="AC5553">
        <v>2.2467999999999999</v>
      </c>
      <c r="AD5553">
        <v>-1.1093883065729999</v>
      </c>
      <c r="AE5553">
        <v>-29.305890000000002</v>
      </c>
      <c r="AF5553">
        <v>-4.9585741450178</v>
      </c>
      <c r="AG5553">
        <v>-1.1093883065729999</v>
      </c>
      <c r="AH5553">
        <v>28.928180149390599</v>
      </c>
      <c r="AI5553">
        <v>92.164662825802793</v>
      </c>
      <c r="AJ5553">
        <v>99.726534828510495</v>
      </c>
      <c r="AK5553">
        <v>29.371036868350298</v>
      </c>
      <c r="AL5553">
        <v>81.973852453085598</v>
      </c>
      <c r="AM5553">
        <v>96.517219702968703</v>
      </c>
      <c r="AN5553">
        <v>0.99999995727762403</v>
      </c>
    </row>
    <row r="5554" spans="1:40" x14ac:dyDescent="0.25">
      <c r="A5554" t="str">
        <f>"20190312164616490"</f>
        <v>20190312164616490</v>
      </c>
      <c r="B5554" t="str">
        <f>"1552380376486645"</f>
        <v>1552380376486645</v>
      </c>
      <c r="C5554" t="s">
        <v>40</v>
      </c>
      <c r="D5554">
        <v>5.5284230000000001</v>
      </c>
      <c r="E5554">
        <v>0.48075570000000001</v>
      </c>
      <c r="F5554" t="s">
        <v>52</v>
      </c>
      <c r="G5554">
        <v>-298.89019999999999</v>
      </c>
      <c r="H5554" s="1">
        <v>-7.2374859999999998E-6</v>
      </c>
      <c r="I5554">
        <v>-54.154890000000002</v>
      </c>
      <c r="J5554">
        <v>-301.16840000000002</v>
      </c>
      <c r="K5554">
        <v>1.109381</v>
      </c>
      <c r="L5554">
        <v>-24.404910000000001</v>
      </c>
      <c r="M5554">
        <v>-9.2676289999999995E-2</v>
      </c>
      <c r="N5554">
        <v>0</v>
      </c>
      <c r="O5554">
        <v>-0.99560979999999999</v>
      </c>
      <c r="P5554">
        <v>2.1326479999999998E-2</v>
      </c>
      <c r="Q5554">
        <v>0.12770049999999999</v>
      </c>
      <c r="R5554">
        <v>-0.99158349999999995</v>
      </c>
      <c r="S5554">
        <v>0.22885130000000001</v>
      </c>
      <c r="T5554">
        <v>-0.11237800000000001</v>
      </c>
      <c r="U5554">
        <v>-3.0347599999999999</v>
      </c>
      <c r="V5554">
        <v>-0.1132273</v>
      </c>
      <c r="W5554">
        <v>0.1405546</v>
      </c>
      <c r="X5554">
        <v>0.98357709999999998</v>
      </c>
      <c r="Y5554">
        <v>-0.16724410000000001</v>
      </c>
      <c r="Z5554">
        <v>3.6453439999999997E-2</v>
      </c>
      <c r="AA5554">
        <v>0.98524140000000004</v>
      </c>
      <c r="AB5554">
        <v>22</v>
      </c>
      <c r="AC5554">
        <v>2.27820000000002</v>
      </c>
      <c r="AD5554">
        <v>-1.109388237486</v>
      </c>
      <c r="AE5554">
        <v>-29.749979999999901</v>
      </c>
      <c r="AF5554">
        <v>-5.0188105010036903</v>
      </c>
      <c r="AG5554">
        <v>-1.109388237486</v>
      </c>
      <c r="AH5554">
        <v>29.370166101966898</v>
      </c>
      <c r="AI5554">
        <v>92.132304620016498</v>
      </c>
      <c r="AJ5554">
        <v>99.697111466230197</v>
      </c>
      <c r="AK5554">
        <v>29.816536652729901</v>
      </c>
      <c r="AL5554">
        <v>81.920059889880207</v>
      </c>
      <c r="AM5554">
        <v>96.566861574119599</v>
      </c>
      <c r="AN5554">
        <v>0.99999996434542904</v>
      </c>
    </row>
    <row r="5555" spans="1:40" x14ac:dyDescent="0.25">
      <c r="A5555" t="str">
        <f>"20190312164616512"</f>
        <v>20190312164616512</v>
      </c>
      <c r="B5555" t="str">
        <f>"1552380376507141"</f>
        <v>1552380376507141</v>
      </c>
      <c r="C5555" t="s">
        <v>40</v>
      </c>
      <c r="D5555">
        <v>5.527685</v>
      </c>
      <c r="E5555">
        <v>0.48107870000000003</v>
      </c>
      <c r="F5555" t="s">
        <v>52</v>
      </c>
      <c r="G5555">
        <v>-298.87810000000002</v>
      </c>
      <c r="H5555" s="1">
        <v>-7.1740899999999998E-6</v>
      </c>
      <c r="I5555">
        <v>-54.756100000000004</v>
      </c>
      <c r="J5555">
        <v>-301.18860000000001</v>
      </c>
      <c r="K5555">
        <v>1.1093770000000001</v>
      </c>
      <c r="L5555">
        <v>-24.627960000000002</v>
      </c>
      <c r="M5555">
        <v>-9.2223570000000005E-2</v>
      </c>
      <c r="N5555">
        <v>0</v>
      </c>
      <c r="O5555">
        <v>-0.99565250000000005</v>
      </c>
      <c r="P5555">
        <v>2.2599959999999999E-2</v>
      </c>
      <c r="Q5555">
        <v>0.12840360000000001</v>
      </c>
      <c r="R5555">
        <v>-0.99146469999999998</v>
      </c>
      <c r="S5555">
        <v>0.22900390000000001</v>
      </c>
      <c r="T5555">
        <v>-0.1109279</v>
      </c>
      <c r="U5555">
        <v>-3.034821</v>
      </c>
      <c r="V5555">
        <v>-0.1140375</v>
      </c>
      <c r="W5555">
        <v>0.14122399999999999</v>
      </c>
      <c r="X5555">
        <v>0.98338760000000003</v>
      </c>
      <c r="Y5555">
        <v>-0.16684479999999999</v>
      </c>
      <c r="Z5555">
        <v>3.5986450000000003E-2</v>
      </c>
      <c r="AA5555">
        <v>0.98532620000000004</v>
      </c>
      <c r="AB5555">
        <v>22</v>
      </c>
      <c r="AC5555">
        <v>2.31049999999999</v>
      </c>
      <c r="AD5555">
        <v>-1.1093841740899999</v>
      </c>
      <c r="AE5555">
        <v>-30.128139999999998</v>
      </c>
      <c r="AF5555">
        <v>-5.0725762550056004</v>
      </c>
      <c r="AG5555">
        <v>-1.1093841740899999</v>
      </c>
      <c r="AH5555">
        <v>29.746524195484898</v>
      </c>
      <c r="AI5555">
        <v>92.1054667752732</v>
      </c>
      <c r="AJ5555">
        <v>99.677372150189001</v>
      </c>
      <c r="AK5555">
        <v>30.196315417963401</v>
      </c>
      <c r="AL5555">
        <v>81.8813197250293</v>
      </c>
      <c r="AM5555">
        <v>96.6146991988373</v>
      </c>
      <c r="AN5555">
        <v>0.99999997070800395</v>
      </c>
    </row>
    <row r="5556" spans="1:40" x14ac:dyDescent="0.25">
      <c r="A5556" t="str">
        <f>"20190312164616536"</f>
        <v>20190312164616536</v>
      </c>
      <c r="B5556" t="str">
        <f>"1552380376526660"</f>
        <v>1552380376526660</v>
      </c>
      <c r="C5556" t="s">
        <v>40</v>
      </c>
      <c r="D5556">
        <v>5.5280899999999997</v>
      </c>
      <c r="E5556">
        <v>0.48138930000000002</v>
      </c>
      <c r="F5556" t="s">
        <v>52</v>
      </c>
      <c r="G5556">
        <v>-298.87180000000001</v>
      </c>
      <c r="H5556" s="1">
        <v>-7.1299939999999998E-6</v>
      </c>
      <c r="I5556">
        <v>-55.16778</v>
      </c>
      <c r="J5556">
        <v>-301.20949999999999</v>
      </c>
      <c r="K5556">
        <v>1.1093740000000001</v>
      </c>
      <c r="L5556">
        <v>-24.85962</v>
      </c>
      <c r="M5556">
        <v>-9.1756229999999994E-2</v>
      </c>
      <c r="N5556">
        <v>0</v>
      </c>
      <c r="O5556">
        <v>-0.99569600000000003</v>
      </c>
      <c r="P5556">
        <v>2.3582019999999999E-2</v>
      </c>
      <c r="Q5556">
        <v>0.12891130000000001</v>
      </c>
      <c r="R5556">
        <v>-0.99137589999999998</v>
      </c>
      <c r="S5556">
        <v>0.2302246</v>
      </c>
      <c r="T5556">
        <v>-0.11024340000000001</v>
      </c>
      <c r="U5556">
        <v>-3.0348510000000002</v>
      </c>
      <c r="V5556">
        <v>-0.1145456</v>
      </c>
      <c r="W5556">
        <v>0.14169089999999901</v>
      </c>
      <c r="X5556">
        <v>0.98326139999999995</v>
      </c>
      <c r="Y5556">
        <v>-0.1667759</v>
      </c>
      <c r="Z5556">
        <v>3.5766340000000001E-2</v>
      </c>
      <c r="AA5556">
        <v>0.9853459</v>
      </c>
      <c r="AB5556">
        <v>22</v>
      </c>
      <c r="AC5556">
        <v>2.3376999999999799</v>
      </c>
      <c r="AD5556">
        <v>-1.109381129994</v>
      </c>
      <c r="AE5556">
        <v>-30.308160000000001</v>
      </c>
      <c r="AF5556">
        <v>-5.1022404232306604</v>
      </c>
      <c r="AG5556">
        <v>-1.109381129994</v>
      </c>
      <c r="AH5556">
        <v>29.925908547476801</v>
      </c>
      <c r="AI5556">
        <v>92.092862248431999</v>
      </c>
      <c r="AJ5556">
        <v>99.675649980146105</v>
      </c>
      <c r="AK5556">
        <v>30.378011558032899</v>
      </c>
      <c r="AL5556">
        <v>81.854296773216504</v>
      </c>
      <c r="AM5556">
        <v>96.644753536281101</v>
      </c>
      <c r="AN5556">
        <v>0.99999999317606403</v>
      </c>
    </row>
    <row r="5557" spans="1:40" x14ac:dyDescent="0.25">
      <c r="A5557" t="str">
        <f>"20190312164616559"</f>
        <v>20190312164616559</v>
      </c>
      <c r="B5557" t="str">
        <f>"1552380376547156"</f>
        <v>1552380376547156</v>
      </c>
      <c r="C5557" t="s">
        <v>40</v>
      </c>
      <c r="D5557">
        <v>5.4680499999999999</v>
      </c>
      <c r="E5557">
        <v>0.48165259999999999</v>
      </c>
      <c r="F5557" t="s">
        <v>52</v>
      </c>
      <c r="G5557">
        <v>-298.88029999999998</v>
      </c>
      <c r="H5557" s="1">
        <v>-7.0929549999999898E-6</v>
      </c>
      <c r="I5557">
        <v>-55.470770000000002</v>
      </c>
      <c r="J5557">
        <v>-301.23009999999999</v>
      </c>
      <c r="K5557">
        <v>1.109362</v>
      </c>
      <c r="L5557">
        <v>-25.089259999999999</v>
      </c>
      <c r="M5557">
        <v>-9.1290880000000005E-2</v>
      </c>
      <c r="N5557">
        <v>0</v>
      </c>
      <c r="O5557">
        <v>-0.99573959999999995</v>
      </c>
      <c r="P5557">
        <v>2.4234479999999999E-2</v>
      </c>
      <c r="Q5557">
        <v>0.1285396</v>
      </c>
      <c r="R5557">
        <v>-0.99140879999999998</v>
      </c>
      <c r="S5557">
        <v>0.23092650000000001</v>
      </c>
      <c r="T5557">
        <v>-0.1099885</v>
      </c>
      <c r="U5557">
        <v>-3.0349119999999998</v>
      </c>
      <c r="V5557">
        <v>-0.1147379</v>
      </c>
      <c r="W5557">
        <v>0.14126040000000001</v>
      </c>
      <c r="X5557">
        <v>0.98330090000000003</v>
      </c>
      <c r="Y5557">
        <v>-0.166540299999999</v>
      </c>
      <c r="Z5557">
        <v>3.5685740000000001E-2</v>
      </c>
      <c r="AA5557">
        <v>0.98538870000000001</v>
      </c>
      <c r="AB5557">
        <v>22</v>
      </c>
      <c r="AC5557">
        <v>2.3498000000000099</v>
      </c>
      <c r="AD5557">
        <v>-1.109369092955</v>
      </c>
      <c r="AE5557">
        <v>-30.381509999999899</v>
      </c>
      <c r="AF5557">
        <v>-5.1070060994757096</v>
      </c>
      <c r="AG5557">
        <v>-1.109369092955</v>
      </c>
      <c r="AH5557">
        <v>30.000328062942401</v>
      </c>
      <c r="AI5557">
        <v>92.087743808656299</v>
      </c>
      <c r="AJ5557">
        <v>99.660945983507702</v>
      </c>
      <c r="AK5557">
        <v>30.452124638006101</v>
      </c>
      <c r="AL5557">
        <v>81.879213058958101</v>
      </c>
      <c r="AM5557">
        <v>96.655543823892899</v>
      </c>
      <c r="AN5557">
        <v>0.99999997312268896</v>
      </c>
    </row>
    <row r="5558" spans="1:40" x14ac:dyDescent="0.25">
      <c r="A5558" t="str">
        <f>"20190312164616596"</f>
        <v>20190312164616596</v>
      </c>
      <c r="B5558" t="str">
        <f>"1552380376587171"</f>
        <v>1552380376587171</v>
      </c>
      <c r="C5558" t="s">
        <v>40</v>
      </c>
      <c r="D5558">
        <v>5.5216839999999996</v>
      </c>
      <c r="E5558">
        <v>0.48216209999999998</v>
      </c>
      <c r="F5558" t="s">
        <v>52</v>
      </c>
      <c r="G5558">
        <v>-298.94229999999999</v>
      </c>
      <c r="H5558" s="1">
        <v>-7.118172E-6</v>
      </c>
      <c r="I5558">
        <v>-55.05301</v>
      </c>
      <c r="J5558">
        <v>-301.26299999999998</v>
      </c>
      <c r="K5558">
        <v>1.1093249999999999</v>
      </c>
      <c r="L5558">
        <v>-25.458919999999999</v>
      </c>
      <c r="M5558">
        <v>-9.0524770000000004E-2</v>
      </c>
      <c r="N5558">
        <v>0</v>
      </c>
      <c r="O5558">
        <v>-0.99581120000000001</v>
      </c>
      <c r="P5558">
        <v>2.553163E-2</v>
      </c>
      <c r="Q5558">
        <v>0.12664449999999999</v>
      </c>
      <c r="R5558">
        <v>-0.99161960000000005</v>
      </c>
      <c r="S5558">
        <v>0.23172000000000001</v>
      </c>
      <c r="T5558">
        <v>-0.1123637</v>
      </c>
      <c r="U5558">
        <v>-3.0349119999999998</v>
      </c>
      <c r="V5558">
        <v>-0.11528910000000001</v>
      </c>
      <c r="W5558">
        <v>0.13922599999999999</v>
      </c>
      <c r="X5558">
        <v>0.98352660000000003</v>
      </c>
      <c r="Y5558">
        <v>-0.1660355</v>
      </c>
      <c r="Z5558">
        <v>3.6460439999999997E-2</v>
      </c>
      <c r="AA5558">
        <v>0.98544549999999997</v>
      </c>
      <c r="AB5558">
        <v>22</v>
      </c>
      <c r="AC5558">
        <v>2.32069999999998</v>
      </c>
      <c r="AD5558">
        <v>-1.1093321181719999</v>
      </c>
      <c r="AE5558">
        <v>-29.594090000000001</v>
      </c>
      <c r="AF5558">
        <v>-4.9834302474997498</v>
      </c>
      <c r="AG5558">
        <v>-1.1093321181719999</v>
      </c>
      <c r="AH5558">
        <v>29.2216554133324</v>
      </c>
      <c r="AI5558">
        <v>92.143144625967096</v>
      </c>
      <c r="AJ5558">
        <v>99.678054498147901</v>
      </c>
      <c r="AK5558">
        <v>29.664294022876099</v>
      </c>
      <c r="AL5558">
        <v>81.996939425514896</v>
      </c>
      <c r="AM5558">
        <v>96.685707421347004</v>
      </c>
      <c r="AN5558">
        <v>1.00000001428118</v>
      </c>
    </row>
    <row r="5559" spans="1:40" x14ac:dyDescent="0.25">
      <c r="A5559" t="str">
        <f>"20190312164616622"</f>
        <v>20190312164616622</v>
      </c>
      <c r="B5559" t="str">
        <f>"1552380376616452"</f>
        <v>1552380376616452</v>
      </c>
      <c r="C5559" t="s">
        <v>40</v>
      </c>
      <c r="D5559">
        <v>5.4650829999999999</v>
      </c>
      <c r="E5559">
        <v>0.48248639999999998</v>
      </c>
      <c r="F5559" t="s">
        <v>52</v>
      </c>
      <c r="G5559">
        <v>-299.12540000000001</v>
      </c>
      <c r="H5559" s="1">
        <v>-7.2374590000000001E-6</v>
      </c>
      <c r="I5559">
        <v>-53.421169999999996</v>
      </c>
      <c r="J5559">
        <v>-301.28500000000003</v>
      </c>
      <c r="K5559">
        <v>1.1092959999999901</v>
      </c>
      <c r="L5559">
        <v>-25.70758</v>
      </c>
      <c r="M5559">
        <v>-8.9993920000000005E-2</v>
      </c>
      <c r="N5559">
        <v>0</v>
      </c>
      <c r="O5559">
        <v>-0.99586079999999999</v>
      </c>
      <c r="P5559">
        <v>2.6057159999999999E-2</v>
      </c>
      <c r="Q5559">
        <v>0.1262953</v>
      </c>
      <c r="R5559">
        <v>-0.99165049999999999</v>
      </c>
      <c r="S5559">
        <v>0.2319946</v>
      </c>
      <c r="T5559">
        <v>-0.1203965</v>
      </c>
      <c r="U5559">
        <v>-3.0347599999999999</v>
      </c>
      <c r="V5559">
        <v>-0.1152876</v>
      </c>
      <c r="W5559">
        <v>0.13877030000000001</v>
      </c>
      <c r="X5559">
        <v>0.98359110000000005</v>
      </c>
      <c r="Y5559">
        <v>-0.16559450000000001</v>
      </c>
      <c r="Z5559">
        <v>3.9069180000000002E-2</v>
      </c>
      <c r="AA5559">
        <v>0.98541979999999996</v>
      </c>
      <c r="AB5559">
        <v>22</v>
      </c>
      <c r="AC5559">
        <v>2.15960000000001</v>
      </c>
      <c r="AD5559">
        <v>-1.1093032374589999</v>
      </c>
      <c r="AE5559">
        <v>-27.71359</v>
      </c>
      <c r="AF5559">
        <v>-4.6377070365186102</v>
      </c>
      <c r="AG5559">
        <v>-1.1093032374589999</v>
      </c>
      <c r="AH5559">
        <v>27.363175538361801</v>
      </c>
      <c r="AI5559">
        <v>92.288892854026599</v>
      </c>
      <c r="AJ5559">
        <v>99.619484920162193</v>
      </c>
      <c r="AK5559">
        <v>27.775569405008</v>
      </c>
      <c r="AL5559">
        <v>82.023304451825993</v>
      </c>
      <c r="AM5559">
        <v>96.685186774422405</v>
      </c>
      <c r="AN5559">
        <v>0.99999993943752796</v>
      </c>
    </row>
    <row r="5560" spans="1:40" x14ac:dyDescent="0.25">
      <c r="A5560" t="str">
        <f>"20190312164616643"</f>
        <v>20190312164616643</v>
      </c>
      <c r="B5560" t="str">
        <f>"1552380376636948"</f>
        <v>1552380376636948</v>
      </c>
      <c r="C5560" t="s">
        <v>40</v>
      </c>
      <c r="D5560">
        <v>5.5774559999999997</v>
      </c>
      <c r="E5560">
        <v>0.48266320000000001</v>
      </c>
      <c r="F5560" t="s">
        <v>52</v>
      </c>
      <c r="G5560">
        <v>-299.197</v>
      </c>
      <c r="H5560" s="1">
        <v>-7.2471889999999997E-6</v>
      </c>
      <c r="I5560">
        <v>-53.111060000000002</v>
      </c>
      <c r="J5560">
        <v>-301.30430000000001</v>
      </c>
      <c r="K5560">
        <v>1.109289</v>
      </c>
      <c r="L5560">
        <v>-25.926909999999999</v>
      </c>
      <c r="M5560">
        <v>-8.9512419999999995E-2</v>
      </c>
      <c r="N5560">
        <v>0</v>
      </c>
      <c r="O5560">
        <v>-0.99590540000000005</v>
      </c>
      <c r="P5560">
        <v>2.6334260000000002E-2</v>
      </c>
      <c r="Q5560">
        <v>0.12610279999999999</v>
      </c>
      <c r="R5560">
        <v>-0.99166750000000004</v>
      </c>
      <c r="S5560">
        <v>0.23123170000000001</v>
      </c>
      <c r="T5560">
        <v>-0.12285069999999999</v>
      </c>
      <c r="U5560">
        <v>-3.034821</v>
      </c>
      <c r="V5560">
        <v>-0.1150897</v>
      </c>
      <c r="W5560">
        <v>0.1384822</v>
      </c>
      <c r="X5560">
        <v>0.9836549</v>
      </c>
      <c r="Y5560">
        <v>-0.1648674</v>
      </c>
      <c r="Z5560">
        <v>3.986895E-2</v>
      </c>
      <c r="AA5560">
        <v>0.98550959999999999</v>
      </c>
      <c r="AB5560">
        <v>22</v>
      </c>
      <c r="AC5560">
        <v>2.1073</v>
      </c>
      <c r="AD5560">
        <v>-1.109296247189</v>
      </c>
      <c r="AE5560">
        <v>-27.184149999999899</v>
      </c>
      <c r="AF5560">
        <v>-4.52486327037363</v>
      </c>
      <c r="AG5560">
        <v>-1.109296247189</v>
      </c>
      <c r="AH5560">
        <v>26.841932822126498</v>
      </c>
      <c r="AI5560">
        <v>92.333627074558706</v>
      </c>
      <c r="AJ5560">
        <v>99.568641214293805</v>
      </c>
      <c r="AK5560">
        <v>27.243242894471202</v>
      </c>
      <c r="AL5560">
        <v>82.039972467860096</v>
      </c>
      <c r="AM5560">
        <v>96.673385783047806</v>
      </c>
      <c r="AN5560">
        <v>0.99999996052846896</v>
      </c>
    </row>
    <row r="5561" spans="1:40" x14ac:dyDescent="0.25">
      <c r="A5561" t="str">
        <f>"20190312164616665"</f>
        <v>20190312164616665</v>
      </c>
      <c r="B5561" t="str">
        <f>"1552380376657443"</f>
        <v>1552380376657443</v>
      </c>
      <c r="C5561" t="s">
        <v>40</v>
      </c>
      <c r="D5561">
        <v>5.5146610000000003</v>
      </c>
      <c r="E5561">
        <v>0.48285240000000001</v>
      </c>
      <c r="F5561" t="s">
        <v>52</v>
      </c>
      <c r="G5561">
        <v>-299.23099999999999</v>
      </c>
      <c r="H5561" s="1">
        <v>-7.234688E-6</v>
      </c>
      <c r="I5561">
        <v>-53.116190000000003</v>
      </c>
      <c r="J5561">
        <v>-301.32279999999997</v>
      </c>
      <c r="K5561">
        <v>1.1092900000000001</v>
      </c>
      <c r="L5561">
        <v>-26.139189999999999</v>
      </c>
      <c r="M5561">
        <v>-8.9018E-2</v>
      </c>
      <c r="N5561">
        <v>0</v>
      </c>
      <c r="O5561">
        <v>-0.99595109999999998</v>
      </c>
      <c r="P5561">
        <v>2.5885740000000001E-2</v>
      </c>
      <c r="Q5561">
        <v>0.12609600000000001</v>
      </c>
      <c r="R5561">
        <v>-0.99168060000000002</v>
      </c>
      <c r="S5561">
        <v>0.2314148</v>
      </c>
      <c r="T5561">
        <v>-0.1238177</v>
      </c>
      <c r="U5561">
        <v>-3.034821</v>
      </c>
      <c r="V5561">
        <v>-0.11416129999999999</v>
      </c>
      <c r="W5561">
        <v>0.13837269999999999</v>
      </c>
      <c r="X5561">
        <v>0.9837785</v>
      </c>
      <c r="Y5561">
        <v>-0.16443569999999999</v>
      </c>
      <c r="Z5561">
        <v>4.0186359999999997E-2</v>
      </c>
      <c r="AA5561">
        <v>0.98556880000000002</v>
      </c>
      <c r="AB5561">
        <v>22</v>
      </c>
      <c r="AC5561">
        <v>2.0917999999999699</v>
      </c>
      <c r="AD5561">
        <v>-1.1092972346879999</v>
      </c>
      <c r="AE5561">
        <v>-26.977</v>
      </c>
      <c r="AF5561">
        <v>-4.4775958908682103</v>
      </c>
      <c r="AG5561">
        <v>-1.1092972346879999</v>
      </c>
      <c r="AH5561">
        <v>26.638888892262798</v>
      </c>
      <c r="AI5561">
        <v>92.351584585304195</v>
      </c>
      <c r="AJ5561">
        <v>99.541368494514302</v>
      </c>
      <c r="AK5561">
        <v>27.035343658461802</v>
      </c>
      <c r="AL5561">
        <v>82.046307434681907</v>
      </c>
      <c r="AM5561">
        <v>96.619208632451006</v>
      </c>
      <c r="AN5561">
        <v>0.99999997179261402</v>
      </c>
    </row>
    <row r="5562" spans="1:40" x14ac:dyDescent="0.25">
      <c r="A5562" t="str">
        <f>"20190312164616690"</f>
        <v>20190312164616690</v>
      </c>
      <c r="B5562" t="str">
        <f>"1552380376686724"</f>
        <v>1552380376686724</v>
      </c>
      <c r="C5562" t="s">
        <v>40</v>
      </c>
      <c r="D5562">
        <v>5.476756</v>
      </c>
      <c r="E5562">
        <v>0.48313010000000001</v>
      </c>
      <c r="F5562" t="s">
        <v>52</v>
      </c>
      <c r="G5562">
        <v>-299.26839999999999</v>
      </c>
      <c r="H5562" s="1">
        <v>-7.1976229999999999E-6</v>
      </c>
      <c r="I5562">
        <v>-53.328960000000002</v>
      </c>
      <c r="J5562">
        <v>-301.34339999999997</v>
      </c>
      <c r="K5562">
        <v>1.109313</v>
      </c>
      <c r="L5562">
        <v>-26.37677</v>
      </c>
      <c r="M5562">
        <v>-8.839822E-2</v>
      </c>
      <c r="N5562">
        <v>0</v>
      </c>
      <c r="O5562">
        <v>-0.99600770000000005</v>
      </c>
      <c r="P5562">
        <v>2.5673140000000001E-2</v>
      </c>
      <c r="Q5562">
        <v>0.12558559999999999</v>
      </c>
      <c r="R5562">
        <v>-0.99175080000000004</v>
      </c>
      <c r="S5562">
        <v>0.22930909999999999</v>
      </c>
      <c r="T5562">
        <v>-0.1238194</v>
      </c>
      <c r="U5562">
        <v>-3.0349119999999998</v>
      </c>
      <c r="V5562">
        <v>-0.1133575</v>
      </c>
      <c r="W5562">
        <v>0.137737</v>
      </c>
      <c r="X5562">
        <v>0.98396070000000002</v>
      </c>
      <c r="Y5562">
        <v>-0.16313949999999999</v>
      </c>
      <c r="Z5562">
        <v>4.0194500000000001E-2</v>
      </c>
      <c r="AA5562">
        <v>0.98578390000000005</v>
      </c>
      <c r="AB5562">
        <v>22</v>
      </c>
      <c r="AC5562">
        <v>2.0749999999999802</v>
      </c>
      <c r="AD5562">
        <v>-1.109320197623</v>
      </c>
      <c r="AE5562">
        <v>-26.952189999999899</v>
      </c>
      <c r="AF5562">
        <v>-4.4421043578318802</v>
      </c>
      <c r="AG5562">
        <v>-1.109320197623</v>
      </c>
      <c r="AH5562">
        <v>26.618394022358999</v>
      </c>
      <c r="AI5562">
        <v>92.353902937906199</v>
      </c>
      <c r="AJ5562">
        <v>99.4742705890325</v>
      </c>
      <c r="AK5562">
        <v>27.009290674808199</v>
      </c>
      <c r="AL5562">
        <v>82.0830829761492</v>
      </c>
      <c r="AM5562">
        <v>96.571806131340495</v>
      </c>
      <c r="AN5562">
        <v>1.0000000315598601</v>
      </c>
    </row>
    <row r="5563" spans="1:40" x14ac:dyDescent="0.25">
      <c r="A5563" t="str">
        <f>"20190312164616730"</f>
        <v>20190312164616730</v>
      </c>
      <c r="B5563" t="str">
        <f>"1552380376726740"</f>
        <v>1552380376726740</v>
      </c>
      <c r="C5563" t="s">
        <v>40</v>
      </c>
      <c r="D5563">
        <v>5.3557790000000001</v>
      </c>
      <c r="E5563">
        <v>0.51706830000000004</v>
      </c>
      <c r="F5563" t="s">
        <v>52</v>
      </c>
      <c r="G5563">
        <v>-299.36149999999998</v>
      </c>
      <c r="H5563" s="1">
        <v>-7.2169600000000003E-6</v>
      </c>
      <c r="I5563">
        <v>-52.866529999999997</v>
      </c>
      <c r="J5563">
        <v>-301.37700000000001</v>
      </c>
      <c r="K5563">
        <v>1.1094109999999999</v>
      </c>
      <c r="L5563">
        <v>-26.771360000000001</v>
      </c>
      <c r="M5563">
        <v>-8.7113750000000004E-2</v>
      </c>
      <c r="N5563">
        <v>0</v>
      </c>
      <c r="O5563">
        <v>-0.99612350000000005</v>
      </c>
      <c r="P5563">
        <v>2.3694130000000001E-2</v>
      </c>
      <c r="Q5563">
        <v>0.1232399</v>
      </c>
      <c r="R5563">
        <v>-0.99209420000000004</v>
      </c>
      <c r="S5563">
        <v>0.22708130000000001</v>
      </c>
      <c r="T5563">
        <v>-0.1271043</v>
      </c>
      <c r="U5563">
        <v>-3.0351560000000002</v>
      </c>
      <c r="V5563">
        <v>-0.1101869</v>
      </c>
      <c r="W5563">
        <v>0.1351743</v>
      </c>
      <c r="X5563">
        <v>0.98467590000000005</v>
      </c>
      <c r="Y5563">
        <v>-0.1611379</v>
      </c>
      <c r="Z5563">
        <v>4.1270840000000003E-2</v>
      </c>
      <c r="AA5563">
        <v>0.98606859999999996</v>
      </c>
      <c r="AB5563">
        <v>22</v>
      </c>
      <c r="AC5563">
        <v>2.01550000000003</v>
      </c>
      <c r="AD5563">
        <v>-1.10941821696</v>
      </c>
      <c r="AE5563">
        <v>-26.09517</v>
      </c>
      <c r="AF5563">
        <v>-4.2735758131859702</v>
      </c>
      <c r="AG5563">
        <v>-1.10941821696</v>
      </c>
      <c r="AH5563">
        <v>25.7740506768016</v>
      </c>
      <c r="AI5563">
        <v>92.431560254201699</v>
      </c>
      <c r="AJ5563">
        <v>99.414516524790798</v>
      </c>
      <c r="AK5563">
        <v>26.149492295291498</v>
      </c>
      <c r="AL5563">
        <v>82.231300570831294</v>
      </c>
      <c r="AM5563">
        <v>96.384932442392795</v>
      </c>
      <c r="AN5563">
        <v>0.999999936176453</v>
      </c>
    </row>
    <row r="5564" spans="1:40" x14ac:dyDescent="0.25">
      <c r="A5564" t="str">
        <f>"20190312164616754"</f>
        <v>20190312164616754</v>
      </c>
      <c r="B5564" t="str">
        <f>"1552380376747236"</f>
        <v>1552380376747236</v>
      </c>
      <c r="C5564" t="s">
        <v>40</v>
      </c>
      <c r="D5564">
        <v>5.0453919999999997</v>
      </c>
      <c r="E5564">
        <v>0.57587769999999905</v>
      </c>
      <c r="F5564" t="s">
        <v>42</v>
      </c>
      <c r="G5564">
        <v>-301.50599999999997</v>
      </c>
      <c r="H5564" s="1">
        <v>-2.0572840000000002E-6</v>
      </c>
      <c r="I5564">
        <v>-36.549370000000003</v>
      </c>
      <c r="J5564">
        <v>-301.39670000000001</v>
      </c>
      <c r="K5564">
        <v>1.1094900000000001</v>
      </c>
      <c r="L5564">
        <v>-27.010280000000002</v>
      </c>
      <c r="M5564">
        <v>-8.6144650000000003E-2</v>
      </c>
      <c r="N5564">
        <v>0</v>
      </c>
      <c r="O5564">
        <v>-0.99620880000000001</v>
      </c>
      <c r="P5564">
        <v>2.2689589999999999E-2</v>
      </c>
      <c r="Q5564">
        <v>0.1228948</v>
      </c>
      <c r="R5564">
        <v>-0.9921603</v>
      </c>
      <c r="S5564">
        <v>-4.0496829999999998E-2</v>
      </c>
      <c r="T5564">
        <v>-0.34810849999999999</v>
      </c>
      <c r="U5564">
        <v>-3.0681150000000001</v>
      </c>
      <c r="V5564">
        <v>-0.1082621</v>
      </c>
      <c r="W5564">
        <v>0.13470279999999901</v>
      </c>
      <c r="X5564">
        <v>0.98495410000000005</v>
      </c>
      <c r="Y5564">
        <v>-7.3076989999999994E-2</v>
      </c>
      <c r="Z5564">
        <v>0.1119541</v>
      </c>
      <c r="AA5564">
        <v>0.99102270000000003</v>
      </c>
      <c r="AB5564">
        <v>22</v>
      </c>
      <c r="AC5564">
        <v>-0.109299999999961</v>
      </c>
      <c r="AD5564">
        <v>-1.1094920572839999</v>
      </c>
      <c r="AE5564">
        <v>-9.5390899999999998</v>
      </c>
      <c r="AF5564">
        <v>-0.70339410691266901</v>
      </c>
      <c r="AG5564">
        <v>-1.1094920572839999</v>
      </c>
      <c r="AH5564">
        <v>9.3860823272198903</v>
      </c>
      <c r="AI5564">
        <v>96.722749540232797</v>
      </c>
      <c r="AJ5564">
        <v>94.285741456859995</v>
      </c>
      <c r="AK5564">
        <v>9.4775670584895</v>
      </c>
      <c r="AL5564">
        <v>82.258565802115399</v>
      </c>
      <c r="AM5564">
        <v>96.272536538410506</v>
      </c>
      <c r="AN5564">
        <v>1.00000005286552</v>
      </c>
    </row>
    <row r="5565" spans="1:40" x14ac:dyDescent="0.25">
      <c r="A5565" t="str">
        <f>"20190312164616782"</f>
        <v>20190312164616782</v>
      </c>
      <c r="B5565" t="str">
        <f>"1552380376776816"</f>
        <v>1552380376776816</v>
      </c>
      <c r="C5565" t="s">
        <v>40</v>
      </c>
      <c r="D5565">
        <v>5.4656529999999997</v>
      </c>
      <c r="E5565">
        <v>0.57553520000000002</v>
      </c>
      <c r="F5565" t="s">
        <v>41</v>
      </c>
      <c r="G5565">
        <v>-301.53469999999999</v>
      </c>
      <c r="H5565">
        <v>0.98626840000000005</v>
      </c>
      <c r="I5565">
        <v>-27.85163</v>
      </c>
      <c r="J5565">
        <v>-301.41919999999999</v>
      </c>
      <c r="K5565">
        <v>1.1095900000000001</v>
      </c>
      <c r="L5565">
        <v>-27.286619999999999</v>
      </c>
      <c r="M5565">
        <v>-8.4820649999999997E-2</v>
      </c>
      <c r="N5565">
        <v>0</v>
      </c>
      <c r="O5565">
        <v>-0.99632419999999999</v>
      </c>
      <c r="P5565">
        <v>2.18987E-2</v>
      </c>
      <c r="Q5565">
        <v>0.1231529</v>
      </c>
      <c r="R5565">
        <v>-0.99214630000000004</v>
      </c>
      <c r="S5565">
        <v>-0.50717159999999994</v>
      </c>
      <c r="T5565">
        <v>-0.45276440000000001</v>
      </c>
      <c r="U5565">
        <v>-3.0914000000000001</v>
      </c>
      <c r="V5565">
        <v>-0.1061983</v>
      </c>
      <c r="W5565">
        <v>0.13482</v>
      </c>
      <c r="X5565">
        <v>0.98516269999999995</v>
      </c>
      <c r="Y5565">
        <v>7.5934940000000006E-2</v>
      </c>
      <c r="Z5565">
        <v>0.1429946</v>
      </c>
      <c r="AA5565">
        <v>0.98680619999999997</v>
      </c>
      <c r="AB5565">
        <v>22</v>
      </c>
      <c r="AC5565">
        <v>-0.11549999999999699</v>
      </c>
      <c r="AD5565">
        <v>-0.123321599999999</v>
      </c>
      <c r="AE5565">
        <v>-0.56500999999999701</v>
      </c>
      <c r="AF5565">
        <v>6.4219108173861894E-2</v>
      </c>
      <c r="AG5565">
        <v>-0.123321599999999</v>
      </c>
      <c r="AH5565">
        <v>0.54772443161589501</v>
      </c>
      <c r="AI5565">
        <v>102.60514879385001</v>
      </c>
      <c r="AJ5565">
        <v>83.312766627972707</v>
      </c>
      <c r="AK5565">
        <v>0.56509677389820701</v>
      </c>
      <c r="AL5565">
        <v>82.251788728161799</v>
      </c>
      <c r="AM5565">
        <v>96.152596438836099</v>
      </c>
      <c r="AN5565">
        <v>1.00000002839708</v>
      </c>
    </row>
    <row r="5566" spans="1:40" x14ac:dyDescent="0.25">
      <c r="A5566" t="str">
        <f>"20190312164616805"</f>
        <v>20190312164616805</v>
      </c>
      <c r="B5566" t="str">
        <f>"1552380376797312"</f>
        <v>1552380376797312</v>
      </c>
      <c r="C5566" t="s">
        <v>40</v>
      </c>
      <c r="D5566">
        <v>6.6312369999999996</v>
      </c>
      <c r="E5566">
        <v>0.57608409999999999</v>
      </c>
      <c r="F5566" t="s">
        <v>41</v>
      </c>
      <c r="G5566">
        <v>-301.54430000000002</v>
      </c>
      <c r="H5566">
        <v>0.9911913</v>
      </c>
      <c r="I5566">
        <v>-28.05246</v>
      </c>
      <c r="J5566">
        <v>-301.43740000000003</v>
      </c>
      <c r="K5566">
        <v>1.1097030000000001</v>
      </c>
      <c r="L5566">
        <v>-27.517700000000001</v>
      </c>
      <c r="M5566">
        <v>-8.3477750000000003E-2</v>
      </c>
      <c r="N5566">
        <v>0</v>
      </c>
      <c r="O5566">
        <v>-0.99643870000000001</v>
      </c>
      <c r="P5566">
        <v>2.1365470000000001E-2</v>
      </c>
      <c r="Q5566">
        <v>0.12365429999999999</v>
      </c>
      <c r="R5566">
        <v>-0.99209570000000002</v>
      </c>
      <c r="S5566">
        <v>-0.50436400000000003</v>
      </c>
      <c r="T5566">
        <v>-0.47852479999999997</v>
      </c>
      <c r="U5566">
        <v>-3.0942690000000002</v>
      </c>
      <c r="V5566">
        <v>-0.1043738</v>
      </c>
      <c r="W5566">
        <v>0.13519890000000001</v>
      </c>
      <c r="X5566">
        <v>0.98530569999999895</v>
      </c>
      <c r="Y5566">
        <v>7.6072440000000005E-2</v>
      </c>
      <c r="Z5566">
        <v>0.15084879999999901</v>
      </c>
      <c r="AA5566">
        <v>0.98562550000000004</v>
      </c>
      <c r="AB5566">
        <v>22</v>
      </c>
      <c r="AC5566">
        <v>-0.106899999999996</v>
      </c>
      <c r="AD5566">
        <v>-0.1185117</v>
      </c>
      <c r="AE5566">
        <v>-0.53475999999999502</v>
      </c>
      <c r="AF5566">
        <v>5.9092372892576503E-2</v>
      </c>
      <c r="AG5566">
        <v>-0.1185117</v>
      </c>
      <c r="AH5566">
        <v>0.51738333058682595</v>
      </c>
      <c r="AI5566">
        <v>102.821016328841</v>
      </c>
      <c r="AJ5566">
        <v>83.484259350297705</v>
      </c>
      <c r="AK5566">
        <v>0.53406220830543905</v>
      </c>
      <c r="AL5566">
        <v>82.229878359536002</v>
      </c>
      <c r="AM5566">
        <v>96.0468129732878</v>
      </c>
      <c r="AN5566">
        <v>0.99999997757006898</v>
      </c>
    </row>
    <row r="5567" spans="1:40" x14ac:dyDescent="0.25">
      <c r="A5567" t="str">
        <f>"20190312164616824"</f>
        <v>20190312164616824</v>
      </c>
      <c r="B5567" t="str">
        <f>"1552380376816832"</f>
        <v>1552380376816832</v>
      </c>
      <c r="C5567" t="s">
        <v>40</v>
      </c>
      <c r="D5567">
        <v>6.1789500000000004</v>
      </c>
      <c r="E5567">
        <v>0.57606109999999999</v>
      </c>
      <c r="F5567" t="s">
        <v>41</v>
      </c>
      <c r="G5567">
        <v>-301.55779999999999</v>
      </c>
      <c r="H5567">
        <v>0.99298759999999997</v>
      </c>
      <c r="I5567">
        <v>-28.25149</v>
      </c>
      <c r="J5567">
        <v>-301.45260000000002</v>
      </c>
      <c r="K5567">
        <v>1.1098209999999999</v>
      </c>
      <c r="L5567">
        <v>-27.715669999999999</v>
      </c>
      <c r="M5567">
        <v>-8.2117969999999998E-2</v>
      </c>
      <c r="N5567">
        <v>0</v>
      </c>
      <c r="O5567">
        <v>-0.99655249999999995</v>
      </c>
      <c r="P5567">
        <v>2.0692640000000002E-2</v>
      </c>
      <c r="Q5567">
        <v>0.1235922</v>
      </c>
      <c r="R5567">
        <v>-0.99211749999999999</v>
      </c>
      <c r="S5567">
        <v>-0.50765990000000005</v>
      </c>
      <c r="T5567">
        <v>-0.49250470000000002</v>
      </c>
      <c r="U5567">
        <v>-3.096222</v>
      </c>
      <c r="V5567">
        <v>-0.1024027</v>
      </c>
      <c r="W5567">
        <v>0.13502929999999999</v>
      </c>
      <c r="X5567">
        <v>0.98553579999999996</v>
      </c>
      <c r="Y5567">
        <v>7.8250520000000004E-2</v>
      </c>
      <c r="Z5567">
        <v>0.15505620000000001</v>
      </c>
      <c r="AA5567">
        <v>0.9848017</v>
      </c>
      <c r="AB5567">
        <v>22</v>
      </c>
      <c r="AC5567">
        <v>-0.105199999999968</v>
      </c>
      <c r="AD5567">
        <v>-0.116833399999999</v>
      </c>
      <c r="AE5567">
        <v>-0.53582000000000096</v>
      </c>
      <c r="AF5567">
        <v>5.8177781013309803E-2</v>
      </c>
      <c r="AG5567">
        <v>-0.116833399999999</v>
      </c>
      <c r="AH5567">
        <v>0.51889480756586503</v>
      </c>
      <c r="AI5567">
        <v>102.612533704157</v>
      </c>
      <c r="AJ5567">
        <v>83.602791317962499</v>
      </c>
      <c r="AK5567">
        <v>0.53505749118950596</v>
      </c>
      <c r="AL5567">
        <v>82.239685979566204</v>
      </c>
      <c r="AM5567">
        <v>95.932065855200705</v>
      </c>
      <c r="AN5567">
        <v>1.0000000189536999</v>
      </c>
    </row>
    <row r="5568" spans="1:40" x14ac:dyDescent="0.25">
      <c r="A5568" t="str">
        <f>"20190312164616845"</f>
        <v>20190312164616845</v>
      </c>
      <c r="B5568" t="str">
        <f>"1552380376837328"</f>
        <v>1552380376837328</v>
      </c>
      <c r="C5568" t="s">
        <v>40</v>
      </c>
      <c r="D5568">
        <v>5.5568619999999997</v>
      </c>
      <c r="E5568">
        <v>0.57533259999999997</v>
      </c>
      <c r="F5568" t="s">
        <v>41</v>
      </c>
      <c r="G5568">
        <v>-301.57310000000001</v>
      </c>
      <c r="H5568">
        <v>0.99042920000000001</v>
      </c>
      <c r="I5568">
        <v>-28.44821</v>
      </c>
      <c r="J5568">
        <v>-301.46789999999999</v>
      </c>
      <c r="K5568">
        <v>1.1099680000000001</v>
      </c>
      <c r="L5568">
        <v>-27.921880000000002</v>
      </c>
      <c r="M5568">
        <v>-8.0502500000000005E-2</v>
      </c>
      <c r="N5568">
        <v>0</v>
      </c>
      <c r="O5568">
        <v>-0.9966853</v>
      </c>
      <c r="P5568">
        <v>2.1526389999999999E-2</v>
      </c>
      <c r="Q5568">
        <v>0.1228535</v>
      </c>
      <c r="R5568">
        <v>-0.9921915</v>
      </c>
      <c r="S5568">
        <v>-0.50784300000000004</v>
      </c>
      <c r="T5568">
        <v>-0.50506660000000003</v>
      </c>
      <c r="U5568">
        <v>-3.0973510000000002</v>
      </c>
      <c r="V5568">
        <v>-0.1016895</v>
      </c>
      <c r="W5568">
        <v>0.1341736</v>
      </c>
      <c r="X5568">
        <v>0.98572649999999995</v>
      </c>
      <c r="Y5568">
        <v>7.9767409999999997E-2</v>
      </c>
      <c r="Z5568">
        <v>0.15887679999999901</v>
      </c>
      <c r="AA5568">
        <v>0.98407080000000002</v>
      </c>
      <c r="AB5568">
        <v>22</v>
      </c>
      <c r="AC5568">
        <v>-0.105200000000024</v>
      </c>
      <c r="AD5568">
        <v>-0.1195388</v>
      </c>
      <c r="AE5568">
        <v>-0.52632999999999797</v>
      </c>
      <c r="AF5568">
        <v>5.9531884652906097E-2</v>
      </c>
      <c r="AG5568">
        <v>-0.1195388</v>
      </c>
      <c r="AH5568">
        <v>0.50789874712209804</v>
      </c>
      <c r="AI5568">
        <v>103.157161474726</v>
      </c>
      <c r="AJ5568">
        <v>83.314744855473194</v>
      </c>
      <c r="AK5568">
        <v>0.52516160115145905</v>
      </c>
      <c r="AL5568">
        <v>82.289164256376793</v>
      </c>
      <c r="AM5568">
        <v>95.889910923626203</v>
      </c>
      <c r="AN5568">
        <v>1.00000002107472</v>
      </c>
    </row>
    <row r="5569" spans="1:40" x14ac:dyDescent="0.25">
      <c r="A5569" t="str">
        <f>"20190312164616866"</f>
        <v>20190312164616866</v>
      </c>
      <c r="B5569" t="str">
        <f>"1552380376856848"</f>
        <v>1552380376856848</v>
      </c>
      <c r="C5569" t="s">
        <v>40</v>
      </c>
      <c r="D5569">
        <v>5.9912979999999996</v>
      </c>
      <c r="E5569">
        <v>0.57503019999999905</v>
      </c>
      <c r="F5569" t="s">
        <v>41</v>
      </c>
      <c r="G5569">
        <v>-301.58479999999997</v>
      </c>
      <c r="H5569">
        <v>0.99003529999999995</v>
      </c>
      <c r="I5569">
        <v>-28.646380000000001</v>
      </c>
      <c r="J5569">
        <v>-301.48219999999998</v>
      </c>
      <c r="K5569">
        <v>1.110109</v>
      </c>
      <c r="L5569">
        <v>-28.121980000000001</v>
      </c>
      <c r="M5569">
        <v>-7.8749349999999996E-2</v>
      </c>
      <c r="N5569">
        <v>0</v>
      </c>
      <c r="O5569">
        <v>-0.99682630000000005</v>
      </c>
      <c r="P5569">
        <v>2.2660659999999999E-2</v>
      </c>
      <c r="Q5569">
        <v>0.12247860000000001</v>
      </c>
      <c r="R5569">
        <v>-0.99221239999999999</v>
      </c>
      <c r="S5569">
        <v>-0.49890139999999999</v>
      </c>
      <c r="T5569">
        <v>-0.51297409999999999</v>
      </c>
      <c r="U5569">
        <v>-3.0979610000000002</v>
      </c>
      <c r="V5569">
        <v>-0.101133</v>
      </c>
      <c r="W5569">
        <v>0.13369210000000001</v>
      </c>
      <c r="X5569">
        <v>0.98584910000000003</v>
      </c>
      <c r="Y5569">
        <v>7.8658569999999997E-2</v>
      </c>
      <c r="Z5569">
        <v>0.16134579999999901</v>
      </c>
      <c r="AA5569">
        <v>0.98375829999999997</v>
      </c>
      <c r="AB5569">
        <v>22</v>
      </c>
      <c r="AC5569">
        <v>-0.102599999999995</v>
      </c>
      <c r="AD5569">
        <v>-0.12007369999999901</v>
      </c>
      <c r="AE5569">
        <v>-0.52439999999999998</v>
      </c>
      <c r="AF5569">
        <v>5.8051024043770397E-2</v>
      </c>
      <c r="AG5569">
        <v>-0.12007369999999901</v>
      </c>
      <c r="AH5569">
        <v>0.50533416101267403</v>
      </c>
      <c r="AI5569">
        <v>103.28209169966</v>
      </c>
      <c r="AJ5569">
        <v>83.446786886257101</v>
      </c>
      <c r="AK5569">
        <v>0.52263776089238301</v>
      </c>
      <c r="AL5569">
        <v>82.317002475924397</v>
      </c>
      <c r="AM5569">
        <v>95.857179478795004</v>
      </c>
      <c r="AN5569">
        <v>0.99999995463110802</v>
      </c>
    </row>
    <row r="5570" spans="1:40" x14ac:dyDescent="0.25">
      <c r="A5570" t="str">
        <f>"20190312164616889"</f>
        <v>20190312164616889</v>
      </c>
      <c r="B5570" t="str">
        <f>"1552380376877344"</f>
        <v>1552380376877344</v>
      </c>
      <c r="C5570" t="s">
        <v>40</v>
      </c>
      <c r="D5570">
        <v>5.0070699999999997</v>
      </c>
      <c r="E5570">
        <v>0.57459979999999999</v>
      </c>
      <c r="F5570" t="s">
        <v>41</v>
      </c>
      <c r="G5570">
        <v>-301.59739999999999</v>
      </c>
      <c r="H5570">
        <v>0.98990639999999996</v>
      </c>
      <c r="I5570">
        <v>-28.844660000000001</v>
      </c>
      <c r="J5570">
        <v>-301.49770000000001</v>
      </c>
      <c r="K5570">
        <v>1.110249</v>
      </c>
      <c r="L5570">
        <v>-28.348659999999999</v>
      </c>
      <c r="M5570">
        <v>-7.657564E-2</v>
      </c>
      <c r="N5570">
        <v>0</v>
      </c>
      <c r="O5570">
        <v>-0.99699669999999896</v>
      </c>
      <c r="P5570">
        <v>2.4182499999999999E-2</v>
      </c>
      <c r="Q5570">
        <v>0.1227943</v>
      </c>
      <c r="R5570">
        <v>-0.99213770000000001</v>
      </c>
      <c r="S5570">
        <v>-0.49270629999999999</v>
      </c>
      <c r="T5570">
        <v>-0.5156018</v>
      </c>
      <c r="U5570">
        <v>-3.0984500000000001</v>
      </c>
      <c r="V5570">
        <v>-0.1005393</v>
      </c>
      <c r="W5570">
        <v>0.13389479999999901</v>
      </c>
      <c r="X5570">
        <v>0.98588229999999999</v>
      </c>
      <c r="Y5570">
        <v>7.8868359999999998E-2</v>
      </c>
      <c r="Z5570">
        <v>0.16219020000000001</v>
      </c>
      <c r="AA5570">
        <v>0.98360259999999999</v>
      </c>
      <c r="AB5570">
        <v>22</v>
      </c>
      <c r="AC5570">
        <v>-9.9699999999984301E-2</v>
      </c>
      <c r="AD5570">
        <v>-0.12034259999999899</v>
      </c>
      <c r="AE5570">
        <v>-0.495999999999998</v>
      </c>
      <c r="AF5570">
        <v>5.8133868584116802E-2</v>
      </c>
      <c r="AG5570">
        <v>-0.12034259999999899</v>
      </c>
      <c r="AH5570">
        <v>0.47528620368251501</v>
      </c>
      <c r="AI5570">
        <v>104.107794196391</v>
      </c>
      <c r="AJ5570">
        <v>83.026596455473594</v>
      </c>
      <c r="AK5570">
        <v>0.49371941774883898</v>
      </c>
      <c r="AL5570">
        <v>82.305283134245201</v>
      </c>
      <c r="AM5570">
        <v>95.822837205102303</v>
      </c>
      <c r="AN5570">
        <v>0.99999993888240801</v>
      </c>
    </row>
    <row r="5571" spans="1:40" x14ac:dyDescent="0.25">
      <c r="A5571" t="str">
        <f>"20190312164616912"</f>
        <v>20190312164616912</v>
      </c>
      <c r="B5571" t="str">
        <f>"1552380376906625"</f>
        <v>1552380376906625</v>
      </c>
      <c r="C5571" t="s">
        <v>40</v>
      </c>
      <c r="D5571">
        <v>5.7154020000000001</v>
      </c>
      <c r="E5571">
        <v>0.57445389999999996</v>
      </c>
      <c r="F5571" t="s">
        <v>41</v>
      </c>
      <c r="G5571">
        <v>-301.60669999999999</v>
      </c>
      <c r="H5571">
        <v>0.99439560000000005</v>
      </c>
      <c r="I5571">
        <v>-29.04561</v>
      </c>
      <c r="J5571">
        <v>-301.5129</v>
      </c>
      <c r="K5571">
        <v>1.110349</v>
      </c>
      <c r="L5571">
        <v>-28.582550000000001</v>
      </c>
      <c r="M5571">
        <v>-7.4138380000000004E-2</v>
      </c>
      <c r="N5571">
        <v>0</v>
      </c>
      <c r="O5571">
        <v>-0.9971816</v>
      </c>
      <c r="P5571">
        <v>2.6631729999999999E-2</v>
      </c>
      <c r="Q5571">
        <v>0.1230237</v>
      </c>
      <c r="R5571">
        <v>-0.99204680000000001</v>
      </c>
      <c r="S5571">
        <v>-0.48379519999999998</v>
      </c>
      <c r="T5571">
        <v>-0.51530290000000001</v>
      </c>
      <c r="U5571">
        <v>-3.099335</v>
      </c>
      <c r="V5571">
        <v>-0.1005944</v>
      </c>
      <c r="W5571">
        <v>0.13402149999999999</v>
      </c>
      <c r="X5571">
        <v>0.9858595</v>
      </c>
      <c r="Y5571">
        <v>7.8503320000000001E-2</v>
      </c>
      <c r="Z5571">
        <v>0.1621359</v>
      </c>
      <c r="AA5571">
        <v>0.98364079999999998</v>
      </c>
      <c r="AB5571">
        <v>22</v>
      </c>
      <c r="AC5571">
        <v>-9.3799999999987393E-2</v>
      </c>
      <c r="AD5571">
        <v>-0.115953399999999</v>
      </c>
      <c r="AE5571">
        <v>-0.46305999999999498</v>
      </c>
      <c r="AF5571">
        <v>5.5845351375969798E-2</v>
      </c>
      <c r="AG5571">
        <v>-0.115953399999999</v>
      </c>
      <c r="AH5571">
        <v>0.442110847199635</v>
      </c>
      <c r="AI5571">
        <v>104.585195901369</v>
      </c>
      <c r="AJ5571">
        <v>82.800795614214806</v>
      </c>
      <c r="AK5571">
        <v>0.46046269713565802</v>
      </c>
      <c r="AL5571">
        <v>82.297958012606301</v>
      </c>
      <c r="AM5571">
        <v>95.826140244535395</v>
      </c>
      <c r="AN5571">
        <v>0.99999997475692903</v>
      </c>
    </row>
    <row r="5572" spans="1:40" x14ac:dyDescent="0.25">
      <c r="A5572" t="str">
        <f>"20190312164616932"</f>
        <v>20190312164616932</v>
      </c>
      <c r="B5572" t="str">
        <f>"1552380376927121"</f>
        <v>1552380376927121</v>
      </c>
      <c r="C5572" t="s">
        <v>40</v>
      </c>
      <c r="D5572">
        <v>5.7323459999999997</v>
      </c>
      <c r="E5572">
        <v>0.57523040000000003</v>
      </c>
      <c r="F5572" t="s">
        <v>41</v>
      </c>
      <c r="G5572">
        <v>-301.64280000000002</v>
      </c>
      <c r="H5572">
        <v>0.96891360000000004</v>
      </c>
      <c r="I5572">
        <v>-29.42944</v>
      </c>
      <c r="J5572">
        <v>-301.52550000000002</v>
      </c>
      <c r="K5572">
        <v>1.1103909999999999</v>
      </c>
      <c r="L5572">
        <v>-28.782779999999999</v>
      </c>
      <c r="M5572">
        <v>-7.1960109999999994E-2</v>
      </c>
      <c r="N5572">
        <v>0</v>
      </c>
      <c r="O5572">
        <v>-0.9973419</v>
      </c>
      <c r="P5572">
        <v>2.8846900000000002E-2</v>
      </c>
      <c r="Q5572">
        <v>0.1235498</v>
      </c>
      <c r="R5572">
        <v>-0.9919192</v>
      </c>
      <c r="S5572">
        <v>-0.47537230000000003</v>
      </c>
      <c r="T5572">
        <v>-0.51788000000000001</v>
      </c>
      <c r="U5572">
        <v>-3.1010439999999999</v>
      </c>
      <c r="V5572">
        <v>-0.10065499999999999</v>
      </c>
      <c r="W5572">
        <v>0.13446939999999999</v>
      </c>
      <c r="X5572">
        <v>0.98579229999999995</v>
      </c>
      <c r="Y5572">
        <v>7.7969449999999996E-2</v>
      </c>
      <c r="Z5572">
        <v>0.16291359999999999</v>
      </c>
      <c r="AA5572">
        <v>0.9835547</v>
      </c>
      <c r="AB5572">
        <v>22</v>
      </c>
      <c r="AC5572">
        <v>-0.1173</v>
      </c>
      <c r="AD5572">
        <v>-0.141477399999999</v>
      </c>
      <c r="AE5572">
        <v>-0.64666000000000401</v>
      </c>
      <c r="AF5572">
        <v>6.7338576114843507E-2</v>
      </c>
      <c r="AG5572">
        <v>-0.141477399999999</v>
      </c>
      <c r="AH5572">
        <v>0.62448570679793103</v>
      </c>
      <c r="AI5572">
        <v>102.693718816879</v>
      </c>
      <c r="AJ5572">
        <v>83.845550105968698</v>
      </c>
      <c r="AK5572">
        <v>0.64384216741282696</v>
      </c>
      <c r="AL5572">
        <v>82.272060649399606</v>
      </c>
      <c r="AM5572">
        <v>95.830020517589602</v>
      </c>
      <c r="AN5572">
        <v>0.99999995365032301</v>
      </c>
    </row>
    <row r="5573" spans="1:40" x14ac:dyDescent="0.25">
      <c r="A5573" t="str">
        <f>"20190312164616955"</f>
        <v>20190312164616955</v>
      </c>
      <c r="B5573" t="str">
        <f>"1552380376946640"</f>
        <v>1552380376946640</v>
      </c>
      <c r="C5573" t="s">
        <v>40</v>
      </c>
      <c r="D5573">
        <v>5.070659</v>
      </c>
      <c r="E5573">
        <v>0.5763779</v>
      </c>
      <c r="F5573" t="s">
        <v>41</v>
      </c>
      <c r="G5573">
        <v>-301.65499999999997</v>
      </c>
      <c r="H5573">
        <v>0.96971790000000002</v>
      </c>
      <c r="I5573">
        <v>-29.62876</v>
      </c>
      <c r="J5573">
        <v>-301.53910000000002</v>
      </c>
      <c r="K5573">
        <v>1.110393</v>
      </c>
      <c r="L5573">
        <v>-29.011289999999999</v>
      </c>
      <c r="M5573">
        <v>-6.9419819999999993E-2</v>
      </c>
      <c r="N5573">
        <v>0</v>
      </c>
      <c r="O5573">
        <v>-0.99752260000000004</v>
      </c>
      <c r="P5573">
        <v>3.2046270000000002E-2</v>
      </c>
      <c r="Q5573">
        <v>0.1235029</v>
      </c>
      <c r="R5573">
        <v>-0.99182669999999995</v>
      </c>
      <c r="S5573">
        <v>-0.4746399</v>
      </c>
      <c r="T5573">
        <v>-0.51599070000000002</v>
      </c>
      <c r="U5573">
        <v>-3.102509</v>
      </c>
      <c r="V5573">
        <v>-0.1013308</v>
      </c>
      <c r="W5573">
        <v>0.13434370000000001</v>
      </c>
      <c r="X5573">
        <v>0.98574019999999996</v>
      </c>
      <c r="Y5573">
        <v>8.0227399999999893E-2</v>
      </c>
      <c r="Z5573">
        <v>0.16229299999999999</v>
      </c>
      <c r="AA5573">
        <v>0.98347569999999995</v>
      </c>
      <c r="AB5573">
        <v>22</v>
      </c>
      <c r="AC5573">
        <v>-0.115899999999953</v>
      </c>
      <c r="AD5573">
        <v>-0.140675099999999</v>
      </c>
      <c r="AE5573">
        <v>-0.61746999999999297</v>
      </c>
      <c r="AF5573">
        <v>6.9279409832835301E-2</v>
      </c>
      <c r="AG5573">
        <v>-0.140675099999999</v>
      </c>
      <c r="AH5573">
        <v>0.59423293784924902</v>
      </c>
      <c r="AI5573">
        <v>103.232221160241</v>
      </c>
      <c r="AJ5573">
        <v>83.350118759251799</v>
      </c>
      <c r="AK5573">
        <v>0.61457457221377598</v>
      </c>
      <c r="AL5573">
        <v>82.2793286592822</v>
      </c>
      <c r="AM5573">
        <v>95.869199115550202</v>
      </c>
      <c r="AN5573">
        <v>0.999999951327183</v>
      </c>
    </row>
    <row r="5574" spans="1:40" x14ac:dyDescent="0.25">
      <c r="A5574" t="str">
        <f>"20190312164616980"</f>
        <v>20190312164616980</v>
      </c>
      <c r="B5574" t="str">
        <f>"1552380376976896"</f>
        <v>1552380376976896</v>
      </c>
      <c r="C5574" t="s">
        <v>40</v>
      </c>
      <c r="D5574">
        <v>5.0851629999999997</v>
      </c>
      <c r="E5574">
        <v>0.59017819999999899</v>
      </c>
      <c r="F5574" t="s">
        <v>41</v>
      </c>
      <c r="G5574">
        <v>-301.66359999999997</v>
      </c>
      <c r="H5574">
        <v>0.96887599999999996</v>
      </c>
      <c r="I5574">
        <v>-29.82769</v>
      </c>
      <c r="J5574">
        <v>-301.55309999999997</v>
      </c>
      <c r="K5574">
        <v>1.1103749999999999</v>
      </c>
      <c r="L5574">
        <v>-29.256589999999999</v>
      </c>
      <c r="M5574">
        <v>-6.6690589999999994E-2</v>
      </c>
      <c r="N5574">
        <v>0</v>
      </c>
      <c r="O5574">
        <v>-0.99770990000000004</v>
      </c>
      <c r="P5574">
        <v>3.5814690000000003E-2</v>
      </c>
      <c r="Q5574">
        <v>0.12296889999999901</v>
      </c>
      <c r="R5574">
        <v>-0.99176410000000004</v>
      </c>
      <c r="S5574">
        <v>-0.47311399999999998</v>
      </c>
      <c r="T5574">
        <v>-0.53876919999999995</v>
      </c>
      <c r="U5574">
        <v>-3.1070859999999998</v>
      </c>
      <c r="V5574">
        <v>-0.1023809</v>
      </c>
      <c r="W5574">
        <v>0.1337313</v>
      </c>
      <c r="X5574">
        <v>0.98571500000000001</v>
      </c>
      <c r="Y5574">
        <v>8.2094319999999998E-2</v>
      </c>
      <c r="Z5574">
        <v>0.1690556</v>
      </c>
      <c r="AA5574">
        <v>0.98218159999999999</v>
      </c>
      <c r="AB5574">
        <v>22</v>
      </c>
      <c r="AC5574">
        <v>-0.110500000000001</v>
      </c>
      <c r="AD5574">
        <v>-0.14149899999999899</v>
      </c>
      <c r="AE5574">
        <v>-0.57110000000000105</v>
      </c>
      <c r="AF5574">
        <v>6.8132938450995204E-2</v>
      </c>
      <c r="AG5574">
        <v>-0.14149899999999899</v>
      </c>
      <c r="AH5574">
        <v>0.54495195124386198</v>
      </c>
      <c r="AI5574">
        <v>104.44792763694301</v>
      </c>
      <c r="AJ5574">
        <v>82.873540093775603</v>
      </c>
      <c r="AK5574">
        <v>0.56713022619805697</v>
      </c>
      <c r="AL5574">
        <v>82.314736366868999</v>
      </c>
      <c r="AM5574">
        <v>95.929741489270597</v>
      </c>
      <c r="AN5574">
        <v>0.99999998525474998</v>
      </c>
    </row>
    <row r="5575" spans="1:40" x14ac:dyDescent="0.25">
      <c r="A5575" t="str">
        <f>"20190312164617011"</f>
        <v>20190312164617011</v>
      </c>
      <c r="B5575" t="str">
        <f>"1552380377007153"</f>
        <v>1552380377007153</v>
      </c>
      <c r="C5575" t="s">
        <v>40</v>
      </c>
      <c r="D5575">
        <v>5.1028129999999896</v>
      </c>
      <c r="E5575">
        <v>0.59625879999999998</v>
      </c>
      <c r="F5575" t="s">
        <v>41</v>
      </c>
      <c r="G5575">
        <v>-301.68119999999999</v>
      </c>
      <c r="H5575">
        <v>0.890926199999999</v>
      </c>
      <c r="I5575">
        <v>-29.99025</v>
      </c>
      <c r="J5575">
        <v>-301.56909999999999</v>
      </c>
      <c r="K5575">
        <v>1.1103270000000001</v>
      </c>
      <c r="L5575">
        <v>-29.553529999999999</v>
      </c>
      <c r="M5575">
        <v>-6.3433840000000005E-2</v>
      </c>
      <c r="N5575">
        <v>0</v>
      </c>
      <c r="O5575">
        <v>-0.99792329999999996</v>
      </c>
      <c r="P5575">
        <v>4.0012239999999998E-2</v>
      </c>
      <c r="Q5575">
        <v>0.121686</v>
      </c>
      <c r="R5575">
        <v>-0.99176169999999997</v>
      </c>
      <c r="S5575">
        <v>-0.55172730000000003</v>
      </c>
      <c r="T5575">
        <v>-0.94596670000000005</v>
      </c>
      <c r="U5575">
        <v>-3.16214</v>
      </c>
      <c r="V5575">
        <v>-0.1033336</v>
      </c>
      <c r="W5575">
        <v>0.13235659999999999</v>
      </c>
      <c r="X5575">
        <v>0.98580120000000004</v>
      </c>
      <c r="Y5575">
        <v>0.10200529999999999</v>
      </c>
      <c r="Z5575">
        <v>0.28307280000000001</v>
      </c>
      <c r="AA5575">
        <v>0.95365860000000002</v>
      </c>
      <c r="AB5575">
        <v>22</v>
      </c>
      <c r="AC5575">
        <v>-0.11209999999999801</v>
      </c>
      <c r="AD5575">
        <v>-0.21940080000000001</v>
      </c>
      <c r="AE5575">
        <v>-0.436720000000001</v>
      </c>
      <c r="AF5575">
        <v>6.80550592486448E-2</v>
      </c>
      <c r="AG5575">
        <v>-0.21940080000000001</v>
      </c>
      <c r="AH5575">
        <v>0.35814700394002902</v>
      </c>
      <c r="AI5575">
        <v>121.04082751827001</v>
      </c>
      <c r="AJ5575">
        <v>79.240932243946901</v>
      </c>
      <c r="AK5575">
        <v>0.42548499216916702</v>
      </c>
      <c r="AL5575">
        <v>82.394207896361394</v>
      </c>
      <c r="AM5575">
        <v>95.984002258796394</v>
      </c>
      <c r="AN5575">
        <v>1.00000005418697</v>
      </c>
    </row>
    <row r="5576" spans="1:40" x14ac:dyDescent="0.25">
      <c r="A5576" t="str">
        <f>"20190312164617042"</f>
        <v>20190312164617042</v>
      </c>
      <c r="B5576" t="str">
        <f>"1552380377037413"</f>
        <v>1552380377037413</v>
      </c>
      <c r="C5576" t="s">
        <v>40</v>
      </c>
      <c r="D5576">
        <v>4.811547</v>
      </c>
      <c r="E5576">
        <v>0.6017808</v>
      </c>
      <c r="F5576" t="s">
        <v>41</v>
      </c>
      <c r="G5576">
        <v>-301.72359999999998</v>
      </c>
      <c r="H5576">
        <v>0.87439489999999997</v>
      </c>
      <c r="I5576">
        <v>-30.382249999999999</v>
      </c>
      <c r="J5576">
        <v>-301.5856</v>
      </c>
      <c r="K5576">
        <v>1.110268</v>
      </c>
      <c r="L5576">
        <v>-29.88034</v>
      </c>
      <c r="M5576">
        <v>-5.9945940000000003E-2</v>
      </c>
      <c r="N5576">
        <v>0</v>
      </c>
      <c r="O5576">
        <v>-0.99813989999999997</v>
      </c>
      <c r="P5576">
        <v>4.5061860000000002E-2</v>
      </c>
      <c r="Q5576">
        <v>0.118354399999999</v>
      </c>
      <c r="R5576">
        <v>-0.99194850000000001</v>
      </c>
      <c r="S5576">
        <v>-0.58804319999999999</v>
      </c>
      <c r="T5576">
        <v>-0.89950010000000002</v>
      </c>
      <c r="U5576">
        <v>-3.1589969999999998</v>
      </c>
      <c r="V5576">
        <v>-0.1049127</v>
      </c>
      <c r="W5576">
        <v>0.12892670000000001</v>
      </c>
      <c r="X5576">
        <v>0.98608890000000005</v>
      </c>
      <c r="Y5576">
        <v>0.1169343</v>
      </c>
      <c r="Z5576">
        <v>0.27007049999999999</v>
      </c>
      <c r="AA5576">
        <v>0.95571349999999999</v>
      </c>
      <c r="AB5576">
        <v>22</v>
      </c>
      <c r="AC5576">
        <v>-0.137999999999976</v>
      </c>
      <c r="AD5576">
        <v>-0.235873099999999</v>
      </c>
      <c r="AE5576">
        <v>-0.50190999999999497</v>
      </c>
      <c r="AF5576">
        <v>8.9321883568173305E-2</v>
      </c>
      <c r="AG5576">
        <v>-0.235873099999999</v>
      </c>
      <c r="AH5576">
        <v>0.422523055711992</v>
      </c>
      <c r="AI5576">
        <v>118.642395269791</v>
      </c>
      <c r="AJ5576">
        <v>78.063350343443801</v>
      </c>
      <c r="AK5576">
        <v>0.49207748454483802</v>
      </c>
      <c r="AL5576">
        <v>82.592425498344696</v>
      </c>
      <c r="AM5576">
        <v>96.073009430472396</v>
      </c>
      <c r="AN5576">
        <v>1.00000004364869</v>
      </c>
    </row>
    <row r="5577" spans="1:40" x14ac:dyDescent="0.25">
      <c r="A5577" t="str">
        <f>"20190312164617066"</f>
        <v>20190312164617066</v>
      </c>
      <c r="B5577" t="str">
        <f>"1552380377056929"</f>
        <v>1552380377056929</v>
      </c>
      <c r="C5577" t="s">
        <v>40</v>
      </c>
      <c r="D5577">
        <v>5.1329079999999996</v>
      </c>
      <c r="E5577">
        <v>0.60304829999999998</v>
      </c>
      <c r="F5577" t="s">
        <v>41</v>
      </c>
      <c r="G5577">
        <v>-301.72539999999998</v>
      </c>
      <c r="H5577">
        <v>0.90557279999999996</v>
      </c>
      <c r="I5577">
        <v>-30.595870000000001</v>
      </c>
      <c r="J5577">
        <v>-301.59710000000001</v>
      </c>
      <c r="K5577">
        <v>1.1102379999999901</v>
      </c>
      <c r="L5577">
        <v>-30.119810000000001</v>
      </c>
      <c r="M5577">
        <v>-5.7435350000000003E-2</v>
      </c>
      <c r="N5577">
        <v>0</v>
      </c>
      <c r="O5577">
        <v>-0.99828830000000002</v>
      </c>
      <c r="P5577">
        <v>4.8777460000000002E-2</v>
      </c>
      <c r="Q5577">
        <v>0.1168878</v>
      </c>
      <c r="R5577">
        <v>-0.99194680000000002</v>
      </c>
      <c r="S5577">
        <v>-0.61712650000000002</v>
      </c>
      <c r="T5577">
        <v>-0.90414269999999997</v>
      </c>
      <c r="U5577">
        <v>-3.1602480000000002</v>
      </c>
      <c r="V5577">
        <v>-0.1061259</v>
      </c>
      <c r="W5577">
        <v>0.12738930000000001</v>
      </c>
      <c r="X5577">
        <v>0.9861588</v>
      </c>
      <c r="Y5577">
        <v>0.12779699999999999</v>
      </c>
      <c r="Z5577">
        <v>0.2709259</v>
      </c>
      <c r="AA5577">
        <v>0.95407920000000002</v>
      </c>
      <c r="AB5577">
        <v>22</v>
      </c>
      <c r="AC5577">
        <v>-0.128299999999967</v>
      </c>
      <c r="AD5577">
        <v>-0.20466519999999899</v>
      </c>
      <c r="AE5577">
        <v>-0.47606000000000298</v>
      </c>
      <c r="AF5577">
        <v>8.5936085946326402E-2</v>
      </c>
      <c r="AG5577">
        <v>-0.20466519999999899</v>
      </c>
      <c r="AH5577">
        <v>0.41170245798760502</v>
      </c>
      <c r="AI5577">
        <v>115.948993107129</v>
      </c>
      <c r="AJ5577">
        <v>78.209739910823501</v>
      </c>
      <c r="AK5577">
        <v>0.46773044467069902</v>
      </c>
      <c r="AL5577">
        <v>82.681243838863097</v>
      </c>
      <c r="AM5577">
        <v>96.142271165789097</v>
      </c>
      <c r="AN5577">
        <v>0.999999959611369</v>
      </c>
    </row>
    <row r="5578" spans="1:40" x14ac:dyDescent="0.25">
      <c r="A5578" t="str">
        <f>"20190312164617088"</f>
        <v>20190312164617088</v>
      </c>
      <c r="B5578" t="str">
        <f>"1552380377077425"</f>
        <v>1552380377077425</v>
      </c>
      <c r="C5578" t="s">
        <v>40</v>
      </c>
      <c r="D5578">
        <v>4.6896849999999999</v>
      </c>
      <c r="E5578">
        <v>0.604599199999999</v>
      </c>
      <c r="F5578" t="s">
        <v>41</v>
      </c>
      <c r="G5578">
        <v>-301.73070000000001</v>
      </c>
      <c r="H5578">
        <v>0.91827259999999999</v>
      </c>
      <c r="I5578">
        <v>-30.802070000000001</v>
      </c>
      <c r="J5578">
        <v>-301.60700000000003</v>
      </c>
      <c r="K5578">
        <v>1.1102069999999999</v>
      </c>
      <c r="L5578">
        <v>-30.338650000000001</v>
      </c>
      <c r="M5578">
        <v>-5.5163879999999998E-2</v>
      </c>
      <c r="N5578">
        <v>0</v>
      </c>
      <c r="O5578">
        <v>-0.99841740000000001</v>
      </c>
      <c r="P5578">
        <v>5.2161689999999997E-2</v>
      </c>
      <c r="Q5578">
        <v>0.11598509999999999</v>
      </c>
      <c r="R5578">
        <v>-0.9918806</v>
      </c>
      <c r="S5578">
        <v>-0.61740109999999904</v>
      </c>
      <c r="T5578">
        <v>-0.88927040000000002</v>
      </c>
      <c r="U5578">
        <v>-3.1595149999999999</v>
      </c>
      <c r="V5578">
        <v>-0.1072466</v>
      </c>
      <c r="W5578">
        <v>0.12642300000000001</v>
      </c>
      <c r="X5578">
        <v>0.98616190000000004</v>
      </c>
      <c r="Y5578">
        <v>0.1303917</v>
      </c>
      <c r="Z5578">
        <v>0.2668509</v>
      </c>
      <c r="AA5578">
        <v>0.95487619999999895</v>
      </c>
      <c r="AB5578">
        <v>22</v>
      </c>
      <c r="AC5578">
        <v>-0.123699999999985</v>
      </c>
      <c r="AD5578">
        <v>-0.19193439999999901</v>
      </c>
      <c r="AE5578">
        <v>-0.463419999999999</v>
      </c>
      <c r="AF5578">
        <v>8.44269940398992E-2</v>
      </c>
      <c r="AG5578">
        <v>-0.19193439999999901</v>
      </c>
      <c r="AH5578">
        <v>0.40473017080485701</v>
      </c>
      <c r="AI5578">
        <v>114.90238675707199</v>
      </c>
      <c r="AJ5578">
        <v>78.217030492874699</v>
      </c>
      <c r="AK5578">
        <v>0.45582150276802602</v>
      </c>
      <c r="AL5578">
        <v>82.737059978361501</v>
      </c>
      <c r="AM5578">
        <v>96.206611175018594</v>
      </c>
      <c r="AN5578">
        <v>0.99999995057608304</v>
      </c>
    </row>
    <row r="5579" spans="1:40" x14ac:dyDescent="0.25">
      <c r="A5579" t="str">
        <f>"20190312164617113"</f>
        <v>20190312164617113</v>
      </c>
      <c r="B5579" t="str">
        <f>"1552380377106705"</f>
        <v>1552380377106705</v>
      </c>
      <c r="C5579" t="s">
        <v>40</v>
      </c>
      <c r="D5579">
        <v>5.0499720000000003</v>
      </c>
      <c r="E5579">
        <v>0.6052071</v>
      </c>
      <c r="F5579" t="s">
        <v>41</v>
      </c>
      <c r="G5579">
        <v>-301.73790000000002</v>
      </c>
      <c r="H5579">
        <v>0.9236451</v>
      </c>
      <c r="I5579">
        <v>-31.005379999999999</v>
      </c>
      <c r="J5579">
        <v>-301.61739999999998</v>
      </c>
      <c r="K5579">
        <v>1.1101780000000001</v>
      </c>
      <c r="L5579">
        <v>-30.581969999999998</v>
      </c>
      <c r="M5579">
        <v>-5.265065E-2</v>
      </c>
      <c r="N5579">
        <v>0</v>
      </c>
      <c r="O5579">
        <v>-0.99855369999999999</v>
      </c>
      <c r="P5579">
        <v>5.6075109999999997E-2</v>
      </c>
      <c r="Q5579">
        <v>0.1153613</v>
      </c>
      <c r="R5579">
        <v>-0.99173999999999995</v>
      </c>
      <c r="S5579">
        <v>-0.62033079999999996</v>
      </c>
      <c r="T5579">
        <v>-0.8844533</v>
      </c>
      <c r="U5579">
        <v>-3.1606139999999998</v>
      </c>
      <c r="V5579">
        <v>-0.10865420000000001</v>
      </c>
      <c r="W5579">
        <v>0.1257277</v>
      </c>
      <c r="X5579">
        <v>0.98609669999999905</v>
      </c>
      <c r="Y5579">
        <v>0.1337525</v>
      </c>
      <c r="Z5579">
        <v>0.2653953</v>
      </c>
      <c r="AA5579">
        <v>0.95481709999999997</v>
      </c>
      <c r="AB5579">
        <v>23</v>
      </c>
      <c r="AC5579">
        <v>-0.120500000000049</v>
      </c>
      <c r="AD5579">
        <v>-0.1865329</v>
      </c>
      <c r="AE5579">
        <v>-0.42340999999999601</v>
      </c>
      <c r="AF5579">
        <v>8.3115933878672194E-2</v>
      </c>
      <c r="AG5579">
        <v>-0.1865329</v>
      </c>
      <c r="AH5579">
        <v>0.36384251499265002</v>
      </c>
      <c r="AI5579">
        <v>116.555872119276</v>
      </c>
      <c r="AJ5579">
        <v>77.132192513725002</v>
      </c>
      <c r="AK5579">
        <v>0.417233935536302</v>
      </c>
      <c r="AL5579">
        <v>82.777218137135193</v>
      </c>
      <c r="AM5579">
        <v>96.287836437752404</v>
      </c>
      <c r="AN5579">
        <v>0.99999994573790796</v>
      </c>
    </row>
    <row r="5580" spans="1:40" x14ac:dyDescent="0.25">
      <c r="A5580" t="str">
        <f>"20190312164617135"</f>
        <v>20190312164617135</v>
      </c>
      <c r="B5580" t="str">
        <f>"1552380377127200"</f>
        <v>1552380377127200</v>
      </c>
      <c r="C5580" t="s">
        <v>40</v>
      </c>
      <c r="D5580">
        <v>4.5566129999999996</v>
      </c>
      <c r="E5580">
        <v>0.60587049999999998</v>
      </c>
      <c r="F5580" t="s">
        <v>41</v>
      </c>
      <c r="G5580">
        <v>-301.77480000000003</v>
      </c>
      <c r="H5580">
        <v>0.888154</v>
      </c>
      <c r="I5580">
        <v>-31.391729999999999</v>
      </c>
      <c r="J5580">
        <v>-301.6266</v>
      </c>
      <c r="K5580">
        <v>1.110161</v>
      </c>
      <c r="L5580">
        <v>-30.807860000000002</v>
      </c>
      <c r="M5580">
        <v>-5.0318109999999999E-2</v>
      </c>
      <c r="N5580">
        <v>0</v>
      </c>
      <c r="O5580">
        <v>-0.99867470000000003</v>
      </c>
      <c r="P5580">
        <v>5.996816E-2</v>
      </c>
      <c r="Q5580">
        <v>0.1153425</v>
      </c>
      <c r="R5580">
        <v>-0.99151420000000001</v>
      </c>
      <c r="S5580">
        <v>-0.61453250000000004</v>
      </c>
      <c r="T5580">
        <v>-0.86650499999999997</v>
      </c>
      <c r="U5580">
        <v>-3.1605219999999998</v>
      </c>
      <c r="V5580">
        <v>-0.1102215</v>
      </c>
      <c r="W5580">
        <v>0.12564439999999999</v>
      </c>
      <c r="X5580">
        <v>0.98593339999999996</v>
      </c>
      <c r="Y5580">
        <v>0.13464019999999999</v>
      </c>
      <c r="Z5580">
        <v>0.26046079999999999</v>
      </c>
      <c r="AA5580">
        <v>0.95605030000000002</v>
      </c>
      <c r="AB5580">
        <v>23</v>
      </c>
      <c r="AC5580">
        <v>-0.148200000000031</v>
      </c>
      <c r="AD5580">
        <v>-0.22200699999999901</v>
      </c>
      <c r="AE5580">
        <v>-0.583870000000001</v>
      </c>
      <c r="AF5580">
        <v>0.104444881187381</v>
      </c>
      <c r="AG5580">
        <v>-0.22200699999999901</v>
      </c>
      <c r="AH5580">
        <v>0.51996298057332602</v>
      </c>
      <c r="AI5580">
        <v>112.71444671091901</v>
      </c>
      <c r="AJ5580">
        <v>78.642154193252694</v>
      </c>
      <c r="AK5580">
        <v>0.57494116431330899</v>
      </c>
      <c r="AL5580">
        <v>82.782029287357403</v>
      </c>
      <c r="AM5580">
        <v>96.378841869089101</v>
      </c>
      <c r="AN5580">
        <v>0.99999998177458405</v>
      </c>
    </row>
    <row r="5581" spans="1:40" x14ac:dyDescent="0.25">
      <c r="A5581" t="str">
        <f>"20190312164617157"</f>
        <v>20190312164617157</v>
      </c>
      <c r="B5581" t="str">
        <f>"1552380377146721"</f>
        <v>1552380377146721</v>
      </c>
      <c r="C5581" t="s">
        <v>40</v>
      </c>
      <c r="D5581">
        <v>4.7638099999999897</v>
      </c>
      <c r="E5581">
        <v>0.60627779999999998</v>
      </c>
      <c r="F5581" t="s">
        <v>41</v>
      </c>
      <c r="G5581">
        <v>-301.77839999999998</v>
      </c>
      <c r="H5581">
        <v>0.89571979999999995</v>
      </c>
      <c r="I5581">
        <v>-31.596609999999998</v>
      </c>
      <c r="J5581">
        <v>-301.63529999999997</v>
      </c>
      <c r="K5581">
        <v>1.11015</v>
      </c>
      <c r="L5581">
        <v>-31.033539999999999</v>
      </c>
      <c r="M5581">
        <v>-4.7983650000000003E-2</v>
      </c>
      <c r="N5581">
        <v>0</v>
      </c>
      <c r="O5581">
        <v>-0.99878999999999996</v>
      </c>
      <c r="P5581">
        <v>6.3151689999999996E-2</v>
      </c>
      <c r="Q5581">
        <v>0.11546389999999999</v>
      </c>
      <c r="R5581">
        <v>-0.99130200000000002</v>
      </c>
      <c r="S5581">
        <v>-0.60784910000000003</v>
      </c>
      <c r="T5581">
        <v>-0.85997749999999995</v>
      </c>
      <c r="U5581">
        <v>-3.1624759999999998</v>
      </c>
      <c r="V5581">
        <v>-0.11108220000000001</v>
      </c>
      <c r="W5581">
        <v>0.12571009999999999</v>
      </c>
      <c r="X5581">
        <v>0.9858285</v>
      </c>
      <c r="Y5581">
        <v>0.1349921</v>
      </c>
      <c r="Z5581">
        <v>0.25857010000000002</v>
      </c>
      <c r="AA5581">
        <v>0.95651379999999997</v>
      </c>
      <c r="AB5581">
        <v>23</v>
      </c>
      <c r="AC5581">
        <v>-0.143100000000004</v>
      </c>
      <c r="AD5581">
        <v>-0.21443019999999899</v>
      </c>
      <c r="AE5581">
        <v>-0.56306999999999596</v>
      </c>
      <c r="AF5581">
        <v>0.10201777821036</v>
      </c>
      <c r="AG5581">
        <v>-0.21443019999999899</v>
      </c>
      <c r="AH5581">
        <v>0.50103355139149897</v>
      </c>
      <c r="AI5581">
        <v>112.751748391986</v>
      </c>
      <c r="AJ5581">
        <v>78.491067243363204</v>
      </c>
      <c r="AK5581">
        <v>0.55445699324924802</v>
      </c>
      <c r="AL5581">
        <v>82.7782354220505</v>
      </c>
      <c r="AM5581">
        <v>96.4289160412077</v>
      </c>
      <c r="AN5581">
        <v>1.0000000579055399</v>
      </c>
    </row>
    <row r="5582" spans="1:40" x14ac:dyDescent="0.25">
      <c r="A5582" t="str">
        <f>"20190312164617179"</f>
        <v>20190312164617179</v>
      </c>
      <c r="B5582" t="str">
        <f>"1552380377167217"</f>
        <v>1552380377167217</v>
      </c>
      <c r="C5582" t="s">
        <v>40</v>
      </c>
      <c r="D5582">
        <v>5.0405059999999997</v>
      </c>
      <c r="E5582">
        <v>0.60705390000000004</v>
      </c>
      <c r="F5582" t="s">
        <v>41</v>
      </c>
      <c r="G5582">
        <v>-301.78120000000001</v>
      </c>
      <c r="H5582">
        <v>0.90230920000000003</v>
      </c>
      <c r="I5582">
        <v>-31.801290000000002</v>
      </c>
      <c r="J5582">
        <v>-301.64299999999997</v>
      </c>
      <c r="K5582">
        <v>1.110142</v>
      </c>
      <c r="L5582">
        <v>-31.25027</v>
      </c>
      <c r="M5582">
        <v>-4.5736199999999998E-2</v>
      </c>
      <c r="N5582">
        <v>0</v>
      </c>
      <c r="O5582">
        <v>-0.99889609999999995</v>
      </c>
      <c r="P5582">
        <v>6.661657E-2</v>
      </c>
      <c r="Q5582">
        <v>0.1156577</v>
      </c>
      <c r="R5582">
        <v>-0.99105299999999996</v>
      </c>
      <c r="S5582">
        <v>-0.60104369999999996</v>
      </c>
      <c r="T5582">
        <v>-0.85669899999999999</v>
      </c>
      <c r="U5582">
        <v>-3.1643979999999998</v>
      </c>
      <c r="V5582">
        <v>-0.1123104</v>
      </c>
      <c r="W5582">
        <v>0.12585060000000001</v>
      </c>
      <c r="X5582">
        <v>0.98567130000000003</v>
      </c>
      <c r="Y5582">
        <v>0.1351763</v>
      </c>
      <c r="Z5582">
        <v>0.25759120000000002</v>
      </c>
      <c r="AA5582">
        <v>0.95675189999999999</v>
      </c>
      <c r="AB5582">
        <v>23</v>
      </c>
      <c r="AC5582">
        <v>-0.13820000000004001</v>
      </c>
      <c r="AD5582">
        <v>-0.20783280000000001</v>
      </c>
      <c r="AE5582">
        <v>-0.55102000000000095</v>
      </c>
      <c r="AF5582">
        <v>9.9530753025245305E-2</v>
      </c>
      <c r="AG5582">
        <v>-0.20783280000000001</v>
      </c>
      <c r="AH5582">
        <v>0.49104142845863402</v>
      </c>
      <c r="AI5582">
        <v>112.52933727245799</v>
      </c>
      <c r="AJ5582">
        <v>78.541771241470798</v>
      </c>
      <c r="AK5582">
        <v>0.54242283139291603</v>
      </c>
      <c r="AL5582">
        <v>82.770120177135098</v>
      </c>
      <c r="AM5582">
        <v>96.500421245244993</v>
      </c>
      <c r="AN5582">
        <v>0.99999995555610399</v>
      </c>
    </row>
    <row r="5583" spans="1:40" x14ac:dyDescent="0.25">
      <c r="A5583" t="str">
        <f>"20190312164617205"</f>
        <v>20190312164617205</v>
      </c>
      <c r="B5583" t="str">
        <f>"1552380377197423"</f>
        <v>1552380377197423</v>
      </c>
      <c r="C5583" t="s">
        <v>40</v>
      </c>
      <c r="D5583">
        <v>4.5158639999999997</v>
      </c>
      <c r="E5583">
        <v>0.60722169999999998</v>
      </c>
      <c r="F5583" t="s">
        <v>41</v>
      </c>
      <c r="G5583">
        <v>-301.78559999999999</v>
      </c>
      <c r="H5583">
        <v>0.90795809999999999</v>
      </c>
      <c r="I5583">
        <v>-32.00582</v>
      </c>
      <c r="J5583">
        <v>-301.65199999999999</v>
      </c>
      <c r="K5583">
        <v>1.1101350000000001</v>
      </c>
      <c r="L5583">
        <v>-31.516079999999999</v>
      </c>
      <c r="M5583">
        <v>-4.2972969999999999E-2</v>
      </c>
      <c r="N5583">
        <v>0</v>
      </c>
      <c r="O5583">
        <v>-0.99901930000000005</v>
      </c>
      <c r="P5583">
        <v>7.1287890000000007E-2</v>
      </c>
      <c r="Q5583">
        <v>0.1159355</v>
      </c>
      <c r="R5583">
        <v>-0.9906954</v>
      </c>
      <c r="S5583">
        <v>-0.59661869999999995</v>
      </c>
      <c r="T5583">
        <v>-0.84744129999999995</v>
      </c>
      <c r="U5583">
        <v>-3.166077</v>
      </c>
      <c r="V5583">
        <v>-0.11423270000000001</v>
      </c>
      <c r="W5583">
        <v>0.1260607</v>
      </c>
      <c r="X5583">
        <v>0.98542359999999896</v>
      </c>
      <c r="Y5583">
        <v>0.13666220000000001</v>
      </c>
      <c r="Z5583">
        <v>0.25491710000000001</v>
      </c>
      <c r="AA5583">
        <v>0.95725689999999997</v>
      </c>
      <c r="AB5583">
        <v>23</v>
      </c>
      <c r="AC5583">
        <v>-0.133600000000001</v>
      </c>
      <c r="AD5583">
        <v>-0.20217689999999999</v>
      </c>
      <c r="AE5583">
        <v>-0.48974000000000101</v>
      </c>
      <c r="AF5583">
        <v>9.7037662220785498E-2</v>
      </c>
      <c r="AG5583">
        <v>-0.20217689999999999</v>
      </c>
      <c r="AH5583">
        <v>0.42725742018381102</v>
      </c>
      <c r="AI5583">
        <v>114.770742071366</v>
      </c>
      <c r="AJ5583">
        <v>77.204188055683204</v>
      </c>
      <c r="AK5583">
        <v>0.48253570840406301</v>
      </c>
      <c r="AL5583">
        <v>82.757986312170402</v>
      </c>
      <c r="AM5583">
        <v>96.612352533651602</v>
      </c>
      <c r="AN5583">
        <v>1.00000004063536</v>
      </c>
    </row>
    <row r="5584" spans="1:40" x14ac:dyDescent="0.25">
      <c r="A5584" t="str">
        <f>"20190312164617244"</f>
        <v>20190312164617244</v>
      </c>
      <c r="B5584" t="str">
        <f>"1552380377237443"</f>
        <v>1552380377237443</v>
      </c>
      <c r="C5584" t="s">
        <v>40</v>
      </c>
      <c r="D5584">
        <v>4.7177680000000004</v>
      </c>
      <c r="E5584">
        <v>0.51603750000000004</v>
      </c>
      <c r="F5584" t="s">
        <v>41</v>
      </c>
      <c r="G5584">
        <v>-301.78120000000001</v>
      </c>
      <c r="H5584">
        <v>0.92620069999999999</v>
      </c>
      <c r="I5584">
        <v>-32.216259999999998</v>
      </c>
      <c r="J5584">
        <v>-301.66379999999998</v>
      </c>
      <c r="K5584">
        <v>1.110134</v>
      </c>
      <c r="L5584">
        <v>-31.907869999999999</v>
      </c>
      <c r="M5584">
        <v>-3.889215E-2</v>
      </c>
      <c r="N5584">
        <v>0</v>
      </c>
      <c r="O5584">
        <v>-0.99918739999999995</v>
      </c>
      <c r="P5584">
        <v>7.9322649999999995E-2</v>
      </c>
      <c r="Q5584">
        <v>0.1158725</v>
      </c>
      <c r="R5584">
        <v>-0.99009170000000002</v>
      </c>
      <c r="S5584">
        <v>-0.58432010000000001</v>
      </c>
      <c r="T5584">
        <v>-0.8321617</v>
      </c>
      <c r="U5584">
        <v>-3.1676030000000002</v>
      </c>
      <c r="V5584">
        <v>-0.11820839999999901</v>
      </c>
      <c r="W5584">
        <v>0.12590460000000001</v>
      </c>
      <c r="X5584">
        <v>0.98497449999999998</v>
      </c>
      <c r="Y5584">
        <v>0.137232299999999</v>
      </c>
      <c r="Z5584">
        <v>0.2506372</v>
      </c>
      <c r="AA5584">
        <v>0.95830490000000002</v>
      </c>
      <c r="AB5584">
        <v>23</v>
      </c>
      <c r="AC5584">
        <v>-0.11740000000003099</v>
      </c>
      <c r="AD5584">
        <v>-0.18393329999999999</v>
      </c>
      <c r="AE5584">
        <v>-0.308389999999995</v>
      </c>
      <c r="AF5584">
        <v>8.0351249345256295E-2</v>
      </c>
      <c r="AG5584">
        <v>-0.18393329999999999</v>
      </c>
      <c r="AH5584">
        <v>0.23859186752303599</v>
      </c>
      <c r="AI5584">
        <v>126.151634550357</v>
      </c>
      <c r="AJ5584">
        <v>71.387874747094898</v>
      </c>
      <c r="AK5584">
        <v>0.31179137474979002</v>
      </c>
      <c r="AL5584">
        <v>82.7670015743969</v>
      </c>
      <c r="AM5584">
        <v>96.843430574603502</v>
      </c>
      <c r="AN5584">
        <v>0.99999997989098399</v>
      </c>
    </row>
    <row r="5585" spans="1:40" x14ac:dyDescent="0.25">
      <c r="A5585" t="str">
        <f>"20190312164617266"</f>
        <v>20190312164617266</v>
      </c>
      <c r="B5585" t="str">
        <f>"1552380377256960"</f>
        <v>1552380377256960</v>
      </c>
      <c r="C5585" t="s">
        <v>40</v>
      </c>
      <c r="D5585">
        <v>4.526554</v>
      </c>
      <c r="E5585">
        <v>0.44741700000000001</v>
      </c>
      <c r="F5585" t="s">
        <v>52</v>
      </c>
      <c r="G5585">
        <v>-301.1266</v>
      </c>
      <c r="H5585" s="1">
        <v>-2.1780320000000002E-6</v>
      </c>
      <c r="I5585">
        <v>-43.556690000000003</v>
      </c>
      <c r="J5585">
        <v>-301.67</v>
      </c>
      <c r="K5585">
        <v>1.1101319999999999</v>
      </c>
      <c r="L5585">
        <v>-32.137509999999999</v>
      </c>
      <c r="M5585">
        <v>-3.6496430000000003E-2</v>
      </c>
      <c r="N5585">
        <v>0</v>
      </c>
      <c r="O5585">
        <v>-0.999278</v>
      </c>
      <c r="P5585">
        <v>8.3826499999999998E-2</v>
      </c>
      <c r="Q5585">
        <v>0.1158714</v>
      </c>
      <c r="R5585">
        <v>-0.98972059999999995</v>
      </c>
      <c r="S5585">
        <v>0.1407776</v>
      </c>
      <c r="T5585">
        <v>-0.29093229999999998</v>
      </c>
      <c r="U5585">
        <v>-3.0527950000000001</v>
      </c>
      <c r="V5585">
        <v>-0.1203318</v>
      </c>
      <c r="W5585">
        <v>0.1258563</v>
      </c>
      <c r="X5585">
        <v>0.98472360000000003</v>
      </c>
      <c r="Y5585">
        <v>-8.2287550000000001E-2</v>
      </c>
      <c r="Z5585">
        <v>9.4564910000000002E-2</v>
      </c>
      <c r="AA5585">
        <v>0.99211199999999999</v>
      </c>
      <c r="AB5585">
        <v>23</v>
      </c>
      <c r="AC5585">
        <v>0.54340000000001898</v>
      </c>
      <c r="AD5585">
        <v>-1.110134178032</v>
      </c>
      <c r="AE5585">
        <v>-11.419180000000001</v>
      </c>
      <c r="AF5585">
        <v>-0.950854186937937</v>
      </c>
      <c r="AG5585">
        <v>-1.110134178032</v>
      </c>
      <c r="AH5585">
        <v>11.285320829800799</v>
      </c>
      <c r="AI5585">
        <v>95.598386825271106</v>
      </c>
      <c r="AJ5585">
        <v>94.816128888924595</v>
      </c>
      <c r="AK5585">
        <v>11.379586451606601</v>
      </c>
      <c r="AL5585">
        <v>82.769791728226906</v>
      </c>
      <c r="AM5585">
        <v>96.966920607243395</v>
      </c>
      <c r="AN5585">
        <v>1.00000005936894</v>
      </c>
    </row>
    <row r="5586" spans="1:40" x14ac:dyDescent="0.25">
      <c r="A5586" t="str">
        <f>"20190312164617291"</f>
        <v>20190312164617291</v>
      </c>
      <c r="B5586" t="str">
        <f>"1552380377287525"</f>
        <v>1552380377287525</v>
      </c>
      <c r="C5586" t="s">
        <v>40</v>
      </c>
      <c r="D5586">
        <v>4.5927769999999999</v>
      </c>
      <c r="E5586">
        <v>0.43701390000000001</v>
      </c>
      <c r="F5586" t="s">
        <v>52</v>
      </c>
      <c r="G5586">
        <v>-293.37959999999998</v>
      </c>
      <c r="H5586" s="1">
        <v>-1.238767E-5</v>
      </c>
      <c r="I5586">
        <v>-67.967179999999999</v>
      </c>
      <c r="J5586">
        <v>-301.67599999999999</v>
      </c>
      <c r="K5586">
        <v>1.1101350000000001</v>
      </c>
      <c r="L5586">
        <v>-32.385219999999997</v>
      </c>
      <c r="M5586">
        <v>-3.3911719999999999E-2</v>
      </c>
      <c r="N5586">
        <v>0</v>
      </c>
      <c r="O5586">
        <v>-0.99936970000000003</v>
      </c>
      <c r="P5586">
        <v>8.7865520000000003E-2</v>
      </c>
      <c r="Q5586">
        <v>0.1165032</v>
      </c>
      <c r="R5586">
        <v>-0.98929619999999996</v>
      </c>
      <c r="S5586">
        <v>0.69033809999999995</v>
      </c>
      <c r="T5586">
        <v>-9.2441200000000001E-2</v>
      </c>
      <c r="U5586">
        <v>-2.9835210000000001</v>
      </c>
      <c r="V5586">
        <v>-0.1218072</v>
      </c>
      <c r="W5586">
        <v>0.1264438</v>
      </c>
      <c r="X5586">
        <v>0.98446690000000003</v>
      </c>
      <c r="Y5586">
        <v>-0.25823689999999999</v>
      </c>
      <c r="Z5586">
        <v>3.002088E-2</v>
      </c>
      <c r="AA5586">
        <v>0.965615</v>
      </c>
      <c r="AB5586">
        <v>23</v>
      </c>
      <c r="AC5586">
        <v>8.2964000000000002</v>
      </c>
      <c r="AD5586">
        <v>-1.1101473876700001</v>
      </c>
      <c r="AE5586">
        <v>-35.581959999999903</v>
      </c>
      <c r="AF5586">
        <v>-9.4895785302993403</v>
      </c>
      <c r="AG5586">
        <v>-1.1101473876700001</v>
      </c>
      <c r="AH5586">
        <v>35.247589768998203</v>
      </c>
      <c r="AI5586">
        <v>91.741986698918495</v>
      </c>
      <c r="AJ5586">
        <v>105.06824993267099</v>
      </c>
      <c r="AK5586">
        <v>36.519544252751302</v>
      </c>
      <c r="AL5586">
        <v>82.735859332057203</v>
      </c>
      <c r="AM5586">
        <v>97.053308026799201</v>
      </c>
      <c r="AN5586">
        <v>1.00000005286294</v>
      </c>
    </row>
    <row r="5587" spans="1:40" x14ac:dyDescent="0.25">
      <c r="A5587" t="str">
        <f>"20190312164617312"</f>
        <v>20190312164617312</v>
      </c>
      <c r="B5587" t="str">
        <f>"1552380377307044"</f>
        <v>1552380377307044</v>
      </c>
      <c r="C5587" t="s">
        <v>40</v>
      </c>
      <c r="D5587">
        <v>4.4052600000000002</v>
      </c>
      <c r="E5587">
        <v>0.4363397</v>
      </c>
      <c r="F5587" t="s">
        <v>43</v>
      </c>
      <c r="G5587">
        <v>-288.5401</v>
      </c>
      <c r="H5587">
        <v>-0.05</v>
      </c>
      <c r="I5587">
        <v>-82.146119999999996</v>
      </c>
      <c r="J5587">
        <v>-301.68090000000001</v>
      </c>
      <c r="K5587">
        <v>1.1101319999999999</v>
      </c>
      <c r="L5587">
        <v>-32.60962</v>
      </c>
      <c r="M5587">
        <v>-3.1571200000000001E-2</v>
      </c>
      <c r="N5587">
        <v>0</v>
      </c>
      <c r="O5587">
        <v>-0.99944670000000002</v>
      </c>
      <c r="P5587">
        <v>9.1331209999999996E-2</v>
      </c>
      <c r="Q5587">
        <v>0.116331</v>
      </c>
      <c r="R5587">
        <v>-0.98900290000000002</v>
      </c>
      <c r="S5587">
        <v>0.78427119999999995</v>
      </c>
      <c r="T5587">
        <v>-6.926525E-2</v>
      </c>
      <c r="U5587">
        <v>-2.9709469999999998</v>
      </c>
      <c r="V5587">
        <v>-0.12295440000000001</v>
      </c>
      <c r="W5587">
        <v>0.12623709999999999</v>
      </c>
      <c r="X5587">
        <v>0.98435070000000002</v>
      </c>
      <c r="Y5587">
        <v>-0.2855724</v>
      </c>
      <c r="Z5587">
        <v>2.242127E-2</v>
      </c>
      <c r="AA5587">
        <v>0.95809480000000002</v>
      </c>
      <c r="AB5587">
        <v>23</v>
      </c>
      <c r="AC5587">
        <v>13.1408</v>
      </c>
      <c r="AD5587">
        <v>-1.1601319999999999</v>
      </c>
      <c r="AE5587">
        <v>-49.536499999999997</v>
      </c>
      <c r="AF5587">
        <v>-14.690733195208599</v>
      </c>
      <c r="AG5587">
        <v>-1.1601319999999999</v>
      </c>
      <c r="AH5587">
        <v>49.071764490139003</v>
      </c>
      <c r="AI5587">
        <v>91.297435639221902</v>
      </c>
      <c r="AJ5587">
        <v>106.666250164483</v>
      </c>
      <c r="AK5587">
        <v>51.236721384627003</v>
      </c>
      <c r="AL5587">
        <v>82.747797249923593</v>
      </c>
      <c r="AM5587">
        <v>97.119890522403793</v>
      </c>
      <c r="AN5587">
        <v>0.99999994524312796</v>
      </c>
    </row>
    <row r="5588" spans="1:40" x14ac:dyDescent="0.25">
      <c r="A5588" t="str">
        <f>"20190312164617336"</f>
        <v>20190312164617336</v>
      </c>
      <c r="B5588" t="str">
        <f>"1552380377327541"</f>
        <v>1552380377327541</v>
      </c>
      <c r="C5588" t="s">
        <v>40</v>
      </c>
      <c r="D5588">
        <v>4.5076689999999999</v>
      </c>
      <c r="E5588">
        <v>0.43634909999999999</v>
      </c>
      <c r="F5588" t="s">
        <v>43</v>
      </c>
      <c r="G5588">
        <v>-288.1019</v>
      </c>
      <c r="H5588">
        <v>-0.05</v>
      </c>
      <c r="I5588">
        <v>-82.958950000000002</v>
      </c>
      <c r="J5588">
        <v>-301.68540000000002</v>
      </c>
      <c r="K5588">
        <v>1.1101379999999901</v>
      </c>
      <c r="L5588">
        <v>-32.839320000000001</v>
      </c>
      <c r="M5588">
        <v>-2.9175220000000002E-2</v>
      </c>
      <c r="N5588">
        <v>0</v>
      </c>
      <c r="O5588">
        <v>-0.99951959999999995</v>
      </c>
      <c r="P5588">
        <v>9.4923800000000003E-2</v>
      </c>
      <c r="Q5588">
        <v>0.1160875</v>
      </c>
      <c r="R5588">
        <v>-0.98869269999999998</v>
      </c>
      <c r="S5588">
        <v>0.80032349999999997</v>
      </c>
      <c r="T5588">
        <v>-6.8376060000000002E-2</v>
      </c>
      <c r="U5588">
        <v>-2.9674990000000001</v>
      </c>
      <c r="V5588">
        <v>-0.1241734</v>
      </c>
      <c r="W5588">
        <v>0.1259623</v>
      </c>
      <c r="X5588">
        <v>0.98423300000000002</v>
      </c>
      <c r="Y5588">
        <v>-0.28838799999999998</v>
      </c>
      <c r="Z5588">
        <v>2.213619E-2</v>
      </c>
      <c r="AA5588">
        <v>0.95725769999999999</v>
      </c>
      <c r="AB5588">
        <v>23</v>
      </c>
      <c r="AC5588">
        <v>13.583500000000001</v>
      </c>
      <c r="AD5588">
        <v>-1.1601379999999999</v>
      </c>
      <c r="AE5588">
        <v>-50.119630000000001</v>
      </c>
      <c r="AF5588">
        <v>-15.032544933659199</v>
      </c>
      <c r="AG5588">
        <v>-1.1601379999999999</v>
      </c>
      <c r="AH5588">
        <v>49.677173330472698</v>
      </c>
      <c r="AI5588">
        <v>91.280493505909902</v>
      </c>
      <c r="AJ5588">
        <v>106.836060510978</v>
      </c>
      <c r="AK5588">
        <v>51.914784767610897</v>
      </c>
      <c r="AL5588">
        <v>82.763669705360499</v>
      </c>
      <c r="AM5588">
        <v>97.190594536343994</v>
      </c>
      <c r="AN5588">
        <v>1.0000000662889199</v>
      </c>
    </row>
    <row r="5589" spans="1:40" x14ac:dyDescent="0.25">
      <c r="A5589" t="str">
        <f>"20190312164617356"</f>
        <v>20190312164617356</v>
      </c>
      <c r="B5589" t="str">
        <f>"1552380377347061"</f>
        <v>1552380377347061</v>
      </c>
      <c r="C5589" t="s">
        <v>40</v>
      </c>
      <c r="D5589">
        <v>4.8543229999999999</v>
      </c>
      <c r="E5589">
        <v>0.4352705</v>
      </c>
      <c r="F5589" t="s">
        <v>52</v>
      </c>
      <c r="G5589">
        <v>-290.30009999999999</v>
      </c>
      <c r="H5589">
        <v>7.9986559999999998E-2</v>
      </c>
      <c r="I5589">
        <v>-74.455060000000003</v>
      </c>
      <c r="J5589">
        <v>-301.6891</v>
      </c>
      <c r="K5589">
        <v>1.1101350000000001</v>
      </c>
      <c r="L5589">
        <v>-33.055209999999903</v>
      </c>
      <c r="M5589">
        <v>-2.692464E-2</v>
      </c>
      <c r="N5589">
        <v>0</v>
      </c>
      <c r="O5589">
        <v>-0.99958279999999999</v>
      </c>
      <c r="P5589">
        <v>9.8038490000000006E-2</v>
      </c>
      <c r="Q5589">
        <v>0.1156413</v>
      </c>
      <c r="R5589">
        <v>-0.98844080000000001</v>
      </c>
      <c r="S5589">
        <v>0.81118769999999996</v>
      </c>
      <c r="T5589">
        <v>-7.3396680000000006E-2</v>
      </c>
      <c r="U5589">
        <v>-2.9650569999999998</v>
      </c>
      <c r="V5589">
        <v>-0.1250609</v>
      </c>
      <c r="W5589">
        <v>0.12549069999999901</v>
      </c>
      <c r="X5589">
        <v>0.98418079999999997</v>
      </c>
      <c r="Y5589">
        <v>-0.28968650000000001</v>
      </c>
      <c r="Z5589">
        <v>2.376586E-2</v>
      </c>
      <c r="AA5589">
        <v>0.95682650000000002</v>
      </c>
      <c r="AB5589">
        <v>23</v>
      </c>
      <c r="AC5589">
        <v>11.388999999999999</v>
      </c>
      <c r="AD5589">
        <v>-1.0301484400000001</v>
      </c>
      <c r="AE5589">
        <v>-41.399850000000001</v>
      </c>
      <c r="AF5589">
        <v>-12.492417010182301</v>
      </c>
      <c r="AG5589">
        <v>-1.0301484400000001</v>
      </c>
      <c r="AH5589">
        <v>41.054547101737803</v>
      </c>
      <c r="AI5589">
        <v>91.375146271599107</v>
      </c>
      <c r="AJ5589">
        <v>106.92438984738</v>
      </c>
      <c r="AK5589">
        <v>42.925488072863402</v>
      </c>
      <c r="AL5589">
        <v>82.790906008231403</v>
      </c>
      <c r="AM5589">
        <v>97.241823969329602</v>
      </c>
      <c r="AN5589">
        <v>0.99999999579196996</v>
      </c>
    </row>
    <row r="5590" spans="1:40" x14ac:dyDescent="0.25">
      <c r="A5590" t="str">
        <f>"20190312164617382"</f>
        <v>20190312164617382</v>
      </c>
      <c r="B5590" t="str">
        <f>"1552380377377317"</f>
        <v>1552380377377317</v>
      </c>
      <c r="C5590" t="s">
        <v>40</v>
      </c>
      <c r="D5590">
        <v>4.7194529999999997</v>
      </c>
      <c r="E5590">
        <v>0.43446610000000002</v>
      </c>
      <c r="F5590" t="s">
        <v>52</v>
      </c>
      <c r="G5590">
        <v>-293.44310000000002</v>
      </c>
      <c r="H5590" s="1">
        <v>-1.13387899999999E-5</v>
      </c>
      <c r="I5590">
        <v>-62.499110000000002</v>
      </c>
      <c r="J5590">
        <v>-301.69290000000001</v>
      </c>
      <c r="K5590">
        <v>1.1101299999999901</v>
      </c>
      <c r="L5590">
        <v>-33.307679999999998</v>
      </c>
      <c r="M5590">
        <v>-2.4293639999999998E-2</v>
      </c>
      <c r="N5590">
        <v>0</v>
      </c>
      <c r="O5590">
        <v>-0.9996505</v>
      </c>
      <c r="P5590">
        <v>0.10143480000000001</v>
      </c>
      <c r="Q5590">
        <v>0.1148343</v>
      </c>
      <c r="R5590">
        <v>-0.98819210000000002</v>
      </c>
      <c r="S5590">
        <v>0.83059689999999997</v>
      </c>
      <c r="T5590">
        <v>-0.1118215</v>
      </c>
      <c r="U5590">
        <v>-2.9657900000000001</v>
      </c>
      <c r="V5590">
        <v>-0.1258541</v>
      </c>
      <c r="W5590">
        <v>0.12465850000000001</v>
      </c>
      <c r="X5590">
        <v>0.98418550000000005</v>
      </c>
      <c r="Y5590">
        <v>-0.29282160000000002</v>
      </c>
      <c r="Z5590">
        <v>3.6140239999999997E-2</v>
      </c>
      <c r="AA5590">
        <v>0.95548390000000005</v>
      </c>
      <c r="AB5590">
        <v>23</v>
      </c>
      <c r="AC5590">
        <v>8.2497999999999898</v>
      </c>
      <c r="AD5590">
        <v>-1.1101413387900001</v>
      </c>
      <c r="AE5590">
        <v>-29.19143</v>
      </c>
      <c r="AF5590">
        <v>-8.9445901677713309</v>
      </c>
      <c r="AG5590">
        <v>-1.1101413387900001</v>
      </c>
      <c r="AH5590">
        <v>28.943621188186501</v>
      </c>
      <c r="AI5590">
        <v>92.098683983426596</v>
      </c>
      <c r="AJ5590">
        <v>107.17297630214399</v>
      </c>
      <c r="AK5590">
        <v>30.314539655860202</v>
      </c>
      <c r="AL5590">
        <v>82.838965318614299</v>
      </c>
      <c r="AM5590">
        <v>97.287228675003206</v>
      </c>
      <c r="AN5590">
        <v>1.00000004725965</v>
      </c>
    </row>
    <row r="5591" spans="1:40" x14ac:dyDescent="0.25">
      <c r="A5591" t="str">
        <f>"20190312164617407"</f>
        <v>20190312164617407</v>
      </c>
      <c r="B5591" t="str">
        <f>"1552380377396837"</f>
        <v>1552380377396837</v>
      </c>
      <c r="C5591" t="s">
        <v>40</v>
      </c>
      <c r="D5591">
        <v>4.5331080000000004</v>
      </c>
      <c r="E5591">
        <v>0.43495699999999998</v>
      </c>
      <c r="F5591" t="s">
        <v>52</v>
      </c>
      <c r="G5591">
        <v>-295.05009999999999</v>
      </c>
      <c r="H5591" s="1">
        <v>-8.3319840000000004E-6</v>
      </c>
      <c r="I5591">
        <v>-56.525120000000001</v>
      </c>
      <c r="J5591">
        <v>-301.6961</v>
      </c>
      <c r="K5591">
        <v>1.1101259999999999</v>
      </c>
      <c r="L5591">
        <v>-33.570309999999999</v>
      </c>
      <c r="M5591">
        <v>-2.155756E-2</v>
      </c>
      <c r="N5591">
        <v>0</v>
      </c>
      <c r="O5591">
        <v>-0.99971370000000004</v>
      </c>
      <c r="P5591">
        <v>0.104627</v>
      </c>
      <c r="Q5591">
        <v>0.1147529</v>
      </c>
      <c r="R5591">
        <v>-0.98786929999999995</v>
      </c>
      <c r="S5591">
        <v>0.848388699999999</v>
      </c>
      <c r="T5591">
        <v>-0.14178250000000001</v>
      </c>
      <c r="U5591">
        <v>-2.9652400000000001</v>
      </c>
      <c r="V5591">
        <v>-0.12634239999999999</v>
      </c>
      <c r="W5591">
        <v>0.1245549</v>
      </c>
      <c r="X5591">
        <v>0.98413600000000001</v>
      </c>
      <c r="Y5591">
        <v>-0.2954484</v>
      </c>
      <c r="Z5591">
        <v>4.5761469999999999E-2</v>
      </c>
      <c r="AA5591">
        <v>0.9542621</v>
      </c>
      <c r="AB5591">
        <v>23</v>
      </c>
      <c r="AC5591">
        <v>6.6460000000000097</v>
      </c>
      <c r="AD5591">
        <v>-1.110134331984</v>
      </c>
      <c r="AE5591">
        <v>-22.954809999999899</v>
      </c>
      <c r="AF5591">
        <v>-7.1239584699806704</v>
      </c>
      <c r="AG5591">
        <v>-1.110134331984</v>
      </c>
      <c r="AH5591">
        <v>22.757086652482698</v>
      </c>
      <c r="AI5591">
        <v>92.665432094549701</v>
      </c>
      <c r="AJ5591">
        <v>107.382390966036</v>
      </c>
      <c r="AK5591">
        <v>23.8719118510786</v>
      </c>
      <c r="AL5591">
        <v>82.844947417221107</v>
      </c>
      <c r="AM5591">
        <v>97.315560598432995</v>
      </c>
      <c r="AN5591">
        <v>0.99999999582388499</v>
      </c>
    </row>
    <row r="5592" spans="1:40" x14ac:dyDescent="0.25">
      <c r="A5592" t="str">
        <f>"20190312164617431"</f>
        <v>20190312164617431</v>
      </c>
      <c r="B5592" t="str">
        <f>"1552380377427092"</f>
        <v>1552380377427092</v>
      </c>
      <c r="C5592" t="s">
        <v>40</v>
      </c>
      <c r="D5592">
        <v>4.607723</v>
      </c>
      <c r="E5592">
        <v>0.43560199999999999</v>
      </c>
      <c r="F5592" t="s">
        <v>52</v>
      </c>
      <c r="G5592">
        <v>-295.21089999999998</v>
      </c>
      <c r="H5592" s="1">
        <v>-8.3185970000000004E-6</v>
      </c>
      <c r="I5592">
        <v>-56.073749999999997</v>
      </c>
      <c r="J5592">
        <v>-301.69839999999999</v>
      </c>
      <c r="K5592">
        <v>1.1101259999999999</v>
      </c>
      <c r="L5592">
        <v>-33.81268</v>
      </c>
      <c r="M5592">
        <v>-1.9033709999999999E-2</v>
      </c>
      <c r="N5592">
        <v>0</v>
      </c>
      <c r="O5592">
        <v>-0.99976489999999996</v>
      </c>
      <c r="P5592">
        <v>0.1077973</v>
      </c>
      <c r="Q5592">
        <v>0.11448949999999999</v>
      </c>
      <c r="R5592">
        <v>-0.98755859999999995</v>
      </c>
      <c r="S5592">
        <v>0.85400390000000004</v>
      </c>
      <c r="T5592">
        <v>-0.1461887</v>
      </c>
      <c r="U5592">
        <v>-2.9633790000000002</v>
      </c>
      <c r="V5592">
        <v>-0.1270184</v>
      </c>
      <c r="W5592">
        <v>0.12427290000000001</v>
      </c>
      <c r="X5592">
        <v>0.98408470000000003</v>
      </c>
      <c r="Y5592">
        <v>-0.29484709999999997</v>
      </c>
      <c r="Z5592">
        <v>4.7204900000000001E-2</v>
      </c>
      <c r="AA5592">
        <v>0.95437780000000005</v>
      </c>
      <c r="AB5592">
        <v>23</v>
      </c>
      <c r="AC5592">
        <v>6.4875000000000096</v>
      </c>
      <c r="AD5592">
        <v>-1.1101343185969901</v>
      </c>
      <c r="AE5592">
        <v>-22.26107</v>
      </c>
      <c r="AF5592">
        <v>-6.8942550377293301</v>
      </c>
      <c r="AG5592">
        <v>-1.1101343185969901</v>
      </c>
      <c r="AH5592">
        <v>22.082929919544199</v>
      </c>
      <c r="AI5592">
        <v>92.747340845221203</v>
      </c>
      <c r="AJ5592">
        <v>107.33827945188899</v>
      </c>
      <c r="AK5592">
        <v>23.160719862777999</v>
      </c>
      <c r="AL5592">
        <v>82.861231822930606</v>
      </c>
      <c r="AM5592">
        <v>97.354654586916993</v>
      </c>
      <c r="AN5592">
        <v>1.0000000621935199</v>
      </c>
    </row>
    <row r="5593" spans="1:40" x14ac:dyDescent="0.25">
      <c r="A5593" t="str">
        <f>"20190312164617466"</f>
        <v>20190312164617466</v>
      </c>
      <c r="B5593" t="str">
        <f>"1552380377457349"</f>
        <v>1552380377457349</v>
      </c>
      <c r="C5593" t="s">
        <v>40</v>
      </c>
      <c r="D5593">
        <v>4.5808669999999996</v>
      </c>
      <c r="E5593">
        <v>0.43587710000000002</v>
      </c>
      <c r="F5593" t="s">
        <v>52</v>
      </c>
      <c r="G5593">
        <v>-295.90320000000003</v>
      </c>
      <c r="H5593" s="1">
        <v>-8.3251949999999992E-6</v>
      </c>
      <c r="I5593">
        <v>-53.805919999999901</v>
      </c>
      <c r="J5593">
        <v>-301.70069999999998</v>
      </c>
      <c r="K5593">
        <v>1.1101379999999901</v>
      </c>
      <c r="L5593">
        <v>-34.176609999999997</v>
      </c>
      <c r="M5593">
        <v>-1.524418E-2</v>
      </c>
      <c r="N5593">
        <v>0</v>
      </c>
      <c r="O5593">
        <v>-0.9998302</v>
      </c>
      <c r="P5593">
        <v>0.1131214</v>
      </c>
      <c r="Q5593">
        <v>0.11416129999999999</v>
      </c>
      <c r="R5593">
        <v>-0.98700120000000002</v>
      </c>
      <c r="S5593">
        <v>0.8588867</v>
      </c>
      <c r="T5593">
        <v>-0.1645279</v>
      </c>
      <c r="U5593">
        <v>-2.963104</v>
      </c>
      <c r="V5593">
        <v>-0.12859789999999999</v>
      </c>
      <c r="W5593">
        <v>0.1239175</v>
      </c>
      <c r="X5593">
        <v>0.98392429999999997</v>
      </c>
      <c r="Y5593">
        <v>-0.29261710000000002</v>
      </c>
      <c r="Z5593">
        <v>5.3126930000000003E-2</v>
      </c>
      <c r="AA5593">
        <v>0.95475270000000001</v>
      </c>
      <c r="AB5593">
        <v>23</v>
      </c>
      <c r="AC5593">
        <v>5.7974999999999497</v>
      </c>
      <c r="AD5593">
        <v>-1.1101463251949999</v>
      </c>
      <c r="AE5593">
        <v>-19.62931</v>
      </c>
      <c r="AF5593">
        <v>-6.0781935730637704</v>
      </c>
      <c r="AG5593">
        <v>-1.1101463251949999</v>
      </c>
      <c r="AH5593">
        <v>19.481333758389798</v>
      </c>
      <c r="AI5593">
        <v>93.113757729408803</v>
      </c>
      <c r="AJ5593">
        <v>107.327968520461</v>
      </c>
      <c r="AK5593">
        <v>20.437691331966899</v>
      </c>
      <c r="AL5593">
        <v>82.8817529033048</v>
      </c>
      <c r="AM5593">
        <v>97.446291496371202</v>
      </c>
      <c r="AN5593">
        <v>0.99999999741057499</v>
      </c>
    </row>
    <row r="5594" spans="1:40" x14ac:dyDescent="0.25">
      <c r="A5594" t="str">
        <f>"20190312164617493"</f>
        <v>20190312164617493</v>
      </c>
      <c r="B5594" t="str">
        <f>"1552380377486629"</f>
        <v>1552380377486629</v>
      </c>
      <c r="C5594" t="s">
        <v>40</v>
      </c>
      <c r="D5594">
        <v>4.7145039999999998</v>
      </c>
      <c r="E5594">
        <v>0.43622169999999999</v>
      </c>
      <c r="F5594" t="s">
        <v>52</v>
      </c>
      <c r="G5594">
        <v>-295.9556</v>
      </c>
      <c r="H5594" s="1">
        <v>-8.3237469999999998E-6</v>
      </c>
      <c r="I5594">
        <v>-53.655200000000001</v>
      </c>
      <c r="J5594">
        <v>-301.70159999999998</v>
      </c>
      <c r="K5594">
        <v>1.1101399999999999</v>
      </c>
      <c r="L5594">
        <v>-34.448030000000003</v>
      </c>
      <c r="M5594">
        <v>-1.241829E-2</v>
      </c>
      <c r="N5594">
        <v>0</v>
      </c>
      <c r="O5594">
        <v>-0.99986929999999996</v>
      </c>
      <c r="P5594">
        <v>0.116842</v>
      </c>
      <c r="Q5594">
        <v>0.1142358</v>
      </c>
      <c r="R5594">
        <v>-0.98655859999999995</v>
      </c>
      <c r="S5594">
        <v>0.87274169999999995</v>
      </c>
      <c r="T5594">
        <v>-0.16864179999999901</v>
      </c>
      <c r="U5594">
        <v>-2.9589840000000001</v>
      </c>
      <c r="V5594">
        <v>-0.12952910000000001</v>
      </c>
      <c r="W5594">
        <v>0.1239753</v>
      </c>
      <c r="X5594">
        <v>0.98379490000000003</v>
      </c>
      <c r="Y5594">
        <v>-0.2943672</v>
      </c>
      <c r="Z5594">
        <v>5.4477169999999998E-2</v>
      </c>
      <c r="AA5594">
        <v>0.9541385</v>
      </c>
      <c r="AB5594">
        <v>23</v>
      </c>
      <c r="AC5594">
        <v>5.74599999999998</v>
      </c>
      <c r="AD5594">
        <v>-1.110148323747</v>
      </c>
      <c r="AE5594">
        <v>-19.207170000000001</v>
      </c>
      <c r="AF5594">
        <v>-5.9657971589169501</v>
      </c>
      <c r="AG5594">
        <v>-1.110148323747</v>
      </c>
      <c r="AH5594">
        <v>19.075837904396899</v>
      </c>
      <c r="AI5594">
        <v>93.179149937207598</v>
      </c>
      <c r="AJ5594">
        <v>107.36660502977099</v>
      </c>
      <c r="AK5594">
        <v>20.017761033564302</v>
      </c>
      <c r="AL5594">
        <v>82.878415734028806</v>
      </c>
      <c r="AM5594">
        <v>97.500575008618398</v>
      </c>
      <c r="AN5594">
        <v>1.0000000340114501</v>
      </c>
    </row>
    <row r="5595" spans="1:40" x14ac:dyDescent="0.25">
      <c r="A5595" t="str">
        <f>"20190312164617534"</f>
        <v>20190312164617534</v>
      </c>
      <c r="B5595" t="str">
        <f>"1552380377526645"</f>
        <v>1552380377526645</v>
      </c>
      <c r="C5595" t="s">
        <v>40</v>
      </c>
      <c r="D5595">
        <v>4.7008369999999999</v>
      </c>
      <c r="E5595">
        <v>0.43647599999999998</v>
      </c>
      <c r="F5595" t="s">
        <v>52</v>
      </c>
      <c r="G5595">
        <v>-296.15690000000001</v>
      </c>
      <c r="H5595" s="1">
        <v>-8.3223679999999993E-6</v>
      </c>
      <c r="I5595">
        <v>-53.039340000000003</v>
      </c>
      <c r="J5595">
        <v>-301.70139999999998</v>
      </c>
      <c r="K5595">
        <v>1.1101490000000001</v>
      </c>
      <c r="L5595">
        <v>-34.871459999999999</v>
      </c>
      <c r="M5595">
        <v>-8.0107019999999998E-3</v>
      </c>
      <c r="N5595">
        <v>0</v>
      </c>
      <c r="O5595">
        <v>-0.99991459999999999</v>
      </c>
      <c r="P5595">
        <v>0.1237197</v>
      </c>
      <c r="Q5595">
        <v>0.1153135</v>
      </c>
      <c r="R5595">
        <v>-0.98559459999999999</v>
      </c>
      <c r="S5595">
        <v>0.8818665</v>
      </c>
      <c r="T5595">
        <v>-0.1765649</v>
      </c>
      <c r="U5595">
        <v>-2.9568789999999998</v>
      </c>
      <c r="V5595">
        <v>-0.1320617</v>
      </c>
      <c r="W5595">
        <v>0.1250232</v>
      </c>
      <c r="X5595">
        <v>0.98332540000000002</v>
      </c>
      <c r="Y5595">
        <v>-0.29300419999999999</v>
      </c>
      <c r="Z5595">
        <v>5.7058659999999997E-2</v>
      </c>
      <c r="AA5595">
        <v>0.95440709999999995</v>
      </c>
      <c r="AB5595">
        <v>23</v>
      </c>
      <c r="AC5595">
        <v>5.54449999999997</v>
      </c>
      <c r="AD5595">
        <v>-1.1101573223679999</v>
      </c>
      <c r="AE5595">
        <v>-18.16788</v>
      </c>
      <c r="AF5595">
        <v>-5.6704982893017002</v>
      </c>
      <c r="AG5595">
        <v>-1.1101573223679999</v>
      </c>
      <c r="AH5595">
        <v>18.0611867408706</v>
      </c>
      <c r="AI5595">
        <v>93.356214083517798</v>
      </c>
      <c r="AJ5595">
        <v>107.430225821718</v>
      </c>
      <c r="AK5595">
        <v>18.9629498395682</v>
      </c>
      <c r="AL5595">
        <v>82.817904213224097</v>
      </c>
      <c r="AM5595">
        <v>97.649117830939204</v>
      </c>
      <c r="AN5595">
        <v>0.99999996771514399</v>
      </c>
    </row>
    <row r="5596" spans="1:40" x14ac:dyDescent="0.25">
      <c r="A5596" t="str">
        <f>"20190312164617561"</f>
        <v>20190312164617561</v>
      </c>
      <c r="B5596" t="str">
        <f>"1552380377556901"</f>
        <v>1552380377556901</v>
      </c>
      <c r="C5596" t="s">
        <v>40</v>
      </c>
      <c r="D5596">
        <v>4.6321479999999999</v>
      </c>
      <c r="E5596">
        <v>0.43625649999999999</v>
      </c>
      <c r="F5596" t="s">
        <v>52</v>
      </c>
      <c r="G5596">
        <v>-296.14710000000002</v>
      </c>
      <c r="H5596" s="1">
        <v>-8.3200479999999996E-6</v>
      </c>
      <c r="I5596">
        <v>-53.090409999999999</v>
      </c>
      <c r="J5596">
        <v>-301.7002</v>
      </c>
      <c r="K5596">
        <v>1.1101570000000001</v>
      </c>
      <c r="L5596">
        <v>-35.15793</v>
      </c>
      <c r="M5596">
        <v>-5.0295770000000004E-3</v>
      </c>
      <c r="N5596">
        <v>0</v>
      </c>
      <c r="O5596">
        <v>-0.99993390000000004</v>
      </c>
      <c r="P5596">
        <v>0.1281437</v>
      </c>
      <c r="Q5596">
        <v>0.1164297</v>
      </c>
      <c r="R5596">
        <v>-0.98489760000000004</v>
      </c>
      <c r="S5596">
        <v>0.89993289999999904</v>
      </c>
      <c r="T5596">
        <v>-0.179873799999999</v>
      </c>
      <c r="U5596">
        <v>-2.9519350000000002</v>
      </c>
      <c r="V5596">
        <v>-0.133551799999999</v>
      </c>
      <c r="W5596">
        <v>0.126121699999999</v>
      </c>
      <c r="X5596">
        <v>0.98298379999999996</v>
      </c>
      <c r="Y5596">
        <v>-0.29592590000000002</v>
      </c>
      <c r="Z5596">
        <v>5.8141999999999999E-2</v>
      </c>
      <c r="AA5596">
        <v>0.95343979999999995</v>
      </c>
      <c r="AB5596">
        <v>23</v>
      </c>
      <c r="AC5596">
        <v>5.5530999999999704</v>
      </c>
      <c r="AD5596">
        <v>-1.1101653200479999</v>
      </c>
      <c r="AE5596">
        <v>-17.932479999999899</v>
      </c>
      <c r="AF5596">
        <v>-5.62356039191042</v>
      </c>
      <c r="AG5596">
        <v>-1.1101653200479999</v>
      </c>
      <c r="AH5596">
        <v>17.8419243269975</v>
      </c>
      <c r="AI5596">
        <v>93.396196776465004</v>
      </c>
      <c r="AJ5596">
        <v>107.49422591441601</v>
      </c>
      <c r="AK5596">
        <v>18.740095042704699</v>
      </c>
      <c r="AL5596">
        <v>82.754462553907501</v>
      </c>
      <c r="AM5596">
        <v>97.737041890119102</v>
      </c>
      <c r="AN5596">
        <v>0.99999995877828396</v>
      </c>
    </row>
    <row r="5597" spans="1:40" x14ac:dyDescent="0.25">
      <c r="A5597" t="str">
        <f>"20190312164617581"</f>
        <v>20190312164617581</v>
      </c>
      <c r="B5597" t="str">
        <f>"1552380377577397"</f>
        <v>1552380377577397</v>
      </c>
      <c r="C5597" t="s">
        <v>40</v>
      </c>
      <c r="D5597">
        <v>4.7611499999999998</v>
      </c>
      <c r="E5597">
        <v>0.43635879999999999</v>
      </c>
      <c r="F5597" t="s">
        <v>52</v>
      </c>
      <c r="G5597">
        <v>-296.25200000000001</v>
      </c>
      <c r="H5597" s="1">
        <v>-8.3270020000000005E-6</v>
      </c>
      <c r="I5597">
        <v>-52.701180000000001</v>
      </c>
      <c r="J5597">
        <v>-301.69889999999998</v>
      </c>
      <c r="K5597">
        <v>1.110155</v>
      </c>
      <c r="L5597">
        <v>-35.357120000000002</v>
      </c>
      <c r="M5597">
        <v>-2.9567130000000001E-3</v>
      </c>
      <c r="N5597">
        <v>0</v>
      </c>
      <c r="O5597">
        <v>-0.99994240000000001</v>
      </c>
      <c r="P5597">
        <v>0.13126489999999999</v>
      </c>
      <c r="Q5597">
        <v>0.1174456</v>
      </c>
      <c r="R5597">
        <v>-0.98436590000000002</v>
      </c>
      <c r="S5597">
        <v>0.915802</v>
      </c>
      <c r="T5597">
        <v>-0.186612</v>
      </c>
      <c r="U5597">
        <v>-2.9489139999999998</v>
      </c>
      <c r="V5597">
        <v>-0.13463530000000001</v>
      </c>
      <c r="W5597">
        <v>0.12712209999999999</v>
      </c>
      <c r="X5597">
        <v>0.98270709999999994</v>
      </c>
      <c r="Y5597">
        <v>-0.29886580000000001</v>
      </c>
      <c r="Z5597">
        <v>6.029677E-2</v>
      </c>
      <c r="AA5597">
        <v>0.95238829999999997</v>
      </c>
      <c r="AB5597">
        <v>23</v>
      </c>
      <c r="AC5597">
        <v>5.4468999999999701</v>
      </c>
      <c r="AD5597">
        <v>-1.1101633270019999</v>
      </c>
      <c r="AE5597">
        <v>-17.344059999999999</v>
      </c>
      <c r="AF5597">
        <v>-5.4777324770414699</v>
      </c>
      <c r="AG5597">
        <v>-1.1101633270019999</v>
      </c>
      <c r="AH5597">
        <v>17.263498452784798</v>
      </c>
      <c r="AI5597">
        <v>93.507576156287399</v>
      </c>
      <c r="AJ5597">
        <v>107.604306542947</v>
      </c>
      <c r="AK5597">
        <v>18.145699064294998</v>
      </c>
      <c r="AL5597">
        <v>82.696678822766799</v>
      </c>
      <c r="AM5597">
        <v>97.801211673079905</v>
      </c>
      <c r="AN5597">
        <v>0.99999996835245397</v>
      </c>
    </row>
    <row r="5598" spans="1:40" x14ac:dyDescent="0.25">
      <c r="A5598" t="str">
        <f>"20190312164617609"</f>
        <v>20190312164617609</v>
      </c>
      <c r="B5598" t="str">
        <f>"1552380377596916"</f>
        <v>1552380377596916</v>
      </c>
      <c r="C5598" t="s">
        <v>40</v>
      </c>
      <c r="D5598">
        <v>5.052505</v>
      </c>
      <c r="E5598">
        <v>0.4367222</v>
      </c>
      <c r="F5598" t="s">
        <v>52</v>
      </c>
      <c r="G5598">
        <v>-296.18259999999998</v>
      </c>
      <c r="H5598" s="1">
        <v>-8.3259499999999995E-6</v>
      </c>
      <c r="I5598">
        <v>-52.927149999999997</v>
      </c>
      <c r="J5598">
        <v>-301.69630000000001</v>
      </c>
      <c r="K5598">
        <v>1.110163</v>
      </c>
      <c r="L5598">
        <v>-35.642940000000003</v>
      </c>
      <c r="M5598" s="1">
        <v>1.8202809999999999E-5</v>
      </c>
      <c r="N5598">
        <v>0</v>
      </c>
      <c r="O5598">
        <v>-0.99994700000000003</v>
      </c>
      <c r="P5598">
        <v>0.1354948</v>
      </c>
      <c r="Q5598">
        <v>0.1184711</v>
      </c>
      <c r="R5598">
        <v>-0.98366980000000004</v>
      </c>
      <c r="S5598">
        <v>0.92507930000000005</v>
      </c>
      <c r="T5598">
        <v>-0.1861749</v>
      </c>
      <c r="U5598">
        <v>-2.9465029999999999</v>
      </c>
      <c r="V5598">
        <v>-0.13594229999999999</v>
      </c>
      <c r="W5598">
        <v>0.1281233</v>
      </c>
      <c r="X5598">
        <v>0.98239710000000002</v>
      </c>
      <c r="Y5598">
        <v>-0.29898219999999998</v>
      </c>
      <c r="Z5598">
        <v>6.0174680000000001E-2</v>
      </c>
      <c r="AA5598">
        <v>0.95235950000000003</v>
      </c>
      <c r="AB5598">
        <v>23</v>
      </c>
      <c r="AC5598">
        <v>5.5137000000000196</v>
      </c>
      <c r="AD5598">
        <v>-1.1101713259499999</v>
      </c>
      <c r="AE5598">
        <v>-17.284209999999899</v>
      </c>
      <c r="AF5598">
        <v>-5.4928175450051997</v>
      </c>
      <c r="AG5598">
        <v>-1.1101713259499999</v>
      </c>
      <c r="AH5598">
        <v>17.219830833256299</v>
      </c>
      <c r="AI5598">
        <v>93.514771251423198</v>
      </c>
      <c r="AJ5598">
        <v>107.69175122726899</v>
      </c>
      <c r="AK5598">
        <v>18.108729908020699</v>
      </c>
      <c r="AL5598">
        <v>82.638841387602298</v>
      </c>
      <c r="AM5598">
        <v>97.878451717380599</v>
      </c>
      <c r="AN5598">
        <v>0.99999997551029396</v>
      </c>
    </row>
    <row r="5599" spans="1:40" x14ac:dyDescent="0.25">
      <c r="A5599" t="str">
        <f>"20190312164617634"</f>
        <v>20190312164617634</v>
      </c>
      <c r="B5599" t="str">
        <f>"1552380377627173"</f>
        <v>1552380377627173</v>
      </c>
      <c r="C5599" t="s">
        <v>40</v>
      </c>
      <c r="D5599">
        <v>4.6684239999999999</v>
      </c>
      <c r="E5599">
        <v>0.43724020000000002</v>
      </c>
      <c r="F5599" t="s">
        <v>52</v>
      </c>
      <c r="G5599">
        <v>-295.98840000000001</v>
      </c>
      <c r="H5599" s="1">
        <v>-8.3174659999999999E-6</v>
      </c>
      <c r="I5599">
        <v>-53.608800000000002</v>
      </c>
      <c r="J5599">
        <v>-301.69330000000002</v>
      </c>
      <c r="K5599">
        <v>1.1101650000000001</v>
      </c>
      <c r="L5599">
        <v>-35.8949</v>
      </c>
      <c r="M5599">
        <v>2.6450269999999999E-3</v>
      </c>
      <c r="N5599">
        <v>0</v>
      </c>
      <c r="O5599">
        <v>-0.99994340000000004</v>
      </c>
      <c r="P5599">
        <v>0.13993620000000001</v>
      </c>
      <c r="Q5599">
        <v>0.11916930000000001</v>
      </c>
      <c r="R5599">
        <v>-0.98296309999999998</v>
      </c>
      <c r="S5599">
        <v>0.93499759999999998</v>
      </c>
      <c r="T5599">
        <v>-0.18185380000000001</v>
      </c>
      <c r="U5599">
        <v>-2.9429319999999999</v>
      </c>
      <c r="V5599">
        <v>-0.13780499999999901</v>
      </c>
      <c r="W5599">
        <v>0.1287981</v>
      </c>
      <c r="X5599">
        <v>0.98204930000000001</v>
      </c>
      <c r="Y5599">
        <v>-0.29974879999999998</v>
      </c>
      <c r="Z5599">
        <v>5.8814360000000003E-2</v>
      </c>
      <c r="AA5599">
        <v>0.95220349999999998</v>
      </c>
      <c r="AB5599">
        <v>23</v>
      </c>
      <c r="AC5599">
        <v>5.7049000000000003</v>
      </c>
      <c r="AD5599">
        <v>-1.110173317466</v>
      </c>
      <c r="AE5599">
        <v>-17.713899999999999</v>
      </c>
      <c r="AF5599">
        <v>-5.63795989028318</v>
      </c>
      <c r="AG5599">
        <v>-1.110173317466</v>
      </c>
      <c r="AH5599">
        <v>17.666059887575901</v>
      </c>
      <c r="AI5599">
        <v>93.426054530690706</v>
      </c>
      <c r="AJ5599">
        <v>107.700002960625</v>
      </c>
      <c r="AK5599">
        <v>18.577102800778</v>
      </c>
      <c r="AL5599">
        <v>82.599855345683395</v>
      </c>
      <c r="AM5599">
        <v>97.987811640507402</v>
      </c>
      <c r="AN5599">
        <v>0.99999999810954998</v>
      </c>
    </row>
    <row r="5600" spans="1:40" x14ac:dyDescent="0.25">
      <c r="A5600" t="str">
        <f>"20190312164617668"</f>
        <v>20190312164617668</v>
      </c>
      <c r="B5600" t="str">
        <f>"1552380377657429"</f>
        <v>1552380377657429</v>
      </c>
      <c r="C5600" t="s">
        <v>40</v>
      </c>
      <c r="D5600">
        <v>4.8468099999999996</v>
      </c>
      <c r="E5600">
        <v>0.43803500000000001</v>
      </c>
      <c r="F5600" t="s">
        <v>52</v>
      </c>
      <c r="G5600">
        <v>-295.81079999999997</v>
      </c>
      <c r="H5600" s="1">
        <v>-8.3137929999999906E-6</v>
      </c>
      <c r="I5600">
        <v>-54.19576</v>
      </c>
      <c r="J5600">
        <v>-301.68779999999998</v>
      </c>
      <c r="K5600">
        <v>1.110177</v>
      </c>
      <c r="L5600">
        <v>-36.25629</v>
      </c>
      <c r="M5600">
        <v>6.4358030000000004E-3</v>
      </c>
      <c r="N5600">
        <v>0</v>
      </c>
      <c r="O5600">
        <v>-0.9999266</v>
      </c>
      <c r="P5600">
        <v>0.14592140000000001</v>
      </c>
      <c r="Q5600">
        <v>0.1180678</v>
      </c>
      <c r="R5600">
        <v>-0.98222600000000004</v>
      </c>
      <c r="S5600">
        <v>0.94473269999999998</v>
      </c>
      <c r="T5600">
        <v>-0.178293799999999</v>
      </c>
      <c r="U5600">
        <v>-2.939117</v>
      </c>
      <c r="V5600">
        <v>-0.1400679</v>
      </c>
      <c r="W5600">
        <v>0.12766739999999999</v>
      </c>
      <c r="X5600">
        <v>0.98187679999999999</v>
      </c>
      <c r="Y5600">
        <v>-0.29937039999999998</v>
      </c>
      <c r="Z5600">
        <v>5.7711850000000002E-2</v>
      </c>
      <c r="AA5600">
        <v>0.95238999999999996</v>
      </c>
      <c r="AB5600">
        <v>23</v>
      </c>
      <c r="AC5600">
        <v>5.8769999999999998</v>
      </c>
      <c r="AD5600">
        <v>-1.110185313793</v>
      </c>
      <c r="AE5600">
        <v>-17.93947</v>
      </c>
      <c r="AF5600">
        <v>-5.7415596685139203</v>
      </c>
      <c r="AG5600">
        <v>-1.110185313793</v>
      </c>
      <c r="AH5600">
        <v>17.914963356974901</v>
      </c>
      <c r="AI5600">
        <v>93.377282828484297</v>
      </c>
      <c r="AJ5600">
        <v>107.770114980774</v>
      </c>
      <c r="AK5600">
        <v>18.845262824907</v>
      </c>
      <c r="AL5600">
        <v>82.665179124809399</v>
      </c>
      <c r="AM5600">
        <v>98.118652520849494</v>
      </c>
      <c r="AN5600">
        <v>1.0000000160057001</v>
      </c>
    </row>
    <row r="5601" spans="1:40" x14ac:dyDescent="0.25">
      <c r="A5601" t="str">
        <f>"20190312164617693"</f>
        <v>20190312164617693</v>
      </c>
      <c r="B5601" t="str">
        <f>"1552380377686710"</f>
        <v>1552380377686710</v>
      </c>
      <c r="C5601" t="s">
        <v>40</v>
      </c>
      <c r="D5601">
        <v>4.9255230000000001</v>
      </c>
      <c r="E5601">
        <v>0.48675859999999899</v>
      </c>
      <c r="F5601" t="s">
        <v>52</v>
      </c>
      <c r="G5601">
        <v>-295.80579999999998</v>
      </c>
      <c r="H5601" s="1">
        <v>-8.305785E-6</v>
      </c>
      <c r="I5601">
        <v>-54.282530000000001</v>
      </c>
      <c r="J5601">
        <v>-301.68279999999999</v>
      </c>
      <c r="K5601">
        <v>1.110195</v>
      </c>
      <c r="L5601">
        <v>-36.523409999999998</v>
      </c>
      <c r="M5601">
        <v>9.2746809999999999E-3</v>
      </c>
      <c r="N5601">
        <v>0</v>
      </c>
      <c r="O5601">
        <v>-0.99990400000000002</v>
      </c>
      <c r="P5601">
        <v>0.1490358</v>
      </c>
      <c r="Q5601">
        <v>0.1181932</v>
      </c>
      <c r="R5601">
        <v>-0.98174260000000002</v>
      </c>
      <c r="S5601">
        <v>0.95730590000000004</v>
      </c>
      <c r="T5601">
        <v>-0.18068300000000001</v>
      </c>
      <c r="U5601">
        <v>-2.9337770000000001</v>
      </c>
      <c r="V5601">
        <v>-0.1404021</v>
      </c>
      <c r="W5601">
        <v>0.12777330000000001</v>
      </c>
      <c r="X5601">
        <v>0.98181529999999995</v>
      </c>
      <c r="Y5601">
        <v>-0.30084549999999999</v>
      </c>
      <c r="Z5601">
        <v>5.8529949999999997E-2</v>
      </c>
      <c r="AA5601">
        <v>0.95187509999999997</v>
      </c>
      <c r="AB5601">
        <v>23</v>
      </c>
      <c r="AC5601">
        <v>5.8769999999999998</v>
      </c>
      <c r="AD5601">
        <v>-1.110203305785</v>
      </c>
      <c r="AE5601">
        <v>-17.759119999999999</v>
      </c>
      <c r="AF5601">
        <v>-5.6919792948017198</v>
      </c>
      <c r="AG5601">
        <v>-1.110203305785</v>
      </c>
      <c r="AH5601">
        <v>17.750343787176</v>
      </c>
      <c r="AI5601">
        <v>93.408408886600199</v>
      </c>
      <c r="AJ5601">
        <v>107.779418583769</v>
      </c>
      <c r="AK5601">
        <v>18.673668205137499</v>
      </c>
      <c r="AL5601">
        <v>82.659061462431396</v>
      </c>
      <c r="AM5601">
        <v>98.138267263616896</v>
      </c>
      <c r="AN5601">
        <v>1.0000000245956899</v>
      </c>
    </row>
    <row r="5602" spans="1:40" x14ac:dyDescent="0.25">
      <c r="A5602" t="str">
        <f>"20190312164617716"</f>
        <v>20190312164617716</v>
      </c>
      <c r="B5602" t="str">
        <f>"1552380377707205"</f>
        <v>1552380377707205</v>
      </c>
      <c r="C5602" t="s">
        <v>40</v>
      </c>
      <c r="D5602">
        <v>5.0439379999999998</v>
      </c>
      <c r="E5602">
        <v>0.49267499999999997</v>
      </c>
      <c r="F5602" t="s">
        <v>52</v>
      </c>
      <c r="G5602">
        <v>-299.17590000000001</v>
      </c>
      <c r="H5602" s="1">
        <v>-5.3487640000000002E-6</v>
      </c>
      <c r="I5602">
        <v>-49.306530000000002</v>
      </c>
      <c r="J5602">
        <v>-301.67750000000001</v>
      </c>
      <c r="K5602">
        <v>1.11022</v>
      </c>
      <c r="L5602">
        <v>-36.76764</v>
      </c>
      <c r="M5602">
        <v>1.191337E-2</v>
      </c>
      <c r="N5602">
        <v>0</v>
      </c>
      <c r="O5602">
        <v>-0.9998764</v>
      </c>
      <c r="P5602">
        <v>0.15153050000000001</v>
      </c>
      <c r="Q5602">
        <v>0.1177559</v>
      </c>
      <c r="R5602">
        <v>-0.98141350000000005</v>
      </c>
      <c r="S5602">
        <v>0.58792109999999997</v>
      </c>
      <c r="T5602">
        <v>-0.26036379999999998</v>
      </c>
      <c r="U5602">
        <v>-2.9978940000000001</v>
      </c>
      <c r="V5602">
        <v>-0.14031440000000001</v>
      </c>
      <c r="W5602">
        <v>0.1273193</v>
      </c>
      <c r="X5602">
        <v>0.98188679999999995</v>
      </c>
      <c r="Y5602">
        <v>-0.18004439999999999</v>
      </c>
      <c r="Z5602">
        <v>8.5003640000000005E-2</v>
      </c>
      <c r="AA5602">
        <v>0.97997880000000004</v>
      </c>
      <c r="AB5602">
        <v>23</v>
      </c>
      <c r="AC5602">
        <v>2.5015999999999901</v>
      </c>
      <c r="AD5602">
        <v>-1.1102253487639999</v>
      </c>
      <c r="AE5602">
        <v>-12.53889</v>
      </c>
      <c r="AF5602">
        <v>-2.3344332710711599</v>
      </c>
      <c r="AG5602">
        <v>-1.1102253487639999</v>
      </c>
      <c r="AH5602">
        <v>12.4737559790267</v>
      </c>
      <c r="AI5602">
        <v>94.999849455814697</v>
      </c>
      <c r="AJ5602">
        <v>100.600147740899</v>
      </c>
      <c r="AK5602">
        <v>12.738789865855599</v>
      </c>
      <c r="AL5602">
        <v>82.685287851388594</v>
      </c>
      <c r="AM5602">
        <v>98.132667523945798</v>
      </c>
      <c r="AN5602">
        <v>1.00000001150704</v>
      </c>
    </row>
    <row r="5603" spans="1:40" x14ac:dyDescent="0.25">
      <c r="A5603" t="str">
        <f>"20190312164617740"</f>
        <v>20190312164617740</v>
      </c>
      <c r="B5603" t="str">
        <f>"1552380377737462"</f>
        <v>1552380377737462</v>
      </c>
      <c r="C5603" t="s">
        <v>40</v>
      </c>
      <c r="D5603">
        <v>4.874816</v>
      </c>
      <c r="E5603">
        <v>0.49501780000000001</v>
      </c>
      <c r="F5603" t="s">
        <v>52</v>
      </c>
      <c r="G5603">
        <v>-299.31290000000001</v>
      </c>
      <c r="H5603" s="1">
        <v>-5.5110969999999998E-6</v>
      </c>
      <c r="I5603">
        <v>-49.684739999999998</v>
      </c>
      <c r="J5603">
        <v>-301.67160000000001</v>
      </c>
      <c r="K5603">
        <v>1.110255</v>
      </c>
      <c r="L5603">
        <v>-37.00949</v>
      </c>
      <c r="M5603">
        <v>1.456618E-2</v>
      </c>
      <c r="N5603">
        <v>0</v>
      </c>
      <c r="O5603">
        <v>-0.99984119999999999</v>
      </c>
      <c r="P5603">
        <v>0.15415509999999999</v>
      </c>
      <c r="Q5603">
        <v>0.1173688</v>
      </c>
      <c r="R5603">
        <v>-0.98105089999999995</v>
      </c>
      <c r="S5603">
        <v>0.54971309999999995</v>
      </c>
      <c r="T5603">
        <v>-0.25809939999999998</v>
      </c>
      <c r="U5603">
        <v>-3.0028990000000002</v>
      </c>
      <c r="V5603">
        <v>-0.14034379999999999</v>
      </c>
      <c r="W5603">
        <v>0.1269149</v>
      </c>
      <c r="X5603">
        <v>0.981935</v>
      </c>
      <c r="Y5603">
        <v>-0.16507929999999901</v>
      </c>
      <c r="Z5603">
        <v>8.4337880000000004E-2</v>
      </c>
      <c r="AA5603">
        <v>0.98266770000000003</v>
      </c>
      <c r="AB5603">
        <v>23</v>
      </c>
      <c r="AC5603">
        <v>2.35869999999999</v>
      </c>
      <c r="AD5603">
        <v>-1.1102605110969901</v>
      </c>
      <c r="AE5603">
        <v>-12.67525</v>
      </c>
      <c r="AF5603">
        <v>-2.15780836359066</v>
      </c>
      <c r="AG5603">
        <v>-1.1102605110969901</v>
      </c>
      <c r="AH5603">
        <v>12.614717174098599</v>
      </c>
      <c r="AI5603">
        <v>94.958171385251504</v>
      </c>
      <c r="AJ5603">
        <v>99.706775061894504</v>
      </c>
      <c r="AK5603">
        <v>12.846007345435501</v>
      </c>
      <c r="AL5603">
        <v>82.708648115910805</v>
      </c>
      <c r="AM5603">
        <v>98.133954808956403</v>
      </c>
      <c r="AN5603">
        <v>1.0000000591327201</v>
      </c>
    </row>
    <row r="5604" spans="1:40" x14ac:dyDescent="0.25">
      <c r="A5604" t="str">
        <f>"20190312164617762"</f>
        <v>20190312164617762</v>
      </c>
      <c r="B5604" t="str">
        <f>"1552380377756981"</f>
        <v>1552380377756981</v>
      </c>
      <c r="C5604" t="s">
        <v>40</v>
      </c>
      <c r="D5604">
        <v>4.7807050000000002</v>
      </c>
      <c r="E5604">
        <v>0.4956142</v>
      </c>
      <c r="F5604" t="s">
        <v>52</v>
      </c>
      <c r="G5604">
        <v>-299.03109999999998</v>
      </c>
      <c r="H5604" s="1">
        <v>-7.4587259999999997E-6</v>
      </c>
      <c r="I5604">
        <v>-51.748249999999999</v>
      </c>
      <c r="J5604">
        <v>-301.66539999999998</v>
      </c>
      <c r="K5604">
        <v>1.1102799999999999</v>
      </c>
      <c r="L5604">
        <v>-37.239040000000003</v>
      </c>
      <c r="M5604">
        <v>1.71171E-2</v>
      </c>
      <c r="N5604">
        <v>0</v>
      </c>
      <c r="O5604">
        <v>-0.99980080000000005</v>
      </c>
      <c r="P5604">
        <v>0.157054799999999</v>
      </c>
      <c r="Q5604">
        <v>0.1171895</v>
      </c>
      <c r="R5604">
        <v>-0.9806125</v>
      </c>
      <c r="S5604">
        <v>0.53756709999999996</v>
      </c>
      <c r="T5604">
        <v>-0.22602749999999999</v>
      </c>
      <c r="U5604">
        <v>-3.0005190000000002</v>
      </c>
      <c r="V5604">
        <v>-0.14074999999999999</v>
      </c>
      <c r="W5604">
        <v>0.1267191</v>
      </c>
      <c r="X5604">
        <v>0.9819021</v>
      </c>
      <c r="Y5604">
        <v>-0.15899089999999999</v>
      </c>
      <c r="Z5604">
        <v>7.4036459999999998E-2</v>
      </c>
      <c r="AA5604">
        <v>0.98450009999999999</v>
      </c>
      <c r="AB5604">
        <v>23</v>
      </c>
      <c r="AC5604">
        <v>2.6342999999999899</v>
      </c>
      <c r="AD5604">
        <v>-1.1102874587260001</v>
      </c>
      <c r="AE5604">
        <v>-14.5092099999999</v>
      </c>
      <c r="AF5604">
        <v>-2.3720981647263599</v>
      </c>
      <c r="AG5604">
        <v>-1.1102874587260001</v>
      </c>
      <c r="AH5604">
        <v>14.4701483252654</v>
      </c>
      <c r="AI5604">
        <v>94.3301081410698</v>
      </c>
      <c r="AJ5604">
        <v>99.309719234506005</v>
      </c>
      <c r="AK5604">
        <v>14.705263700433401</v>
      </c>
      <c r="AL5604">
        <v>82.719957608172194</v>
      </c>
      <c r="AM5604">
        <v>98.157450337653202</v>
      </c>
      <c r="AN5604">
        <v>1.0000000133946001</v>
      </c>
    </row>
    <row r="5605" spans="1:40" x14ac:dyDescent="0.25">
      <c r="A5605" t="str">
        <f>"20190312164617784"</f>
        <v>20190312164617784</v>
      </c>
      <c r="B5605" t="str">
        <f>"1552380377777478"</f>
        <v>1552380377777478</v>
      </c>
      <c r="C5605" t="s">
        <v>40</v>
      </c>
      <c r="D5605">
        <v>4.9182110000000003</v>
      </c>
      <c r="E5605">
        <v>0.495396</v>
      </c>
      <c r="F5605" t="s">
        <v>52</v>
      </c>
      <c r="G5605">
        <v>-298.8974</v>
      </c>
      <c r="H5605" s="1">
        <v>-7.4094090000000002E-6</v>
      </c>
      <c r="I5605">
        <v>-52.603900000000003</v>
      </c>
      <c r="J5605">
        <v>-301.65859999999998</v>
      </c>
      <c r="K5605">
        <v>1.110301</v>
      </c>
      <c r="L5605">
        <v>-37.470149999999997</v>
      </c>
      <c r="M5605">
        <v>1.9713060000000001E-2</v>
      </c>
      <c r="N5605">
        <v>0</v>
      </c>
      <c r="O5605">
        <v>-0.99975329999999996</v>
      </c>
      <c r="P5605">
        <v>0.16012460000000001</v>
      </c>
      <c r="Q5605">
        <v>0.11679929999999999</v>
      </c>
      <c r="R5605">
        <v>-0.98016259999999999</v>
      </c>
      <c r="S5605">
        <v>0.54022219999999999</v>
      </c>
      <c r="T5605">
        <v>-0.21668960000000001</v>
      </c>
      <c r="U5605">
        <v>-2.998688</v>
      </c>
      <c r="V5605">
        <v>-0.1412803</v>
      </c>
      <c r="W5605">
        <v>0.1263137</v>
      </c>
      <c r="X5605">
        <v>0.98187820000000003</v>
      </c>
      <c r="Y5605">
        <v>-0.15741479999999999</v>
      </c>
      <c r="Z5605">
        <v>7.1034630000000001E-2</v>
      </c>
      <c r="AA5605">
        <v>0.98497440000000003</v>
      </c>
      <c r="AB5605">
        <v>23</v>
      </c>
      <c r="AC5605">
        <v>2.7611999999999699</v>
      </c>
      <c r="AD5605">
        <v>-1.1103084094090001</v>
      </c>
      <c r="AE5605">
        <v>-15.133749999999999</v>
      </c>
      <c r="AF5605">
        <v>-2.4495549796164799</v>
      </c>
      <c r="AG5605">
        <v>-1.1103084094090001</v>
      </c>
      <c r="AH5605">
        <v>15.1065501671898</v>
      </c>
      <c r="AI5605">
        <v>94.149587993690801</v>
      </c>
      <c r="AJ5605">
        <v>99.210450550583602</v>
      </c>
      <c r="AK5605">
        <v>15.3440855809654</v>
      </c>
      <c r="AL5605">
        <v>82.743373645666296</v>
      </c>
      <c r="AM5605">
        <v>98.187965582899096</v>
      </c>
      <c r="AN5605">
        <v>1.0000000368055</v>
      </c>
    </row>
    <row r="5606" spans="1:40" x14ac:dyDescent="0.25">
      <c r="A5606" t="str">
        <f>"20190312164617812"</f>
        <v>20190312164617812</v>
      </c>
      <c r="B5606" t="str">
        <f>"1552380377806757"</f>
        <v>1552380377806757</v>
      </c>
      <c r="C5606" t="s">
        <v>40</v>
      </c>
      <c r="D5606">
        <v>5.0394610000000002</v>
      </c>
      <c r="E5606">
        <v>0.49618509999999999</v>
      </c>
      <c r="F5606" t="s">
        <v>52</v>
      </c>
      <c r="G5606">
        <v>-298.99099999999999</v>
      </c>
      <c r="H5606" s="1">
        <v>-7.4480340000000002E-6</v>
      </c>
      <c r="I5606">
        <v>-51.968409999999999</v>
      </c>
      <c r="J5606">
        <v>-301.64920000000001</v>
      </c>
      <c r="K5606">
        <v>1.110317</v>
      </c>
      <c r="L5606">
        <v>-37.757199999999997</v>
      </c>
      <c r="M5606">
        <v>2.2963959999999999E-2</v>
      </c>
      <c r="N5606">
        <v>0</v>
      </c>
      <c r="O5606">
        <v>-0.99968400000000002</v>
      </c>
      <c r="P5606">
        <v>0.16343199999999999</v>
      </c>
      <c r="Q5606">
        <v>0.1161879</v>
      </c>
      <c r="R5606">
        <v>-0.97968929999999999</v>
      </c>
      <c r="S5606">
        <v>0.55160520000000002</v>
      </c>
      <c r="T5606">
        <v>-0.22958990000000001</v>
      </c>
      <c r="U5606">
        <v>-2.9979550000000001</v>
      </c>
      <c r="V5606">
        <v>-0.14140249999999999</v>
      </c>
      <c r="W5606">
        <v>0.1256912</v>
      </c>
      <c r="X5606">
        <v>0.98194040000000005</v>
      </c>
      <c r="Y5606">
        <v>-0.15781020000000001</v>
      </c>
      <c r="Z5606">
        <v>7.5222570000000002E-2</v>
      </c>
      <c r="AA5606">
        <v>0.98460020000000004</v>
      </c>
      <c r="AB5606">
        <v>23</v>
      </c>
      <c r="AC5606">
        <v>2.6582000000000199</v>
      </c>
      <c r="AD5606">
        <v>-1.110324448034</v>
      </c>
      <c r="AE5606">
        <v>-14.211209999999999</v>
      </c>
      <c r="AF5606">
        <v>-2.3174678654321301</v>
      </c>
      <c r="AG5606">
        <v>-1.110324448034</v>
      </c>
      <c r="AH5606">
        <v>14.184846208777801</v>
      </c>
      <c r="AI5606">
        <v>94.417394220624303</v>
      </c>
      <c r="AJ5606">
        <v>99.278796725798401</v>
      </c>
      <c r="AK5606">
        <v>14.4157323661994</v>
      </c>
      <c r="AL5606">
        <v>82.779326164757705</v>
      </c>
      <c r="AM5606">
        <v>98.194439537458607</v>
      </c>
      <c r="AN5606">
        <v>0.99999994695792305</v>
      </c>
    </row>
    <row r="5607" spans="1:40" x14ac:dyDescent="0.25">
      <c r="A5607" t="str">
        <f>"20190312164617836"</f>
        <v>20190312164617836</v>
      </c>
      <c r="B5607" t="str">
        <f>"1552380377827253"</f>
        <v>1552380377827253</v>
      </c>
      <c r="C5607" t="s">
        <v>40</v>
      </c>
      <c r="D5607">
        <v>5.1837530000000003</v>
      </c>
      <c r="E5607">
        <v>0.4964865</v>
      </c>
      <c r="F5607" t="s">
        <v>52</v>
      </c>
      <c r="G5607">
        <v>-298.8784</v>
      </c>
      <c r="H5607" s="1">
        <v>-7.4058789999999997E-6</v>
      </c>
      <c r="I5607">
        <v>-52.694420000000001</v>
      </c>
      <c r="J5607">
        <v>-301.64019999999999</v>
      </c>
      <c r="K5607">
        <v>1.110317</v>
      </c>
      <c r="L5607">
        <v>-38.007170000000002</v>
      </c>
      <c r="M5607">
        <v>2.580812E-2</v>
      </c>
      <c r="N5607">
        <v>0</v>
      </c>
      <c r="O5607">
        <v>-0.99961440000000001</v>
      </c>
      <c r="P5607">
        <v>0.16619139999999999</v>
      </c>
      <c r="Q5607">
        <v>0.11564919999999999</v>
      </c>
      <c r="R5607">
        <v>-0.97928839999999995</v>
      </c>
      <c r="S5607">
        <v>0.55572509999999997</v>
      </c>
      <c r="T5607">
        <v>-0.22269420000000001</v>
      </c>
      <c r="U5607">
        <v>-2.995911</v>
      </c>
      <c r="V5607">
        <v>-0.14137359999999999</v>
      </c>
      <c r="W5607">
        <v>0.12514059999999999</v>
      </c>
      <c r="X5607">
        <v>0.98201499999999997</v>
      </c>
      <c r="Y5607">
        <v>-0.1564594</v>
      </c>
      <c r="Z5607">
        <v>7.3015620000000003E-2</v>
      </c>
      <c r="AA5607">
        <v>0.98498180000000002</v>
      </c>
      <c r="AB5607">
        <v>24</v>
      </c>
      <c r="AC5607">
        <v>2.7617999999999898</v>
      </c>
      <c r="AD5607">
        <v>-1.1103244058790001</v>
      </c>
      <c r="AE5607">
        <v>-14.687249999999899</v>
      </c>
      <c r="AF5607">
        <v>-2.3687347050475198</v>
      </c>
      <c r="AG5607">
        <v>-1.1103244058790001</v>
      </c>
      <c r="AH5607">
        <v>14.672647098477199</v>
      </c>
      <c r="AI5607">
        <v>94.272392667795003</v>
      </c>
      <c r="AJ5607">
        <v>99.170638910213896</v>
      </c>
      <c r="AK5607">
        <v>14.9040362742996</v>
      </c>
      <c r="AL5607">
        <v>82.811125127180205</v>
      </c>
      <c r="AM5607">
        <v>98.192173559547101</v>
      </c>
      <c r="AN5607">
        <v>1.0000000623851499</v>
      </c>
    </row>
    <row r="5608" spans="1:40" x14ac:dyDescent="0.25">
      <c r="A5608" t="str">
        <f>"20190312164617857"</f>
        <v>20190312164617857</v>
      </c>
      <c r="B5608" t="str">
        <f>"1552380377846774"</f>
        <v>1552380377846774</v>
      </c>
      <c r="C5608" t="s">
        <v>40</v>
      </c>
      <c r="D5608">
        <v>5.0134420000000004</v>
      </c>
      <c r="E5608">
        <v>0.49676330000000002</v>
      </c>
      <c r="F5608" t="s">
        <v>52</v>
      </c>
      <c r="G5608">
        <v>-298.79840000000002</v>
      </c>
      <c r="H5608" s="1">
        <v>-7.3845659999999999E-6</v>
      </c>
      <c r="I5608">
        <v>-53.133569999999999</v>
      </c>
      <c r="J5608">
        <v>-301.63130000000001</v>
      </c>
      <c r="K5608">
        <v>1.1103160000000001</v>
      </c>
      <c r="L5608">
        <v>-38.236269999999998</v>
      </c>
      <c r="M5608">
        <v>2.841339E-2</v>
      </c>
      <c r="N5608">
        <v>0</v>
      </c>
      <c r="O5608">
        <v>-0.99954410000000005</v>
      </c>
      <c r="P5608">
        <v>0.16866289999999901</v>
      </c>
      <c r="Q5608">
        <v>0.1154149</v>
      </c>
      <c r="R5608">
        <v>-0.97889349999999997</v>
      </c>
      <c r="S5608">
        <v>0.56246949999999996</v>
      </c>
      <c r="T5608">
        <v>-0.21976589999999999</v>
      </c>
      <c r="U5608">
        <v>-2.9939580000000001</v>
      </c>
      <c r="V5608">
        <v>-0.1412918</v>
      </c>
      <c r="W5608">
        <v>0.12489550000000001</v>
      </c>
      <c r="X5608">
        <v>0.98205790000000004</v>
      </c>
      <c r="Y5608">
        <v>-0.1561572</v>
      </c>
      <c r="Z5608">
        <v>7.2085960000000004E-2</v>
      </c>
      <c r="AA5608">
        <v>0.98509820000000003</v>
      </c>
      <c r="AB5608">
        <v>24</v>
      </c>
      <c r="AC5608">
        <v>2.8328999999999902</v>
      </c>
      <c r="AD5608">
        <v>-1.1103233845659899</v>
      </c>
      <c r="AE5608">
        <v>-14.8972999999999</v>
      </c>
      <c r="AF5608">
        <v>-2.3956080885401199</v>
      </c>
      <c r="AG5608">
        <v>-1.1103233845659899</v>
      </c>
      <c r="AH5608">
        <v>14.8919435485794</v>
      </c>
      <c r="AI5608">
        <v>94.210079460914301</v>
      </c>
      <c r="AJ5608">
        <v>99.138652617144103</v>
      </c>
      <c r="AK5608">
        <v>15.1242103524868</v>
      </c>
      <c r="AL5608">
        <v>82.825278838797303</v>
      </c>
      <c r="AM5608">
        <v>98.187144967774998</v>
      </c>
      <c r="AN5608">
        <v>0.99999998880995</v>
      </c>
    </row>
    <row r="5609" spans="1:40" x14ac:dyDescent="0.25">
      <c r="A5609" t="str">
        <f>"20190312164617878"</f>
        <v>20190312164617878</v>
      </c>
      <c r="B5609" t="str">
        <f>"1552380377867270"</f>
        <v>1552380377867270</v>
      </c>
      <c r="C5609" t="s">
        <v>40</v>
      </c>
      <c r="D5609">
        <v>4.9800219999999999</v>
      </c>
      <c r="E5609">
        <v>0.49699880000000002</v>
      </c>
      <c r="F5609" t="s">
        <v>52</v>
      </c>
      <c r="G5609">
        <v>-298.7867</v>
      </c>
      <c r="H5609" s="1">
        <v>-7.3813769999999998E-6</v>
      </c>
      <c r="I5609">
        <v>-53.198480000000004</v>
      </c>
      <c r="J5609">
        <v>-301.6223</v>
      </c>
      <c r="K5609">
        <v>1.110312</v>
      </c>
      <c r="L5609">
        <v>-38.456299999999999</v>
      </c>
      <c r="M5609">
        <v>3.0911109999999999E-2</v>
      </c>
      <c r="N5609">
        <v>0</v>
      </c>
      <c r="O5609">
        <v>-0.99946990000000002</v>
      </c>
      <c r="P5609">
        <v>0.17128399999999999</v>
      </c>
      <c r="Q5609">
        <v>0.1153627</v>
      </c>
      <c r="R5609">
        <v>-0.97844439999999999</v>
      </c>
      <c r="S5609">
        <v>0.56900019999999996</v>
      </c>
      <c r="T5609">
        <v>-0.22209329999999999</v>
      </c>
      <c r="U5609">
        <v>-2.9928279999999998</v>
      </c>
      <c r="V5609">
        <v>-0.14146810000000001</v>
      </c>
      <c r="W5609">
        <v>0.1248312</v>
      </c>
      <c r="X5609">
        <v>0.98204069999999999</v>
      </c>
      <c r="Y5609">
        <v>-0.1558215</v>
      </c>
      <c r="Z5609">
        <v>7.2851449999999998E-2</v>
      </c>
      <c r="AA5609">
        <v>0.9850951</v>
      </c>
      <c r="AB5609">
        <v>24</v>
      </c>
      <c r="AC5609">
        <v>2.8355999999999901</v>
      </c>
      <c r="AD5609">
        <v>-1.110319381377</v>
      </c>
      <c r="AE5609">
        <v>-14.742179999999999</v>
      </c>
      <c r="AF5609">
        <v>-2.3655839191397998</v>
      </c>
      <c r="AG5609">
        <v>-1.110319381377</v>
      </c>
      <c r="AH5609">
        <v>14.742149679688801</v>
      </c>
      <c r="AI5609">
        <v>94.252953159146998</v>
      </c>
      <c r="AJ5609">
        <v>99.116195223755497</v>
      </c>
      <c r="AK5609">
        <v>14.9719662564909</v>
      </c>
      <c r="AL5609">
        <v>82.828992055364594</v>
      </c>
      <c r="AM5609">
        <v>98.197363533860894</v>
      </c>
      <c r="AN5609">
        <v>0.99999999413376905</v>
      </c>
    </row>
    <row r="5610" spans="1:40" x14ac:dyDescent="0.25">
      <c r="A5610" t="str">
        <f>"20190312164617914"</f>
        <v>20190312164617914</v>
      </c>
      <c r="B5610" t="str">
        <f>"1552380377907285"</f>
        <v>1552380377907285</v>
      </c>
      <c r="C5610" t="s">
        <v>40</v>
      </c>
      <c r="D5610">
        <v>5.1121059999999998</v>
      </c>
      <c r="E5610">
        <v>0.49718780000000001</v>
      </c>
      <c r="F5610" t="s">
        <v>52</v>
      </c>
      <c r="G5610">
        <v>-298.72710000000001</v>
      </c>
      <c r="H5610" s="1">
        <v>-7.3664199999999899E-6</v>
      </c>
      <c r="I5610">
        <v>-53.51755</v>
      </c>
      <c r="J5610">
        <v>-301.60570000000001</v>
      </c>
      <c r="K5610">
        <v>1.1102959999999999</v>
      </c>
      <c r="L5610">
        <v>-38.830779999999997</v>
      </c>
      <c r="M5610">
        <v>3.5147600000000001E-2</v>
      </c>
      <c r="N5610">
        <v>0</v>
      </c>
      <c r="O5610">
        <v>-0.9993301</v>
      </c>
      <c r="P5610">
        <v>0.17604110000000001</v>
      </c>
      <c r="Q5610">
        <v>0.11492719999999999</v>
      </c>
      <c r="R5610">
        <v>-0.97765119999999905</v>
      </c>
      <c r="S5610">
        <v>0.57504270000000002</v>
      </c>
      <c r="T5610">
        <v>-0.22052869999999999</v>
      </c>
      <c r="U5610">
        <v>-2.991425</v>
      </c>
      <c r="V5610">
        <v>-0.1420797</v>
      </c>
      <c r="W5610">
        <v>0.1243595</v>
      </c>
      <c r="X5610">
        <v>0.98201229999999995</v>
      </c>
      <c r="Y5610">
        <v>-0.15364549999999999</v>
      </c>
      <c r="Z5610">
        <v>7.2357790000000005E-2</v>
      </c>
      <c r="AA5610">
        <v>0.98547320000000005</v>
      </c>
      <c r="AB5610">
        <v>24</v>
      </c>
      <c r="AC5610">
        <v>2.8786</v>
      </c>
      <c r="AD5610">
        <v>-1.1103033664199999</v>
      </c>
      <c r="AE5610">
        <v>-14.686769999999999</v>
      </c>
      <c r="AF5610">
        <v>-2.3476686562641902</v>
      </c>
      <c r="AG5610">
        <v>-1.1103033664199999</v>
      </c>
      <c r="AH5610">
        <v>14.6979815641646</v>
      </c>
      <c r="AI5610">
        <v>94.266113813782894</v>
      </c>
      <c r="AJ5610">
        <v>99.075040751408295</v>
      </c>
      <c r="AK5610">
        <v>14.9256485201016</v>
      </c>
      <c r="AL5610">
        <v>82.856231071372804</v>
      </c>
      <c r="AM5610">
        <v>98.232552778770696</v>
      </c>
      <c r="AN5610">
        <v>1.00000004187181</v>
      </c>
    </row>
    <row r="5611" spans="1:40" x14ac:dyDescent="0.25">
      <c r="A5611" t="str">
        <f>"20190312164617939"</f>
        <v>20190312164617939</v>
      </c>
      <c r="B5611" t="str">
        <f>"1552380377926805"</f>
        <v>1552380377926805</v>
      </c>
      <c r="C5611" t="s">
        <v>40</v>
      </c>
      <c r="D5611">
        <v>5.0599369999999997</v>
      </c>
      <c r="E5611">
        <v>0.49740590000000001</v>
      </c>
      <c r="F5611" t="s">
        <v>52</v>
      </c>
      <c r="G5611">
        <v>-298.66550000000001</v>
      </c>
      <c r="H5611" s="1">
        <v>-7.3615620000000002E-6</v>
      </c>
      <c r="I5611">
        <v>-53.752879999999998</v>
      </c>
      <c r="J5611">
        <v>-301.5926</v>
      </c>
      <c r="K5611">
        <v>1.110293</v>
      </c>
      <c r="L5611">
        <v>-39.101500000000001</v>
      </c>
      <c r="M5611">
        <v>3.8199339999999998E-2</v>
      </c>
      <c r="N5611">
        <v>0</v>
      </c>
      <c r="O5611">
        <v>-0.99921859999999996</v>
      </c>
      <c r="P5611">
        <v>0.1801992</v>
      </c>
      <c r="Q5611">
        <v>0.1143522</v>
      </c>
      <c r="R5611">
        <v>-0.97696059999999996</v>
      </c>
      <c r="S5611">
        <v>0.58886719999999904</v>
      </c>
      <c r="T5611">
        <v>-0.22237750000000001</v>
      </c>
      <c r="U5611">
        <v>-2.9886780000000002</v>
      </c>
      <c r="V5611">
        <v>-0.14325650000000001</v>
      </c>
      <c r="W5611">
        <v>0.123752399999999</v>
      </c>
      <c r="X5611">
        <v>0.98191799999999996</v>
      </c>
      <c r="Y5611">
        <v>-0.15517899999999901</v>
      </c>
      <c r="Z5611">
        <v>7.2973750000000004E-2</v>
      </c>
      <c r="AA5611">
        <v>0.98518749999999999</v>
      </c>
      <c r="AB5611">
        <v>24</v>
      </c>
      <c r="AC5611">
        <v>2.92709999999999</v>
      </c>
      <c r="AD5611">
        <v>-1.110300361562</v>
      </c>
      <c r="AE5611">
        <v>-14.65138</v>
      </c>
      <c r="AF5611">
        <v>-2.3522713816507199</v>
      </c>
      <c r="AG5611">
        <v>-1.110300361562</v>
      </c>
      <c r="AH5611">
        <v>14.6714828824093</v>
      </c>
      <c r="AI5611">
        <v>94.273378870183706</v>
      </c>
      <c r="AJ5611">
        <v>99.108683188749396</v>
      </c>
      <c r="AK5611">
        <v>14.9002804508723</v>
      </c>
      <c r="AL5611">
        <v>82.891285974460601</v>
      </c>
      <c r="AM5611">
        <v>98.300580226970496</v>
      </c>
      <c r="AN5611">
        <v>1.000000020011</v>
      </c>
    </row>
    <row r="5612" spans="1:40" x14ac:dyDescent="0.25">
      <c r="A5612" t="str">
        <f>"20190312164617960"</f>
        <v>20190312164617960</v>
      </c>
      <c r="B5612" t="str">
        <f>"1552380377957061"</f>
        <v>1552380377957061</v>
      </c>
      <c r="C5612" t="s">
        <v>40</v>
      </c>
      <c r="D5612">
        <v>4.9432589999999896</v>
      </c>
      <c r="E5612">
        <v>0.4632484</v>
      </c>
      <c r="F5612" t="s">
        <v>52</v>
      </c>
      <c r="G5612">
        <v>-298.6336</v>
      </c>
      <c r="H5612" s="1">
        <v>-7.365022E-6</v>
      </c>
      <c r="I5612">
        <v>-53.8217</v>
      </c>
      <c r="J5612">
        <v>-301.58139999999997</v>
      </c>
      <c r="K5612">
        <v>1.11029</v>
      </c>
      <c r="L5612">
        <v>-39.323059999999998</v>
      </c>
      <c r="M5612">
        <v>4.0692249999999999E-2</v>
      </c>
      <c r="N5612">
        <v>0</v>
      </c>
      <c r="O5612">
        <v>-0.99912040000000002</v>
      </c>
      <c r="P5612">
        <v>0.18475359999999999</v>
      </c>
      <c r="Q5612">
        <v>0.11426310000000001</v>
      </c>
      <c r="R5612">
        <v>-0.97611990000000004</v>
      </c>
      <c r="S5612">
        <v>0.60031129999999999</v>
      </c>
      <c r="T5612">
        <v>-0.22525439999999999</v>
      </c>
      <c r="U5612">
        <v>-2.986389</v>
      </c>
      <c r="V5612">
        <v>-0.14538779999999901</v>
      </c>
      <c r="W5612">
        <v>0.123632199999999</v>
      </c>
      <c r="X5612">
        <v>0.98161980000000004</v>
      </c>
      <c r="Y5612">
        <v>-0.15647510000000001</v>
      </c>
      <c r="Z5612">
        <v>7.3922100000000004E-2</v>
      </c>
      <c r="AA5612">
        <v>0.98491169999999995</v>
      </c>
      <c r="AB5612">
        <v>24</v>
      </c>
      <c r="AC5612">
        <v>2.9477999999999698</v>
      </c>
      <c r="AD5612">
        <v>-1.110297365022</v>
      </c>
      <c r="AE5612">
        <v>-14.49864</v>
      </c>
      <c r="AF5612">
        <v>-2.3421555152930198</v>
      </c>
      <c r="AG5612">
        <v>-1.110297365022</v>
      </c>
      <c r="AH5612">
        <v>14.5247907296331</v>
      </c>
      <c r="AI5612">
        <v>94.315741775320703</v>
      </c>
      <c r="AJ5612">
        <v>99.160222210394494</v>
      </c>
      <c r="AK5612">
        <v>14.754253570961399</v>
      </c>
      <c r="AL5612">
        <v>82.898225956123397</v>
      </c>
      <c r="AM5612">
        <v>98.424835445205403</v>
      </c>
      <c r="AN5612">
        <v>0.99999998250885902</v>
      </c>
    </row>
    <row r="5613" spans="1:40" x14ac:dyDescent="0.25">
      <c r="A5613" t="str">
        <f>"20190312164617985"</f>
        <v>20190312164617985</v>
      </c>
      <c r="B5613" t="str">
        <f>"1552380377976581"</f>
        <v>1552380377976581</v>
      </c>
      <c r="C5613" t="s">
        <v>40</v>
      </c>
      <c r="D5613">
        <v>5.103192</v>
      </c>
      <c r="E5613">
        <v>0.4075783</v>
      </c>
      <c r="F5613" t="s">
        <v>52</v>
      </c>
      <c r="G5613">
        <v>-294.29020000000003</v>
      </c>
      <c r="H5613" s="1">
        <v>-1.1856189999999999E-5</v>
      </c>
      <c r="I5613">
        <v>-63.661389999999997</v>
      </c>
      <c r="J5613">
        <v>-301.5675</v>
      </c>
      <c r="K5613">
        <v>1.1102829999999999</v>
      </c>
      <c r="L5613">
        <v>-39.581850000000003</v>
      </c>
      <c r="M5613">
        <v>4.3600800000000002E-2</v>
      </c>
      <c r="N5613">
        <v>0</v>
      </c>
      <c r="O5613">
        <v>-0.99899780000000005</v>
      </c>
      <c r="P5613">
        <v>0.1897982</v>
      </c>
      <c r="Q5613">
        <v>0.1145809</v>
      </c>
      <c r="R5613">
        <v>-0.9751145</v>
      </c>
      <c r="S5613">
        <v>0.87573239999999997</v>
      </c>
      <c r="T5613">
        <v>-0.133357</v>
      </c>
      <c r="U5613">
        <v>-2.9232480000000001</v>
      </c>
      <c r="V5613">
        <v>-0.14761170000000001</v>
      </c>
      <c r="W5613">
        <v>0.12391190000000001</v>
      </c>
      <c r="X5613">
        <v>0.98125260000000003</v>
      </c>
      <c r="Y5613">
        <v>-0.24465680000000001</v>
      </c>
      <c r="Z5613">
        <v>4.3854079999999997E-2</v>
      </c>
      <c r="AA5613">
        <v>0.96861750000000002</v>
      </c>
      <c r="AB5613">
        <v>24</v>
      </c>
      <c r="AC5613">
        <v>7.2772999999999604</v>
      </c>
      <c r="AD5613">
        <v>-1.1102948561899999</v>
      </c>
      <c r="AE5613">
        <v>-24.079539999999898</v>
      </c>
      <c r="AF5613">
        <v>-6.2083431085691201</v>
      </c>
      <c r="AG5613">
        <v>-1.1102948561899999</v>
      </c>
      <c r="AH5613">
        <v>24.326559446489199</v>
      </c>
      <c r="AI5613">
        <v>92.532187171168303</v>
      </c>
      <c r="AJ5613">
        <v>104.316764462422</v>
      </c>
      <c r="AK5613">
        <v>25.1308132245053</v>
      </c>
      <c r="AL5613">
        <v>82.882076406029796</v>
      </c>
      <c r="AM5613">
        <v>98.554965988144801</v>
      </c>
      <c r="AN5613">
        <v>1.0000000189726299</v>
      </c>
    </row>
    <row r="5614" spans="1:40" x14ac:dyDescent="0.25">
      <c r="A5614" t="str">
        <f>"20190312164618026"</f>
        <v>20190312164618026</v>
      </c>
      <c r="B5614" t="str">
        <f>"1552380378016597"</f>
        <v>1552380378016597</v>
      </c>
      <c r="C5614" t="s">
        <v>40</v>
      </c>
      <c r="D5614">
        <v>4.8917739999999998</v>
      </c>
      <c r="E5614">
        <v>0.37254110000000001</v>
      </c>
      <c r="F5614" t="s">
        <v>52</v>
      </c>
      <c r="G5614">
        <v>-289.28530000000001</v>
      </c>
      <c r="H5614" s="1">
        <v>-2.7221550000000002E-6</v>
      </c>
      <c r="I5614">
        <v>-65.824389999999994</v>
      </c>
      <c r="J5614">
        <v>-301.54259999999999</v>
      </c>
      <c r="K5614">
        <v>1.110284</v>
      </c>
      <c r="L5614">
        <v>-40.01511</v>
      </c>
      <c r="M5614">
        <v>4.8465859999999999E-2</v>
      </c>
      <c r="N5614">
        <v>0</v>
      </c>
      <c r="O5614">
        <v>-0.99877419999999995</v>
      </c>
      <c r="P5614">
        <v>0.1997854</v>
      </c>
      <c r="Q5614">
        <v>0.11347069999999999</v>
      </c>
      <c r="R5614">
        <v>-0.97324759999999999</v>
      </c>
      <c r="S5614">
        <v>1.3257139999999901</v>
      </c>
      <c r="T5614">
        <v>-0.1198425</v>
      </c>
      <c r="U5614">
        <v>-2.8325809999999998</v>
      </c>
      <c r="V5614">
        <v>-0.15288759999999901</v>
      </c>
      <c r="W5614">
        <v>0.1227274</v>
      </c>
      <c r="X5614">
        <v>0.98059339999999995</v>
      </c>
      <c r="Y5614">
        <v>-0.37918259999999998</v>
      </c>
      <c r="Z5614">
        <v>3.8612E-2</v>
      </c>
      <c r="AA5614">
        <v>0.92451589999999995</v>
      </c>
      <c r="AB5614">
        <v>24</v>
      </c>
      <c r="AC5614">
        <v>12.257299999999899</v>
      </c>
      <c r="AD5614">
        <v>-1.1102867221549999</v>
      </c>
      <c r="AE5614">
        <v>-25.809280000000001</v>
      </c>
      <c r="AF5614">
        <v>-10.975388752145999</v>
      </c>
      <c r="AG5614">
        <v>-1.1102867221549999</v>
      </c>
      <c r="AH5614">
        <v>26.333273232897799</v>
      </c>
      <c r="AI5614">
        <v>92.228707220295604</v>
      </c>
      <c r="AJ5614">
        <v>112.625781647384</v>
      </c>
      <c r="AK5614">
        <v>28.550537193275002</v>
      </c>
      <c r="AL5614">
        <v>82.950465311346306</v>
      </c>
      <c r="AM5614">
        <v>98.861829137852396</v>
      </c>
      <c r="AN5614">
        <v>1.0000000245340299</v>
      </c>
    </row>
    <row r="5615" spans="1:40" x14ac:dyDescent="0.25">
      <c r="A5615" t="str">
        <f>"20190312164618070"</f>
        <v>20190312164618070</v>
      </c>
      <c r="B5615" t="str">
        <f>"1552380378067349"</f>
        <v>1552380378067349</v>
      </c>
      <c r="C5615" t="s">
        <v>40</v>
      </c>
      <c r="D5615">
        <v>4.8795029999999997</v>
      </c>
      <c r="E5615">
        <v>0.36875520000000001</v>
      </c>
      <c r="F5615" t="s">
        <v>41</v>
      </c>
      <c r="G5615">
        <v>-301.04820000000001</v>
      </c>
      <c r="H5615">
        <v>1.0688770000000001</v>
      </c>
      <c r="I5615">
        <v>-40.853529999999999</v>
      </c>
      <c r="J5615">
        <v>-301.51299999999998</v>
      </c>
      <c r="K5615">
        <v>1.1102879999999999</v>
      </c>
      <c r="L5615">
        <v>-40.48715</v>
      </c>
      <c r="M5615">
        <v>5.3771190000000003E-2</v>
      </c>
      <c r="N5615">
        <v>0</v>
      </c>
      <c r="O5615">
        <v>-0.99850289999999997</v>
      </c>
      <c r="P5615">
        <v>0.2121856</v>
      </c>
      <c r="Q5615">
        <v>0.1132153</v>
      </c>
      <c r="R5615">
        <v>-0.97064919999999999</v>
      </c>
      <c r="S5615">
        <v>1.6302190000000001</v>
      </c>
      <c r="T5615">
        <v>-0.13649310000000001</v>
      </c>
      <c r="U5615">
        <v>-2.7637330000000002</v>
      </c>
      <c r="V5615">
        <v>-0.16019330000000001</v>
      </c>
      <c r="W5615">
        <v>0.1223877</v>
      </c>
      <c r="X5615">
        <v>0.97946889999999998</v>
      </c>
      <c r="Y5615">
        <v>-0.46054050000000002</v>
      </c>
      <c r="Z5615">
        <v>4.2996319999999998E-2</v>
      </c>
      <c r="AA5615">
        <v>0.88659669999999902</v>
      </c>
      <c r="AB5615">
        <v>24</v>
      </c>
      <c r="AC5615">
        <v>0.46479999999996802</v>
      </c>
      <c r="AD5615">
        <v>-4.1410999999999802E-2</v>
      </c>
      <c r="AE5615">
        <v>-0.36637999999999898</v>
      </c>
      <c r="AF5615">
        <v>-0.44226059565826698</v>
      </c>
      <c r="AG5615">
        <v>-4.1410999999999802E-2</v>
      </c>
      <c r="AH5615">
        <v>0.38893983044464697</v>
      </c>
      <c r="AI5615">
        <v>94.021996344306004</v>
      </c>
      <c r="AJ5615">
        <v>138.670443855869</v>
      </c>
      <c r="AK5615">
        <v>0.59040960112392804</v>
      </c>
      <c r="AL5615">
        <v>82.970076243748395</v>
      </c>
      <c r="AM5615">
        <v>99.288555473530806</v>
      </c>
      <c r="AN5615">
        <v>0.99999998427169401</v>
      </c>
    </row>
    <row r="5616" spans="1:40" x14ac:dyDescent="0.25">
      <c r="A5616" t="str">
        <f>"20190312164618095"</f>
        <v>20190312164618095</v>
      </c>
      <c r="B5616" t="str">
        <f>"1552380378087312"</f>
        <v>1552380378087312</v>
      </c>
      <c r="C5616" t="s">
        <v>40</v>
      </c>
      <c r="D5616">
        <v>4.8433219999999997</v>
      </c>
      <c r="E5616">
        <v>0.36831989999999998</v>
      </c>
      <c r="F5616" t="s">
        <v>41</v>
      </c>
      <c r="G5616">
        <v>-300.96379999999999</v>
      </c>
      <c r="H5616">
        <v>1.026956</v>
      </c>
      <c r="I5616">
        <v>-41.374270000000003</v>
      </c>
      <c r="J5616">
        <v>-301.49509999999998</v>
      </c>
      <c r="K5616">
        <v>1.1103050000000001</v>
      </c>
      <c r="L5616">
        <v>-40.754489999999997</v>
      </c>
      <c r="M5616">
        <v>5.679008E-2</v>
      </c>
      <c r="N5616">
        <v>0</v>
      </c>
      <c r="O5616">
        <v>-0.998336</v>
      </c>
      <c r="P5616">
        <v>0.21932679999999999</v>
      </c>
      <c r="Q5616">
        <v>0.11342389999999999</v>
      </c>
      <c r="R5616">
        <v>-0.96903640000000002</v>
      </c>
      <c r="S5616">
        <v>1.7017519999999999</v>
      </c>
      <c r="T5616">
        <v>-0.2582139</v>
      </c>
      <c r="U5616">
        <v>-2.74884</v>
      </c>
      <c r="V5616">
        <v>-0.16445309999999999</v>
      </c>
      <c r="W5616">
        <v>0.12254710000000001</v>
      </c>
      <c r="X5616">
        <v>0.97874280000000002</v>
      </c>
      <c r="Y5616">
        <v>-0.47553000000000001</v>
      </c>
      <c r="Z5616">
        <v>8.0633560000000007E-2</v>
      </c>
      <c r="AA5616">
        <v>0.8759962</v>
      </c>
      <c r="AB5616">
        <v>24</v>
      </c>
      <c r="AC5616">
        <v>0.531299999999987</v>
      </c>
      <c r="AD5616">
        <v>-8.3348999999999895E-2</v>
      </c>
      <c r="AE5616">
        <v>-0.619779999999998</v>
      </c>
      <c r="AF5616">
        <v>-0.49013388125877699</v>
      </c>
      <c r="AG5616">
        <v>-8.3348999999999895E-2</v>
      </c>
      <c r="AH5616">
        <v>0.64225842621316498</v>
      </c>
      <c r="AI5616">
        <v>95.890111435777797</v>
      </c>
      <c r="AJ5616">
        <v>127.34874541315899</v>
      </c>
      <c r="AK5616">
        <v>0.81220327714224605</v>
      </c>
      <c r="AL5616">
        <v>82.960874429635396</v>
      </c>
      <c r="AM5616">
        <v>99.538019778458903</v>
      </c>
      <c r="AN5616">
        <v>1.0000000411849199</v>
      </c>
    </row>
    <row r="5617" spans="1:40" x14ac:dyDescent="0.25">
      <c r="A5617" t="str">
        <f>"20190312164618117"</f>
        <v>20190312164618117</v>
      </c>
      <c r="B5617" t="str">
        <f>"1552380378106833"</f>
        <v>1552380378106833</v>
      </c>
      <c r="C5617" t="s">
        <v>40</v>
      </c>
      <c r="D5617">
        <v>4.8753820000000001</v>
      </c>
      <c r="E5617">
        <v>0.3677279</v>
      </c>
      <c r="F5617" t="s">
        <v>41</v>
      </c>
      <c r="G5617">
        <v>-300.96690000000001</v>
      </c>
      <c r="H5617">
        <v>1.0288219999999999</v>
      </c>
      <c r="I5617">
        <v>-41.591929999999998</v>
      </c>
      <c r="J5617">
        <v>-301.47800000000001</v>
      </c>
      <c r="K5617">
        <v>1.1103259999999999</v>
      </c>
      <c r="L5617">
        <v>-40.999940000000002</v>
      </c>
      <c r="M5617">
        <v>5.9579149999999997E-2</v>
      </c>
      <c r="N5617">
        <v>0</v>
      </c>
      <c r="O5617">
        <v>-0.99817359999999999</v>
      </c>
      <c r="P5617">
        <v>0.22642580000000001</v>
      </c>
      <c r="Q5617">
        <v>0.1129747</v>
      </c>
      <c r="R5617">
        <v>-0.96745440000000005</v>
      </c>
      <c r="S5617">
        <v>1.7263790000000001</v>
      </c>
      <c r="T5617">
        <v>-0.26625539999999998</v>
      </c>
      <c r="U5617">
        <v>-2.7362980000000001</v>
      </c>
      <c r="V5617">
        <v>-0.1688983</v>
      </c>
      <c r="W5617">
        <v>0.1220497</v>
      </c>
      <c r="X5617">
        <v>0.97804769999999996</v>
      </c>
      <c r="Y5617">
        <v>-0.48041590000000001</v>
      </c>
      <c r="Z5617">
        <v>8.3125790000000005E-2</v>
      </c>
      <c r="AA5617">
        <v>0.8730926</v>
      </c>
      <c r="AB5617">
        <v>24</v>
      </c>
      <c r="AC5617">
        <v>0.511099999999999</v>
      </c>
      <c r="AD5617">
        <v>-8.1503999999999993E-2</v>
      </c>
      <c r="AE5617">
        <v>-0.59198999999999502</v>
      </c>
      <c r="AF5617">
        <v>-0.46981766011666298</v>
      </c>
      <c r="AG5617">
        <v>-8.1503999999999993E-2</v>
      </c>
      <c r="AH5617">
        <v>0.61471478720682304</v>
      </c>
      <c r="AI5617">
        <v>96.013583069148595</v>
      </c>
      <c r="AJ5617">
        <v>127.390158717573</v>
      </c>
      <c r="AK5617">
        <v>0.77797545294451598</v>
      </c>
      <c r="AL5617">
        <v>82.989588849303004</v>
      </c>
      <c r="AM5617">
        <v>99.797731874203507</v>
      </c>
      <c r="AN5617">
        <v>1.00000003424413</v>
      </c>
    </row>
    <row r="5618" spans="1:40" x14ac:dyDescent="0.25">
      <c r="A5618" t="str">
        <f>"20190312164618140"</f>
        <v>20190312164618140</v>
      </c>
      <c r="B5618" t="str">
        <f>"1552380378137089"</f>
        <v>1552380378137089</v>
      </c>
      <c r="C5618" t="s">
        <v>40</v>
      </c>
      <c r="D5618">
        <v>4.9844530000000002</v>
      </c>
      <c r="E5618">
        <v>0.36687069999999999</v>
      </c>
      <c r="F5618" t="s">
        <v>41</v>
      </c>
      <c r="G5618">
        <v>-300.95920000000001</v>
      </c>
      <c r="H5618">
        <v>1.029747</v>
      </c>
      <c r="I5618">
        <v>-41.807049999999997</v>
      </c>
      <c r="J5618">
        <v>-301.46030000000002</v>
      </c>
      <c r="K5618">
        <v>1.1103609999999999</v>
      </c>
      <c r="L5618">
        <v>-41.243650000000002</v>
      </c>
      <c r="M5618">
        <v>6.240275E-2</v>
      </c>
      <c r="N5618">
        <v>0</v>
      </c>
      <c r="O5618">
        <v>-0.99800120000000003</v>
      </c>
      <c r="P5618">
        <v>0.23402120000000001</v>
      </c>
      <c r="Q5618">
        <v>0.1129299</v>
      </c>
      <c r="R5618">
        <v>-0.96565089999999998</v>
      </c>
      <c r="S5618">
        <v>1.7505489999999999</v>
      </c>
      <c r="T5618">
        <v>-0.27185710000000002</v>
      </c>
      <c r="U5618">
        <v>-2.7229610000000002</v>
      </c>
      <c r="V5618">
        <v>-0.1738307</v>
      </c>
      <c r="W5618">
        <v>0.121948</v>
      </c>
      <c r="X5618">
        <v>0.97719579999999995</v>
      </c>
      <c r="Y5618">
        <v>-0.48528359999999898</v>
      </c>
      <c r="Z5618">
        <v>8.4879289999999996E-2</v>
      </c>
      <c r="AA5618">
        <v>0.87022719999999898</v>
      </c>
      <c r="AB5618">
        <v>24</v>
      </c>
      <c r="AC5618">
        <v>0.50110000000000798</v>
      </c>
      <c r="AD5618">
        <v>-8.0614000000000102E-2</v>
      </c>
      <c r="AE5618">
        <v>-0.56339999999999402</v>
      </c>
      <c r="AF5618">
        <v>-0.459709007579236</v>
      </c>
      <c r="AG5618">
        <v>-8.0614000000000102E-2</v>
      </c>
      <c r="AH5618">
        <v>0.58686511898451599</v>
      </c>
      <c r="AI5618">
        <v>96.171799195145894</v>
      </c>
      <c r="AJ5618">
        <v>128.072660726734</v>
      </c>
      <c r="AK5618">
        <v>0.74982775123770695</v>
      </c>
      <c r="AL5618">
        <v>82.995459648450606</v>
      </c>
      <c r="AM5618">
        <v>100.08667950879401</v>
      </c>
      <c r="AN5618">
        <v>1.0000000292520601</v>
      </c>
    </row>
    <row r="5619" spans="1:40" x14ac:dyDescent="0.25">
      <c r="A5619" t="str">
        <f>"20190312164618162"</f>
        <v>20190312164618162</v>
      </c>
      <c r="B5619" t="str">
        <f>"1552380378156609"</f>
        <v>1552380378156609</v>
      </c>
      <c r="C5619" t="s">
        <v>40</v>
      </c>
      <c r="D5619">
        <v>4.854406</v>
      </c>
      <c r="E5619">
        <v>0.36677690000000002</v>
      </c>
      <c r="F5619" t="s">
        <v>41</v>
      </c>
      <c r="G5619">
        <v>-300.94909999999999</v>
      </c>
      <c r="H5619">
        <v>1.0347329999999999</v>
      </c>
      <c r="I5619">
        <v>-42.021990000000002</v>
      </c>
      <c r="J5619">
        <v>-301.4427</v>
      </c>
      <c r="K5619">
        <v>1.1104149999999999</v>
      </c>
      <c r="L5619">
        <v>-41.475250000000003</v>
      </c>
      <c r="M5619">
        <v>6.5170969999999995E-2</v>
      </c>
      <c r="N5619">
        <v>0</v>
      </c>
      <c r="O5619">
        <v>-0.9978243</v>
      </c>
      <c r="P5619">
        <v>0.24163560000000001</v>
      </c>
      <c r="Q5619">
        <v>0.11304939999999999</v>
      </c>
      <c r="R5619">
        <v>-0.96375940000000004</v>
      </c>
      <c r="S5619">
        <v>1.7781070000000001</v>
      </c>
      <c r="T5619">
        <v>-0.26299270000000002</v>
      </c>
      <c r="U5619">
        <v>-2.7065429999999999</v>
      </c>
      <c r="V5619">
        <v>-0.17885529999999999</v>
      </c>
      <c r="W5619">
        <v>0.1220019</v>
      </c>
      <c r="X5619">
        <v>0.97628190000000004</v>
      </c>
      <c r="Y5619">
        <v>-0.491589</v>
      </c>
      <c r="Z5619">
        <v>8.2162650000000004E-2</v>
      </c>
      <c r="AA5619">
        <v>0.86694259999999901</v>
      </c>
      <c r="AB5619">
        <v>24</v>
      </c>
      <c r="AC5619">
        <v>0.49360000000001403</v>
      </c>
      <c r="AD5619">
        <v>-7.5681999999999999E-2</v>
      </c>
      <c r="AE5619">
        <v>-0.546739999999999</v>
      </c>
      <c r="AF5619">
        <v>-0.45214400905587299</v>
      </c>
      <c r="AG5619">
        <v>-7.5681999999999999E-2</v>
      </c>
      <c r="AH5619">
        <v>0.57171210695065799</v>
      </c>
      <c r="AI5619">
        <v>95.927838952804393</v>
      </c>
      <c r="AJ5619">
        <v>128.33904832311899</v>
      </c>
      <c r="AK5619">
        <v>0.73281423518042998</v>
      </c>
      <c r="AL5619">
        <v>82.992348073560194</v>
      </c>
      <c r="AM5619">
        <v>100.381492511788</v>
      </c>
      <c r="AN5619">
        <v>1.00000001510465</v>
      </c>
    </row>
    <row r="5620" spans="1:40" x14ac:dyDescent="0.25">
      <c r="A5620" t="str">
        <f>"20190312164618185"</f>
        <v>20190312164618185</v>
      </c>
      <c r="B5620" t="str">
        <f>"1552380378177104"</f>
        <v>1552380378177104</v>
      </c>
      <c r="C5620" t="s">
        <v>40</v>
      </c>
      <c r="D5620">
        <v>4.9659750000000003</v>
      </c>
      <c r="E5620">
        <v>0.3670254</v>
      </c>
      <c r="F5620" t="s">
        <v>41</v>
      </c>
      <c r="G5620">
        <v>-300.93419999999998</v>
      </c>
      <c r="H5620">
        <v>1.0398130000000001</v>
      </c>
      <c r="I5620">
        <v>-42.235999999999997</v>
      </c>
      <c r="J5620">
        <v>-301.42270000000002</v>
      </c>
      <c r="K5620">
        <v>1.1105020000000001</v>
      </c>
      <c r="L5620">
        <v>-41.727780000000003</v>
      </c>
      <c r="M5620">
        <v>6.8311360000000002E-2</v>
      </c>
      <c r="N5620">
        <v>0</v>
      </c>
      <c r="O5620">
        <v>-0.99761429999999995</v>
      </c>
      <c r="P5620">
        <v>0.24867980000000001</v>
      </c>
      <c r="Q5620">
        <v>0.1136281</v>
      </c>
      <c r="R5620">
        <v>-0.96189780000000003</v>
      </c>
      <c r="S5620">
        <v>1.798889</v>
      </c>
      <c r="T5620">
        <v>-0.24976019999999999</v>
      </c>
      <c r="U5620">
        <v>-2.6911010000000002</v>
      </c>
      <c r="V5620">
        <v>-0.18296219999999999</v>
      </c>
      <c r="W5620">
        <v>0.1225065</v>
      </c>
      <c r="X5620">
        <v>0.97545729999999997</v>
      </c>
      <c r="Y5620">
        <v>-0.49594739999999998</v>
      </c>
      <c r="Z5620">
        <v>7.8148369999999995E-2</v>
      </c>
      <c r="AA5620">
        <v>0.86482890000000001</v>
      </c>
      <c r="AB5620">
        <v>24</v>
      </c>
      <c r="AC5620">
        <v>0.48850000000004401</v>
      </c>
      <c r="AD5620">
        <v>-7.0689000000000196E-2</v>
      </c>
      <c r="AE5620">
        <v>-0.508220000000008</v>
      </c>
      <c r="AF5620">
        <v>-0.44813350424492998</v>
      </c>
      <c r="AG5620">
        <v>-7.0689000000000196E-2</v>
      </c>
      <c r="AH5620">
        <v>0.53502435464807097</v>
      </c>
      <c r="AI5620">
        <v>95.783597933072002</v>
      </c>
      <c r="AJ5620">
        <v>129.94935912552199</v>
      </c>
      <c r="AK5620">
        <v>0.70147817672000701</v>
      </c>
      <c r="AL5620">
        <v>82.963217842324497</v>
      </c>
      <c r="AM5620">
        <v>100.62328427052</v>
      </c>
      <c r="AN5620">
        <v>0.99999997664718898</v>
      </c>
    </row>
    <row r="5621" spans="1:40" x14ac:dyDescent="0.25">
      <c r="A5621" t="str">
        <f>"20190312164618212"</f>
        <v>20190312164618212</v>
      </c>
      <c r="B5621" t="str">
        <f>"1552380378207360"</f>
        <v>1552380378207360</v>
      </c>
      <c r="C5621" t="s">
        <v>40</v>
      </c>
      <c r="D5621">
        <v>4.9170379999999998</v>
      </c>
      <c r="E5621">
        <v>0.3674926</v>
      </c>
      <c r="F5621" t="s">
        <v>41</v>
      </c>
      <c r="G5621">
        <v>-300.93049999999999</v>
      </c>
      <c r="H5621">
        <v>1.0451969999999999</v>
      </c>
      <c r="I5621">
        <v>-42.453600000000002</v>
      </c>
      <c r="J5621">
        <v>-301.39999999999998</v>
      </c>
      <c r="K5621">
        <v>1.11063</v>
      </c>
      <c r="L5621">
        <v>-42.000210000000003</v>
      </c>
      <c r="M5621">
        <v>7.1884439999999994E-2</v>
      </c>
      <c r="N5621">
        <v>0</v>
      </c>
      <c r="O5621">
        <v>-0.99736320000000001</v>
      </c>
      <c r="P5621">
        <v>0.25617839999999997</v>
      </c>
      <c r="Q5621">
        <v>0.1141312</v>
      </c>
      <c r="R5621">
        <v>-0.95986819999999895</v>
      </c>
      <c r="S5621">
        <v>1.8159179999999999</v>
      </c>
      <c r="T5621">
        <v>-0.2409393</v>
      </c>
      <c r="U5621">
        <v>-2.677826</v>
      </c>
      <c r="V5621">
        <v>-0.18712780000000001</v>
      </c>
      <c r="W5621">
        <v>0.1229196</v>
      </c>
      <c r="X5621">
        <v>0.9746148</v>
      </c>
      <c r="Y5621">
        <v>-0.4987085</v>
      </c>
      <c r="Z5621">
        <v>7.5499510000000006E-2</v>
      </c>
      <c r="AA5621">
        <v>0.86347529999999995</v>
      </c>
      <c r="AB5621">
        <v>24</v>
      </c>
      <c r="AC5621">
        <v>0.46949999999998199</v>
      </c>
      <c r="AD5621">
        <v>-6.5433000000000005E-2</v>
      </c>
      <c r="AE5621">
        <v>-0.45339000000000601</v>
      </c>
      <c r="AF5621">
        <v>-0.431356576077914</v>
      </c>
      <c r="AG5621">
        <v>-6.5433000000000005E-2</v>
      </c>
      <c r="AH5621">
        <v>0.481132702075316</v>
      </c>
      <c r="AI5621">
        <v>95.782074455038995</v>
      </c>
      <c r="AJ5621">
        <v>131.877620150128</v>
      </c>
      <c r="AK5621">
        <v>0.649491070162597</v>
      </c>
      <c r="AL5621">
        <v>82.939369050978897</v>
      </c>
      <c r="AM5621">
        <v>100.86862503792</v>
      </c>
      <c r="AN5621">
        <v>1.0000000249880101</v>
      </c>
    </row>
    <row r="5622" spans="1:40" x14ac:dyDescent="0.25">
      <c r="A5622" t="str">
        <f>"20190312164618248"</f>
        <v>20190312164618248</v>
      </c>
      <c r="B5622" t="str">
        <f>"1552380378236640"</f>
        <v>1552380378236640</v>
      </c>
      <c r="C5622" t="s">
        <v>40</v>
      </c>
      <c r="D5622">
        <v>4.8877350000000002</v>
      </c>
      <c r="E5622">
        <v>0.36817119999999998</v>
      </c>
      <c r="F5622" t="s">
        <v>41</v>
      </c>
      <c r="G5622">
        <v>-300.8107</v>
      </c>
      <c r="H5622">
        <v>1.036232</v>
      </c>
      <c r="I5622">
        <v>-42.857100000000003</v>
      </c>
      <c r="J5622">
        <v>-301.36430000000001</v>
      </c>
      <c r="K5622">
        <v>1.1108359999999999</v>
      </c>
      <c r="L5622">
        <v>-42.402160000000002</v>
      </c>
      <c r="M5622">
        <v>7.7545340000000004E-2</v>
      </c>
      <c r="N5622">
        <v>0</v>
      </c>
      <c r="O5622">
        <v>-0.99693929999999997</v>
      </c>
      <c r="P5622">
        <v>0.2705825</v>
      </c>
      <c r="Q5622">
        <v>0.1126582</v>
      </c>
      <c r="R5622">
        <v>-0.95608289999999996</v>
      </c>
      <c r="S5622">
        <v>1.8324279999999999</v>
      </c>
      <c r="T5622">
        <v>-0.231297</v>
      </c>
      <c r="U5622">
        <v>-2.6638790000000001</v>
      </c>
      <c r="V5622">
        <v>-0.19629260000000001</v>
      </c>
      <c r="W5622">
        <v>0.1212849</v>
      </c>
      <c r="X5622">
        <v>0.97301550000000003</v>
      </c>
      <c r="Y5622">
        <v>-0.49965340000000003</v>
      </c>
      <c r="Z5622">
        <v>7.2623869999999993E-2</v>
      </c>
      <c r="AA5622">
        <v>0.86317569999999999</v>
      </c>
      <c r="AB5622">
        <v>24</v>
      </c>
      <c r="AC5622">
        <v>0.55360000000001697</v>
      </c>
      <c r="AD5622">
        <v>-7.4604000000000101E-2</v>
      </c>
      <c r="AE5622">
        <v>-0.45494000000000701</v>
      </c>
      <c r="AF5622">
        <v>-0.51111214420535001</v>
      </c>
      <c r="AG5622">
        <v>-7.4604000000000101E-2</v>
      </c>
      <c r="AH5622">
        <v>0.49117679541973502</v>
      </c>
      <c r="AI5622">
        <v>96.007933225010206</v>
      </c>
      <c r="AJ5622">
        <v>136.13945262449801</v>
      </c>
      <c r="AK5622">
        <v>0.71278048874039102</v>
      </c>
      <c r="AL5622">
        <v>83.033736310550594</v>
      </c>
      <c r="AM5622">
        <v>101.40555987104</v>
      </c>
      <c r="AN5622">
        <v>0.99999998751150998</v>
      </c>
    </row>
    <row r="5623" spans="1:40" x14ac:dyDescent="0.25">
      <c r="A5623" t="str">
        <f>"20190312164618274"</f>
        <v>20190312164618274</v>
      </c>
      <c r="B5623" t="str">
        <f>"1552380378266896"</f>
        <v>1552380378266896</v>
      </c>
      <c r="C5623" t="s">
        <v>40</v>
      </c>
      <c r="D5623">
        <v>4.9058390000000003</v>
      </c>
      <c r="E5623">
        <v>0.36882930000000003</v>
      </c>
      <c r="F5623" t="s">
        <v>41</v>
      </c>
      <c r="G5623">
        <v>-300.87419999999997</v>
      </c>
      <c r="H5623">
        <v>1.048465</v>
      </c>
      <c r="I5623">
        <v>-43.095669999999998</v>
      </c>
      <c r="J5623">
        <v>-301.33800000000002</v>
      </c>
      <c r="K5623">
        <v>1.110968</v>
      </c>
      <c r="L5623">
        <v>-42.679690000000001</v>
      </c>
      <c r="M5623">
        <v>8.1746940000000004E-2</v>
      </c>
      <c r="N5623">
        <v>0</v>
      </c>
      <c r="O5623">
        <v>-0.99660329999999997</v>
      </c>
      <c r="P5623">
        <v>0.27904839999999997</v>
      </c>
      <c r="Q5623">
        <v>0.11164880000000001</v>
      </c>
      <c r="R5623">
        <v>-0.95376439999999996</v>
      </c>
      <c r="S5623">
        <v>1.864868</v>
      </c>
      <c r="T5623">
        <v>-0.2372582</v>
      </c>
      <c r="U5623">
        <v>-2.6379999999999999</v>
      </c>
      <c r="V5623">
        <v>-0.2008451</v>
      </c>
      <c r="W5623">
        <v>0.1201773</v>
      </c>
      <c r="X5623">
        <v>0.97222359999999997</v>
      </c>
      <c r="Y5623">
        <v>-0.50696279999999905</v>
      </c>
      <c r="Z5623">
        <v>7.4632379999999998E-2</v>
      </c>
      <c r="AA5623">
        <v>0.85873089999999996</v>
      </c>
      <c r="AB5623">
        <v>24</v>
      </c>
      <c r="AC5623">
        <v>0.463799999999992</v>
      </c>
      <c r="AD5623">
        <v>-6.2502999999999906E-2</v>
      </c>
      <c r="AE5623">
        <v>-0.41597999999999702</v>
      </c>
      <c r="AF5623">
        <v>-0.423973599109148</v>
      </c>
      <c r="AG5623">
        <v>-6.2502999999999906E-2</v>
      </c>
      <c r="AH5623">
        <v>0.44799478993693198</v>
      </c>
      <c r="AI5623">
        <v>95.786195420589095</v>
      </c>
      <c r="AJ5623">
        <v>133.422001456316</v>
      </c>
      <c r="AK5623">
        <v>0.61996739395003697</v>
      </c>
      <c r="AL5623">
        <v>83.097665056393396</v>
      </c>
      <c r="AM5623">
        <v>101.672153482471</v>
      </c>
      <c r="AN5623">
        <v>1.00000003301312</v>
      </c>
    </row>
    <row r="5624" spans="1:40" x14ac:dyDescent="0.25">
      <c r="A5624" t="str">
        <f>"20190312164618297"</f>
        <v>20190312164618297</v>
      </c>
      <c r="B5624" t="str">
        <f>"1552380378287393"</f>
        <v>1552380378287393</v>
      </c>
      <c r="C5624" t="s">
        <v>40</v>
      </c>
      <c r="D5624">
        <v>4.9158390000000001</v>
      </c>
      <c r="E5624">
        <v>0.36934400000000001</v>
      </c>
      <c r="F5624" t="s">
        <v>41</v>
      </c>
      <c r="G5624">
        <v>-300.74990000000003</v>
      </c>
      <c r="H5624">
        <v>1.0328329999999999</v>
      </c>
      <c r="I5624">
        <v>-43.499189999999999</v>
      </c>
      <c r="J5624">
        <v>-301.31310000000002</v>
      </c>
      <c r="K5624">
        <v>1.1110930000000001</v>
      </c>
      <c r="L5624">
        <v>-42.929380000000002</v>
      </c>
      <c r="M5624">
        <v>8.5736889999999996E-2</v>
      </c>
      <c r="N5624">
        <v>0</v>
      </c>
      <c r="O5624">
        <v>-0.99626809999999999</v>
      </c>
      <c r="P5624">
        <v>0.28744609999999998</v>
      </c>
      <c r="Q5624">
        <v>0.11134819999999999</v>
      </c>
      <c r="R5624">
        <v>-0.95130269999999995</v>
      </c>
      <c r="S5624">
        <v>1.8827210000000001</v>
      </c>
      <c r="T5624">
        <v>-0.25017129999999999</v>
      </c>
      <c r="U5624">
        <v>-2.6238709999999998</v>
      </c>
      <c r="V5624">
        <v>-0.20555860000000001</v>
      </c>
      <c r="W5624">
        <v>0.1197791</v>
      </c>
      <c r="X5624">
        <v>0.97128709999999996</v>
      </c>
      <c r="Y5624">
        <v>-0.50937390000000005</v>
      </c>
      <c r="Z5624">
        <v>7.876735E-2</v>
      </c>
      <c r="AA5624">
        <v>0.8569329</v>
      </c>
      <c r="AB5624">
        <v>24</v>
      </c>
      <c r="AC5624">
        <v>0.56319999999999404</v>
      </c>
      <c r="AD5624">
        <v>-7.8260000000000204E-2</v>
      </c>
      <c r="AE5624">
        <v>-0.56981000000000304</v>
      </c>
      <c r="AF5624">
        <v>-0.50742808459162103</v>
      </c>
      <c r="AG5624">
        <v>-7.8260000000000204E-2</v>
      </c>
      <c r="AH5624">
        <v>0.610178887258363</v>
      </c>
      <c r="AI5624">
        <v>95.631949111972503</v>
      </c>
      <c r="AJ5624">
        <v>129.747094746111</v>
      </c>
      <c r="AK5624">
        <v>0.79744978718924697</v>
      </c>
      <c r="AL5624">
        <v>83.120646015985898</v>
      </c>
      <c r="AM5624">
        <v>101.94948579220301</v>
      </c>
      <c r="AN5624">
        <v>1.0000000007285801</v>
      </c>
    </row>
    <row r="5625" spans="1:40" x14ac:dyDescent="0.25">
      <c r="A5625" t="str">
        <f>"20190312164618319"</f>
        <v>20190312164618319</v>
      </c>
      <c r="B5625" t="str">
        <f>"1552380378316672"</f>
        <v>1552380378316672</v>
      </c>
      <c r="C5625" t="s">
        <v>40</v>
      </c>
      <c r="D5625">
        <v>4.8448219999999997</v>
      </c>
      <c r="E5625">
        <v>0.37011189999999999</v>
      </c>
      <c r="F5625" t="s">
        <v>41</v>
      </c>
      <c r="G5625">
        <v>-300.73939999999999</v>
      </c>
      <c r="H5625">
        <v>1.03118</v>
      </c>
      <c r="I5625">
        <v>-43.716970000000003</v>
      </c>
      <c r="J5625">
        <v>-301.28789999999998</v>
      </c>
      <c r="K5625">
        <v>1.1112070000000001</v>
      </c>
      <c r="L5625">
        <v>-43.170349999999999</v>
      </c>
      <c r="M5625">
        <v>8.9753680000000002E-2</v>
      </c>
      <c r="N5625">
        <v>0</v>
      </c>
      <c r="O5625">
        <v>-0.99591399999999997</v>
      </c>
      <c r="P5625">
        <v>0.29608010000000001</v>
      </c>
      <c r="Q5625">
        <v>0.1117025</v>
      </c>
      <c r="R5625">
        <v>-0.94860909999999998</v>
      </c>
      <c r="S5625">
        <v>1.9018250000000001</v>
      </c>
      <c r="T5625">
        <v>-0.26483379999999901</v>
      </c>
      <c r="U5625">
        <v>-2.6099239999999999</v>
      </c>
      <c r="V5625">
        <v>-0.21051339999999999</v>
      </c>
      <c r="W5625">
        <v>0.1200357</v>
      </c>
      <c r="X5625">
        <v>0.97019359999999999</v>
      </c>
      <c r="Y5625">
        <v>-0.51195990000000002</v>
      </c>
      <c r="Z5625">
        <v>8.3430420000000005E-2</v>
      </c>
      <c r="AA5625">
        <v>0.85494820000000005</v>
      </c>
      <c r="AB5625">
        <v>24</v>
      </c>
      <c r="AC5625">
        <v>0.54849999999999</v>
      </c>
      <c r="AD5625">
        <v>-8.0027000000000001E-2</v>
      </c>
      <c r="AE5625">
        <v>-0.54662000000000399</v>
      </c>
      <c r="AF5625">
        <v>-0.491968124485619</v>
      </c>
      <c r="AG5625">
        <v>-8.0027000000000001E-2</v>
      </c>
      <c r="AH5625">
        <v>0.58737271955890402</v>
      </c>
      <c r="AI5625">
        <v>95.962846977844194</v>
      </c>
      <c r="AJ5625">
        <v>129.94866620901999</v>
      </c>
      <c r="AK5625">
        <v>0.77035295022536299</v>
      </c>
      <c r="AL5625">
        <v>83.105837353744803</v>
      </c>
      <c r="AM5625">
        <v>102.242313959432</v>
      </c>
      <c r="AN5625">
        <v>1.0000000411675001</v>
      </c>
    </row>
    <row r="5626" spans="1:40" x14ac:dyDescent="0.25">
      <c r="A5626" t="str">
        <f>"20190312164618342"</f>
        <v>20190312164618342</v>
      </c>
      <c r="B5626" t="str">
        <f>"1552380378337169"</f>
        <v>1552380378337169</v>
      </c>
      <c r="C5626" t="s">
        <v>40</v>
      </c>
      <c r="D5626">
        <v>4.858047</v>
      </c>
      <c r="E5626">
        <v>0.37062499999999998</v>
      </c>
      <c r="F5626" t="s">
        <v>41</v>
      </c>
      <c r="G5626">
        <v>-300.72379999999998</v>
      </c>
      <c r="H5626">
        <v>1.0321579999999999</v>
      </c>
      <c r="I5626">
        <v>-43.933689999999999</v>
      </c>
      <c r="J5626">
        <v>-301.26220000000001</v>
      </c>
      <c r="K5626">
        <v>1.1113230000000001</v>
      </c>
      <c r="L5626">
        <v>-43.406649999999999</v>
      </c>
      <c r="M5626">
        <v>9.3847040000000007E-2</v>
      </c>
      <c r="N5626">
        <v>0</v>
      </c>
      <c r="O5626">
        <v>-0.99553670000000005</v>
      </c>
      <c r="P5626">
        <v>0.30529699999999999</v>
      </c>
      <c r="Q5626">
        <v>0.1121678</v>
      </c>
      <c r="R5626">
        <v>-0.94562800000000002</v>
      </c>
      <c r="S5626">
        <v>1.918274</v>
      </c>
      <c r="T5626">
        <v>-0.26877390000000001</v>
      </c>
      <c r="U5626">
        <v>-2.5954280000000001</v>
      </c>
      <c r="V5626">
        <v>-0.21601119999999999</v>
      </c>
      <c r="W5626">
        <v>0.1203969</v>
      </c>
      <c r="X5626">
        <v>0.96893949999999995</v>
      </c>
      <c r="Y5626">
        <v>-0.51414780000000004</v>
      </c>
      <c r="Z5626">
        <v>8.4787609999999999E-2</v>
      </c>
      <c r="AA5626">
        <v>0.85350059999999905</v>
      </c>
      <c r="AB5626">
        <v>24</v>
      </c>
      <c r="AC5626">
        <v>0.53840000000002397</v>
      </c>
      <c r="AD5626">
        <v>-7.9165000000000096E-2</v>
      </c>
      <c r="AE5626">
        <v>-0.52704000000000595</v>
      </c>
      <c r="AF5626">
        <v>-0.48124679174540502</v>
      </c>
      <c r="AG5626">
        <v>-7.9165000000000096E-2</v>
      </c>
      <c r="AH5626">
        <v>0.56896187425947098</v>
      </c>
      <c r="AI5626">
        <v>96.064009761250006</v>
      </c>
      <c r="AJ5626">
        <v>130.22564737041199</v>
      </c>
      <c r="AK5626">
        <v>0.74938854151307599</v>
      </c>
      <c r="AL5626">
        <v>83.0849906721906</v>
      </c>
      <c r="AM5626">
        <v>102.567757033034</v>
      </c>
      <c r="AN5626">
        <v>1.0000000033576499</v>
      </c>
    </row>
    <row r="5627" spans="1:40" x14ac:dyDescent="0.25">
      <c r="A5627" t="str">
        <f>"20190312164618366"</f>
        <v>20190312164618366</v>
      </c>
      <c r="B5627" t="str">
        <f>"1552380378356690"</f>
        <v>1552380378356690</v>
      </c>
      <c r="C5627" t="s">
        <v>40</v>
      </c>
      <c r="D5627">
        <v>4.8480970000000001</v>
      </c>
      <c r="E5627">
        <v>0.37130489999999999</v>
      </c>
      <c r="F5627" t="s">
        <v>41</v>
      </c>
      <c r="G5627">
        <v>-300.70400000000001</v>
      </c>
      <c r="H5627">
        <v>1.0309029999999999</v>
      </c>
      <c r="I5627">
        <v>-44.149549999999998</v>
      </c>
      <c r="J5627">
        <v>-301.23219999999998</v>
      </c>
      <c r="K5627">
        <v>1.11145</v>
      </c>
      <c r="L5627">
        <v>-43.669620000000002</v>
      </c>
      <c r="M5627">
        <v>9.8576769999999994E-2</v>
      </c>
      <c r="N5627">
        <v>0</v>
      </c>
      <c r="O5627">
        <v>-0.99507950000000001</v>
      </c>
      <c r="P5627">
        <v>0.31492740000000002</v>
      </c>
      <c r="Q5627">
        <v>0.1126554</v>
      </c>
      <c r="R5627">
        <v>-0.94240639999999998</v>
      </c>
      <c r="S5627">
        <v>1.9388730000000001</v>
      </c>
      <c r="T5627">
        <v>-0.27926669999999998</v>
      </c>
      <c r="U5627">
        <v>-2.5796510000000001</v>
      </c>
      <c r="V5627">
        <v>-0.2213406</v>
      </c>
      <c r="W5627">
        <v>0.120772699999999</v>
      </c>
      <c r="X5627">
        <v>0.96768920000000003</v>
      </c>
      <c r="Y5627">
        <v>-0.51676179999999905</v>
      </c>
      <c r="Z5627">
        <v>8.8171189999999997E-2</v>
      </c>
      <c r="AA5627">
        <v>0.85157689999999997</v>
      </c>
      <c r="AB5627">
        <v>24</v>
      </c>
      <c r="AC5627">
        <v>0.52819999999996903</v>
      </c>
      <c r="AD5627">
        <v>-8.0546999999999896E-2</v>
      </c>
      <c r="AE5627">
        <v>-0.47992999999999603</v>
      </c>
      <c r="AF5627">
        <v>-0.47229867844376799</v>
      </c>
      <c r="AG5627">
        <v>-8.0546999999999896E-2</v>
      </c>
      <c r="AH5627">
        <v>0.52300109518221105</v>
      </c>
      <c r="AI5627">
        <v>96.520631274226403</v>
      </c>
      <c r="AJ5627">
        <v>132.083767576855</v>
      </c>
      <c r="AK5627">
        <v>0.70928415069739303</v>
      </c>
      <c r="AL5627">
        <v>83.0633009511929</v>
      </c>
      <c r="AM5627">
        <v>102.883694672057</v>
      </c>
      <c r="AN5627">
        <v>1.00000004703514</v>
      </c>
    </row>
    <row r="5628" spans="1:40" x14ac:dyDescent="0.25">
      <c r="A5628" t="str">
        <f>"20190312164618387"</f>
        <v>20190312164618387</v>
      </c>
      <c r="B5628" t="str">
        <f>"1552380378377185"</f>
        <v>1552380378377185</v>
      </c>
      <c r="C5628" t="s">
        <v>40</v>
      </c>
      <c r="D5628">
        <v>4.7831130000000002</v>
      </c>
      <c r="E5628">
        <v>0.37211329999999998</v>
      </c>
      <c r="F5628" t="s">
        <v>41</v>
      </c>
      <c r="G5628">
        <v>-300.69639999999998</v>
      </c>
      <c r="H5628">
        <v>1.0330950000000001</v>
      </c>
      <c r="I5628">
        <v>-44.369770000000003</v>
      </c>
      <c r="J5628">
        <v>-301.20409999999998</v>
      </c>
      <c r="K5628">
        <v>1.111558</v>
      </c>
      <c r="L5628">
        <v>-43.90448</v>
      </c>
      <c r="M5628">
        <v>0.1029611</v>
      </c>
      <c r="N5628">
        <v>0</v>
      </c>
      <c r="O5628">
        <v>-0.9946353</v>
      </c>
      <c r="P5628">
        <v>0.3243682</v>
      </c>
      <c r="Q5628">
        <v>0.1127821</v>
      </c>
      <c r="R5628">
        <v>-0.93918369999999995</v>
      </c>
      <c r="S5628">
        <v>1.96051</v>
      </c>
      <c r="T5628">
        <v>-0.2867517</v>
      </c>
      <c r="U5628">
        <v>-2.5624690000000001</v>
      </c>
      <c r="V5628">
        <v>-0.2268251</v>
      </c>
      <c r="W5628">
        <v>0.1207926</v>
      </c>
      <c r="X5628">
        <v>0.96641580000000005</v>
      </c>
      <c r="Y5628">
        <v>-0.52014799999999894</v>
      </c>
      <c r="Z5628">
        <v>9.0622480000000005E-2</v>
      </c>
      <c r="AA5628">
        <v>0.84925469999999903</v>
      </c>
      <c r="AB5628">
        <v>24</v>
      </c>
      <c r="AC5628">
        <v>0.50769999999999904</v>
      </c>
      <c r="AD5628">
        <v>-7.8462999999999894E-2</v>
      </c>
      <c r="AE5628">
        <v>-0.46529000000000298</v>
      </c>
      <c r="AF5628">
        <v>-0.45123472177857099</v>
      </c>
      <c r="AG5628">
        <v>-7.8462999999999894E-2</v>
      </c>
      <c r="AH5628">
        <v>0.50849197428473902</v>
      </c>
      <c r="AI5628">
        <v>96.583640950074098</v>
      </c>
      <c r="AJ5628">
        <v>131.585783227212</v>
      </c>
      <c r="AK5628">
        <v>0.68434881779657897</v>
      </c>
      <c r="AL5628">
        <v>83.062151947176005</v>
      </c>
      <c r="AM5628">
        <v>103.208671797371</v>
      </c>
      <c r="AN5628">
        <v>0.99999998834720505</v>
      </c>
    </row>
    <row r="5629" spans="1:40" x14ac:dyDescent="0.25">
      <c r="A5629" t="str">
        <f>"20190312164618415"</f>
        <v>20190312164618415</v>
      </c>
      <c r="B5629" t="str">
        <f>"1552380378407442"</f>
        <v>1552380378407442</v>
      </c>
      <c r="C5629" t="s">
        <v>40</v>
      </c>
      <c r="D5629">
        <v>4.8277910000000004</v>
      </c>
      <c r="E5629">
        <v>0.37327640000000001</v>
      </c>
      <c r="F5629" t="s">
        <v>41</v>
      </c>
      <c r="G5629">
        <v>-300.67439999999999</v>
      </c>
      <c r="H5629">
        <v>1.0335529999999999</v>
      </c>
      <c r="I5629">
        <v>-44.585900000000002</v>
      </c>
      <c r="J5629">
        <v>-301.16820000000001</v>
      </c>
      <c r="K5629">
        <v>1.1116839999999999</v>
      </c>
      <c r="L5629">
        <v>-44.190309999999997</v>
      </c>
      <c r="M5629">
        <v>0.1085055</v>
      </c>
      <c r="N5629">
        <v>0</v>
      </c>
      <c r="O5629">
        <v>-0.99404559999999997</v>
      </c>
      <c r="P5629">
        <v>0.3349414</v>
      </c>
      <c r="Q5629">
        <v>0.1130517</v>
      </c>
      <c r="R5629">
        <v>-0.93543209999999999</v>
      </c>
      <c r="S5629">
        <v>1.9790650000000001</v>
      </c>
      <c r="T5629">
        <v>-0.29141529999999999</v>
      </c>
      <c r="U5629">
        <v>-2.5457459999999998</v>
      </c>
      <c r="V5629">
        <v>-0.2323857</v>
      </c>
      <c r="W5629">
        <v>0.1209408</v>
      </c>
      <c r="X5629">
        <v>0.96507529999999997</v>
      </c>
      <c r="Y5629">
        <v>-0.5218604</v>
      </c>
      <c r="Z5629">
        <v>9.2237150000000004E-2</v>
      </c>
      <c r="AA5629">
        <v>0.84802949999999999</v>
      </c>
      <c r="AB5629">
        <v>24</v>
      </c>
      <c r="AC5629">
        <v>0.493800000000021</v>
      </c>
      <c r="AD5629">
        <v>-7.8130999999999895E-2</v>
      </c>
      <c r="AE5629">
        <v>-0.39559000000000499</v>
      </c>
      <c r="AF5629">
        <v>-0.44123027788198099</v>
      </c>
      <c r="AG5629">
        <v>-7.8130999999999895E-2</v>
      </c>
      <c r="AH5629">
        <v>0.44012555554796701</v>
      </c>
      <c r="AI5629">
        <v>97.145776827137993</v>
      </c>
      <c r="AJ5629">
        <v>135.071816503305</v>
      </c>
      <c r="AK5629">
        <v>0.62809164612118196</v>
      </c>
      <c r="AL5629">
        <v>83.053598520218699</v>
      </c>
      <c r="AM5629">
        <v>103.53881691521801</v>
      </c>
      <c r="AN5629">
        <v>1.0000000626696</v>
      </c>
    </row>
    <row r="5630" spans="1:40" x14ac:dyDescent="0.25">
      <c r="A5630" t="str">
        <f>"20190312164618438"</f>
        <v>20190312164618438</v>
      </c>
      <c r="B5630" t="str">
        <f>"1552380378426961"</f>
        <v>1552380378426961</v>
      </c>
      <c r="C5630" t="s">
        <v>40</v>
      </c>
      <c r="D5630">
        <v>4.7420429999999998</v>
      </c>
      <c r="E5630">
        <v>0.37403009999999998</v>
      </c>
      <c r="F5630" t="s">
        <v>41</v>
      </c>
      <c r="G5630">
        <v>-300.53739999999999</v>
      </c>
      <c r="H5630">
        <v>1.016737</v>
      </c>
      <c r="I5630">
        <v>-44.988480000000003</v>
      </c>
      <c r="J5630">
        <v>-301.13409999999999</v>
      </c>
      <c r="K5630">
        <v>1.1117969999999999</v>
      </c>
      <c r="L5630">
        <v>-44.449649999999998</v>
      </c>
      <c r="M5630">
        <v>0.1137036</v>
      </c>
      <c r="N5630">
        <v>0</v>
      </c>
      <c r="O5630">
        <v>-0.99346429999999997</v>
      </c>
      <c r="P5630">
        <v>0.34482200000000002</v>
      </c>
      <c r="Q5630">
        <v>0.11346970000000001</v>
      </c>
      <c r="R5630">
        <v>-0.93178470000000002</v>
      </c>
      <c r="S5630">
        <v>1.9982599999999999</v>
      </c>
      <c r="T5630">
        <v>-0.30072090000000001</v>
      </c>
      <c r="U5630">
        <v>-2.5279240000000001</v>
      </c>
      <c r="V5630">
        <v>-0.23759640000000001</v>
      </c>
      <c r="W5630">
        <v>0.12124890000000001</v>
      </c>
      <c r="X5630">
        <v>0.96376689999999998</v>
      </c>
      <c r="Y5630">
        <v>-0.52409300000000003</v>
      </c>
      <c r="Z5630">
        <v>9.5319840000000003E-2</v>
      </c>
      <c r="AA5630">
        <v>0.84631000000000001</v>
      </c>
      <c r="AB5630">
        <v>25</v>
      </c>
      <c r="AC5630">
        <v>0.59669999999999801</v>
      </c>
      <c r="AD5630">
        <v>-9.5059999999999895E-2</v>
      </c>
      <c r="AE5630">
        <v>-0.53882999999999703</v>
      </c>
      <c r="AF5630">
        <v>-0.52423119937584495</v>
      </c>
      <c r="AG5630">
        <v>-9.5059999999999895E-2</v>
      </c>
      <c r="AH5630">
        <v>0.59486934761003196</v>
      </c>
      <c r="AI5630">
        <v>96.836518193841002</v>
      </c>
      <c r="AJ5630">
        <v>131.38825523080601</v>
      </c>
      <c r="AK5630">
        <v>0.79857641758633302</v>
      </c>
      <c r="AL5630">
        <v>83.035814320734303</v>
      </c>
      <c r="AM5630">
        <v>103.84891089374101</v>
      </c>
      <c r="AN5630">
        <v>0.99999999128988903</v>
      </c>
    </row>
    <row r="5631" spans="1:40" x14ac:dyDescent="0.25">
      <c r="A5631" t="str">
        <f>"20190312164618472"</f>
        <v>20190312164618472</v>
      </c>
      <c r="B5631" t="str">
        <f>"1552380378466977"</f>
        <v>1552380378466977</v>
      </c>
      <c r="C5631" t="s">
        <v>40</v>
      </c>
      <c r="D5631">
        <v>4.8642849999999997</v>
      </c>
      <c r="E5631">
        <v>0.37559599999999999</v>
      </c>
      <c r="F5631" t="s">
        <v>41</v>
      </c>
      <c r="G5631">
        <v>-300.52390000000003</v>
      </c>
      <c r="H5631">
        <v>1.020418</v>
      </c>
      <c r="I5631">
        <v>-45.208570000000002</v>
      </c>
      <c r="J5631">
        <v>-301.08269999999999</v>
      </c>
      <c r="K5631">
        <v>1.111944</v>
      </c>
      <c r="L5631">
        <v>-44.819949999999999</v>
      </c>
      <c r="M5631">
        <v>0.121363</v>
      </c>
      <c r="N5631">
        <v>0</v>
      </c>
      <c r="O5631">
        <v>-0.99255769999999999</v>
      </c>
      <c r="P5631">
        <v>0.36314600000000002</v>
      </c>
      <c r="Q5631">
        <v>0.1131848</v>
      </c>
      <c r="R5631">
        <v>-0.92483210000000005</v>
      </c>
      <c r="S5631">
        <v>2.0178829999999999</v>
      </c>
      <c r="T5631">
        <v>-0.30217460000000002</v>
      </c>
      <c r="U5631">
        <v>-2.509674</v>
      </c>
      <c r="V5631">
        <v>-0.249218</v>
      </c>
      <c r="W5631">
        <v>0.1207699</v>
      </c>
      <c r="X5631">
        <v>0.96088759999999995</v>
      </c>
      <c r="Y5631">
        <v>-0.52451879999999995</v>
      </c>
      <c r="Z5631">
        <v>9.5958779999999994E-2</v>
      </c>
      <c r="AA5631">
        <v>0.845974</v>
      </c>
      <c r="AB5631">
        <v>25</v>
      </c>
      <c r="AC5631">
        <v>0.55879999999996199</v>
      </c>
      <c r="AD5631">
        <v>-9.1525999999999996E-2</v>
      </c>
      <c r="AE5631">
        <v>-0.38862000000000302</v>
      </c>
      <c r="AF5631">
        <v>-0.49848899013880799</v>
      </c>
      <c r="AG5631">
        <v>-9.1525999999999996E-2</v>
      </c>
      <c r="AH5631">
        <v>0.44551246423580798</v>
      </c>
      <c r="AI5631">
        <v>97.795344304762494</v>
      </c>
      <c r="AJ5631">
        <v>138.212019320243</v>
      </c>
      <c r="AK5631">
        <v>0.67479599713918803</v>
      </c>
      <c r="AL5631">
        <v>83.063462095388005</v>
      </c>
      <c r="AM5631">
        <v>104.539985904083</v>
      </c>
      <c r="AN5631">
        <v>0.99999998005188395</v>
      </c>
    </row>
    <row r="5632" spans="1:40" x14ac:dyDescent="0.25">
      <c r="A5632" t="str">
        <f>"20190312164618502"</f>
        <v>20190312164618502</v>
      </c>
      <c r="B5632" t="str">
        <f>"1552380378497233"</f>
        <v>1552380378497233</v>
      </c>
      <c r="C5632" t="s">
        <v>40</v>
      </c>
      <c r="D5632">
        <v>4.921665</v>
      </c>
      <c r="E5632">
        <v>0.37676159999999997</v>
      </c>
      <c r="F5632" t="s">
        <v>41</v>
      </c>
      <c r="G5632">
        <v>-300.41719999999998</v>
      </c>
      <c r="H5632">
        <v>1.0103759999999999</v>
      </c>
      <c r="I5632">
        <v>-45.622709999999998</v>
      </c>
      <c r="J5632">
        <v>-301.03640000000001</v>
      </c>
      <c r="K5632">
        <v>1.1120589999999999</v>
      </c>
      <c r="L5632">
        <v>-45.134799999999998</v>
      </c>
      <c r="M5632">
        <v>0.12812119999999999</v>
      </c>
      <c r="N5632">
        <v>0</v>
      </c>
      <c r="O5632">
        <v>-0.99170800000000003</v>
      </c>
      <c r="P5632">
        <v>0.3757955</v>
      </c>
      <c r="Q5632">
        <v>0.11359130000000001</v>
      </c>
      <c r="R5632">
        <v>-0.91971460000000005</v>
      </c>
      <c r="S5632">
        <v>2.0529480000000002</v>
      </c>
      <c r="T5632">
        <v>-0.3132895</v>
      </c>
      <c r="U5632">
        <v>-2.4760740000000001</v>
      </c>
      <c r="V5632">
        <v>-0.25589659999999997</v>
      </c>
      <c r="W5632">
        <v>0.1210426</v>
      </c>
      <c r="X5632">
        <v>0.95909630000000001</v>
      </c>
      <c r="Y5632">
        <v>-0.53120440000000002</v>
      </c>
      <c r="Z5632">
        <v>9.9732379999999995E-2</v>
      </c>
      <c r="AA5632">
        <v>0.84135329999999997</v>
      </c>
      <c r="AB5632">
        <v>25</v>
      </c>
      <c r="AC5632">
        <v>0.61920000000003395</v>
      </c>
      <c r="AD5632">
        <v>-0.101682999999999</v>
      </c>
      <c r="AE5632">
        <v>-0.48790999999999901</v>
      </c>
      <c r="AF5632">
        <v>-0.54255501929139804</v>
      </c>
      <c r="AG5632">
        <v>-0.101682999999999</v>
      </c>
      <c r="AH5632">
        <v>0.55400797596505102</v>
      </c>
      <c r="AI5632">
        <v>97.470639430677295</v>
      </c>
      <c r="AJ5632">
        <v>134.40160098067</v>
      </c>
      <c r="AK5632">
        <v>0.78206791193615799</v>
      </c>
      <c r="AL5632">
        <v>83.047722532268594</v>
      </c>
      <c r="AM5632">
        <v>104.93909055853599</v>
      </c>
      <c r="AN5632">
        <v>1.0000000467900001</v>
      </c>
    </row>
    <row r="5633" spans="1:40" x14ac:dyDescent="0.25">
      <c r="A5633" t="str">
        <f>"20190312164618524"</f>
        <v>20190312164618524</v>
      </c>
      <c r="B5633" t="str">
        <f>"1552380378516753"</f>
        <v>1552380378516753</v>
      </c>
      <c r="C5633" t="s">
        <v>40</v>
      </c>
      <c r="D5633">
        <v>4.8471719999999996</v>
      </c>
      <c r="E5633">
        <v>0.37662289999999998</v>
      </c>
      <c r="F5633" t="s">
        <v>41</v>
      </c>
      <c r="G5633">
        <v>-300.42840000000001</v>
      </c>
      <c r="H5633">
        <v>1.0182169999999999</v>
      </c>
      <c r="I5633">
        <v>-45.853090000000002</v>
      </c>
      <c r="J5633">
        <v>-300.99799999999999</v>
      </c>
      <c r="K5633">
        <v>1.112155</v>
      </c>
      <c r="L5633">
        <v>-45.384399999999999</v>
      </c>
      <c r="M5633">
        <v>0.13362070000000001</v>
      </c>
      <c r="N5633">
        <v>0</v>
      </c>
      <c r="O5633">
        <v>-0.99098180000000002</v>
      </c>
      <c r="P5633">
        <v>0.38732610000000001</v>
      </c>
      <c r="Q5633">
        <v>0.11424280000000001</v>
      </c>
      <c r="R5633">
        <v>-0.91483740000000002</v>
      </c>
      <c r="S5633">
        <v>2.0765989999999999</v>
      </c>
      <c r="T5633">
        <v>-0.32048939999999998</v>
      </c>
      <c r="U5633">
        <v>-2.4529719999999999</v>
      </c>
      <c r="V5633">
        <v>-0.26267770000000001</v>
      </c>
      <c r="W5633">
        <v>0.12157129999999999</v>
      </c>
      <c r="X5633">
        <v>0.95719430000000005</v>
      </c>
      <c r="Y5633">
        <v>-0.53497550000000005</v>
      </c>
      <c r="Z5633">
        <v>0.1022001</v>
      </c>
      <c r="AA5633">
        <v>0.83866350000000001</v>
      </c>
      <c r="AB5633">
        <v>25</v>
      </c>
      <c r="AC5633">
        <v>0.56959999999997901</v>
      </c>
      <c r="AD5633">
        <v>-9.3937999999999994E-2</v>
      </c>
      <c r="AE5633">
        <v>-0.46869000000000199</v>
      </c>
      <c r="AF5633">
        <v>-0.493852577140108</v>
      </c>
      <c r="AG5633">
        <v>-9.3937999999999994E-2</v>
      </c>
      <c r="AH5633">
        <v>0.53197335286701197</v>
      </c>
      <c r="AI5633">
        <v>97.373921082491805</v>
      </c>
      <c r="AJ5633">
        <v>132.87180755673199</v>
      </c>
      <c r="AK5633">
        <v>0.73192237563316598</v>
      </c>
      <c r="AL5633">
        <v>83.017204846106907</v>
      </c>
      <c r="AM5633">
        <v>105.34559872809101</v>
      </c>
      <c r="AN5633">
        <v>1.0000000415067301</v>
      </c>
    </row>
    <row r="5634" spans="1:40" x14ac:dyDescent="0.25">
      <c r="A5634" t="str">
        <f>"20190312164618547"</f>
        <v>20190312164618547</v>
      </c>
      <c r="B5634" t="str">
        <f>"1552380378537249"</f>
        <v>1552380378537249</v>
      </c>
      <c r="C5634" t="s">
        <v>40</v>
      </c>
      <c r="D5634">
        <v>4.9813890000000001</v>
      </c>
      <c r="E5634">
        <v>0.33484989999999998</v>
      </c>
      <c r="F5634" t="s">
        <v>41</v>
      </c>
      <c r="G5634">
        <v>-300.40219999999999</v>
      </c>
      <c r="H5634">
        <v>1.021477</v>
      </c>
      <c r="I5634">
        <v>-46.070900000000002</v>
      </c>
      <c r="J5634">
        <v>-300.95819999999998</v>
      </c>
      <c r="K5634">
        <v>1.112277</v>
      </c>
      <c r="L5634">
        <v>-45.633150000000001</v>
      </c>
      <c r="M5634">
        <v>0.139270899999999</v>
      </c>
      <c r="N5634">
        <v>0</v>
      </c>
      <c r="O5634">
        <v>-0.99020339999999996</v>
      </c>
      <c r="P5634">
        <v>0.39957619999999999</v>
      </c>
      <c r="Q5634">
        <v>0.1153023</v>
      </c>
      <c r="R5634">
        <v>-0.90941970000000005</v>
      </c>
      <c r="S5634">
        <v>2.1063540000000001</v>
      </c>
      <c r="T5634">
        <v>-0.32064140000000002</v>
      </c>
      <c r="U5634">
        <v>-2.4275509999999998</v>
      </c>
      <c r="V5634">
        <v>-0.27013470000000001</v>
      </c>
      <c r="W5634">
        <v>0.122488</v>
      </c>
      <c r="X5634">
        <v>0.95499940000000005</v>
      </c>
      <c r="Y5634">
        <v>-0.54035840000000002</v>
      </c>
      <c r="Z5634">
        <v>0.10238079999999999</v>
      </c>
      <c r="AA5634">
        <v>0.83518320000000001</v>
      </c>
      <c r="AB5634">
        <v>25</v>
      </c>
      <c r="AC5634">
        <v>0.55599999999998295</v>
      </c>
      <c r="AD5634">
        <v>-9.0800000000000006E-2</v>
      </c>
      <c r="AE5634">
        <v>-0.43775000000000103</v>
      </c>
      <c r="AF5634">
        <v>-0.48168143273658898</v>
      </c>
      <c r="AG5634">
        <v>-9.0800000000000006E-2</v>
      </c>
      <c r="AH5634">
        <v>0.50264624283708603</v>
      </c>
      <c r="AI5634">
        <v>97.430887681865201</v>
      </c>
      <c r="AJ5634">
        <v>133.77986408056501</v>
      </c>
      <c r="AK5634">
        <v>0.70207897567254596</v>
      </c>
      <c r="AL5634">
        <v>82.964285740953997</v>
      </c>
      <c r="AM5634">
        <v>105.7942844769</v>
      </c>
      <c r="AN5634">
        <v>0.99999996014422399</v>
      </c>
    </row>
    <row r="5635" spans="1:40" x14ac:dyDescent="0.25">
      <c r="A5635" t="str">
        <f>"20190312164618585"</f>
        <v>20190312164618585</v>
      </c>
      <c r="B5635" t="str">
        <f>"1552380378577268"</f>
        <v>1552380378577268</v>
      </c>
      <c r="C5635" t="s">
        <v>40</v>
      </c>
      <c r="D5635">
        <v>4.8663189999999998</v>
      </c>
      <c r="E5635">
        <v>0.33768490000000001</v>
      </c>
      <c r="F5635" t="s">
        <v>41</v>
      </c>
      <c r="G5635">
        <v>-300.28559999999999</v>
      </c>
      <c r="H5635">
        <v>1.048589</v>
      </c>
      <c r="I5635">
        <v>-46.256410000000002</v>
      </c>
      <c r="J5635">
        <v>-300.89069999999998</v>
      </c>
      <c r="K5635">
        <v>1.112517</v>
      </c>
      <c r="L5635">
        <v>-46.031709999999997</v>
      </c>
      <c r="M5635">
        <v>0.14878329999999901</v>
      </c>
      <c r="N5635">
        <v>0</v>
      </c>
      <c r="O5635">
        <v>-0.98881839999999999</v>
      </c>
      <c r="P5635">
        <v>0.42027690000000001</v>
      </c>
      <c r="Q5635">
        <v>0.1155077</v>
      </c>
      <c r="R5635">
        <v>-0.90001419999999999</v>
      </c>
      <c r="S5635">
        <v>2.4370729999999998</v>
      </c>
      <c r="T5635">
        <v>-0.23067679999999999</v>
      </c>
      <c r="U5635">
        <v>-2.257263</v>
      </c>
      <c r="V5635">
        <v>-0.28287259999999997</v>
      </c>
      <c r="W5635">
        <v>0.1224113</v>
      </c>
      <c r="X5635">
        <v>0.95131410000000005</v>
      </c>
      <c r="Y5635">
        <v>-0.62248309999999996</v>
      </c>
      <c r="Z5635">
        <v>7.2113199999999905E-2</v>
      </c>
      <c r="AA5635">
        <v>0.77930379999999999</v>
      </c>
      <c r="AB5635">
        <v>25</v>
      </c>
      <c r="AC5635">
        <v>0.60509999999999298</v>
      </c>
      <c r="AD5635">
        <v>-6.3927999999999902E-2</v>
      </c>
      <c r="AE5635">
        <v>-0.22469999999999801</v>
      </c>
      <c r="AF5635">
        <v>-0.55944354486446302</v>
      </c>
      <c r="AG5635">
        <v>-6.3927999999999902E-2</v>
      </c>
      <c r="AH5635">
        <v>0.30919920770369103</v>
      </c>
      <c r="AI5635">
        <v>95.711271262359503</v>
      </c>
      <c r="AJ5635">
        <v>151.070982210246</v>
      </c>
      <c r="AK5635">
        <v>0.64239241832318295</v>
      </c>
      <c r="AL5635">
        <v>82.968713757355403</v>
      </c>
      <c r="AM5635">
        <v>106.55980992166801</v>
      </c>
      <c r="AN5635">
        <v>0.99999997552862896</v>
      </c>
    </row>
    <row r="5636" spans="1:40" x14ac:dyDescent="0.25">
      <c r="A5636" t="str">
        <f>"20190312164618611"</f>
        <v>20190312164618611</v>
      </c>
      <c r="B5636" t="str">
        <f>"1552380378607104"</f>
        <v>1552380378607104</v>
      </c>
      <c r="C5636" t="s">
        <v>40</v>
      </c>
      <c r="D5636">
        <v>4.7197839999999998</v>
      </c>
      <c r="E5636">
        <v>0.34008749999999999</v>
      </c>
      <c r="F5636" t="s">
        <v>52</v>
      </c>
      <c r="G5636">
        <v>-291.6447</v>
      </c>
      <c r="H5636" s="1">
        <v>-9.7891189999999995E-6</v>
      </c>
      <c r="I5636">
        <v>-54.333019999999998</v>
      </c>
      <c r="J5636">
        <v>-300.83999999999997</v>
      </c>
      <c r="K5636">
        <v>1.1127020000000001</v>
      </c>
      <c r="L5636">
        <v>-46.315280000000001</v>
      </c>
      <c r="M5636">
        <v>0.15586169999999999</v>
      </c>
      <c r="N5636">
        <v>0</v>
      </c>
      <c r="O5636">
        <v>-0.98772700000000002</v>
      </c>
      <c r="P5636">
        <v>0.43315320000000002</v>
      </c>
      <c r="Q5636">
        <v>0.11473270000000001</v>
      </c>
      <c r="R5636">
        <v>-0.89398799999999901</v>
      </c>
      <c r="S5636">
        <v>2.4702760000000001</v>
      </c>
      <c r="T5636">
        <v>-0.29723850000000002</v>
      </c>
      <c r="U5636">
        <v>-2.2178960000000001</v>
      </c>
      <c r="V5636">
        <v>-0.28974759999999899</v>
      </c>
      <c r="W5636">
        <v>0.12144919999999999</v>
      </c>
      <c r="X5636">
        <v>0.9493663</v>
      </c>
      <c r="Y5636">
        <v>-0.62766420000000001</v>
      </c>
      <c r="Z5636">
        <v>9.301413E-2</v>
      </c>
      <c r="AA5636">
        <v>0.77290760000000003</v>
      </c>
      <c r="AB5636">
        <v>25</v>
      </c>
      <c r="AC5636">
        <v>9.1952999999999694</v>
      </c>
      <c r="AD5636">
        <v>-1.1127117891189999</v>
      </c>
      <c r="AE5636">
        <v>-8.0177399999999892</v>
      </c>
      <c r="AF5636">
        <v>-7.7685650611001096</v>
      </c>
      <c r="AG5636">
        <v>-1.1127117891189999</v>
      </c>
      <c r="AH5636">
        <v>9.2758502614359895</v>
      </c>
      <c r="AI5636">
        <v>95.254443743151995</v>
      </c>
      <c r="AJ5636">
        <v>129.94632086371701</v>
      </c>
      <c r="AK5636">
        <v>12.1503139344945</v>
      </c>
      <c r="AL5636">
        <v>83.024252424103693</v>
      </c>
      <c r="AM5636">
        <v>106.972244691545</v>
      </c>
      <c r="AN5636">
        <v>0.99999997573104404</v>
      </c>
    </row>
    <row r="5637" spans="1:40" x14ac:dyDescent="0.25">
      <c r="A5637" t="str">
        <f>"20190312164618637"</f>
        <v>20190312164618637</v>
      </c>
      <c r="B5637" t="str">
        <f>"1552380378626624"</f>
        <v>1552380378626624</v>
      </c>
      <c r="C5637" t="s">
        <v>40</v>
      </c>
      <c r="D5637">
        <v>6.9190259999999997</v>
      </c>
      <c r="E5637">
        <v>0.341062799999999</v>
      </c>
      <c r="F5637" t="s">
        <v>52</v>
      </c>
      <c r="G5637">
        <v>-289.99860000000001</v>
      </c>
      <c r="H5637" s="1">
        <v>-1.0234149999999999E-5</v>
      </c>
      <c r="I5637">
        <v>-55.869509999999998</v>
      </c>
      <c r="J5637">
        <v>-300.78590000000003</v>
      </c>
      <c r="K5637">
        <v>1.112884</v>
      </c>
      <c r="L5637">
        <v>-46.602910000000001</v>
      </c>
      <c r="M5637">
        <v>0.1633655</v>
      </c>
      <c r="N5637">
        <v>0</v>
      </c>
      <c r="O5637">
        <v>-0.98651350000000004</v>
      </c>
      <c r="P5637">
        <v>0.446243</v>
      </c>
      <c r="Q5637">
        <v>0.1138844</v>
      </c>
      <c r="R5637">
        <v>-0.88763609999999904</v>
      </c>
      <c r="S5637">
        <v>2.4809269999999999</v>
      </c>
      <c r="T5637">
        <v>-0.25463069999999999</v>
      </c>
      <c r="U5637">
        <v>-2.1863709999999998</v>
      </c>
      <c r="V5637">
        <v>-0.29650989999999999</v>
      </c>
      <c r="W5637">
        <v>0.12041540000000001</v>
      </c>
      <c r="X5637">
        <v>0.94740809999999998</v>
      </c>
      <c r="Y5637">
        <v>-0.629741199999999</v>
      </c>
      <c r="Z5637">
        <v>8.0202239999999994E-2</v>
      </c>
      <c r="AA5637">
        <v>0.77265360000000005</v>
      </c>
      <c r="AB5637">
        <v>25</v>
      </c>
      <c r="AC5637">
        <v>10.7873</v>
      </c>
      <c r="AD5637">
        <v>-1.1128942341500001</v>
      </c>
      <c r="AE5637">
        <v>-9.2666000000000004</v>
      </c>
      <c r="AF5637">
        <v>-9.0728794766363094</v>
      </c>
      <c r="AG5637">
        <v>-1.1128942341500001</v>
      </c>
      <c r="AH5637">
        <v>10.838084628459599</v>
      </c>
      <c r="AI5637">
        <v>94.501985931237002</v>
      </c>
      <c r="AJ5637">
        <v>129.933692121212</v>
      </c>
      <c r="AK5637">
        <v>14.1781435310701</v>
      </c>
      <c r="AL5637">
        <v>83.083923246938198</v>
      </c>
      <c r="AM5637">
        <v>107.37853179722499</v>
      </c>
      <c r="AN5637">
        <v>1.0000000486503799</v>
      </c>
    </row>
    <row r="5638" spans="1:40" x14ac:dyDescent="0.25">
      <c r="A5638" t="str">
        <f>"20190312164618660"</f>
        <v>20190312164618660</v>
      </c>
      <c r="B5638" t="str">
        <f>"1552380378656879"</f>
        <v>1552380378656879</v>
      </c>
      <c r="C5638" t="s">
        <v>40</v>
      </c>
      <c r="D5638">
        <v>4.9451210000000003</v>
      </c>
      <c r="E5638">
        <v>0.34257140000000003</v>
      </c>
      <c r="F5638" t="s">
        <v>52</v>
      </c>
      <c r="G5638">
        <v>-288.98099999999999</v>
      </c>
      <c r="H5638" s="1">
        <v>-2.2591769999999999E-6</v>
      </c>
      <c r="I5638">
        <v>-56.75074</v>
      </c>
      <c r="J5638">
        <v>-300.73500000000001</v>
      </c>
      <c r="K5638">
        <v>1.113029</v>
      </c>
      <c r="L5638">
        <v>-46.862459999999999</v>
      </c>
      <c r="M5638">
        <v>0.17037639999999901</v>
      </c>
      <c r="N5638">
        <v>0</v>
      </c>
      <c r="O5638">
        <v>-0.98532640000000005</v>
      </c>
      <c r="P5638">
        <v>0.45827250000000003</v>
      </c>
      <c r="Q5638">
        <v>0.1123379</v>
      </c>
      <c r="R5638">
        <v>-0.88168409999999997</v>
      </c>
      <c r="S5638">
        <v>2.5030519999999998</v>
      </c>
      <c r="T5638">
        <v>-0.2359716</v>
      </c>
      <c r="U5638">
        <v>-2.1517029999999999</v>
      </c>
      <c r="V5638">
        <v>-0.30265259999999999</v>
      </c>
      <c r="W5638">
        <v>0.1187068</v>
      </c>
      <c r="X5638">
        <v>0.94567970000000001</v>
      </c>
      <c r="Y5638">
        <v>-0.63406229999999997</v>
      </c>
      <c r="Z5638">
        <v>7.4621859999999998E-2</v>
      </c>
      <c r="AA5638">
        <v>0.76967299999999905</v>
      </c>
      <c r="AB5638">
        <v>25</v>
      </c>
      <c r="AC5638">
        <v>11.754</v>
      </c>
      <c r="AD5638">
        <v>-1.113031259177</v>
      </c>
      <c r="AE5638">
        <v>-9.88828</v>
      </c>
      <c r="AF5638">
        <v>-9.8456134181543504</v>
      </c>
      <c r="AG5638">
        <v>-1.113031259177</v>
      </c>
      <c r="AH5638">
        <v>11.6850415255428</v>
      </c>
      <c r="AI5638">
        <v>94.166220233095899</v>
      </c>
      <c r="AJ5638">
        <v>130.116907758515</v>
      </c>
      <c r="AK5638">
        <v>15.3204157129402</v>
      </c>
      <c r="AL5638">
        <v>83.182525769137996</v>
      </c>
      <c r="AM5638">
        <v>107.746600447736</v>
      </c>
      <c r="AN5638">
        <v>0.99999999782254501</v>
      </c>
    </row>
    <row r="5639" spans="1:40" x14ac:dyDescent="0.25">
      <c r="A5639" t="str">
        <f>"20190312164618680"</f>
        <v>20190312164618680</v>
      </c>
      <c r="B5639" t="str">
        <f>"1552380378677376"</f>
        <v>1552380378677376</v>
      </c>
      <c r="C5639" t="s">
        <v>40</v>
      </c>
      <c r="D5639">
        <v>4.9494259999999999</v>
      </c>
      <c r="E5639">
        <v>0.34369929999999999</v>
      </c>
      <c r="F5639" t="s">
        <v>52</v>
      </c>
      <c r="G5639">
        <v>-288.24180000000001</v>
      </c>
      <c r="H5639" s="1">
        <v>-2.5557270000000001E-6</v>
      </c>
      <c r="I5639">
        <v>-57.38485</v>
      </c>
      <c r="J5639">
        <v>-300.6927</v>
      </c>
      <c r="K5639">
        <v>1.1131519999999999</v>
      </c>
      <c r="L5639">
        <v>-47.069980000000001</v>
      </c>
      <c r="M5639">
        <v>0.17616970000000001</v>
      </c>
      <c r="N5639">
        <v>0</v>
      </c>
      <c r="O5639">
        <v>-0.98430689999999998</v>
      </c>
      <c r="P5639">
        <v>0.46926109999999999</v>
      </c>
      <c r="Q5639">
        <v>0.110512</v>
      </c>
      <c r="R5639">
        <v>-0.87611749999999899</v>
      </c>
      <c r="S5639">
        <v>2.519196</v>
      </c>
      <c r="T5639">
        <v>-0.2244382</v>
      </c>
      <c r="U5639">
        <v>-2.1217959999999998</v>
      </c>
      <c r="V5639">
        <v>-0.30888969999999999</v>
      </c>
      <c r="W5639">
        <v>0.1167261</v>
      </c>
      <c r="X5639">
        <v>0.94390790000000002</v>
      </c>
      <c r="Y5639">
        <v>-0.6374649</v>
      </c>
      <c r="Z5639">
        <v>7.1244740000000001E-2</v>
      </c>
      <c r="AA5639">
        <v>0.76717840000000004</v>
      </c>
      <c r="AB5639">
        <v>25</v>
      </c>
      <c r="AC5639">
        <v>12.450899999999899</v>
      </c>
      <c r="AD5639">
        <v>-1.113154555727</v>
      </c>
      <c r="AE5639">
        <v>-10.314870000000001</v>
      </c>
      <c r="AF5639">
        <v>-10.3896370160511</v>
      </c>
      <c r="AG5639">
        <v>-1.113154555727</v>
      </c>
      <c r="AH5639">
        <v>12.2888640488126</v>
      </c>
      <c r="AI5639">
        <v>93.957034890145394</v>
      </c>
      <c r="AJ5639">
        <v>130.212894969529</v>
      </c>
      <c r="AK5639">
        <v>16.130711391641601</v>
      </c>
      <c r="AL5639">
        <v>83.2968059582292</v>
      </c>
      <c r="AM5639">
        <v>108.120455939313</v>
      </c>
      <c r="AN5639">
        <v>0.99999997643485405</v>
      </c>
    </row>
    <row r="5640" spans="1:40" x14ac:dyDescent="0.25">
      <c r="A5640" t="str">
        <f>"20190312164618701"</f>
        <v>20190312164618701</v>
      </c>
      <c r="B5640" t="str">
        <f>"1552380378696897"</f>
        <v>1552380378696897</v>
      </c>
      <c r="C5640" t="s">
        <v>40</v>
      </c>
      <c r="D5640">
        <v>4.9866919999999997</v>
      </c>
      <c r="E5640">
        <v>0.3447054</v>
      </c>
      <c r="F5640" t="s">
        <v>52</v>
      </c>
      <c r="G5640">
        <v>-288.14100000000002</v>
      </c>
      <c r="H5640" s="1">
        <v>-2.6037810000000001E-6</v>
      </c>
      <c r="I5640">
        <v>-57.437199999999997</v>
      </c>
      <c r="J5640">
        <v>-300.64359999999999</v>
      </c>
      <c r="K5640">
        <v>1.1133010000000001</v>
      </c>
      <c r="L5640">
        <v>-47.302860000000003</v>
      </c>
      <c r="M5640">
        <v>0.1828832</v>
      </c>
      <c r="N5640">
        <v>0</v>
      </c>
      <c r="O5640">
        <v>-0.98308110000000004</v>
      </c>
      <c r="P5640">
        <v>0.48007899999999998</v>
      </c>
      <c r="Q5640">
        <v>0.1092779</v>
      </c>
      <c r="R5640">
        <v>-0.87039219999999895</v>
      </c>
      <c r="S5640">
        <v>2.5357059999999998</v>
      </c>
      <c r="T5640">
        <v>-0.22488</v>
      </c>
      <c r="U5640">
        <v>-2.0943909999999999</v>
      </c>
      <c r="V5640">
        <v>-0.31414509999999901</v>
      </c>
      <c r="W5640">
        <v>0.1153289</v>
      </c>
      <c r="X5640">
        <v>0.94234399999999996</v>
      </c>
      <c r="Y5640">
        <v>-0.63956619999999997</v>
      </c>
      <c r="Z5640">
        <v>7.159095E-2</v>
      </c>
      <c r="AA5640">
        <v>0.76539509999999999</v>
      </c>
      <c r="AB5640">
        <v>25</v>
      </c>
      <c r="AC5640">
        <v>12.502599999999999</v>
      </c>
      <c r="AD5640">
        <v>-1.113303603781</v>
      </c>
      <c r="AE5640">
        <v>-10.13434</v>
      </c>
      <c r="AF5640">
        <v>-10.388508332663999</v>
      </c>
      <c r="AG5640">
        <v>-1.113303603781</v>
      </c>
      <c r="AH5640">
        <v>12.1916995811339</v>
      </c>
      <c r="AI5640">
        <v>93.975987557742798</v>
      </c>
      <c r="AJ5640">
        <v>130.434210986122</v>
      </c>
      <c r="AK5640">
        <v>16.056091958152301</v>
      </c>
      <c r="AL5640">
        <v>83.377404522965705</v>
      </c>
      <c r="AM5640">
        <v>108.436614155535</v>
      </c>
      <c r="AN5640">
        <v>1.0000000566825999</v>
      </c>
    </row>
    <row r="5641" spans="1:40" x14ac:dyDescent="0.25">
      <c r="A5641" t="str">
        <f>"20190312164618740"</f>
        <v>20190312164618740</v>
      </c>
      <c r="B5641" t="str">
        <f>"1552380378736913"</f>
        <v>1552380378736913</v>
      </c>
      <c r="C5641" t="s">
        <v>40</v>
      </c>
      <c r="D5641">
        <v>4.9991099999999999</v>
      </c>
      <c r="E5641">
        <v>0.34708060000000002</v>
      </c>
      <c r="F5641" t="s">
        <v>52</v>
      </c>
      <c r="G5641">
        <v>-288.02170000000001</v>
      </c>
      <c r="H5641" s="1">
        <v>-2.6552469999999998E-6</v>
      </c>
      <c r="I5641">
        <v>-57.523229999999998</v>
      </c>
      <c r="J5641">
        <v>-300.55070000000001</v>
      </c>
      <c r="K5641">
        <v>1.1136159999999999</v>
      </c>
      <c r="L5641">
        <v>-47.719880000000003</v>
      </c>
      <c r="M5641">
        <v>0.1954834</v>
      </c>
      <c r="N5641">
        <v>0</v>
      </c>
      <c r="O5641">
        <v>-0.98065290000000005</v>
      </c>
      <c r="P5641">
        <v>0.49971539999999998</v>
      </c>
      <c r="Q5641">
        <v>0.108724399999999</v>
      </c>
      <c r="R5641">
        <v>-0.85933909999999902</v>
      </c>
      <c r="S5641">
        <v>2.5527039999999999</v>
      </c>
      <c r="T5641">
        <v>-0.22515979999999999</v>
      </c>
      <c r="U5641">
        <v>-2.0670169999999999</v>
      </c>
      <c r="V5641">
        <v>-0.3235113</v>
      </c>
      <c r="W5641">
        <v>0.1144474</v>
      </c>
      <c r="X5641">
        <v>0.93927749999999999</v>
      </c>
      <c r="Y5641">
        <v>-0.63714130000000002</v>
      </c>
      <c r="Z5641">
        <v>7.1893100000000001E-2</v>
      </c>
      <c r="AA5641">
        <v>0.76738669999999998</v>
      </c>
      <c r="AB5641">
        <v>25</v>
      </c>
      <c r="AC5641">
        <v>12.5289999999999</v>
      </c>
      <c r="AD5641">
        <v>-1.113618655247</v>
      </c>
      <c r="AE5641">
        <v>-9.80335</v>
      </c>
      <c r="AF5641">
        <v>-10.320187494493</v>
      </c>
      <c r="AG5641">
        <v>-1.113618655247</v>
      </c>
      <c r="AH5641">
        <v>12.0047099815474</v>
      </c>
      <c r="AI5641">
        <v>94.023805999979203</v>
      </c>
      <c r="AJ5641">
        <v>130.68493056178301</v>
      </c>
      <c r="AK5641">
        <v>15.8700812276393</v>
      </c>
      <c r="AL5641">
        <v>83.428247005803996</v>
      </c>
      <c r="AM5641">
        <v>109.005023549001</v>
      </c>
      <c r="AN5641">
        <v>0.99999999530035</v>
      </c>
    </row>
    <row r="5642" spans="1:40" x14ac:dyDescent="0.25">
      <c r="A5642" t="str">
        <f>"20190312164618765"</f>
        <v>20190312164618765</v>
      </c>
      <c r="B5642" t="str">
        <f>"1552380378757408"</f>
        <v>1552380378757408</v>
      </c>
      <c r="C5642" t="s">
        <v>40</v>
      </c>
      <c r="D5642">
        <v>5.0125520000000003</v>
      </c>
      <c r="E5642">
        <v>0.34816019999999998</v>
      </c>
      <c r="F5642" t="s">
        <v>52</v>
      </c>
      <c r="G5642">
        <v>-287.6121</v>
      </c>
      <c r="H5642" s="1">
        <v>-2.8277870000000001E-6</v>
      </c>
      <c r="I5642">
        <v>-57.837519999999998</v>
      </c>
      <c r="J5642">
        <v>-300.48750000000001</v>
      </c>
      <c r="K5642">
        <v>1.1138159999999999</v>
      </c>
      <c r="L5642">
        <v>-47.988399999999999</v>
      </c>
      <c r="M5642">
        <v>0.20395160000000001</v>
      </c>
      <c r="N5642">
        <v>0</v>
      </c>
      <c r="O5642">
        <v>-0.97892619999999997</v>
      </c>
      <c r="P5642">
        <v>0.51099620000000001</v>
      </c>
      <c r="Q5642">
        <v>0.108519</v>
      </c>
      <c r="R5642">
        <v>-0.85270579999999996</v>
      </c>
      <c r="S5642">
        <v>2.580994</v>
      </c>
      <c r="T5642">
        <v>-0.22214600000000001</v>
      </c>
      <c r="U5642">
        <v>-2.0182799999999999</v>
      </c>
      <c r="V5642">
        <v>-0.32782129999999998</v>
      </c>
      <c r="W5642">
        <v>0.1140504</v>
      </c>
      <c r="X5642">
        <v>0.93783030000000001</v>
      </c>
      <c r="Y5642">
        <v>-0.64354849999999997</v>
      </c>
      <c r="Z5642">
        <v>7.1267380000000005E-2</v>
      </c>
      <c r="AA5642">
        <v>0.76208030000000004</v>
      </c>
      <c r="AB5642">
        <v>25</v>
      </c>
      <c r="AC5642">
        <v>12.875400000000001</v>
      </c>
      <c r="AD5642">
        <v>-1.11381882778699</v>
      </c>
      <c r="AE5642">
        <v>-9.8491199999999992</v>
      </c>
      <c r="AF5642">
        <v>-10.546102514212601</v>
      </c>
      <c r="AG5642">
        <v>-1.11381882778699</v>
      </c>
      <c r="AH5642">
        <v>12.210531828310501</v>
      </c>
      <c r="AI5642">
        <v>93.949090922072102</v>
      </c>
      <c r="AJ5642">
        <v>130.816812563562</v>
      </c>
      <c r="AK5642">
        <v>16.172753573575498</v>
      </c>
      <c r="AL5642">
        <v>83.451143284696698</v>
      </c>
      <c r="AM5642">
        <v>109.267221649992</v>
      </c>
      <c r="AN5642">
        <v>0.99999998503596899</v>
      </c>
    </row>
    <row r="5643" spans="1:40" x14ac:dyDescent="0.25">
      <c r="A5643" t="str">
        <f>"20190312164618789"</f>
        <v>20190312164618789</v>
      </c>
      <c r="B5643" t="str">
        <f>"1552380378786688"</f>
        <v>1552380378786688</v>
      </c>
      <c r="C5643" t="s">
        <v>40</v>
      </c>
      <c r="D5643">
        <v>4.9616020000000001</v>
      </c>
      <c r="E5643">
        <v>0.34987940000000001</v>
      </c>
      <c r="F5643" t="s">
        <v>52</v>
      </c>
      <c r="G5643">
        <v>-287.36630000000002</v>
      </c>
      <c r="H5643" s="1">
        <v>-2.9320449999999998E-6</v>
      </c>
      <c r="I5643">
        <v>-58.02308</v>
      </c>
      <c r="J5643">
        <v>-300.42320000000001</v>
      </c>
      <c r="K5643">
        <v>1.113996</v>
      </c>
      <c r="L5643">
        <v>-48.250700000000002</v>
      </c>
      <c r="M5643">
        <v>0.2124962</v>
      </c>
      <c r="N5643">
        <v>0</v>
      </c>
      <c r="O5643">
        <v>-0.97710660000000005</v>
      </c>
      <c r="P5643">
        <v>0.52190809999999999</v>
      </c>
      <c r="Q5643">
        <v>0.107974</v>
      </c>
      <c r="R5643">
        <v>-0.84614049999999996</v>
      </c>
      <c r="S5643">
        <v>2.5998540000000001</v>
      </c>
      <c r="T5643">
        <v>-0.22069320000000001</v>
      </c>
      <c r="U5643">
        <v>-1.988281</v>
      </c>
      <c r="V5643">
        <v>-0.33170670000000002</v>
      </c>
      <c r="W5643">
        <v>0.113327</v>
      </c>
      <c r="X5643">
        <v>0.93655089999999996</v>
      </c>
      <c r="Y5643">
        <v>-0.64509729999999998</v>
      </c>
      <c r="Z5643">
        <v>7.0981600000000006E-2</v>
      </c>
      <c r="AA5643">
        <v>0.76079640000000004</v>
      </c>
      <c r="AB5643">
        <v>25</v>
      </c>
      <c r="AC5643">
        <v>13.056899999999899</v>
      </c>
      <c r="AD5643">
        <v>-1.1139989320449999</v>
      </c>
      <c r="AE5643">
        <v>-9.7723800000000001</v>
      </c>
      <c r="AF5643">
        <v>-10.6323592523846</v>
      </c>
      <c r="AG5643">
        <v>-1.1139989320449999</v>
      </c>
      <c r="AH5643">
        <v>12.266632009507299</v>
      </c>
      <c r="AI5643">
        <v>93.925748387071195</v>
      </c>
      <c r="AJ5643">
        <v>130.91779241905201</v>
      </c>
      <c r="AK5643">
        <v>16.2713956914899</v>
      </c>
      <c r="AL5643">
        <v>83.492861412485695</v>
      </c>
      <c r="AM5643">
        <v>109.50307850199999</v>
      </c>
      <c r="AN5643">
        <v>0.99999996602234897</v>
      </c>
    </row>
    <row r="5644" spans="1:40" x14ac:dyDescent="0.25">
      <c r="A5644" t="str">
        <f>"20190312164618811"</f>
        <v>20190312164618811</v>
      </c>
      <c r="B5644" t="str">
        <f>"1552380378807184"</f>
        <v>1552380378807184</v>
      </c>
      <c r="C5644" t="s">
        <v>40</v>
      </c>
      <c r="D5644">
        <v>5.0767249999999997</v>
      </c>
      <c r="E5644">
        <v>0.3510567</v>
      </c>
      <c r="F5644" t="s">
        <v>52</v>
      </c>
      <c r="G5644">
        <v>-287.18</v>
      </c>
      <c r="H5644" s="1">
        <v>-3.005292E-6</v>
      </c>
      <c r="I5644">
        <v>-58.189509999999999</v>
      </c>
      <c r="J5644">
        <v>-300.36369999999999</v>
      </c>
      <c r="K5644">
        <v>1.11416</v>
      </c>
      <c r="L5644">
        <v>-48.483280000000001</v>
      </c>
      <c r="M5644">
        <v>0.22034390000000001</v>
      </c>
      <c r="N5644">
        <v>0</v>
      </c>
      <c r="O5644">
        <v>-0.97536659999999997</v>
      </c>
      <c r="P5644">
        <v>0.53163459999999996</v>
      </c>
      <c r="Q5644">
        <v>0.10727390000000001</v>
      </c>
      <c r="R5644">
        <v>-0.84015339999999905</v>
      </c>
      <c r="S5644">
        <v>2.6135860000000002</v>
      </c>
      <c r="T5644">
        <v>-0.21985109999999999</v>
      </c>
      <c r="U5644">
        <v>-1.9614560000000001</v>
      </c>
      <c r="V5644">
        <v>-0.3350011</v>
      </c>
      <c r="W5644">
        <v>0.1124704</v>
      </c>
      <c r="X5644">
        <v>0.93548100000000001</v>
      </c>
      <c r="Y5644">
        <v>-0.64587439999999996</v>
      </c>
      <c r="Z5644">
        <v>7.0910249999999994E-2</v>
      </c>
      <c r="AA5644">
        <v>0.76014349999999997</v>
      </c>
      <c r="AB5644">
        <v>25</v>
      </c>
      <c r="AC5644">
        <v>13.1836999999999</v>
      </c>
      <c r="AD5644">
        <v>-1.114163005292</v>
      </c>
      <c r="AE5644">
        <v>-9.7062299999999908</v>
      </c>
      <c r="AF5644">
        <v>-10.6713886618221</v>
      </c>
      <c r="AG5644">
        <v>-1.114163005292</v>
      </c>
      <c r="AH5644">
        <v>12.3157108839101</v>
      </c>
      <c r="AI5644">
        <v>93.911276835934402</v>
      </c>
      <c r="AJ5644">
        <v>130.90846496250501</v>
      </c>
      <c r="AK5644">
        <v>16.333910424331702</v>
      </c>
      <c r="AL5644">
        <v>83.542257104823605</v>
      </c>
      <c r="AM5644">
        <v>109.70273654547201</v>
      </c>
      <c r="AN5644">
        <v>1.0000000146191801</v>
      </c>
    </row>
    <row r="5645" spans="1:40" x14ac:dyDescent="0.25">
      <c r="A5645" t="str">
        <f>"20190312164618836"</f>
        <v>20190312164618836</v>
      </c>
      <c r="B5645" t="str">
        <f>"1552380378826704"</f>
        <v>1552380378826704</v>
      </c>
      <c r="C5645" t="s">
        <v>40</v>
      </c>
      <c r="D5645">
        <v>4.9958549999999997</v>
      </c>
      <c r="E5645">
        <v>0.35219299999999998</v>
      </c>
      <c r="F5645" t="s">
        <v>52</v>
      </c>
      <c r="G5645">
        <v>-287.04379999999998</v>
      </c>
      <c r="H5645" s="1">
        <v>-3.062817E-6</v>
      </c>
      <c r="I5645">
        <v>-58.293430000000001</v>
      </c>
      <c r="J5645">
        <v>-300.29250000000002</v>
      </c>
      <c r="K5645">
        <v>1.1143320000000001</v>
      </c>
      <c r="L5645">
        <v>-48.750729999999997</v>
      </c>
      <c r="M5645">
        <v>0.2296163</v>
      </c>
      <c r="N5645">
        <v>0</v>
      </c>
      <c r="O5645">
        <v>-0.97322500000000001</v>
      </c>
      <c r="P5645">
        <v>0.5428885</v>
      </c>
      <c r="Q5645">
        <v>0.10650850000000001</v>
      </c>
      <c r="R5645">
        <v>-0.83302369999999903</v>
      </c>
      <c r="S5645">
        <v>2.6282649999999999</v>
      </c>
      <c r="T5645">
        <v>-0.2198455</v>
      </c>
      <c r="U5645">
        <v>-1.93573</v>
      </c>
      <c r="V5645">
        <v>-0.33869880000000002</v>
      </c>
      <c r="W5645">
        <v>0.1115365</v>
      </c>
      <c r="X5645">
        <v>0.93426050000000005</v>
      </c>
      <c r="Y5645">
        <v>-0.64545739999999996</v>
      </c>
      <c r="Z5645">
        <v>7.1066080000000004E-2</v>
      </c>
      <c r="AA5645">
        <v>0.76048289999999996</v>
      </c>
      <c r="AB5645">
        <v>25</v>
      </c>
      <c r="AC5645">
        <v>13.248699999999999</v>
      </c>
      <c r="AD5645">
        <v>-1.1143350628169999</v>
      </c>
      <c r="AE5645">
        <v>-9.5427</v>
      </c>
      <c r="AF5645">
        <v>-10.653768679350501</v>
      </c>
      <c r="AG5645">
        <v>-1.1143350628169999</v>
      </c>
      <c r="AH5645">
        <v>12.272821479623101</v>
      </c>
      <c r="AI5645">
        <v>93.922423845835496</v>
      </c>
      <c r="AJ5645">
        <v>130.960535608881</v>
      </c>
      <c r="AK5645">
        <v>16.2900790905395</v>
      </c>
      <c r="AL5645">
        <v>83.596104196503603</v>
      </c>
      <c r="AM5645">
        <v>109.927172563231</v>
      </c>
      <c r="AN5645">
        <v>0.99999997490696901</v>
      </c>
    </row>
    <row r="5646" spans="1:40" x14ac:dyDescent="0.25">
      <c r="A5646" t="str">
        <f>"20190312164618874"</f>
        <v>20190312164618874</v>
      </c>
      <c r="B5646" t="str">
        <f>"1552380378866720"</f>
        <v>1552380378866720</v>
      </c>
      <c r="C5646" t="s">
        <v>40</v>
      </c>
      <c r="D5646">
        <v>5.2103060000000001</v>
      </c>
      <c r="E5646">
        <v>0.35398859999999999</v>
      </c>
      <c r="F5646" t="s">
        <v>52</v>
      </c>
      <c r="G5646">
        <v>-287.17169999999999</v>
      </c>
      <c r="H5646" s="1">
        <v>-3.0081480000000001E-6</v>
      </c>
      <c r="I5646">
        <v>-58.198950000000004</v>
      </c>
      <c r="J5646">
        <v>-300.17720000000003</v>
      </c>
      <c r="K5646">
        <v>1.1145780000000001</v>
      </c>
      <c r="L5646">
        <v>-49.162170000000003</v>
      </c>
      <c r="M5646">
        <v>0.24432789999999999</v>
      </c>
      <c r="N5646">
        <v>0</v>
      </c>
      <c r="O5646">
        <v>-0.96963569999999999</v>
      </c>
      <c r="P5646">
        <v>0.56165310000000002</v>
      </c>
      <c r="Q5646">
        <v>0.1065707</v>
      </c>
      <c r="R5646">
        <v>-0.82048099999999902</v>
      </c>
      <c r="S5646">
        <v>2.64621</v>
      </c>
      <c r="T5646">
        <v>-0.2247393</v>
      </c>
      <c r="U5646">
        <v>-1.905518</v>
      </c>
      <c r="V5646">
        <v>-0.34582220000000002</v>
      </c>
      <c r="W5646">
        <v>0.1113299</v>
      </c>
      <c r="X5646">
        <v>0.93167199999999994</v>
      </c>
      <c r="Y5646">
        <v>-0.64195990000000003</v>
      </c>
      <c r="Z5646">
        <v>7.2795449999999998E-2</v>
      </c>
      <c r="AA5646">
        <v>0.76327469999999997</v>
      </c>
      <c r="AB5646">
        <v>25</v>
      </c>
      <c r="AC5646">
        <v>13.0055</v>
      </c>
      <c r="AD5646">
        <v>-1.1145810081479901</v>
      </c>
      <c r="AE5646">
        <v>-9.0367800000000003</v>
      </c>
      <c r="AF5646">
        <v>-10.351959163317</v>
      </c>
      <c r="AG5646">
        <v>-1.1145810081479901</v>
      </c>
      <c r="AH5646">
        <v>11.8817979102741</v>
      </c>
      <c r="AI5646">
        <v>94.045648733638501</v>
      </c>
      <c r="AJ5646">
        <v>131.06385164425001</v>
      </c>
      <c r="AK5646">
        <v>15.798179354701</v>
      </c>
      <c r="AL5646">
        <v>83.608016032059595</v>
      </c>
      <c r="AM5646">
        <v>110.36414504192901</v>
      </c>
      <c r="AN5646">
        <v>1.00000002811542</v>
      </c>
    </row>
    <row r="5647" spans="1:40" x14ac:dyDescent="0.25">
      <c r="A5647" t="str">
        <f>"20190312164618897"</f>
        <v>20190312164618897</v>
      </c>
      <c r="B5647" t="str">
        <f>"1552380378887216"</f>
        <v>1552380378887216</v>
      </c>
      <c r="C5647" t="s">
        <v>40</v>
      </c>
      <c r="D5647">
        <v>5.1366560000000003</v>
      </c>
      <c r="E5647">
        <v>0.39659290000000003</v>
      </c>
      <c r="F5647" t="s">
        <v>52</v>
      </c>
      <c r="G5647">
        <v>-287.09640000000002</v>
      </c>
      <c r="H5647" s="1">
        <v>-3.047236E-6</v>
      </c>
      <c r="I5647">
        <v>-58.22336</v>
      </c>
      <c r="J5647">
        <v>-300.10180000000003</v>
      </c>
      <c r="K5647">
        <v>1.114722</v>
      </c>
      <c r="L5647">
        <v>-49.417969999999997</v>
      </c>
      <c r="M5647">
        <v>0.25375170000000002</v>
      </c>
      <c r="N5647">
        <v>0</v>
      </c>
      <c r="O5647">
        <v>-0.96721179999999995</v>
      </c>
      <c r="P5647">
        <v>0.57199509999999998</v>
      </c>
      <c r="Q5647">
        <v>0.1070142</v>
      </c>
      <c r="R5647">
        <v>-0.81324669999999999</v>
      </c>
      <c r="S5647">
        <v>2.676361</v>
      </c>
      <c r="T5647">
        <v>-0.22804630000000001</v>
      </c>
      <c r="U5647">
        <v>-1.8539429999999999</v>
      </c>
      <c r="V5647">
        <v>-0.34861310000000001</v>
      </c>
      <c r="W5647">
        <v>0.1116388</v>
      </c>
      <c r="X5647">
        <v>0.93059429999999999</v>
      </c>
      <c r="Y5647">
        <v>-0.64835359999999997</v>
      </c>
      <c r="Z5647">
        <v>7.4133309999999994E-2</v>
      </c>
      <c r="AA5647">
        <v>0.75772150000000005</v>
      </c>
      <c r="AB5647">
        <v>25</v>
      </c>
      <c r="AC5647">
        <v>13.0054</v>
      </c>
      <c r="AD5647">
        <v>-1.114725047236</v>
      </c>
      <c r="AE5647">
        <v>-8.8053899999999903</v>
      </c>
      <c r="AF5647">
        <v>-10.2933179857793</v>
      </c>
      <c r="AG5647">
        <v>-1.114725047236</v>
      </c>
      <c r="AH5647">
        <v>11.758246323338</v>
      </c>
      <c r="AI5647">
        <v>94.080137412447698</v>
      </c>
      <c r="AJ5647">
        <v>131.199314349856</v>
      </c>
      <c r="AK5647">
        <v>15.6668874920194</v>
      </c>
      <c r="AL5647">
        <v>83.590206376545495</v>
      </c>
      <c r="AM5647">
        <v>110.536623376715</v>
      </c>
      <c r="AN5647">
        <v>1.0000000331747601</v>
      </c>
    </row>
    <row r="5648" spans="1:40" x14ac:dyDescent="0.25">
      <c r="A5648" t="str">
        <f>"20190312164618922"</f>
        <v>20190312164618922</v>
      </c>
      <c r="B5648" t="str">
        <f>"1552380378917473"</f>
        <v>1552380378917473</v>
      </c>
      <c r="C5648" t="s">
        <v>40</v>
      </c>
      <c r="D5648">
        <v>5.0290910000000002</v>
      </c>
      <c r="E5648">
        <v>0.40667500000000001</v>
      </c>
      <c r="F5648" t="s">
        <v>41</v>
      </c>
      <c r="G5648">
        <v>-299.33300000000003</v>
      </c>
      <c r="H5648">
        <v>1.027838</v>
      </c>
      <c r="I5648">
        <v>-50.057870000000001</v>
      </c>
      <c r="J5648">
        <v>-300.02330000000001</v>
      </c>
      <c r="K5648">
        <v>1.1148549999999999</v>
      </c>
      <c r="L5648">
        <v>-49.674160000000001</v>
      </c>
      <c r="M5648">
        <v>0.26336710000000002</v>
      </c>
      <c r="N5648">
        <v>0</v>
      </c>
      <c r="O5648">
        <v>-0.96463730000000003</v>
      </c>
      <c r="P5648">
        <v>0.58255500000000005</v>
      </c>
      <c r="Q5648">
        <v>0.10630249999999999</v>
      </c>
      <c r="R5648">
        <v>-0.80580989999999997</v>
      </c>
      <c r="S5648">
        <v>2.4262079999999999</v>
      </c>
      <c r="T5648">
        <v>-0.27410400000000001</v>
      </c>
      <c r="U5648">
        <v>-2.0185240000000002</v>
      </c>
      <c r="V5648">
        <v>-0.35149180000000002</v>
      </c>
      <c r="W5648">
        <v>0.110796699999999</v>
      </c>
      <c r="X5648">
        <v>0.92961159999999998</v>
      </c>
      <c r="Y5648">
        <v>-0.56994880000000003</v>
      </c>
      <c r="Z5648">
        <v>9.0632260000000006E-2</v>
      </c>
      <c r="AA5648">
        <v>0.81666649999999996</v>
      </c>
      <c r="AB5648">
        <v>25</v>
      </c>
      <c r="AC5648">
        <v>0.690300000000036</v>
      </c>
      <c r="AD5648">
        <v>-8.70169999999999E-2</v>
      </c>
      <c r="AE5648">
        <v>-0.38371</v>
      </c>
      <c r="AF5648">
        <v>-0.55808944969083996</v>
      </c>
      <c r="AG5648">
        <v>-8.70169999999999E-2</v>
      </c>
      <c r="AH5648">
        <v>0.54535407351634702</v>
      </c>
      <c r="AI5648">
        <v>96.363148208322897</v>
      </c>
      <c r="AJ5648">
        <v>135.66124898391999</v>
      </c>
      <c r="AK5648">
        <v>0.78514129788599196</v>
      </c>
      <c r="AL5648">
        <v>83.638756528124006</v>
      </c>
      <c r="AM5648">
        <v>110.71191012762399</v>
      </c>
      <c r="AN5648">
        <v>1.0000000605263399</v>
      </c>
    </row>
    <row r="5649" spans="1:40" x14ac:dyDescent="0.25">
      <c r="A5649" t="str">
        <f>"20190312164618943"</f>
        <v>20190312164618943</v>
      </c>
      <c r="B5649" t="str">
        <f>"1552380378936992"</f>
        <v>1552380378936992</v>
      </c>
      <c r="C5649" t="s">
        <v>40</v>
      </c>
      <c r="D5649">
        <v>5.0180160000000003</v>
      </c>
      <c r="E5649">
        <v>0.40898079999999998</v>
      </c>
      <c r="F5649" t="s">
        <v>41</v>
      </c>
      <c r="G5649">
        <v>-299.30399999999997</v>
      </c>
      <c r="H5649">
        <v>1.0305200000000001</v>
      </c>
      <c r="I5649">
        <v>-50.286610000000003</v>
      </c>
      <c r="J5649">
        <v>-299.9502</v>
      </c>
      <c r="K5649">
        <v>1.1149639999999901</v>
      </c>
      <c r="L5649">
        <v>-49.904879999999999</v>
      </c>
      <c r="M5649">
        <v>0.27220280000000002</v>
      </c>
      <c r="N5649">
        <v>0</v>
      </c>
      <c r="O5649">
        <v>-0.96218119999999996</v>
      </c>
      <c r="P5649">
        <v>0.59234370000000003</v>
      </c>
      <c r="Q5649">
        <v>0.1040416</v>
      </c>
      <c r="R5649">
        <v>-0.79893970000000003</v>
      </c>
      <c r="S5649">
        <v>2.3880620000000001</v>
      </c>
      <c r="T5649">
        <v>-0.27999380000000001</v>
      </c>
      <c r="U5649">
        <v>-2.0334469999999998</v>
      </c>
      <c r="V5649">
        <v>-0.35422819999999999</v>
      </c>
      <c r="W5649">
        <v>0.1084117</v>
      </c>
      <c r="X5649">
        <v>0.92885379999999995</v>
      </c>
      <c r="Y5649">
        <v>-0.55280220000000002</v>
      </c>
      <c r="Z5649">
        <v>9.289298E-2</v>
      </c>
      <c r="AA5649">
        <v>0.82811869999999999</v>
      </c>
      <c r="AB5649">
        <v>25</v>
      </c>
      <c r="AC5649">
        <v>0.64619999999996403</v>
      </c>
      <c r="AD5649">
        <v>-8.44439999999997E-2</v>
      </c>
      <c r="AE5649">
        <v>-0.38172999999999702</v>
      </c>
      <c r="AF5649">
        <v>-0.51140878125642797</v>
      </c>
      <c r="AG5649">
        <v>-8.44439999999997E-2</v>
      </c>
      <c r="AH5649">
        <v>0.53643081765891798</v>
      </c>
      <c r="AI5649">
        <v>96.500084915158496</v>
      </c>
      <c r="AJ5649">
        <v>133.632057170698</v>
      </c>
      <c r="AK5649">
        <v>0.74594085074917305</v>
      </c>
      <c r="AL5649">
        <v>83.776235176594795</v>
      </c>
      <c r="AM5649">
        <v>110.874878026719</v>
      </c>
      <c r="AN5649">
        <v>1.00000004807328</v>
      </c>
    </row>
    <row r="5650" spans="1:40" x14ac:dyDescent="0.25">
      <c r="A5650" t="str">
        <f>"20190312164618965"</f>
        <v>20190312164618965</v>
      </c>
      <c r="B5650" t="str">
        <f>"1552380378957488"</f>
        <v>1552380378957488</v>
      </c>
      <c r="C5650" t="s">
        <v>40</v>
      </c>
      <c r="D5650">
        <v>5.0336639999999999</v>
      </c>
      <c r="E5650">
        <v>0.41081630000000002</v>
      </c>
      <c r="F5650" t="s">
        <v>41</v>
      </c>
      <c r="G5650">
        <v>-299.24250000000001</v>
      </c>
      <c r="H5650">
        <v>1.0322910000000001</v>
      </c>
      <c r="I5650">
        <v>-50.499470000000002</v>
      </c>
      <c r="J5650">
        <v>-299.87509999999997</v>
      </c>
      <c r="K5650">
        <v>1.115089</v>
      </c>
      <c r="L5650">
        <v>-50.133789999999998</v>
      </c>
      <c r="M5650">
        <v>0.28115129999999999</v>
      </c>
      <c r="N5650">
        <v>0</v>
      </c>
      <c r="O5650">
        <v>-0.95960389999999995</v>
      </c>
      <c r="P5650">
        <v>0.6018599</v>
      </c>
      <c r="Q5650">
        <v>0.1022381</v>
      </c>
      <c r="R5650">
        <v>-0.79203040000000002</v>
      </c>
      <c r="S5650">
        <v>2.3973080000000002</v>
      </c>
      <c r="T5650">
        <v>-0.28004000000000001</v>
      </c>
      <c r="U5650">
        <v>-2.0140380000000002</v>
      </c>
      <c r="V5650">
        <v>-0.35663440000000002</v>
      </c>
      <c r="W5650">
        <v>0.1064794</v>
      </c>
      <c r="X5650">
        <v>0.92815630000000005</v>
      </c>
      <c r="Y5650">
        <v>-0.55053699999999905</v>
      </c>
      <c r="Z5650">
        <v>9.304482E-2</v>
      </c>
      <c r="AA5650">
        <v>0.82960929999999999</v>
      </c>
      <c r="AB5650">
        <v>25</v>
      </c>
      <c r="AC5650">
        <v>0.63259999999996797</v>
      </c>
      <c r="AD5650">
        <v>-8.2797999999999899E-2</v>
      </c>
      <c r="AE5650">
        <v>-0.36567999999999701</v>
      </c>
      <c r="AF5650">
        <v>-0.49787002671882202</v>
      </c>
      <c r="AG5650">
        <v>-8.2797999999999899E-2</v>
      </c>
      <c r="AH5650">
        <v>0.522090674551561</v>
      </c>
      <c r="AI5650">
        <v>96.547199126576999</v>
      </c>
      <c r="AJ5650">
        <v>133.63967294639201</v>
      </c>
      <c r="AK5650">
        <v>0.72616027484482004</v>
      </c>
      <c r="AL5650">
        <v>83.8875924101729</v>
      </c>
      <c r="AM5650">
        <v>111.01875209562</v>
      </c>
      <c r="AN5650">
        <v>1.0000000375586999</v>
      </c>
    </row>
    <row r="5651" spans="1:40" x14ac:dyDescent="0.25">
      <c r="A5651" t="str">
        <f>"20190312164618989"</f>
        <v>20190312164618989</v>
      </c>
      <c r="B5651" t="str">
        <f>"1552380378977009"</f>
        <v>1552380378977009</v>
      </c>
      <c r="C5651" t="s">
        <v>40</v>
      </c>
      <c r="D5651">
        <v>5.0735950000000001</v>
      </c>
      <c r="E5651">
        <v>0.41203329999999999</v>
      </c>
      <c r="F5651" t="s">
        <v>41</v>
      </c>
      <c r="G5651">
        <v>-299.17739999999998</v>
      </c>
      <c r="H5651">
        <v>1.0293350000000001</v>
      </c>
      <c r="I5651">
        <v>-50.711069999999999</v>
      </c>
      <c r="J5651">
        <v>-299.7901</v>
      </c>
      <c r="K5651">
        <v>1.1152550000000001</v>
      </c>
      <c r="L5651">
        <v>-50.383999999999901</v>
      </c>
      <c r="M5651">
        <v>0.29115159999999901</v>
      </c>
      <c r="N5651">
        <v>0</v>
      </c>
      <c r="O5651">
        <v>-0.95661680000000004</v>
      </c>
      <c r="P5651">
        <v>0.61199019999999904</v>
      </c>
      <c r="Q5651">
        <v>0.1018414</v>
      </c>
      <c r="R5651">
        <v>-0.78428120000000001</v>
      </c>
      <c r="S5651">
        <v>2.4105219999999998</v>
      </c>
      <c r="T5651">
        <v>-0.29626269999999999</v>
      </c>
      <c r="U5651">
        <v>-1.9942629999999999</v>
      </c>
      <c r="V5651">
        <v>-0.3589001</v>
      </c>
      <c r="W5651">
        <v>0.10593180000000001</v>
      </c>
      <c r="X5651">
        <v>0.92734519999999998</v>
      </c>
      <c r="Y5651">
        <v>-0.54770010000000002</v>
      </c>
      <c r="Z5651">
        <v>9.8424300000000006E-2</v>
      </c>
      <c r="AA5651">
        <v>0.83086530000000003</v>
      </c>
      <c r="AB5651">
        <v>25</v>
      </c>
      <c r="AC5651">
        <v>0.61270000000001801</v>
      </c>
      <c r="AD5651">
        <v>-8.5919999999999705E-2</v>
      </c>
      <c r="AE5651">
        <v>-0.32707000000000602</v>
      </c>
      <c r="AF5651">
        <v>-0.48352063634776099</v>
      </c>
      <c r="AG5651">
        <v>-8.5919999999999705E-2</v>
      </c>
      <c r="AH5651">
        <v>0.48389205640411398</v>
      </c>
      <c r="AI5651">
        <v>97.158989892659307</v>
      </c>
      <c r="AJ5651">
        <v>134.978002355386</v>
      </c>
      <c r="AK5651">
        <v>0.68943888374905704</v>
      </c>
      <c r="AL5651">
        <v>83.919145651581601</v>
      </c>
      <c r="AM5651">
        <v>111.157378274843</v>
      </c>
      <c r="AN5651">
        <v>0.99999997399714402</v>
      </c>
    </row>
    <row r="5652" spans="1:40" x14ac:dyDescent="0.25">
      <c r="A5652" t="str">
        <f>"20190312164619031"</f>
        <v>20190312164619031</v>
      </c>
      <c r="B5652" t="str">
        <f>"1552380379026784"</f>
        <v>1552380379026784</v>
      </c>
      <c r="C5652" t="s">
        <v>40</v>
      </c>
      <c r="D5652">
        <v>5.0579479999999997</v>
      </c>
      <c r="E5652">
        <v>0.41479690000000002</v>
      </c>
      <c r="F5652" t="s">
        <v>41</v>
      </c>
      <c r="G5652">
        <v>-298.93819999999999</v>
      </c>
      <c r="H5652">
        <v>1.011487</v>
      </c>
      <c r="I5652">
        <v>-51.074660000000002</v>
      </c>
      <c r="J5652">
        <v>-299.63229999999999</v>
      </c>
      <c r="K5652">
        <v>1.1155809999999999</v>
      </c>
      <c r="L5652">
        <v>-50.824550000000002</v>
      </c>
      <c r="M5652">
        <v>0.3094037</v>
      </c>
      <c r="N5652">
        <v>0</v>
      </c>
      <c r="O5652">
        <v>-0.95086930000000003</v>
      </c>
      <c r="P5652">
        <v>0.6308357</v>
      </c>
      <c r="Q5652">
        <v>0.10352840000000001</v>
      </c>
      <c r="R5652">
        <v>-0.76897899999999997</v>
      </c>
      <c r="S5652">
        <v>2.4284669999999999</v>
      </c>
      <c r="T5652">
        <v>-0.29578520000000003</v>
      </c>
      <c r="U5652">
        <v>-1.968567</v>
      </c>
      <c r="V5652">
        <v>-0.36383650000000001</v>
      </c>
      <c r="W5652">
        <v>0.10730339999999999</v>
      </c>
      <c r="X5652">
        <v>0.92526160000000002</v>
      </c>
      <c r="Y5652">
        <v>-0.54001730000000003</v>
      </c>
      <c r="Z5652">
        <v>9.8171469999999997E-2</v>
      </c>
      <c r="AA5652">
        <v>0.83590889999999995</v>
      </c>
      <c r="AB5652">
        <v>25</v>
      </c>
      <c r="AC5652">
        <v>0.69409999999999095</v>
      </c>
      <c r="AD5652">
        <v>-0.10409399999999901</v>
      </c>
      <c r="AE5652">
        <v>-0.25010999999999201</v>
      </c>
      <c r="AF5652">
        <v>-0.57127553693278998</v>
      </c>
      <c r="AG5652">
        <v>-0.10409399999999901</v>
      </c>
      <c r="AH5652">
        <v>0.44377166408837598</v>
      </c>
      <c r="AI5652">
        <v>98.188540126233804</v>
      </c>
      <c r="AJ5652">
        <v>142.15963731493801</v>
      </c>
      <c r="AK5652">
        <v>0.730838278815235</v>
      </c>
      <c r="AL5652">
        <v>83.840108552075193</v>
      </c>
      <c r="AM5652">
        <v>111.466019927251</v>
      </c>
      <c r="AN5652">
        <v>1.0000000234091799</v>
      </c>
    </row>
    <row r="5653" spans="1:40" x14ac:dyDescent="0.25">
      <c r="A5653" t="str">
        <f>"20190312164619061"</f>
        <v>20190312164619061</v>
      </c>
      <c r="B5653" t="str">
        <f>"1552380379057040"</f>
        <v>1552380379057040</v>
      </c>
      <c r="C5653" t="s">
        <v>40</v>
      </c>
      <c r="D5653">
        <v>5.036689</v>
      </c>
      <c r="E5653">
        <v>0.4157785</v>
      </c>
      <c r="F5653" t="s">
        <v>41</v>
      </c>
      <c r="G5653">
        <v>-298.78530000000001</v>
      </c>
      <c r="H5653">
        <v>1.0181450000000001</v>
      </c>
      <c r="I5653">
        <v>-51.48733</v>
      </c>
      <c r="J5653">
        <v>-299.50819999999999</v>
      </c>
      <c r="K5653">
        <v>1.1158159999999999</v>
      </c>
      <c r="L5653">
        <v>-51.151580000000003</v>
      </c>
      <c r="M5653">
        <v>0.32343699999999997</v>
      </c>
      <c r="N5653">
        <v>0</v>
      </c>
      <c r="O5653">
        <v>-0.94618729999999995</v>
      </c>
      <c r="P5653">
        <v>0.64432159999999905</v>
      </c>
      <c r="Q5653">
        <v>0.1047266</v>
      </c>
      <c r="R5653">
        <v>-0.7575501</v>
      </c>
      <c r="S5653">
        <v>2.4576720000000001</v>
      </c>
      <c r="T5653">
        <v>-0.28272160000000002</v>
      </c>
      <c r="U5653">
        <v>-1.923157</v>
      </c>
      <c r="V5653">
        <v>-0.36662810000000001</v>
      </c>
      <c r="W5653">
        <v>0.10829560000000001</v>
      </c>
      <c r="X5653">
        <v>0.92404319999999895</v>
      </c>
      <c r="Y5653">
        <v>-0.5422884</v>
      </c>
      <c r="Z5653">
        <v>9.4025049999999999E-2</v>
      </c>
      <c r="AA5653">
        <v>0.83491469999999901</v>
      </c>
      <c r="AB5653">
        <v>25</v>
      </c>
      <c r="AC5653">
        <v>0.722899999999981</v>
      </c>
      <c r="AD5653">
        <v>-9.76709999999998E-2</v>
      </c>
      <c r="AE5653">
        <v>-0.33575000000000399</v>
      </c>
      <c r="AF5653">
        <v>-0.56692604895458798</v>
      </c>
      <c r="AG5653">
        <v>-9.76709999999998E-2</v>
      </c>
      <c r="AH5653">
        <v>0.543368534985883</v>
      </c>
      <c r="AI5653">
        <v>97.089941891798802</v>
      </c>
      <c r="AJ5653">
        <v>136.21548250281501</v>
      </c>
      <c r="AK5653">
        <v>0.79132429132244198</v>
      </c>
      <c r="AL5653">
        <v>83.782926113399299</v>
      </c>
      <c r="AM5653">
        <v>111.641450727958</v>
      </c>
      <c r="AN5653">
        <v>0.99999996807760405</v>
      </c>
    </row>
    <row r="5654" spans="1:40" x14ac:dyDescent="0.25">
      <c r="A5654" t="str">
        <f>"20190312164619081"</f>
        <v>20190312164619081</v>
      </c>
      <c r="B5654" t="str">
        <f>"1552380379076561"</f>
        <v>1552380379076561</v>
      </c>
      <c r="C5654" t="s">
        <v>40</v>
      </c>
      <c r="D5654">
        <v>5.0145739999999996</v>
      </c>
      <c r="E5654">
        <v>0.41644219999999998</v>
      </c>
      <c r="F5654" t="s">
        <v>41</v>
      </c>
      <c r="G5654">
        <v>-298.755</v>
      </c>
      <c r="H5654">
        <v>1.030527</v>
      </c>
      <c r="I5654">
        <v>-51.722549999999998</v>
      </c>
      <c r="J5654">
        <v>-299.42790000000002</v>
      </c>
      <c r="K5654">
        <v>1.1159570000000001</v>
      </c>
      <c r="L5654">
        <v>-51.355350000000001</v>
      </c>
      <c r="M5654">
        <v>0.33238830000000003</v>
      </c>
      <c r="N5654">
        <v>0</v>
      </c>
      <c r="O5654">
        <v>-0.94307969999999997</v>
      </c>
      <c r="P5654">
        <v>0.65306989999999998</v>
      </c>
      <c r="Q5654">
        <v>0.1073349</v>
      </c>
      <c r="R5654">
        <v>-0.74965269999999995</v>
      </c>
      <c r="S5654">
        <v>2.48645</v>
      </c>
      <c r="T5654">
        <v>-0.28150380000000003</v>
      </c>
      <c r="U5654">
        <v>-1.884247</v>
      </c>
      <c r="V5654">
        <v>-0.36880210000000002</v>
      </c>
      <c r="W5654">
        <v>0.1107664</v>
      </c>
      <c r="X5654">
        <v>0.9228845</v>
      </c>
      <c r="Y5654">
        <v>-0.54730489999999998</v>
      </c>
      <c r="Z5654">
        <v>9.3708470000000002E-2</v>
      </c>
      <c r="AA5654">
        <v>0.83167060000000004</v>
      </c>
      <c r="AB5654">
        <v>25</v>
      </c>
      <c r="AC5654">
        <v>0.67290000000002603</v>
      </c>
      <c r="AD5654">
        <v>-8.5429999999999895E-2</v>
      </c>
      <c r="AE5654">
        <v>-0.36719999999999597</v>
      </c>
      <c r="AF5654">
        <v>-0.50628774553962497</v>
      </c>
      <c r="AG5654">
        <v>-8.5429999999999895E-2</v>
      </c>
      <c r="AH5654">
        <v>0.56300434783693898</v>
      </c>
      <c r="AI5654">
        <v>96.437375055993499</v>
      </c>
      <c r="AJ5654">
        <v>131.963804721792</v>
      </c>
      <c r="AK5654">
        <v>0.76197077494277499</v>
      </c>
      <c r="AL5654">
        <v>83.640502906719604</v>
      </c>
      <c r="AM5654">
        <v>111.782583977755</v>
      </c>
      <c r="AN5654">
        <v>0.99999999233681003</v>
      </c>
    </row>
    <row r="5655" spans="1:40" x14ac:dyDescent="0.25">
      <c r="A5655" t="str">
        <f>"20190312164619101"</f>
        <v>20190312164619101</v>
      </c>
      <c r="B5655" t="str">
        <f>"1552380379097056"</f>
        <v>1552380379097056</v>
      </c>
      <c r="C5655" t="s">
        <v>40</v>
      </c>
      <c r="D5655">
        <v>4.957891</v>
      </c>
      <c r="E5655">
        <v>0.4165179</v>
      </c>
      <c r="F5655" t="s">
        <v>41</v>
      </c>
      <c r="G5655">
        <v>-298.66379999999998</v>
      </c>
      <c r="H5655">
        <v>1.0322880000000001</v>
      </c>
      <c r="I5655">
        <v>-51.922049999999999</v>
      </c>
      <c r="J5655">
        <v>-299.34359999999998</v>
      </c>
      <c r="K5655">
        <v>1.116115</v>
      </c>
      <c r="L5655">
        <v>-51.562809999999999</v>
      </c>
      <c r="M5655">
        <v>0.3417113</v>
      </c>
      <c r="N5655">
        <v>0</v>
      </c>
      <c r="O5655">
        <v>-0.9397413</v>
      </c>
      <c r="P5655">
        <v>0.66179750000000004</v>
      </c>
      <c r="Q5655">
        <v>0.10912529999999999</v>
      </c>
      <c r="R5655">
        <v>-0.74169830000000003</v>
      </c>
      <c r="S5655">
        <v>2.5055540000000001</v>
      </c>
      <c r="T5655">
        <v>-0.274366099999999</v>
      </c>
      <c r="U5655">
        <v>-1.858368</v>
      </c>
      <c r="V5655">
        <v>-0.3706277</v>
      </c>
      <c r="W5655">
        <v>0.1124135</v>
      </c>
      <c r="X5655">
        <v>0.92195360000000004</v>
      </c>
      <c r="Y5655">
        <v>-0.54779080000000002</v>
      </c>
      <c r="Z5655">
        <v>9.1317770000000006E-2</v>
      </c>
      <c r="AA5655">
        <v>0.83161669999999999</v>
      </c>
      <c r="AB5655">
        <v>26</v>
      </c>
      <c r="AC5655">
        <v>0.67979999999999996</v>
      </c>
      <c r="AD5655">
        <v>-8.3827000000000096E-2</v>
      </c>
      <c r="AE5655">
        <v>-0.359239999999999</v>
      </c>
      <c r="AF5655">
        <v>-0.51004806274108505</v>
      </c>
      <c r="AG5655">
        <v>-8.3827000000000096E-2</v>
      </c>
      <c r="AH5655">
        <v>0.56322741455440695</v>
      </c>
      <c r="AI5655">
        <v>96.295427748223801</v>
      </c>
      <c r="AJ5655">
        <v>132.16339126856101</v>
      </c>
      <c r="AK5655">
        <v>0.76446132193890404</v>
      </c>
      <c r="AL5655">
        <v>83.545538359959593</v>
      </c>
      <c r="AM5655">
        <v>111.900253009389</v>
      </c>
      <c r="AN5655">
        <v>1.0000000637712401</v>
      </c>
    </row>
    <row r="5656" spans="1:40" x14ac:dyDescent="0.25">
      <c r="A5656" t="str">
        <f>"20190312164619124"</f>
        <v>20190312164619124</v>
      </c>
      <c r="B5656" t="str">
        <f>"1552380379117553"</f>
        <v>1552380379117553</v>
      </c>
      <c r="C5656" t="s">
        <v>40</v>
      </c>
      <c r="D5656">
        <v>5.0643469999999997</v>
      </c>
      <c r="E5656">
        <v>0.41668189999999999</v>
      </c>
      <c r="F5656" t="s">
        <v>41</v>
      </c>
      <c r="G5656">
        <v>-298.57150000000001</v>
      </c>
      <c r="H5656">
        <v>1.0377959999999999</v>
      </c>
      <c r="I5656">
        <v>-52.121319999999997</v>
      </c>
      <c r="J5656">
        <v>-299.24639999999999</v>
      </c>
      <c r="K5656">
        <v>1.116309</v>
      </c>
      <c r="L5656">
        <v>-51.794620000000002</v>
      </c>
      <c r="M5656">
        <v>0.35239379999999998</v>
      </c>
      <c r="N5656">
        <v>0</v>
      </c>
      <c r="O5656">
        <v>-0.93578729999999999</v>
      </c>
      <c r="P5656">
        <v>0.67148439999999998</v>
      </c>
      <c r="Q5656">
        <v>0.1092303</v>
      </c>
      <c r="R5656">
        <v>-0.73292400000000002</v>
      </c>
      <c r="S5656">
        <v>2.5269780000000002</v>
      </c>
      <c r="T5656">
        <v>-0.25629750000000001</v>
      </c>
      <c r="U5656">
        <v>-1.8277589999999999</v>
      </c>
      <c r="V5656">
        <v>-0.3723012</v>
      </c>
      <c r="W5656">
        <v>0.11234959999999999</v>
      </c>
      <c r="X5656">
        <v>0.92128679999999996</v>
      </c>
      <c r="Y5656">
        <v>-0.54868209999999995</v>
      </c>
      <c r="Z5656">
        <v>8.5317569999999995E-2</v>
      </c>
      <c r="AA5656">
        <v>0.83166640000000003</v>
      </c>
      <c r="AB5656">
        <v>26</v>
      </c>
      <c r="AC5656">
        <v>0.67489999999997896</v>
      </c>
      <c r="AD5656">
        <v>-7.8512999999999999E-2</v>
      </c>
      <c r="AE5656">
        <v>-0.32670000000000199</v>
      </c>
      <c r="AF5656">
        <v>-0.51086576972376196</v>
      </c>
      <c r="AG5656">
        <v>-7.8512999999999999E-2</v>
      </c>
      <c r="AH5656">
        <v>0.53768979668474204</v>
      </c>
      <c r="AI5656">
        <v>96.042703656387502</v>
      </c>
      <c r="AJ5656">
        <v>133.53458562566601</v>
      </c>
      <c r="AK5656">
        <v>0.74582735489074903</v>
      </c>
      <c r="AL5656">
        <v>83.549222436170197</v>
      </c>
      <c r="AM5656">
        <v>112.004125747036</v>
      </c>
      <c r="AN5656">
        <v>0.99999999199792</v>
      </c>
    </row>
    <row r="5657" spans="1:40" x14ac:dyDescent="0.25">
      <c r="A5657" t="str">
        <f>"20190312164619148"</f>
        <v>20190312164619148</v>
      </c>
      <c r="B5657" t="str">
        <f>"1552380379137073"</f>
        <v>1552380379137073</v>
      </c>
      <c r="C5657" t="s">
        <v>40</v>
      </c>
      <c r="D5657">
        <v>5.1543910000000004</v>
      </c>
      <c r="E5657">
        <v>0.41958400000000001</v>
      </c>
      <c r="F5657" t="s">
        <v>41</v>
      </c>
      <c r="G5657">
        <v>-298.48930000000001</v>
      </c>
      <c r="H5657">
        <v>1.040869</v>
      </c>
      <c r="I5657">
        <v>-52.327419999999996</v>
      </c>
      <c r="J5657">
        <v>-299.13400000000001</v>
      </c>
      <c r="K5657">
        <v>1.1165529999999999</v>
      </c>
      <c r="L5657">
        <v>-52.053559999999997</v>
      </c>
      <c r="M5657">
        <v>0.36464459999999999</v>
      </c>
      <c r="N5657">
        <v>0</v>
      </c>
      <c r="O5657">
        <v>-0.93108120000000005</v>
      </c>
      <c r="P5657">
        <v>0.6820465</v>
      </c>
      <c r="Q5657">
        <v>0.108774499999999</v>
      </c>
      <c r="R5657">
        <v>-0.72317430000000005</v>
      </c>
      <c r="S5657">
        <v>2.5500180000000001</v>
      </c>
      <c r="T5657">
        <v>-0.25410539999999998</v>
      </c>
      <c r="U5657">
        <v>-1.7947390000000001</v>
      </c>
      <c r="V5657">
        <v>-0.37361080000000002</v>
      </c>
      <c r="W5657">
        <v>0.11169900000000001</v>
      </c>
      <c r="X5657">
        <v>0.92083570000000003</v>
      </c>
      <c r="Y5657">
        <v>-0.54852040000000002</v>
      </c>
      <c r="Z5657">
        <v>8.4517549999999997E-2</v>
      </c>
      <c r="AA5657">
        <v>0.8318546</v>
      </c>
      <c r="AB5657">
        <v>26</v>
      </c>
      <c r="AC5657">
        <v>0.64470000000000005</v>
      </c>
      <c r="AD5657">
        <v>-7.5684000000000001E-2</v>
      </c>
      <c r="AE5657">
        <v>-0.27386000000000599</v>
      </c>
      <c r="AF5657">
        <v>-0.49466198181971799</v>
      </c>
      <c r="AG5657">
        <v>-7.5684000000000001E-2</v>
      </c>
      <c r="AH5657">
        <v>0.48444640661617799</v>
      </c>
      <c r="AI5657">
        <v>96.238302127982294</v>
      </c>
      <c r="AJ5657">
        <v>135.597776624163</v>
      </c>
      <c r="AK5657">
        <v>0.69649613422986001</v>
      </c>
      <c r="AL5657">
        <v>83.586735514993805</v>
      </c>
      <c r="AM5657">
        <v>112.083877505525</v>
      </c>
      <c r="AN5657">
        <v>1.0000000414360599</v>
      </c>
    </row>
    <row r="5658" spans="1:40" x14ac:dyDescent="0.25">
      <c r="A5658" t="str">
        <f>"20190312164619169"</f>
        <v>20190312164619169</v>
      </c>
      <c r="B5658" t="str">
        <f>"1552380379157568"</f>
        <v>1552380379157568</v>
      </c>
      <c r="C5658" t="s">
        <v>40</v>
      </c>
      <c r="D5658">
        <v>5.1184859999999999</v>
      </c>
      <c r="E5658">
        <v>0.42143259999999999</v>
      </c>
      <c r="F5658" t="s">
        <v>41</v>
      </c>
      <c r="G5658">
        <v>-298.42410000000001</v>
      </c>
      <c r="H5658">
        <v>1.047159</v>
      </c>
      <c r="I5658">
        <v>-52.54551</v>
      </c>
      <c r="J5658">
        <v>-299.04289999999997</v>
      </c>
      <c r="K5658">
        <v>1.116751</v>
      </c>
      <c r="L5658">
        <v>-52.255519999999997</v>
      </c>
      <c r="M5658">
        <v>0.37447239999999998</v>
      </c>
      <c r="N5658">
        <v>0</v>
      </c>
      <c r="O5658">
        <v>-0.92717159999999998</v>
      </c>
      <c r="P5658">
        <v>0.68999080000000002</v>
      </c>
      <c r="Q5658">
        <v>0.1090005</v>
      </c>
      <c r="R5658">
        <v>-0.71556419999999998</v>
      </c>
      <c r="S5658">
        <v>2.5585019999999998</v>
      </c>
      <c r="T5658">
        <v>-0.25010500000000002</v>
      </c>
      <c r="U5658">
        <v>-1.77298</v>
      </c>
      <c r="V5658">
        <v>-0.37411240000000001</v>
      </c>
      <c r="W5658">
        <v>0.11177620000000001</v>
      </c>
      <c r="X5658">
        <v>0.92062259999999996</v>
      </c>
      <c r="Y5658">
        <v>-0.54583859999999995</v>
      </c>
      <c r="Z5658">
        <v>8.3211660000000007E-2</v>
      </c>
      <c r="AA5658">
        <v>0.83374820000000005</v>
      </c>
      <c r="AB5658">
        <v>26</v>
      </c>
      <c r="AC5658">
        <v>0.61879999999996405</v>
      </c>
      <c r="AD5658">
        <v>-6.9592000000000098E-2</v>
      </c>
      <c r="AE5658">
        <v>-0.28998999999999597</v>
      </c>
      <c r="AF5658">
        <v>-0.46039473265632602</v>
      </c>
      <c r="AG5658">
        <v>-6.9592000000000098E-2</v>
      </c>
      <c r="AH5658">
        <v>0.49548648145149299</v>
      </c>
      <c r="AI5658">
        <v>95.874555126643997</v>
      </c>
      <c r="AJ5658">
        <v>132.89753522664901</v>
      </c>
      <c r="AK5658">
        <v>0.67993618055143301</v>
      </c>
      <c r="AL5658">
        <v>83.582284070230003</v>
      </c>
      <c r="AM5658">
        <v>112.115295876518</v>
      </c>
      <c r="AN5658">
        <v>0.99999998917547905</v>
      </c>
    </row>
    <row r="5659" spans="1:40" x14ac:dyDescent="0.25">
      <c r="A5659" t="str">
        <f>"20190312164619189"</f>
        <v>20190312164619189</v>
      </c>
      <c r="B5659" t="str">
        <f>"1552380379186848"</f>
        <v>1552380379186848</v>
      </c>
      <c r="C5659" t="s">
        <v>40</v>
      </c>
      <c r="D5659">
        <v>5.1643039999999996</v>
      </c>
      <c r="E5659">
        <v>0.42414819999999998</v>
      </c>
      <c r="F5659" t="s">
        <v>41</v>
      </c>
      <c r="G5659">
        <v>-298.3279</v>
      </c>
      <c r="H5659">
        <v>1.0483640000000001</v>
      </c>
      <c r="I5659">
        <v>-52.744039999999998</v>
      </c>
      <c r="J5659">
        <v>-298.9452</v>
      </c>
      <c r="K5659">
        <v>1.1169549999999999</v>
      </c>
      <c r="L5659">
        <v>-52.46555</v>
      </c>
      <c r="M5659">
        <v>0.38493749999999999</v>
      </c>
      <c r="N5659">
        <v>0</v>
      </c>
      <c r="O5659">
        <v>-0.92287520000000001</v>
      </c>
      <c r="P5659">
        <v>0.69811199999999995</v>
      </c>
      <c r="Q5659">
        <v>0.1080565</v>
      </c>
      <c r="R5659">
        <v>-0.70778779999999997</v>
      </c>
      <c r="S5659">
        <v>2.5675050000000001</v>
      </c>
      <c r="T5659">
        <v>-0.2455561</v>
      </c>
      <c r="U5659">
        <v>-1.754181</v>
      </c>
      <c r="V5659">
        <v>-0.37418679999999999</v>
      </c>
      <c r="W5659">
        <v>0.1106882</v>
      </c>
      <c r="X5659">
        <v>0.92072379999999998</v>
      </c>
      <c r="Y5659">
        <v>-0.54199489999999995</v>
      </c>
      <c r="Z5659">
        <v>8.1623130000000002E-2</v>
      </c>
      <c r="AA5659">
        <v>0.83640859999999995</v>
      </c>
      <c r="AB5659">
        <v>26</v>
      </c>
      <c r="AC5659">
        <v>0.61729999999999996</v>
      </c>
      <c r="AD5659">
        <v>-6.8590999999999999E-2</v>
      </c>
      <c r="AE5659">
        <v>-0.27849000000000501</v>
      </c>
      <c r="AF5659">
        <v>-0.45782182754141199</v>
      </c>
      <c r="AG5659">
        <v>-6.8590999999999999E-2</v>
      </c>
      <c r="AH5659">
        <v>0.48964122486018002</v>
      </c>
      <c r="AI5659">
        <v>95.842367057687596</v>
      </c>
      <c r="AJ5659">
        <v>133.07651367686799</v>
      </c>
      <c r="AK5659">
        <v>0.67383535091069302</v>
      </c>
      <c r="AL5659">
        <v>83.645011063423297</v>
      </c>
      <c r="AM5659">
        <v>112.117073072968</v>
      </c>
      <c r="AN5659">
        <v>0.99999997739995905</v>
      </c>
    </row>
    <row r="5660" spans="1:40" x14ac:dyDescent="0.25">
      <c r="A5660" t="str">
        <f>"20190312164619211"</f>
        <v>20190312164619211</v>
      </c>
      <c r="B5660" t="str">
        <f>"1552380379207344"</f>
        <v>1552380379207344</v>
      </c>
      <c r="C5660" t="s">
        <v>40</v>
      </c>
      <c r="D5660">
        <v>5.3167419999999996</v>
      </c>
      <c r="E5660">
        <v>0.42580119999999999</v>
      </c>
      <c r="F5660" t="s">
        <v>41</v>
      </c>
      <c r="G5660">
        <v>-298.04230000000001</v>
      </c>
      <c r="H5660">
        <v>1.033525</v>
      </c>
      <c r="I5660">
        <v>-53.076599999999999</v>
      </c>
      <c r="J5660">
        <v>-298.84030000000001</v>
      </c>
      <c r="K5660">
        <v>1.117151</v>
      </c>
      <c r="L5660">
        <v>-52.683529999999998</v>
      </c>
      <c r="M5660">
        <v>0.3960709</v>
      </c>
      <c r="N5660">
        <v>0</v>
      </c>
      <c r="O5660">
        <v>-0.91815159999999996</v>
      </c>
      <c r="P5660">
        <v>0.70673299999999994</v>
      </c>
      <c r="Q5660">
        <v>0.1060295</v>
      </c>
      <c r="R5660">
        <v>-0.6994901</v>
      </c>
      <c r="S5660">
        <v>2.570557</v>
      </c>
      <c r="T5660">
        <v>-0.23750789999999999</v>
      </c>
      <c r="U5660">
        <v>-1.739441</v>
      </c>
      <c r="V5660">
        <v>-0.37422709999999998</v>
      </c>
      <c r="W5660">
        <v>0.1085208</v>
      </c>
      <c r="X5660">
        <v>0.92096540000000005</v>
      </c>
      <c r="Y5660">
        <v>-0.53576080000000004</v>
      </c>
      <c r="Z5660">
        <v>7.8876509999999997E-2</v>
      </c>
      <c r="AA5660">
        <v>0.84067760000000002</v>
      </c>
      <c r="AB5660">
        <v>26</v>
      </c>
      <c r="AC5660">
        <v>0.79800000000000104</v>
      </c>
      <c r="AD5660">
        <v>-8.3625999999999895E-2</v>
      </c>
      <c r="AE5660">
        <v>-0.39306999999999398</v>
      </c>
      <c r="AF5660">
        <v>-0.57198260771743903</v>
      </c>
      <c r="AG5660">
        <v>-8.3625999999999895E-2</v>
      </c>
      <c r="AH5660">
        <v>0.67107418219988302</v>
      </c>
      <c r="AI5660">
        <v>95.417705678841699</v>
      </c>
      <c r="AJ5660">
        <v>130.44224490611501</v>
      </c>
      <c r="AK5660">
        <v>0.885718899777172</v>
      </c>
      <c r="AL5660">
        <v>83.769946665300395</v>
      </c>
      <c r="AM5660">
        <v>112.113982166413</v>
      </c>
      <c r="AN5660">
        <v>0.99999997720210398</v>
      </c>
    </row>
    <row r="5661" spans="1:40" x14ac:dyDescent="0.25">
      <c r="A5661" t="str">
        <f>"20190312164619237"</f>
        <v>20190312164619237</v>
      </c>
      <c r="B5661" t="str">
        <f>"1552380379226864"</f>
        <v>1552380379226864</v>
      </c>
      <c r="C5661" t="s">
        <v>40</v>
      </c>
      <c r="D5661">
        <v>5.2530080000000003</v>
      </c>
      <c r="E5661">
        <v>0.42728509999999997</v>
      </c>
      <c r="F5661" t="s">
        <v>41</v>
      </c>
      <c r="G5661">
        <v>-297.94799999999998</v>
      </c>
      <c r="H5661">
        <v>1.034926</v>
      </c>
      <c r="I5661">
        <v>-53.276859999999999</v>
      </c>
      <c r="J5661">
        <v>-298.7045</v>
      </c>
      <c r="K5661">
        <v>1.1173740000000001</v>
      </c>
      <c r="L5661">
        <v>-52.955109999999998</v>
      </c>
      <c r="M5661">
        <v>0.41027669999999999</v>
      </c>
      <c r="N5661">
        <v>0</v>
      </c>
      <c r="O5661">
        <v>-0.91189129999999996</v>
      </c>
      <c r="P5661">
        <v>0.71684309999999996</v>
      </c>
      <c r="Q5661">
        <v>0.1038821</v>
      </c>
      <c r="R5661">
        <v>-0.68945219999999996</v>
      </c>
      <c r="S5661">
        <v>2.581696</v>
      </c>
      <c r="T5661">
        <v>-0.23788500000000001</v>
      </c>
      <c r="U5661">
        <v>-1.716431</v>
      </c>
      <c r="V5661">
        <v>-0.37322050000000001</v>
      </c>
      <c r="W5661">
        <v>0.10625370000000001</v>
      </c>
      <c r="X5661">
        <v>0.92163799999999996</v>
      </c>
      <c r="Y5661">
        <v>-0.52951319999999902</v>
      </c>
      <c r="Z5661">
        <v>7.8804399999999997E-2</v>
      </c>
      <c r="AA5661">
        <v>0.84463339999999998</v>
      </c>
      <c r="AB5661">
        <v>26</v>
      </c>
      <c r="AC5661">
        <v>0.75650000000001605</v>
      </c>
      <c r="AD5661">
        <v>-8.2447999999999799E-2</v>
      </c>
      <c r="AE5661">
        <v>-0.32175000000000098</v>
      </c>
      <c r="AF5661">
        <v>-0.55231925582326702</v>
      </c>
      <c r="AG5661">
        <v>-8.2447999999999799E-2</v>
      </c>
      <c r="AH5661">
        <v>0.59780081352668502</v>
      </c>
      <c r="AI5661">
        <v>95.784372764770893</v>
      </c>
      <c r="AJ5661">
        <v>132.73541540098401</v>
      </c>
      <c r="AK5661">
        <v>0.81805870554033899</v>
      </c>
      <c r="AL5661">
        <v>83.900597597086005</v>
      </c>
      <c r="AM5661">
        <v>112.04565679091399</v>
      </c>
      <c r="AN5661">
        <v>0.99999999671397</v>
      </c>
    </row>
    <row r="5662" spans="1:40" x14ac:dyDescent="0.25">
      <c r="A5662" t="str">
        <f>"20190312164619262"</f>
        <v>20190312164619262</v>
      </c>
      <c r="B5662" t="str">
        <f>"1552380379257120"</f>
        <v>1552380379257120</v>
      </c>
      <c r="C5662" t="s">
        <v>40</v>
      </c>
      <c r="D5662">
        <v>5.1984300000000001</v>
      </c>
      <c r="E5662">
        <v>0.42919960000000001</v>
      </c>
      <c r="F5662" t="s">
        <v>41</v>
      </c>
      <c r="G5662">
        <v>-297.87470000000002</v>
      </c>
      <c r="H5662">
        <v>1.0405770000000001</v>
      </c>
      <c r="I5662">
        <v>-53.493560000000002</v>
      </c>
      <c r="J5662">
        <v>-298.57929999999999</v>
      </c>
      <c r="K5662">
        <v>1.1175409999999999</v>
      </c>
      <c r="L5662">
        <v>-53.196289999999998</v>
      </c>
      <c r="M5662">
        <v>0.42315799999999998</v>
      </c>
      <c r="N5662">
        <v>0</v>
      </c>
      <c r="O5662">
        <v>-0.90598520000000005</v>
      </c>
      <c r="P5662">
        <v>0.725607</v>
      </c>
      <c r="Q5662">
        <v>0.1014664</v>
      </c>
      <c r="R5662">
        <v>-0.68058750000000001</v>
      </c>
      <c r="S5662">
        <v>2.5979610000000002</v>
      </c>
      <c r="T5662">
        <v>-0.24048510000000001</v>
      </c>
      <c r="U5662">
        <v>-1.68634</v>
      </c>
      <c r="V5662">
        <v>-0.3717934</v>
      </c>
      <c r="W5662">
        <v>0.1037637</v>
      </c>
      <c r="X5662">
        <v>0.92249820000000005</v>
      </c>
      <c r="Y5662">
        <v>-0.52673749999999997</v>
      </c>
      <c r="Z5662">
        <v>7.9508679999999998E-2</v>
      </c>
      <c r="AA5662">
        <v>0.84630139999999998</v>
      </c>
      <c r="AB5662">
        <v>26</v>
      </c>
      <c r="AC5662">
        <v>0.70459999999997003</v>
      </c>
      <c r="AD5662">
        <v>-7.6963999999999796E-2</v>
      </c>
      <c r="AE5662">
        <v>-0.29726999999998999</v>
      </c>
      <c r="AF5662">
        <v>-0.50745804329367095</v>
      </c>
      <c r="AG5662">
        <v>-7.6963999999999796E-2</v>
      </c>
      <c r="AH5662">
        <v>0.56182525714478304</v>
      </c>
      <c r="AI5662">
        <v>95.804734953222805</v>
      </c>
      <c r="AJ5662">
        <v>132.08932910766401</v>
      </c>
      <c r="AK5662">
        <v>0.76097617739666701</v>
      </c>
      <c r="AL5662">
        <v>84.044057790043794</v>
      </c>
      <c r="AM5662">
        <v>111.95085739055401</v>
      </c>
      <c r="AN5662">
        <v>1.00000008336224</v>
      </c>
    </row>
    <row r="5663" spans="1:40" x14ac:dyDescent="0.25">
      <c r="A5663" t="str">
        <f>"20190312164619283"</f>
        <v>20190312164619283</v>
      </c>
      <c r="B5663" t="str">
        <f>"1552380379276641"</f>
        <v>1552380379276641</v>
      </c>
      <c r="C5663" t="s">
        <v>40</v>
      </c>
      <c r="D5663">
        <v>5.191567</v>
      </c>
      <c r="E5663">
        <v>0.43030249999999998</v>
      </c>
      <c r="F5663" t="s">
        <v>41</v>
      </c>
      <c r="G5663">
        <v>-297.78769999999997</v>
      </c>
      <c r="H5663">
        <v>1.0428869999999999</v>
      </c>
      <c r="I5663">
        <v>-53.701619999999998</v>
      </c>
      <c r="J5663">
        <v>-298.46409999999997</v>
      </c>
      <c r="K5663">
        <v>1.117686</v>
      </c>
      <c r="L5663">
        <v>-53.410679999999999</v>
      </c>
      <c r="M5663">
        <v>0.43482700000000002</v>
      </c>
      <c r="N5663">
        <v>0</v>
      </c>
      <c r="O5663">
        <v>-0.90044210000000002</v>
      </c>
      <c r="P5663">
        <v>0.73340749999999999</v>
      </c>
      <c r="Q5663">
        <v>9.9051059999999996E-2</v>
      </c>
      <c r="R5663">
        <v>-0.67253459999999998</v>
      </c>
      <c r="S5663">
        <v>2.6077270000000001</v>
      </c>
      <c r="T5663">
        <v>-0.24590190000000001</v>
      </c>
      <c r="U5663">
        <v>-1.664398</v>
      </c>
      <c r="V5663">
        <v>-0.37034129999999998</v>
      </c>
      <c r="W5663">
        <v>0.10129630000000001</v>
      </c>
      <c r="X5663">
        <v>0.92335610000000001</v>
      </c>
      <c r="Y5663">
        <v>-0.52212820000000004</v>
      </c>
      <c r="Z5663">
        <v>8.1111100000000005E-2</v>
      </c>
      <c r="AA5663">
        <v>0.84900119999999901</v>
      </c>
      <c r="AB5663">
        <v>26</v>
      </c>
      <c r="AC5663">
        <v>0.676400000000001</v>
      </c>
      <c r="AD5663">
        <v>-7.4798999999999796E-2</v>
      </c>
      <c r="AE5663">
        <v>-0.29093999999999198</v>
      </c>
      <c r="AF5663">
        <v>-0.47765254862964301</v>
      </c>
      <c r="AG5663">
        <v>-7.4798999999999796E-2</v>
      </c>
      <c r="AH5663">
        <v>0.55044723933469697</v>
      </c>
      <c r="AI5663">
        <v>95.859954551493402</v>
      </c>
      <c r="AJ5663">
        <v>130.94992671588901</v>
      </c>
      <c r="AK5663">
        <v>0.73262474084935403</v>
      </c>
      <c r="AL5663">
        <v>84.186178233691706</v>
      </c>
      <c r="AM5663">
        <v>111.854821376156</v>
      </c>
      <c r="AN5663">
        <v>1.00000005314329</v>
      </c>
    </row>
    <row r="5664" spans="1:40" x14ac:dyDescent="0.25">
      <c r="A5664" t="str">
        <f>"20190312164619302"</f>
        <v>20190312164619302</v>
      </c>
      <c r="B5664" t="str">
        <f>"1552380379297137"</f>
        <v>1552380379297137</v>
      </c>
      <c r="C5664" t="s">
        <v>40</v>
      </c>
      <c r="D5664">
        <v>5.371651</v>
      </c>
      <c r="E5664">
        <v>0.4313727</v>
      </c>
      <c r="F5664" t="s">
        <v>41</v>
      </c>
      <c r="G5664">
        <v>-297.68439999999998</v>
      </c>
      <c r="H5664">
        <v>1.0417000000000001</v>
      </c>
      <c r="I5664">
        <v>-53.898449999999997</v>
      </c>
      <c r="J5664">
        <v>-298.35849999999999</v>
      </c>
      <c r="K5664">
        <v>1.1178140000000001</v>
      </c>
      <c r="L5664">
        <v>-53.601140000000001</v>
      </c>
      <c r="M5664">
        <v>0.44537670000000001</v>
      </c>
      <c r="N5664">
        <v>0</v>
      </c>
      <c r="O5664">
        <v>-0.89527029999999996</v>
      </c>
      <c r="P5664">
        <v>0.74063269999999903</v>
      </c>
      <c r="Q5664">
        <v>9.7689979999999996E-2</v>
      </c>
      <c r="R5664">
        <v>-0.66477069999999905</v>
      </c>
      <c r="S5664">
        <v>2.6210330000000002</v>
      </c>
      <c r="T5664">
        <v>-0.25548979999999999</v>
      </c>
      <c r="U5664">
        <v>-1.6401060000000001</v>
      </c>
      <c r="V5664">
        <v>-0.36938460000000001</v>
      </c>
      <c r="W5664">
        <v>9.9881070000000002E-2</v>
      </c>
      <c r="X5664">
        <v>0.92389330000000003</v>
      </c>
      <c r="Y5664">
        <v>-0.51947659999999996</v>
      </c>
      <c r="Z5664">
        <v>8.4062620000000005E-2</v>
      </c>
      <c r="AA5664">
        <v>0.85033969999999903</v>
      </c>
      <c r="AB5664">
        <v>26</v>
      </c>
      <c r="AC5664">
        <v>0.67410000000000903</v>
      </c>
      <c r="AD5664">
        <v>-7.6113999999999696E-2</v>
      </c>
      <c r="AE5664">
        <v>-0.29730999999999602</v>
      </c>
      <c r="AF5664">
        <v>-0.46614241522531102</v>
      </c>
      <c r="AG5664">
        <v>-7.6113999999999696E-2</v>
      </c>
      <c r="AH5664">
        <v>0.56045651449729605</v>
      </c>
      <c r="AI5664">
        <v>95.960812688015295</v>
      </c>
      <c r="AJ5664">
        <v>129.75094586817301</v>
      </c>
      <c r="AK5664">
        <v>0.73293491996939497</v>
      </c>
      <c r="AL5664">
        <v>84.267678114176306</v>
      </c>
      <c r="AM5664">
        <v>111.79217498501001</v>
      </c>
      <c r="AN5664">
        <v>1.00000002032319</v>
      </c>
    </row>
    <row r="5665" spans="1:40" x14ac:dyDescent="0.25">
      <c r="A5665" t="str">
        <f>"20190312164619322"</f>
        <v>20190312164619322</v>
      </c>
      <c r="B5665" t="str">
        <f>"1552380379316657"</f>
        <v>1552380379316657</v>
      </c>
      <c r="C5665" t="s">
        <v>40</v>
      </c>
      <c r="D5665">
        <v>5.1681470000000003</v>
      </c>
      <c r="E5665">
        <v>0.43227260000000001</v>
      </c>
      <c r="F5665" t="s">
        <v>41</v>
      </c>
      <c r="G5665">
        <v>-297.56889999999999</v>
      </c>
      <c r="H5665">
        <v>1.0398160000000001</v>
      </c>
      <c r="I5665">
        <v>-54.086359999999999</v>
      </c>
      <c r="J5665">
        <v>-298.24740000000003</v>
      </c>
      <c r="K5665">
        <v>1.1179509999999999</v>
      </c>
      <c r="L5665">
        <v>-53.795560000000002</v>
      </c>
      <c r="M5665">
        <v>0.45630759999999998</v>
      </c>
      <c r="N5665">
        <v>0</v>
      </c>
      <c r="O5665">
        <v>-0.88974819999999999</v>
      </c>
      <c r="P5665">
        <v>0.74793019999999999</v>
      </c>
      <c r="Q5665">
        <v>9.686641E-2</v>
      </c>
      <c r="R5665">
        <v>-0.65667159999999902</v>
      </c>
      <c r="S5665">
        <v>2.6327820000000002</v>
      </c>
      <c r="T5665">
        <v>-0.26006420000000002</v>
      </c>
      <c r="U5665">
        <v>-1.617828</v>
      </c>
      <c r="V5665">
        <v>-0.36823470000000003</v>
      </c>
      <c r="W5665">
        <v>9.9005200000000002E-2</v>
      </c>
      <c r="X5665">
        <v>0.9244464</v>
      </c>
      <c r="Y5665">
        <v>-0.51582720000000004</v>
      </c>
      <c r="Z5665">
        <v>8.5315039999999995E-2</v>
      </c>
      <c r="AA5665">
        <v>0.85243400000000003</v>
      </c>
      <c r="AB5665">
        <v>26</v>
      </c>
      <c r="AC5665">
        <v>0.67850000000004196</v>
      </c>
      <c r="AD5665">
        <v>-7.8134999999999802E-2</v>
      </c>
      <c r="AE5665">
        <v>-0.290800000000004</v>
      </c>
      <c r="AF5665">
        <v>-0.46581216056661701</v>
      </c>
      <c r="AG5665">
        <v>-7.8134999999999802E-2</v>
      </c>
      <c r="AH5665">
        <v>0.56208356689664796</v>
      </c>
      <c r="AI5665">
        <v>96.109243649308993</v>
      </c>
      <c r="AJ5665">
        <v>129.649358940681</v>
      </c>
      <c r="AK5665">
        <v>0.73418252725871802</v>
      </c>
      <c r="AL5665">
        <v>84.318111556068501</v>
      </c>
      <c r="AM5665">
        <v>111.718874003992</v>
      </c>
      <c r="AN5665">
        <v>0.99999998519204403</v>
      </c>
    </row>
    <row r="5666" spans="1:40" x14ac:dyDescent="0.25">
      <c r="A5666" t="str">
        <f>"20190312164619345"</f>
        <v>20190312164619345</v>
      </c>
      <c r="B5666" t="str">
        <f>"1552380379337153"</f>
        <v>1552380379337153</v>
      </c>
      <c r="C5666" t="s">
        <v>40</v>
      </c>
      <c r="D5666">
        <v>5.906193</v>
      </c>
      <c r="E5666">
        <v>0.43325580000000002</v>
      </c>
      <c r="F5666" t="s">
        <v>41</v>
      </c>
      <c r="G5666">
        <v>-297.45299999999997</v>
      </c>
      <c r="H5666">
        <v>1.038683</v>
      </c>
      <c r="I5666">
        <v>-54.27449</v>
      </c>
      <c r="J5666">
        <v>-298.1139</v>
      </c>
      <c r="K5666">
        <v>1.1181160000000001</v>
      </c>
      <c r="L5666">
        <v>-54.022190000000002</v>
      </c>
      <c r="M5666">
        <v>0.46923870000000001</v>
      </c>
      <c r="N5666">
        <v>0</v>
      </c>
      <c r="O5666">
        <v>-0.88299620000000001</v>
      </c>
      <c r="P5666">
        <v>0.75650600000000001</v>
      </c>
      <c r="Q5666">
        <v>9.7265879999999999E-2</v>
      </c>
      <c r="R5666">
        <v>-0.64671369999999995</v>
      </c>
      <c r="S5666">
        <v>2.6452640000000001</v>
      </c>
      <c r="T5666">
        <v>-0.2639396</v>
      </c>
      <c r="U5666">
        <v>-1.5945739999999999</v>
      </c>
      <c r="V5666">
        <v>-0.36699039999999999</v>
      </c>
      <c r="W5666">
        <v>9.9339220000000006E-2</v>
      </c>
      <c r="X5666">
        <v>0.92490519999999998</v>
      </c>
      <c r="Y5666">
        <v>-0.5105248</v>
      </c>
      <c r="Z5666">
        <v>8.6218970000000006E-2</v>
      </c>
      <c r="AA5666">
        <v>0.85552950000000005</v>
      </c>
      <c r="AB5666">
        <v>26</v>
      </c>
      <c r="AC5666">
        <v>0.66090000000002602</v>
      </c>
      <c r="AD5666">
        <v>-7.9432999999999795E-2</v>
      </c>
      <c r="AE5666">
        <v>-0.25229999999999803</v>
      </c>
      <c r="AF5666">
        <v>-0.45942175337381502</v>
      </c>
      <c r="AG5666">
        <v>-7.9432999999999795E-2</v>
      </c>
      <c r="AH5666">
        <v>0.52629958611550798</v>
      </c>
      <c r="AI5666">
        <v>96.486733549338595</v>
      </c>
      <c r="AJ5666">
        <v>131.11862490801701</v>
      </c>
      <c r="AK5666">
        <v>0.70311393337596895</v>
      </c>
      <c r="AL5666">
        <v>84.298878501219804</v>
      </c>
      <c r="AM5666">
        <v>111.6425366025</v>
      </c>
      <c r="AN5666">
        <v>0.99999993165470102</v>
      </c>
    </row>
    <row r="5667" spans="1:40" x14ac:dyDescent="0.25">
      <c r="A5667" t="str">
        <f>"20190312164619366"</f>
        <v>20190312164619366</v>
      </c>
      <c r="B5667" t="str">
        <f>"1552380379356673"</f>
        <v>1552380379356673</v>
      </c>
      <c r="C5667" t="s">
        <v>40</v>
      </c>
      <c r="D5667">
        <v>5.1445309999999997</v>
      </c>
      <c r="E5667">
        <v>0.43419839999999998</v>
      </c>
      <c r="F5667" t="s">
        <v>41</v>
      </c>
      <c r="G5667">
        <v>-297.34800000000001</v>
      </c>
      <c r="H5667">
        <v>1.043194</v>
      </c>
      <c r="I5667">
        <v>-54.47251</v>
      </c>
      <c r="J5667">
        <v>-297.9914</v>
      </c>
      <c r="K5667">
        <v>1.118263</v>
      </c>
      <c r="L5667">
        <v>-54.223109999999998</v>
      </c>
      <c r="M5667">
        <v>0.48088609999999998</v>
      </c>
      <c r="N5667">
        <v>0</v>
      </c>
      <c r="O5667">
        <v>-0.87670650000000006</v>
      </c>
      <c r="P5667">
        <v>0.76401030000000003</v>
      </c>
      <c r="Q5667">
        <v>9.7597749999999997E-2</v>
      </c>
      <c r="R5667">
        <v>-0.63777980000000001</v>
      </c>
      <c r="S5667">
        <v>2.6616209999999998</v>
      </c>
      <c r="T5667">
        <v>-0.2603183</v>
      </c>
      <c r="U5667">
        <v>-1.564514</v>
      </c>
      <c r="V5667">
        <v>-0.36562169999999999</v>
      </c>
      <c r="W5667">
        <v>9.9622000000000002E-2</v>
      </c>
      <c r="X5667">
        <v>0.92541680000000004</v>
      </c>
      <c r="Y5667">
        <v>-0.50873880000000005</v>
      </c>
      <c r="Z5667">
        <v>8.4775959999999997E-2</v>
      </c>
      <c r="AA5667">
        <v>0.85673679999999997</v>
      </c>
      <c r="AB5667">
        <v>26</v>
      </c>
      <c r="AC5667">
        <v>0.64339999999998498</v>
      </c>
      <c r="AD5667">
        <v>-7.5068999999999997E-2</v>
      </c>
      <c r="AE5667">
        <v>-0.24940000000000101</v>
      </c>
      <c r="AF5667">
        <v>-0.438974567170973</v>
      </c>
      <c r="AG5667">
        <v>-7.5068999999999997E-2</v>
      </c>
      <c r="AH5667">
        <v>0.521911400823583</v>
      </c>
      <c r="AI5667">
        <v>96.281592347205205</v>
      </c>
      <c r="AJ5667">
        <v>130.066862592207</v>
      </c>
      <c r="AK5667">
        <v>0.68609440727466797</v>
      </c>
      <c r="AL5667">
        <v>84.282596089570603</v>
      </c>
      <c r="AM5667">
        <v>111.55841490701199</v>
      </c>
      <c r="AN5667">
        <v>1.0000000120585599</v>
      </c>
    </row>
    <row r="5668" spans="1:40" x14ac:dyDescent="0.25">
      <c r="A5668" t="str">
        <f>"20190312164619387"</f>
        <v>20190312164619387</v>
      </c>
      <c r="B5668" t="str">
        <f>"1552380379377169"</f>
        <v>1552380379377169</v>
      </c>
      <c r="C5668" t="s">
        <v>40</v>
      </c>
      <c r="D5668">
        <v>5.3131769999999996</v>
      </c>
      <c r="E5668">
        <v>0.43511840000000002</v>
      </c>
      <c r="F5668" t="s">
        <v>41</v>
      </c>
      <c r="G5668">
        <v>-297.23009999999999</v>
      </c>
      <c r="H5668">
        <v>1.0456559999999999</v>
      </c>
      <c r="I5668">
        <v>-54.660730000000001</v>
      </c>
      <c r="J5668">
        <v>-297.86149999999998</v>
      </c>
      <c r="K5668">
        <v>1.118411</v>
      </c>
      <c r="L5668">
        <v>-54.429720000000003</v>
      </c>
      <c r="M5668">
        <v>0.4930329</v>
      </c>
      <c r="N5668">
        <v>0</v>
      </c>
      <c r="O5668">
        <v>-0.86993310000000001</v>
      </c>
      <c r="P5668">
        <v>0.77181369999999905</v>
      </c>
      <c r="Q5668">
        <v>9.9005830000000003E-2</v>
      </c>
      <c r="R5668">
        <v>-0.62809409999999999</v>
      </c>
      <c r="S5668">
        <v>2.6757810000000002</v>
      </c>
      <c r="T5668">
        <v>-0.25514049999999999</v>
      </c>
      <c r="U5668">
        <v>-1.5374760000000001</v>
      </c>
      <c r="V5668">
        <v>-0.3643362</v>
      </c>
      <c r="W5668">
        <v>0.1009784</v>
      </c>
      <c r="X5668">
        <v>0.92577670000000001</v>
      </c>
      <c r="Y5668">
        <v>-0.50539079999999903</v>
      </c>
      <c r="Z5668">
        <v>8.2767359999999998E-2</v>
      </c>
      <c r="AA5668">
        <v>0.85891189999999995</v>
      </c>
      <c r="AB5668">
        <v>26</v>
      </c>
      <c r="AC5668">
        <v>0.63139999999998497</v>
      </c>
      <c r="AD5668">
        <v>-7.2755000000000097E-2</v>
      </c>
      <c r="AE5668">
        <v>-0.23101000000001101</v>
      </c>
      <c r="AF5668">
        <v>-0.430369979103152</v>
      </c>
      <c r="AG5668">
        <v>-7.2755000000000097E-2</v>
      </c>
      <c r="AH5668">
        <v>0.50636920619348602</v>
      </c>
      <c r="AI5668">
        <v>96.247855090681995</v>
      </c>
      <c r="AJ5668">
        <v>130.361656216559</v>
      </c>
      <c r="AK5668">
        <v>0.66852178866456402</v>
      </c>
      <c r="AL5668">
        <v>84.204486134150201</v>
      </c>
      <c r="AM5668">
        <v>111.481945772061</v>
      </c>
      <c r="AN5668">
        <v>1.0000000010799399</v>
      </c>
    </row>
    <row r="5669" spans="1:40" x14ac:dyDescent="0.25">
      <c r="A5669" t="str">
        <f>"20190312164619410"</f>
        <v>20190312164619410</v>
      </c>
      <c r="B5669" t="str">
        <f>"1552380379407425"</f>
        <v>1552380379407425</v>
      </c>
      <c r="C5669" t="s">
        <v>40</v>
      </c>
      <c r="D5669">
        <v>5.1483819999999998</v>
      </c>
      <c r="E5669">
        <v>0.4362105</v>
      </c>
      <c r="F5669" t="s">
        <v>41</v>
      </c>
      <c r="G5669">
        <v>-297.11259999999999</v>
      </c>
      <c r="H5669">
        <v>1.0492490000000001</v>
      </c>
      <c r="I5669">
        <v>-54.850180000000002</v>
      </c>
      <c r="J5669">
        <v>-297.72449999999998</v>
      </c>
      <c r="K5669">
        <v>1.1185659999999999</v>
      </c>
      <c r="L5669">
        <v>-54.640259999999998</v>
      </c>
      <c r="M5669">
        <v>0.50560300000000002</v>
      </c>
      <c r="N5669">
        <v>0</v>
      </c>
      <c r="O5669">
        <v>-0.86268699999999998</v>
      </c>
      <c r="P5669">
        <v>0.77981549999999999</v>
      </c>
      <c r="Q5669">
        <v>0.1003254</v>
      </c>
      <c r="R5669">
        <v>-0.61791779999999996</v>
      </c>
      <c r="S5669">
        <v>2.690369</v>
      </c>
      <c r="T5669">
        <v>-0.2483832</v>
      </c>
      <c r="U5669">
        <v>-1.5095209999999999</v>
      </c>
      <c r="V5669">
        <v>-0.36296800000000001</v>
      </c>
      <c r="W5669">
        <v>0.1022516</v>
      </c>
      <c r="X5669">
        <v>0.92617430000000001</v>
      </c>
      <c r="Y5669">
        <v>-0.50184419999999996</v>
      </c>
      <c r="Z5669">
        <v>8.0219940000000003E-2</v>
      </c>
      <c r="AA5669">
        <v>0.86122999999999905</v>
      </c>
      <c r="AB5669">
        <v>26</v>
      </c>
      <c r="AC5669">
        <v>0.61189999999999101</v>
      </c>
      <c r="AD5669">
        <v>-6.9317000000000004E-2</v>
      </c>
      <c r="AE5669">
        <v>-0.20992000000000299</v>
      </c>
      <c r="AF5669">
        <v>-0.41698326260857999</v>
      </c>
      <c r="AG5669">
        <v>-6.9317000000000004E-2</v>
      </c>
      <c r="AH5669">
        <v>0.48493946441303099</v>
      </c>
      <c r="AI5669">
        <v>96.185672125382396</v>
      </c>
      <c r="AJ5669">
        <v>130.69113802359999</v>
      </c>
      <c r="AK5669">
        <v>0.64330876873387499</v>
      </c>
      <c r="AL5669">
        <v>84.131157551470807</v>
      </c>
      <c r="AM5669">
        <v>111.40022849295799</v>
      </c>
      <c r="AN5669">
        <v>0.99999999635352499</v>
      </c>
    </row>
    <row r="5670" spans="1:40" x14ac:dyDescent="0.25">
      <c r="A5670" t="str">
        <f>"20190312164619433"</f>
        <v>20190312164619433</v>
      </c>
      <c r="B5670" t="str">
        <f>"1552380379426944"</f>
        <v>1552380379426944</v>
      </c>
      <c r="C5670" t="s">
        <v>40</v>
      </c>
      <c r="D5670">
        <v>5.3163819999999999</v>
      </c>
      <c r="E5670">
        <v>0.43704569999999998</v>
      </c>
      <c r="F5670" t="s">
        <v>41</v>
      </c>
      <c r="G5670">
        <v>-296.79149999999998</v>
      </c>
      <c r="H5670">
        <v>1.0344789999999999</v>
      </c>
      <c r="I5670">
        <v>-55.15155</v>
      </c>
      <c r="J5670">
        <v>-297.5779</v>
      </c>
      <c r="K5670">
        <v>1.1187260000000001</v>
      </c>
      <c r="L5670">
        <v>-54.857759999999999</v>
      </c>
      <c r="M5670">
        <v>0.51879649999999999</v>
      </c>
      <c r="N5670">
        <v>0</v>
      </c>
      <c r="O5670">
        <v>-0.85481749999999901</v>
      </c>
      <c r="P5670">
        <v>0.78831180000000001</v>
      </c>
      <c r="Q5670">
        <v>0.1007402</v>
      </c>
      <c r="R5670">
        <v>-0.60697319999999999</v>
      </c>
      <c r="S5670">
        <v>2.7046199999999998</v>
      </c>
      <c r="T5670">
        <v>-0.2436894</v>
      </c>
      <c r="U5670">
        <v>-1.481384</v>
      </c>
      <c r="V5670">
        <v>-0.36166949999999998</v>
      </c>
      <c r="W5670">
        <v>0.10262209999999999</v>
      </c>
      <c r="X5670">
        <v>0.92664120000000005</v>
      </c>
      <c r="Y5670">
        <v>-0.49750339999999998</v>
      </c>
      <c r="Z5670">
        <v>7.8292790000000001E-2</v>
      </c>
      <c r="AA5670">
        <v>0.86392159999999996</v>
      </c>
      <c r="AB5670">
        <v>26</v>
      </c>
      <c r="AC5670">
        <v>0.78640000000001398</v>
      </c>
      <c r="AD5670">
        <v>-8.4246999999999905E-2</v>
      </c>
      <c r="AE5670">
        <v>-0.29379000000000099</v>
      </c>
      <c r="AF5670">
        <v>-0.51466364587418101</v>
      </c>
      <c r="AG5670">
        <v>-8.4246999999999905E-2</v>
      </c>
      <c r="AH5670">
        <v>0.65259125093801096</v>
      </c>
      <c r="AI5670">
        <v>95.788079406675195</v>
      </c>
      <c r="AJ5670">
        <v>128.26094603130801</v>
      </c>
      <c r="AK5670">
        <v>0.83537510508414303</v>
      </c>
      <c r="AL5670">
        <v>84.109817332735901</v>
      </c>
      <c r="AM5670">
        <v>111.32077883116899</v>
      </c>
      <c r="AN5670">
        <v>1.0000000180880499</v>
      </c>
    </row>
    <row r="5671" spans="1:40" x14ac:dyDescent="0.25">
      <c r="A5671" t="str">
        <f>"20190312164619461"</f>
        <v>20190312164619461</v>
      </c>
      <c r="B5671" t="str">
        <f>"1552380379457201"</f>
        <v>1552380379457201</v>
      </c>
      <c r="C5671" t="s">
        <v>40</v>
      </c>
      <c r="D5671">
        <v>5.2434149999999997</v>
      </c>
      <c r="E5671">
        <v>0.43845459999999897</v>
      </c>
      <c r="F5671" t="s">
        <v>41</v>
      </c>
      <c r="G5671">
        <v>-296.67149999999998</v>
      </c>
      <c r="H5671">
        <v>1.037539</v>
      </c>
      <c r="I5671">
        <v>-55.340049999999998</v>
      </c>
      <c r="J5671">
        <v>-297.404</v>
      </c>
      <c r="K5671">
        <v>1.118881</v>
      </c>
      <c r="L5671">
        <v>-55.106569999999998</v>
      </c>
      <c r="M5671">
        <v>0.53408999999999995</v>
      </c>
      <c r="N5671">
        <v>0</v>
      </c>
      <c r="O5671">
        <v>-0.84534540000000002</v>
      </c>
      <c r="P5671">
        <v>0.79852419999999902</v>
      </c>
      <c r="Q5671">
        <v>0.1012496</v>
      </c>
      <c r="R5671">
        <v>-0.59338679999999999</v>
      </c>
      <c r="S5671">
        <v>2.7215579999999999</v>
      </c>
      <c r="T5671">
        <v>-0.24379310000000001</v>
      </c>
      <c r="U5671">
        <v>-1.448334</v>
      </c>
      <c r="V5671">
        <v>-0.36086380000000001</v>
      </c>
      <c r="W5671">
        <v>0.1030727</v>
      </c>
      <c r="X5671">
        <v>0.92690530000000004</v>
      </c>
      <c r="Y5671">
        <v>-0.49233209999999999</v>
      </c>
      <c r="Z5671">
        <v>7.7788399999999994E-2</v>
      </c>
      <c r="AA5671">
        <v>0.86692449999999999</v>
      </c>
      <c r="AB5671">
        <v>26</v>
      </c>
      <c r="AC5671">
        <v>0.73250000000001503</v>
      </c>
      <c r="AD5671">
        <v>-8.1341999999999998E-2</v>
      </c>
      <c r="AE5671">
        <v>-0.23347999999999999</v>
      </c>
      <c r="AF5671">
        <v>-0.489075760500296</v>
      </c>
      <c r="AG5671">
        <v>-8.1341999999999998E-2</v>
      </c>
      <c r="AH5671">
        <v>0.582116781611831</v>
      </c>
      <c r="AI5671">
        <v>96.106664179908805</v>
      </c>
      <c r="AJ5671">
        <v>130.03589478818401</v>
      </c>
      <c r="AK5671">
        <v>0.76463819411997702</v>
      </c>
      <c r="AL5671">
        <v>84.083862404469301</v>
      </c>
      <c r="AM5671">
        <v>111.27201355917001</v>
      </c>
      <c r="AN5671">
        <v>1.0000000494018999</v>
      </c>
    </row>
    <row r="5672" spans="1:40" x14ac:dyDescent="0.25">
      <c r="A5672" t="str">
        <f>"20190312164619482"</f>
        <v>20190312164619482</v>
      </c>
      <c r="B5672" t="str">
        <f>"1552380379476720"</f>
        <v>1552380379476720</v>
      </c>
      <c r="C5672" t="s">
        <v>40</v>
      </c>
      <c r="D5672">
        <v>5.2648279999999996</v>
      </c>
      <c r="E5672">
        <v>0.43934220000000002</v>
      </c>
      <c r="F5672" t="s">
        <v>41</v>
      </c>
      <c r="G5672">
        <v>-296.56200000000001</v>
      </c>
      <c r="H5672">
        <v>1.0427869999999999</v>
      </c>
      <c r="I5672">
        <v>-55.540239999999997</v>
      </c>
      <c r="J5672">
        <v>-297.2611</v>
      </c>
      <c r="K5672">
        <v>1.1189979999999999</v>
      </c>
      <c r="L5672">
        <v>-55.304049999999997</v>
      </c>
      <c r="M5672">
        <v>0.54638160000000002</v>
      </c>
      <c r="N5672">
        <v>0</v>
      </c>
      <c r="O5672">
        <v>-0.83745249999999904</v>
      </c>
      <c r="P5672">
        <v>0.80659689999999995</v>
      </c>
      <c r="Q5672">
        <v>0.10106710000000001</v>
      </c>
      <c r="R5672">
        <v>-0.58239719999999995</v>
      </c>
      <c r="S5672">
        <v>2.7401119999999999</v>
      </c>
      <c r="T5672">
        <v>-0.24757789999999999</v>
      </c>
      <c r="U5672">
        <v>-1.410614</v>
      </c>
      <c r="V5672">
        <v>-0.36005949999999998</v>
      </c>
      <c r="W5672">
        <v>0.1028531</v>
      </c>
      <c r="X5672">
        <v>0.92724229999999996</v>
      </c>
      <c r="Y5672">
        <v>-0.49136980000000002</v>
      </c>
      <c r="Z5672">
        <v>7.8620259999999997E-2</v>
      </c>
      <c r="AA5672">
        <v>0.86739529999999998</v>
      </c>
      <c r="AB5672">
        <v>26</v>
      </c>
      <c r="AC5672">
        <v>0.69909999999998695</v>
      </c>
      <c r="AD5672">
        <v>-7.6210999999999807E-2</v>
      </c>
      <c r="AE5672">
        <v>-0.23619000000000701</v>
      </c>
      <c r="AF5672">
        <v>-0.45162800200915398</v>
      </c>
      <c r="AG5672">
        <v>-7.6210999999999807E-2</v>
      </c>
      <c r="AH5672">
        <v>0.57369476803568797</v>
      </c>
      <c r="AI5672">
        <v>95.958936403875398</v>
      </c>
      <c r="AJ5672">
        <v>128.21077574094801</v>
      </c>
      <c r="AK5672">
        <v>0.73409921372475395</v>
      </c>
      <c r="AL5672">
        <v>84.096511157507905</v>
      </c>
      <c r="AM5672">
        <v>111.221798831947</v>
      </c>
      <c r="AN5672">
        <v>0.99999994331457298</v>
      </c>
    </row>
    <row r="5673" spans="1:40" x14ac:dyDescent="0.25">
      <c r="A5673" t="str">
        <f>"20190312164619500"</f>
        <v>20190312164619500</v>
      </c>
      <c r="B5673" t="str">
        <f>"1552380379497217"</f>
        <v>1552380379497217</v>
      </c>
      <c r="C5673" t="s">
        <v>40</v>
      </c>
      <c r="D5673">
        <v>5.2938029999999996</v>
      </c>
      <c r="E5673">
        <v>0.44013029999999997</v>
      </c>
      <c r="F5673" t="s">
        <v>41</v>
      </c>
      <c r="G5673">
        <v>-296.43009999999998</v>
      </c>
      <c r="H5673">
        <v>1.0437879999999999</v>
      </c>
      <c r="I5673">
        <v>-55.719859999999997</v>
      </c>
      <c r="J5673">
        <v>-297.13400000000001</v>
      </c>
      <c r="K5673">
        <v>1.1190910000000001</v>
      </c>
      <c r="L5673">
        <v>-55.474490000000003</v>
      </c>
      <c r="M5673">
        <v>0.55711499999999903</v>
      </c>
      <c r="N5673">
        <v>0</v>
      </c>
      <c r="O5673">
        <v>-0.83035040000000004</v>
      </c>
      <c r="P5673">
        <v>0.81363019999999997</v>
      </c>
      <c r="Q5673">
        <v>9.9985320000000003E-2</v>
      </c>
      <c r="R5673">
        <v>-0.57272080000000003</v>
      </c>
      <c r="S5673">
        <v>2.755188</v>
      </c>
      <c r="T5673">
        <v>-0.2493552</v>
      </c>
      <c r="U5673">
        <v>-1.3785400000000001</v>
      </c>
      <c r="V5673">
        <v>-0.35931049999999998</v>
      </c>
      <c r="W5673">
        <v>0.1017412</v>
      </c>
      <c r="X5673">
        <v>0.92765549999999997</v>
      </c>
      <c r="Y5673">
        <v>-0.49011359999999898</v>
      </c>
      <c r="Z5673">
        <v>7.8830849999999994E-2</v>
      </c>
      <c r="AA5673">
        <v>0.86808660000000004</v>
      </c>
      <c r="AB5673">
        <v>26</v>
      </c>
      <c r="AC5673">
        <v>0.70390000000003194</v>
      </c>
      <c r="AD5673">
        <v>-7.5303000000000106E-2</v>
      </c>
      <c r="AE5673">
        <v>-0.24536999999999401</v>
      </c>
      <c r="AF5673">
        <v>-0.44329228462454301</v>
      </c>
      <c r="AG5673">
        <v>-7.5303000000000106E-2</v>
      </c>
      <c r="AH5673">
        <v>0.589918451372208</v>
      </c>
      <c r="AI5673">
        <v>95.826804298157498</v>
      </c>
      <c r="AJ5673">
        <v>126.922910979843</v>
      </c>
      <c r="AK5673">
        <v>0.74174279281030497</v>
      </c>
      <c r="AL5673">
        <v>84.160554750959506</v>
      </c>
      <c r="AM5673">
        <v>111.172971397814</v>
      </c>
      <c r="AN5673">
        <v>1.00000001693396</v>
      </c>
    </row>
    <row r="5674" spans="1:40" x14ac:dyDescent="0.25">
      <c r="A5674" t="str">
        <f>"20190312164619522"</f>
        <v>20190312164619522</v>
      </c>
      <c r="B5674" t="str">
        <f>"1552380379516737"</f>
        <v>1552380379516737</v>
      </c>
      <c r="C5674" t="s">
        <v>40</v>
      </c>
      <c r="D5674">
        <v>5.219023</v>
      </c>
      <c r="E5674">
        <v>0.4402488</v>
      </c>
      <c r="F5674" t="s">
        <v>41</v>
      </c>
      <c r="G5674">
        <v>-296.28640000000001</v>
      </c>
      <c r="H5674">
        <v>1.041372</v>
      </c>
      <c r="I5674">
        <v>-55.888150000000003</v>
      </c>
      <c r="J5674">
        <v>-296.97969999999998</v>
      </c>
      <c r="K5674">
        <v>1.11921</v>
      </c>
      <c r="L5674">
        <v>-55.675289999999997</v>
      </c>
      <c r="M5674">
        <v>0.56990609999999997</v>
      </c>
      <c r="N5674">
        <v>0</v>
      </c>
      <c r="O5674">
        <v>-0.82162309999999905</v>
      </c>
      <c r="P5674">
        <v>0.82199040000000001</v>
      </c>
      <c r="Q5674">
        <v>9.9007789999999998E-2</v>
      </c>
      <c r="R5674">
        <v>-0.56082909999999997</v>
      </c>
      <c r="S5674">
        <v>2.7677309999999999</v>
      </c>
      <c r="T5674">
        <v>-0.25375629999999999</v>
      </c>
      <c r="U5674">
        <v>-1.3504640000000001</v>
      </c>
      <c r="V5674">
        <v>-0.35853780000000002</v>
      </c>
      <c r="W5674">
        <v>0.1007232</v>
      </c>
      <c r="X5674">
        <v>0.92806540000000004</v>
      </c>
      <c r="Y5674">
        <v>-0.48519479999999998</v>
      </c>
      <c r="Z5674">
        <v>7.9665429999999995E-2</v>
      </c>
      <c r="AA5674">
        <v>0.87076949999999997</v>
      </c>
      <c r="AB5674">
        <v>26</v>
      </c>
      <c r="AC5674">
        <v>0.69329999999996506</v>
      </c>
      <c r="AD5674">
        <v>-7.7838000000000004E-2</v>
      </c>
      <c r="AE5674">
        <v>-0.21285999999999899</v>
      </c>
      <c r="AF5674">
        <v>-0.44324722081299001</v>
      </c>
      <c r="AG5674">
        <v>-7.7838000000000004E-2</v>
      </c>
      <c r="AH5674">
        <v>0.56355555769768495</v>
      </c>
      <c r="AI5674">
        <v>96.195959828878898</v>
      </c>
      <c r="AJ5674">
        <v>128.185727293817</v>
      </c>
      <c r="AK5674">
        <v>0.72119464752200402</v>
      </c>
      <c r="AL5674">
        <v>84.219182662426704</v>
      </c>
      <c r="AM5674">
        <v>111.122950583736</v>
      </c>
      <c r="AN5674">
        <v>0.99999995186211799</v>
      </c>
    </row>
    <row r="5675" spans="1:40" x14ac:dyDescent="0.25">
      <c r="A5675" t="str">
        <f>"20190312164619546"</f>
        <v>20190312164619546</v>
      </c>
      <c r="B5675" t="str">
        <f>"1552380379537233"</f>
        <v>1552380379537233</v>
      </c>
      <c r="C5675" t="s">
        <v>40</v>
      </c>
      <c r="D5675">
        <v>5.220059</v>
      </c>
      <c r="E5675">
        <v>0.44041789999999997</v>
      </c>
      <c r="F5675" t="s">
        <v>41</v>
      </c>
      <c r="G5675">
        <v>-296.15039999999999</v>
      </c>
      <c r="H5675">
        <v>1.0423720000000001</v>
      </c>
      <c r="I5675">
        <v>-56.065249999999999</v>
      </c>
      <c r="J5675">
        <v>-296.81709999999998</v>
      </c>
      <c r="K5675">
        <v>1.119345</v>
      </c>
      <c r="L5675">
        <v>-55.880070000000003</v>
      </c>
      <c r="M5675">
        <v>0.58311459999999904</v>
      </c>
      <c r="N5675">
        <v>0</v>
      </c>
      <c r="O5675">
        <v>-0.8123013</v>
      </c>
      <c r="P5675">
        <v>0.82985529999999996</v>
      </c>
      <c r="Q5675">
        <v>9.8039100000000004E-2</v>
      </c>
      <c r="R5675">
        <v>-0.54929819999999996</v>
      </c>
      <c r="S5675">
        <v>2.786835</v>
      </c>
      <c r="T5675">
        <v>-0.2581985</v>
      </c>
      <c r="U5675">
        <v>-1.3102720000000001</v>
      </c>
      <c r="V5675">
        <v>-0.35659069999999998</v>
      </c>
      <c r="W5675">
        <v>9.9746329999999994E-2</v>
      </c>
      <c r="X5675">
        <v>0.92892070000000004</v>
      </c>
      <c r="Y5675">
        <v>-0.48356349999999998</v>
      </c>
      <c r="Z5675">
        <v>8.0517080000000005E-2</v>
      </c>
      <c r="AA5675">
        <v>0.87159809999999904</v>
      </c>
      <c r="AB5675">
        <v>26</v>
      </c>
      <c r="AC5675">
        <v>0.66669999999999097</v>
      </c>
      <c r="AD5675">
        <v>-7.6973000000000097E-2</v>
      </c>
      <c r="AE5675">
        <v>-0.18518000000000201</v>
      </c>
      <c r="AF5675">
        <v>-0.428311037985942</v>
      </c>
      <c r="AG5675">
        <v>-7.6973000000000097E-2</v>
      </c>
      <c r="AH5675">
        <v>0.53263202595321801</v>
      </c>
      <c r="AI5675">
        <v>96.425517602597395</v>
      </c>
      <c r="AJ5675">
        <v>128.80417429458899</v>
      </c>
      <c r="AK5675">
        <v>0.68780234301769005</v>
      </c>
      <c r="AL5675">
        <v>84.275436560215596</v>
      </c>
      <c r="AM5675">
        <v>111.000615633278</v>
      </c>
      <c r="AN5675">
        <v>0.99999996228172305</v>
      </c>
    </row>
    <row r="5676" spans="1:40" x14ac:dyDescent="0.25">
      <c r="A5676" t="str">
        <f>"20190312164619567"</f>
        <v>20190312164619567</v>
      </c>
      <c r="B5676" t="str">
        <f>"1552380379556755"</f>
        <v>1552380379556755</v>
      </c>
      <c r="C5676" t="s">
        <v>40</v>
      </c>
      <c r="D5676">
        <v>5.1282880000000004</v>
      </c>
      <c r="E5676">
        <v>0.4406388</v>
      </c>
      <c r="F5676" t="s">
        <v>41</v>
      </c>
      <c r="G5676">
        <v>-296.0147</v>
      </c>
      <c r="H5676">
        <v>1.0447599999999999</v>
      </c>
      <c r="I5676">
        <v>-56.24389</v>
      </c>
      <c r="J5676">
        <v>-296.661</v>
      </c>
      <c r="K5676">
        <v>1.11947</v>
      </c>
      <c r="L5676">
        <v>-56.070099999999996</v>
      </c>
      <c r="M5676">
        <v>0.59552459999999996</v>
      </c>
      <c r="N5676">
        <v>0</v>
      </c>
      <c r="O5676">
        <v>-0.80324700000000004</v>
      </c>
      <c r="P5676">
        <v>0.83694500000000005</v>
      </c>
      <c r="Q5676">
        <v>9.779699E-2</v>
      </c>
      <c r="R5676">
        <v>-0.53847869999999998</v>
      </c>
      <c r="S5676">
        <v>2.8045960000000001</v>
      </c>
      <c r="T5676">
        <v>-0.26063409999999998</v>
      </c>
      <c r="U5676">
        <v>-1.270996</v>
      </c>
      <c r="V5676">
        <v>-0.35442560000000001</v>
      </c>
      <c r="W5676">
        <v>9.9506250000000004E-2</v>
      </c>
      <c r="X5676">
        <v>0.92977469999999995</v>
      </c>
      <c r="Y5676">
        <v>-0.48229169999999999</v>
      </c>
      <c r="Z5676">
        <v>8.0750959999999997E-2</v>
      </c>
      <c r="AA5676">
        <v>0.87228099999999997</v>
      </c>
      <c r="AB5676">
        <v>26</v>
      </c>
      <c r="AC5676">
        <v>0.64629999999999599</v>
      </c>
      <c r="AD5676">
        <v>-7.4709999999999804E-2</v>
      </c>
      <c r="AE5676">
        <v>-0.173790000000003</v>
      </c>
      <c r="AF5676">
        <v>-0.410556250040642</v>
      </c>
      <c r="AG5676">
        <v>-7.4709999999999804E-2</v>
      </c>
      <c r="AH5676">
        <v>0.518065924559719</v>
      </c>
      <c r="AI5676">
        <v>96.448327038543795</v>
      </c>
      <c r="AJ5676">
        <v>128.39607765568701</v>
      </c>
      <c r="AK5676">
        <v>0.66522952485390396</v>
      </c>
      <c r="AL5676">
        <v>84.289261103267805</v>
      </c>
      <c r="AM5676">
        <v>110.866603558845</v>
      </c>
      <c r="AN5676">
        <v>0.999999996242256</v>
      </c>
    </row>
    <row r="5677" spans="1:40" x14ac:dyDescent="0.25">
      <c r="A5677" t="str">
        <f>"20190312164619588"</f>
        <v>20190312164619588</v>
      </c>
      <c r="B5677" t="str">
        <f>"1552380379577249"</f>
        <v>1552380379577249</v>
      </c>
      <c r="C5677" t="s">
        <v>40</v>
      </c>
      <c r="D5677">
        <v>5.1819819999999996</v>
      </c>
      <c r="E5677">
        <v>0.44076700000000002</v>
      </c>
      <c r="F5677" t="s">
        <v>41</v>
      </c>
      <c r="G5677">
        <v>-295.8707</v>
      </c>
      <c r="H5677">
        <v>1.046297</v>
      </c>
      <c r="I5677">
        <v>-56.416139999999999</v>
      </c>
      <c r="J5677">
        <v>-296.50189999999998</v>
      </c>
      <c r="K5677">
        <v>1.11959599999999</v>
      </c>
      <c r="L5677">
        <v>-56.257750000000001</v>
      </c>
      <c r="M5677">
        <v>0.6079232</v>
      </c>
      <c r="N5677">
        <v>0</v>
      </c>
      <c r="O5677">
        <v>-0.7939041</v>
      </c>
      <c r="P5677">
        <v>0.84377159999999995</v>
      </c>
      <c r="Q5677">
        <v>9.7388390000000005E-2</v>
      </c>
      <c r="R5677">
        <v>-0.52779319999999996</v>
      </c>
      <c r="S5677">
        <v>2.8203429999999998</v>
      </c>
      <c r="T5677">
        <v>-0.26114330000000002</v>
      </c>
      <c r="U5677">
        <v>-1.2351379999999901</v>
      </c>
      <c r="V5677">
        <v>-0.35186840000000003</v>
      </c>
      <c r="W5677">
        <v>9.9112900000000004E-2</v>
      </c>
      <c r="X5677">
        <v>0.93078740000000004</v>
      </c>
      <c r="Y5677">
        <v>-0.47981610000000002</v>
      </c>
      <c r="Z5677">
        <v>8.0317769999999997E-2</v>
      </c>
      <c r="AA5677">
        <v>0.87368509999999999</v>
      </c>
      <c r="AB5677">
        <v>26</v>
      </c>
      <c r="AC5677">
        <v>0.631199999999978</v>
      </c>
      <c r="AD5677">
        <v>-7.3298999999999698E-2</v>
      </c>
      <c r="AE5677">
        <v>-0.158390000000004</v>
      </c>
      <c r="AF5677">
        <v>-0.39978097789786099</v>
      </c>
      <c r="AG5677">
        <v>-7.3298999999999698E-2</v>
      </c>
      <c r="AH5677">
        <v>0.50312184811949501</v>
      </c>
      <c r="AI5677">
        <v>96.507222396812594</v>
      </c>
      <c r="AJ5677">
        <v>128.47067879145999</v>
      </c>
      <c r="AK5677">
        <v>0.64678371017299596</v>
      </c>
      <c r="AL5677">
        <v>84.311910161544404</v>
      </c>
      <c r="AM5677">
        <v>110.708249017173</v>
      </c>
      <c r="AN5677">
        <v>0.99999996093186405</v>
      </c>
    </row>
    <row r="5678" spans="1:40" x14ac:dyDescent="0.25">
      <c r="A5678" t="str">
        <f>"20190312164619612"</f>
        <v>20190312164619612</v>
      </c>
      <c r="B5678" t="str">
        <f>"1552380379607508"</f>
        <v>1552380379607508</v>
      </c>
      <c r="C5678" t="s">
        <v>40</v>
      </c>
      <c r="D5678">
        <v>5.1921169999999996</v>
      </c>
      <c r="E5678">
        <v>0.44117899999999999</v>
      </c>
      <c r="F5678" t="s">
        <v>41</v>
      </c>
      <c r="G5678">
        <v>-295.7054</v>
      </c>
      <c r="H5678">
        <v>1.0461959999999999</v>
      </c>
      <c r="I5678">
        <v>-56.594819999999999</v>
      </c>
      <c r="J5678">
        <v>-296.33019999999999</v>
      </c>
      <c r="K5678">
        <v>1.1197159999999999</v>
      </c>
      <c r="L5678">
        <v>-56.453000000000003</v>
      </c>
      <c r="M5678">
        <v>0.62100129999999998</v>
      </c>
      <c r="N5678">
        <v>0</v>
      </c>
      <c r="O5678">
        <v>-0.78371550000000001</v>
      </c>
      <c r="P5678">
        <v>0.85089939999999997</v>
      </c>
      <c r="Q5678">
        <v>9.6395869999999995E-2</v>
      </c>
      <c r="R5678">
        <v>-0.51640889999999995</v>
      </c>
      <c r="S5678">
        <v>2.835388</v>
      </c>
      <c r="T5678">
        <v>-0.26124999999999998</v>
      </c>
      <c r="U5678">
        <v>-1.199371</v>
      </c>
      <c r="V5678">
        <v>-0.3490318</v>
      </c>
      <c r="W5678">
        <v>9.8148230000000003E-2</v>
      </c>
      <c r="X5678">
        <v>0.93195689999999998</v>
      </c>
      <c r="Y5678">
        <v>-0.47632590000000002</v>
      </c>
      <c r="Z5678">
        <v>7.9670619999999998E-2</v>
      </c>
      <c r="AA5678">
        <v>0.87565190000000004</v>
      </c>
      <c r="AB5678">
        <v>26</v>
      </c>
      <c r="AC5678">
        <v>0.62479999999999303</v>
      </c>
      <c r="AD5678">
        <v>-7.3520000000000002E-2</v>
      </c>
      <c r="AE5678">
        <v>-0.14181999999999501</v>
      </c>
      <c r="AF5678">
        <v>-0.39640489234371501</v>
      </c>
      <c r="AG5678">
        <v>-7.3520000000000002E-2</v>
      </c>
      <c r="AH5678">
        <v>0.49269723661804699</v>
      </c>
      <c r="AI5678">
        <v>96.631532163926707</v>
      </c>
      <c r="AJ5678">
        <v>128.81879297601</v>
      </c>
      <c r="AK5678">
        <v>0.63662594672624895</v>
      </c>
      <c r="AL5678">
        <v>84.367452543158294</v>
      </c>
      <c r="AM5678">
        <v>110.531676785801</v>
      </c>
      <c r="AN5678">
        <v>0.99999996796048995</v>
      </c>
    </row>
    <row r="5679" spans="1:40" x14ac:dyDescent="0.25">
      <c r="A5679" t="str">
        <f>"20190312164619634"</f>
        <v>20190312164619634</v>
      </c>
      <c r="B5679" t="str">
        <f>"1552380379627025"</f>
        <v>1552380379627025</v>
      </c>
      <c r="C5679" t="s">
        <v>40</v>
      </c>
      <c r="D5679">
        <v>5.2134070000000001</v>
      </c>
      <c r="E5679">
        <v>0.4414324</v>
      </c>
      <c r="F5679" t="s">
        <v>41</v>
      </c>
      <c r="G5679">
        <v>-295.36779999999999</v>
      </c>
      <c r="H5679">
        <v>1.0314449999999999</v>
      </c>
      <c r="I5679">
        <v>-56.846080000000001</v>
      </c>
      <c r="J5679">
        <v>-296.15440000000001</v>
      </c>
      <c r="K5679">
        <v>1.1198269999999999</v>
      </c>
      <c r="L5679">
        <v>-56.646180000000001</v>
      </c>
      <c r="M5679">
        <v>0.63408260000000005</v>
      </c>
      <c r="N5679">
        <v>0</v>
      </c>
      <c r="O5679">
        <v>-0.77316929999999995</v>
      </c>
      <c r="P5679">
        <v>0.85777689999999995</v>
      </c>
      <c r="Q5679">
        <v>9.4215809999999997E-2</v>
      </c>
      <c r="R5679">
        <v>-0.50531409999999999</v>
      </c>
      <c r="S5679">
        <v>2.8495180000000002</v>
      </c>
      <c r="T5679">
        <v>-0.26129019999999997</v>
      </c>
      <c r="U5679">
        <v>-1.162903</v>
      </c>
      <c r="V5679">
        <v>-0.34562710000000002</v>
      </c>
      <c r="W5679">
        <v>9.6023029999999995E-2</v>
      </c>
      <c r="X5679">
        <v>0.933446</v>
      </c>
      <c r="Y5679">
        <v>-0.47272069999999999</v>
      </c>
      <c r="Z5679">
        <v>7.8980339999999996E-2</v>
      </c>
      <c r="AA5679">
        <v>0.87766580000000005</v>
      </c>
      <c r="AB5679">
        <v>26</v>
      </c>
      <c r="AC5679">
        <v>0.78660000000002095</v>
      </c>
      <c r="AD5679">
        <v>-8.8381999999999905E-2</v>
      </c>
      <c r="AE5679">
        <v>-0.199899999999999</v>
      </c>
      <c r="AF5679">
        <v>-0.47581501780003399</v>
      </c>
      <c r="AG5679">
        <v>-8.8381999999999905E-2</v>
      </c>
      <c r="AH5679">
        <v>0.64571700730966897</v>
      </c>
      <c r="AI5679">
        <v>96.288023573039297</v>
      </c>
      <c r="AJ5679">
        <v>126.385705470475</v>
      </c>
      <c r="AK5679">
        <v>0.80694594776664097</v>
      </c>
      <c r="AL5679">
        <v>84.489795543134704</v>
      </c>
      <c r="AM5679">
        <v>110.318082245173</v>
      </c>
      <c r="AN5679">
        <v>0.99999997473039504</v>
      </c>
    </row>
    <row r="5680" spans="1:40" x14ac:dyDescent="0.25">
      <c r="A5680" t="str">
        <f>"20190312164619658"</f>
        <v>20190312164619658</v>
      </c>
      <c r="B5680" t="str">
        <f>"1552380379647520"</f>
        <v>1552380379647520</v>
      </c>
      <c r="C5680" t="s">
        <v>40</v>
      </c>
      <c r="D5680">
        <v>5.2016390000000001</v>
      </c>
      <c r="E5680">
        <v>0.44163590000000003</v>
      </c>
      <c r="F5680" t="s">
        <v>41</v>
      </c>
      <c r="G5680">
        <v>-295.21890000000002</v>
      </c>
      <c r="H5680">
        <v>1.032408</v>
      </c>
      <c r="I5680">
        <v>-57.0135199999999</v>
      </c>
      <c r="J5680">
        <v>-295.97300000000001</v>
      </c>
      <c r="K5680">
        <v>1.119923</v>
      </c>
      <c r="L5680">
        <v>-56.838869999999901</v>
      </c>
      <c r="M5680">
        <v>0.64724999999999999</v>
      </c>
      <c r="N5680">
        <v>0</v>
      </c>
      <c r="O5680">
        <v>-0.76217959999999996</v>
      </c>
      <c r="P5680">
        <v>0.86459889999999995</v>
      </c>
      <c r="Q5680">
        <v>9.2758629999999995E-2</v>
      </c>
      <c r="R5680">
        <v>-0.4938266</v>
      </c>
      <c r="S5680">
        <v>2.8641969999999999</v>
      </c>
      <c r="T5680">
        <v>-0.26765440000000001</v>
      </c>
      <c r="U5680">
        <v>-1.124817</v>
      </c>
      <c r="V5680">
        <v>-0.3421688</v>
      </c>
      <c r="W5680">
        <v>9.4632740000000007E-2</v>
      </c>
      <c r="X5680">
        <v>0.93486100000000005</v>
      </c>
      <c r="Y5680">
        <v>-0.4691225</v>
      </c>
      <c r="Z5680">
        <v>8.0122780000000005E-2</v>
      </c>
      <c r="AA5680">
        <v>0.87949100000000002</v>
      </c>
      <c r="AB5680">
        <v>26</v>
      </c>
      <c r="AC5680">
        <v>0.754099999999994</v>
      </c>
      <c r="AD5680">
        <v>-8.7514999999999996E-2</v>
      </c>
      <c r="AE5680">
        <v>-0.174649999999999</v>
      </c>
      <c r="AF5680">
        <v>-0.45592414187802599</v>
      </c>
      <c r="AG5680">
        <v>-8.7514999999999996E-2</v>
      </c>
      <c r="AH5680">
        <v>0.61341146915300704</v>
      </c>
      <c r="AI5680">
        <v>96.532194719892402</v>
      </c>
      <c r="AJ5680">
        <v>126.621941928651</v>
      </c>
      <c r="AK5680">
        <v>0.769284946466955</v>
      </c>
      <c r="AL5680">
        <v>84.5698176817546</v>
      </c>
      <c r="AM5680">
        <v>110.103148644222</v>
      </c>
      <c r="AN5680">
        <v>0.99999996624717302</v>
      </c>
    </row>
    <row r="5681" spans="1:40" x14ac:dyDescent="0.25">
      <c r="A5681" t="str">
        <f>"20190312164619678"</f>
        <v>20190312164619678</v>
      </c>
      <c r="B5681" t="str">
        <f>"1552380379667041"</f>
        <v>1552380379667041</v>
      </c>
      <c r="C5681" t="s">
        <v>40</v>
      </c>
      <c r="D5681">
        <v>5.2268600000000003</v>
      </c>
      <c r="E5681">
        <v>0.44187470000000001</v>
      </c>
      <c r="F5681" t="s">
        <v>41</v>
      </c>
      <c r="G5681">
        <v>-295.06819999999999</v>
      </c>
      <c r="H5681">
        <v>1.0346150000000001</v>
      </c>
      <c r="I5681">
        <v>-57.180459999999997</v>
      </c>
      <c r="J5681">
        <v>-295.80970000000002</v>
      </c>
      <c r="K5681">
        <v>1.1200019999999999</v>
      </c>
      <c r="L5681">
        <v>-57.006709999999998</v>
      </c>
      <c r="M5681">
        <v>0.65881000000000001</v>
      </c>
      <c r="N5681">
        <v>0</v>
      </c>
      <c r="O5681">
        <v>-0.75220940000000003</v>
      </c>
      <c r="P5681">
        <v>0.87031049999999999</v>
      </c>
      <c r="Q5681">
        <v>9.302415E-2</v>
      </c>
      <c r="R5681">
        <v>-0.48363879999999998</v>
      </c>
      <c r="S5681">
        <v>2.878571</v>
      </c>
      <c r="T5681">
        <v>-0.27138069999999997</v>
      </c>
      <c r="U5681">
        <v>-1.0861510000000001</v>
      </c>
      <c r="V5681">
        <v>-0.3388775</v>
      </c>
      <c r="W5681">
        <v>9.4972619999999994E-2</v>
      </c>
      <c r="X5681">
        <v>0.93602470000000004</v>
      </c>
      <c r="Y5681">
        <v>-0.46737420000000002</v>
      </c>
      <c r="Z5681">
        <v>8.0563049999999997E-2</v>
      </c>
      <c r="AA5681">
        <v>0.88038119999999997</v>
      </c>
      <c r="AB5681">
        <v>26</v>
      </c>
      <c r="AC5681">
        <v>0.74150000000003002</v>
      </c>
      <c r="AD5681">
        <v>-8.5386999999999796E-2</v>
      </c>
      <c r="AE5681">
        <v>-0.17374999999999799</v>
      </c>
      <c r="AF5681">
        <v>-0.43782476624161498</v>
      </c>
      <c r="AG5681">
        <v>-8.5386999999999796E-2</v>
      </c>
      <c r="AH5681">
        <v>0.61156301301101701</v>
      </c>
      <c r="AI5681">
        <v>96.476880976847895</v>
      </c>
      <c r="AJ5681">
        <v>125.599297110409</v>
      </c>
      <c r="AK5681">
        <v>0.756961547627512</v>
      </c>
      <c r="AL5681">
        <v>84.5502560646067</v>
      </c>
      <c r="AM5681">
        <v>109.90223451647699</v>
      </c>
      <c r="AN5681">
        <v>0.99999999878300205</v>
      </c>
    </row>
    <row r="5682" spans="1:40" x14ac:dyDescent="0.25">
      <c r="A5682" t="str">
        <f>"20190312164619701"</f>
        <v>20190312164619701</v>
      </c>
      <c r="B5682" t="str">
        <f>"1552380379697297"</f>
        <v>1552380379697297</v>
      </c>
      <c r="C5682" t="s">
        <v>40</v>
      </c>
      <c r="D5682">
        <v>5.2213880000000001</v>
      </c>
      <c r="E5682">
        <v>0.44217289999999998</v>
      </c>
      <c r="F5682" t="s">
        <v>41</v>
      </c>
      <c r="G5682">
        <v>-294.9076</v>
      </c>
      <c r="H5682">
        <v>1.0355799999999999</v>
      </c>
      <c r="I5682">
        <v>-57.335540000000002</v>
      </c>
      <c r="J5682">
        <v>-295.62700000000001</v>
      </c>
      <c r="K5682">
        <v>1.1200870000000001</v>
      </c>
      <c r="L5682">
        <v>-57.188569999999999</v>
      </c>
      <c r="M5682">
        <v>0.67141980000000001</v>
      </c>
      <c r="N5682">
        <v>0</v>
      </c>
      <c r="O5682">
        <v>-0.7409751</v>
      </c>
      <c r="P5682">
        <v>0.8767083</v>
      </c>
      <c r="Q5682">
        <v>9.4944299999999995E-2</v>
      </c>
      <c r="R5682">
        <v>-0.47155930000000001</v>
      </c>
      <c r="S5682">
        <v>2.8903810000000001</v>
      </c>
      <c r="T5682">
        <v>-0.27049139999999999</v>
      </c>
      <c r="U5682">
        <v>-1.053741</v>
      </c>
      <c r="V5682">
        <v>-0.33592699999999998</v>
      </c>
      <c r="W5682">
        <v>9.6960379999999999E-2</v>
      </c>
      <c r="X5682">
        <v>0.93688400000000005</v>
      </c>
      <c r="Y5682">
        <v>-0.46239740000000001</v>
      </c>
      <c r="Z5682">
        <v>7.9421510000000001E-2</v>
      </c>
      <c r="AA5682">
        <v>0.88310859999999902</v>
      </c>
      <c r="AB5682">
        <v>26</v>
      </c>
      <c r="AC5682">
        <v>0.71940000000000703</v>
      </c>
      <c r="AD5682">
        <v>-8.4507000000000096E-2</v>
      </c>
      <c r="AE5682">
        <v>-0.14697000000000299</v>
      </c>
      <c r="AF5682">
        <v>-0.42873277646359298</v>
      </c>
      <c r="AG5682">
        <v>-8.4507000000000096E-2</v>
      </c>
      <c r="AH5682">
        <v>0.58422661550624</v>
      </c>
      <c r="AI5682">
        <v>96.651562269211595</v>
      </c>
      <c r="AJ5682">
        <v>126.272960656625</v>
      </c>
      <c r="AK5682">
        <v>0.72957108284872196</v>
      </c>
      <c r="AL5682">
        <v>84.435837406877397</v>
      </c>
      <c r="AM5682">
        <v>109.72568765146499</v>
      </c>
      <c r="AN5682">
        <v>0.99999994703737005</v>
      </c>
    </row>
    <row r="5683" spans="1:40" x14ac:dyDescent="0.25">
      <c r="A5683" t="str">
        <f>"20190312164619723"</f>
        <v>20190312164619723</v>
      </c>
      <c r="B5683" t="str">
        <f>"1552380379716820"</f>
        <v>1552380379716820</v>
      </c>
      <c r="C5683" t="s">
        <v>40</v>
      </c>
      <c r="D5683">
        <v>5.2013730000000002</v>
      </c>
      <c r="E5683">
        <v>0.4425441</v>
      </c>
      <c r="F5683" t="s">
        <v>41</v>
      </c>
      <c r="G5683">
        <v>-294.74979999999999</v>
      </c>
      <c r="H5683">
        <v>1.039825</v>
      </c>
      <c r="I5683">
        <v>-57.49588</v>
      </c>
      <c r="J5683">
        <v>-295.43709999999999</v>
      </c>
      <c r="K5683">
        <v>1.1201559999999999</v>
      </c>
      <c r="L5683">
        <v>-57.37115</v>
      </c>
      <c r="M5683">
        <v>0.68415289999999995</v>
      </c>
      <c r="N5683">
        <v>0</v>
      </c>
      <c r="O5683">
        <v>-0.7292341</v>
      </c>
      <c r="P5683">
        <v>0.88317069999999998</v>
      </c>
      <c r="Q5683">
        <v>9.572427E-2</v>
      </c>
      <c r="R5683">
        <v>-0.45918029999999999</v>
      </c>
      <c r="S5683">
        <v>2.90387</v>
      </c>
      <c r="T5683">
        <v>-0.26564070000000001</v>
      </c>
      <c r="U5683">
        <v>-1.0164789999999999</v>
      </c>
      <c r="V5683">
        <v>-0.33285160000000003</v>
      </c>
      <c r="W5683">
        <v>9.7821259999999993E-2</v>
      </c>
      <c r="X5683">
        <v>0.93789169999999999</v>
      </c>
      <c r="Y5683">
        <v>-0.45861079999999999</v>
      </c>
      <c r="Z5683">
        <v>7.7126910000000007E-2</v>
      </c>
      <c r="AA5683">
        <v>0.88528390000000001</v>
      </c>
      <c r="AB5683">
        <v>26</v>
      </c>
      <c r="AC5683">
        <v>0.68729999999999303</v>
      </c>
      <c r="AD5683">
        <v>-8.0330999999999902E-2</v>
      </c>
      <c r="AE5683">
        <v>-0.124730000000006</v>
      </c>
      <c r="AF5683">
        <v>-0.41047135675755497</v>
      </c>
      <c r="AG5683">
        <v>-8.0330999999999902E-2</v>
      </c>
      <c r="AH5683">
        <v>0.55389310924414104</v>
      </c>
      <c r="AI5683">
        <v>96.646224730036593</v>
      </c>
      <c r="AJ5683">
        <v>126.54088721818199</v>
      </c>
      <c r="AK5683">
        <v>0.69407303704115297</v>
      </c>
      <c r="AL5683">
        <v>84.386277388119296</v>
      </c>
      <c r="AM5683">
        <v>109.539439390317</v>
      </c>
      <c r="AN5683">
        <v>1.00000001372971</v>
      </c>
    </row>
    <row r="5684" spans="1:40" x14ac:dyDescent="0.25">
      <c r="A5684" t="str">
        <f>"20190312164619745"</f>
        <v>20190312164619745</v>
      </c>
      <c r="B5684" t="str">
        <f>"1552380379737316"</f>
        <v>1552380379737316</v>
      </c>
      <c r="C5684" t="s">
        <v>40</v>
      </c>
      <c r="D5684">
        <v>5.1924479999999997</v>
      </c>
      <c r="E5684">
        <v>0.44288810000000001</v>
      </c>
      <c r="F5684" t="s">
        <v>41</v>
      </c>
      <c r="G5684">
        <v>-294.57119999999998</v>
      </c>
      <c r="H5684">
        <v>1.042832</v>
      </c>
      <c r="I5684">
        <v>-57.661050000000003</v>
      </c>
      <c r="J5684">
        <v>-295.25740000000002</v>
      </c>
      <c r="K5684">
        <v>1.120196</v>
      </c>
      <c r="L5684">
        <v>-57.538150000000002</v>
      </c>
      <c r="M5684">
        <v>0.69585750000000002</v>
      </c>
      <c r="N5684">
        <v>0</v>
      </c>
      <c r="O5684">
        <v>-0.71807369999999904</v>
      </c>
      <c r="P5684">
        <v>0.88926810000000001</v>
      </c>
      <c r="Q5684">
        <v>9.4388260000000002E-2</v>
      </c>
      <c r="R5684">
        <v>-0.44754159999999998</v>
      </c>
      <c r="S5684">
        <v>2.9173279999999999</v>
      </c>
      <c r="T5684">
        <v>-0.26050719999999999</v>
      </c>
      <c r="U5684">
        <v>-0.9765625</v>
      </c>
      <c r="V5684">
        <v>-0.3300729</v>
      </c>
      <c r="W5684">
        <v>9.6564579999999997E-2</v>
      </c>
      <c r="X5684">
        <v>0.93900329999999999</v>
      </c>
      <c r="Y5684">
        <v>-0.45655420000000002</v>
      </c>
      <c r="Z5684">
        <v>7.487576E-2</v>
      </c>
      <c r="AA5684">
        <v>0.88653930000000003</v>
      </c>
      <c r="AB5684">
        <v>26</v>
      </c>
      <c r="AC5684">
        <v>0.686200000000042</v>
      </c>
      <c r="AD5684">
        <v>-7.7363999999999905E-2</v>
      </c>
      <c r="AE5684">
        <v>-0.12290000000000099</v>
      </c>
      <c r="AF5684">
        <v>-0.40229770639742302</v>
      </c>
      <c r="AG5684">
        <v>-7.7363999999999905E-2</v>
      </c>
      <c r="AH5684">
        <v>0.55890839147812899</v>
      </c>
      <c r="AI5684">
        <v>96.409933340647598</v>
      </c>
      <c r="AJ5684">
        <v>125.746032170893</v>
      </c>
      <c r="AK5684">
        <v>0.69296985730498895</v>
      </c>
      <c r="AL5684">
        <v>84.458622385644404</v>
      </c>
      <c r="AM5684">
        <v>109.36729393165299</v>
      </c>
      <c r="AN5684">
        <v>1.00000001741793</v>
      </c>
    </row>
    <row r="5685" spans="1:40" x14ac:dyDescent="0.25">
      <c r="A5685" t="str">
        <f>"20190312164619767"</f>
        <v>20190312164619767</v>
      </c>
      <c r="B5685" t="str">
        <f>"1552380379756836"</f>
        <v>1552380379756836</v>
      </c>
      <c r="C5685" t="s">
        <v>40</v>
      </c>
      <c r="D5685">
        <v>5.2747769999999896</v>
      </c>
      <c r="E5685">
        <v>0.443249</v>
      </c>
      <c r="F5685" t="s">
        <v>41</v>
      </c>
      <c r="G5685">
        <v>-294.3723</v>
      </c>
      <c r="H5685">
        <v>1.0410440000000001</v>
      </c>
      <c r="I5685">
        <v>-57.821820000000002</v>
      </c>
      <c r="J5685">
        <v>-295.06810000000002</v>
      </c>
      <c r="K5685">
        <v>1.1202190000000001</v>
      </c>
      <c r="L5685">
        <v>-57.708590000000001</v>
      </c>
      <c r="M5685">
        <v>0.70784209999999903</v>
      </c>
      <c r="N5685">
        <v>0</v>
      </c>
      <c r="O5685">
        <v>-0.70626219999999995</v>
      </c>
      <c r="P5685">
        <v>0.89542160000000004</v>
      </c>
      <c r="Q5685">
        <v>9.3002719999999997E-2</v>
      </c>
      <c r="R5685">
        <v>-0.43539749999999999</v>
      </c>
      <c r="S5685">
        <v>2.9290769999999999</v>
      </c>
      <c r="T5685">
        <v>-0.26189980000000002</v>
      </c>
      <c r="U5685">
        <v>-0.93847659999999999</v>
      </c>
      <c r="V5685">
        <v>-0.32712029999999997</v>
      </c>
      <c r="W5685">
        <v>9.5269270000000003E-2</v>
      </c>
      <c r="X5685">
        <v>0.94016809999999995</v>
      </c>
      <c r="Y5685">
        <v>-0.45308579999999998</v>
      </c>
      <c r="Z5685">
        <v>7.441188E-2</v>
      </c>
      <c r="AA5685">
        <v>0.88835589999999998</v>
      </c>
      <c r="AB5685">
        <v>26</v>
      </c>
      <c r="AC5685">
        <v>0.69580000000001896</v>
      </c>
      <c r="AD5685">
        <v>-7.9174999999999995E-2</v>
      </c>
      <c r="AE5685">
        <v>-0.113229999999994</v>
      </c>
      <c r="AF5685">
        <v>-0.406176255006167</v>
      </c>
      <c r="AG5685">
        <v>-7.9174999999999995E-2</v>
      </c>
      <c r="AH5685">
        <v>0.56539849203389003</v>
      </c>
      <c r="AI5685">
        <v>96.488323715218797</v>
      </c>
      <c r="AJ5685">
        <v>125.693064042309</v>
      </c>
      <c r="AK5685">
        <v>0.70065917930905097</v>
      </c>
      <c r="AL5685">
        <v>84.533181806178604</v>
      </c>
      <c r="AM5685">
        <v>109.184732917018</v>
      </c>
      <c r="AN5685">
        <v>0.99999999036801601</v>
      </c>
    </row>
    <row r="5686" spans="1:40" x14ac:dyDescent="0.25">
      <c r="A5686" t="str">
        <f>"20190312164619790"</f>
        <v>20190312164619790</v>
      </c>
      <c r="B5686" t="str">
        <f>"1552380379787090"</f>
        <v>1552380379787090</v>
      </c>
      <c r="C5686" t="s">
        <v>40</v>
      </c>
      <c r="D5686">
        <v>5.188663</v>
      </c>
      <c r="E5686">
        <v>0.44328659999999998</v>
      </c>
      <c r="F5686" t="s">
        <v>41</v>
      </c>
      <c r="G5686">
        <v>-294.15940000000001</v>
      </c>
      <c r="H5686">
        <v>1.0389079999999999</v>
      </c>
      <c r="I5686">
        <v>-57.986440000000002</v>
      </c>
      <c r="J5686">
        <v>-294.87470000000002</v>
      </c>
      <c r="K5686">
        <v>1.1202430000000001</v>
      </c>
      <c r="L5686">
        <v>-57.876710000000003</v>
      </c>
      <c r="M5686">
        <v>0.71970389999999995</v>
      </c>
      <c r="N5686">
        <v>0</v>
      </c>
      <c r="O5686">
        <v>-0.69417010000000001</v>
      </c>
      <c r="P5686">
        <v>0.90151539999999997</v>
      </c>
      <c r="Q5686">
        <v>9.2854220000000001E-2</v>
      </c>
      <c r="R5686">
        <v>-0.42266779999999998</v>
      </c>
      <c r="S5686">
        <v>2.9404300000000001</v>
      </c>
      <c r="T5686">
        <v>-0.26311600000000002</v>
      </c>
      <c r="U5686">
        <v>-0.89926149999999905</v>
      </c>
      <c r="V5686">
        <v>-0.32452560000000003</v>
      </c>
      <c r="W5686">
        <v>9.5200950000000006E-2</v>
      </c>
      <c r="X5686">
        <v>0.94107379999999996</v>
      </c>
      <c r="Y5686">
        <v>-0.44979940000000002</v>
      </c>
      <c r="Z5686">
        <v>7.3870089999999999E-2</v>
      </c>
      <c r="AA5686">
        <v>0.89006949999999996</v>
      </c>
      <c r="AB5686">
        <v>26</v>
      </c>
      <c r="AC5686">
        <v>0.71530000000001304</v>
      </c>
      <c r="AD5686">
        <v>-8.1335000000000102E-2</v>
      </c>
      <c r="AE5686">
        <v>-0.109730000000006</v>
      </c>
      <c r="AF5686">
        <v>-0.41238959467840902</v>
      </c>
      <c r="AG5686">
        <v>-8.1335000000000102E-2</v>
      </c>
      <c r="AH5686">
        <v>0.583648321353053</v>
      </c>
      <c r="AI5686">
        <v>96.493038147989594</v>
      </c>
      <c r="AJ5686">
        <v>125.243959554433</v>
      </c>
      <c r="AK5686">
        <v>0.71925372647088803</v>
      </c>
      <c r="AL5686">
        <v>84.537114133184204</v>
      </c>
      <c r="AM5686">
        <v>109.026552448893</v>
      </c>
      <c r="AN5686">
        <v>0.99999999149135099</v>
      </c>
    </row>
    <row r="5687" spans="1:40" x14ac:dyDescent="0.25">
      <c r="A5687" t="str">
        <f>"20190312164619813"</f>
        <v>20190312164619813</v>
      </c>
      <c r="B5687" t="str">
        <f>"1552380379807585"</f>
        <v>1552380379807585</v>
      </c>
      <c r="C5687" t="s">
        <v>40</v>
      </c>
      <c r="D5687">
        <v>5.2110960000000004</v>
      </c>
      <c r="E5687">
        <v>0.44331520000000002</v>
      </c>
      <c r="F5687" t="s">
        <v>41</v>
      </c>
      <c r="G5687">
        <v>-293.86399999999998</v>
      </c>
      <c r="H5687">
        <v>1.0306869999999999</v>
      </c>
      <c r="I5687">
        <v>-58.170279999999998</v>
      </c>
      <c r="J5687">
        <v>-294.66950000000003</v>
      </c>
      <c r="K5687">
        <v>1.1202669999999999</v>
      </c>
      <c r="L5687">
        <v>-58.048520000000003</v>
      </c>
      <c r="M5687">
        <v>0.73186819999999997</v>
      </c>
      <c r="N5687">
        <v>0</v>
      </c>
      <c r="O5687">
        <v>-0.68133279999999996</v>
      </c>
      <c r="P5687">
        <v>0.90728900000000001</v>
      </c>
      <c r="Q5687">
        <v>9.3407439999999994E-2</v>
      </c>
      <c r="R5687">
        <v>-0.41000229999999999</v>
      </c>
      <c r="S5687">
        <v>2.952423</v>
      </c>
      <c r="T5687">
        <v>-0.26163029999999998</v>
      </c>
      <c r="U5687">
        <v>-0.85791019999999896</v>
      </c>
      <c r="V5687">
        <v>-0.32103890000000002</v>
      </c>
      <c r="W5687">
        <v>9.5866870000000007E-2</v>
      </c>
      <c r="X5687">
        <v>0.94220139999999997</v>
      </c>
      <c r="Y5687">
        <v>-0.4465691</v>
      </c>
      <c r="Z5687">
        <v>7.2501640000000006E-2</v>
      </c>
      <c r="AA5687">
        <v>0.89180689999999996</v>
      </c>
      <c r="AB5687">
        <v>26</v>
      </c>
      <c r="AC5687">
        <v>0.805499999999994</v>
      </c>
      <c r="AD5687">
        <v>-8.9579999999999702E-2</v>
      </c>
      <c r="AE5687">
        <v>-0.121760000000008</v>
      </c>
      <c r="AF5687">
        <v>-0.45424434291517402</v>
      </c>
      <c r="AG5687">
        <v>-8.9579999999999702E-2</v>
      </c>
      <c r="AH5687">
        <v>0.66449615170396203</v>
      </c>
      <c r="AI5687">
        <v>96.350363295604197</v>
      </c>
      <c r="AJ5687">
        <v>124.35620442541099</v>
      </c>
      <c r="AK5687">
        <v>0.80988742125051705</v>
      </c>
      <c r="AL5687">
        <v>84.498784212535298</v>
      </c>
      <c r="AM5687">
        <v>108.815659323676</v>
      </c>
      <c r="AN5687">
        <v>0.999999955119382</v>
      </c>
    </row>
    <row r="5688" spans="1:40" x14ac:dyDescent="0.25">
      <c r="A5688" t="str">
        <f>"20190312164619835"</f>
        <v>20190312164619835</v>
      </c>
      <c r="B5688" t="str">
        <f>"1552380379827105"</f>
        <v>1552380379827105</v>
      </c>
      <c r="C5688" t="s">
        <v>40</v>
      </c>
      <c r="D5688">
        <v>5.187189</v>
      </c>
      <c r="E5688">
        <v>0.44343320000000003</v>
      </c>
      <c r="F5688" t="s">
        <v>41</v>
      </c>
      <c r="G5688">
        <v>-293.69240000000002</v>
      </c>
      <c r="H5688">
        <v>1.0352460000000001</v>
      </c>
      <c r="I5688">
        <v>-58.317500000000003</v>
      </c>
      <c r="J5688">
        <v>-294.47210000000001</v>
      </c>
      <c r="K5688">
        <v>1.1202829999999999</v>
      </c>
      <c r="L5688">
        <v>-58.208370000000002</v>
      </c>
      <c r="M5688">
        <v>0.74319919999999995</v>
      </c>
      <c r="N5688">
        <v>0</v>
      </c>
      <c r="O5688">
        <v>-0.66895439999999995</v>
      </c>
      <c r="P5688">
        <v>0.9126803</v>
      </c>
      <c r="Q5688">
        <v>9.2401300000000006E-2</v>
      </c>
      <c r="R5688">
        <v>-0.3980919</v>
      </c>
      <c r="S5688">
        <v>2.9645079999999999</v>
      </c>
      <c r="T5688">
        <v>-0.2579342</v>
      </c>
      <c r="U5688">
        <v>-0.8156738</v>
      </c>
      <c r="V5688">
        <v>-0.31759789999999999</v>
      </c>
      <c r="W5688">
        <v>9.4974039999999996E-2</v>
      </c>
      <c r="X5688">
        <v>0.9434572</v>
      </c>
      <c r="Y5688">
        <v>-0.44445299999999999</v>
      </c>
      <c r="Z5688">
        <v>7.0590589999999995E-2</v>
      </c>
      <c r="AA5688">
        <v>0.89301649999999999</v>
      </c>
      <c r="AB5688">
        <v>26</v>
      </c>
      <c r="AC5688">
        <v>0.77969999999999096</v>
      </c>
      <c r="AD5688">
        <v>-8.5037000000000001E-2</v>
      </c>
      <c r="AE5688">
        <v>-0.109130000000007</v>
      </c>
      <c r="AF5688">
        <v>-0.43543263675785598</v>
      </c>
      <c r="AG5688">
        <v>-8.5037000000000001E-2</v>
      </c>
      <c r="AH5688">
        <v>0.64500115602252395</v>
      </c>
      <c r="AI5688">
        <v>96.236026161421506</v>
      </c>
      <c r="AJ5688">
        <v>124.022819551122</v>
      </c>
      <c r="AK5688">
        <v>0.78285334756472202</v>
      </c>
      <c r="AL5688">
        <v>84.550174294236399</v>
      </c>
      <c r="AM5688">
        <v>108.604880735192</v>
      </c>
      <c r="AN5688">
        <v>0.99999999129508499</v>
      </c>
    </row>
    <row r="5689" spans="1:40" x14ac:dyDescent="0.25">
      <c r="A5689" t="str">
        <f>"20190312164619858"</f>
        <v>20190312164619858</v>
      </c>
      <c r="B5689" t="str">
        <f>"1552380379847601"</f>
        <v>1552380379847601</v>
      </c>
      <c r="C5689" t="s">
        <v>40</v>
      </c>
      <c r="D5689">
        <v>5.181959</v>
      </c>
      <c r="E5689">
        <v>0.44346210000000003</v>
      </c>
      <c r="F5689" t="s">
        <v>41</v>
      </c>
      <c r="G5689">
        <v>-293.51569999999998</v>
      </c>
      <c r="H5689">
        <v>1.037212</v>
      </c>
      <c r="I5689">
        <v>-58.457709999999999</v>
      </c>
      <c r="J5689">
        <v>-294.26920000000001</v>
      </c>
      <c r="K5689">
        <v>1.1202780000000001</v>
      </c>
      <c r="L5689">
        <v>-58.367130000000003</v>
      </c>
      <c r="M5689">
        <v>0.75446489999999999</v>
      </c>
      <c r="N5689">
        <v>0</v>
      </c>
      <c r="O5689">
        <v>-0.65622219999999998</v>
      </c>
      <c r="P5689">
        <v>0.91876829999999998</v>
      </c>
      <c r="Q5689">
        <v>9.1740589999999997E-2</v>
      </c>
      <c r="R5689">
        <v>-0.38399080000000002</v>
      </c>
      <c r="S5689">
        <v>2.9748839999999999</v>
      </c>
      <c r="T5689">
        <v>-0.25839220000000002</v>
      </c>
      <c r="U5689">
        <v>-0.77560419999999997</v>
      </c>
      <c r="V5689">
        <v>-0.31611220000000001</v>
      </c>
      <c r="W5689">
        <v>9.4357880000000005E-2</v>
      </c>
      <c r="X5689">
        <v>0.94401780000000002</v>
      </c>
      <c r="Y5689">
        <v>-0.44129289999999999</v>
      </c>
      <c r="Z5689">
        <v>6.9761340000000005E-2</v>
      </c>
      <c r="AA5689">
        <v>0.89464739999999998</v>
      </c>
      <c r="AB5689">
        <v>26</v>
      </c>
      <c r="AC5689">
        <v>0.75350000000003003</v>
      </c>
      <c r="AD5689">
        <v>-8.3066000000000001E-2</v>
      </c>
      <c r="AE5689">
        <v>-9.0579999999995595E-2</v>
      </c>
      <c r="AF5689">
        <v>-0.42111222145893001</v>
      </c>
      <c r="AG5689">
        <v>-8.3066000000000001E-2</v>
      </c>
      <c r="AH5689">
        <v>0.62054463192891995</v>
      </c>
      <c r="AI5689">
        <v>96.3205124508995</v>
      </c>
      <c r="AJ5689">
        <v>124.161487708145</v>
      </c>
      <c r="AK5689">
        <v>0.75452707283030895</v>
      </c>
      <c r="AL5689">
        <v>84.585636804210097</v>
      </c>
      <c r="AM5689">
        <v>108.51354978893499</v>
      </c>
      <c r="AN5689">
        <v>0.99999996961188597</v>
      </c>
    </row>
    <row r="5690" spans="1:40" x14ac:dyDescent="0.25">
      <c r="A5690" t="str">
        <f>"20190312164619879"</f>
        <v>20190312164619879</v>
      </c>
      <c r="B5690" t="str">
        <f>"1552380379867121"</f>
        <v>1552380379867121</v>
      </c>
      <c r="C5690" t="s">
        <v>40</v>
      </c>
      <c r="D5690">
        <v>5.1008519999999997</v>
      </c>
      <c r="E5690">
        <v>0.44351099999999999</v>
      </c>
      <c r="F5690" t="s">
        <v>41</v>
      </c>
      <c r="G5690">
        <v>-293.33550000000002</v>
      </c>
      <c r="H5690">
        <v>1.0386930000000001</v>
      </c>
      <c r="I5690">
        <v>-58.595640000000003</v>
      </c>
      <c r="J5690">
        <v>-294.06909999999999</v>
      </c>
      <c r="K5690">
        <v>1.1202700000000001</v>
      </c>
      <c r="L5690">
        <v>-58.518430000000002</v>
      </c>
      <c r="M5690">
        <v>0.7652002</v>
      </c>
      <c r="N5690">
        <v>0</v>
      </c>
      <c r="O5690">
        <v>-0.64367189999999996</v>
      </c>
      <c r="P5690">
        <v>0.92388419999999905</v>
      </c>
      <c r="Q5690">
        <v>9.1006069999999994E-2</v>
      </c>
      <c r="R5690">
        <v>-0.37169380000000002</v>
      </c>
      <c r="S5690">
        <v>2.9861759999999999</v>
      </c>
      <c r="T5690">
        <v>-0.26088329999999998</v>
      </c>
      <c r="U5690">
        <v>-0.73001099999999997</v>
      </c>
      <c r="V5690">
        <v>-0.3131429</v>
      </c>
      <c r="W5690">
        <v>9.3717490000000001E-2</v>
      </c>
      <c r="X5690">
        <v>0.94507070000000004</v>
      </c>
      <c r="Y5690">
        <v>-0.44013180000000002</v>
      </c>
      <c r="Z5690">
        <v>6.9542560000000003E-2</v>
      </c>
      <c r="AA5690">
        <v>0.89523619999999904</v>
      </c>
      <c r="AB5690">
        <v>26</v>
      </c>
      <c r="AC5690">
        <v>0.73359999999996695</v>
      </c>
      <c r="AD5690">
        <v>-8.1576999999999997E-2</v>
      </c>
      <c r="AE5690">
        <v>-7.7210000000000806E-2</v>
      </c>
      <c r="AF5690">
        <v>-0.40815681985715302</v>
      </c>
      <c r="AG5690">
        <v>-8.1576999999999997E-2</v>
      </c>
      <c r="AH5690">
        <v>0.60371266947194602</v>
      </c>
      <c r="AI5690">
        <v>96.387249379880402</v>
      </c>
      <c r="AJ5690">
        <v>124.06175838998701</v>
      </c>
      <c r="AK5690">
        <v>0.73329106349787798</v>
      </c>
      <c r="AL5690">
        <v>84.622492125279706</v>
      </c>
      <c r="AM5690">
        <v>108.33227220546</v>
      </c>
      <c r="AN5690">
        <v>1.00000003587539</v>
      </c>
    </row>
    <row r="5691" spans="1:40" x14ac:dyDescent="0.25">
      <c r="A5691" t="str">
        <f>"20190312164619893"</f>
        <v>20190312164619893</v>
      </c>
      <c r="B5691" t="str">
        <f>"1552380379887619"</f>
        <v>1552380379887619</v>
      </c>
      <c r="C5691" t="s">
        <v>40</v>
      </c>
      <c r="D5691">
        <v>5.1390940000000001</v>
      </c>
      <c r="E5691">
        <v>0.44358310000000001</v>
      </c>
      <c r="F5691" t="s">
        <v>41</v>
      </c>
      <c r="G5691">
        <v>-293.12439999999998</v>
      </c>
      <c r="H5691">
        <v>1.036969</v>
      </c>
      <c r="I5691">
        <v>-58.73639</v>
      </c>
      <c r="J5691">
        <v>-293.94479999999999</v>
      </c>
      <c r="K5691">
        <v>1.1202639999999999</v>
      </c>
      <c r="L5691">
        <v>-58.610080000000004</v>
      </c>
      <c r="M5691">
        <v>0.77169049999999995</v>
      </c>
      <c r="N5691">
        <v>0</v>
      </c>
      <c r="O5691">
        <v>-0.6358762</v>
      </c>
      <c r="P5691">
        <v>0.92704600000000004</v>
      </c>
      <c r="Q5691">
        <v>9.0242849999999999E-2</v>
      </c>
      <c r="R5691">
        <v>-0.36392600000000003</v>
      </c>
      <c r="S5691">
        <v>2.9950559999999999</v>
      </c>
      <c r="T5691">
        <v>-0.26410719999999999</v>
      </c>
      <c r="U5691">
        <v>-0.69137569999999904</v>
      </c>
      <c r="V5691">
        <v>-0.31151119999999999</v>
      </c>
      <c r="W5691">
        <v>9.3005809999999994E-2</v>
      </c>
      <c r="X5691">
        <v>0.94567999999999997</v>
      </c>
      <c r="Y5691">
        <v>-0.44250689999999998</v>
      </c>
      <c r="Z5691">
        <v>6.995962E-2</v>
      </c>
      <c r="AA5691">
        <v>0.8940321</v>
      </c>
      <c r="AB5691">
        <v>26</v>
      </c>
      <c r="AC5691">
        <v>0.82040000000000601</v>
      </c>
      <c r="AD5691">
        <v>-8.3294999999999897E-2</v>
      </c>
      <c r="AE5691">
        <v>-0.12630999999999601</v>
      </c>
      <c r="AF5691">
        <v>-0.42000426190830298</v>
      </c>
      <c r="AG5691">
        <v>-8.3294999999999897E-2</v>
      </c>
      <c r="AH5691">
        <v>0.70635507597777902</v>
      </c>
      <c r="AI5691">
        <v>95.787611005775901</v>
      </c>
      <c r="AJ5691">
        <v>120.736048134543</v>
      </c>
      <c r="AK5691">
        <v>0.82600189491653797</v>
      </c>
      <c r="AL5691">
        <v>84.663446996265805</v>
      </c>
      <c r="AM5691">
        <v>108.232112988841</v>
      </c>
      <c r="AN5691">
        <v>0.999999985409597</v>
      </c>
    </row>
    <row r="5692" spans="1:40" x14ac:dyDescent="0.25">
      <c r="A5692" t="str">
        <f>"20190312164619905"</f>
        <v>20190312164619905</v>
      </c>
      <c r="B5692" t="str">
        <f>"1552380379897378"</f>
        <v>1552380379897378</v>
      </c>
      <c r="C5692" t="s">
        <v>40</v>
      </c>
      <c r="D5692">
        <v>5.2049669999999999</v>
      </c>
      <c r="E5692">
        <v>0.44358839999999999</v>
      </c>
      <c r="F5692" t="s">
        <v>41</v>
      </c>
      <c r="G5692">
        <v>-292.95440000000002</v>
      </c>
      <c r="H5692">
        <v>1.0321180000000001</v>
      </c>
      <c r="I5692">
        <v>-58.830460000000002</v>
      </c>
      <c r="J5692">
        <v>-293.82859999999999</v>
      </c>
      <c r="K5692">
        <v>1.1202570000000001</v>
      </c>
      <c r="L5692">
        <v>-58.693939999999998</v>
      </c>
      <c r="M5692">
        <v>0.77762959999999903</v>
      </c>
      <c r="N5692">
        <v>0</v>
      </c>
      <c r="O5692">
        <v>-0.62859929999999997</v>
      </c>
      <c r="P5692">
        <v>0.92992669999999999</v>
      </c>
      <c r="Q5692">
        <v>8.8917679999999999E-2</v>
      </c>
      <c r="R5692">
        <v>-0.35683389999999998</v>
      </c>
      <c r="S5692">
        <v>3.0001829999999998</v>
      </c>
      <c r="T5692">
        <v>-0.26700309999999999</v>
      </c>
      <c r="U5692">
        <v>-0.66702269999999997</v>
      </c>
      <c r="V5692">
        <v>-0.30989080000000002</v>
      </c>
      <c r="W5692">
        <v>9.1732900000000006E-2</v>
      </c>
      <c r="X5692">
        <v>0.94633650000000002</v>
      </c>
      <c r="Y5692">
        <v>-0.44127909999999998</v>
      </c>
      <c r="Z5692">
        <v>7.0173929999999995E-2</v>
      </c>
      <c r="AA5692">
        <v>0.89462189999999997</v>
      </c>
      <c r="AB5692">
        <v>26</v>
      </c>
      <c r="AC5692">
        <v>0.874199999999973</v>
      </c>
      <c r="AD5692">
        <v>-8.8138999999999898E-2</v>
      </c>
      <c r="AE5692">
        <v>-0.13651999999999001</v>
      </c>
      <c r="AF5692">
        <v>-0.43903726732138698</v>
      </c>
      <c r="AG5692">
        <v>-8.8138999999999898E-2</v>
      </c>
      <c r="AH5692">
        <v>0.75815625249717</v>
      </c>
      <c r="AI5692">
        <v>95.744831755782499</v>
      </c>
      <c r="AJ5692">
        <v>120.07450859618299</v>
      </c>
      <c r="AK5692">
        <v>0.88052433732326996</v>
      </c>
      <c r="AL5692">
        <v>84.736692599272203</v>
      </c>
      <c r="AM5692">
        <v>108.131740211831</v>
      </c>
      <c r="AN5692">
        <v>1.00000000204965</v>
      </c>
    </row>
    <row r="5693" spans="1:40" x14ac:dyDescent="0.25">
      <c r="A5693" t="str">
        <f>"20190312164619916"</f>
        <v>20190312164619916</v>
      </c>
      <c r="B5693" t="str">
        <f>"1552380379907137"</f>
        <v>1552380379907137</v>
      </c>
      <c r="C5693" t="s">
        <v>40</v>
      </c>
      <c r="D5693">
        <v>5.204237</v>
      </c>
      <c r="E5693">
        <v>0.44360630000000001</v>
      </c>
      <c r="F5693" t="s">
        <v>52</v>
      </c>
      <c r="G5693">
        <v>-281.3974</v>
      </c>
      <c r="H5693" s="1">
        <v>-7.1323450000000001E-6</v>
      </c>
      <c r="I5693">
        <v>-61.357289999999999</v>
      </c>
      <c r="J5693">
        <v>-293.71879999999999</v>
      </c>
      <c r="K5693">
        <v>1.120239</v>
      </c>
      <c r="L5693">
        <v>-58.771389999999997</v>
      </c>
      <c r="M5693">
        <v>0.78311830000000004</v>
      </c>
      <c r="N5693">
        <v>0</v>
      </c>
      <c r="O5693">
        <v>-0.62174849999999904</v>
      </c>
      <c r="P5693">
        <v>0.93258050000000003</v>
      </c>
      <c r="Q5693">
        <v>8.7504689999999996E-2</v>
      </c>
      <c r="R5693">
        <v>-0.35019600000000001</v>
      </c>
      <c r="S5693">
        <v>3.0049130000000002</v>
      </c>
      <c r="T5693">
        <v>-0.27079569999999997</v>
      </c>
      <c r="U5693">
        <v>-0.6437988</v>
      </c>
      <c r="V5693">
        <v>-0.30836710000000001</v>
      </c>
      <c r="W5693">
        <v>9.0371000000000007E-2</v>
      </c>
      <c r="X5693">
        <v>0.94696499999999995</v>
      </c>
      <c r="Y5693">
        <v>-0.44023109999999999</v>
      </c>
      <c r="Z5693">
        <v>7.0642609999999995E-2</v>
      </c>
      <c r="AA5693">
        <v>0.89510119999999904</v>
      </c>
      <c r="AB5693">
        <v>26</v>
      </c>
      <c r="AC5693">
        <v>12.321399999999899</v>
      </c>
      <c r="AD5693">
        <v>-1.1202461323449999</v>
      </c>
      <c r="AE5693">
        <v>-2.5858999999999899</v>
      </c>
      <c r="AF5693">
        <v>-5.59190800299179</v>
      </c>
      <c r="AG5693">
        <v>-1.1202461323449999</v>
      </c>
      <c r="AH5693">
        <v>11.169330125482499</v>
      </c>
      <c r="AI5693">
        <v>95.124846965755395</v>
      </c>
      <c r="AJ5693">
        <v>116.59476699715201</v>
      </c>
      <c r="AK5693">
        <v>12.541065423757599</v>
      </c>
      <c r="AL5693">
        <v>84.815048931724604</v>
      </c>
      <c r="AM5693">
        <v>108.037180212539</v>
      </c>
      <c r="AN5693">
        <v>0.99999994861420305</v>
      </c>
    </row>
    <row r="5694" spans="1:40" x14ac:dyDescent="0.25">
      <c r="A5694" t="str">
        <f>"20190312164619929"</f>
        <v>20190312164619929</v>
      </c>
      <c r="B5694" t="str">
        <f>"1552380379927633"</f>
        <v>1552380379927633</v>
      </c>
      <c r="C5694" t="s">
        <v>40</v>
      </c>
      <c r="D5694">
        <v>5.2679619999999998</v>
      </c>
      <c r="E5694">
        <v>0.4436428</v>
      </c>
      <c r="F5694" t="s">
        <v>41</v>
      </c>
      <c r="G5694">
        <v>-292.76</v>
      </c>
      <c r="H5694">
        <v>1.0326569999999999</v>
      </c>
      <c r="I5694">
        <v>-58.969610000000003</v>
      </c>
      <c r="J5694">
        <v>-293.59629999999999</v>
      </c>
      <c r="K5694">
        <v>1.120215</v>
      </c>
      <c r="L5694">
        <v>-58.856780000000001</v>
      </c>
      <c r="M5694">
        <v>0.78913500000000003</v>
      </c>
      <c r="N5694">
        <v>0</v>
      </c>
      <c r="O5694">
        <v>-0.61409399999999903</v>
      </c>
      <c r="P5694">
        <v>0.9353515</v>
      </c>
      <c r="Q5694">
        <v>8.6741399999999996E-2</v>
      </c>
      <c r="R5694">
        <v>-0.34291929999999998</v>
      </c>
      <c r="S5694">
        <v>3.0090940000000002</v>
      </c>
      <c r="T5694">
        <v>-0.27487780000000001</v>
      </c>
      <c r="U5694">
        <v>-0.62203980000000003</v>
      </c>
      <c r="V5694">
        <v>-0.30654100000000001</v>
      </c>
      <c r="W5694">
        <v>8.9670029999999998E-2</v>
      </c>
      <c r="X5694">
        <v>0.94762429999999997</v>
      </c>
      <c r="Y5694">
        <v>-0.43787219999999999</v>
      </c>
      <c r="Z5694">
        <v>7.1056830000000001E-2</v>
      </c>
      <c r="AA5694">
        <v>0.89622479999999904</v>
      </c>
      <c r="AB5694">
        <v>26</v>
      </c>
      <c r="AC5694">
        <v>0.83629999999999405</v>
      </c>
      <c r="AD5694">
        <v>-8.7557999999999997E-2</v>
      </c>
      <c r="AE5694">
        <v>-0.112829999999988</v>
      </c>
      <c r="AF5694">
        <v>-0.42003958314564999</v>
      </c>
      <c r="AG5694">
        <v>-8.7557999999999997E-2</v>
      </c>
      <c r="AH5694">
        <v>0.72153054787647897</v>
      </c>
      <c r="AI5694">
        <v>95.986942451988597</v>
      </c>
      <c r="AJ5694">
        <v>120.20585866190299</v>
      </c>
      <c r="AK5694">
        <v>0.83946768031419905</v>
      </c>
      <c r="AL5694">
        <v>84.855375326246204</v>
      </c>
      <c r="AM5694">
        <v>107.925547998032</v>
      </c>
      <c r="AN5694">
        <v>0.99999995645584405</v>
      </c>
    </row>
    <row r="5695" spans="1:40" x14ac:dyDescent="0.25">
      <c r="A5695" t="str">
        <f>"20190312164619942"</f>
        <v>20190312164619942</v>
      </c>
      <c r="B5695" t="str">
        <f>"1552380379937393"</f>
        <v>1552380379937393</v>
      </c>
      <c r="C5695" t="s">
        <v>40</v>
      </c>
      <c r="D5695">
        <v>5.2414949999999996</v>
      </c>
      <c r="E5695">
        <v>0.44366650000000002</v>
      </c>
      <c r="F5695" t="s">
        <v>41</v>
      </c>
      <c r="G5695">
        <v>-292.56810000000002</v>
      </c>
      <c r="H5695">
        <v>1.025145</v>
      </c>
      <c r="I5695">
        <v>-59.061100000000003</v>
      </c>
      <c r="J5695">
        <v>-293.471</v>
      </c>
      <c r="K5695">
        <v>1.1201890000000001</v>
      </c>
      <c r="L5695">
        <v>-58.941679999999998</v>
      </c>
      <c r="M5695">
        <v>0.79513250000000002</v>
      </c>
      <c r="N5695">
        <v>0</v>
      </c>
      <c r="O5695">
        <v>-0.60630859999999998</v>
      </c>
      <c r="P5695">
        <v>0.93827439999999995</v>
      </c>
      <c r="Q5695">
        <v>8.5757780000000006E-2</v>
      </c>
      <c r="R5695">
        <v>-0.33509260000000002</v>
      </c>
      <c r="S5695">
        <v>3.0137939999999999</v>
      </c>
      <c r="T5695">
        <v>-0.27863300000000002</v>
      </c>
      <c r="U5695">
        <v>-0.59841919999999904</v>
      </c>
      <c r="V5695">
        <v>-0.30516510000000002</v>
      </c>
      <c r="W5695">
        <v>8.8737750000000004E-2</v>
      </c>
      <c r="X5695">
        <v>0.94815609999999995</v>
      </c>
      <c r="Y5695">
        <v>-0.43600070000000002</v>
      </c>
      <c r="Z5695">
        <v>7.1368200000000007E-2</v>
      </c>
      <c r="AA5695">
        <v>0.89711200000000002</v>
      </c>
      <c r="AB5695">
        <v>26</v>
      </c>
      <c r="AC5695">
        <v>0.90289999999998805</v>
      </c>
      <c r="AD5695">
        <v>-9.5043999999999906E-2</v>
      </c>
      <c r="AE5695">
        <v>-0.119419999999998</v>
      </c>
      <c r="AF5695">
        <v>-0.44764126710493901</v>
      </c>
      <c r="AG5695">
        <v>-9.5043999999999906E-2</v>
      </c>
      <c r="AH5695">
        <v>0.78187660016916805</v>
      </c>
      <c r="AI5695">
        <v>96.022025064321895</v>
      </c>
      <c r="AJ5695">
        <v>119.79207075832799</v>
      </c>
      <c r="AK5695">
        <v>0.90595092794445198</v>
      </c>
      <c r="AL5695">
        <v>84.909005359660398</v>
      </c>
      <c r="AM5695">
        <v>107.84082922643999</v>
      </c>
      <c r="AN5695">
        <v>1.0000000582501301</v>
      </c>
    </row>
    <row r="5696" spans="1:40" x14ac:dyDescent="0.25">
      <c r="A5696" t="str">
        <f>"20190312164619954"</f>
        <v>20190312164619954</v>
      </c>
      <c r="B5696" t="str">
        <f>"1552380379947154"</f>
        <v>1552380379947154</v>
      </c>
      <c r="C5696" t="s">
        <v>40</v>
      </c>
      <c r="D5696">
        <v>5.1300619999999997</v>
      </c>
      <c r="E5696">
        <v>0.4437141</v>
      </c>
      <c r="F5696" t="s">
        <v>52</v>
      </c>
      <c r="G5696">
        <v>-281.4529</v>
      </c>
      <c r="H5696" s="1">
        <v>-7.1288299999999998E-6</v>
      </c>
      <c r="I5696">
        <v>-61.223500000000001</v>
      </c>
      <c r="J5696">
        <v>-293.35219999999998</v>
      </c>
      <c r="K5696">
        <v>1.12016</v>
      </c>
      <c r="L5696">
        <v>-59.020809999999997</v>
      </c>
      <c r="M5696">
        <v>0.80069669999999904</v>
      </c>
      <c r="N5696">
        <v>0</v>
      </c>
      <c r="O5696">
        <v>-0.59894130000000001</v>
      </c>
      <c r="P5696">
        <v>0.94083609999999895</v>
      </c>
      <c r="Q5696">
        <v>8.58487E-2</v>
      </c>
      <c r="R5696">
        <v>-0.32780720000000002</v>
      </c>
      <c r="S5696">
        <v>3.018402</v>
      </c>
      <c r="T5696">
        <v>-0.2813427</v>
      </c>
      <c r="U5696">
        <v>-0.57308959999999998</v>
      </c>
      <c r="V5696">
        <v>-0.30375340000000001</v>
      </c>
      <c r="W5696">
        <v>8.8881660000000001E-2</v>
      </c>
      <c r="X5696">
        <v>0.94859579999999999</v>
      </c>
      <c r="Y5696">
        <v>-0.435172</v>
      </c>
      <c r="Z5696">
        <v>7.1475579999999997E-2</v>
      </c>
      <c r="AA5696">
        <v>0.89750580000000002</v>
      </c>
      <c r="AB5696">
        <v>26</v>
      </c>
      <c r="AC5696">
        <v>11.899299999999901</v>
      </c>
      <c r="AD5696">
        <v>-1.1201671288299999</v>
      </c>
      <c r="AE5696">
        <v>-2.20269</v>
      </c>
      <c r="AF5696">
        <v>-5.31814191927133</v>
      </c>
      <c r="AG5696">
        <v>-1.1201671288299999</v>
      </c>
      <c r="AH5696">
        <v>10.755691072040401</v>
      </c>
      <c r="AI5696">
        <v>95.333547969903094</v>
      </c>
      <c r="AJ5696">
        <v>116.310052790399</v>
      </c>
      <c r="AK5696">
        <v>12.050821478521399</v>
      </c>
      <c r="AL5696">
        <v>84.900727093608594</v>
      </c>
      <c r="AM5696">
        <v>107.75577930333399</v>
      </c>
      <c r="AN5696">
        <v>1.0000000346367699</v>
      </c>
    </row>
    <row r="5697" spans="1:40" x14ac:dyDescent="0.25">
      <c r="A5697" t="str">
        <f>"20190312164619968"</f>
        <v>20190312164619968</v>
      </c>
      <c r="B5697" t="str">
        <f>"1552380379956913"</f>
        <v>1552380379956913</v>
      </c>
      <c r="C5697" t="s">
        <v>40</v>
      </c>
      <c r="D5697">
        <v>5.259144</v>
      </c>
      <c r="E5697">
        <v>0.44375740000000002</v>
      </c>
      <c r="F5697" t="s">
        <v>41</v>
      </c>
      <c r="G5697">
        <v>-292.37779999999998</v>
      </c>
      <c r="H5697">
        <v>1.0292319999999999</v>
      </c>
      <c r="I5697">
        <v>-59.198120000000003</v>
      </c>
      <c r="J5697">
        <v>-293.22430000000003</v>
      </c>
      <c r="K5697">
        <v>1.1201239999999999</v>
      </c>
      <c r="L5697">
        <v>-59.104770000000002</v>
      </c>
      <c r="M5697">
        <v>0.80657109999999999</v>
      </c>
      <c r="N5697">
        <v>0</v>
      </c>
      <c r="O5697">
        <v>-0.59100739999999996</v>
      </c>
      <c r="P5697">
        <v>0.94300289999999998</v>
      </c>
      <c r="Q5697">
        <v>8.6942649999999996E-2</v>
      </c>
      <c r="R5697">
        <v>-0.32122719999999999</v>
      </c>
      <c r="S5697">
        <v>3.0227360000000001</v>
      </c>
      <c r="T5697">
        <v>-0.282078</v>
      </c>
      <c r="U5697">
        <v>-0.55020139999999995</v>
      </c>
      <c r="V5697">
        <v>-0.300977299999999</v>
      </c>
      <c r="W5697">
        <v>9.0074199999999993E-2</v>
      </c>
      <c r="X5697">
        <v>0.94936790000000004</v>
      </c>
      <c r="Y5697">
        <v>-0.43311490000000002</v>
      </c>
      <c r="Z5697">
        <v>7.096864E-2</v>
      </c>
      <c r="AA5697">
        <v>0.89854040000000002</v>
      </c>
      <c r="AB5697">
        <v>26</v>
      </c>
      <c r="AC5697">
        <v>0.84650000000004799</v>
      </c>
      <c r="AD5697">
        <v>-9.0891999999999903E-2</v>
      </c>
      <c r="AE5697">
        <v>-9.3350000000000904E-2</v>
      </c>
      <c r="AF5697">
        <v>-0.420240134687001</v>
      </c>
      <c r="AG5697">
        <v>-9.0891999999999903E-2</v>
      </c>
      <c r="AH5697">
        <v>0.729678058595151</v>
      </c>
      <c r="AI5697">
        <v>96.160800381615601</v>
      </c>
      <c r="AJ5697">
        <v>119.938733387216</v>
      </c>
      <c r="AK5697">
        <v>0.84693163576580299</v>
      </c>
      <c r="AL5697">
        <v>84.832124499761804</v>
      </c>
      <c r="AM5697">
        <v>107.590132826705</v>
      </c>
      <c r="AN5697">
        <v>1.0000000530856601</v>
      </c>
    </row>
    <row r="5698" spans="1:40" x14ac:dyDescent="0.25">
      <c r="A5698" t="str">
        <f>"20190312164619981"</f>
        <v>20190312164619981</v>
      </c>
      <c r="B5698" t="str">
        <f>"1552380379977409"</f>
        <v>1552380379977409</v>
      </c>
      <c r="C5698" t="s">
        <v>40</v>
      </c>
      <c r="D5698">
        <v>5.2682960000000003</v>
      </c>
      <c r="E5698">
        <v>0.44388309999999997</v>
      </c>
      <c r="F5698" t="s">
        <v>52</v>
      </c>
      <c r="G5698">
        <v>-281.08229999999998</v>
      </c>
      <c r="H5698" s="1">
        <v>-7.2518289999999999E-6</v>
      </c>
      <c r="I5698">
        <v>-61.232719999999901</v>
      </c>
      <c r="J5698">
        <v>-293.10669999999999</v>
      </c>
      <c r="K5698">
        <v>1.1200939999999999</v>
      </c>
      <c r="L5698">
        <v>-59.179600000000001</v>
      </c>
      <c r="M5698">
        <v>0.81181910000000002</v>
      </c>
      <c r="N5698">
        <v>0</v>
      </c>
      <c r="O5698">
        <v>-0.58377749999999995</v>
      </c>
      <c r="P5698">
        <v>0.9452931</v>
      </c>
      <c r="Q5698">
        <v>8.7693869999999993E-2</v>
      </c>
      <c r="R5698">
        <v>-0.3142143</v>
      </c>
      <c r="S5698">
        <v>3.0263979999999999</v>
      </c>
      <c r="T5698">
        <v>-0.2791941</v>
      </c>
      <c r="U5698">
        <v>-0.53039550000000002</v>
      </c>
      <c r="V5698">
        <v>-0.29951840000000002</v>
      </c>
      <c r="W5698">
        <v>9.0882920000000006E-2</v>
      </c>
      <c r="X5698">
        <v>0.94975209999999999</v>
      </c>
      <c r="Y5698">
        <v>-0.4310755</v>
      </c>
      <c r="Z5698">
        <v>6.9609980000000002E-2</v>
      </c>
      <c r="AA5698">
        <v>0.89962679999999995</v>
      </c>
      <c r="AB5698">
        <v>26</v>
      </c>
      <c r="AC5698">
        <v>12.0244</v>
      </c>
      <c r="AD5698">
        <v>-1.1201012518289899</v>
      </c>
      <c r="AE5698">
        <v>-2.0531199999999901</v>
      </c>
      <c r="AF5698">
        <v>-5.3084646593159901</v>
      </c>
      <c r="AG5698">
        <v>-1.1201012518289899</v>
      </c>
      <c r="AH5698">
        <v>10.8693987282262</v>
      </c>
      <c r="AI5698">
        <v>95.290369607307895</v>
      </c>
      <c r="AJ5698">
        <v>116.03024615842099</v>
      </c>
      <c r="AK5698">
        <v>12.1481789815066</v>
      </c>
      <c r="AL5698">
        <v>84.785597219876195</v>
      </c>
      <c r="AM5698">
        <v>107.503441134581</v>
      </c>
      <c r="AN5698">
        <v>1.00000001427034</v>
      </c>
    </row>
    <row r="5699" spans="1:40" x14ac:dyDescent="0.25">
      <c r="A5699" t="str">
        <f>"20190312164619995"</f>
        <v>20190312164619995</v>
      </c>
      <c r="B5699" t="str">
        <f>"1552380379987171"</f>
        <v>1552380379987171</v>
      </c>
      <c r="C5699" t="s">
        <v>40</v>
      </c>
      <c r="D5699">
        <v>5.272043</v>
      </c>
      <c r="E5699">
        <v>0.44395899999999999</v>
      </c>
      <c r="F5699" t="s">
        <v>52</v>
      </c>
      <c r="G5699">
        <v>-280.86540000000002</v>
      </c>
      <c r="H5699" s="1">
        <v>-7.3238909999999998E-6</v>
      </c>
      <c r="I5699">
        <v>-61.237549999999999</v>
      </c>
      <c r="J5699">
        <v>-292.9588</v>
      </c>
      <c r="K5699">
        <v>1.1200509999999999</v>
      </c>
      <c r="L5699">
        <v>-59.272280000000002</v>
      </c>
      <c r="M5699">
        <v>0.81826940000000004</v>
      </c>
      <c r="N5699">
        <v>0</v>
      </c>
      <c r="O5699">
        <v>-0.57470209999999999</v>
      </c>
      <c r="P5699">
        <v>0.94821889999999998</v>
      </c>
      <c r="Q5699">
        <v>8.851059E-2</v>
      </c>
      <c r="R5699">
        <v>-0.30503639999999999</v>
      </c>
      <c r="S5699">
        <v>3.0300289999999999</v>
      </c>
      <c r="T5699">
        <v>-0.27725509999999998</v>
      </c>
      <c r="U5699">
        <v>-0.50939939999999995</v>
      </c>
      <c r="V5699">
        <v>-0.2981182</v>
      </c>
      <c r="W5699">
        <v>9.1758989999999999E-2</v>
      </c>
      <c r="X5699">
        <v>0.95010830000000002</v>
      </c>
      <c r="Y5699">
        <v>-0.42737520000000001</v>
      </c>
      <c r="Z5699">
        <v>6.8284960000000006E-2</v>
      </c>
      <c r="AA5699">
        <v>0.90149190000000001</v>
      </c>
      <c r="AB5699">
        <v>27</v>
      </c>
      <c r="AC5699">
        <v>12.0933999999999</v>
      </c>
      <c r="AD5699">
        <v>-1.120058323891</v>
      </c>
      <c r="AE5699">
        <v>-1.9652699999999901</v>
      </c>
      <c r="AF5699">
        <v>-5.2981122197293899</v>
      </c>
      <c r="AG5699">
        <v>-1.120058323891</v>
      </c>
      <c r="AH5699">
        <v>10.9345627170075</v>
      </c>
      <c r="AI5699">
        <v>95.266759360549401</v>
      </c>
      <c r="AJ5699">
        <v>115.851531699321</v>
      </c>
      <c r="AK5699">
        <v>12.2020156348832</v>
      </c>
      <c r="AL5699">
        <v>84.735191291860204</v>
      </c>
      <c r="AM5699">
        <v>107.42044173082201</v>
      </c>
      <c r="AN5699">
        <v>0.99999997757297399</v>
      </c>
    </row>
    <row r="5700" spans="1:40" x14ac:dyDescent="0.25">
      <c r="A5700" t="str">
        <f>"20190312164620014"</f>
        <v>20190312164620014</v>
      </c>
      <c r="B5700" t="str">
        <f>"1552380380006689"</f>
        <v>1552380380006689</v>
      </c>
      <c r="C5700" t="s">
        <v>40</v>
      </c>
      <c r="D5700">
        <v>5.1285569999999998</v>
      </c>
      <c r="E5700">
        <v>0.44427159999999899</v>
      </c>
      <c r="F5700" t="s">
        <v>41</v>
      </c>
      <c r="G5700">
        <v>-291.95139999999998</v>
      </c>
      <c r="H5700">
        <v>1.02881</v>
      </c>
      <c r="I5700">
        <v>-59.432009999999998</v>
      </c>
      <c r="J5700">
        <v>-292.77019999999999</v>
      </c>
      <c r="K5700">
        <v>1.1199870000000001</v>
      </c>
      <c r="L5700">
        <v>-59.387360000000001</v>
      </c>
      <c r="M5700">
        <v>0.82623489999999999</v>
      </c>
      <c r="N5700">
        <v>0</v>
      </c>
      <c r="O5700">
        <v>-0.56319079999999999</v>
      </c>
      <c r="P5700">
        <v>0.95139260000000003</v>
      </c>
      <c r="Q5700">
        <v>8.8959570000000002E-2</v>
      </c>
      <c r="R5700">
        <v>-0.2948539</v>
      </c>
      <c r="S5700">
        <v>3.034729</v>
      </c>
      <c r="T5700">
        <v>-0.27483479999999999</v>
      </c>
      <c r="U5700">
        <v>-0.48107909999999998</v>
      </c>
      <c r="V5700">
        <v>-0.29497269999999998</v>
      </c>
      <c r="W5700">
        <v>9.2332109999999995E-2</v>
      </c>
      <c r="X5700">
        <v>0.95103409999999999</v>
      </c>
      <c r="Y5700">
        <v>-0.42327310000000001</v>
      </c>
      <c r="Z5700">
        <v>6.6647780000000004E-2</v>
      </c>
      <c r="AA5700">
        <v>0.9035474</v>
      </c>
      <c r="AB5700">
        <v>27</v>
      </c>
      <c r="AC5700">
        <v>0.81880000000000996</v>
      </c>
      <c r="AD5700">
        <v>-9.1176999999999994E-2</v>
      </c>
      <c r="AE5700">
        <v>-4.4649999999997102E-2</v>
      </c>
      <c r="AF5700">
        <v>-0.41910013470664498</v>
      </c>
      <c r="AG5700">
        <v>-9.1176999999999994E-2</v>
      </c>
      <c r="AH5700">
        <v>0.69315148043695696</v>
      </c>
      <c r="AI5700">
        <v>96.422400063307094</v>
      </c>
      <c r="AJ5700">
        <v>121.158413867181</v>
      </c>
      <c r="AK5700">
        <v>0.81511787066170605</v>
      </c>
      <c r="AL5700">
        <v>84.702213981782094</v>
      </c>
      <c r="AM5700">
        <v>107.231797393322</v>
      </c>
      <c r="AN5700">
        <v>0.99999998582257599</v>
      </c>
    </row>
    <row r="5701" spans="1:40" x14ac:dyDescent="0.25">
      <c r="A5701" t="str">
        <f>"20190312164620026"</f>
        <v>20190312164620026</v>
      </c>
      <c r="B5701" t="str">
        <f>"1552380380017425"</f>
        <v>1552380380017425</v>
      </c>
      <c r="C5701" t="s">
        <v>40</v>
      </c>
      <c r="D5701">
        <v>5.2898839999999998</v>
      </c>
      <c r="E5701">
        <v>0.44440390000000002</v>
      </c>
      <c r="F5701" t="s">
        <v>41</v>
      </c>
      <c r="G5701">
        <v>-291.7491</v>
      </c>
      <c r="H5701">
        <v>1.028159</v>
      </c>
      <c r="I5701">
        <v>-59.53884</v>
      </c>
      <c r="J5701">
        <v>-292.65190000000001</v>
      </c>
      <c r="K5701">
        <v>1.1199399999999999</v>
      </c>
      <c r="L5701">
        <v>-59.457949999999997</v>
      </c>
      <c r="M5701">
        <v>0.83108729999999997</v>
      </c>
      <c r="N5701">
        <v>0</v>
      </c>
      <c r="O5701">
        <v>-0.55600550000000004</v>
      </c>
      <c r="P5701">
        <v>0.95345559999999996</v>
      </c>
      <c r="Q5701">
        <v>8.9116100000000004E-2</v>
      </c>
      <c r="R5701">
        <v>-0.288064599999999</v>
      </c>
      <c r="S5701">
        <v>3.0391849999999998</v>
      </c>
      <c r="T5701">
        <v>-0.27331440000000001</v>
      </c>
      <c r="U5701">
        <v>-0.45059199999999999</v>
      </c>
      <c r="V5701">
        <v>-0.29349019999999998</v>
      </c>
      <c r="W5701">
        <v>9.2551460000000002E-2</v>
      </c>
      <c r="X5701">
        <v>0.95147130000000002</v>
      </c>
      <c r="Y5701">
        <v>-0.42454700000000001</v>
      </c>
      <c r="Z5701">
        <v>6.5798850000000006E-2</v>
      </c>
      <c r="AA5701">
        <v>0.90301189999999998</v>
      </c>
      <c r="AB5701">
        <v>27</v>
      </c>
      <c r="AC5701">
        <v>0.90280000000001304</v>
      </c>
      <c r="AD5701">
        <v>-9.1780999999999793E-2</v>
      </c>
      <c r="AE5701">
        <v>-8.0890000000003598E-2</v>
      </c>
      <c r="AF5701">
        <v>-0.43035568443233202</v>
      </c>
      <c r="AG5701">
        <v>-9.1780999999999793E-2</v>
      </c>
      <c r="AH5701">
        <v>0.78726940833929404</v>
      </c>
      <c r="AI5701">
        <v>95.840764198239896</v>
      </c>
      <c r="AJ5701">
        <v>118.662934009483</v>
      </c>
      <c r="AK5701">
        <v>0.90189959995063995</v>
      </c>
      <c r="AL5701">
        <v>84.689591929066495</v>
      </c>
      <c r="AM5701">
        <v>107.14286663201899</v>
      </c>
      <c r="AN5701">
        <v>0.99999995248392903</v>
      </c>
    </row>
    <row r="5702" spans="1:40" x14ac:dyDescent="0.25">
      <c r="A5702" t="str">
        <f>"20190312164620038"</f>
        <v>20190312164620038</v>
      </c>
      <c r="B5702" t="str">
        <f>"1552380380027186"</f>
        <v>1552380380027186</v>
      </c>
      <c r="C5702" t="s">
        <v>40</v>
      </c>
      <c r="D5702">
        <v>5.2750380000000003</v>
      </c>
      <c r="E5702">
        <v>0.44450079999999997</v>
      </c>
      <c r="F5702" t="s">
        <v>52</v>
      </c>
      <c r="G5702">
        <v>-280.16059999999999</v>
      </c>
      <c r="H5702" s="1">
        <v>-7.5615670000000003E-6</v>
      </c>
      <c r="I5702">
        <v>-61.222279999999998</v>
      </c>
      <c r="J5702">
        <v>-292.53190000000001</v>
      </c>
      <c r="K5702">
        <v>1.1198999999999999</v>
      </c>
      <c r="L5702">
        <v>-59.527650000000001</v>
      </c>
      <c r="M5702">
        <v>0.83587429999999996</v>
      </c>
      <c r="N5702">
        <v>0</v>
      </c>
      <c r="O5702">
        <v>-0.54878289999999996</v>
      </c>
      <c r="P5702">
        <v>0.95546390000000003</v>
      </c>
      <c r="Q5702">
        <v>8.9111549999999998E-2</v>
      </c>
      <c r="R5702">
        <v>-0.2813329</v>
      </c>
      <c r="S5702">
        <v>3.0421450000000001</v>
      </c>
      <c r="T5702">
        <v>-0.27275319999999997</v>
      </c>
      <c r="U5702">
        <v>-0.4296875</v>
      </c>
      <c r="V5702">
        <v>-0.2919428</v>
      </c>
      <c r="W5702">
        <v>9.2612710000000001E-2</v>
      </c>
      <c r="X5702">
        <v>0.95194129999999999</v>
      </c>
      <c r="Y5702">
        <v>-0.42296080000000003</v>
      </c>
      <c r="Z5702">
        <v>6.5053120000000006E-2</v>
      </c>
      <c r="AA5702">
        <v>0.9038098</v>
      </c>
      <c r="AB5702">
        <v>27</v>
      </c>
      <c r="AC5702">
        <v>12.3713</v>
      </c>
      <c r="AD5702">
        <v>-1.119907561567</v>
      </c>
      <c r="AE5702">
        <v>-1.6946300000000001</v>
      </c>
      <c r="AF5702">
        <v>-5.3301923098456001</v>
      </c>
      <c r="AG5702">
        <v>-1.119907561567</v>
      </c>
      <c r="AH5702">
        <v>11.181745953435</v>
      </c>
      <c r="AI5702">
        <v>95.165983724396696</v>
      </c>
      <c r="AJ5702">
        <v>115.48652816428</v>
      </c>
      <c r="AK5702">
        <v>12.437708212269399</v>
      </c>
      <c r="AL5702">
        <v>84.686067547966104</v>
      </c>
      <c r="AM5702">
        <v>107.04980858107901</v>
      </c>
      <c r="AN5702">
        <v>0.99999997558553599</v>
      </c>
    </row>
    <row r="5703" spans="1:40" x14ac:dyDescent="0.25">
      <c r="A5703" t="str">
        <f>"20190312164620053"</f>
        <v>20190312164620053</v>
      </c>
      <c r="B5703" t="str">
        <f>"1552380380047681"</f>
        <v>1552380380047681</v>
      </c>
      <c r="C5703" t="s">
        <v>40</v>
      </c>
      <c r="D5703">
        <v>5.3255400000000002</v>
      </c>
      <c r="E5703">
        <v>0.44479879999999999</v>
      </c>
      <c r="F5703" t="s">
        <v>52</v>
      </c>
      <c r="G5703">
        <v>-280.02890000000002</v>
      </c>
      <c r="H5703" s="1">
        <v>-7.607293E-6</v>
      </c>
      <c r="I5703">
        <v>-61.207470000000001</v>
      </c>
      <c r="J5703">
        <v>-292.38650000000001</v>
      </c>
      <c r="K5703">
        <v>1.119834</v>
      </c>
      <c r="L5703">
        <v>-59.610930000000003</v>
      </c>
      <c r="M5703">
        <v>0.84154189999999995</v>
      </c>
      <c r="N5703">
        <v>0</v>
      </c>
      <c r="O5703">
        <v>-0.54005249999999905</v>
      </c>
      <c r="P5703">
        <v>0.95795799999999998</v>
      </c>
      <c r="Q5703">
        <v>8.9660610000000002E-2</v>
      </c>
      <c r="R5703">
        <v>-0.272539799999999</v>
      </c>
      <c r="S5703">
        <v>3.044861</v>
      </c>
      <c r="T5703">
        <v>-0.27273170000000002</v>
      </c>
      <c r="U5703">
        <v>-0.40908810000000001</v>
      </c>
      <c r="V5703">
        <v>-0.29075489999999998</v>
      </c>
      <c r="W5703">
        <v>9.3219940000000001E-2</v>
      </c>
      <c r="X5703">
        <v>0.95224560000000003</v>
      </c>
      <c r="Y5703">
        <v>-0.4196918</v>
      </c>
      <c r="Z5703">
        <v>6.4248379999999994E-2</v>
      </c>
      <c r="AA5703">
        <v>0.90539000000000003</v>
      </c>
      <c r="AB5703">
        <v>27</v>
      </c>
      <c r="AC5703">
        <v>12.3575999999999</v>
      </c>
      <c r="AD5703">
        <v>-1.119841607293</v>
      </c>
      <c r="AE5703">
        <v>-1.5965399999999901</v>
      </c>
      <c r="AF5703">
        <v>-5.28788785272629</v>
      </c>
      <c r="AG5703">
        <v>-1.119841607293</v>
      </c>
      <c r="AH5703">
        <v>11.1722617462386</v>
      </c>
      <c r="AI5703">
        <v>95.176786405201</v>
      </c>
      <c r="AJ5703">
        <v>115.328429974541</v>
      </c>
      <c r="AK5703">
        <v>12.411093251398199</v>
      </c>
      <c r="AL5703">
        <v>84.651124934610493</v>
      </c>
      <c r="AM5703">
        <v>106.97931923583801</v>
      </c>
      <c r="AN5703">
        <v>1.00000002590348</v>
      </c>
    </row>
    <row r="5704" spans="1:40" x14ac:dyDescent="0.25">
      <c r="A5704" t="str">
        <f>"20190312164620067"</f>
        <v>20190312164620067</v>
      </c>
      <c r="B5704" t="str">
        <f>"1552380380057441"</f>
        <v>1552380380057441</v>
      </c>
      <c r="C5704" t="s">
        <v>40</v>
      </c>
      <c r="D5704">
        <v>5.407019</v>
      </c>
      <c r="E5704">
        <v>0.4450057</v>
      </c>
      <c r="F5704" t="s">
        <v>41</v>
      </c>
      <c r="G5704">
        <v>-291.34750000000003</v>
      </c>
      <c r="H5704">
        <v>1.027515</v>
      </c>
      <c r="I5704">
        <v>-59.741889999999998</v>
      </c>
      <c r="J5704">
        <v>-292.23739999999998</v>
      </c>
      <c r="K5704">
        <v>1.119761</v>
      </c>
      <c r="L5704">
        <v>-59.694400000000002</v>
      </c>
      <c r="M5704">
        <v>0.84718079999999996</v>
      </c>
      <c r="N5704">
        <v>0</v>
      </c>
      <c r="O5704">
        <v>-0.5311633</v>
      </c>
      <c r="P5704">
        <v>0.9603602</v>
      </c>
      <c r="Q5704">
        <v>9.0435429999999997E-2</v>
      </c>
      <c r="R5704">
        <v>-0.2636849</v>
      </c>
      <c r="S5704">
        <v>3.0477910000000001</v>
      </c>
      <c r="T5704">
        <v>-0.27078760000000002</v>
      </c>
      <c r="U5704">
        <v>-0.3839417</v>
      </c>
      <c r="V5704">
        <v>-0.28948580000000002</v>
      </c>
      <c r="W5704">
        <v>9.4056899999999999E-2</v>
      </c>
      <c r="X5704">
        <v>0.95254989999999995</v>
      </c>
      <c r="Y5704">
        <v>-0.41769430000000002</v>
      </c>
      <c r="Z5704">
        <v>6.3041479999999997E-2</v>
      </c>
      <c r="AA5704">
        <v>0.90639789999999998</v>
      </c>
      <c r="AB5704">
        <v>27</v>
      </c>
      <c r="AC5704">
        <v>0.88989999999995395</v>
      </c>
      <c r="AD5704">
        <v>-9.2245999999999995E-2</v>
      </c>
      <c r="AE5704">
        <v>-4.74900000000033E-2</v>
      </c>
      <c r="AF5704">
        <v>-0.42789732781920398</v>
      </c>
      <c r="AG5704">
        <v>-9.2245999999999995E-2</v>
      </c>
      <c r="AH5704">
        <v>0.77092944232680205</v>
      </c>
      <c r="AI5704">
        <v>95.9725932631262</v>
      </c>
      <c r="AJ5704">
        <v>119.032063723246</v>
      </c>
      <c r="AK5704">
        <v>0.88653124745669798</v>
      </c>
      <c r="AL5704">
        <v>84.602959001139794</v>
      </c>
      <c r="AM5704">
        <v>106.904350871372</v>
      </c>
      <c r="AN5704">
        <v>1.00000002041462</v>
      </c>
    </row>
    <row r="5705" spans="1:40" x14ac:dyDescent="0.25">
      <c r="A5705" t="str">
        <f>"20190312164620081"</f>
        <v>20190312164620081</v>
      </c>
      <c r="B5705" t="str">
        <f>"1552380380076961"</f>
        <v>1552380380076961</v>
      </c>
      <c r="C5705" t="s">
        <v>40</v>
      </c>
      <c r="D5705">
        <v>5.7082800000000002</v>
      </c>
      <c r="E5705">
        <v>0.44541170000000002</v>
      </c>
      <c r="F5705" t="s">
        <v>42</v>
      </c>
      <c r="G5705">
        <v>-279.54660000000001</v>
      </c>
      <c r="H5705" s="1">
        <v>-3.3937129999999999E-6</v>
      </c>
      <c r="I5705">
        <v>-61.187910000000002</v>
      </c>
      <c r="J5705">
        <v>-292.09739999999999</v>
      </c>
      <c r="K5705">
        <v>1.1196900000000001</v>
      </c>
      <c r="L5705">
        <v>-59.770479999999999</v>
      </c>
      <c r="M5705">
        <v>0.85228969999999904</v>
      </c>
      <c r="N5705">
        <v>0</v>
      </c>
      <c r="O5705">
        <v>-0.52292709999999998</v>
      </c>
      <c r="P5705">
        <v>0.96194179999999996</v>
      </c>
      <c r="Q5705">
        <v>9.1445159999999998E-2</v>
      </c>
      <c r="R5705">
        <v>-0.25749939999999999</v>
      </c>
      <c r="S5705">
        <v>3.0505979999999999</v>
      </c>
      <c r="T5705">
        <v>-0.26916830000000003</v>
      </c>
      <c r="U5705">
        <v>-0.35900880000000002</v>
      </c>
      <c r="V5705">
        <v>-0.28633979999999998</v>
      </c>
      <c r="W5705">
        <v>9.5186209999999993E-2</v>
      </c>
      <c r="X5705">
        <v>0.95338820000000002</v>
      </c>
      <c r="Y5705">
        <v>-0.41637410000000002</v>
      </c>
      <c r="Z5705">
        <v>6.199226E-2</v>
      </c>
      <c r="AA5705">
        <v>0.90707749999999998</v>
      </c>
      <c r="AB5705">
        <v>27</v>
      </c>
      <c r="AC5705">
        <v>12.550799999999899</v>
      </c>
      <c r="AD5705">
        <v>-1.119693393713</v>
      </c>
      <c r="AE5705">
        <v>-1.41742999999998</v>
      </c>
      <c r="AF5705">
        <v>-5.3137337432015901</v>
      </c>
      <c r="AG5705">
        <v>-1.119693393713</v>
      </c>
      <c r="AH5705">
        <v>11.349790595760201</v>
      </c>
      <c r="AI5705">
        <v>95.105594072387603</v>
      </c>
      <c r="AJ5705">
        <v>115.088007231929</v>
      </c>
      <c r="AK5705">
        <v>12.5820199553637</v>
      </c>
      <c r="AL5705">
        <v>84.537962450537407</v>
      </c>
      <c r="AM5705">
        <v>106.717069878668</v>
      </c>
      <c r="AN5705">
        <v>0.99999997776872096</v>
      </c>
    </row>
    <row r="5706" spans="1:40" x14ac:dyDescent="0.25">
      <c r="A5706" t="str">
        <f>"20190312164620094"</f>
        <v>20190312164620094</v>
      </c>
      <c r="B5706" t="str">
        <f>"1552380380086721"</f>
        <v>1552380380086721</v>
      </c>
      <c r="C5706" t="s">
        <v>40</v>
      </c>
      <c r="D5706">
        <v>5.3112180000000002</v>
      </c>
      <c r="E5706">
        <v>0.44561590000000001</v>
      </c>
      <c r="F5706" t="s">
        <v>42</v>
      </c>
      <c r="G5706">
        <v>-279.26440000000002</v>
      </c>
      <c r="H5706" s="1">
        <v>-3.3015300000000001E-6</v>
      </c>
      <c r="I5706">
        <v>-61.216819999999998</v>
      </c>
      <c r="J5706">
        <v>-291.96260000000001</v>
      </c>
      <c r="K5706">
        <v>1.1196109999999999</v>
      </c>
      <c r="L5706">
        <v>-59.842559999999999</v>
      </c>
      <c r="M5706">
        <v>0.85708030000000002</v>
      </c>
      <c r="N5706">
        <v>0</v>
      </c>
      <c r="O5706">
        <v>-0.51503869999999996</v>
      </c>
      <c r="P5706">
        <v>0.96386329999999998</v>
      </c>
      <c r="Q5706">
        <v>9.1583739999999997E-2</v>
      </c>
      <c r="R5706">
        <v>-0.25016129999999998</v>
      </c>
      <c r="S5706">
        <v>3.0519099999999999</v>
      </c>
      <c r="T5706">
        <v>-0.26628089999999999</v>
      </c>
      <c r="U5706">
        <v>-0.34396359999999998</v>
      </c>
      <c r="V5706">
        <v>-0.28478290000000001</v>
      </c>
      <c r="W5706">
        <v>9.5396499999999995E-2</v>
      </c>
      <c r="X5706">
        <v>0.95383340000000005</v>
      </c>
      <c r="Y5706">
        <v>-0.41255789999999998</v>
      </c>
      <c r="Z5706">
        <v>6.0583610000000003E-2</v>
      </c>
      <c r="AA5706">
        <v>0.90891449999999996</v>
      </c>
      <c r="AB5706">
        <v>27</v>
      </c>
      <c r="AC5706">
        <v>12.6981999999999</v>
      </c>
      <c r="AD5706">
        <v>-1.11961430153</v>
      </c>
      <c r="AE5706">
        <v>-1.37425999999999</v>
      </c>
      <c r="AF5706">
        <v>-5.3217185856530698</v>
      </c>
      <c r="AG5706">
        <v>-1.11961430153</v>
      </c>
      <c r="AH5706">
        <v>11.503639272735899</v>
      </c>
      <c r="AI5706">
        <v>95.047995937444298</v>
      </c>
      <c r="AJ5706">
        <v>114.825815206127</v>
      </c>
      <c r="AK5706">
        <v>12.7243051443412</v>
      </c>
      <c r="AL5706">
        <v>84.525858618864206</v>
      </c>
      <c r="AM5706">
        <v>106.62387374191999</v>
      </c>
      <c r="AN5706">
        <v>0.99999997365010895</v>
      </c>
    </row>
    <row r="5707" spans="1:40" x14ac:dyDescent="0.25">
      <c r="A5707" t="str">
        <f>"20190312164620105"</f>
        <v>20190312164620105</v>
      </c>
      <c r="B5707" t="str">
        <f>"1552380380097458"</f>
        <v>1552380380097458</v>
      </c>
      <c r="C5707" t="s">
        <v>40</v>
      </c>
      <c r="D5707">
        <v>5.4193540000000002</v>
      </c>
      <c r="E5707">
        <v>0.44584200000000002</v>
      </c>
      <c r="F5707" t="s">
        <v>42</v>
      </c>
      <c r="G5707">
        <v>-279.07889999999998</v>
      </c>
      <c r="H5707" s="1">
        <v>-3.2310780000000001E-6</v>
      </c>
      <c r="I5707">
        <v>-61.201929999999997</v>
      </c>
      <c r="J5707">
        <v>-291.83999999999997</v>
      </c>
      <c r="K5707">
        <v>1.1195329999999999</v>
      </c>
      <c r="L5707">
        <v>-59.9069199999999</v>
      </c>
      <c r="M5707">
        <v>0.86131950000000002</v>
      </c>
      <c r="N5707">
        <v>0</v>
      </c>
      <c r="O5707">
        <v>-0.50791799999999998</v>
      </c>
      <c r="P5707">
        <v>0.96547570000000005</v>
      </c>
      <c r="Q5707">
        <v>9.1004600000000005E-2</v>
      </c>
      <c r="R5707">
        <v>-0.24408009999999999</v>
      </c>
      <c r="S5707">
        <v>3.0540470000000002</v>
      </c>
      <c r="T5707">
        <v>-0.26540200000000003</v>
      </c>
      <c r="U5707">
        <v>-0.322235099999999</v>
      </c>
      <c r="V5707">
        <v>-0.28288200000000002</v>
      </c>
      <c r="W5707">
        <v>9.4901410000000005E-2</v>
      </c>
      <c r="X5707">
        <v>0.95444830000000003</v>
      </c>
      <c r="Y5707">
        <v>-0.41152630000000001</v>
      </c>
      <c r="Z5707">
        <v>5.981036E-2</v>
      </c>
      <c r="AA5707">
        <v>0.90943320000000005</v>
      </c>
      <c r="AB5707">
        <v>27</v>
      </c>
      <c r="AC5707">
        <v>12.761100000000001</v>
      </c>
      <c r="AD5707">
        <v>-1.1195362310779999</v>
      </c>
      <c r="AE5707">
        <v>-1.29501000000001</v>
      </c>
      <c r="AF5707">
        <v>-5.3259978956190599</v>
      </c>
      <c r="AG5707">
        <v>-1.1195362310779999</v>
      </c>
      <c r="AH5707">
        <v>11.561924775204</v>
      </c>
      <c r="AI5707">
        <v>95.026062138271698</v>
      </c>
      <c r="AJ5707">
        <v>114.733149469553</v>
      </c>
      <c r="AK5707">
        <v>12.778799609678201</v>
      </c>
      <c r="AL5707">
        <v>84.554354782058894</v>
      </c>
      <c r="AM5707">
        <v>106.50891427831399</v>
      </c>
      <c r="AN5707">
        <v>1.00000003045843</v>
      </c>
    </row>
    <row r="5708" spans="1:40" x14ac:dyDescent="0.25">
      <c r="A5708" t="str">
        <f>"20190312164620116"</f>
        <v>20190312164620116</v>
      </c>
      <c r="B5708" t="str">
        <f>"1552380380108194"</f>
        <v>1552380380108194</v>
      </c>
      <c r="C5708" t="s">
        <v>40</v>
      </c>
      <c r="D5708">
        <v>5.3581669999999999</v>
      </c>
      <c r="E5708">
        <v>0.44600329999999999</v>
      </c>
      <c r="F5708" t="s">
        <v>42</v>
      </c>
      <c r="G5708">
        <v>-279.07859999999999</v>
      </c>
      <c r="H5708" s="1">
        <v>-3.2258370000000001E-6</v>
      </c>
      <c r="I5708">
        <v>-61.179160000000003</v>
      </c>
      <c r="J5708">
        <v>-291.72250000000003</v>
      </c>
      <c r="K5708">
        <v>1.119448</v>
      </c>
      <c r="L5708">
        <v>-59.967129999999997</v>
      </c>
      <c r="M5708">
        <v>0.86525569999999896</v>
      </c>
      <c r="N5708">
        <v>0</v>
      </c>
      <c r="O5708">
        <v>-0.50118339999999995</v>
      </c>
      <c r="P5708">
        <v>0.96698589999999995</v>
      </c>
      <c r="Q5708">
        <v>9.0315549999999994E-2</v>
      </c>
      <c r="R5708">
        <v>-0.23828759999999999</v>
      </c>
      <c r="S5708">
        <v>3.0556030000000001</v>
      </c>
      <c r="T5708">
        <v>-0.26806259999999998</v>
      </c>
      <c r="U5708">
        <v>-0.30462650000000002</v>
      </c>
      <c r="V5708">
        <v>-0.28115069999999998</v>
      </c>
      <c r="W5708">
        <v>9.4292379999999995E-2</v>
      </c>
      <c r="X5708">
        <v>0.95501999999999998</v>
      </c>
      <c r="Y5708">
        <v>-0.40962199999999999</v>
      </c>
      <c r="Z5708">
        <v>5.9817759999999998E-2</v>
      </c>
      <c r="AA5708">
        <v>0.91029199999999999</v>
      </c>
      <c r="AB5708">
        <v>27</v>
      </c>
      <c r="AC5708">
        <v>12.6439</v>
      </c>
      <c r="AD5708">
        <v>-1.119451225837</v>
      </c>
      <c r="AE5708">
        <v>-1.2120299999999899</v>
      </c>
      <c r="AF5708">
        <v>-5.2478257242525803</v>
      </c>
      <c r="AG5708">
        <v>-1.119451225837</v>
      </c>
      <c r="AH5708">
        <v>11.4594986424031</v>
      </c>
      <c r="AI5708">
        <v>95.075545522441303</v>
      </c>
      <c r="AJ5708">
        <v>114.605198043794</v>
      </c>
      <c r="AK5708">
        <v>12.6535747919073</v>
      </c>
      <c r="AL5708">
        <v>84.589406567190295</v>
      </c>
      <c r="AM5708">
        <v>106.40403195458801</v>
      </c>
      <c r="AN5708">
        <v>0.999999984718277</v>
      </c>
    </row>
    <row r="5709" spans="1:40" x14ac:dyDescent="0.25">
      <c r="A5709" t="str">
        <f>"20190312164620129"</f>
        <v>20190312164620129</v>
      </c>
      <c r="B5709" t="str">
        <f>"1552380380126737"</f>
        <v>1552380380126737</v>
      </c>
      <c r="C5709" t="s">
        <v>40</v>
      </c>
      <c r="D5709">
        <v>6.5899989999999997</v>
      </c>
      <c r="E5709">
        <v>0.44646239999999998</v>
      </c>
      <c r="F5709" t="s">
        <v>42</v>
      </c>
      <c r="G5709">
        <v>-279.065</v>
      </c>
      <c r="H5709" s="1">
        <v>-3.2149849999999999E-6</v>
      </c>
      <c r="I5709">
        <v>-61.156460000000003</v>
      </c>
      <c r="J5709">
        <v>-291.59679999999997</v>
      </c>
      <c r="K5709">
        <v>1.1193569999999999</v>
      </c>
      <c r="L5709">
        <v>-60.030940000000001</v>
      </c>
      <c r="M5709">
        <v>0.86937989999999998</v>
      </c>
      <c r="N5709">
        <v>0</v>
      </c>
      <c r="O5709">
        <v>-0.4939964</v>
      </c>
      <c r="P5709">
        <v>0.96866920000000001</v>
      </c>
      <c r="Q5709">
        <v>8.9369680000000007E-2</v>
      </c>
      <c r="R5709">
        <v>-0.2317187</v>
      </c>
      <c r="S5709">
        <v>3.056854</v>
      </c>
      <c r="T5709">
        <v>-0.27035439999999999</v>
      </c>
      <c r="U5709">
        <v>-0.28723140000000003</v>
      </c>
      <c r="V5709">
        <v>-0.27971439999999997</v>
      </c>
      <c r="W5709">
        <v>9.3419820000000001E-2</v>
      </c>
      <c r="X5709">
        <v>0.95552740000000003</v>
      </c>
      <c r="Y5709">
        <v>-0.40721449999999998</v>
      </c>
      <c r="Z5709">
        <v>5.9676729999999997E-2</v>
      </c>
      <c r="AA5709">
        <v>0.91138090000000005</v>
      </c>
      <c r="AB5709">
        <v>27</v>
      </c>
      <c r="AC5709">
        <v>12.531799999999899</v>
      </c>
      <c r="AD5709">
        <v>-1.1193602149849999</v>
      </c>
      <c r="AE5709">
        <v>-1.1255199999999901</v>
      </c>
      <c r="AF5709">
        <v>-5.1716098061686298</v>
      </c>
      <c r="AG5709">
        <v>-1.1193602149849999</v>
      </c>
      <c r="AH5709">
        <v>11.361811603806499</v>
      </c>
      <c r="AI5709">
        <v>95.123871809889593</v>
      </c>
      <c r="AJ5709">
        <v>114.47382990926501</v>
      </c>
      <c r="AK5709">
        <v>12.5335261677847</v>
      </c>
      <c r="AL5709">
        <v>84.639622375544803</v>
      </c>
      <c r="AM5709">
        <v>106.316494865838</v>
      </c>
      <c r="AN5709">
        <v>1.0000000102434701</v>
      </c>
    </row>
    <row r="5710" spans="1:40" x14ac:dyDescent="0.25">
      <c r="A5710" t="str">
        <f>"20190312164620147"</f>
        <v>20190312164620147</v>
      </c>
      <c r="B5710" t="str">
        <f>"1552380380137474"</f>
        <v>1552380380137474</v>
      </c>
      <c r="C5710" t="s">
        <v>40</v>
      </c>
      <c r="D5710">
        <v>5.9397719999999996</v>
      </c>
      <c r="E5710">
        <v>0.4466832</v>
      </c>
      <c r="F5710" t="s">
        <v>41</v>
      </c>
      <c r="G5710">
        <v>-290.49720000000002</v>
      </c>
      <c r="H5710">
        <v>1.020956</v>
      </c>
      <c r="I5710">
        <v>-60.128100000000003</v>
      </c>
      <c r="J5710">
        <v>-291.40550000000002</v>
      </c>
      <c r="K5710">
        <v>1.1191990000000001</v>
      </c>
      <c r="L5710">
        <v>-60.12518</v>
      </c>
      <c r="M5710">
        <v>0.87540229999999997</v>
      </c>
      <c r="N5710">
        <v>0</v>
      </c>
      <c r="O5710">
        <v>-0.48324509999999998</v>
      </c>
      <c r="P5710">
        <v>0.97070040000000002</v>
      </c>
      <c r="Q5710">
        <v>8.8616790000000001E-2</v>
      </c>
      <c r="R5710">
        <v>-0.2233569</v>
      </c>
      <c r="S5710">
        <v>3.0577390000000002</v>
      </c>
      <c r="T5710">
        <v>-0.27361449999999998</v>
      </c>
      <c r="U5710">
        <v>-0.26983639999999998</v>
      </c>
      <c r="V5710">
        <v>-0.27615250000000002</v>
      </c>
      <c r="W5710">
        <v>9.2824939999999995E-2</v>
      </c>
      <c r="X5710">
        <v>0.95662080000000005</v>
      </c>
      <c r="Y5710">
        <v>-0.40110859999999998</v>
      </c>
      <c r="Z5710">
        <v>5.929367E-2</v>
      </c>
      <c r="AA5710">
        <v>0.91410950000000002</v>
      </c>
      <c r="AB5710">
        <v>27</v>
      </c>
      <c r="AC5710">
        <v>0.908299999999997</v>
      </c>
      <c r="AD5710">
        <v>-9.8242999999999997E-2</v>
      </c>
      <c r="AE5710">
        <v>-2.9199999999960299E-3</v>
      </c>
      <c r="AF5710">
        <v>-0.43136059989254</v>
      </c>
      <c r="AG5710">
        <v>-9.8242999999999997E-2</v>
      </c>
      <c r="AH5710">
        <v>0.78738529712387695</v>
      </c>
      <c r="AI5710">
        <v>96.244812633408898</v>
      </c>
      <c r="AJ5710">
        <v>118.715659255397</v>
      </c>
      <c r="AK5710">
        <v>0.90316070569722495</v>
      </c>
      <c r="AL5710">
        <v>84.673855261481606</v>
      </c>
      <c r="AM5710">
        <v>106.10210611157299</v>
      </c>
      <c r="AN5710">
        <v>1.0000000138674401</v>
      </c>
    </row>
    <row r="5711" spans="1:40" x14ac:dyDescent="0.25">
      <c r="A5711" t="str">
        <f>"20190312164620158"</f>
        <v>20190312164620158</v>
      </c>
      <c r="B5711" t="str">
        <f>"1552380380147234"</f>
        <v>1552380380147234</v>
      </c>
      <c r="C5711" t="s">
        <v>40</v>
      </c>
      <c r="D5711">
        <v>5.2742310000000003</v>
      </c>
      <c r="E5711">
        <v>0.44690170000000001</v>
      </c>
      <c r="F5711" t="s">
        <v>42</v>
      </c>
      <c r="G5711">
        <v>-278.9982</v>
      </c>
      <c r="H5711" s="1">
        <v>-3.1782669999999999E-6</v>
      </c>
      <c r="I5711">
        <v>-61.120280000000001</v>
      </c>
      <c r="J5711">
        <v>-291.28829999999999</v>
      </c>
      <c r="K5711">
        <v>1.1191059999999999</v>
      </c>
      <c r="L5711">
        <v>-60.181240000000003</v>
      </c>
      <c r="M5711">
        <v>0.87894689999999998</v>
      </c>
      <c r="N5711">
        <v>0</v>
      </c>
      <c r="O5711">
        <v>-0.47676800000000003</v>
      </c>
      <c r="P5711">
        <v>0.97193600000000002</v>
      </c>
      <c r="Q5711">
        <v>8.7709129999999996E-2</v>
      </c>
      <c r="R5711">
        <v>-0.2182837</v>
      </c>
      <c r="S5711">
        <v>3.0592649999999999</v>
      </c>
      <c r="T5711">
        <v>-0.27596209999999999</v>
      </c>
      <c r="U5711">
        <v>-0.2453613</v>
      </c>
      <c r="V5711">
        <v>-0.27407710000000002</v>
      </c>
      <c r="W5711">
        <v>9.2010190000000006E-2</v>
      </c>
      <c r="X5711">
        <v>0.95729609999999998</v>
      </c>
      <c r="Y5711">
        <v>-0.40161629999999998</v>
      </c>
      <c r="Z5711">
        <v>5.9319629999999998E-2</v>
      </c>
      <c r="AA5711">
        <v>0.91388480000000005</v>
      </c>
      <c r="AB5711">
        <v>27</v>
      </c>
      <c r="AC5711">
        <v>12.290099999999899</v>
      </c>
      <c r="AD5711">
        <v>-1.119109178267</v>
      </c>
      <c r="AE5711">
        <v>-0.93904000000000498</v>
      </c>
      <c r="AF5711">
        <v>-4.9933619104273603</v>
      </c>
      <c r="AG5711">
        <v>-1.119109178267</v>
      </c>
      <c r="AH5711">
        <v>11.158876086919401</v>
      </c>
      <c r="AI5711">
        <v>95.230369036558201</v>
      </c>
      <c r="AJ5711">
        <v>114.107509998837</v>
      </c>
      <c r="AK5711">
        <v>12.27626099611</v>
      </c>
      <c r="AL5711">
        <v>84.720737446355201</v>
      </c>
      <c r="AM5711">
        <v>105.97659578890899</v>
      </c>
      <c r="AN5711">
        <v>0.99999997744172697</v>
      </c>
    </row>
    <row r="5712" spans="1:40" x14ac:dyDescent="0.25">
      <c r="A5712" t="str">
        <f>"20190312164620171"</f>
        <v>20190312164620171</v>
      </c>
      <c r="B5712" t="str">
        <f>"1552380380166754"</f>
        <v>1552380380166754</v>
      </c>
      <c r="C5712" t="s">
        <v>40</v>
      </c>
      <c r="D5712">
        <v>5.2814180000000004</v>
      </c>
      <c r="E5712">
        <v>0.44710450000000002</v>
      </c>
      <c r="F5712" t="s">
        <v>42</v>
      </c>
      <c r="G5712">
        <v>-278.98700000000002</v>
      </c>
      <c r="H5712" s="1">
        <v>-3.171153E-6</v>
      </c>
      <c r="I5712">
        <v>-61.109859999999998</v>
      </c>
      <c r="J5712">
        <v>-291.15530000000001</v>
      </c>
      <c r="K5712">
        <v>1.118997</v>
      </c>
      <c r="L5712">
        <v>-60.244320000000002</v>
      </c>
      <c r="M5712">
        <v>0.88288440000000001</v>
      </c>
      <c r="N5712">
        <v>0</v>
      </c>
      <c r="O5712">
        <v>-0.4694373</v>
      </c>
      <c r="P5712">
        <v>0.9733868</v>
      </c>
      <c r="Q5712">
        <v>8.6979000000000001E-2</v>
      </c>
      <c r="R5712">
        <v>-0.21202099999999999</v>
      </c>
      <c r="S5712">
        <v>3.0598749999999999</v>
      </c>
      <c r="T5712">
        <v>-0.27837109999999998</v>
      </c>
      <c r="U5712">
        <v>-0.23098750000000001</v>
      </c>
      <c r="V5712">
        <v>-0.27226</v>
      </c>
      <c r="W5712">
        <v>9.1369629999999993E-2</v>
      </c>
      <c r="X5712">
        <v>0.95787580000000005</v>
      </c>
      <c r="Y5712">
        <v>-0.39826289999999998</v>
      </c>
      <c r="Z5712">
        <v>5.9104009999999998E-2</v>
      </c>
      <c r="AA5712">
        <v>0.91536519999999999</v>
      </c>
      <c r="AB5712">
        <v>27</v>
      </c>
      <c r="AC5712">
        <v>12.168299999999901</v>
      </c>
      <c r="AD5712">
        <v>-1.119000171153</v>
      </c>
      <c r="AE5712">
        <v>-0.86554000000000197</v>
      </c>
      <c r="AF5712">
        <v>-4.9071485001378301</v>
      </c>
      <c r="AG5712">
        <v>-1.119000171153</v>
      </c>
      <c r="AH5712">
        <v>11.0572832021798</v>
      </c>
      <c r="AI5712">
        <v>95.284839557251104</v>
      </c>
      <c r="AJ5712">
        <v>113.93132878077699</v>
      </c>
      <c r="AK5712">
        <v>12.1489003452433</v>
      </c>
      <c r="AL5712">
        <v>84.757594113865196</v>
      </c>
      <c r="AM5712">
        <v>105.86690406190399</v>
      </c>
      <c r="AN5712">
        <v>0.99999998255598799</v>
      </c>
    </row>
    <row r="5713" spans="1:40" x14ac:dyDescent="0.25">
      <c r="A5713" t="str">
        <f>"20190312164620182"</f>
        <v>20190312164620182</v>
      </c>
      <c r="B5713" t="str">
        <f>"1552380380177490"</f>
        <v>1552380380177490</v>
      </c>
      <c r="C5713" t="s">
        <v>40</v>
      </c>
      <c r="D5713">
        <v>5.4343399999999997</v>
      </c>
      <c r="E5713">
        <v>0.47382360000000001</v>
      </c>
      <c r="F5713" t="s">
        <v>42</v>
      </c>
      <c r="G5713">
        <v>-278.91210000000001</v>
      </c>
      <c r="H5713" s="1">
        <v>-3.1353580000000002E-6</v>
      </c>
      <c r="I5713">
        <v>-61.093319999999999</v>
      </c>
      <c r="J5713">
        <v>-291.03649999999999</v>
      </c>
      <c r="K5713">
        <v>1.1188959999999999</v>
      </c>
      <c r="L5713">
        <v>-60.299219999999998</v>
      </c>
      <c r="M5713">
        <v>0.88627429999999996</v>
      </c>
      <c r="N5713">
        <v>0</v>
      </c>
      <c r="O5713">
        <v>-0.46300629999999998</v>
      </c>
      <c r="P5713">
        <v>0.97449790000000003</v>
      </c>
      <c r="Q5713">
        <v>8.5717500000000002E-2</v>
      </c>
      <c r="R5713">
        <v>-0.2073796</v>
      </c>
      <c r="S5713">
        <v>3.060791</v>
      </c>
      <c r="T5713">
        <v>-0.27975050000000001</v>
      </c>
      <c r="U5713">
        <v>-0.21224979999999999</v>
      </c>
      <c r="V5713">
        <v>-0.26985550000000003</v>
      </c>
      <c r="W5713">
        <v>9.0212870000000001E-2</v>
      </c>
      <c r="X5713">
        <v>0.95866549999999995</v>
      </c>
      <c r="Y5713">
        <v>-0.39719019999999999</v>
      </c>
      <c r="Z5713">
        <v>5.8834440000000002E-2</v>
      </c>
      <c r="AA5713">
        <v>0.91584849999999995</v>
      </c>
      <c r="AB5713">
        <v>27</v>
      </c>
      <c r="AC5713">
        <v>12.1243999999999</v>
      </c>
      <c r="AD5713">
        <v>-1.11889913535799</v>
      </c>
      <c r="AE5713">
        <v>-0.79410000000000003</v>
      </c>
      <c r="AF5713">
        <v>-4.86894506203961</v>
      </c>
      <c r="AG5713">
        <v>-1.11889913535799</v>
      </c>
      <c r="AH5713">
        <v>11.0205565635995</v>
      </c>
      <c r="AI5713">
        <v>95.305755793718603</v>
      </c>
      <c r="AJ5713">
        <v>113.836116420815</v>
      </c>
      <c r="AK5713">
        <v>12.100050754594401</v>
      </c>
      <c r="AL5713">
        <v>84.824146264158998</v>
      </c>
      <c r="AM5713">
        <v>105.721421473245</v>
      </c>
      <c r="AN5713">
        <v>0.99999994684206694</v>
      </c>
    </row>
    <row r="5714" spans="1:40" x14ac:dyDescent="0.25">
      <c r="A5714" t="str">
        <f>"20190312164620193"</f>
        <v>20190312164620193</v>
      </c>
      <c r="B5714" t="str">
        <f>"1552380380187249"</f>
        <v>1552380380187249</v>
      </c>
      <c r="C5714" t="s">
        <v>40</v>
      </c>
      <c r="D5714">
        <v>5.3781439999999998</v>
      </c>
      <c r="E5714">
        <v>0.47395789999999999</v>
      </c>
      <c r="F5714" t="s">
        <v>42</v>
      </c>
      <c r="G5714">
        <v>-276.1223</v>
      </c>
      <c r="H5714" s="1">
        <v>-2.2098859999999998E-6</v>
      </c>
      <c r="I5714">
        <v>-62.313659999999999</v>
      </c>
      <c r="J5714">
        <v>-290.9205</v>
      </c>
      <c r="K5714">
        <v>1.118803</v>
      </c>
      <c r="L5714">
        <v>-60.352170000000001</v>
      </c>
      <c r="M5714">
        <v>0.88950969999999996</v>
      </c>
      <c r="N5714">
        <v>0</v>
      </c>
      <c r="O5714">
        <v>-0.45676070000000002</v>
      </c>
      <c r="P5714">
        <v>0.97583529999999996</v>
      </c>
      <c r="Q5714">
        <v>8.5292610000000005E-2</v>
      </c>
      <c r="R5714">
        <v>-0.20117360000000001</v>
      </c>
      <c r="S5714">
        <v>3.0118100000000001</v>
      </c>
      <c r="T5714">
        <v>-0.2259524</v>
      </c>
      <c r="U5714">
        <v>-0.40679929999999997</v>
      </c>
      <c r="V5714">
        <v>-0.26919670000000001</v>
      </c>
      <c r="W5714">
        <v>8.9838639999999997E-2</v>
      </c>
      <c r="X5714">
        <v>0.95888589999999996</v>
      </c>
      <c r="Y5714">
        <v>-0.33154139999999999</v>
      </c>
      <c r="Z5714">
        <v>4.5177759999999997E-2</v>
      </c>
      <c r="AA5714">
        <v>0.94235840000000004</v>
      </c>
      <c r="AB5714">
        <v>27</v>
      </c>
      <c r="AC5714">
        <v>14.7982</v>
      </c>
      <c r="AD5714">
        <v>-1.118805209886</v>
      </c>
      <c r="AE5714">
        <v>-1.96149</v>
      </c>
      <c r="AF5714">
        <v>-4.9868158548727397</v>
      </c>
      <c r="AG5714">
        <v>-1.118805209886</v>
      </c>
      <c r="AH5714">
        <v>13.9815349920316</v>
      </c>
      <c r="AI5714">
        <v>94.310211934834001</v>
      </c>
      <c r="AJ5714">
        <v>109.629871670402</v>
      </c>
      <c r="AK5714">
        <v>14.8863487195982</v>
      </c>
      <c r="AL5714">
        <v>84.845675796009701</v>
      </c>
      <c r="AM5714">
        <v>105.681503989058</v>
      </c>
      <c r="AN5714">
        <v>1.0000000068733701</v>
      </c>
    </row>
    <row r="5715" spans="1:40" x14ac:dyDescent="0.25">
      <c r="A5715" t="str">
        <f>"20190312164620204"</f>
        <v>20190312164620204</v>
      </c>
      <c r="B5715" t="str">
        <f>"1552380380197177"</f>
        <v>1552380380197177</v>
      </c>
      <c r="C5715" t="s">
        <v>40</v>
      </c>
      <c r="D5715">
        <v>5.42788</v>
      </c>
      <c r="E5715">
        <v>0.47396549999999998</v>
      </c>
      <c r="F5715" t="s">
        <v>42</v>
      </c>
      <c r="G5715">
        <v>-276.22930000000002</v>
      </c>
      <c r="H5715" s="1">
        <v>-2.2402690000000002E-6</v>
      </c>
      <c r="I5715">
        <v>-62.243760000000002</v>
      </c>
      <c r="J5715">
        <v>-290.80059999999997</v>
      </c>
      <c r="K5715">
        <v>1.1186990000000001</v>
      </c>
      <c r="L5715">
        <v>-60.405850000000001</v>
      </c>
      <c r="M5715">
        <v>0.89275309999999897</v>
      </c>
      <c r="N5715">
        <v>0</v>
      </c>
      <c r="O5715">
        <v>-0.4503895</v>
      </c>
      <c r="P5715">
        <v>0.97677709999999995</v>
      </c>
      <c r="Q5715">
        <v>8.4816340000000004E-2</v>
      </c>
      <c r="R5715">
        <v>-0.1967564</v>
      </c>
      <c r="S5715">
        <v>3.0143740000000001</v>
      </c>
      <c r="T5715">
        <v>-0.22956009999999999</v>
      </c>
      <c r="U5715">
        <v>-0.38812259999999998</v>
      </c>
      <c r="V5715">
        <v>-0.26666109999999998</v>
      </c>
      <c r="W5715">
        <v>8.9467260000000007E-2</v>
      </c>
      <c r="X5715">
        <v>0.95962879999999995</v>
      </c>
      <c r="Y5715">
        <v>-0.33059739999999999</v>
      </c>
      <c r="Z5715">
        <v>4.5422289999999997E-2</v>
      </c>
      <c r="AA5715">
        <v>0.94267820000000002</v>
      </c>
      <c r="AB5715">
        <v>27</v>
      </c>
      <c r="AC5715">
        <v>14.5712999999999</v>
      </c>
      <c r="AD5715">
        <v>-1.118701240269</v>
      </c>
      <c r="AE5715">
        <v>-1.8379099999999899</v>
      </c>
      <c r="AF5715">
        <v>-4.8939137801711698</v>
      </c>
      <c r="AG5715">
        <v>-1.118701240269</v>
      </c>
      <c r="AH5715">
        <v>13.757504714297699</v>
      </c>
      <c r="AI5715">
        <v>94.381026921849795</v>
      </c>
      <c r="AJ5715">
        <v>109.581838185904</v>
      </c>
      <c r="AK5715">
        <v>14.644822310859601</v>
      </c>
      <c r="AL5715">
        <v>84.867040214987895</v>
      </c>
      <c r="AM5715">
        <v>105.52951766966299</v>
      </c>
      <c r="AN5715">
        <v>0.99999998332727802</v>
      </c>
    </row>
    <row r="5716" spans="1:40" x14ac:dyDescent="0.25">
      <c r="A5716" t="str">
        <f>"20190312164620215"</f>
        <v>20190312164620215</v>
      </c>
      <c r="B5716" t="str">
        <f>"1552380380206937"</f>
        <v>1552380380206937</v>
      </c>
      <c r="C5716" t="s">
        <v>40</v>
      </c>
      <c r="D5716">
        <v>5.4273040000000004</v>
      </c>
      <c r="E5716">
        <v>0.47390080000000001</v>
      </c>
      <c r="F5716" t="s">
        <v>42</v>
      </c>
      <c r="G5716">
        <v>-276.10469999999998</v>
      </c>
      <c r="H5716" s="1">
        <v>-2.1832569999999998E-6</v>
      </c>
      <c r="I5716">
        <v>-62.227780000000003</v>
      </c>
      <c r="J5716">
        <v>-290.68259999999998</v>
      </c>
      <c r="K5716">
        <v>1.1186</v>
      </c>
      <c r="L5716">
        <v>-60.457729999999998</v>
      </c>
      <c r="M5716">
        <v>0.89585479999999995</v>
      </c>
      <c r="N5716">
        <v>0</v>
      </c>
      <c r="O5716">
        <v>-0.444189</v>
      </c>
      <c r="P5716">
        <v>0.9776203</v>
      </c>
      <c r="Q5716">
        <v>8.4592650000000005E-2</v>
      </c>
      <c r="R5716">
        <v>-0.19262090000000001</v>
      </c>
      <c r="S5716">
        <v>3.01593</v>
      </c>
      <c r="T5716">
        <v>-0.22958329999999999</v>
      </c>
      <c r="U5716">
        <v>-0.37390139999999999</v>
      </c>
      <c r="V5716">
        <v>-0.26404689999999997</v>
      </c>
      <c r="W5716">
        <v>8.9348990000000003E-2</v>
      </c>
      <c r="X5716">
        <v>0.96036239999999995</v>
      </c>
      <c r="Y5716">
        <v>-0.32851439999999998</v>
      </c>
      <c r="Z5716">
        <v>4.4925989999999999E-2</v>
      </c>
      <c r="AA5716">
        <v>0.94342990000000004</v>
      </c>
      <c r="AB5716">
        <v>27</v>
      </c>
      <c r="AC5716">
        <v>14.5779</v>
      </c>
      <c r="AD5716">
        <v>-1.1186021832569999</v>
      </c>
      <c r="AE5716">
        <v>-1.7700499999999899</v>
      </c>
      <c r="AF5716">
        <v>-4.8617683246197103</v>
      </c>
      <c r="AG5716">
        <v>-1.1186021832569999</v>
      </c>
      <c r="AH5716">
        <v>13.7670086146068</v>
      </c>
      <c r="AI5716">
        <v>94.381172809940693</v>
      </c>
      <c r="AJ5716">
        <v>109.450485659074</v>
      </c>
      <c r="AK5716">
        <v>14.6430389018578</v>
      </c>
      <c r="AL5716">
        <v>84.873843783783997</v>
      </c>
      <c r="AM5716">
        <v>105.373324823255</v>
      </c>
      <c r="AN5716">
        <v>0.99999997337369395</v>
      </c>
    </row>
    <row r="5717" spans="1:40" x14ac:dyDescent="0.25">
      <c r="A5717" t="str">
        <f>"20190312164620226"</f>
        <v>20190312164620226</v>
      </c>
      <c r="B5717" t="str">
        <f>"1552380380216698"</f>
        <v>1552380380216698</v>
      </c>
      <c r="C5717" t="s">
        <v>40</v>
      </c>
      <c r="D5717">
        <v>5.3702500000000004</v>
      </c>
      <c r="E5717">
        <v>0.47398249999999997</v>
      </c>
      <c r="F5717" t="s">
        <v>42</v>
      </c>
      <c r="G5717">
        <v>-275.94569999999999</v>
      </c>
      <c r="H5717" s="1">
        <v>-2.1127340000000002E-6</v>
      </c>
      <c r="I5717">
        <v>-62.217440000000003</v>
      </c>
      <c r="J5717">
        <v>-290.5609</v>
      </c>
      <c r="K5717">
        <v>1.118498</v>
      </c>
      <c r="L5717">
        <v>-60.510559999999998</v>
      </c>
      <c r="M5717">
        <v>0.89897439999999995</v>
      </c>
      <c r="N5717">
        <v>0</v>
      </c>
      <c r="O5717">
        <v>-0.43784139999999999</v>
      </c>
      <c r="P5717">
        <v>0.97844260000000005</v>
      </c>
      <c r="Q5717">
        <v>8.4448620000000002E-2</v>
      </c>
      <c r="R5717">
        <v>-0.1884642</v>
      </c>
      <c r="S5717">
        <v>3.0175480000000001</v>
      </c>
      <c r="T5717">
        <v>-0.22904720000000001</v>
      </c>
      <c r="U5717">
        <v>-0.360321</v>
      </c>
      <c r="V5717">
        <v>-0.26131189999999999</v>
      </c>
      <c r="W5717">
        <v>8.9313379999999998E-2</v>
      </c>
      <c r="X5717">
        <v>0.96111349999999995</v>
      </c>
      <c r="Y5717">
        <v>-0.32611469999999998</v>
      </c>
      <c r="Z5717">
        <v>4.4295710000000002E-2</v>
      </c>
      <c r="AA5717">
        <v>0.94429180000000001</v>
      </c>
      <c r="AB5717">
        <v>27</v>
      </c>
      <c r="AC5717">
        <v>14.6152</v>
      </c>
      <c r="AD5717">
        <v>-1.118500112734</v>
      </c>
      <c r="AE5717">
        <v>-1.70688</v>
      </c>
      <c r="AF5717">
        <v>-4.83708981415751</v>
      </c>
      <c r="AG5717">
        <v>-1.118500112734</v>
      </c>
      <c r="AH5717">
        <v>13.8072266323503</v>
      </c>
      <c r="AI5717">
        <v>94.371900608798001</v>
      </c>
      <c r="AJ5717">
        <v>109.30690386285799</v>
      </c>
      <c r="AK5717">
        <v>14.672695309638801</v>
      </c>
      <c r="AL5717">
        <v>84.875892281767904</v>
      </c>
      <c r="AM5717">
        <v>105.210166775242</v>
      </c>
      <c r="AN5717">
        <v>0.99999997440544097</v>
      </c>
    </row>
    <row r="5718" spans="1:40" x14ac:dyDescent="0.25">
      <c r="A5718" t="str">
        <f>"20190312164620237"</f>
        <v>20190312164620237</v>
      </c>
      <c r="B5718" t="str">
        <f>"1552380380227433"</f>
        <v>1552380380227433</v>
      </c>
      <c r="C5718" t="s">
        <v>40</v>
      </c>
      <c r="D5718">
        <v>5.4298000000000002</v>
      </c>
      <c r="E5718">
        <v>0.4740183</v>
      </c>
      <c r="F5718" t="s">
        <v>42</v>
      </c>
      <c r="G5718">
        <v>-275.66019999999997</v>
      </c>
      <c r="H5718" s="1">
        <v>-1.9929E-6</v>
      </c>
      <c r="I5718">
        <v>-62.229410000000001</v>
      </c>
      <c r="J5718">
        <v>-290.44690000000003</v>
      </c>
      <c r="K5718">
        <v>1.1184080000000001</v>
      </c>
      <c r="L5718">
        <v>-60.558779999999999</v>
      </c>
      <c r="M5718">
        <v>0.90179589999999998</v>
      </c>
      <c r="N5718">
        <v>0</v>
      </c>
      <c r="O5718">
        <v>-0.43200149999999998</v>
      </c>
      <c r="P5718">
        <v>0.97915549999999996</v>
      </c>
      <c r="Q5718">
        <v>8.4023230000000004E-2</v>
      </c>
      <c r="R5718">
        <v>-0.18491840000000001</v>
      </c>
      <c r="S5718">
        <v>3.0185849999999999</v>
      </c>
      <c r="T5718">
        <v>-0.22658600000000001</v>
      </c>
      <c r="U5718">
        <v>-0.348205599999999</v>
      </c>
      <c r="V5718">
        <v>-0.25854149999999998</v>
      </c>
      <c r="W5718">
        <v>8.8993740000000002E-2</v>
      </c>
      <c r="X5718">
        <v>0.96189210000000003</v>
      </c>
      <c r="Y5718">
        <v>-0.32382670000000002</v>
      </c>
      <c r="Z5718">
        <v>4.3343619999999999E-2</v>
      </c>
      <c r="AA5718">
        <v>0.94512309999999999</v>
      </c>
      <c r="AB5718">
        <v>27</v>
      </c>
      <c r="AC5718">
        <v>14.7867</v>
      </c>
      <c r="AD5718">
        <v>-1.1184099929</v>
      </c>
      <c r="AE5718">
        <v>-1.6706299999999801</v>
      </c>
      <c r="AF5718">
        <v>-4.8542280082090503</v>
      </c>
      <c r="AG5718">
        <v>-1.1184099929</v>
      </c>
      <c r="AH5718">
        <v>13.978316371093401</v>
      </c>
      <c r="AI5718">
        <v>94.322345045962294</v>
      </c>
      <c r="AJ5718">
        <v>109.150500187001</v>
      </c>
      <c r="AK5718">
        <v>14.8393968556096</v>
      </c>
      <c r="AL5718">
        <v>84.894279669144396</v>
      </c>
      <c r="AM5718">
        <v>105.044633884397</v>
      </c>
      <c r="AN5718">
        <v>1.00000000251192</v>
      </c>
    </row>
    <row r="5719" spans="1:40" x14ac:dyDescent="0.25">
      <c r="A5719" t="str">
        <f>"20190312164620249"</f>
        <v>20190312164620249</v>
      </c>
      <c r="B5719" t="str">
        <f>"1552380380237193"</f>
        <v>1552380380237193</v>
      </c>
      <c r="C5719" t="s">
        <v>40</v>
      </c>
      <c r="D5719">
        <v>5.4932600000000003</v>
      </c>
      <c r="E5719">
        <v>0.47408260000000002</v>
      </c>
      <c r="F5719" t="s">
        <v>42</v>
      </c>
      <c r="G5719">
        <v>-275.54599999999999</v>
      </c>
      <c r="H5719" s="1">
        <v>-1.9427219999999998E-6</v>
      </c>
      <c r="I5719">
        <v>-62.224060000000001</v>
      </c>
      <c r="J5719">
        <v>-290.31459999999998</v>
      </c>
      <c r="K5719">
        <v>1.1182970000000001</v>
      </c>
      <c r="L5719">
        <v>-60.614350000000002</v>
      </c>
      <c r="M5719">
        <v>0.90500219999999998</v>
      </c>
      <c r="N5719">
        <v>0</v>
      </c>
      <c r="O5719">
        <v>-0.42524489999999998</v>
      </c>
      <c r="P5719">
        <v>0.97999720000000001</v>
      </c>
      <c r="Q5719">
        <v>8.3974599999999996E-2</v>
      </c>
      <c r="R5719">
        <v>-0.18042810000000001</v>
      </c>
      <c r="S5719">
        <v>3.0196230000000002</v>
      </c>
      <c r="T5719">
        <v>-0.22664200000000001</v>
      </c>
      <c r="U5719">
        <v>-0.33746340000000002</v>
      </c>
      <c r="V5719">
        <v>-0.2557296</v>
      </c>
      <c r="W5719">
        <v>8.9055960000000003E-2</v>
      </c>
      <c r="X5719">
        <v>0.96263770000000004</v>
      </c>
      <c r="Y5719">
        <v>-0.32013390000000003</v>
      </c>
      <c r="Z5719">
        <v>4.2758409999999997E-2</v>
      </c>
      <c r="AA5719">
        <v>0.94640690000000005</v>
      </c>
      <c r="AB5719">
        <v>27</v>
      </c>
      <c r="AC5719">
        <v>14.7685999999999</v>
      </c>
      <c r="AD5719">
        <v>-1.11829894272199</v>
      </c>
      <c r="AE5719">
        <v>-1.60970999999999</v>
      </c>
      <c r="AF5719">
        <v>-4.7966333924848099</v>
      </c>
      <c r="AG5719">
        <v>-1.11829894272199</v>
      </c>
      <c r="AH5719">
        <v>13.971933829012601</v>
      </c>
      <c r="AI5719">
        <v>94.329154550103098</v>
      </c>
      <c r="AJ5719">
        <v>108.947597515913</v>
      </c>
      <c r="AK5719">
        <v>14.8146285592822</v>
      </c>
      <c r="AL5719">
        <v>84.890700331914204</v>
      </c>
      <c r="AM5719">
        <v>104.87729212625899</v>
      </c>
      <c r="AN5719">
        <v>0.999999966894485</v>
      </c>
    </row>
    <row r="5720" spans="1:40" x14ac:dyDescent="0.25">
      <c r="A5720" t="str">
        <f>"20190312164620262"</f>
        <v>20190312164620262</v>
      </c>
      <c r="B5720" t="str">
        <f>"1552380380256712"</f>
        <v>1552380380256712</v>
      </c>
      <c r="C5720" t="s">
        <v>40</v>
      </c>
      <c r="D5720">
        <v>5.4403259999999998</v>
      </c>
      <c r="E5720">
        <v>0.47413379999999999</v>
      </c>
      <c r="F5720" t="s">
        <v>42</v>
      </c>
      <c r="G5720">
        <v>-275.67399999999998</v>
      </c>
      <c r="H5720" s="1">
        <v>-1.988933E-6</v>
      </c>
      <c r="I5720">
        <v>-62.184820000000002</v>
      </c>
      <c r="J5720">
        <v>-290.17039999999997</v>
      </c>
      <c r="K5720">
        <v>1.11818</v>
      </c>
      <c r="L5720">
        <v>-60.673029999999997</v>
      </c>
      <c r="M5720">
        <v>0.90835220000000005</v>
      </c>
      <c r="N5720">
        <v>0</v>
      </c>
      <c r="O5720">
        <v>-0.41804190000000002</v>
      </c>
      <c r="P5720">
        <v>0.98093240000000004</v>
      </c>
      <c r="Q5720">
        <v>8.3272520000000003E-2</v>
      </c>
      <c r="R5720">
        <v>-0.1756067</v>
      </c>
      <c r="S5720">
        <v>3.0213619999999999</v>
      </c>
      <c r="T5720">
        <v>-0.2307823</v>
      </c>
      <c r="U5720">
        <v>-0.32409670000000002</v>
      </c>
      <c r="V5720">
        <v>-0.25279430000000003</v>
      </c>
      <c r="W5720">
        <v>8.8467959999999998E-2</v>
      </c>
      <c r="X5720">
        <v>0.96346690000000001</v>
      </c>
      <c r="Y5720">
        <v>-0.3167623</v>
      </c>
      <c r="Z5720">
        <v>4.2903169999999997E-2</v>
      </c>
      <c r="AA5720">
        <v>0.94753410000000005</v>
      </c>
      <c r="AB5720">
        <v>27</v>
      </c>
      <c r="AC5720">
        <v>14.4963999999999</v>
      </c>
      <c r="AD5720">
        <v>-1.118181988933</v>
      </c>
      <c r="AE5720">
        <v>-1.51178999999999</v>
      </c>
      <c r="AF5720">
        <v>-4.6597599972163604</v>
      </c>
      <c r="AG5720">
        <v>-1.118181988933</v>
      </c>
      <c r="AH5720">
        <v>13.7200219562301</v>
      </c>
      <c r="AI5720">
        <v>94.412806013723994</v>
      </c>
      <c r="AJ5720">
        <v>108.75913671395099</v>
      </c>
      <c r="AK5720">
        <v>14.532814478671</v>
      </c>
      <c r="AL5720">
        <v>84.924523939787804</v>
      </c>
      <c r="AM5720">
        <v>104.70186336034</v>
      </c>
      <c r="AN5720">
        <v>1.0000000027273299</v>
      </c>
    </row>
    <row r="5721" spans="1:40" x14ac:dyDescent="0.25">
      <c r="A5721" t="str">
        <f>"20190312164620275"</f>
        <v>20190312164620275</v>
      </c>
      <c r="B5721" t="str">
        <f>"1552380380267449"</f>
        <v>1552380380267449</v>
      </c>
      <c r="C5721" t="s">
        <v>40</v>
      </c>
      <c r="D5721">
        <v>5.5534559999999997</v>
      </c>
      <c r="E5721">
        <v>0.47437119999999999</v>
      </c>
      <c r="F5721" t="s">
        <v>42</v>
      </c>
      <c r="G5721">
        <v>-275.91160000000002</v>
      </c>
      <c r="H5721" s="1">
        <v>-2.078965E-6</v>
      </c>
      <c r="I5721">
        <v>-62.131430000000002</v>
      </c>
      <c r="J5721">
        <v>-290.03989999999999</v>
      </c>
      <c r="K5721">
        <v>1.118077</v>
      </c>
      <c r="L5721">
        <v>-60.725430000000003</v>
      </c>
      <c r="M5721">
        <v>0.9113019</v>
      </c>
      <c r="N5721">
        <v>0</v>
      </c>
      <c r="O5721">
        <v>-0.41157319999999997</v>
      </c>
      <c r="P5721">
        <v>0.98164149999999994</v>
      </c>
      <c r="Q5721">
        <v>8.2609219999999997E-2</v>
      </c>
      <c r="R5721">
        <v>-0.17191819999999999</v>
      </c>
      <c r="S5721">
        <v>3.0231020000000002</v>
      </c>
      <c r="T5721">
        <v>-0.2370728</v>
      </c>
      <c r="U5721">
        <v>-0.30920409999999998</v>
      </c>
      <c r="V5721">
        <v>-0.24954589999999999</v>
      </c>
      <c r="W5721">
        <v>8.7921269999999996E-2</v>
      </c>
      <c r="X5721">
        <v>0.96436330000000003</v>
      </c>
      <c r="Y5721">
        <v>-0.31460840000000001</v>
      </c>
      <c r="Z5721">
        <v>4.3517380000000001E-2</v>
      </c>
      <c r="AA5721">
        <v>0.9482235</v>
      </c>
      <c r="AB5721">
        <v>27</v>
      </c>
      <c r="AC5721">
        <v>14.1282999999999</v>
      </c>
      <c r="AD5721">
        <v>-1.1180790789649999</v>
      </c>
      <c r="AE5721">
        <v>-1.4059999999999899</v>
      </c>
      <c r="AF5721">
        <v>-4.50590563248638</v>
      </c>
      <c r="AG5721">
        <v>-1.1180790789649999</v>
      </c>
      <c r="AH5721">
        <v>13.3718127319363</v>
      </c>
      <c r="AI5721">
        <v>94.530475076001593</v>
      </c>
      <c r="AJ5721">
        <v>108.62229555853</v>
      </c>
      <c r="AK5721">
        <v>14.1548105650929</v>
      </c>
      <c r="AL5721">
        <v>84.955969188484502</v>
      </c>
      <c r="AM5721">
        <v>104.508051862673</v>
      </c>
      <c r="AN5721">
        <v>0.99999994015605398</v>
      </c>
    </row>
    <row r="5722" spans="1:40" x14ac:dyDescent="0.25">
      <c r="A5722" t="str">
        <f>"20190312164620286"</f>
        <v>20190312164620286</v>
      </c>
      <c r="B5722" t="str">
        <f>"1552380380277209"</f>
        <v>1552380380277209</v>
      </c>
      <c r="C5722" t="s">
        <v>40</v>
      </c>
      <c r="D5722">
        <v>5.4391309999999997</v>
      </c>
      <c r="E5722">
        <v>0.47417510000000002</v>
      </c>
      <c r="F5722" t="s">
        <v>42</v>
      </c>
      <c r="G5722">
        <v>-275.9914</v>
      </c>
      <c r="H5722" s="1">
        <v>-2.1094530000000001E-6</v>
      </c>
      <c r="I5722">
        <v>-62.114559999999997</v>
      </c>
      <c r="J5722">
        <v>-289.89299999999997</v>
      </c>
      <c r="K5722">
        <v>1.117964</v>
      </c>
      <c r="L5722">
        <v>-60.783290000000001</v>
      </c>
      <c r="M5722">
        <v>0.91452</v>
      </c>
      <c r="N5722">
        <v>0</v>
      </c>
      <c r="O5722">
        <v>-0.40437299999999998</v>
      </c>
      <c r="P5722">
        <v>0.98245320000000003</v>
      </c>
      <c r="Q5722">
        <v>8.2069779999999995E-2</v>
      </c>
      <c r="R5722">
        <v>-0.1674832</v>
      </c>
      <c r="S5722">
        <v>3.0239560000000001</v>
      </c>
      <c r="T5722">
        <v>-0.2406682</v>
      </c>
      <c r="U5722">
        <v>-0.29901119999999998</v>
      </c>
      <c r="V5722">
        <v>-0.24627209999999999</v>
      </c>
      <c r="W5722">
        <v>8.7500889999999998E-2</v>
      </c>
      <c r="X5722">
        <v>0.96524279999999996</v>
      </c>
      <c r="Y5722">
        <v>-0.31028260000000002</v>
      </c>
      <c r="Z5722">
        <v>4.3480640000000001E-2</v>
      </c>
      <c r="AA5722">
        <v>0.94964950000000004</v>
      </c>
      <c r="AB5722">
        <v>27</v>
      </c>
      <c r="AC5722">
        <v>13.901599999999901</v>
      </c>
      <c r="AD5722">
        <v>-1.117966109453</v>
      </c>
      <c r="AE5722">
        <v>-1.33126999999999</v>
      </c>
      <c r="AF5722">
        <v>-4.3762119917954099</v>
      </c>
      <c r="AG5722">
        <v>-1.117966109453</v>
      </c>
      <c r="AH5722">
        <v>13.168130473416801</v>
      </c>
      <c r="AI5722">
        <v>94.606185964351894</v>
      </c>
      <c r="AJ5722">
        <v>108.38338008265499</v>
      </c>
      <c r="AK5722">
        <v>13.9212334146061</v>
      </c>
      <c r="AL5722">
        <v>84.980148718853002</v>
      </c>
      <c r="AM5722">
        <v>104.313086155343</v>
      </c>
      <c r="AN5722">
        <v>1.00000000797052</v>
      </c>
    </row>
    <row r="5723" spans="1:40" x14ac:dyDescent="0.25">
      <c r="A5723" t="str">
        <f>"20190312164620297"</f>
        <v>20190312164620297</v>
      </c>
      <c r="B5723" t="str">
        <f>"1552380380286969"</f>
        <v>1552380380286969</v>
      </c>
      <c r="C5723" t="s">
        <v>40</v>
      </c>
      <c r="D5723">
        <v>5.4369300000000003</v>
      </c>
      <c r="E5723">
        <v>0.47417510000000002</v>
      </c>
      <c r="F5723" t="s">
        <v>42</v>
      </c>
      <c r="G5723">
        <v>-275.78789999999998</v>
      </c>
      <c r="H5723" s="1">
        <v>-2.0197529999999999E-6</v>
      </c>
      <c r="I5723">
        <v>-62.103670000000001</v>
      </c>
      <c r="J5723">
        <v>-289.78059999999999</v>
      </c>
      <c r="K5723">
        <v>1.1178840000000001</v>
      </c>
      <c r="L5723">
        <v>-60.826419999999999</v>
      </c>
      <c r="M5723">
        <v>0.91689580000000004</v>
      </c>
      <c r="N5723">
        <v>0</v>
      </c>
      <c r="O5723">
        <v>-0.39895760000000002</v>
      </c>
      <c r="P5723">
        <v>0.98286980000000002</v>
      </c>
      <c r="Q5723">
        <v>8.1500470000000005E-2</v>
      </c>
      <c r="R5723">
        <v>-0.16530300000000001</v>
      </c>
      <c r="S5723">
        <v>3.02536</v>
      </c>
      <c r="T5723">
        <v>-0.23978910000000001</v>
      </c>
      <c r="U5723">
        <v>-0.28320309999999999</v>
      </c>
      <c r="V5723">
        <v>-0.2426883</v>
      </c>
      <c r="W5723">
        <v>8.7047730000000004E-2</v>
      </c>
      <c r="X5723">
        <v>0.96619109999999997</v>
      </c>
      <c r="Y5723">
        <v>-0.30965609999999999</v>
      </c>
      <c r="Z5723">
        <v>4.2902889999999999E-2</v>
      </c>
      <c r="AA5723">
        <v>0.94988019999999995</v>
      </c>
      <c r="AB5723">
        <v>27</v>
      </c>
      <c r="AC5723">
        <v>13.992699999999999</v>
      </c>
      <c r="AD5723">
        <v>-1.1178860197530001</v>
      </c>
      <c r="AE5723">
        <v>-1.27724999999999</v>
      </c>
      <c r="AF5723">
        <v>-4.3839371356678898</v>
      </c>
      <c r="AG5723">
        <v>-1.1178860197530001</v>
      </c>
      <c r="AH5723">
        <v>13.2564063537513</v>
      </c>
      <c r="AI5723">
        <v>94.577536189189999</v>
      </c>
      <c r="AJ5723">
        <v>108.29922041043299</v>
      </c>
      <c r="AK5723">
        <v>14.007172569024201</v>
      </c>
      <c r="AL5723">
        <v>85.006212685306593</v>
      </c>
      <c r="AM5723">
        <v>104.099881198491</v>
      </c>
      <c r="AN5723">
        <v>1.00000007998712</v>
      </c>
    </row>
    <row r="5724" spans="1:40" x14ac:dyDescent="0.25">
      <c r="A5724" t="str">
        <f>"20190312164620307"</f>
        <v>20190312164620307</v>
      </c>
      <c r="B5724" t="str">
        <f>"1552380380296730"</f>
        <v>1552380380296730</v>
      </c>
      <c r="C5724" t="s">
        <v>40</v>
      </c>
      <c r="D5724">
        <v>5.4047989999999997</v>
      </c>
      <c r="E5724">
        <v>0.47229660000000001</v>
      </c>
      <c r="F5724" t="s">
        <v>42</v>
      </c>
      <c r="G5724">
        <v>-275.7516</v>
      </c>
      <c r="H5724" s="1">
        <v>-2.0042420000000001E-6</v>
      </c>
      <c r="I5724">
        <v>-62.104030000000002</v>
      </c>
      <c r="J5724">
        <v>-289.66840000000002</v>
      </c>
      <c r="K5724">
        <v>1.1178030000000001</v>
      </c>
      <c r="L5724">
        <v>-60.869230000000002</v>
      </c>
      <c r="M5724">
        <v>0.91922720000000002</v>
      </c>
      <c r="N5724">
        <v>0</v>
      </c>
      <c r="O5724">
        <v>-0.39355709999999999</v>
      </c>
      <c r="P5724">
        <v>0.98321219999999998</v>
      </c>
      <c r="Q5724">
        <v>8.1583160000000002E-2</v>
      </c>
      <c r="R5724">
        <v>-0.16321250000000001</v>
      </c>
      <c r="S5724">
        <v>3.02597</v>
      </c>
      <c r="T5724">
        <v>-0.2411208</v>
      </c>
      <c r="U5724">
        <v>-0.27557369999999998</v>
      </c>
      <c r="V5724">
        <v>-0.23903569999999999</v>
      </c>
      <c r="W5724">
        <v>8.7247240000000004E-2</v>
      </c>
      <c r="X5724">
        <v>0.96708320000000003</v>
      </c>
      <c r="Y5724">
        <v>-0.30645800000000001</v>
      </c>
      <c r="Z5724">
        <v>4.2617780000000001E-2</v>
      </c>
      <c r="AA5724">
        <v>0.95092960000000004</v>
      </c>
      <c r="AB5724">
        <v>27</v>
      </c>
      <c r="AC5724">
        <v>13.9168</v>
      </c>
      <c r="AD5724">
        <v>-1.117805004242</v>
      </c>
      <c r="AE5724">
        <v>-1.2347999999999999</v>
      </c>
      <c r="AF5724">
        <v>-4.3146668258838901</v>
      </c>
      <c r="AG5724">
        <v>-1.117805004242</v>
      </c>
      <c r="AH5724">
        <v>13.1950944735209</v>
      </c>
      <c r="AI5724">
        <v>94.6034309809137</v>
      </c>
      <c r="AJ5724">
        <v>108.107238443721</v>
      </c>
      <c r="AK5724">
        <v>13.927539481582301</v>
      </c>
      <c r="AL5724">
        <v>84.994737704086404</v>
      </c>
      <c r="AM5724">
        <v>103.88363060551499</v>
      </c>
      <c r="AN5724">
        <v>1.00000003124217</v>
      </c>
    </row>
    <row r="5725" spans="1:40" x14ac:dyDescent="0.25">
      <c r="A5725" t="str">
        <f>"20190312164620317"</f>
        <v>20190312164620317</v>
      </c>
      <c r="B5725" t="str">
        <f>"1552380380307466"</f>
        <v>1552380380307466</v>
      </c>
      <c r="C5725" t="s">
        <v>40</v>
      </c>
      <c r="D5725">
        <v>5.3999839999999999</v>
      </c>
      <c r="E5725">
        <v>0.47196329999999997</v>
      </c>
      <c r="F5725" t="s">
        <v>42</v>
      </c>
      <c r="G5725">
        <v>-275.3725</v>
      </c>
      <c r="H5725" s="1">
        <v>-1.833835E-6</v>
      </c>
      <c r="I5725">
        <v>-62.069009999999999</v>
      </c>
      <c r="J5725">
        <v>-289.5582</v>
      </c>
      <c r="K5725">
        <v>1.1177250000000001</v>
      </c>
      <c r="L5725">
        <v>-60.910159999999998</v>
      </c>
      <c r="M5725">
        <v>0.92143779999999997</v>
      </c>
      <c r="N5725">
        <v>0</v>
      </c>
      <c r="O5725">
        <v>-0.38835409999999998</v>
      </c>
      <c r="P5725">
        <v>0.98351599999999995</v>
      </c>
      <c r="Q5725">
        <v>8.1801269999999995E-2</v>
      </c>
      <c r="R5725">
        <v>-0.16126119999999999</v>
      </c>
      <c r="S5725">
        <v>3.0286870000000001</v>
      </c>
      <c r="T5725">
        <v>-0.2368152</v>
      </c>
      <c r="U5725">
        <v>-0.25418089999999999</v>
      </c>
      <c r="V5725">
        <v>-0.23546410000000001</v>
      </c>
      <c r="W5725">
        <v>8.7576409999999993E-2</v>
      </c>
      <c r="X5725">
        <v>0.96792920000000005</v>
      </c>
      <c r="Y5725">
        <v>-0.30790869999999998</v>
      </c>
      <c r="Z5725">
        <v>4.1526090000000002E-2</v>
      </c>
      <c r="AA5725">
        <v>0.9505093</v>
      </c>
      <c r="AB5725">
        <v>27</v>
      </c>
      <c r="AC5725">
        <v>14.185699999999899</v>
      </c>
      <c r="AD5725">
        <v>-1.1177268338349999</v>
      </c>
      <c r="AE5725">
        <v>-1.1588499999999999</v>
      </c>
      <c r="AF5725">
        <v>-4.4143393038791796</v>
      </c>
      <c r="AG5725">
        <v>-1.1177268338349999</v>
      </c>
      <c r="AH5725">
        <v>13.439305231131099</v>
      </c>
      <c r="AI5725">
        <v>94.517851455471899</v>
      </c>
      <c r="AJ5725">
        <v>108.18353375794899</v>
      </c>
      <c r="AK5725">
        <v>14.1898072524033</v>
      </c>
      <c r="AL5725">
        <v>84.975804790461694</v>
      </c>
      <c r="AM5725">
        <v>103.672528946893</v>
      </c>
      <c r="AN5725">
        <v>0.99999995309496803</v>
      </c>
    </row>
    <row r="5726" spans="1:40" x14ac:dyDescent="0.25">
      <c r="A5726" t="str">
        <f>"20190312164620328"</f>
        <v>20190312164620328</v>
      </c>
      <c r="B5726" t="str">
        <f>"1552380380317225"</f>
        <v>1552380380317225</v>
      </c>
      <c r="C5726" t="s">
        <v>40</v>
      </c>
      <c r="D5726">
        <v>5.3943779999999997</v>
      </c>
      <c r="E5726">
        <v>0.47168339999999997</v>
      </c>
      <c r="F5726" t="s">
        <v>42</v>
      </c>
      <c r="G5726">
        <v>-274.85219999999998</v>
      </c>
      <c r="H5726" s="1">
        <v>-1.618351E-6</v>
      </c>
      <c r="I5726">
        <v>-62.103740000000002</v>
      </c>
      <c r="J5726">
        <v>-289.43220000000002</v>
      </c>
      <c r="K5726">
        <v>1.117639</v>
      </c>
      <c r="L5726">
        <v>-60.95673</v>
      </c>
      <c r="M5726">
        <v>0.9239214</v>
      </c>
      <c r="N5726">
        <v>0</v>
      </c>
      <c r="O5726">
        <v>-0.38240879999999999</v>
      </c>
      <c r="P5726">
        <v>0.98392769999999996</v>
      </c>
      <c r="Q5726">
        <v>8.2180959999999997E-2</v>
      </c>
      <c r="R5726">
        <v>-0.15853410000000001</v>
      </c>
      <c r="S5726">
        <v>3.029083</v>
      </c>
      <c r="T5726">
        <v>-0.23022570000000001</v>
      </c>
      <c r="U5726">
        <v>-0.2458496</v>
      </c>
      <c r="V5726">
        <v>-0.2318828</v>
      </c>
      <c r="W5726">
        <v>8.8069939999999999E-2</v>
      </c>
      <c r="X5726">
        <v>0.96874870000000002</v>
      </c>
      <c r="Y5726">
        <v>-0.3045233</v>
      </c>
      <c r="Z5726">
        <v>3.9830499999999998E-2</v>
      </c>
      <c r="AA5726">
        <v>0.95167170000000001</v>
      </c>
      <c r="AB5726">
        <v>27</v>
      </c>
      <c r="AC5726">
        <v>14.58</v>
      </c>
      <c r="AD5726">
        <v>-1.1176406183509999</v>
      </c>
      <c r="AE5726">
        <v>-1.1470099999999901</v>
      </c>
      <c r="AF5726">
        <v>-4.4898524463614198</v>
      </c>
      <c r="AG5726">
        <v>-1.1176406183509999</v>
      </c>
      <c r="AH5726">
        <v>13.8295600476664</v>
      </c>
      <c r="AI5726">
        <v>94.395449036336302</v>
      </c>
      <c r="AJ5726">
        <v>107.986343503039</v>
      </c>
      <c r="AK5726">
        <v>14.5830252915469</v>
      </c>
      <c r="AL5726">
        <v>84.947418133023703</v>
      </c>
      <c r="AM5726">
        <v>103.461230103497</v>
      </c>
      <c r="AN5726">
        <v>0.99999999550956598</v>
      </c>
    </row>
    <row r="5727" spans="1:40" x14ac:dyDescent="0.25">
      <c r="A5727" t="str">
        <f>"20190312164620339"</f>
        <v>20190312164620339</v>
      </c>
      <c r="B5727" t="str">
        <f>"1552380380326985"</f>
        <v>1552380380326985</v>
      </c>
      <c r="C5727" t="s">
        <v>40</v>
      </c>
      <c r="D5727">
        <v>5.3970180000000001</v>
      </c>
      <c r="E5727">
        <v>0.47145550000000003</v>
      </c>
      <c r="F5727" t="s">
        <v>42</v>
      </c>
      <c r="G5727">
        <v>-274.35980000000001</v>
      </c>
      <c r="H5727" s="1">
        <v>-1.4128550000000001E-6</v>
      </c>
      <c r="I5727">
        <v>-62.129669999999997</v>
      </c>
      <c r="J5727">
        <v>-289.31819999999999</v>
      </c>
      <c r="K5727">
        <v>1.117556</v>
      </c>
      <c r="L5727">
        <v>-60.9974699999999</v>
      </c>
      <c r="M5727">
        <v>0.92608190000000001</v>
      </c>
      <c r="N5727">
        <v>0</v>
      </c>
      <c r="O5727">
        <v>-0.37714760000000003</v>
      </c>
      <c r="P5727">
        <v>0.98419889999999999</v>
      </c>
      <c r="Q5727">
        <v>8.2515729999999995E-2</v>
      </c>
      <c r="R5727">
        <v>-0.15666540000000001</v>
      </c>
      <c r="S5727">
        <v>3.029785</v>
      </c>
      <c r="T5727">
        <v>-0.22466249999999999</v>
      </c>
      <c r="U5727">
        <v>-0.23577880000000001</v>
      </c>
      <c r="V5727">
        <v>-0.22818720000000001</v>
      </c>
      <c r="W5727">
        <v>8.8516410000000004E-2</v>
      </c>
      <c r="X5727">
        <v>0.96958520000000004</v>
      </c>
      <c r="Y5727">
        <v>-0.302378599999999</v>
      </c>
      <c r="Z5727">
        <v>3.8429739999999997E-2</v>
      </c>
      <c r="AA5727">
        <v>0.95241290000000001</v>
      </c>
      <c r="AB5727">
        <v>27</v>
      </c>
      <c r="AC5727">
        <v>14.9583999999999</v>
      </c>
      <c r="AD5727">
        <v>-1.1175574128550001</v>
      </c>
      <c r="AE5727">
        <v>-1.1322000000000001</v>
      </c>
      <c r="AF5727">
        <v>-4.56796596076338</v>
      </c>
      <c r="AG5727">
        <v>-1.1175574128550001</v>
      </c>
      <c r="AH5727">
        <v>14.2018332255036</v>
      </c>
      <c r="AI5727">
        <v>94.284104835787602</v>
      </c>
      <c r="AJ5727">
        <v>107.83019075047299</v>
      </c>
      <c r="AK5727">
        <v>14.960190993257401</v>
      </c>
      <c r="AL5727">
        <v>84.921737045426099</v>
      </c>
      <c r="AM5727">
        <v>103.24329187238099</v>
      </c>
      <c r="AN5727">
        <v>1.0000000065710799</v>
      </c>
    </row>
    <row r="5728" spans="1:40" x14ac:dyDescent="0.25">
      <c r="A5728" t="str">
        <f>"20190312164620350"</f>
        <v>20190312164620350</v>
      </c>
      <c r="B5728" t="str">
        <f>"1552380380347481"</f>
        <v>1552380380347481</v>
      </c>
      <c r="C5728" t="s">
        <v>40</v>
      </c>
      <c r="D5728">
        <v>5.4126719999999997</v>
      </c>
      <c r="E5728">
        <v>0.4711031</v>
      </c>
      <c r="F5728" t="s">
        <v>42</v>
      </c>
      <c r="G5728">
        <v>-273.95069999999998</v>
      </c>
      <c r="H5728" s="1">
        <v>-1.2432739999999999E-6</v>
      </c>
      <c r="I5728">
        <v>-62.156190000000002</v>
      </c>
      <c r="J5728">
        <v>-289.19779999999997</v>
      </c>
      <c r="K5728">
        <v>1.1174710000000001</v>
      </c>
      <c r="L5728">
        <v>-61.040439999999997</v>
      </c>
      <c r="M5728">
        <v>0.92832689999999995</v>
      </c>
      <c r="N5728">
        <v>0</v>
      </c>
      <c r="O5728">
        <v>-0.37158790000000003</v>
      </c>
      <c r="P5728">
        <v>0.98447289999999998</v>
      </c>
      <c r="Q5728">
        <v>8.306819E-2</v>
      </c>
      <c r="R5728">
        <v>-0.15463789999999999</v>
      </c>
      <c r="S5728">
        <v>3.0302730000000002</v>
      </c>
      <c r="T5728">
        <v>-0.22036810000000001</v>
      </c>
      <c r="U5728">
        <v>-0.2284851</v>
      </c>
      <c r="V5728">
        <v>-0.22434200000000001</v>
      </c>
      <c r="W5728">
        <v>8.9183719999999994E-2</v>
      </c>
      <c r="X5728">
        <v>0.97042099999999998</v>
      </c>
      <c r="Y5728">
        <v>-0.2990448</v>
      </c>
      <c r="Z5728">
        <v>3.7200299999999999E-2</v>
      </c>
      <c r="AA5728">
        <v>0.95351370000000002</v>
      </c>
      <c r="AB5728">
        <v>27</v>
      </c>
      <c r="AC5728">
        <v>15.2470999999999</v>
      </c>
      <c r="AD5728">
        <v>-1.1174722432740001</v>
      </c>
      <c r="AE5728">
        <v>-1.11574999999999</v>
      </c>
      <c r="AF5728">
        <v>-4.6055546446591302</v>
      </c>
      <c r="AG5728">
        <v>-1.1174722432740001</v>
      </c>
      <c r="AH5728">
        <v>14.4924190070363</v>
      </c>
      <c r="AI5728">
        <v>94.2028772275671</v>
      </c>
      <c r="AJ5728">
        <v>107.62976785459701</v>
      </c>
      <c r="AK5728">
        <v>15.2476256012186</v>
      </c>
      <c r="AL5728">
        <v>84.883351113373394</v>
      </c>
      <c r="AM5728">
        <v>103.01696423764</v>
      </c>
      <c r="AN5728">
        <v>0.99999999305901899</v>
      </c>
    </row>
    <row r="5729" spans="1:40" x14ac:dyDescent="0.25">
      <c r="A5729" t="str">
        <f>"20190312164620361"</f>
        <v>20190312164620361</v>
      </c>
      <c r="B5729" t="str">
        <f>"1552380380357242"</f>
        <v>1552380380357242</v>
      </c>
      <c r="C5729" t="s">
        <v>40</v>
      </c>
      <c r="D5729">
        <v>5.4553820000000002</v>
      </c>
      <c r="E5729">
        <v>0.471003</v>
      </c>
      <c r="F5729" t="s">
        <v>42</v>
      </c>
      <c r="G5729">
        <v>-273.35860000000002</v>
      </c>
      <c r="H5729" s="1">
        <v>-9.961929999999999E-7</v>
      </c>
      <c r="I5729">
        <v>-62.187280000000001</v>
      </c>
      <c r="J5729">
        <v>-289.07429999999999</v>
      </c>
      <c r="K5729">
        <v>1.117381</v>
      </c>
      <c r="L5729">
        <v>-61.083190000000002</v>
      </c>
      <c r="M5729">
        <v>0.93054749999999997</v>
      </c>
      <c r="N5729">
        <v>0</v>
      </c>
      <c r="O5729">
        <v>-0.3659927</v>
      </c>
      <c r="P5729">
        <v>0.98480270000000003</v>
      </c>
      <c r="Q5729">
        <v>8.3121509999999996E-2</v>
      </c>
      <c r="R5729">
        <v>-0.15249489999999999</v>
      </c>
      <c r="S5729">
        <v>3.0308839999999999</v>
      </c>
      <c r="T5729">
        <v>-0.2138321</v>
      </c>
      <c r="U5729">
        <v>-0.21945190000000001</v>
      </c>
      <c r="V5729">
        <v>-0.22058749999999999</v>
      </c>
      <c r="W5729">
        <v>8.9348520000000001E-2</v>
      </c>
      <c r="X5729">
        <v>0.97126619999999997</v>
      </c>
      <c r="Y5729">
        <v>-0.29626160000000001</v>
      </c>
      <c r="Z5729">
        <v>3.563359E-2</v>
      </c>
      <c r="AA5729">
        <v>0.95444189999999995</v>
      </c>
      <c r="AB5729">
        <v>27</v>
      </c>
      <c r="AC5729">
        <v>15.715699999999901</v>
      </c>
      <c r="AD5729">
        <v>-1.1173819961929901</v>
      </c>
      <c r="AE5729">
        <v>-1.10408999999999</v>
      </c>
      <c r="AF5729">
        <v>-4.70108397565527</v>
      </c>
      <c r="AG5729">
        <v>-1.1173819961929901</v>
      </c>
      <c r="AH5729">
        <v>14.954052354795399</v>
      </c>
      <c r="AI5729">
        <v>94.077243785760004</v>
      </c>
      <c r="AJ5729">
        <v>107.45150856708899</v>
      </c>
      <c r="AK5729">
        <v>15.715356022105899</v>
      </c>
      <c r="AL5729">
        <v>84.873871046314804</v>
      </c>
      <c r="AM5729">
        <v>102.795581484564</v>
      </c>
      <c r="AN5729">
        <v>1.0000000172224399</v>
      </c>
    </row>
    <row r="5730" spans="1:40" x14ac:dyDescent="0.25">
      <c r="A5730" t="str">
        <f>"20190312164620371"</f>
        <v>20190312164620371</v>
      </c>
      <c r="B5730" t="str">
        <f>"1552380380367001"</f>
        <v>1552380380367001</v>
      </c>
      <c r="C5730" t="s">
        <v>40</v>
      </c>
      <c r="D5730">
        <v>5.3058209999999999</v>
      </c>
      <c r="E5730">
        <v>0.47089999999999999</v>
      </c>
      <c r="F5730" t="s">
        <v>42</v>
      </c>
      <c r="G5730">
        <v>-273.0598</v>
      </c>
      <c r="H5730" s="1">
        <v>-8.711434E-7</v>
      </c>
      <c r="I5730">
        <v>-62.201590000000003</v>
      </c>
      <c r="J5730">
        <v>-288.95240000000001</v>
      </c>
      <c r="K5730">
        <v>1.117299</v>
      </c>
      <c r="L5730">
        <v>-61.125059999999998</v>
      </c>
      <c r="M5730">
        <v>0.93269449999999998</v>
      </c>
      <c r="N5730">
        <v>0</v>
      </c>
      <c r="O5730">
        <v>-0.36048730000000001</v>
      </c>
      <c r="P5730">
        <v>0.98515240000000004</v>
      </c>
      <c r="Q5730">
        <v>8.2405489999999998E-2</v>
      </c>
      <c r="R5730">
        <v>-0.1506131</v>
      </c>
      <c r="S5730">
        <v>3.0313720000000002</v>
      </c>
      <c r="T5730">
        <v>-0.2115078</v>
      </c>
      <c r="U5730">
        <v>-0.21170040000000001</v>
      </c>
      <c r="V5730">
        <v>-0.21668580000000001</v>
      </c>
      <c r="W5730">
        <v>8.8746290000000005E-2</v>
      </c>
      <c r="X5730">
        <v>0.97219920000000004</v>
      </c>
      <c r="Y5730">
        <v>-0.29311160000000003</v>
      </c>
      <c r="Z5730">
        <v>3.4778549999999998E-2</v>
      </c>
      <c r="AA5730">
        <v>0.95544549999999995</v>
      </c>
      <c r="AB5730">
        <v>27</v>
      </c>
      <c r="AC5730">
        <v>15.8926</v>
      </c>
      <c r="AD5730">
        <v>-1.1172998711433999</v>
      </c>
      <c r="AE5730">
        <v>-1.07653</v>
      </c>
      <c r="AF5730">
        <v>-4.70217919092235</v>
      </c>
      <c r="AG5730">
        <v>-1.1172998711433999</v>
      </c>
      <c r="AH5730">
        <v>15.137527867657701</v>
      </c>
      <c r="AI5730">
        <v>94.031968210478297</v>
      </c>
      <c r="AJ5730">
        <v>107.256392688603</v>
      </c>
      <c r="AK5730">
        <v>15.890361798578301</v>
      </c>
      <c r="AL5730">
        <v>84.908513625247195</v>
      </c>
      <c r="AM5730">
        <v>102.564831710655</v>
      </c>
      <c r="AN5730">
        <v>0.99999996219552101</v>
      </c>
    </row>
    <row r="5731" spans="1:40" x14ac:dyDescent="0.25">
      <c r="A5731" t="str">
        <f>"20190312164620382"</f>
        <v>20190312164620382</v>
      </c>
      <c r="B5731" t="str">
        <f>"1552380380376761"</f>
        <v>1552380380376761</v>
      </c>
      <c r="C5731" t="s">
        <v>40</v>
      </c>
      <c r="D5731">
        <v>5.3542160000000001</v>
      </c>
      <c r="E5731">
        <v>0.47047450000000002</v>
      </c>
      <c r="F5731" t="s">
        <v>42</v>
      </c>
      <c r="G5731">
        <v>-272.8854</v>
      </c>
      <c r="H5731" s="1">
        <v>-7.9790809999999997E-7</v>
      </c>
      <c r="I5731">
        <v>-62.208550000000002</v>
      </c>
      <c r="J5731">
        <v>-288.81900000000002</v>
      </c>
      <c r="K5731">
        <v>1.117213</v>
      </c>
      <c r="L5731">
        <v>-61.169710000000002</v>
      </c>
      <c r="M5731">
        <v>0.93496889999999999</v>
      </c>
      <c r="N5731">
        <v>0</v>
      </c>
      <c r="O5731">
        <v>-0.354547099999999</v>
      </c>
      <c r="P5731">
        <v>0.98550320000000002</v>
      </c>
      <c r="Q5731">
        <v>8.1915650000000007E-2</v>
      </c>
      <c r="R5731">
        <v>-0.14856989999999901</v>
      </c>
      <c r="S5731">
        <v>3.0315859999999999</v>
      </c>
      <c r="T5731">
        <v>-0.2108169</v>
      </c>
      <c r="U5731">
        <v>-0.20443729999999999</v>
      </c>
      <c r="V5731">
        <v>-0.2124964</v>
      </c>
      <c r="W5731">
        <v>8.8374869999999994E-2</v>
      </c>
      <c r="X5731">
        <v>0.9731573</v>
      </c>
      <c r="Y5731">
        <v>-0.28934490000000002</v>
      </c>
      <c r="Z5731">
        <v>3.4150060000000003E-2</v>
      </c>
      <c r="AA5731">
        <v>0.95661560000000001</v>
      </c>
      <c r="AB5731">
        <v>27</v>
      </c>
      <c r="AC5731">
        <v>15.9336</v>
      </c>
      <c r="AD5731">
        <v>-1.1172137979081</v>
      </c>
      <c r="AE5731">
        <v>-1.03884</v>
      </c>
      <c r="AF5731">
        <v>-4.6554405299528003</v>
      </c>
      <c r="AG5731">
        <v>-1.1172137979081</v>
      </c>
      <c r="AH5731">
        <v>15.1923516988399</v>
      </c>
      <c r="AI5731">
        <v>94.021894901858701</v>
      </c>
      <c r="AJ5731">
        <v>107.036801942925</v>
      </c>
      <c r="AK5731">
        <v>15.9288682378695</v>
      </c>
      <c r="AL5731">
        <v>84.929878482489599</v>
      </c>
      <c r="AM5731">
        <v>102.317635412063</v>
      </c>
      <c r="AN5731">
        <v>0.99999998410188295</v>
      </c>
    </row>
    <row r="5732" spans="1:40" x14ac:dyDescent="0.25">
      <c r="A5732" t="str">
        <f>"20190312164620394"</f>
        <v>20190312164620394</v>
      </c>
      <c r="B5732" t="str">
        <f>"1552380380387497"</f>
        <v>1552380380387497</v>
      </c>
      <c r="C5732" t="s">
        <v>40</v>
      </c>
      <c r="D5732">
        <v>5.4498179999999996</v>
      </c>
      <c r="E5732">
        <v>0.47042800000000001</v>
      </c>
      <c r="F5732" t="s">
        <v>42</v>
      </c>
      <c r="G5732">
        <v>-272.93119999999999</v>
      </c>
      <c r="H5732" s="1">
        <v>-8.1219869999999998E-7</v>
      </c>
      <c r="I5732">
        <v>-62.184460000000001</v>
      </c>
      <c r="J5732">
        <v>-288.68950000000001</v>
      </c>
      <c r="K5732">
        <v>1.117132</v>
      </c>
      <c r="L5732">
        <v>-61.212339999999998</v>
      </c>
      <c r="M5732">
        <v>0.93711829999999996</v>
      </c>
      <c r="N5732">
        <v>0</v>
      </c>
      <c r="O5732">
        <v>-0.34882740000000001</v>
      </c>
      <c r="P5732">
        <v>0.98582150000000002</v>
      </c>
      <c r="Q5732">
        <v>8.1626240000000003E-2</v>
      </c>
      <c r="R5732">
        <v>-0.1466064</v>
      </c>
      <c r="S5732">
        <v>3.032654</v>
      </c>
      <c r="T5732">
        <v>-0.21325350000000001</v>
      </c>
      <c r="U5732">
        <v>-0.19369510000000001</v>
      </c>
      <c r="V5732">
        <v>-0.20846770000000001</v>
      </c>
      <c r="W5732">
        <v>8.8197709999999999E-2</v>
      </c>
      <c r="X5732">
        <v>0.97404429999999997</v>
      </c>
      <c r="Y5732">
        <v>-0.28687780000000002</v>
      </c>
      <c r="Z5732">
        <v>3.4074680000000003E-2</v>
      </c>
      <c r="AA5732">
        <v>0.95736100000000002</v>
      </c>
      <c r="AB5732">
        <v>27</v>
      </c>
      <c r="AC5732">
        <v>15.7583</v>
      </c>
      <c r="AD5732">
        <v>-1.1171328121987001</v>
      </c>
      <c r="AE5732">
        <v>-0.97211999999998899</v>
      </c>
      <c r="AF5732">
        <v>-4.5633836418228997</v>
      </c>
      <c r="AG5732">
        <v>-1.1171328121987001</v>
      </c>
      <c r="AH5732">
        <v>15.0322059112796</v>
      </c>
      <c r="AI5732">
        <v>94.067539001033893</v>
      </c>
      <c r="AJ5732">
        <v>106.886914732465</v>
      </c>
      <c r="AK5732">
        <v>15.7492752386152</v>
      </c>
      <c r="AL5732">
        <v>84.940068663173605</v>
      </c>
      <c r="AM5732">
        <v>102.080354415448</v>
      </c>
      <c r="AN5732">
        <v>0.99999995817751097</v>
      </c>
    </row>
    <row r="5733" spans="1:40" x14ac:dyDescent="0.25">
      <c r="A5733" t="str">
        <f>"20190312164620404"</f>
        <v>20190312164620404</v>
      </c>
      <c r="B5733" t="str">
        <f>"1552380380397257"</f>
        <v>1552380380397257</v>
      </c>
      <c r="C5733" t="s">
        <v>40</v>
      </c>
      <c r="D5733">
        <v>5.945811</v>
      </c>
      <c r="E5733">
        <v>0.47040860000000001</v>
      </c>
      <c r="F5733" t="s">
        <v>42</v>
      </c>
      <c r="G5733">
        <v>-272.7201</v>
      </c>
      <c r="H5733" s="1">
        <v>-7.2387399999999999E-7</v>
      </c>
      <c r="I5733">
        <v>-62.194600000000001</v>
      </c>
      <c r="J5733">
        <v>-288.56950000000001</v>
      </c>
      <c r="K5733">
        <v>1.117065</v>
      </c>
      <c r="L5733">
        <v>-61.251220000000004</v>
      </c>
      <c r="M5733">
        <v>0.93905819999999995</v>
      </c>
      <c r="N5733">
        <v>0</v>
      </c>
      <c r="O5733">
        <v>-0.34357169999999998</v>
      </c>
      <c r="P5733">
        <v>0.98603730000000001</v>
      </c>
      <c r="Q5733">
        <v>8.1743919999999998E-2</v>
      </c>
      <c r="R5733">
        <v>-0.14508119999999999</v>
      </c>
      <c r="S5733">
        <v>3.032959</v>
      </c>
      <c r="T5733">
        <v>-0.21216889999999999</v>
      </c>
      <c r="U5733">
        <v>-0.186554</v>
      </c>
      <c r="V5733">
        <v>-0.20449539999999999</v>
      </c>
      <c r="W5733">
        <v>8.8422840000000003E-2</v>
      </c>
      <c r="X5733">
        <v>0.97486569999999995</v>
      </c>
      <c r="Y5733">
        <v>-0.28379729999999997</v>
      </c>
      <c r="Z5733">
        <v>3.3449230000000003E-2</v>
      </c>
      <c r="AA5733">
        <v>0.95830070000000001</v>
      </c>
      <c r="AB5733">
        <v>27</v>
      </c>
      <c r="AC5733">
        <v>15.849399999999999</v>
      </c>
      <c r="AD5733">
        <v>-1.117065723874</v>
      </c>
      <c r="AE5733">
        <v>-0.94338000000000399</v>
      </c>
      <c r="AF5733">
        <v>-4.5373494351830299</v>
      </c>
      <c r="AG5733">
        <v>-1.117065723874</v>
      </c>
      <c r="AH5733">
        <v>15.1336923137352</v>
      </c>
      <c r="AI5733">
        <v>94.044295409652094</v>
      </c>
      <c r="AJ5733">
        <v>106.68966329553299</v>
      </c>
      <c r="AK5733">
        <v>15.838687406954399</v>
      </c>
      <c r="AL5733">
        <v>84.927119537664893</v>
      </c>
      <c r="AM5733">
        <v>101.847034506756</v>
      </c>
      <c r="AN5733">
        <v>1.0000000501456501</v>
      </c>
    </row>
    <row r="5734" spans="1:40" x14ac:dyDescent="0.25">
      <c r="A5734" t="str">
        <f>"20190312164620415"</f>
        <v>20190312164620415</v>
      </c>
      <c r="B5734" t="str">
        <f>"1552380380407017"</f>
        <v>1552380380407017</v>
      </c>
      <c r="C5734" t="s">
        <v>40</v>
      </c>
      <c r="D5734">
        <v>5.4751770000000004</v>
      </c>
      <c r="E5734">
        <v>0.47035460000000001</v>
      </c>
      <c r="F5734" t="s">
        <v>42</v>
      </c>
      <c r="G5734">
        <v>-272.48540000000003</v>
      </c>
      <c r="H5734" s="1">
        <v>-6.2715459999999996E-7</v>
      </c>
      <c r="I5734">
        <v>-62.212440000000001</v>
      </c>
      <c r="J5734">
        <v>-288.44490000000002</v>
      </c>
      <c r="K5734">
        <v>1.116989</v>
      </c>
      <c r="L5734">
        <v>-61.290680000000002</v>
      </c>
      <c r="M5734">
        <v>0.94101610000000002</v>
      </c>
      <c r="N5734">
        <v>0</v>
      </c>
      <c r="O5734">
        <v>-0.33817269999999999</v>
      </c>
      <c r="P5734">
        <v>0.98623700000000003</v>
      </c>
      <c r="Q5734">
        <v>8.2192180000000004E-2</v>
      </c>
      <c r="R5734">
        <v>-0.14346059999999999</v>
      </c>
      <c r="S5734">
        <v>3.0332949999999999</v>
      </c>
      <c r="T5734">
        <v>-0.2106661</v>
      </c>
      <c r="U5734">
        <v>-0.1812744</v>
      </c>
      <c r="V5734">
        <v>-0.2004744</v>
      </c>
      <c r="W5734">
        <v>8.8977600000000004E-2</v>
      </c>
      <c r="X5734">
        <v>0.97565009999999996</v>
      </c>
      <c r="Y5734">
        <v>-0.28000019999999998</v>
      </c>
      <c r="Z5734">
        <v>3.272688E-2</v>
      </c>
      <c r="AA5734">
        <v>0.95944189999999996</v>
      </c>
      <c r="AB5734">
        <v>27</v>
      </c>
      <c r="AC5734">
        <v>15.959499999999901</v>
      </c>
      <c r="AD5734">
        <v>-1.1169896271546</v>
      </c>
      <c r="AE5734">
        <v>-0.92175999999999803</v>
      </c>
      <c r="AF5734">
        <v>-4.5079573210256303</v>
      </c>
      <c r="AG5734">
        <v>-1.1169896271546</v>
      </c>
      <c r="AH5734">
        <v>15.2563569250027</v>
      </c>
      <c r="AI5734">
        <v>94.016357100016805</v>
      </c>
      <c r="AJ5734">
        <v>106.461387155753</v>
      </c>
      <c r="AK5734">
        <v>15.947594541448399</v>
      </c>
      <c r="AL5734">
        <v>84.895208390194199</v>
      </c>
      <c r="AM5734">
        <v>101.61139356760501</v>
      </c>
      <c r="AN5734">
        <v>1.00000005799356</v>
      </c>
    </row>
    <row r="5735" spans="1:40" x14ac:dyDescent="0.25">
      <c r="A5735" t="str">
        <f>"20190312164620426"</f>
        <v>20190312164620426</v>
      </c>
      <c r="B5735" t="str">
        <f>"1552380380416778"</f>
        <v>1552380380416778</v>
      </c>
      <c r="C5735" t="s">
        <v>40</v>
      </c>
      <c r="D5735">
        <v>5.3929549999999997</v>
      </c>
      <c r="E5735">
        <v>0.47038180000000002</v>
      </c>
      <c r="F5735" t="s">
        <v>42</v>
      </c>
      <c r="G5735">
        <v>-272.17959999999999</v>
      </c>
      <c r="H5735" s="1">
        <v>-5.0095930000000001E-7</v>
      </c>
      <c r="I5735">
        <v>-62.234789999999997</v>
      </c>
      <c r="J5735">
        <v>-288.31630000000001</v>
      </c>
      <c r="K5735">
        <v>1.116914</v>
      </c>
      <c r="L5735">
        <v>-61.330930000000002</v>
      </c>
      <c r="M5735">
        <v>0.94298789999999999</v>
      </c>
      <c r="N5735">
        <v>0</v>
      </c>
      <c r="O5735">
        <v>-0.33263579999999998</v>
      </c>
      <c r="P5735">
        <v>0.98649679999999995</v>
      </c>
      <c r="Q5735">
        <v>8.2667630000000006E-2</v>
      </c>
      <c r="R5735">
        <v>-0.14138629999999999</v>
      </c>
      <c r="S5735">
        <v>3.03363</v>
      </c>
      <c r="T5735">
        <v>-0.20832990000000001</v>
      </c>
      <c r="U5735">
        <v>-0.1760864</v>
      </c>
      <c r="V5735">
        <v>-0.19676750000000001</v>
      </c>
      <c r="W5735">
        <v>8.9550840000000007E-2</v>
      </c>
      <c r="X5735">
        <v>0.976352</v>
      </c>
      <c r="Y5735">
        <v>-0.27605180000000001</v>
      </c>
      <c r="Z5735">
        <v>3.1869260000000003E-2</v>
      </c>
      <c r="AA5735">
        <v>0.96061430000000003</v>
      </c>
      <c r="AB5735">
        <v>27</v>
      </c>
      <c r="AC5735">
        <v>16.136700000000001</v>
      </c>
      <c r="AD5735">
        <v>-1.1169145009593</v>
      </c>
      <c r="AE5735">
        <v>-0.903860000000001</v>
      </c>
      <c r="AF5735">
        <v>-4.4941390741954397</v>
      </c>
      <c r="AG5735">
        <v>-1.1169145009593</v>
      </c>
      <c r="AH5735">
        <v>15.444595436207999</v>
      </c>
      <c r="AI5735">
        <v>93.972100847184706</v>
      </c>
      <c r="AJ5735">
        <v>106.224181203058</v>
      </c>
      <c r="AK5735">
        <v>16.123904992550699</v>
      </c>
      <c r="AL5735">
        <v>84.862232296980196</v>
      </c>
      <c r="AM5735">
        <v>101.39438357661901</v>
      </c>
      <c r="AN5735">
        <v>1.0000000149524699</v>
      </c>
    </row>
    <row r="5736" spans="1:40" x14ac:dyDescent="0.25">
      <c r="A5736" t="str">
        <f>"20190312164620438"</f>
        <v>20190312164620438</v>
      </c>
      <c r="B5736" t="str">
        <f>"1552380380427513"</f>
        <v>1552380380427513</v>
      </c>
      <c r="C5736" t="s">
        <v>40</v>
      </c>
      <c r="D5736">
        <v>5.5138959999999999</v>
      </c>
      <c r="E5736">
        <v>0.470383</v>
      </c>
      <c r="F5736" t="s">
        <v>42</v>
      </c>
      <c r="G5736">
        <v>-271.8888</v>
      </c>
      <c r="H5736" s="1">
        <v>-3.8004320000000002E-7</v>
      </c>
      <c r="I5736">
        <v>-62.252139999999997</v>
      </c>
      <c r="J5736">
        <v>-288.19029999999998</v>
      </c>
      <c r="K5736">
        <v>1.1168419999999999</v>
      </c>
      <c r="L5736">
        <v>-61.369199999999999</v>
      </c>
      <c r="M5736">
        <v>0.94485490000000005</v>
      </c>
      <c r="N5736">
        <v>0</v>
      </c>
      <c r="O5736">
        <v>-0.32729599999999998</v>
      </c>
      <c r="P5736">
        <v>0.98670049999999998</v>
      </c>
      <c r="Q5736">
        <v>8.2880770000000006E-2</v>
      </c>
      <c r="R5736">
        <v>-0.1398317</v>
      </c>
      <c r="S5736">
        <v>3.0339659999999999</v>
      </c>
      <c r="T5736">
        <v>-0.2062804</v>
      </c>
      <c r="U5736">
        <v>-0.1701355</v>
      </c>
      <c r="V5736">
        <v>-0.1927603</v>
      </c>
      <c r="W5736">
        <v>8.9866680000000004E-2</v>
      </c>
      <c r="X5736">
        <v>0.97712200000000005</v>
      </c>
      <c r="Y5736">
        <v>-0.2725457</v>
      </c>
      <c r="Z5736">
        <v>3.109317E-2</v>
      </c>
      <c r="AA5736">
        <v>0.9616403</v>
      </c>
      <c r="AB5736">
        <v>27</v>
      </c>
      <c r="AC5736">
        <v>16.301499999999901</v>
      </c>
      <c r="AD5736">
        <v>-1.1168423800431999</v>
      </c>
      <c r="AE5736">
        <v>-0.88294000000000405</v>
      </c>
      <c r="AF5736">
        <v>-4.4804812255804798</v>
      </c>
      <c r="AG5736">
        <v>-1.1168423800431999</v>
      </c>
      <c r="AH5736">
        <v>15.619427129880201</v>
      </c>
      <c r="AI5736">
        <v>93.931843103110296</v>
      </c>
      <c r="AJ5736">
        <v>106.005702968924</v>
      </c>
      <c r="AK5736">
        <v>16.287681012970499</v>
      </c>
      <c r="AL5736">
        <v>84.844062549031094</v>
      </c>
      <c r="AM5736">
        <v>101.15964672571501</v>
      </c>
      <c r="AN5736">
        <v>0.99999997815715602</v>
      </c>
    </row>
    <row r="5737" spans="1:40" x14ac:dyDescent="0.25">
      <c r="A5737" t="str">
        <f>"20190312164620449"</f>
        <v>20190312164620449</v>
      </c>
      <c r="B5737" t="str">
        <f>"1552380380447033"</f>
        <v>1552380380447033</v>
      </c>
      <c r="C5737" t="s">
        <v>40</v>
      </c>
      <c r="D5737">
        <v>5.4511229999999999</v>
      </c>
      <c r="E5737">
        <v>0.47038059999999998</v>
      </c>
      <c r="F5737" t="s">
        <v>42</v>
      </c>
      <c r="G5737">
        <v>-271.6071</v>
      </c>
      <c r="H5737" s="1">
        <v>-2.636508E-7</v>
      </c>
      <c r="I5737">
        <v>-62.27223</v>
      </c>
      <c r="J5737">
        <v>-288.05770000000001</v>
      </c>
      <c r="K5737">
        <v>1.1167689999999999</v>
      </c>
      <c r="L5737">
        <v>-61.409239999999997</v>
      </c>
      <c r="M5737">
        <v>0.94677730000000004</v>
      </c>
      <c r="N5737">
        <v>0</v>
      </c>
      <c r="O5737">
        <v>-0.32169350000000002</v>
      </c>
      <c r="P5737">
        <v>0.98690460000000002</v>
      </c>
      <c r="Q5737">
        <v>8.3048689999999994E-2</v>
      </c>
      <c r="R5737">
        <v>-0.138283399999999</v>
      </c>
      <c r="S5737">
        <v>3.0341490000000002</v>
      </c>
      <c r="T5737">
        <v>-0.20434279999999999</v>
      </c>
      <c r="U5737">
        <v>-0.16522220000000001</v>
      </c>
      <c r="V5737">
        <v>-0.1884816</v>
      </c>
      <c r="W5737">
        <v>9.0143050000000002E-2</v>
      </c>
      <c r="X5737">
        <v>0.97793090000000005</v>
      </c>
      <c r="Y5737">
        <v>-0.26844759999999901</v>
      </c>
      <c r="Z5737">
        <v>3.0306340000000001E-2</v>
      </c>
      <c r="AA5737">
        <v>0.96281740000000005</v>
      </c>
      <c r="AB5737">
        <v>27</v>
      </c>
      <c r="AC5737">
        <v>16.450600000000001</v>
      </c>
      <c r="AD5737">
        <v>-1.1167692636508</v>
      </c>
      <c r="AE5737">
        <v>-0.86299000000000303</v>
      </c>
      <c r="AF5737">
        <v>-4.4547999982903903</v>
      </c>
      <c r="AG5737">
        <v>-1.1167692636508</v>
      </c>
      <c r="AH5737">
        <v>15.781143582030101</v>
      </c>
      <c r="AI5737">
        <v>93.896088966051906</v>
      </c>
      <c r="AJ5737">
        <v>105.763644020809</v>
      </c>
      <c r="AK5737">
        <v>16.435842216620799</v>
      </c>
      <c r="AL5737">
        <v>84.828163110741301</v>
      </c>
      <c r="AM5737">
        <v>100.90913993744699</v>
      </c>
      <c r="AN5737">
        <v>0.99999996408833502</v>
      </c>
    </row>
    <row r="5738" spans="1:40" x14ac:dyDescent="0.25">
      <c r="A5738" t="str">
        <f>"20190312164620461"</f>
        <v>20190312164620461</v>
      </c>
      <c r="B5738" t="str">
        <f>"1552380380456793"</f>
        <v>1552380380456793</v>
      </c>
      <c r="C5738" t="s">
        <v>40</v>
      </c>
      <c r="D5738">
        <v>5.4516900000000001</v>
      </c>
      <c r="E5738">
        <v>0.47039959999999997</v>
      </c>
      <c r="F5738" t="s">
        <v>42</v>
      </c>
      <c r="G5738">
        <v>-271.27730000000003</v>
      </c>
      <c r="H5738" s="1">
        <v>-1.2676319999999999E-7</v>
      </c>
      <c r="I5738">
        <v>-62.292879999999997</v>
      </c>
      <c r="J5738">
        <v>-287.92270000000002</v>
      </c>
      <c r="K5738">
        <v>1.1166940000000001</v>
      </c>
      <c r="L5738">
        <v>-61.448610000000002</v>
      </c>
      <c r="M5738">
        <v>0.94866269999999997</v>
      </c>
      <c r="N5738">
        <v>0</v>
      </c>
      <c r="O5738">
        <v>-0.31609140000000002</v>
      </c>
      <c r="P5738">
        <v>0.98714550000000001</v>
      </c>
      <c r="Q5738">
        <v>8.272032E-2</v>
      </c>
      <c r="R5738">
        <v>-0.13675209999999999</v>
      </c>
      <c r="S5738">
        <v>3.034424</v>
      </c>
      <c r="T5738">
        <v>-0.2019466</v>
      </c>
      <c r="U5738">
        <v>-0.15978999999999999</v>
      </c>
      <c r="V5738">
        <v>-0.18419759999999999</v>
      </c>
      <c r="W5738">
        <v>8.9922219999999997E-2</v>
      </c>
      <c r="X5738">
        <v>0.97876719999999895</v>
      </c>
      <c r="Y5738">
        <v>-0.26452680000000001</v>
      </c>
      <c r="Z5738">
        <v>2.9466659999999999E-2</v>
      </c>
      <c r="AA5738">
        <v>0.96392800000000001</v>
      </c>
      <c r="AB5738">
        <v>27</v>
      </c>
      <c r="AC5738">
        <v>16.645399999999899</v>
      </c>
      <c r="AD5738">
        <v>-1.1166941267632</v>
      </c>
      <c r="AE5738">
        <v>-0.84427000000000796</v>
      </c>
      <c r="AF5738">
        <v>-4.44088403352721</v>
      </c>
      <c r="AG5738">
        <v>-1.1166941267632</v>
      </c>
      <c r="AH5738">
        <v>15.986974838211299</v>
      </c>
      <c r="AI5738">
        <v>93.850308472821595</v>
      </c>
      <c r="AJ5738">
        <v>105.524302940026</v>
      </c>
      <c r="AK5738">
        <v>16.629847300849899</v>
      </c>
      <c r="AL5738">
        <v>84.840867500824203</v>
      </c>
      <c r="AM5738">
        <v>100.658034178176</v>
      </c>
      <c r="AN5738">
        <v>0.99999999664566397</v>
      </c>
    </row>
    <row r="5739" spans="1:40" x14ac:dyDescent="0.25">
      <c r="A5739" t="str">
        <f>"20190312164620473"</f>
        <v>20190312164620473</v>
      </c>
      <c r="B5739" t="str">
        <f>"1552380380467529"</f>
        <v>1552380380467529</v>
      </c>
      <c r="C5739" t="s">
        <v>40</v>
      </c>
      <c r="D5739">
        <v>5.2760030000000002</v>
      </c>
      <c r="E5739">
        <v>0.47036689999999998</v>
      </c>
      <c r="F5739" t="s">
        <v>42</v>
      </c>
      <c r="G5739">
        <v>-271.10719999999998</v>
      </c>
      <c r="H5739" s="1">
        <v>-5.614561E-8</v>
      </c>
      <c r="I5739">
        <v>-62.303440000000002</v>
      </c>
      <c r="J5739">
        <v>-287.7919</v>
      </c>
      <c r="K5739">
        <v>1.116625</v>
      </c>
      <c r="L5739">
        <v>-61.486359999999998</v>
      </c>
      <c r="M5739">
        <v>0.95044649999999997</v>
      </c>
      <c r="N5739">
        <v>0</v>
      </c>
      <c r="O5739">
        <v>-0.31068709999999899</v>
      </c>
      <c r="P5739">
        <v>0.98732180000000003</v>
      </c>
      <c r="Q5739">
        <v>8.2396919999999998E-2</v>
      </c>
      <c r="R5739">
        <v>-0.13567019999999999</v>
      </c>
      <c r="S5739">
        <v>3.0345759999999999</v>
      </c>
      <c r="T5739">
        <v>-0.20152200000000001</v>
      </c>
      <c r="U5739">
        <v>-0.1542664</v>
      </c>
      <c r="V5739">
        <v>-0.17967900000000001</v>
      </c>
      <c r="W5739">
        <v>8.9709449999999996E-2</v>
      </c>
      <c r="X5739">
        <v>0.97962629999999995</v>
      </c>
      <c r="Y5739">
        <v>-0.26081460000000001</v>
      </c>
      <c r="Z5739">
        <v>2.8940690000000002E-2</v>
      </c>
      <c r="AA5739">
        <v>0.96495500000000001</v>
      </c>
      <c r="AB5739">
        <v>27</v>
      </c>
      <c r="AC5739">
        <v>16.684699999999999</v>
      </c>
      <c r="AD5739">
        <v>-1.1166250561456099</v>
      </c>
      <c r="AE5739">
        <v>-0.81708000000000403</v>
      </c>
      <c r="AF5739">
        <v>-4.3877998563079101</v>
      </c>
      <c r="AG5739">
        <v>-1.1166250561456099</v>
      </c>
      <c r="AH5739">
        <v>16.041102141785402</v>
      </c>
      <c r="AI5739">
        <v>93.841282949419806</v>
      </c>
      <c r="AJ5739">
        <v>105.29817524294801</v>
      </c>
      <c r="AK5739">
        <v>16.6678312031956</v>
      </c>
      <c r="AL5739">
        <v>84.853107853268099</v>
      </c>
      <c r="AM5739">
        <v>100.393432401868</v>
      </c>
      <c r="AN5739">
        <v>1.0000000080559901</v>
      </c>
    </row>
    <row r="5740" spans="1:40" x14ac:dyDescent="0.25">
      <c r="A5740" t="str">
        <f>"20190312164620486"</f>
        <v>20190312164620486</v>
      </c>
      <c r="B5740" t="str">
        <f>"1552380380477289"</f>
        <v>1552380380477289</v>
      </c>
      <c r="C5740" t="s">
        <v>40</v>
      </c>
      <c r="D5740">
        <v>5.3902839999999896</v>
      </c>
      <c r="E5740">
        <v>0.47039340000000002</v>
      </c>
      <c r="F5740" t="s">
        <v>42</v>
      </c>
      <c r="G5740">
        <v>-270.83</v>
      </c>
      <c r="H5740" s="1">
        <v>5.8857669999999997E-8</v>
      </c>
      <c r="I5740">
        <v>-62.320979999999999</v>
      </c>
      <c r="J5740">
        <v>-287.64499999999998</v>
      </c>
      <c r="K5740">
        <v>1.116544</v>
      </c>
      <c r="L5740">
        <v>-61.527740000000001</v>
      </c>
      <c r="M5740">
        <v>0.95238769999999995</v>
      </c>
      <c r="N5740">
        <v>0</v>
      </c>
      <c r="O5740">
        <v>-0.30468600000000001</v>
      </c>
      <c r="P5740">
        <v>0.98753729999999995</v>
      </c>
      <c r="Q5740">
        <v>8.2025399999999901E-2</v>
      </c>
      <c r="R5740">
        <v>-0.1343221</v>
      </c>
      <c r="S5740">
        <v>3.0346679999999999</v>
      </c>
      <c r="T5740">
        <v>-0.1997766</v>
      </c>
      <c r="U5740">
        <v>-0.1493225</v>
      </c>
      <c r="V5740">
        <v>-0.17481579999999999</v>
      </c>
      <c r="W5740">
        <v>8.9453969999999994E-2</v>
      </c>
      <c r="X5740">
        <v>0.98052919999999999</v>
      </c>
      <c r="Y5740">
        <v>-0.25633669999999997</v>
      </c>
      <c r="Z5740">
        <v>2.8167299999999999E-2</v>
      </c>
      <c r="AA5740">
        <v>0.96617699999999995</v>
      </c>
      <c r="AB5740">
        <v>27</v>
      </c>
      <c r="AC5740">
        <v>16.814999999999898</v>
      </c>
      <c r="AD5740">
        <v>-1.1165439411423299</v>
      </c>
      <c r="AE5740">
        <v>-0.79324000000000405</v>
      </c>
      <c r="AF5740">
        <v>-4.3489613643924301</v>
      </c>
      <c r="AG5740">
        <v>-1.1165439411423299</v>
      </c>
      <c r="AH5740">
        <v>16.185889125534601</v>
      </c>
      <c r="AI5740">
        <v>93.811395780453196</v>
      </c>
      <c r="AJ5740">
        <v>105.03951137440001</v>
      </c>
      <c r="AK5740">
        <v>16.797117077212398</v>
      </c>
      <c r="AL5740">
        <v>84.867805055486301</v>
      </c>
      <c r="AM5740">
        <v>100.108888713336</v>
      </c>
      <c r="AN5740">
        <v>1.0000000443655099</v>
      </c>
    </row>
    <row r="5741" spans="1:40" x14ac:dyDescent="0.25">
      <c r="A5741" t="str">
        <f>"20190312164620497"</f>
        <v>20190312164620497</v>
      </c>
      <c r="B5741" t="str">
        <f>"1552380380487049"</f>
        <v>1552380380487049</v>
      </c>
      <c r="C5741" t="s">
        <v>40</v>
      </c>
      <c r="D5741">
        <v>5.333189</v>
      </c>
      <c r="E5741">
        <v>0.4704161</v>
      </c>
      <c r="F5741" t="s">
        <v>42</v>
      </c>
      <c r="G5741">
        <v>-270.72710000000001</v>
      </c>
      <c r="H5741" s="1">
        <v>1.004759E-7</v>
      </c>
      <c r="I5741">
        <v>-62.332239999999999</v>
      </c>
      <c r="J5741">
        <v>-287.5086</v>
      </c>
      <c r="K5741">
        <v>1.116474</v>
      </c>
      <c r="L5741">
        <v>-61.565249999999999</v>
      </c>
      <c r="M5741">
        <v>0.95413300000000001</v>
      </c>
      <c r="N5741">
        <v>0</v>
      </c>
      <c r="O5741">
        <v>-0.29917650000000001</v>
      </c>
      <c r="P5741">
        <v>0.98770930000000001</v>
      </c>
      <c r="Q5741">
        <v>8.130097E-2</v>
      </c>
      <c r="R5741">
        <v>-0.133495</v>
      </c>
      <c r="S5741">
        <v>3.0348510000000002</v>
      </c>
      <c r="T5741">
        <v>-0.2002941</v>
      </c>
      <c r="U5741">
        <v>-0.14431759999999999</v>
      </c>
      <c r="V5741">
        <v>-0.16995060000000001</v>
      </c>
      <c r="W5741">
        <v>8.8844140000000002E-2</v>
      </c>
      <c r="X5741">
        <v>0.98143950000000002</v>
      </c>
      <c r="Y5741">
        <v>-0.25235570000000002</v>
      </c>
      <c r="Z5741">
        <v>2.7761319999999999E-2</v>
      </c>
      <c r="AA5741">
        <v>0.96723619999999999</v>
      </c>
      <c r="AB5741">
        <v>27</v>
      </c>
      <c r="AC5741">
        <v>16.781499999999902</v>
      </c>
      <c r="AD5741">
        <v>-1.1164738995240999</v>
      </c>
      <c r="AE5741">
        <v>-0.76699000000000594</v>
      </c>
      <c r="AF5741">
        <v>-4.2702234634018996</v>
      </c>
      <c r="AG5741">
        <v>-1.1164738995240999</v>
      </c>
      <c r="AH5741">
        <v>16.170825595268699</v>
      </c>
      <c r="AI5741">
        <v>93.819069124219496</v>
      </c>
      <c r="AJ5741">
        <v>104.79240556793501</v>
      </c>
      <c r="AK5741">
        <v>16.762366265784301</v>
      </c>
      <c r="AL5741">
        <v>84.902885141008994</v>
      </c>
      <c r="AM5741">
        <v>99.824179200558007</v>
      </c>
      <c r="AN5741">
        <v>0.99999998990647399</v>
      </c>
    </row>
    <row r="5742" spans="1:40" x14ac:dyDescent="0.25">
      <c r="A5742" t="str">
        <f>"20190312164620508"</f>
        <v>20190312164620508</v>
      </c>
      <c r="B5742" t="str">
        <f>"1552380380496809"</f>
        <v>1552380380496809</v>
      </c>
      <c r="C5742" t="s">
        <v>40</v>
      </c>
      <c r="D5742">
        <v>5.4520369999999998</v>
      </c>
      <c r="E5742">
        <v>0.47046179999999899</v>
      </c>
      <c r="F5742" t="s">
        <v>42</v>
      </c>
      <c r="G5742">
        <v>-270.71629999999999</v>
      </c>
      <c r="H5742" s="1">
        <v>1.0236210000000001E-7</v>
      </c>
      <c r="I5742">
        <v>-62.344679999999997</v>
      </c>
      <c r="J5742">
        <v>-287.37889999999999</v>
      </c>
      <c r="K5742">
        <v>1.1164000000000001</v>
      </c>
      <c r="L5742">
        <v>-61.600490000000001</v>
      </c>
      <c r="M5742">
        <v>0.95575350000000003</v>
      </c>
      <c r="N5742">
        <v>0</v>
      </c>
      <c r="O5742">
        <v>-0.29395880000000002</v>
      </c>
      <c r="P5742">
        <v>0.98784170000000004</v>
      </c>
      <c r="Q5742">
        <v>8.0801059999999994E-2</v>
      </c>
      <c r="R5742">
        <v>-0.13281570000000001</v>
      </c>
      <c r="S5742">
        <v>3.0349119999999998</v>
      </c>
      <c r="T5742">
        <v>-0.20178289999999999</v>
      </c>
      <c r="U5742">
        <v>-0.1408691</v>
      </c>
      <c r="V5742">
        <v>-0.16524459999999999</v>
      </c>
      <c r="W5742">
        <v>8.8453260000000006E-2</v>
      </c>
      <c r="X5742">
        <v>0.98227810000000004</v>
      </c>
      <c r="Y5742">
        <v>-0.24816769999999999</v>
      </c>
      <c r="Z5742">
        <v>2.7496400000000001E-2</v>
      </c>
      <c r="AA5742">
        <v>0.96832680000000004</v>
      </c>
      <c r="AB5742">
        <v>27</v>
      </c>
      <c r="AC5742">
        <v>16.662599999999902</v>
      </c>
      <c r="AD5742">
        <v>-1.1163998976378999</v>
      </c>
      <c r="AE5742">
        <v>-0.74419000000000302</v>
      </c>
      <c r="AF5742">
        <v>-4.1684391428028702</v>
      </c>
      <c r="AG5742">
        <v>-1.1163998976378999</v>
      </c>
      <c r="AH5742">
        <v>16.073087039988</v>
      </c>
      <c r="AI5742">
        <v>93.8464063937395</v>
      </c>
      <c r="AJ5742">
        <v>104.53893920498</v>
      </c>
      <c r="AK5742">
        <v>16.6423063489929</v>
      </c>
      <c r="AL5742">
        <v>84.9253695466832</v>
      </c>
      <c r="AM5742">
        <v>99.549222142837195</v>
      </c>
      <c r="AN5742">
        <v>1.00000001138669</v>
      </c>
    </row>
    <row r="5743" spans="1:40" x14ac:dyDescent="0.25">
      <c r="A5743" t="str">
        <f>"20190312164620519"</f>
        <v>20190312164620519</v>
      </c>
      <c r="B5743" t="str">
        <f>"1552380380507546"</f>
        <v>1552380380507546</v>
      </c>
      <c r="C5743" t="s">
        <v>40</v>
      </c>
      <c r="D5743">
        <v>5.4528720000000002</v>
      </c>
      <c r="E5743">
        <v>0.47051150000000003</v>
      </c>
      <c r="F5743" t="s">
        <v>42</v>
      </c>
      <c r="G5743">
        <v>-270.66590000000002</v>
      </c>
      <c r="H5743" s="1">
        <v>1.2019309999999999E-7</v>
      </c>
      <c r="I5743">
        <v>-62.361800000000002</v>
      </c>
      <c r="J5743">
        <v>-287.25400000000002</v>
      </c>
      <c r="K5743">
        <v>1.116336</v>
      </c>
      <c r="L5743">
        <v>-61.633330000000001</v>
      </c>
      <c r="M5743">
        <v>0.95725919999999998</v>
      </c>
      <c r="N5743">
        <v>0</v>
      </c>
      <c r="O5743">
        <v>-0.28901880000000002</v>
      </c>
      <c r="P5743">
        <v>0.98783430000000005</v>
      </c>
      <c r="Q5743">
        <v>8.092974E-2</v>
      </c>
      <c r="R5743">
        <v>-0.13279369999999999</v>
      </c>
      <c r="S5743">
        <v>3.0349119999999998</v>
      </c>
      <c r="T5743">
        <v>-0.2027262</v>
      </c>
      <c r="U5743">
        <v>-0.1382446</v>
      </c>
      <c r="V5743">
        <v>-0.16017290000000001</v>
      </c>
      <c r="W5743">
        <v>8.8695940000000001E-2</v>
      </c>
      <c r="X5743">
        <v>0.98309590000000002</v>
      </c>
      <c r="Y5743">
        <v>-0.24400759999999999</v>
      </c>
      <c r="Z5743">
        <v>2.7170039999999999E-2</v>
      </c>
      <c r="AA5743">
        <v>0.9693927</v>
      </c>
      <c r="AB5743">
        <v>27</v>
      </c>
      <c r="AC5743">
        <v>16.588099999999901</v>
      </c>
      <c r="AD5743">
        <v>-1.1163358798068901</v>
      </c>
      <c r="AE5743">
        <v>-0.72846999999999396</v>
      </c>
      <c r="AF5743">
        <v>-4.0787531759959901</v>
      </c>
      <c r="AG5743">
        <v>-1.1163358798068901</v>
      </c>
      <c r="AH5743">
        <v>16.0182361446786</v>
      </c>
      <c r="AI5743">
        <v>93.8636891903909</v>
      </c>
      <c r="AJ5743">
        <v>104.285744762623</v>
      </c>
      <c r="AK5743">
        <v>16.567025154019898</v>
      </c>
      <c r="AL5743">
        <v>84.911409766481697</v>
      </c>
      <c r="AM5743">
        <v>99.253722460087303</v>
      </c>
      <c r="AN5743">
        <v>0.99999993813184895</v>
      </c>
    </row>
    <row r="5744" spans="1:40" x14ac:dyDescent="0.25">
      <c r="A5744" t="str">
        <f>"20190312164620529"</f>
        <v>20190312164620529</v>
      </c>
      <c r="B5744" t="str">
        <f>"1552380380527066"</f>
        <v>1552380380527066</v>
      </c>
      <c r="C5744" t="s">
        <v>40</v>
      </c>
      <c r="D5744">
        <v>5.3417240000000001</v>
      </c>
      <c r="E5744">
        <v>0.47054790000000002</v>
      </c>
      <c r="F5744" t="s">
        <v>42</v>
      </c>
      <c r="G5744">
        <v>-270.50080000000003</v>
      </c>
      <c r="H5744" s="1">
        <v>1.8388570000000001E-7</v>
      </c>
      <c r="I5744">
        <v>-62.393900000000002</v>
      </c>
      <c r="J5744">
        <v>-287.12860000000001</v>
      </c>
      <c r="K5744">
        <v>1.116271</v>
      </c>
      <c r="L5744">
        <v>-61.666139999999999</v>
      </c>
      <c r="M5744">
        <v>0.95874090000000001</v>
      </c>
      <c r="N5744">
        <v>0</v>
      </c>
      <c r="O5744">
        <v>-0.28406569999999998</v>
      </c>
      <c r="P5744">
        <v>0.98785750000000005</v>
      </c>
      <c r="Q5744">
        <v>8.1145110000000006E-2</v>
      </c>
      <c r="R5744">
        <v>-0.13248779999999999</v>
      </c>
      <c r="S5744">
        <v>3.0350649999999999</v>
      </c>
      <c r="T5744">
        <v>-0.20223859999999999</v>
      </c>
      <c r="U5744">
        <v>-0.13778689999999999</v>
      </c>
      <c r="V5744">
        <v>-0.15537379999999901</v>
      </c>
      <c r="W5744">
        <v>8.9017970000000002E-2</v>
      </c>
      <c r="X5744">
        <v>0.98383679999999996</v>
      </c>
      <c r="Y5744">
        <v>-0.23916670000000001</v>
      </c>
      <c r="Z5744">
        <v>2.6625070000000001E-2</v>
      </c>
      <c r="AA5744">
        <v>0.97061339999999996</v>
      </c>
      <c r="AB5744">
        <v>27</v>
      </c>
      <c r="AC5744">
        <v>16.627799999999901</v>
      </c>
      <c r="AD5744">
        <v>-1.1162708161143</v>
      </c>
      <c r="AE5744">
        <v>-0.72775999999999597</v>
      </c>
      <c r="AF5744">
        <v>-4.0078728939563604</v>
      </c>
      <c r="AG5744">
        <v>-1.1162708161143</v>
      </c>
      <c r="AH5744">
        <v>16.0771550979251</v>
      </c>
      <c r="AI5744">
        <v>93.854208790813104</v>
      </c>
      <c r="AJ5744">
        <v>103.99794632211901</v>
      </c>
      <c r="AK5744">
        <v>16.606746271071799</v>
      </c>
      <c r="AL5744">
        <v>84.892886015990399</v>
      </c>
      <c r="AM5744">
        <v>98.974396415295502</v>
      </c>
      <c r="AN5744">
        <v>1.0000000328717999</v>
      </c>
    </row>
    <row r="5745" spans="1:40" x14ac:dyDescent="0.25">
      <c r="A5745" t="str">
        <f>"20190312164620539"</f>
        <v>20190312164620539</v>
      </c>
      <c r="B5745" t="str">
        <f>"1552380380527066"</f>
        <v>1552380380527066</v>
      </c>
      <c r="C5745" t="s">
        <v>40</v>
      </c>
      <c r="D5745">
        <v>5.3417240000000001</v>
      </c>
      <c r="E5745">
        <v>0.47054790000000002</v>
      </c>
      <c r="F5745" t="s">
        <v>42</v>
      </c>
      <c r="G5745">
        <v>-270.27719999999999</v>
      </c>
      <c r="H5745" s="1">
        <v>2.7250980000000001E-7</v>
      </c>
      <c r="I5745">
        <v>-62.426589999999997</v>
      </c>
      <c r="J5745">
        <v>-287.00740000000002</v>
      </c>
      <c r="K5745">
        <v>1.116212</v>
      </c>
      <c r="L5745">
        <v>-61.696750000000002</v>
      </c>
      <c r="M5745">
        <v>0.96012280000000005</v>
      </c>
      <c r="N5745">
        <v>0</v>
      </c>
      <c r="O5745">
        <v>-0.27936040000000001</v>
      </c>
      <c r="P5745">
        <v>0.98786450000000003</v>
      </c>
      <c r="Q5745">
        <v>8.1453170000000005E-2</v>
      </c>
      <c r="R5745">
        <v>-0.13224659999999999</v>
      </c>
      <c r="S5745">
        <v>3.035034</v>
      </c>
      <c r="T5745">
        <v>-0.20104710000000001</v>
      </c>
      <c r="U5745">
        <v>-0.1369629</v>
      </c>
      <c r="V5745">
        <v>-0.15076909999999999</v>
      </c>
      <c r="W5745">
        <v>8.9426399999999906E-2</v>
      </c>
      <c r="X5745">
        <v>0.9845159</v>
      </c>
      <c r="Y5745">
        <v>-0.23469870000000001</v>
      </c>
      <c r="Z5745">
        <v>2.602111E-2</v>
      </c>
      <c r="AA5745">
        <v>0.97171989999999997</v>
      </c>
      <c r="AB5745">
        <v>27</v>
      </c>
      <c r="AC5745">
        <v>16.7302</v>
      </c>
      <c r="AD5745">
        <v>-1.1162117274901999</v>
      </c>
      <c r="AE5745">
        <v>-0.72984000000000204</v>
      </c>
      <c r="AF5745">
        <v>-3.95568700074669</v>
      </c>
      <c r="AG5745">
        <v>-1.1162117274901999</v>
      </c>
      <c r="AH5745">
        <v>16.1959701871363</v>
      </c>
      <c r="AI5745">
        <v>93.830300362360006</v>
      </c>
      <c r="AJ5745">
        <v>103.72515850557799</v>
      </c>
      <c r="AK5745">
        <v>16.709363799111902</v>
      </c>
      <c r="AL5745">
        <v>84.8693907250221</v>
      </c>
      <c r="AM5745">
        <v>98.706652975045998</v>
      </c>
      <c r="AN5745">
        <v>0.99999997994228895</v>
      </c>
    </row>
    <row r="5746" spans="1:40" x14ac:dyDescent="0.25">
      <c r="A5746" t="str">
        <f>"20190312164620550"</f>
        <v>20190312164620550</v>
      </c>
      <c r="B5746" t="str">
        <f>"1552380380547561"</f>
        <v>1552380380547561</v>
      </c>
      <c r="C5746" t="s">
        <v>40</v>
      </c>
      <c r="D5746">
        <v>5.2120749999999996</v>
      </c>
      <c r="E5746">
        <v>0.4623661</v>
      </c>
      <c r="F5746" t="s">
        <v>42</v>
      </c>
      <c r="G5746">
        <v>-270.07709999999997</v>
      </c>
      <c r="H5746" s="1">
        <v>3.5173180000000001E-7</v>
      </c>
      <c r="I5746">
        <v>-62.456499999999998</v>
      </c>
      <c r="J5746">
        <v>-286.88709999999998</v>
      </c>
      <c r="K5746">
        <v>1.1161509999999999</v>
      </c>
      <c r="L5746">
        <v>-61.727020000000003</v>
      </c>
      <c r="M5746">
        <v>0.9614684</v>
      </c>
      <c r="N5746">
        <v>0</v>
      </c>
      <c r="O5746">
        <v>-0.27469440000000001</v>
      </c>
      <c r="P5746">
        <v>0.98782270000000005</v>
      </c>
      <c r="Q5746">
        <v>8.1696820000000003E-2</v>
      </c>
      <c r="R5746">
        <v>-0.1324089</v>
      </c>
      <c r="S5746">
        <v>3.0350950000000001</v>
      </c>
      <c r="T5746">
        <v>-0.20010269999999999</v>
      </c>
      <c r="U5746">
        <v>-0.13619999999999999</v>
      </c>
      <c r="V5746">
        <v>-0.14580509999999999</v>
      </c>
      <c r="W5746">
        <v>8.9777380000000004E-2</v>
      </c>
      <c r="X5746">
        <v>0.98523139999999998</v>
      </c>
      <c r="Y5746">
        <v>-0.23025080000000001</v>
      </c>
      <c r="Z5746">
        <v>2.5455789999999999E-2</v>
      </c>
      <c r="AA5746">
        <v>0.9727983</v>
      </c>
      <c r="AB5746">
        <v>27</v>
      </c>
      <c r="AC5746">
        <v>16.809999999999999</v>
      </c>
      <c r="AD5746">
        <v>-1.1161506482682</v>
      </c>
      <c r="AE5746">
        <v>-0.72948000000000202</v>
      </c>
      <c r="AF5746">
        <v>-3.8993202267868101</v>
      </c>
      <c r="AG5746">
        <v>-1.1161506482682</v>
      </c>
      <c r="AH5746">
        <v>16.291970670406201</v>
      </c>
      <c r="AI5746">
        <v>93.811840002407294</v>
      </c>
      <c r="AJ5746">
        <v>103.459972131161</v>
      </c>
      <c r="AK5746">
        <v>16.789246523475502</v>
      </c>
      <c r="AL5746">
        <v>84.849199983917202</v>
      </c>
      <c r="AM5746">
        <v>98.418142327084396</v>
      </c>
      <c r="AN5746">
        <v>1.00000000834581</v>
      </c>
    </row>
    <row r="5747" spans="1:40" x14ac:dyDescent="0.25">
      <c r="A5747" t="str">
        <f>"20190312164620561"</f>
        <v>20190312164620561</v>
      </c>
      <c r="B5747" t="str">
        <f>"1552380380557322"</f>
        <v>1552380380557322</v>
      </c>
      <c r="C5747" t="s">
        <v>40</v>
      </c>
      <c r="D5747">
        <v>5.2531699999999999</v>
      </c>
      <c r="E5747">
        <v>0.46425830000000001</v>
      </c>
      <c r="F5747" t="s">
        <v>42</v>
      </c>
      <c r="G5747">
        <v>-276.45960000000002</v>
      </c>
      <c r="H5747" s="1">
        <v>-2.2725599999999998E-6</v>
      </c>
      <c r="I5747">
        <v>-61.944789999999998</v>
      </c>
      <c r="J5747">
        <v>-286.75229999999999</v>
      </c>
      <c r="K5747">
        <v>1.116085</v>
      </c>
      <c r="L5747">
        <v>-61.759799999999998</v>
      </c>
      <c r="M5747">
        <v>0.96292359999999999</v>
      </c>
      <c r="N5747">
        <v>0</v>
      </c>
      <c r="O5747">
        <v>-0.2695495</v>
      </c>
      <c r="P5747">
        <v>0.9879114</v>
      </c>
      <c r="Q5747">
        <v>8.1725969999999995E-2</v>
      </c>
      <c r="R5747">
        <v>-0.1317276</v>
      </c>
      <c r="S5747">
        <v>3.0555110000000001</v>
      </c>
      <c r="T5747">
        <v>-0.32706109999999999</v>
      </c>
      <c r="U5747">
        <v>-6.3812259999999996E-2</v>
      </c>
      <c r="V5747">
        <v>-0.14119699999999999</v>
      </c>
      <c r="W5747">
        <v>8.9904170000000005E-2</v>
      </c>
      <c r="X5747">
        <v>0.98589079999999996</v>
      </c>
      <c r="Y5747">
        <v>-0.24648690000000001</v>
      </c>
      <c r="Z5747">
        <v>4.162975E-2</v>
      </c>
      <c r="AA5747">
        <v>0.96825159999999999</v>
      </c>
      <c r="AB5747">
        <v>28</v>
      </c>
      <c r="AC5747">
        <v>10.2926999999999</v>
      </c>
      <c r="AD5747">
        <v>-1.11608727256</v>
      </c>
      <c r="AE5747">
        <v>-0.18499000000000601</v>
      </c>
      <c r="AF5747">
        <v>-2.5662536988133602</v>
      </c>
      <c r="AG5747">
        <v>-1.11608727256</v>
      </c>
      <c r="AH5747">
        <v>9.8458205257940801</v>
      </c>
      <c r="AI5747">
        <v>96.259844901540504</v>
      </c>
      <c r="AJ5747">
        <v>104.608770972023</v>
      </c>
      <c r="AK5747">
        <v>10.235794579454501</v>
      </c>
      <c r="AL5747">
        <v>84.8419059701002</v>
      </c>
      <c r="AM5747">
        <v>98.150345835457003</v>
      </c>
      <c r="AN5747">
        <v>1.0000000110585101</v>
      </c>
    </row>
    <row r="5748" spans="1:40" x14ac:dyDescent="0.25">
      <c r="A5748" t="str">
        <f>"20190312164620572"</f>
        <v>20190312164620572</v>
      </c>
      <c r="B5748" t="str">
        <f>"1552380380567081"</f>
        <v>1552380380567081</v>
      </c>
      <c r="C5748" t="s">
        <v>40</v>
      </c>
      <c r="D5748">
        <v>5.4589049999999997</v>
      </c>
      <c r="E5748">
        <v>0.46590969999999998</v>
      </c>
      <c r="F5748" t="s">
        <v>42</v>
      </c>
      <c r="G5748">
        <v>-275.46170000000001</v>
      </c>
      <c r="H5748" s="1">
        <v>-1.8673929999999999E-6</v>
      </c>
      <c r="I5748">
        <v>-62.047870000000003</v>
      </c>
      <c r="J5748">
        <v>-286.62009999999998</v>
      </c>
      <c r="K5748">
        <v>1.1160239999999999</v>
      </c>
      <c r="L5748">
        <v>-61.791559999999997</v>
      </c>
      <c r="M5748">
        <v>0.96431540000000004</v>
      </c>
      <c r="N5748">
        <v>0</v>
      </c>
      <c r="O5748">
        <v>-0.26452799999999999</v>
      </c>
      <c r="P5748">
        <v>0.9879481</v>
      </c>
      <c r="Q5748">
        <v>8.1713279999999999E-2</v>
      </c>
      <c r="R5748">
        <v>-0.1314592</v>
      </c>
      <c r="S5748">
        <v>3.0512700000000001</v>
      </c>
      <c r="T5748">
        <v>-0.30162050000000001</v>
      </c>
      <c r="U5748">
        <v>-7.7850340000000004E-2</v>
      </c>
      <c r="V5748">
        <v>-0.1363074</v>
      </c>
      <c r="W5748">
        <v>8.9992989999999995E-2</v>
      </c>
      <c r="X5748">
        <v>0.98657059999999996</v>
      </c>
      <c r="Y5748">
        <v>-0.2374433</v>
      </c>
      <c r="Z5748">
        <v>3.7528930000000002E-2</v>
      </c>
      <c r="AA5748">
        <v>0.97067619999999999</v>
      </c>
      <c r="AB5748">
        <v>28</v>
      </c>
      <c r="AC5748">
        <v>11.158399999999901</v>
      </c>
      <c r="AD5748">
        <v>-1.1160258673929999</v>
      </c>
      <c r="AE5748">
        <v>-0.25630999999999898</v>
      </c>
      <c r="AF5748">
        <v>-2.6779347096365198</v>
      </c>
      <c r="AG5748">
        <v>-1.1160258673929999</v>
      </c>
      <c r="AH5748">
        <v>10.721477970966101</v>
      </c>
      <c r="AI5748">
        <v>95.766748276551297</v>
      </c>
      <c r="AJ5748">
        <v>104.02399667102399</v>
      </c>
      <c r="AK5748">
        <v>11.107067026343101</v>
      </c>
      <c r="AL5748">
        <v>84.836796174362703</v>
      </c>
      <c r="AM5748">
        <v>97.866346638813397</v>
      </c>
      <c r="AN5748">
        <v>0.99999999716412902</v>
      </c>
    </row>
    <row r="5749" spans="1:40" x14ac:dyDescent="0.25">
      <c r="A5749" t="str">
        <f>"20190312164620583"</f>
        <v>20190312164620583</v>
      </c>
      <c r="B5749" t="str">
        <f>"1552380380576841"</f>
        <v>1552380380576841</v>
      </c>
      <c r="C5749" t="s">
        <v>40</v>
      </c>
      <c r="D5749">
        <v>5.9584580000000003</v>
      </c>
      <c r="E5749">
        <v>0.46590969999999998</v>
      </c>
      <c r="F5749" t="s">
        <v>42</v>
      </c>
      <c r="G5749">
        <v>-274.08550000000002</v>
      </c>
      <c r="H5749" s="1">
        <v>-1.303667E-6</v>
      </c>
      <c r="I5749">
        <v>-62.167700000000004</v>
      </c>
      <c r="J5749">
        <v>-286.48320000000001</v>
      </c>
      <c r="K5749">
        <v>1.115961</v>
      </c>
      <c r="L5749">
        <v>-61.823610000000002</v>
      </c>
      <c r="M5749">
        <v>0.96571169999999995</v>
      </c>
      <c r="N5749">
        <v>0</v>
      </c>
      <c r="O5749">
        <v>-0.25938549999999999</v>
      </c>
      <c r="P5749">
        <v>0.98805240000000005</v>
      </c>
      <c r="Q5749">
        <v>8.1248749999999995E-2</v>
      </c>
      <c r="R5749">
        <v>-0.13096269999999999</v>
      </c>
      <c r="S5749">
        <v>3.046875</v>
      </c>
      <c r="T5749">
        <v>-0.27128039999999998</v>
      </c>
      <c r="U5749">
        <v>-9.1430659999999997E-2</v>
      </c>
      <c r="V5749">
        <v>-0.13152639999999999</v>
      </c>
      <c r="W5749">
        <v>8.9626349999999994E-2</v>
      </c>
      <c r="X5749">
        <v>0.98725269999999998</v>
      </c>
      <c r="Y5749">
        <v>-0.22841020000000001</v>
      </c>
      <c r="Z5749">
        <v>3.296781E-2</v>
      </c>
      <c r="AA5749">
        <v>0.9730067</v>
      </c>
      <c r="AB5749">
        <v>28</v>
      </c>
      <c r="AC5749">
        <v>12.397699999999899</v>
      </c>
      <c r="AD5749">
        <v>-1.1159623036670001</v>
      </c>
      <c r="AE5749">
        <v>-0.344090000000008</v>
      </c>
      <c r="AF5749">
        <v>-2.8605057189921199</v>
      </c>
      <c r="AG5749">
        <v>-1.1159623036670001</v>
      </c>
      <c r="AH5749">
        <v>11.965703142136499</v>
      </c>
      <c r="AI5749">
        <v>95.182972903952304</v>
      </c>
      <c r="AJ5749">
        <v>103.444728478778</v>
      </c>
      <c r="AK5749">
        <v>12.3533767253059</v>
      </c>
      <c r="AL5749">
        <v>84.8578882714054</v>
      </c>
      <c r="AM5749">
        <v>97.588525216659903</v>
      </c>
      <c r="AN5749">
        <v>0.999999985084286</v>
      </c>
    </row>
    <row r="5750" spans="1:40" x14ac:dyDescent="0.25">
      <c r="A5750" t="str">
        <f>"20190312164620595"</f>
        <v>20190312164620595</v>
      </c>
      <c r="B5750" t="str">
        <f>"1552380380587577"</f>
        <v>1552380380587577</v>
      </c>
      <c r="C5750" t="s">
        <v>40</v>
      </c>
      <c r="D5750">
        <v>5.2892210000000004</v>
      </c>
      <c r="E5750">
        <v>0.46567439999999999</v>
      </c>
      <c r="F5750" t="s">
        <v>42</v>
      </c>
      <c r="G5750">
        <v>-273.99779999999998</v>
      </c>
      <c r="H5750" s="1">
        <v>-1.270823E-6</v>
      </c>
      <c r="I5750">
        <v>-62.189269999999901</v>
      </c>
      <c r="J5750">
        <v>-286.35399999999998</v>
      </c>
      <c r="K5750">
        <v>1.115899</v>
      </c>
      <c r="L5750">
        <v>-61.853180000000002</v>
      </c>
      <c r="M5750">
        <v>0.96698899999999999</v>
      </c>
      <c r="N5750">
        <v>0</v>
      </c>
      <c r="O5750">
        <v>-0.254582899999999</v>
      </c>
      <c r="P5750">
        <v>0.98811780000000005</v>
      </c>
      <c r="Q5750">
        <v>8.0935980000000005E-2</v>
      </c>
      <c r="R5750">
        <v>-0.13066240000000001</v>
      </c>
      <c r="S5750">
        <v>3.046875</v>
      </c>
      <c r="T5750">
        <v>-0.2723333</v>
      </c>
      <c r="U5750">
        <v>-8.9233399999999893E-2</v>
      </c>
      <c r="V5750">
        <v>-0.12690219999999999</v>
      </c>
      <c r="W5750">
        <v>8.9407410000000007E-2</v>
      </c>
      <c r="X5750">
        <v>0.98787760000000002</v>
      </c>
      <c r="Y5750">
        <v>-0.22429250000000001</v>
      </c>
      <c r="Z5750">
        <v>3.2496230000000001E-2</v>
      </c>
      <c r="AA5750">
        <v>0.97397990000000001</v>
      </c>
      <c r="AB5750">
        <v>28</v>
      </c>
      <c r="AC5750">
        <v>12.356199999999999</v>
      </c>
      <c r="AD5750">
        <v>-1.1159002708229999</v>
      </c>
      <c r="AE5750">
        <v>-0.33608999999999101</v>
      </c>
      <c r="AF5750">
        <v>-2.7980467082096401</v>
      </c>
      <c r="AG5750">
        <v>-1.1159002708229999</v>
      </c>
      <c r="AH5750">
        <v>11.9373037705841</v>
      </c>
      <c r="AI5750">
        <v>95.200352648499702</v>
      </c>
      <c r="AJ5750">
        <v>103.191707831708</v>
      </c>
      <c r="AK5750">
        <v>12.311519813042899</v>
      </c>
      <c r="AL5750">
        <v>84.870483266189893</v>
      </c>
      <c r="AM5750">
        <v>97.320094254241795</v>
      </c>
      <c r="AN5750">
        <v>1.00000000295475</v>
      </c>
    </row>
    <row r="5751" spans="1:40" x14ac:dyDescent="0.25">
      <c r="A5751" t="str">
        <f>"20190312164620606"</f>
        <v>20190312164620606</v>
      </c>
      <c r="B5751" t="str">
        <f>"1552380380597337"</f>
        <v>1552380380597337</v>
      </c>
      <c r="C5751" t="s">
        <v>40</v>
      </c>
      <c r="D5751">
        <v>5.3895900000000001</v>
      </c>
      <c r="E5751">
        <v>0.46708509999999998</v>
      </c>
      <c r="F5751" t="s">
        <v>42</v>
      </c>
      <c r="G5751">
        <v>-273.89769999999999</v>
      </c>
      <c r="H5751" s="1">
        <v>-1.231522E-6</v>
      </c>
      <c r="I5751">
        <v>-62.20561</v>
      </c>
      <c r="J5751">
        <v>-286.2235</v>
      </c>
      <c r="K5751">
        <v>1.1158349999999999</v>
      </c>
      <c r="L5751">
        <v>-61.882599999999996</v>
      </c>
      <c r="M5751">
        <v>0.96824589999999999</v>
      </c>
      <c r="N5751">
        <v>0</v>
      </c>
      <c r="O5751">
        <v>-0.2497616</v>
      </c>
      <c r="P5751">
        <v>0.98821000000000003</v>
      </c>
      <c r="Q5751">
        <v>8.0894419999999995E-2</v>
      </c>
      <c r="R5751">
        <v>-0.12999050000000001</v>
      </c>
      <c r="S5751">
        <v>3.0470579999999998</v>
      </c>
      <c r="T5751">
        <v>-0.27297080000000001</v>
      </c>
      <c r="U5751">
        <v>-8.6212159999999996E-2</v>
      </c>
      <c r="V5751">
        <v>-0.1226333</v>
      </c>
      <c r="W5751">
        <v>8.9451589999999997E-2</v>
      </c>
      <c r="X5751">
        <v>0.98841259999999997</v>
      </c>
      <c r="Y5751">
        <v>-0.2204286</v>
      </c>
      <c r="Z5751">
        <v>3.1979170000000001E-2</v>
      </c>
      <c r="AA5751">
        <v>0.97487869999999999</v>
      </c>
      <c r="AB5751">
        <v>28</v>
      </c>
      <c r="AC5751">
        <v>12.325799999999999</v>
      </c>
      <c r="AD5751">
        <v>-1.1158362315220001</v>
      </c>
      <c r="AE5751">
        <v>-0.32301000000000302</v>
      </c>
      <c r="AF5751">
        <v>-2.7434547205014002</v>
      </c>
      <c r="AG5751">
        <v>-1.1158362315220001</v>
      </c>
      <c r="AH5751">
        <v>11.918188483106199</v>
      </c>
      <c r="AI5751">
        <v>95.213152450176196</v>
      </c>
      <c r="AJ5751">
        <v>102.963134899834</v>
      </c>
      <c r="AK5751">
        <v>12.2806698114501</v>
      </c>
      <c r="AL5751">
        <v>84.867941691284898</v>
      </c>
      <c r="AM5751">
        <v>97.072599214117005</v>
      </c>
      <c r="AN5751">
        <v>0.99999999053058897</v>
      </c>
    </row>
    <row r="5752" spans="1:40" x14ac:dyDescent="0.25">
      <c r="A5752" t="str">
        <f>"20190312164620616"</f>
        <v>20190312164620616</v>
      </c>
      <c r="B5752" t="str">
        <f>"1552380380607098"</f>
        <v>1552380380607098</v>
      </c>
      <c r="C5752" t="s">
        <v>40</v>
      </c>
      <c r="D5752">
        <v>5.6483509999999999</v>
      </c>
      <c r="E5752">
        <v>0.46823530000000002</v>
      </c>
      <c r="F5752" t="s">
        <v>42</v>
      </c>
      <c r="G5752">
        <v>-273.4126</v>
      </c>
      <c r="H5752" s="1">
        <v>-1.0413849999999999E-6</v>
      </c>
      <c r="I5752">
        <v>-62.286409999999997</v>
      </c>
      <c r="J5752">
        <v>-286.09910000000002</v>
      </c>
      <c r="K5752">
        <v>1.1157709999999901</v>
      </c>
      <c r="L5752">
        <v>-61.909759999999999</v>
      </c>
      <c r="M5752">
        <v>0.96940289999999996</v>
      </c>
      <c r="N5752">
        <v>0</v>
      </c>
      <c r="O5752">
        <v>-0.2452328</v>
      </c>
      <c r="P5752">
        <v>0.98826409999999998</v>
      </c>
      <c r="Q5752">
        <v>8.0930329999999995E-2</v>
      </c>
      <c r="R5752">
        <v>-0.1295549</v>
      </c>
      <c r="S5752">
        <v>3.0448909999999998</v>
      </c>
      <c r="T5752">
        <v>-0.26521220000000001</v>
      </c>
      <c r="U5752">
        <v>-9.5977779999999999E-2</v>
      </c>
      <c r="V5752">
        <v>-0.11843099999999999</v>
      </c>
      <c r="W5752">
        <v>8.9569839999999998E-2</v>
      </c>
      <c r="X5752">
        <v>0.98891419999999997</v>
      </c>
      <c r="Y5752">
        <v>-0.21286749999999999</v>
      </c>
      <c r="Z5752">
        <v>3.0380170000000001E-2</v>
      </c>
      <c r="AA5752">
        <v>0.97660860000000005</v>
      </c>
      <c r="AB5752">
        <v>28</v>
      </c>
      <c r="AC5752">
        <v>12.686500000000001</v>
      </c>
      <c r="AD5752">
        <v>-1.1157720413850001</v>
      </c>
      <c r="AE5752">
        <v>-0.37664999999999699</v>
      </c>
      <c r="AF5752">
        <v>-2.72512296691297</v>
      </c>
      <c r="AG5752">
        <v>-1.1157720413850001</v>
      </c>
      <c r="AH5752">
        <v>12.2964030201745</v>
      </c>
      <c r="AI5752">
        <v>95.062629251571096</v>
      </c>
      <c r="AJ5752">
        <v>102.49589640920701</v>
      </c>
      <c r="AK5752">
        <v>12.644080420010299</v>
      </c>
      <c r="AL5752">
        <v>84.861139086569196</v>
      </c>
      <c r="AM5752">
        <v>96.829139300280602</v>
      </c>
      <c r="AN5752">
        <v>0.99999997648013195</v>
      </c>
    </row>
    <row r="5753" spans="1:40" x14ac:dyDescent="0.25">
      <c r="A5753" t="str">
        <f>"20190312164620627"</f>
        <v>20190312164620627</v>
      </c>
      <c r="B5753" t="str">
        <f>"1552380380616858"</f>
        <v>1552380380616858</v>
      </c>
      <c r="C5753" t="s">
        <v>40</v>
      </c>
      <c r="D5753">
        <v>5.50779</v>
      </c>
      <c r="E5753">
        <v>0.46992159999999999</v>
      </c>
      <c r="F5753" t="s">
        <v>42</v>
      </c>
      <c r="G5753">
        <v>-273.18290000000002</v>
      </c>
      <c r="H5753" s="1">
        <v>-9.5744559999999996E-7</v>
      </c>
      <c r="I5753">
        <v>-62.352179999999997</v>
      </c>
      <c r="J5753">
        <v>-285.96559999999999</v>
      </c>
      <c r="K5753">
        <v>1.1157060000000001</v>
      </c>
      <c r="L5753">
        <v>-61.938690000000001</v>
      </c>
      <c r="M5753">
        <v>0.9706148</v>
      </c>
      <c r="N5753">
        <v>0</v>
      </c>
      <c r="O5753">
        <v>-0.240393</v>
      </c>
      <c r="P5753">
        <v>0.9884039</v>
      </c>
      <c r="Q5753">
        <v>8.0623979999999998E-2</v>
      </c>
      <c r="R5753">
        <v>-0.12867770000000001</v>
      </c>
      <c r="S5753">
        <v>3.0434570000000001</v>
      </c>
      <c r="T5753">
        <v>-0.26290980000000003</v>
      </c>
      <c r="U5753">
        <v>-0.10424799999999999</v>
      </c>
      <c r="V5753">
        <v>-0.11435629999999999</v>
      </c>
      <c r="W5753">
        <v>8.9342829999999998E-2</v>
      </c>
      <c r="X5753">
        <v>0.98941420000000002</v>
      </c>
      <c r="Y5753">
        <v>-0.20539560000000001</v>
      </c>
      <c r="Z5753">
        <v>2.9399769999999999E-2</v>
      </c>
      <c r="AA5753">
        <v>0.97823729999999998</v>
      </c>
      <c r="AB5753">
        <v>28</v>
      </c>
      <c r="AC5753">
        <v>12.782699999999901</v>
      </c>
      <c r="AD5753">
        <v>-1.11570695744559</v>
      </c>
      <c r="AE5753">
        <v>-0.41349000000000202</v>
      </c>
      <c r="AF5753">
        <v>-2.6515111220905001</v>
      </c>
      <c r="AG5753">
        <v>-1.11570695744559</v>
      </c>
      <c r="AH5753">
        <v>12.4127520011819</v>
      </c>
      <c r="AI5753">
        <v>95.023435901533404</v>
      </c>
      <c r="AJ5753">
        <v>102.05783835863301</v>
      </c>
      <c r="AK5753">
        <v>12.741731651871699</v>
      </c>
      <c r="AL5753">
        <v>84.874198186778699</v>
      </c>
      <c r="AM5753">
        <v>96.592980996720001</v>
      </c>
      <c r="AN5753">
        <v>0.99999998189186901</v>
      </c>
    </row>
    <row r="5754" spans="1:40" x14ac:dyDescent="0.25">
      <c r="A5754" t="str">
        <f>"20190312164620640"</f>
        <v>20190312164620640</v>
      </c>
      <c r="B5754" t="str">
        <f>"1552380380637353"</f>
        <v>1552380380637353</v>
      </c>
      <c r="C5754" t="s">
        <v>40</v>
      </c>
      <c r="D5754">
        <v>5.5569829999999998</v>
      </c>
      <c r="E5754">
        <v>0.47240720000000003</v>
      </c>
      <c r="F5754" t="s">
        <v>42</v>
      </c>
      <c r="G5754">
        <v>-273.16419999999999</v>
      </c>
      <c r="H5754" s="1">
        <v>-9.6539019999999992E-7</v>
      </c>
      <c r="I5754">
        <v>-62.423909999999999</v>
      </c>
      <c r="J5754">
        <v>-285.82619999999997</v>
      </c>
      <c r="K5754">
        <v>1.115632</v>
      </c>
      <c r="L5754">
        <v>-61.967739999999999</v>
      </c>
      <c r="M5754">
        <v>0.971831</v>
      </c>
      <c r="N5754">
        <v>0</v>
      </c>
      <c r="O5754">
        <v>-0.2354282</v>
      </c>
      <c r="P5754">
        <v>0.98856290000000002</v>
      </c>
      <c r="Q5754">
        <v>8.0487069999999994E-2</v>
      </c>
      <c r="R5754">
        <v>-0.1275355</v>
      </c>
      <c r="S5754">
        <v>3.0418090000000002</v>
      </c>
      <c r="T5754">
        <v>-0.26510820000000002</v>
      </c>
      <c r="U5754">
        <v>-0.11529540000000001</v>
      </c>
      <c r="V5754">
        <v>-0.110422699999999</v>
      </c>
      <c r="W5754">
        <v>8.9281079999999999E-2</v>
      </c>
      <c r="X5754">
        <v>0.98986649999999998</v>
      </c>
      <c r="Y5754">
        <v>-0.1968415</v>
      </c>
      <c r="Z5754">
        <v>2.8863389999999999E-2</v>
      </c>
      <c r="AA5754">
        <v>0.98001039999999995</v>
      </c>
      <c r="AB5754">
        <v>28</v>
      </c>
      <c r="AC5754">
        <v>12.6619999999999</v>
      </c>
      <c r="AD5754">
        <v>-1.1156329653902</v>
      </c>
      <c r="AE5754">
        <v>-0.45617000000000002</v>
      </c>
      <c r="AF5754">
        <v>-2.5182969666022799</v>
      </c>
      <c r="AG5754">
        <v>-1.1156329653902</v>
      </c>
      <c r="AH5754">
        <v>12.317950096572799</v>
      </c>
      <c r="AI5754">
        <v>95.070819675508801</v>
      </c>
      <c r="AJ5754">
        <v>101.55439929940999</v>
      </c>
      <c r="AK5754">
        <v>12.622137343062001</v>
      </c>
      <c r="AL5754">
        <v>84.877750417358996</v>
      </c>
      <c r="AM5754">
        <v>96.365207132629806</v>
      </c>
      <c r="AN5754">
        <v>0.99999998587175298</v>
      </c>
    </row>
    <row r="5755" spans="1:40" x14ac:dyDescent="0.25">
      <c r="A5755" t="str">
        <f>"20190312164620651"</f>
        <v>20190312164620651</v>
      </c>
      <c r="B5755" t="str">
        <f>"1552380380647113"</f>
        <v>1552380380647113</v>
      </c>
      <c r="C5755" t="s">
        <v>40</v>
      </c>
      <c r="D5755">
        <v>5.2820460000000002</v>
      </c>
      <c r="E5755">
        <v>0.4732459</v>
      </c>
      <c r="F5755" t="s">
        <v>42</v>
      </c>
      <c r="G5755">
        <v>-273.13409999999999</v>
      </c>
      <c r="H5755" s="1">
        <v>-9.7285239999999995E-7</v>
      </c>
      <c r="I5755">
        <v>-62.515560000000001</v>
      </c>
      <c r="J5755">
        <v>-285.69279999999998</v>
      </c>
      <c r="K5755">
        <v>1.115564</v>
      </c>
      <c r="L5755">
        <v>-61.995330000000003</v>
      </c>
      <c r="M5755">
        <v>0.97296459999999996</v>
      </c>
      <c r="N5755">
        <v>0</v>
      </c>
      <c r="O5755">
        <v>-0.23069919999999999</v>
      </c>
      <c r="P5755">
        <v>0.98868129999999999</v>
      </c>
      <c r="Q5755">
        <v>8.0027509999999996E-2</v>
      </c>
      <c r="R5755">
        <v>-0.12690599999999999</v>
      </c>
      <c r="S5755">
        <v>3.0395810000000001</v>
      </c>
      <c r="T5755">
        <v>-0.26717819999999998</v>
      </c>
      <c r="U5755">
        <v>-0.13119510000000001</v>
      </c>
      <c r="V5755">
        <v>-0.1062203</v>
      </c>
      <c r="W5755">
        <v>8.8901129999999995E-2</v>
      </c>
      <c r="X5755">
        <v>0.99036040000000003</v>
      </c>
      <c r="Y5755">
        <v>-0.18694820000000001</v>
      </c>
      <c r="Z5755">
        <v>2.8264299999999999E-2</v>
      </c>
      <c r="AA5755">
        <v>0.98196309999999998</v>
      </c>
      <c r="AB5755">
        <v>28</v>
      </c>
      <c r="AC5755">
        <v>12.5586999999999</v>
      </c>
      <c r="AD5755">
        <v>-1.1155649728524</v>
      </c>
      <c r="AE5755">
        <v>-0.52022999999999797</v>
      </c>
      <c r="AF5755">
        <v>-2.37256897011904</v>
      </c>
      <c r="AG5755">
        <v>-1.1155649728524</v>
      </c>
      <c r="AH5755">
        <v>12.2434730876353</v>
      </c>
      <c r="AI5755">
        <v>95.111562575171803</v>
      </c>
      <c r="AJ5755">
        <v>100.96698305439099</v>
      </c>
      <c r="AK5755">
        <v>12.521030387882499</v>
      </c>
      <c r="AL5755">
        <v>84.899606639829301</v>
      </c>
      <c r="AM5755">
        <v>96.121809855034599</v>
      </c>
      <c r="AN5755">
        <v>0.99999994246776103</v>
      </c>
    </row>
    <row r="5756" spans="1:40" x14ac:dyDescent="0.25">
      <c r="A5756" t="str">
        <f>"20190312164620662"</f>
        <v>20190312164620662</v>
      </c>
      <c r="B5756" t="str">
        <f>"1552380380656873"</f>
        <v>1552380380656873</v>
      </c>
      <c r="C5756" t="s">
        <v>40</v>
      </c>
      <c r="D5756">
        <v>5.5664009999999999</v>
      </c>
      <c r="E5756">
        <v>0.47424909999999998</v>
      </c>
      <c r="F5756" t="s">
        <v>42</v>
      </c>
      <c r="G5756">
        <v>-273.12290000000002</v>
      </c>
      <c r="H5756" s="1">
        <v>-9.7665119999999991E-7</v>
      </c>
      <c r="I5756">
        <v>-62.554299999999998</v>
      </c>
      <c r="J5756">
        <v>-285.55200000000002</v>
      </c>
      <c r="K5756">
        <v>1.1154919999999999</v>
      </c>
      <c r="L5756">
        <v>-62.023409999999998</v>
      </c>
      <c r="M5756">
        <v>0.97411559999999997</v>
      </c>
      <c r="N5756">
        <v>0</v>
      </c>
      <c r="O5756">
        <v>-0.22579179999999999</v>
      </c>
      <c r="P5756">
        <v>0.98887060000000004</v>
      </c>
      <c r="Q5756">
        <v>7.9353900000000005E-2</v>
      </c>
      <c r="R5756">
        <v>-0.1258503</v>
      </c>
      <c r="S5756">
        <v>3.038818</v>
      </c>
      <c r="T5756">
        <v>-0.26969149999999997</v>
      </c>
      <c r="U5756">
        <v>-0.1351318</v>
      </c>
      <c r="V5756">
        <v>-0.1022651</v>
      </c>
      <c r="W5756">
        <v>8.8301249999999998E-2</v>
      </c>
      <c r="X5756">
        <v>0.99083030000000005</v>
      </c>
      <c r="Y5756">
        <v>-0.18072569999999999</v>
      </c>
      <c r="Z5756">
        <v>2.7834749999999998E-2</v>
      </c>
      <c r="AA5756">
        <v>0.9831396</v>
      </c>
      <c r="AB5756">
        <v>28</v>
      </c>
      <c r="AC5756">
        <v>12.4291</v>
      </c>
      <c r="AD5756">
        <v>-1.1154929766511901</v>
      </c>
      <c r="AE5756">
        <v>-0.53088999999999897</v>
      </c>
      <c r="AF5756">
        <v>-2.2711143646989802</v>
      </c>
      <c r="AG5756">
        <v>-1.1154929766511901</v>
      </c>
      <c r="AH5756">
        <v>12.1304351283496</v>
      </c>
      <c r="AI5756">
        <v>95.164796871816506</v>
      </c>
      <c r="AJ5756">
        <v>100.60440431255</v>
      </c>
      <c r="AK5756">
        <v>12.391518931979199</v>
      </c>
      <c r="AL5756">
        <v>84.9341130937065</v>
      </c>
      <c r="AM5756">
        <v>95.892719231877507</v>
      </c>
      <c r="AN5756">
        <v>0.99999997241383098</v>
      </c>
    </row>
    <row r="5757" spans="1:40" x14ac:dyDescent="0.25">
      <c r="A5757" t="str">
        <f>"20190312164620674"</f>
        <v>20190312164620674</v>
      </c>
      <c r="B5757" t="str">
        <f>"1552380380667610"</f>
        <v>1552380380667610</v>
      </c>
      <c r="C5757" t="s">
        <v>40</v>
      </c>
      <c r="D5757">
        <v>5.5639129999999897</v>
      </c>
      <c r="E5757">
        <v>0.4749717</v>
      </c>
      <c r="F5757" t="s">
        <v>42</v>
      </c>
      <c r="G5757">
        <v>-273.2072</v>
      </c>
      <c r="H5757" s="1">
        <v>-1.0202260000000001E-6</v>
      </c>
      <c r="I5757">
        <v>-62.587490000000003</v>
      </c>
      <c r="J5757">
        <v>-285.4135</v>
      </c>
      <c r="K5757">
        <v>1.115421</v>
      </c>
      <c r="L5757">
        <v>-62.050539999999998</v>
      </c>
      <c r="M5757">
        <v>0.9752132</v>
      </c>
      <c r="N5757">
        <v>0</v>
      </c>
      <c r="O5757">
        <v>-0.22100310000000001</v>
      </c>
      <c r="P5757">
        <v>0.98900529999999998</v>
      </c>
      <c r="Q5757">
        <v>7.8856869999999996E-2</v>
      </c>
      <c r="R5757">
        <v>-0.12510109999999999</v>
      </c>
      <c r="S5757">
        <v>3.038116</v>
      </c>
      <c r="T5757">
        <v>-0.27452959999999998</v>
      </c>
      <c r="U5757">
        <v>-0.13882449999999999</v>
      </c>
      <c r="V5757">
        <v>-9.8128679999999996E-2</v>
      </c>
      <c r="W5757">
        <v>8.7880429999999995E-2</v>
      </c>
      <c r="X5757">
        <v>0.99128590000000005</v>
      </c>
      <c r="Y5757">
        <v>-0.17467439999999901</v>
      </c>
      <c r="Z5757">
        <v>2.764233E-2</v>
      </c>
      <c r="AA5757">
        <v>0.9842381</v>
      </c>
      <c r="AB5757">
        <v>28</v>
      </c>
      <c r="AC5757">
        <v>12.206300000000001</v>
      </c>
      <c r="AD5757">
        <v>-1.1154220202259999</v>
      </c>
      <c r="AE5757">
        <v>-0.53694999999999704</v>
      </c>
      <c r="AF5757">
        <v>-2.1561463935324001</v>
      </c>
      <c r="AG5757">
        <v>-1.1154220202259999</v>
      </c>
      <c r="AH5757">
        <v>11.923738546243399</v>
      </c>
      <c r="AI5757">
        <v>95.259450078758107</v>
      </c>
      <c r="AJ5757">
        <v>100.249921928204</v>
      </c>
      <c r="AK5757">
        <v>12.1683472366923</v>
      </c>
      <c r="AL5757">
        <v>84.958318400236294</v>
      </c>
      <c r="AM5757">
        <v>95.653365413649894</v>
      </c>
      <c r="AN5757">
        <v>0.99999997167716803</v>
      </c>
    </row>
    <row r="5758" spans="1:40" x14ac:dyDescent="0.25">
      <c r="A5758" t="str">
        <f>"20190312164620686"</f>
        <v>20190312164620686</v>
      </c>
      <c r="B5758" t="str">
        <f>"1552380380677369"</f>
        <v>1552380380677369</v>
      </c>
      <c r="C5758" t="s">
        <v>40</v>
      </c>
      <c r="D5758">
        <v>5.5244589999999896</v>
      </c>
      <c r="E5758">
        <v>0.47533130000000001</v>
      </c>
      <c r="F5758" t="s">
        <v>42</v>
      </c>
      <c r="G5758">
        <v>-273.21899999999999</v>
      </c>
      <c r="H5758" s="1">
        <v>-1.032016E-6</v>
      </c>
      <c r="I5758">
        <v>-62.617759999999997</v>
      </c>
      <c r="J5758">
        <v>-285.2715</v>
      </c>
      <c r="K5758">
        <v>1.1153470000000001</v>
      </c>
      <c r="L5758">
        <v>-62.0777</v>
      </c>
      <c r="M5758">
        <v>0.97630139999999999</v>
      </c>
      <c r="N5758">
        <v>0</v>
      </c>
      <c r="O5758">
        <v>-0.21614659999999999</v>
      </c>
      <c r="P5758">
        <v>0.98917449999999996</v>
      </c>
      <c r="Q5758">
        <v>7.8656030000000002E-2</v>
      </c>
      <c r="R5758">
        <v>-0.12388390000000001</v>
      </c>
      <c r="S5758">
        <v>3.0376280000000002</v>
      </c>
      <c r="T5758">
        <v>-0.27785120000000002</v>
      </c>
      <c r="U5758">
        <v>-0.14129639999999999</v>
      </c>
      <c r="V5758">
        <v>-9.4394909999999999E-2</v>
      </c>
      <c r="W5758">
        <v>8.7746930000000001E-2</v>
      </c>
      <c r="X5758">
        <v>0.99166019999999999</v>
      </c>
      <c r="Y5758">
        <v>-0.1689696</v>
      </c>
      <c r="Z5758">
        <v>2.7284989999999999E-2</v>
      </c>
      <c r="AA5758">
        <v>0.98524350000000005</v>
      </c>
      <c r="AB5758">
        <v>28</v>
      </c>
      <c r="AC5758">
        <v>12.0525</v>
      </c>
      <c r="AD5758">
        <v>-1.1153480320160001</v>
      </c>
      <c r="AE5758">
        <v>-0.54005999999999599</v>
      </c>
      <c r="AF5758">
        <v>-2.0603571892547099</v>
      </c>
      <c r="AG5758">
        <v>-1.1153480320160001</v>
      </c>
      <c r="AH5758">
        <v>11.783585333178801</v>
      </c>
      <c r="AI5758">
        <v>95.326752861140903</v>
      </c>
      <c r="AJ5758">
        <v>99.917893540464306</v>
      </c>
      <c r="AK5758">
        <v>12.0142397297599</v>
      </c>
      <c r="AL5758">
        <v>84.965996877851694</v>
      </c>
      <c r="AM5758">
        <v>95.437531024515394</v>
      </c>
      <c r="AN5758">
        <v>0.99999993751118399</v>
      </c>
    </row>
    <row r="5759" spans="1:40" x14ac:dyDescent="0.25">
      <c r="A5759" t="str">
        <f>"20190312164620695"</f>
        <v>20190312164620695</v>
      </c>
      <c r="B5759" t="str">
        <f>"1552380380687129"</f>
        <v>1552380380687129</v>
      </c>
      <c r="C5759" t="s">
        <v>40</v>
      </c>
      <c r="D5759">
        <v>5.5566190000000004</v>
      </c>
      <c r="E5759">
        <v>0.47564319999999999</v>
      </c>
      <c r="F5759" t="s">
        <v>42</v>
      </c>
      <c r="G5759">
        <v>-273.1087</v>
      </c>
      <c r="H5759" s="1">
        <v>-9.8909460000000009E-7</v>
      </c>
      <c r="I5759">
        <v>-62.63749</v>
      </c>
      <c r="J5759">
        <v>-285.15170000000001</v>
      </c>
      <c r="K5759">
        <v>1.1152869999999999</v>
      </c>
      <c r="L5759">
        <v>-62.100009999999997</v>
      </c>
      <c r="M5759">
        <v>0.9771881</v>
      </c>
      <c r="N5759">
        <v>0</v>
      </c>
      <c r="O5759">
        <v>-0.21210219999999999</v>
      </c>
      <c r="P5759">
        <v>0.98926760000000002</v>
      </c>
      <c r="Q5759">
        <v>7.8103220000000001E-2</v>
      </c>
      <c r="R5759">
        <v>-0.1234891</v>
      </c>
      <c r="S5759">
        <v>3.0374759999999998</v>
      </c>
      <c r="T5759">
        <v>-0.27854250000000003</v>
      </c>
      <c r="U5759">
        <v>-0.13980100000000001</v>
      </c>
      <c r="V5759">
        <v>-9.0668230000000002E-2</v>
      </c>
      <c r="W5759">
        <v>8.725956E-2</v>
      </c>
      <c r="X5759">
        <v>0.99205089999999996</v>
      </c>
      <c r="Y5759">
        <v>-0.16539319999999999</v>
      </c>
      <c r="Z5759">
        <v>2.6828560000000001E-2</v>
      </c>
      <c r="AA5759">
        <v>0.98586269999999998</v>
      </c>
      <c r="AB5759">
        <v>28</v>
      </c>
      <c r="AC5759">
        <v>12.042999999999999</v>
      </c>
      <c r="AD5759">
        <v>-1.1152879890945999</v>
      </c>
      <c r="AE5759">
        <v>-0.53748000000000196</v>
      </c>
      <c r="AF5759">
        <v>-2.0120239041849399</v>
      </c>
      <c r="AG5759">
        <v>-1.1152879890945999</v>
      </c>
      <c r="AH5759">
        <v>11.782119434671699</v>
      </c>
      <c r="AI5759">
        <v>95.330754363922395</v>
      </c>
      <c r="AJ5759">
        <v>99.690877627554798</v>
      </c>
      <c r="AK5759">
        <v>12.004601028876399</v>
      </c>
      <c r="AL5759">
        <v>84.994028827701996</v>
      </c>
      <c r="AM5759">
        <v>95.222025028156295</v>
      </c>
      <c r="AN5759">
        <v>0.99999997346676694</v>
      </c>
    </row>
    <row r="5760" spans="1:40" x14ac:dyDescent="0.25">
      <c r="A5760" t="str">
        <f>"20190312164620705"</f>
        <v>20190312164620705</v>
      </c>
      <c r="B5760" t="str">
        <f>"1552380380696890"</f>
        <v>1552380380696890</v>
      </c>
      <c r="C5760" t="s">
        <v>40</v>
      </c>
      <c r="D5760">
        <v>5.4845169999999897</v>
      </c>
      <c r="E5760">
        <v>0.47590300000000002</v>
      </c>
      <c r="F5760" t="s">
        <v>42</v>
      </c>
      <c r="G5760">
        <v>-273.08499999999998</v>
      </c>
      <c r="H5760" s="1">
        <v>-9.838049E-7</v>
      </c>
      <c r="I5760">
        <v>-62.659559999999999</v>
      </c>
      <c r="J5760">
        <v>-285.02140000000003</v>
      </c>
      <c r="K5760">
        <v>1.115219</v>
      </c>
      <c r="L5760">
        <v>-62.123869999999997</v>
      </c>
      <c r="M5760">
        <v>0.97812690000000002</v>
      </c>
      <c r="N5760">
        <v>0</v>
      </c>
      <c r="O5760">
        <v>-0.20773040000000001</v>
      </c>
      <c r="P5760">
        <v>0.98936690000000005</v>
      </c>
      <c r="Q5760">
        <v>7.8146469999999996E-2</v>
      </c>
      <c r="R5760">
        <v>-0.1226637</v>
      </c>
      <c r="S5760">
        <v>3.0371700000000001</v>
      </c>
      <c r="T5760">
        <v>-0.28071629999999997</v>
      </c>
      <c r="U5760">
        <v>-0.14083860000000001</v>
      </c>
      <c r="V5760">
        <v>-8.7042320000000006E-2</v>
      </c>
      <c r="W5760">
        <v>8.7365990000000004E-2</v>
      </c>
      <c r="X5760">
        <v>0.99236630000000003</v>
      </c>
      <c r="Y5760">
        <v>-0.16065479999999999</v>
      </c>
      <c r="Z5760">
        <v>2.6425850000000001E-2</v>
      </c>
      <c r="AA5760">
        <v>0.9866568</v>
      </c>
      <c r="AB5760">
        <v>28</v>
      </c>
      <c r="AC5760">
        <v>11.936400000000001</v>
      </c>
      <c r="AD5760">
        <v>-1.1152199838049</v>
      </c>
      <c r="AE5760">
        <v>-0.535690000000002</v>
      </c>
      <c r="AF5760">
        <v>-1.9388034515022099</v>
      </c>
      <c r="AG5760">
        <v>-1.1152199838049</v>
      </c>
      <c r="AH5760">
        <v>11.6854760131377</v>
      </c>
      <c r="AI5760">
        <v>95.378505609342497</v>
      </c>
      <c r="AJ5760">
        <v>99.420450498506398</v>
      </c>
      <c r="AK5760">
        <v>11.8976058133329</v>
      </c>
      <c r="AL5760">
        <v>84.9879077315464</v>
      </c>
      <c r="AM5760">
        <v>95.012692320118305</v>
      </c>
      <c r="AN5760">
        <v>1.0000000275276699</v>
      </c>
    </row>
    <row r="5761" spans="1:40" x14ac:dyDescent="0.25">
      <c r="A5761" t="str">
        <f>"20190312164620717"</f>
        <v>20190312164620717</v>
      </c>
      <c r="B5761" t="str">
        <f>"1552380380707626"</f>
        <v>1552380380707626</v>
      </c>
      <c r="C5761" t="s">
        <v>40</v>
      </c>
      <c r="D5761">
        <v>5.4231069999999999</v>
      </c>
      <c r="E5761">
        <v>0.47612640000000001</v>
      </c>
      <c r="F5761" t="s">
        <v>42</v>
      </c>
      <c r="G5761">
        <v>-272.9699</v>
      </c>
      <c r="H5761" s="1">
        <v>-9.3903409999999996E-7</v>
      </c>
      <c r="I5761">
        <v>-62.680199999999999</v>
      </c>
      <c r="J5761">
        <v>-284.89179999999999</v>
      </c>
      <c r="K5761">
        <v>1.115154</v>
      </c>
      <c r="L5761">
        <v>-62.146819999999998</v>
      </c>
      <c r="M5761">
        <v>0.97902690000000003</v>
      </c>
      <c r="N5761">
        <v>0</v>
      </c>
      <c r="O5761">
        <v>-0.20344760000000001</v>
      </c>
      <c r="P5761">
        <v>0.98950800000000005</v>
      </c>
      <c r="Q5761">
        <v>7.7671069999999995E-2</v>
      </c>
      <c r="R5761">
        <v>-0.1218249</v>
      </c>
      <c r="S5761">
        <v>3.0370180000000002</v>
      </c>
      <c r="T5761">
        <v>-0.28103889999999998</v>
      </c>
      <c r="U5761">
        <v>-0.14019779999999901</v>
      </c>
      <c r="V5761">
        <v>-8.3523780000000006E-2</v>
      </c>
      <c r="W5761">
        <v>8.6950819999999998E-2</v>
      </c>
      <c r="X5761">
        <v>0.99270499999999995</v>
      </c>
      <c r="Y5761">
        <v>-0.1565714</v>
      </c>
      <c r="Z5761">
        <v>2.5881359999999999E-2</v>
      </c>
      <c r="AA5761">
        <v>0.98732750000000002</v>
      </c>
      <c r="AB5761">
        <v>28</v>
      </c>
      <c r="AC5761">
        <v>11.9218999999999</v>
      </c>
      <c r="AD5761">
        <v>-1.1151549390341</v>
      </c>
      <c r="AE5761">
        <v>-0.53338000000000096</v>
      </c>
      <c r="AF5761">
        <v>-1.88692190624525</v>
      </c>
      <c r="AG5761">
        <v>-1.1151549390341</v>
      </c>
      <c r="AH5761">
        <v>11.679074435686299</v>
      </c>
      <c r="AI5761">
        <v>95.384837561809803</v>
      </c>
      <c r="AJ5761">
        <v>99.177648130209704</v>
      </c>
      <c r="AK5761">
        <v>11.882963624139499</v>
      </c>
      <c r="AL5761">
        <v>85.0117856619283</v>
      </c>
      <c r="AM5761">
        <v>94.809399845086901</v>
      </c>
      <c r="AN5761">
        <v>0.99999994197457798</v>
      </c>
    </row>
    <row r="5762" spans="1:40" x14ac:dyDescent="0.25">
      <c r="A5762" t="str">
        <f>"20190312164620728"</f>
        <v>20190312164620728</v>
      </c>
      <c r="B5762" t="str">
        <f>"1552380380717385"</f>
        <v>1552380380717385</v>
      </c>
      <c r="C5762" t="s">
        <v>40</v>
      </c>
      <c r="D5762">
        <v>5.2857010000000004</v>
      </c>
      <c r="E5762">
        <v>0.4763001</v>
      </c>
      <c r="F5762" t="s">
        <v>42</v>
      </c>
      <c r="G5762">
        <v>-273.09070000000003</v>
      </c>
      <c r="H5762" s="1">
        <v>-9.9208940000000009E-7</v>
      </c>
      <c r="I5762">
        <v>-62.685859999999998</v>
      </c>
      <c r="J5762">
        <v>-284.75619999999998</v>
      </c>
      <c r="K5762">
        <v>1.1150880000000001</v>
      </c>
      <c r="L5762">
        <v>-62.1706199999999</v>
      </c>
      <c r="M5762">
        <v>0.97994409999999998</v>
      </c>
      <c r="N5762">
        <v>0</v>
      </c>
      <c r="O5762">
        <v>-0.19898370000000001</v>
      </c>
      <c r="P5762">
        <v>0.98964730000000001</v>
      </c>
      <c r="Q5762">
        <v>7.7307189999999998E-2</v>
      </c>
      <c r="R5762">
        <v>-0.12092269999999899</v>
      </c>
      <c r="S5762">
        <v>3.0372919999999999</v>
      </c>
      <c r="T5762">
        <v>-0.28701019999999999</v>
      </c>
      <c r="U5762">
        <v>-0.13873289999999999</v>
      </c>
      <c r="V5762">
        <v>-7.9887100000000003E-2</v>
      </c>
      <c r="W5762">
        <v>8.6648210000000003E-2</v>
      </c>
      <c r="X5762">
        <v>0.99303079999999999</v>
      </c>
      <c r="Y5762">
        <v>-0.1525213</v>
      </c>
      <c r="Z5762">
        <v>2.582305E-2</v>
      </c>
      <c r="AA5762">
        <v>0.98796280000000003</v>
      </c>
      <c r="AB5762">
        <v>28</v>
      </c>
      <c r="AC5762">
        <v>11.6654999999999</v>
      </c>
      <c r="AD5762">
        <v>-1.1150889920893901</v>
      </c>
      <c r="AE5762">
        <v>-0.51524000000000503</v>
      </c>
      <c r="AF5762">
        <v>-1.8000272895460201</v>
      </c>
      <c r="AG5762">
        <v>-1.1150889920893901</v>
      </c>
      <c r="AH5762">
        <v>11.430486699245</v>
      </c>
      <c r="AI5762">
        <v>95.5043898010628</v>
      </c>
      <c r="AJ5762">
        <v>98.949216672097506</v>
      </c>
      <c r="AK5762">
        <v>11.624953672381</v>
      </c>
      <c r="AL5762">
        <v>85.029189990769595</v>
      </c>
      <c r="AM5762">
        <v>94.599411763864694</v>
      </c>
      <c r="AN5762">
        <v>1.0000000153956199</v>
      </c>
    </row>
    <row r="5763" spans="1:40" x14ac:dyDescent="0.25">
      <c r="A5763" t="str">
        <f>"20190312164620739"</f>
        <v>20190312164620739</v>
      </c>
      <c r="B5763" t="str">
        <f>"1552380380736905"</f>
        <v>1552380380736905</v>
      </c>
      <c r="C5763" t="s">
        <v>40</v>
      </c>
      <c r="D5763">
        <v>5.3942620000000003</v>
      </c>
      <c r="E5763">
        <v>0.47654999999999997</v>
      </c>
      <c r="F5763" t="s">
        <v>42</v>
      </c>
      <c r="G5763">
        <v>-273.00979999999998</v>
      </c>
      <c r="H5763" s="1">
        <v>-9.6045980000000003E-7</v>
      </c>
      <c r="I5763">
        <v>-62.699629999999999</v>
      </c>
      <c r="J5763">
        <v>-284.62259999999998</v>
      </c>
      <c r="K5763">
        <v>1.115029</v>
      </c>
      <c r="L5763">
        <v>-62.193119999999901</v>
      </c>
      <c r="M5763">
        <v>0.98081119999999999</v>
      </c>
      <c r="N5763">
        <v>0</v>
      </c>
      <c r="O5763">
        <v>-0.1946659</v>
      </c>
      <c r="P5763">
        <v>0.98981980000000003</v>
      </c>
      <c r="Q5763">
        <v>7.666162E-2</v>
      </c>
      <c r="R5763">
        <v>-0.11991690000000001</v>
      </c>
      <c r="S5763">
        <v>3.0371700000000001</v>
      </c>
      <c r="T5763">
        <v>-0.28831849999999998</v>
      </c>
      <c r="U5763">
        <v>-0.13677979999999901</v>
      </c>
      <c r="V5763">
        <v>-7.6505909999999996E-2</v>
      </c>
      <c r="W5763">
        <v>8.6057250000000002E-2</v>
      </c>
      <c r="X5763">
        <v>0.99334840000000002</v>
      </c>
      <c r="Y5763">
        <v>-0.1488217</v>
      </c>
      <c r="Z5763">
        <v>2.5365100000000002E-2</v>
      </c>
      <c r="AA5763">
        <v>0.98853869999999999</v>
      </c>
      <c r="AB5763">
        <v>28</v>
      </c>
      <c r="AC5763">
        <v>11.612799999999901</v>
      </c>
      <c r="AD5763">
        <v>-1.1150299604598</v>
      </c>
      <c r="AE5763">
        <v>-0.50651000000001201</v>
      </c>
      <c r="AF5763">
        <v>-1.7478431989018299</v>
      </c>
      <c r="AG5763">
        <v>-1.1150299604598</v>
      </c>
      <c r="AH5763">
        <v>11.3844649451169</v>
      </c>
      <c r="AI5763">
        <v>95.529505438410396</v>
      </c>
      <c r="AJ5763">
        <v>98.728398586653</v>
      </c>
      <c r="AK5763">
        <v>11.571702111066701</v>
      </c>
      <c r="AL5763">
        <v>85.063176500145403</v>
      </c>
      <c r="AM5763">
        <v>94.404123650914002</v>
      </c>
      <c r="AN5763">
        <v>1.00000002416252</v>
      </c>
    </row>
    <row r="5764" spans="1:40" x14ac:dyDescent="0.25">
      <c r="A5764" t="str">
        <f>"20190312164620751"</f>
        <v>20190312164620751</v>
      </c>
      <c r="B5764" t="str">
        <f>"1552380380746665"</f>
        <v>1552380380746665</v>
      </c>
      <c r="C5764" t="s">
        <v>40</v>
      </c>
      <c r="D5764">
        <v>5.1074409999999997</v>
      </c>
      <c r="E5764">
        <v>0.47664980000000001</v>
      </c>
      <c r="F5764" t="s">
        <v>42</v>
      </c>
      <c r="G5764">
        <v>-272.85570000000001</v>
      </c>
      <c r="H5764" s="1">
        <v>-8.9825569999999996E-7</v>
      </c>
      <c r="I5764">
        <v>-62.717210000000001</v>
      </c>
      <c r="J5764">
        <v>-284.4846</v>
      </c>
      <c r="K5764">
        <v>1.114968</v>
      </c>
      <c r="L5764">
        <v>-62.216059999999999</v>
      </c>
      <c r="M5764">
        <v>0.98168339999999998</v>
      </c>
      <c r="N5764">
        <v>0</v>
      </c>
      <c r="O5764">
        <v>-0.1902192</v>
      </c>
      <c r="P5764">
        <v>0.9900002</v>
      </c>
      <c r="Q5764">
        <v>7.6371330000000001E-2</v>
      </c>
      <c r="R5764">
        <v>-0.1186059</v>
      </c>
      <c r="S5764">
        <v>3.036743</v>
      </c>
      <c r="T5764">
        <v>-0.28776030000000002</v>
      </c>
      <c r="U5764">
        <v>-0.13525390000000001</v>
      </c>
      <c r="V5764">
        <v>-7.3303629999999995E-2</v>
      </c>
      <c r="W5764">
        <v>8.5817340000000006E-2</v>
      </c>
      <c r="X5764">
        <v>0.99361060000000001</v>
      </c>
      <c r="Y5764">
        <v>-0.1448721</v>
      </c>
      <c r="Z5764">
        <v>2.472032E-2</v>
      </c>
      <c r="AA5764">
        <v>0.98914150000000001</v>
      </c>
      <c r="AB5764">
        <v>28</v>
      </c>
      <c r="AC5764">
        <v>11.6288999999999</v>
      </c>
      <c r="AD5764">
        <v>-1.1149688982557</v>
      </c>
      <c r="AE5764">
        <v>-0.50114999999999499</v>
      </c>
      <c r="AF5764">
        <v>-1.7045274315577501</v>
      </c>
      <c r="AG5764">
        <v>-1.1149688982557</v>
      </c>
      <c r="AH5764">
        <v>11.4072147469436</v>
      </c>
      <c r="AI5764">
        <v>95.521578892150998</v>
      </c>
      <c r="AJ5764">
        <v>98.498564235034806</v>
      </c>
      <c r="AK5764">
        <v>11.5876277853536</v>
      </c>
      <c r="AL5764">
        <v>85.076973406024294</v>
      </c>
      <c r="AM5764">
        <v>94.219352709679299</v>
      </c>
      <c r="AN5764">
        <v>1.0000000312241</v>
      </c>
    </row>
    <row r="5765" spans="1:40" x14ac:dyDescent="0.25">
      <c r="A5765" t="str">
        <f>"20190312164620762"</f>
        <v>20190312164620762</v>
      </c>
      <c r="B5765" t="str">
        <f>"1552380380757405"</f>
        <v>1552380380757405</v>
      </c>
      <c r="C5765" t="s">
        <v>40</v>
      </c>
      <c r="D5765">
        <v>5.5264620000000004</v>
      </c>
      <c r="E5765">
        <v>0.4768752</v>
      </c>
      <c r="F5765" t="s">
        <v>42</v>
      </c>
      <c r="G5765">
        <v>-272.68819999999999</v>
      </c>
      <c r="H5765" s="1">
        <v>-8.2857619999999995E-7</v>
      </c>
      <c r="I5765">
        <v>-62.72701</v>
      </c>
      <c r="J5765">
        <v>-284.34480000000002</v>
      </c>
      <c r="K5765">
        <v>1.1149119999999999</v>
      </c>
      <c r="L5765">
        <v>-62.238460000000003</v>
      </c>
      <c r="M5765">
        <v>0.98253270000000004</v>
      </c>
      <c r="N5765">
        <v>0</v>
      </c>
      <c r="O5765">
        <v>-0.18578349999999999</v>
      </c>
      <c r="P5765">
        <v>0.9901818</v>
      </c>
      <c r="Q5765">
        <v>7.5900469999999998E-2</v>
      </c>
      <c r="R5765">
        <v>-0.11738659999999999</v>
      </c>
      <c r="S5765">
        <v>3.0367130000000002</v>
      </c>
      <c r="T5765">
        <v>-0.28702349999999999</v>
      </c>
      <c r="U5765">
        <v>-0.1315308</v>
      </c>
      <c r="V5765">
        <v>-7.0023829999999995E-2</v>
      </c>
      <c r="W5765">
        <v>8.5397360000000005E-2</v>
      </c>
      <c r="X5765">
        <v>0.99388330000000003</v>
      </c>
      <c r="Y5765">
        <v>-0.141654</v>
      </c>
      <c r="Z5765">
        <v>2.4095470000000001E-2</v>
      </c>
      <c r="AA5765">
        <v>0.98962300000000003</v>
      </c>
      <c r="AB5765">
        <v>28</v>
      </c>
      <c r="AC5765">
        <v>11.656599999999999</v>
      </c>
      <c r="AD5765">
        <v>-1.1149128285762</v>
      </c>
      <c r="AE5765">
        <v>-0.48855000000000298</v>
      </c>
      <c r="AF5765">
        <v>-1.6704289634716301</v>
      </c>
      <c r="AG5765">
        <v>-1.1149128285762</v>
      </c>
      <c r="AH5765">
        <v>11.439941231288399</v>
      </c>
      <c r="AI5765">
        <v>95.508301803208298</v>
      </c>
      <c r="AJ5765">
        <v>98.307463910382694</v>
      </c>
      <c r="AK5765">
        <v>11.6148878131758</v>
      </c>
      <c r="AL5765">
        <v>85.101125142823193</v>
      </c>
      <c r="AM5765">
        <v>94.030102078715402</v>
      </c>
      <c r="AN5765">
        <v>1.00000002994086</v>
      </c>
    </row>
    <row r="5766" spans="1:40" x14ac:dyDescent="0.25">
      <c r="A5766" t="str">
        <f>"20190312164620773"</f>
        <v>20190312164620773</v>
      </c>
      <c r="B5766" t="str">
        <f>"1552380380767161"</f>
        <v>1552380380767161</v>
      </c>
      <c r="C5766" t="s">
        <v>40</v>
      </c>
      <c r="D5766">
        <v>5.1849930000000004</v>
      </c>
      <c r="E5766">
        <v>0.47681420000000002</v>
      </c>
      <c r="F5766" t="s">
        <v>42</v>
      </c>
      <c r="G5766">
        <v>-272.55040000000002</v>
      </c>
      <c r="H5766" s="1">
        <v>-7.7257140000000004E-7</v>
      </c>
      <c r="I5766">
        <v>-62.740839999999999</v>
      </c>
      <c r="J5766">
        <v>-284.19889999999998</v>
      </c>
      <c r="K5766">
        <v>1.1148579999999999</v>
      </c>
      <c r="L5766">
        <v>-62.26135</v>
      </c>
      <c r="M5766">
        <v>0.98339270000000001</v>
      </c>
      <c r="N5766">
        <v>0</v>
      </c>
      <c r="O5766">
        <v>-0.1811777</v>
      </c>
      <c r="P5766">
        <v>0.99038440000000005</v>
      </c>
      <c r="Q5766">
        <v>7.5869729999999996E-2</v>
      </c>
      <c r="R5766">
        <v>-0.1156838</v>
      </c>
      <c r="S5766">
        <v>3.0363769999999999</v>
      </c>
      <c r="T5766">
        <v>-0.28702569999999999</v>
      </c>
      <c r="U5766">
        <v>-0.12933349999999999</v>
      </c>
      <c r="V5766">
        <v>-6.7061449999999995E-2</v>
      </c>
      <c r="W5766">
        <v>8.5410659999999999E-2</v>
      </c>
      <c r="X5766">
        <v>0.99408640000000004</v>
      </c>
      <c r="Y5766">
        <v>-0.137762299999999</v>
      </c>
      <c r="Z5766">
        <v>2.348776E-2</v>
      </c>
      <c r="AA5766">
        <v>0.99018680000000003</v>
      </c>
      <c r="AB5766">
        <v>28</v>
      </c>
      <c r="AC5766">
        <v>11.648499999999901</v>
      </c>
      <c r="AD5766">
        <v>-1.1148587725714001</v>
      </c>
      <c r="AE5766">
        <v>-0.47949000000000502</v>
      </c>
      <c r="AF5766">
        <v>-1.62416213500802</v>
      </c>
      <c r="AG5766">
        <v>-1.1148587725714001</v>
      </c>
      <c r="AH5766">
        <v>11.4379817618331</v>
      </c>
      <c r="AI5766">
        <v>95.512080204877705</v>
      </c>
      <c r="AJ5766">
        <v>98.081814565737204</v>
      </c>
      <c r="AK5766">
        <v>11.606387875114301</v>
      </c>
      <c r="AL5766">
        <v>85.100360141963705</v>
      </c>
      <c r="AM5766">
        <v>93.859347853391</v>
      </c>
      <c r="AN5766">
        <v>0.99999999479134905</v>
      </c>
    </row>
    <row r="5767" spans="1:40" x14ac:dyDescent="0.25">
      <c r="A5767" t="str">
        <f>"20190312164620784"</f>
        <v>20190312164620784</v>
      </c>
      <c r="B5767" t="str">
        <f>"1552380380776922"</f>
        <v>1552380380776922</v>
      </c>
      <c r="C5767" t="s">
        <v>40</v>
      </c>
      <c r="D5767">
        <v>5.4289560000000003</v>
      </c>
      <c r="E5767">
        <v>0.47675339999999999</v>
      </c>
      <c r="F5767" t="s">
        <v>42</v>
      </c>
      <c r="G5767">
        <v>-272.33350000000002</v>
      </c>
      <c r="H5767" s="1">
        <v>-6.8009270000000005E-7</v>
      </c>
      <c r="I5767">
        <v>-62.743470000000002</v>
      </c>
      <c r="J5767">
        <v>-284.07010000000002</v>
      </c>
      <c r="K5767">
        <v>1.1148149999999999</v>
      </c>
      <c r="L5767">
        <v>-62.281039999999997</v>
      </c>
      <c r="M5767">
        <v>0.98412670000000002</v>
      </c>
      <c r="N5767">
        <v>0</v>
      </c>
      <c r="O5767">
        <v>-0.1771472</v>
      </c>
      <c r="P5767">
        <v>0.99047949999999996</v>
      </c>
      <c r="Q5767">
        <v>7.6005840000000005E-2</v>
      </c>
      <c r="R5767">
        <v>-0.1147765</v>
      </c>
      <c r="S5767">
        <v>3.03653</v>
      </c>
      <c r="T5767">
        <v>-0.28531040000000002</v>
      </c>
      <c r="U5767">
        <v>-0.1233826</v>
      </c>
      <c r="V5767">
        <v>-6.3887029999999997E-2</v>
      </c>
      <c r="W5767">
        <v>8.5594039999999996E-2</v>
      </c>
      <c r="X5767">
        <v>0.99427969999999999</v>
      </c>
      <c r="Y5767">
        <v>-0.1356871</v>
      </c>
      <c r="Z5767">
        <v>2.2878929999999999E-2</v>
      </c>
      <c r="AA5767">
        <v>0.99048749999999997</v>
      </c>
      <c r="AB5767">
        <v>28</v>
      </c>
      <c r="AC5767">
        <v>11.736599999999999</v>
      </c>
      <c r="AD5767">
        <v>-1.1148156800926901</v>
      </c>
      <c r="AE5767">
        <v>-0.46242999999999002</v>
      </c>
      <c r="AF5767">
        <v>-1.60960829322723</v>
      </c>
      <c r="AG5767">
        <v>-1.1148156800926901</v>
      </c>
      <c r="AH5767">
        <v>11.529021753276799</v>
      </c>
      <c r="AI5767">
        <v>95.470397507823805</v>
      </c>
      <c r="AJ5767">
        <v>97.947896039878998</v>
      </c>
      <c r="AK5767">
        <v>11.694100882314</v>
      </c>
      <c r="AL5767">
        <v>85.089814684214204</v>
      </c>
      <c r="AM5767">
        <v>93.676462511173</v>
      </c>
      <c r="AN5767">
        <v>1.0000000070589099</v>
      </c>
    </row>
    <row r="5768" spans="1:40" x14ac:dyDescent="0.25">
      <c r="A5768" t="str">
        <f>"20190312164620796"</f>
        <v>20190312164620796</v>
      </c>
      <c r="B5768" t="str">
        <f>"1552380380786682"</f>
        <v>1552380380786682</v>
      </c>
      <c r="C5768" t="s">
        <v>40</v>
      </c>
      <c r="D5768">
        <v>5.3015720000000002</v>
      </c>
      <c r="E5768">
        <v>0.47673969999999999</v>
      </c>
      <c r="F5768" t="s">
        <v>42</v>
      </c>
      <c r="G5768">
        <v>-272.0804</v>
      </c>
      <c r="H5768" s="1">
        <v>-5.740593E-7</v>
      </c>
      <c r="I5768">
        <v>-62.754950000000001</v>
      </c>
      <c r="J5768">
        <v>-283.9357</v>
      </c>
      <c r="K5768">
        <v>1.1147750000000001</v>
      </c>
      <c r="L5768">
        <v>-62.300930000000001</v>
      </c>
      <c r="M5768">
        <v>0.98486879999999999</v>
      </c>
      <c r="N5768">
        <v>0</v>
      </c>
      <c r="O5768">
        <v>-0.17297499999999999</v>
      </c>
      <c r="P5768">
        <v>0.9905737</v>
      </c>
      <c r="Q5768">
        <v>7.6527159999999997E-2</v>
      </c>
      <c r="R5768">
        <v>-0.11361259999999999</v>
      </c>
      <c r="S5768">
        <v>3.0365600000000001</v>
      </c>
      <c r="T5768">
        <v>-0.28234350000000003</v>
      </c>
      <c r="U5768">
        <v>-0.1200256</v>
      </c>
      <c r="V5768">
        <v>-6.0831450000000002E-2</v>
      </c>
      <c r="W5768">
        <v>8.6159390000000002E-2</v>
      </c>
      <c r="X5768">
        <v>0.99442249999999999</v>
      </c>
      <c r="Y5768">
        <v>-0.13264089999999901</v>
      </c>
      <c r="Z5768">
        <v>2.2119719999999999E-2</v>
      </c>
      <c r="AA5768">
        <v>0.9909173</v>
      </c>
      <c r="AB5768">
        <v>28</v>
      </c>
      <c r="AC5768">
        <v>11.8553</v>
      </c>
      <c r="AD5768">
        <v>-1.1147755740592999</v>
      </c>
      <c r="AE5768">
        <v>-0.45401999999999199</v>
      </c>
      <c r="AF5768">
        <v>-1.58957663875485</v>
      </c>
      <c r="AG5768">
        <v>-1.1147755740592999</v>
      </c>
      <c r="AH5768">
        <v>11.652235927965</v>
      </c>
      <c r="AI5768">
        <v>95.415032804320205</v>
      </c>
      <c r="AJ5768">
        <v>97.7682331989555</v>
      </c>
      <c r="AK5768">
        <v>11.8128777438841</v>
      </c>
      <c r="AL5768">
        <v>85.057302407716904</v>
      </c>
      <c r="AM5768">
        <v>93.500571978068393</v>
      </c>
      <c r="AN5768">
        <v>1.0000000071502599</v>
      </c>
    </row>
    <row r="5769" spans="1:40" x14ac:dyDescent="0.25">
      <c r="A5769" t="str">
        <f>"20190312164620806"</f>
        <v>20190312164620806</v>
      </c>
      <c r="B5769" t="str">
        <f>"1552380380797418"</f>
        <v>1552380380797418</v>
      </c>
      <c r="C5769" t="s">
        <v>40</v>
      </c>
      <c r="D5769">
        <v>5.355963</v>
      </c>
      <c r="E5769">
        <v>0.47675489999999998</v>
      </c>
      <c r="F5769" t="s">
        <v>42</v>
      </c>
      <c r="G5769">
        <v>-272.03199999999998</v>
      </c>
      <c r="H5769" s="1">
        <v>-5.535287E-7</v>
      </c>
      <c r="I5769">
        <v>-62.75591</v>
      </c>
      <c r="J5769">
        <v>-283.80560000000003</v>
      </c>
      <c r="K5769">
        <v>1.114733</v>
      </c>
      <c r="L5769">
        <v>-62.319819999999901</v>
      </c>
      <c r="M5769">
        <v>0.98556650000000001</v>
      </c>
      <c r="N5769">
        <v>0</v>
      </c>
      <c r="O5769">
        <v>-0.16895399999999999</v>
      </c>
      <c r="P5769">
        <v>0.990622</v>
      </c>
      <c r="Q5769">
        <v>7.7161320000000005E-2</v>
      </c>
      <c r="R5769">
        <v>-0.11275499999999999</v>
      </c>
      <c r="S5769">
        <v>3.0372309999999998</v>
      </c>
      <c r="T5769">
        <v>-0.28443649999999998</v>
      </c>
      <c r="U5769">
        <v>-0.11608889999999999</v>
      </c>
      <c r="V5769">
        <v>-5.7624639999999998E-2</v>
      </c>
      <c r="W5769">
        <v>8.6839669999999994E-2</v>
      </c>
      <c r="X5769">
        <v>0.9945543</v>
      </c>
      <c r="Y5769">
        <v>-0.12989700000000001</v>
      </c>
      <c r="Z5769">
        <v>2.1780150000000002E-2</v>
      </c>
      <c r="AA5769">
        <v>0.99128819999999995</v>
      </c>
      <c r="AB5769">
        <v>28</v>
      </c>
      <c r="AC5769">
        <v>11.7736</v>
      </c>
      <c r="AD5769">
        <v>-1.1147335535287</v>
      </c>
      <c r="AE5769">
        <v>-0.43609000000000703</v>
      </c>
      <c r="AF5769">
        <v>-1.5456524655025701</v>
      </c>
      <c r="AG5769">
        <v>-1.1147335535287</v>
      </c>
      <c r="AH5769">
        <v>11.574390130685501</v>
      </c>
      <c r="AI5769">
        <v>95.453096882130396</v>
      </c>
      <c r="AJ5769">
        <v>97.606318238838597</v>
      </c>
      <c r="AK5769">
        <v>11.730225033509999</v>
      </c>
      <c r="AL5769">
        <v>85.018178516046603</v>
      </c>
      <c r="AM5769">
        <v>93.316019525668594</v>
      </c>
      <c r="AN5769">
        <v>0.99999999153466401</v>
      </c>
    </row>
    <row r="5770" spans="1:40" x14ac:dyDescent="0.25">
      <c r="A5770" t="str">
        <f>"20190312164620817"</f>
        <v>20190312164620817</v>
      </c>
      <c r="B5770" t="str">
        <f>"1552380380807177"</f>
        <v>1552380380807177</v>
      </c>
      <c r="C5770" t="s">
        <v>40</v>
      </c>
      <c r="D5770">
        <v>5.3716030000000003</v>
      </c>
      <c r="E5770">
        <v>0.47677740000000002</v>
      </c>
      <c r="F5770" t="s">
        <v>42</v>
      </c>
      <c r="G5770">
        <v>-271.73450000000003</v>
      </c>
      <c r="H5770" s="1">
        <v>-4.2921420000000001E-7</v>
      </c>
      <c r="I5770">
        <v>-62.770879999999998</v>
      </c>
      <c r="J5770">
        <v>-283.66950000000003</v>
      </c>
      <c r="K5770">
        <v>1.1146990000000001</v>
      </c>
      <c r="L5770">
        <v>-62.338749999999997</v>
      </c>
      <c r="M5770">
        <v>0.98627169999999997</v>
      </c>
      <c r="N5770">
        <v>0</v>
      </c>
      <c r="O5770">
        <v>-0.1647885</v>
      </c>
      <c r="P5770">
        <v>0.99069790000000002</v>
      </c>
      <c r="Q5770">
        <v>7.7761419999999998E-2</v>
      </c>
      <c r="R5770">
        <v>-0.1116726</v>
      </c>
      <c r="S5770">
        <v>3.0373230000000002</v>
      </c>
      <c r="T5770">
        <v>-0.2804893</v>
      </c>
      <c r="U5770">
        <v>-0.113494899999999</v>
      </c>
      <c r="V5770">
        <v>-5.4501250000000001E-2</v>
      </c>
      <c r="W5770">
        <v>8.7483790000000006E-2</v>
      </c>
      <c r="X5770">
        <v>0.9946739</v>
      </c>
      <c r="Y5770">
        <v>-0.12662119999999999</v>
      </c>
      <c r="Z5770">
        <v>2.0949249999999999E-2</v>
      </c>
      <c r="AA5770">
        <v>0.99172990000000005</v>
      </c>
      <c r="AB5770">
        <v>28</v>
      </c>
      <c r="AC5770">
        <v>11.935</v>
      </c>
      <c r="AD5770">
        <v>-1.1146994292141901</v>
      </c>
      <c r="AE5770">
        <v>-0.43213000000000701</v>
      </c>
      <c r="AF5770">
        <v>-1.52733447299172</v>
      </c>
      <c r="AG5770">
        <v>-1.1146994292141901</v>
      </c>
      <c r="AH5770">
        <v>11.740749642832601</v>
      </c>
      <c r="AI5770">
        <v>95.378513258801306</v>
      </c>
      <c r="AJ5770">
        <v>97.411888703381507</v>
      </c>
      <c r="AK5770">
        <v>11.8920354685627</v>
      </c>
      <c r="AL5770">
        <v>84.981132125457194</v>
      </c>
      <c r="AM5770">
        <v>93.136276274685798</v>
      </c>
      <c r="AN5770">
        <v>0.99999998355276798</v>
      </c>
    </row>
    <row r="5771" spans="1:40" x14ac:dyDescent="0.25">
      <c r="A5771" t="str">
        <f>"20190312164620829"</f>
        <v>20190312164620829</v>
      </c>
      <c r="B5771" t="str">
        <f>"1552380380816938"</f>
        <v>1552380380816938</v>
      </c>
      <c r="C5771" t="s">
        <v>40</v>
      </c>
      <c r="D5771">
        <v>5.3416240000000004</v>
      </c>
      <c r="E5771">
        <v>0.47674159999999999</v>
      </c>
      <c r="F5771" t="s">
        <v>42</v>
      </c>
      <c r="G5771">
        <v>-271.45830000000001</v>
      </c>
      <c r="H5771" s="1">
        <v>-3.1323990000000003E-7</v>
      </c>
      <c r="I5771">
        <v>-62.782249999999998</v>
      </c>
      <c r="J5771">
        <v>-283.53190000000001</v>
      </c>
      <c r="K5771">
        <v>1.1146670000000001</v>
      </c>
      <c r="L5771">
        <v>-62.357729999999997</v>
      </c>
      <c r="M5771">
        <v>0.98696519999999999</v>
      </c>
      <c r="N5771">
        <v>0</v>
      </c>
      <c r="O5771">
        <v>-0.1605837</v>
      </c>
      <c r="P5771">
        <v>0.99079459999999997</v>
      </c>
      <c r="Q5771">
        <v>7.8259659999999995E-2</v>
      </c>
      <c r="R5771">
        <v>-0.11045919999999999</v>
      </c>
      <c r="S5771">
        <v>3.0375369999999999</v>
      </c>
      <c r="T5771">
        <v>-0.27728059999999899</v>
      </c>
      <c r="U5771">
        <v>-0.110321</v>
      </c>
      <c r="V5771">
        <v>-5.1471580000000003E-2</v>
      </c>
      <c r="W5771">
        <v>8.8023879999999999E-2</v>
      </c>
      <c r="X5771">
        <v>0.99478759999999999</v>
      </c>
      <c r="Y5771">
        <v>-0.12348919999999999</v>
      </c>
      <c r="Z5771">
        <v>2.0188770000000002E-2</v>
      </c>
      <c r="AA5771">
        <v>0.99214049999999998</v>
      </c>
      <c r="AB5771">
        <v>28</v>
      </c>
      <c r="AC5771">
        <v>12.073600000000001</v>
      </c>
      <c r="AD5771">
        <v>-1.1146673132398901</v>
      </c>
      <c r="AE5771">
        <v>-0.42451999999999301</v>
      </c>
      <c r="AF5771">
        <v>-1.50709263132352</v>
      </c>
      <c r="AG5771">
        <v>-1.1146673132398901</v>
      </c>
      <c r="AH5771">
        <v>11.8839014968848</v>
      </c>
      <c r="AI5771">
        <v>95.316129281512403</v>
      </c>
      <c r="AJ5771">
        <v>97.2275545579556</v>
      </c>
      <c r="AK5771">
        <v>12.0308323156071</v>
      </c>
      <c r="AL5771">
        <v>84.950067225515497</v>
      </c>
      <c r="AM5771">
        <v>92.961915465302496</v>
      </c>
      <c r="AN5771">
        <v>0.99999994805585402</v>
      </c>
    </row>
    <row r="5772" spans="1:40" x14ac:dyDescent="0.25">
      <c r="A5772" t="str">
        <f>"20190312164620840"</f>
        <v>20190312164620840</v>
      </c>
      <c r="B5772" t="str">
        <f>"1552380380837433"</f>
        <v>1552380380837433</v>
      </c>
      <c r="C5772" t="s">
        <v>40</v>
      </c>
      <c r="D5772">
        <v>5.3643900000000002</v>
      </c>
      <c r="E5772">
        <v>0.4767594</v>
      </c>
      <c r="F5772" t="s">
        <v>42</v>
      </c>
      <c r="G5772">
        <v>-271.17250000000001</v>
      </c>
      <c r="H5772" s="1">
        <v>-1.921501E-7</v>
      </c>
      <c r="I5772">
        <v>-62.78895</v>
      </c>
      <c r="J5772">
        <v>-283.39510000000001</v>
      </c>
      <c r="K5772">
        <v>1.1146400000000001</v>
      </c>
      <c r="L5772">
        <v>-62.375579999999999</v>
      </c>
      <c r="M5772">
        <v>0.9876298</v>
      </c>
      <c r="N5772">
        <v>0</v>
      </c>
      <c r="O5772">
        <v>-0.1564458</v>
      </c>
      <c r="P5772">
        <v>0.99088969999999998</v>
      </c>
      <c r="Q5772">
        <v>7.8612909999999994E-2</v>
      </c>
      <c r="R5772">
        <v>-0.1093513</v>
      </c>
      <c r="S5772">
        <v>3.0377200000000002</v>
      </c>
      <c r="T5772">
        <v>-0.27396579999999998</v>
      </c>
      <c r="U5772">
        <v>-0.1059875</v>
      </c>
      <c r="V5772">
        <v>-4.8406749999999998E-2</v>
      </c>
      <c r="W5772">
        <v>8.8419049999999999E-2</v>
      </c>
      <c r="X5772">
        <v>0.99490650000000003</v>
      </c>
      <c r="Y5772">
        <v>-0.1208012</v>
      </c>
      <c r="Z5772">
        <v>1.9458960000000001E-2</v>
      </c>
      <c r="AA5772">
        <v>0.99248599999999998</v>
      </c>
      <c r="AB5772">
        <v>28</v>
      </c>
      <c r="AC5772">
        <v>12.2226</v>
      </c>
      <c r="AD5772">
        <v>-1.1146401921500999</v>
      </c>
      <c r="AE5772">
        <v>-0.41336999999999302</v>
      </c>
      <c r="AF5772">
        <v>-1.4916113397340101</v>
      </c>
      <c r="AG5772">
        <v>-1.1146401921500999</v>
      </c>
      <c r="AH5772">
        <v>12.0367644623571</v>
      </c>
      <c r="AI5772">
        <v>95.250735224647599</v>
      </c>
      <c r="AJ5772">
        <v>97.0641534284849</v>
      </c>
      <c r="AK5772">
        <v>12.1799435905526</v>
      </c>
      <c r="AL5772">
        <v>84.927337505156999</v>
      </c>
      <c r="AM5772">
        <v>92.785505007321504</v>
      </c>
      <c r="AN5772">
        <v>1.0000000427953499</v>
      </c>
    </row>
    <row r="5773" spans="1:40" x14ac:dyDescent="0.25">
      <c r="A5773" t="str">
        <f>"20190312164620853"</f>
        <v>20190312164620853</v>
      </c>
      <c r="B5773" t="str">
        <f>"1552380380847193"</f>
        <v>1552380380847193</v>
      </c>
      <c r="C5773" t="s">
        <v>40</v>
      </c>
      <c r="D5773">
        <v>5.5664870000000004</v>
      </c>
      <c r="E5773">
        <v>0.47693370000000002</v>
      </c>
      <c r="F5773" t="s">
        <v>42</v>
      </c>
      <c r="G5773">
        <v>-270.88220000000001</v>
      </c>
      <c r="H5773" s="1">
        <v>-6.975949E-8</v>
      </c>
      <c r="I5773">
        <v>-62.798699999999997</v>
      </c>
      <c r="J5773">
        <v>-283.24540000000002</v>
      </c>
      <c r="K5773">
        <v>1.1146100000000001</v>
      </c>
      <c r="L5773">
        <v>-62.394779999999997</v>
      </c>
      <c r="M5773">
        <v>0.98833459999999995</v>
      </c>
      <c r="N5773">
        <v>0</v>
      </c>
      <c r="O5773">
        <v>-0.15193010000000001</v>
      </c>
      <c r="P5773">
        <v>0.991008</v>
      </c>
      <c r="Q5773">
        <v>7.9186080000000006E-2</v>
      </c>
      <c r="R5773">
        <v>-0.1078553</v>
      </c>
      <c r="S5773">
        <v>3.03775</v>
      </c>
      <c r="T5773">
        <v>-0.27060149999999999</v>
      </c>
      <c r="U5773">
        <v>-0.1027222</v>
      </c>
      <c r="V5773">
        <v>-4.5353600000000001E-2</v>
      </c>
      <c r="W5773">
        <v>8.9031750000000007E-2</v>
      </c>
      <c r="X5773">
        <v>0.99499570000000004</v>
      </c>
      <c r="Y5773">
        <v>-0.11738800000000001</v>
      </c>
      <c r="Z5773">
        <v>1.867253E-2</v>
      </c>
      <c r="AA5773">
        <v>0.99291059999999998</v>
      </c>
      <c r="AB5773">
        <v>28</v>
      </c>
      <c r="AC5773">
        <v>12.363200000000001</v>
      </c>
      <c r="AD5773">
        <v>-1.1146100697594901</v>
      </c>
      <c r="AE5773">
        <v>-0.40391999999999201</v>
      </c>
      <c r="AF5773">
        <v>-1.4673033745565101</v>
      </c>
      <c r="AG5773">
        <v>-1.1146100697594901</v>
      </c>
      <c r="AH5773">
        <v>12.182122648249599</v>
      </c>
      <c r="AI5773">
        <v>95.190446000769896</v>
      </c>
      <c r="AJ5773">
        <v>96.868034780825994</v>
      </c>
      <c r="AK5773">
        <v>12.3206918238218</v>
      </c>
      <c r="AL5773">
        <v>84.892093278503296</v>
      </c>
      <c r="AM5773">
        <v>92.609832816510703</v>
      </c>
      <c r="AN5773">
        <v>1.00000002227975</v>
      </c>
    </row>
    <row r="5774" spans="1:40" x14ac:dyDescent="0.25">
      <c r="A5774" t="str">
        <f>"20190312164620863"</f>
        <v>20190312164620863</v>
      </c>
      <c r="B5774" t="str">
        <f>"1552380380856953"</f>
        <v>1552380380856953</v>
      </c>
      <c r="C5774" t="s">
        <v>40</v>
      </c>
      <c r="D5774">
        <v>5.215217</v>
      </c>
      <c r="E5774">
        <v>0.47708719999999999</v>
      </c>
      <c r="F5774" t="s">
        <v>42</v>
      </c>
      <c r="G5774">
        <v>-270.63569999999999</v>
      </c>
      <c r="H5774" s="1">
        <v>3.4620029999999998E-8</v>
      </c>
      <c r="I5774">
        <v>-62.8048</v>
      </c>
      <c r="J5774">
        <v>-283.10719999999998</v>
      </c>
      <c r="K5774">
        <v>1.1145849999999999</v>
      </c>
      <c r="L5774">
        <v>-62.411769999999997</v>
      </c>
      <c r="M5774">
        <v>0.98896280000000003</v>
      </c>
      <c r="N5774">
        <v>0</v>
      </c>
      <c r="O5774">
        <v>-0.14778659999999999</v>
      </c>
      <c r="P5774">
        <v>0.99112540000000005</v>
      </c>
      <c r="Q5774">
        <v>7.9465889999999997E-2</v>
      </c>
      <c r="R5774">
        <v>-0.1065632</v>
      </c>
      <c r="S5774">
        <v>3.0379640000000001</v>
      </c>
      <c r="T5774">
        <v>-0.268536</v>
      </c>
      <c r="U5774">
        <v>-9.8785399999999995E-2</v>
      </c>
      <c r="V5774">
        <v>-4.2474190000000002E-2</v>
      </c>
      <c r="W5774">
        <v>8.9347099999999999E-2</v>
      </c>
      <c r="X5774">
        <v>0.99509449999999999</v>
      </c>
      <c r="Y5774">
        <v>-0.11455650000000001</v>
      </c>
      <c r="Z5774">
        <v>1.804323E-2</v>
      </c>
      <c r="AA5774">
        <v>0.99325289999999999</v>
      </c>
      <c r="AB5774">
        <v>28</v>
      </c>
      <c r="AC5774">
        <v>12.471499999999899</v>
      </c>
      <c r="AD5774">
        <v>-1.11458496537997</v>
      </c>
      <c r="AE5774">
        <v>-0.39303000000000299</v>
      </c>
      <c r="AF5774">
        <v>-1.44299585664485</v>
      </c>
      <c r="AG5774">
        <v>-1.11458496537997</v>
      </c>
      <c r="AH5774">
        <v>12.294526132389199</v>
      </c>
      <c r="AI5774">
        <v>95.144979162395401</v>
      </c>
      <c r="AJ5774">
        <v>96.694120448883098</v>
      </c>
      <c r="AK5774">
        <v>12.428994710246901</v>
      </c>
      <c r="AL5774">
        <v>84.873952708819004</v>
      </c>
      <c r="AM5774">
        <v>92.444105086002494</v>
      </c>
      <c r="AN5774">
        <v>1.0000000125124</v>
      </c>
    </row>
    <row r="5775" spans="1:40" x14ac:dyDescent="0.25">
      <c r="A5775" t="str">
        <f>"20190312164620875"</f>
        <v>20190312164620875</v>
      </c>
      <c r="B5775" t="str">
        <f>"1552380380866715"</f>
        <v>1552380380866715</v>
      </c>
      <c r="C5775" t="s">
        <v>40</v>
      </c>
      <c r="D5775">
        <v>5.4218089999999997</v>
      </c>
      <c r="E5775">
        <v>0.47724739999999999</v>
      </c>
      <c r="F5775" t="s">
        <v>42</v>
      </c>
      <c r="G5775">
        <v>-270.44330000000002</v>
      </c>
      <c r="H5775" s="1">
        <v>1.1612239999999999E-7</v>
      </c>
      <c r="I5775">
        <v>-62.809429999999999</v>
      </c>
      <c r="J5775">
        <v>-282.96910000000003</v>
      </c>
      <c r="K5775">
        <v>1.1145689999999999</v>
      </c>
      <c r="L5775">
        <v>-62.428280000000001</v>
      </c>
      <c r="M5775">
        <v>0.98957099999999998</v>
      </c>
      <c r="N5775">
        <v>0</v>
      </c>
      <c r="O5775">
        <v>-0.14365939999999999</v>
      </c>
      <c r="P5775">
        <v>0.9912609</v>
      </c>
      <c r="Q5775">
        <v>7.9638589999999995E-2</v>
      </c>
      <c r="R5775">
        <v>-0.1051667</v>
      </c>
      <c r="S5775">
        <v>3.0380859999999998</v>
      </c>
      <c r="T5775">
        <v>-0.26739099999999999</v>
      </c>
      <c r="U5775">
        <v>-9.5397949999999995E-2</v>
      </c>
      <c r="V5775">
        <v>-3.9716929999999998E-2</v>
      </c>
      <c r="W5775">
        <v>8.955275E-2</v>
      </c>
      <c r="X5775">
        <v>0.99518980000000001</v>
      </c>
      <c r="Y5775">
        <v>-0.1115553</v>
      </c>
      <c r="Z5775">
        <v>1.7475549999999999E-2</v>
      </c>
      <c r="AA5775">
        <v>0.9936045</v>
      </c>
      <c r="AB5775">
        <v>28</v>
      </c>
      <c r="AC5775">
        <v>12.5258</v>
      </c>
      <c r="AD5775">
        <v>-1.1145688838776</v>
      </c>
      <c r="AE5775">
        <v>-0.38114999999999799</v>
      </c>
      <c r="AF5775">
        <v>-1.4111898794043001</v>
      </c>
      <c r="AG5775">
        <v>-1.1145688838776</v>
      </c>
      <c r="AH5775">
        <v>12.3528996263734</v>
      </c>
      <c r="AI5775">
        <v>95.122544459694694</v>
      </c>
      <c r="AJ5775">
        <v>96.517191667625994</v>
      </c>
      <c r="AK5775">
        <v>12.4831025731546</v>
      </c>
      <c r="AL5775">
        <v>84.862122002467103</v>
      </c>
      <c r="AM5775">
        <v>92.285398704245196</v>
      </c>
      <c r="AN5775">
        <v>0.99999993379261098</v>
      </c>
    </row>
    <row r="5776" spans="1:40" x14ac:dyDescent="0.25">
      <c r="A5776" t="str">
        <f>"20190312164620885"</f>
        <v>20190312164620885</v>
      </c>
      <c r="B5776" t="str">
        <f>"1552380380877449"</f>
        <v>1552380380877449</v>
      </c>
      <c r="C5776" t="s">
        <v>40</v>
      </c>
      <c r="D5776">
        <v>5.453894</v>
      </c>
      <c r="E5776">
        <v>0.47734569999999998</v>
      </c>
      <c r="F5776" t="s">
        <v>42</v>
      </c>
      <c r="G5776">
        <v>-270.29649999999998</v>
      </c>
      <c r="H5776" s="1">
        <v>1.78650299999999E-7</v>
      </c>
      <c r="I5776">
        <v>-62.81156</v>
      </c>
      <c r="J5776">
        <v>-282.83319999999998</v>
      </c>
      <c r="K5776">
        <v>1.11454599999999</v>
      </c>
      <c r="L5776">
        <v>-62.444000000000003</v>
      </c>
      <c r="M5776">
        <v>0.99014959999999996</v>
      </c>
      <c r="N5776">
        <v>0</v>
      </c>
      <c r="O5776">
        <v>-0.1396164</v>
      </c>
      <c r="P5776">
        <v>0.99136449999999998</v>
      </c>
      <c r="Q5776">
        <v>7.9987879999999997E-2</v>
      </c>
      <c r="R5776">
        <v>-0.1039172</v>
      </c>
      <c r="S5776">
        <v>3.0381770000000001</v>
      </c>
      <c r="T5776">
        <v>-0.26721129999999998</v>
      </c>
      <c r="U5776">
        <v>-9.1888429999999993E-2</v>
      </c>
      <c r="V5776">
        <v>-3.690098E-2</v>
      </c>
      <c r="W5776">
        <v>8.9935509999999996E-2</v>
      </c>
      <c r="X5776">
        <v>0.99526380000000003</v>
      </c>
      <c r="Y5776">
        <v>-0.1086718</v>
      </c>
      <c r="Z5776">
        <v>1.6985630000000002E-2</v>
      </c>
      <c r="AA5776">
        <v>0.9939325</v>
      </c>
      <c r="AB5776">
        <v>28</v>
      </c>
      <c r="AC5776">
        <v>12.5366999999999</v>
      </c>
      <c r="AD5776">
        <v>-1.1145458213496899</v>
      </c>
      <c r="AE5776">
        <v>-0.36756000000000399</v>
      </c>
      <c r="AF5776">
        <v>-1.37560351375116</v>
      </c>
      <c r="AG5776">
        <v>-1.1145458213496899</v>
      </c>
      <c r="AH5776">
        <v>12.3675526868675</v>
      </c>
      <c r="AI5776">
        <v>95.118109282159907</v>
      </c>
      <c r="AJ5776">
        <v>96.346740248721503</v>
      </c>
      <c r="AK5776">
        <v>12.4936326533709</v>
      </c>
      <c r="AL5776">
        <v>84.840103243659897</v>
      </c>
      <c r="AM5776">
        <v>92.123359055239305</v>
      </c>
      <c r="AN5776">
        <v>1.0000000549371699</v>
      </c>
    </row>
    <row r="5777" spans="1:40" x14ac:dyDescent="0.25">
      <c r="A5777" t="str">
        <f>"20190312164620895"</f>
        <v>20190312164620895</v>
      </c>
      <c r="B5777" t="str">
        <f>"1552380380887210"</f>
        <v>1552380380887210</v>
      </c>
      <c r="C5777" t="s">
        <v>40</v>
      </c>
      <c r="D5777">
        <v>5.4945190000000004</v>
      </c>
      <c r="E5777">
        <v>0.47743190000000002</v>
      </c>
      <c r="F5777" t="s">
        <v>42</v>
      </c>
      <c r="G5777">
        <v>-270.1223</v>
      </c>
      <c r="H5777" s="1">
        <v>2.5273060000000002E-7</v>
      </c>
      <c r="I5777">
        <v>-62.814369999999997</v>
      </c>
      <c r="J5777">
        <v>-282.70460000000003</v>
      </c>
      <c r="K5777">
        <v>1.1145229999999999</v>
      </c>
      <c r="L5777">
        <v>-62.458219999999997</v>
      </c>
      <c r="M5777">
        <v>0.99067839999999996</v>
      </c>
      <c r="N5777">
        <v>0</v>
      </c>
      <c r="O5777">
        <v>-0.13581379999999901</v>
      </c>
      <c r="P5777">
        <v>0.99144960000000004</v>
      </c>
      <c r="Q5777">
        <v>8.0235020000000004E-2</v>
      </c>
      <c r="R5777">
        <v>-0.1029094</v>
      </c>
      <c r="S5777">
        <v>3.0383610000000001</v>
      </c>
      <c r="T5777">
        <v>-0.26641809999999899</v>
      </c>
      <c r="U5777">
        <v>-8.8531490000000004E-2</v>
      </c>
      <c r="V5777">
        <v>-3.4085240000000003E-2</v>
      </c>
      <c r="W5777">
        <v>9.0216660000000004E-2</v>
      </c>
      <c r="X5777">
        <v>0.99533870000000002</v>
      </c>
      <c r="Y5777">
        <v>-0.10598440000000001</v>
      </c>
      <c r="Z5777">
        <v>1.648732E-2</v>
      </c>
      <c r="AA5777">
        <v>0.99423110000000003</v>
      </c>
      <c r="AB5777">
        <v>28</v>
      </c>
      <c r="AC5777">
        <v>12.5823</v>
      </c>
      <c r="AD5777">
        <v>-1.1145227472693999</v>
      </c>
      <c r="AE5777">
        <v>-0.35614999999999902</v>
      </c>
      <c r="AF5777">
        <v>-1.3455461403561599</v>
      </c>
      <c r="AG5777">
        <v>-1.1145227472693999</v>
      </c>
      <c r="AH5777">
        <v>12.4167311550819</v>
      </c>
      <c r="AI5777">
        <v>95.0994145572473</v>
      </c>
      <c r="AJ5777">
        <v>96.184755719012699</v>
      </c>
      <c r="AK5777">
        <v>12.5390537102124</v>
      </c>
      <c r="AL5777">
        <v>84.823928440378396</v>
      </c>
      <c r="AM5777">
        <v>91.961319821035303</v>
      </c>
      <c r="AN5777">
        <v>0.99999998852255101</v>
      </c>
    </row>
    <row r="5778" spans="1:40" x14ac:dyDescent="0.25">
      <c r="A5778" t="str">
        <f>"20190312164620906"</f>
        <v>20190312164620906</v>
      </c>
      <c r="B5778" t="str">
        <f>"1552380380896970"</f>
        <v>1552380380896970</v>
      </c>
      <c r="C5778" t="s">
        <v>40</v>
      </c>
      <c r="D5778">
        <v>5.415375</v>
      </c>
      <c r="E5778">
        <v>0.47754429999999998</v>
      </c>
      <c r="F5778" t="s">
        <v>42</v>
      </c>
      <c r="G5778">
        <v>-269.98500000000001</v>
      </c>
      <c r="H5778" s="1">
        <v>3.1073350000000002E-7</v>
      </c>
      <c r="I5778">
        <v>-62.818480000000001</v>
      </c>
      <c r="J5778">
        <v>-282.56619999999998</v>
      </c>
      <c r="K5778">
        <v>1.114501</v>
      </c>
      <c r="L5778">
        <v>-62.473239999999997</v>
      </c>
      <c r="M5778">
        <v>0.99123000000000006</v>
      </c>
      <c r="N5778">
        <v>0</v>
      </c>
      <c r="O5778">
        <v>-0.13172899999999901</v>
      </c>
      <c r="P5778">
        <v>0.9915851</v>
      </c>
      <c r="Q5778">
        <v>8.0350920000000006E-2</v>
      </c>
      <c r="R5778">
        <v>-0.1015017</v>
      </c>
      <c r="S5778">
        <v>3.0384519999999999</v>
      </c>
      <c r="T5778">
        <v>-0.2662369</v>
      </c>
      <c r="U5778">
        <v>-8.6059570000000002E-2</v>
      </c>
      <c r="V5778">
        <v>-3.1387940000000003E-2</v>
      </c>
      <c r="W5778">
        <v>9.0363879999999994E-2</v>
      </c>
      <c r="X5778">
        <v>0.99541409999999997</v>
      </c>
      <c r="Y5778">
        <v>-0.1027236</v>
      </c>
      <c r="Z5778">
        <v>1.597904E-2</v>
      </c>
      <c r="AA5778">
        <v>0.99458159999999896</v>
      </c>
      <c r="AB5778">
        <v>28</v>
      </c>
      <c r="AC5778">
        <v>12.5811999999999</v>
      </c>
      <c r="AD5778">
        <v>-1.1145006892664999</v>
      </c>
      <c r="AE5778">
        <v>-0.34524000000000299</v>
      </c>
      <c r="AF5778">
        <v>-1.30493691364524</v>
      </c>
      <c r="AG5778">
        <v>-1.1145006892664999</v>
      </c>
      <c r="AH5778">
        <v>12.4196464148604</v>
      </c>
      <c r="AI5778">
        <v>95.099887068520999</v>
      </c>
      <c r="AJ5778">
        <v>95.998081174385106</v>
      </c>
      <c r="AK5778">
        <v>12.5376468767119</v>
      </c>
      <c r="AL5778">
        <v>84.815458987336697</v>
      </c>
      <c r="AM5778">
        <v>91.806083313031607</v>
      </c>
      <c r="AN5778">
        <v>1.00000003203245</v>
      </c>
    </row>
    <row r="5779" spans="1:40" x14ac:dyDescent="0.25">
      <c r="A5779" t="str">
        <f>"20190312164620918"</f>
        <v>20190312164620918</v>
      </c>
      <c r="B5779" t="str">
        <f>"1552380380906730"</f>
        <v>1552380380906730</v>
      </c>
      <c r="C5779" t="s">
        <v>40</v>
      </c>
      <c r="D5779">
        <v>5.4786419999999998</v>
      </c>
      <c r="E5779">
        <v>0.47762359999999998</v>
      </c>
      <c r="F5779" t="s">
        <v>89</v>
      </c>
      <c r="G5779">
        <v>-269.85140000000001</v>
      </c>
      <c r="H5779" s="1">
        <v>-3.6725960000000001E-6</v>
      </c>
      <c r="I5779">
        <v>-62.817309999999999</v>
      </c>
      <c r="J5779">
        <v>-282.43</v>
      </c>
      <c r="K5779">
        <v>1.114479</v>
      </c>
      <c r="L5779">
        <v>-62.487209999999997</v>
      </c>
      <c r="M5779">
        <v>0.99175199999999997</v>
      </c>
      <c r="N5779">
        <v>0</v>
      </c>
      <c r="O5779">
        <v>-0.12774050000000001</v>
      </c>
      <c r="P5779">
        <v>0.99173599999999995</v>
      </c>
      <c r="Q5779">
        <v>8.0023609999999995E-2</v>
      </c>
      <c r="R5779">
        <v>-0.10028140000000001</v>
      </c>
      <c r="S5779">
        <v>3.0386660000000001</v>
      </c>
      <c r="T5779">
        <v>-0.266351</v>
      </c>
      <c r="U5779">
        <v>-8.2244869999999998E-2</v>
      </c>
      <c r="V5779">
        <v>-2.859954E-2</v>
      </c>
      <c r="W5779">
        <v>9.0070399999999995E-2</v>
      </c>
      <c r="X5779">
        <v>0.99552470000000004</v>
      </c>
      <c r="Y5779">
        <v>-9.9996470000000004E-2</v>
      </c>
      <c r="Z5779">
        <v>1.5519639999999999E-2</v>
      </c>
      <c r="AA5779">
        <v>0.99486669999999999</v>
      </c>
      <c r="AB5779">
        <v>28</v>
      </c>
      <c r="AC5779">
        <v>12.5785999999999</v>
      </c>
      <c r="AD5779">
        <v>-1.114482672596</v>
      </c>
      <c r="AE5779">
        <v>-0.330100000000001</v>
      </c>
      <c r="AF5779">
        <v>-1.2695306656668801</v>
      </c>
      <c r="AG5779">
        <v>-1.114482672596</v>
      </c>
      <c r="AH5779">
        <v>12.4202746067983</v>
      </c>
      <c r="AI5779">
        <v>95.101034254590701</v>
      </c>
      <c r="AJ5779">
        <v>95.836183832597001</v>
      </c>
      <c r="AK5779">
        <v>12.5346320666729</v>
      </c>
      <c r="AL5779">
        <v>84.8323429381729</v>
      </c>
      <c r="AM5779">
        <v>91.645546686016502</v>
      </c>
      <c r="AN5779">
        <v>1.0000000194772301</v>
      </c>
    </row>
    <row r="5780" spans="1:40" x14ac:dyDescent="0.25">
      <c r="A5780" t="str">
        <f>"20190312164620929"</f>
        <v>20190312164620929</v>
      </c>
      <c r="B5780" t="str">
        <f>"1552380380927225"</f>
        <v>1552380380927225</v>
      </c>
      <c r="C5780" t="s">
        <v>40</v>
      </c>
      <c r="D5780">
        <v>5.5034999999999998</v>
      </c>
      <c r="E5780">
        <v>0.47768440000000001</v>
      </c>
      <c r="F5780" t="s">
        <v>89</v>
      </c>
      <c r="G5780">
        <v>-269.81560000000002</v>
      </c>
      <c r="H5780" s="1">
        <v>-3.6599060000000001E-6</v>
      </c>
      <c r="I5780">
        <v>-62.814500000000002</v>
      </c>
      <c r="J5780">
        <v>-282.2928</v>
      </c>
      <c r="K5780">
        <v>1.1144529999999999</v>
      </c>
      <c r="L5780">
        <v>-62.501069999999999</v>
      </c>
      <c r="M5780">
        <v>0.99226080000000005</v>
      </c>
      <c r="N5780">
        <v>0</v>
      </c>
      <c r="O5780">
        <v>-0.1237284</v>
      </c>
      <c r="P5780">
        <v>0.99187639999999999</v>
      </c>
      <c r="Q5780">
        <v>8.0125290000000002E-2</v>
      </c>
      <c r="R5780">
        <v>-9.8799830000000005E-2</v>
      </c>
      <c r="S5780">
        <v>3.0387569999999999</v>
      </c>
      <c r="T5780">
        <v>-0.26847369999999998</v>
      </c>
      <c r="U5780">
        <v>-7.8857419999999998E-2</v>
      </c>
      <c r="V5780">
        <v>-2.6053300000000001E-2</v>
      </c>
      <c r="W5780">
        <v>9.0201459999999997E-2</v>
      </c>
      <c r="X5780">
        <v>0.99558270000000004</v>
      </c>
      <c r="Y5780">
        <v>-9.7094009999999994E-2</v>
      </c>
      <c r="Z5780">
        <v>1.516353E-2</v>
      </c>
      <c r="AA5780">
        <v>0.99515969999999998</v>
      </c>
      <c r="AB5780">
        <v>28</v>
      </c>
      <c r="AC5780">
        <v>12.4771999999999</v>
      </c>
      <c r="AD5780">
        <v>-1.114456659906</v>
      </c>
      <c r="AE5780">
        <v>-0.31343000000000298</v>
      </c>
      <c r="AF5780">
        <v>-1.2230957071266599</v>
      </c>
      <c r="AG5780">
        <v>-1.114456659906</v>
      </c>
      <c r="AH5780">
        <v>12.321857107930599</v>
      </c>
      <c r="AI5780">
        <v>95.1429462507501</v>
      </c>
      <c r="AJ5780">
        <v>95.668740696379203</v>
      </c>
      <c r="AK5780">
        <v>12.432463124572701</v>
      </c>
      <c r="AL5780">
        <v>84.824802936109407</v>
      </c>
      <c r="AM5780">
        <v>91.499025166943198</v>
      </c>
      <c r="AN5780">
        <v>0.99999999518315497</v>
      </c>
    </row>
    <row r="5781" spans="1:40" x14ac:dyDescent="0.25">
      <c r="A5781" t="str">
        <f>"20190312164620940"</f>
        <v>20190312164620940</v>
      </c>
      <c r="B5781" t="str">
        <f>"1552380380936985"</f>
        <v>1552380380936985</v>
      </c>
      <c r="C5781" t="s">
        <v>40</v>
      </c>
      <c r="D5781">
        <v>5.4466729999999997</v>
      </c>
      <c r="E5781">
        <v>0.47776249999999998</v>
      </c>
      <c r="F5781" t="s">
        <v>42</v>
      </c>
      <c r="G5781">
        <v>-269.72710000000001</v>
      </c>
      <c r="H5781" s="1">
        <v>-3.6286720000000002E-6</v>
      </c>
      <c r="I5781">
        <v>-62.808010000000003</v>
      </c>
      <c r="J5781">
        <v>-282.15300000000002</v>
      </c>
      <c r="K5781">
        <v>1.1144259999999999</v>
      </c>
      <c r="L5781">
        <v>-62.514279999999999</v>
      </c>
      <c r="M5781">
        <v>0.99275740000000001</v>
      </c>
      <c r="N5781">
        <v>0</v>
      </c>
      <c r="O5781">
        <v>-0.1196774</v>
      </c>
      <c r="P5781">
        <v>0.99204780000000004</v>
      </c>
      <c r="Q5781">
        <v>7.9801280000000002E-2</v>
      </c>
      <c r="R5781">
        <v>-9.7329159999999998E-2</v>
      </c>
      <c r="S5781">
        <v>3.0389400000000002</v>
      </c>
      <c r="T5781">
        <v>-0.26952520000000002</v>
      </c>
      <c r="U5781">
        <v>-7.4249270000000006E-2</v>
      </c>
      <c r="V5781">
        <v>-2.345564E-2</v>
      </c>
      <c r="W5781">
        <v>8.9907500000000001E-2</v>
      </c>
      <c r="X5781">
        <v>0.9956739</v>
      </c>
      <c r="Y5781">
        <v>-9.4560370000000005E-2</v>
      </c>
      <c r="Z5781">
        <v>1.475394E-2</v>
      </c>
      <c r="AA5781">
        <v>0.99540980000000001</v>
      </c>
      <c r="AB5781">
        <v>28</v>
      </c>
      <c r="AC5781">
        <v>12.4259</v>
      </c>
      <c r="AD5781">
        <v>-1.1144296286719999</v>
      </c>
      <c r="AE5781">
        <v>-0.293729999999989</v>
      </c>
      <c r="AF5781">
        <v>-1.1860279822312301</v>
      </c>
      <c r="AG5781">
        <v>-1.1144296286719999</v>
      </c>
      <c r="AH5781">
        <v>12.273073519950801</v>
      </c>
      <c r="AI5781">
        <v>95.164462159716194</v>
      </c>
      <c r="AJ5781">
        <v>95.519729136607296</v>
      </c>
      <c r="AK5781">
        <v>12.380506831225301</v>
      </c>
      <c r="AL5781">
        <v>84.841714447521895</v>
      </c>
      <c r="AM5781">
        <v>91.349498722442803</v>
      </c>
      <c r="AN5781">
        <v>1.00000002037263</v>
      </c>
    </row>
    <row r="5782" spans="1:40" x14ac:dyDescent="0.25">
      <c r="A5782" t="str">
        <f>"20190312164620952"</f>
        <v>20190312164620952</v>
      </c>
      <c r="B5782" t="str">
        <f>"1552380380946745"</f>
        <v>1552380380946745</v>
      </c>
      <c r="C5782" t="s">
        <v>40</v>
      </c>
      <c r="D5782">
        <v>5.4795639999999999</v>
      </c>
      <c r="E5782">
        <v>0.47798819999999997</v>
      </c>
      <c r="F5782" t="s">
        <v>42</v>
      </c>
      <c r="G5782">
        <v>-269.63690000000003</v>
      </c>
      <c r="H5782" s="1">
        <v>-3.5968739999999999E-6</v>
      </c>
      <c r="I5782">
        <v>-62.801789999999997</v>
      </c>
      <c r="J5782">
        <v>-282.00099999999998</v>
      </c>
      <c r="K5782">
        <v>1.1143959999999999</v>
      </c>
      <c r="L5782">
        <v>-62.528289999999998</v>
      </c>
      <c r="M5782">
        <v>0.99327710000000002</v>
      </c>
      <c r="N5782">
        <v>0</v>
      </c>
      <c r="O5782">
        <v>-0.1152874</v>
      </c>
      <c r="P5782">
        <v>0.99225410000000003</v>
      </c>
      <c r="Q5782">
        <v>7.9288040000000004E-2</v>
      </c>
      <c r="R5782">
        <v>-9.5632949999999994E-2</v>
      </c>
      <c r="S5782">
        <v>3.0389710000000001</v>
      </c>
      <c r="T5782">
        <v>-0.2705902</v>
      </c>
      <c r="U5782">
        <v>-6.9824220000000006E-2</v>
      </c>
      <c r="V5782">
        <v>-2.074407E-2</v>
      </c>
      <c r="W5782">
        <v>8.9424980000000001E-2</v>
      </c>
      <c r="X5782">
        <v>0.99577749999999998</v>
      </c>
      <c r="Y5782">
        <v>-9.1630110000000001E-2</v>
      </c>
      <c r="Z5782">
        <v>1.4294380000000001E-2</v>
      </c>
      <c r="AA5782">
        <v>0.99569050000000003</v>
      </c>
      <c r="AB5782">
        <v>28</v>
      </c>
      <c r="AC5782">
        <v>12.364099999999899</v>
      </c>
      <c r="AD5782">
        <v>-1.1143995968739999</v>
      </c>
      <c r="AE5782">
        <v>-0.27349999999999802</v>
      </c>
      <c r="AF5782">
        <v>-1.1445334190141001</v>
      </c>
      <c r="AG5782">
        <v>-1.1143995968739999</v>
      </c>
      <c r="AH5782">
        <v>12.2140070702727</v>
      </c>
      <c r="AI5782">
        <v>95.190588549520697</v>
      </c>
      <c r="AJ5782">
        <v>95.353361660916505</v>
      </c>
      <c r="AK5782">
        <v>12.3180279233903</v>
      </c>
      <c r="AL5782">
        <v>84.869472446031395</v>
      </c>
      <c r="AM5782">
        <v>91.193414967606401</v>
      </c>
      <c r="AN5782">
        <v>0.99999998649720701</v>
      </c>
    </row>
    <row r="5783" spans="1:40" x14ac:dyDescent="0.25">
      <c r="A5783" t="str">
        <f>"20190312164620963"</f>
        <v>20190312164620963</v>
      </c>
      <c r="B5783" t="str">
        <f>"1552380380957484"</f>
        <v>1552380380957484</v>
      </c>
      <c r="C5783" t="s">
        <v>40</v>
      </c>
      <c r="D5783">
        <v>5.4787819999999998</v>
      </c>
      <c r="E5783">
        <v>0.47798819999999997</v>
      </c>
      <c r="F5783" t="s">
        <v>89</v>
      </c>
      <c r="G5783">
        <v>-269.62729999999999</v>
      </c>
      <c r="H5783" s="1">
        <v>-3.5925119999999998E-6</v>
      </c>
      <c r="I5783">
        <v>-62.795749999999998</v>
      </c>
      <c r="J5783">
        <v>-281.86340000000001</v>
      </c>
      <c r="K5783">
        <v>1.1143670000000001</v>
      </c>
      <c r="L5783">
        <v>-62.540309999999998</v>
      </c>
      <c r="M5783">
        <v>0.99372749999999999</v>
      </c>
      <c r="N5783">
        <v>0</v>
      </c>
      <c r="O5783">
        <v>-0.1113383</v>
      </c>
      <c r="P5783">
        <v>0.99238680000000001</v>
      </c>
      <c r="Q5783">
        <v>7.9101229999999995E-2</v>
      </c>
      <c r="R5783">
        <v>-9.4402280000000005E-2</v>
      </c>
      <c r="S5783">
        <v>3.0389710000000001</v>
      </c>
      <c r="T5783">
        <v>-0.2736962</v>
      </c>
      <c r="U5783">
        <v>-6.5704349999999995E-2</v>
      </c>
      <c r="V5783">
        <v>-1.8011639999999999E-2</v>
      </c>
      <c r="W5783">
        <v>8.9270169999999996E-2</v>
      </c>
      <c r="X5783">
        <v>0.99584459999999997</v>
      </c>
      <c r="Y5783">
        <v>-8.9028490000000002E-2</v>
      </c>
      <c r="Z5783">
        <v>1.398834E-2</v>
      </c>
      <c r="AA5783">
        <v>0.99593089999999995</v>
      </c>
      <c r="AB5783">
        <v>28</v>
      </c>
      <c r="AC5783">
        <v>12.2361</v>
      </c>
      <c r="AD5783">
        <v>-1.114370592512</v>
      </c>
      <c r="AE5783">
        <v>-0.25544</v>
      </c>
      <c r="AF5783">
        <v>-1.0994543860304999</v>
      </c>
      <c r="AG5783">
        <v>-1.114370592512</v>
      </c>
      <c r="AH5783">
        <v>12.0882379821211</v>
      </c>
      <c r="AI5783">
        <v>95.245472515358699</v>
      </c>
      <c r="AJ5783">
        <v>95.196890596781202</v>
      </c>
      <c r="AK5783">
        <v>12.1891804185849</v>
      </c>
      <c r="AL5783">
        <v>84.878378220728393</v>
      </c>
      <c r="AM5783">
        <v>91.036184203520705</v>
      </c>
      <c r="AN5783">
        <v>1.0000000248882299</v>
      </c>
    </row>
    <row r="5784" spans="1:40" x14ac:dyDescent="0.25">
      <c r="A5784" t="str">
        <f>"20190312164620975"</f>
        <v>20190312164620975</v>
      </c>
      <c r="B5784" t="str">
        <f>"1552380380967241"</f>
        <v>1552380380967241</v>
      </c>
      <c r="C5784" t="s">
        <v>40</v>
      </c>
      <c r="D5784">
        <v>5.2956960000000004</v>
      </c>
      <c r="E5784">
        <v>0.4984497</v>
      </c>
      <c r="F5784" t="s">
        <v>42</v>
      </c>
      <c r="G5784">
        <v>-269.50310000000002</v>
      </c>
      <c r="H5784" s="1">
        <v>-3.5492030000000001E-6</v>
      </c>
      <c r="I5784">
        <v>-62.789729999999999</v>
      </c>
      <c r="J5784">
        <v>-281.72919999999999</v>
      </c>
      <c r="K5784">
        <v>1.1143369999999999</v>
      </c>
      <c r="L5784">
        <v>-62.55151</v>
      </c>
      <c r="M5784">
        <v>0.9941489</v>
      </c>
      <c r="N5784">
        <v>0</v>
      </c>
      <c r="O5784">
        <v>-0.1075113</v>
      </c>
      <c r="P5784">
        <v>0.99254169999999997</v>
      </c>
      <c r="Q5784">
        <v>7.8681669999999995E-2</v>
      </c>
      <c r="R5784">
        <v>-9.3113619999999994E-2</v>
      </c>
      <c r="S5784">
        <v>3.0390320000000002</v>
      </c>
      <c r="T5784">
        <v>-0.27399230000000002</v>
      </c>
      <c r="U5784">
        <v>-6.1340329999999998E-2</v>
      </c>
      <c r="V5784">
        <v>-1.54593E-2</v>
      </c>
      <c r="W5784">
        <v>8.8879760000000002E-2</v>
      </c>
      <c r="X5784">
        <v>0.99592239999999999</v>
      </c>
      <c r="Y5784">
        <v>-8.6646719999999997E-2</v>
      </c>
      <c r="Z5784">
        <v>1.3553839999999999E-2</v>
      </c>
      <c r="AA5784">
        <v>0.99614689999999995</v>
      </c>
      <c r="AB5784">
        <v>28</v>
      </c>
      <c r="AC5784">
        <v>12.226099999999899</v>
      </c>
      <c r="AD5784">
        <v>-1.1143405492030001</v>
      </c>
      <c r="AE5784">
        <v>-0.23822000000000501</v>
      </c>
      <c r="AF5784">
        <v>-1.06880115844854</v>
      </c>
      <c r="AG5784">
        <v>-1.1143405492030001</v>
      </c>
      <c r="AH5784">
        <v>12.080522360197699</v>
      </c>
      <c r="AI5784">
        <v>95.249815061435896</v>
      </c>
      <c r="AJ5784">
        <v>95.055970310009002</v>
      </c>
      <c r="AK5784">
        <v>12.1787976118801</v>
      </c>
      <c r="AL5784">
        <v>84.900836283953097</v>
      </c>
      <c r="AM5784">
        <v>90.889307754829403</v>
      </c>
      <c r="AN5784">
        <v>1.0000000142579499</v>
      </c>
    </row>
    <row r="5785" spans="1:40" x14ac:dyDescent="0.25">
      <c r="A5785" t="str">
        <f>"20190312164620986"</f>
        <v>20190312164620986</v>
      </c>
      <c r="B5785" t="str">
        <f>"1552380380977002"</f>
        <v>1552380380977002</v>
      </c>
      <c r="C5785" t="s">
        <v>40</v>
      </c>
      <c r="D5785">
        <v>5.7265969999999999</v>
      </c>
      <c r="E5785">
        <v>0.4999267</v>
      </c>
      <c r="F5785" t="s">
        <v>41</v>
      </c>
      <c r="G5785">
        <v>-280.84350000000001</v>
      </c>
      <c r="H5785">
        <v>1.014359</v>
      </c>
      <c r="I5785">
        <v>-62.614260000000002</v>
      </c>
      <c r="J5785">
        <v>-281.58089999999999</v>
      </c>
      <c r="K5785">
        <v>1.1143050000000001</v>
      </c>
      <c r="L5785">
        <v>-62.563479999999998</v>
      </c>
      <c r="M5785">
        <v>0.99459520000000001</v>
      </c>
      <c r="N5785">
        <v>0</v>
      </c>
      <c r="O5785">
        <v>-0.1033037</v>
      </c>
      <c r="P5785">
        <v>0.99268509999999999</v>
      </c>
      <c r="Q5785">
        <v>7.8796279999999996E-2</v>
      </c>
      <c r="R5785">
        <v>-9.1473509999999994E-2</v>
      </c>
      <c r="S5785">
        <v>3.0296020000000001</v>
      </c>
      <c r="T5785">
        <v>-0.34235700000000002</v>
      </c>
      <c r="U5785">
        <v>-0.2140503</v>
      </c>
      <c r="V5785">
        <v>-1.28828E-2</v>
      </c>
      <c r="W5785">
        <v>8.9022229999999994E-2</v>
      </c>
      <c r="X5785">
        <v>0.99594629999999995</v>
      </c>
      <c r="Y5785">
        <v>-3.2098069999999999E-2</v>
      </c>
      <c r="Z5785">
        <v>1.340243E-2</v>
      </c>
      <c r="AA5785">
        <v>0.99939480000000003</v>
      </c>
      <c r="AB5785">
        <v>28</v>
      </c>
      <c r="AC5785">
        <v>0.73739999999997896</v>
      </c>
      <c r="AD5785">
        <v>-9.9945999999999799E-2</v>
      </c>
      <c r="AE5785">
        <v>-5.0779999999988903E-2</v>
      </c>
      <c r="AF5785">
        <v>-2.5211042528741401E-2</v>
      </c>
      <c r="AG5785">
        <v>-9.9945999999999799E-2</v>
      </c>
      <c r="AH5785">
        <v>0.72543658103406505</v>
      </c>
      <c r="AI5785">
        <v>97.839786487336198</v>
      </c>
      <c r="AJ5785">
        <v>91.990394831359595</v>
      </c>
      <c r="AK5785">
        <v>0.73272302589981397</v>
      </c>
      <c r="AL5785">
        <v>84.892640683243101</v>
      </c>
      <c r="AM5785">
        <v>90.741093073382302</v>
      </c>
      <c r="AN5785">
        <v>0.99999997822685105</v>
      </c>
    </row>
    <row r="5786" spans="1:40" x14ac:dyDescent="0.25">
      <c r="A5786" t="str">
        <f>"20190312164620996"</f>
        <v>20190312164620996</v>
      </c>
      <c r="B5786" t="str">
        <f>"1552380380986761"</f>
        <v>1552380380986761</v>
      </c>
      <c r="C5786" t="s">
        <v>40</v>
      </c>
      <c r="D5786">
        <v>5.4567399999999999</v>
      </c>
      <c r="E5786">
        <v>0.49977650000000001</v>
      </c>
      <c r="F5786" t="s">
        <v>41</v>
      </c>
      <c r="G5786">
        <v>-280.83539999999999</v>
      </c>
      <c r="H5786">
        <v>1.029957</v>
      </c>
      <c r="I5786">
        <v>-62.617989999999999</v>
      </c>
      <c r="J5786">
        <v>-281.45330000000001</v>
      </c>
      <c r="K5786">
        <v>1.1142749999999999</v>
      </c>
      <c r="L5786">
        <v>-62.573090000000001</v>
      </c>
      <c r="M5786">
        <v>0.99496079999999998</v>
      </c>
      <c r="N5786">
        <v>0</v>
      </c>
      <c r="O5786">
        <v>-9.971998E-2</v>
      </c>
      <c r="P5786">
        <v>0.99279530000000005</v>
      </c>
      <c r="Q5786">
        <v>7.8832949999999999E-2</v>
      </c>
      <c r="R5786">
        <v>-9.0237750000000005E-2</v>
      </c>
      <c r="S5786">
        <v>3.0289920000000001</v>
      </c>
      <c r="T5786">
        <v>-0.34321030000000002</v>
      </c>
      <c r="U5786">
        <v>-0.2208252</v>
      </c>
      <c r="V5786">
        <v>-1.0526229999999999E-2</v>
      </c>
      <c r="W5786">
        <v>8.9085410000000004E-2</v>
      </c>
      <c r="X5786">
        <v>0.99596830000000003</v>
      </c>
      <c r="Y5786">
        <v>-2.6313799999999998E-2</v>
      </c>
      <c r="Z5786">
        <v>1.270873E-2</v>
      </c>
      <c r="AA5786">
        <v>0.99957289999999999</v>
      </c>
      <c r="AB5786">
        <v>28</v>
      </c>
      <c r="AC5786">
        <v>0.61790000000001999</v>
      </c>
      <c r="AD5786">
        <v>-8.4317999999999796E-2</v>
      </c>
      <c r="AE5786">
        <v>-4.4899999999998302E-2</v>
      </c>
      <c r="AF5786">
        <v>-1.66360058360813E-2</v>
      </c>
      <c r="AG5786">
        <v>-8.4317999999999796E-2</v>
      </c>
      <c r="AH5786">
        <v>0.608034662711748</v>
      </c>
      <c r="AI5786">
        <v>97.892111598459493</v>
      </c>
      <c r="AJ5786">
        <v>91.567238257521694</v>
      </c>
      <c r="AK5786">
        <v>0.61407852337723601</v>
      </c>
      <c r="AL5786">
        <v>84.889006064970999</v>
      </c>
      <c r="AM5786">
        <v>90.605527403702695</v>
      </c>
      <c r="AN5786">
        <v>0.99999993319888303</v>
      </c>
    </row>
    <row r="5787" spans="1:40" x14ac:dyDescent="0.25">
      <c r="A5787" t="str">
        <f>"20190312164621007"</f>
        <v>20190312164621007</v>
      </c>
      <c r="B5787" t="str">
        <f>"1552380380997498"</f>
        <v>1552380380997498</v>
      </c>
      <c r="C5787" t="s">
        <v>40</v>
      </c>
      <c r="D5787">
        <v>5.240831</v>
      </c>
      <c r="E5787">
        <v>0.4997124</v>
      </c>
      <c r="F5787" t="s">
        <v>41</v>
      </c>
      <c r="G5787">
        <v>-280.59629999999999</v>
      </c>
      <c r="H5787">
        <v>1.00997</v>
      </c>
      <c r="I5787">
        <v>-62.63353</v>
      </c>
      <c r="J5787">
        <v>-281.32029999999997</v>
      </c>
      <c r="K5787">
        <v>1.114241</v>
      </c>
      <c r="L5787">
        <v>-62.582889999999999</v>
      </c>
      <c r="M5787">
        <v>0.99532719999999997</v>
      </c>
      <c r="N5787">
        <v>0</v>
      </c>
      <c r="O5787">
        <v>-9.5995079999999997E-2</v>
      </c>
      <c r="P5787">
        <v>0.9929135</v>
      </c>
      <c r="Q5787">
        <v>7.8741439999999996E-2</v>
      </c>
      <c r="R5787">
        <v>-8.9009370000000004E-2</v>
      </c>
      <c r="S5787">
        <v>3.0316770000000002</v>
      </c>
      <c r="T5787">
        <v>-0.36912040000000002</v>
      </c>
      <c r="U5787">
        <v>-0.21359249999999999</v>
      </c>
      <c r="V5787">
        <v>-8.0210699999999999E-3</v>
      </c>
      <c r="W5787">
        <v>8.902177E-2</v>
      </c>
      <c r="X5787">
        <v>0.99599740000000003</v>
      </c>
      <c r="Y5787">
        <v>-2.4922699999999999E-2</v>
      </c>
      <c r="Z5787">
        <v>1.3117729999999999E-2</v>
      </c>
      <c r="AA5787">
        <v>0.99960329999999997</v>
      </c>
      <c r="AB5787">
        <v>28</v>
      </c>
      <c r="AC5787">
        <v>0.72399999999998899</v>
      </c>
      <c r="AD5787">
        <v>-0.104271</v>
      </c>
      <c r="AE5787">
        <v>-5.0640000000008401E-2</v>
      </c>
      <c r="AF5787">
        <v>-1.8711875061628799E-2</v>
      </c>
      <c r="AG5787">
        <v>-0.104271</v>
      </c>
      <c r="AH5787">
        <v>0.71084497878339403</v>
      </c>
      <c r="AI5787">
        <v>98.342126418255802</v>
      </c>
      <c r="AJ5787">
        <v>91.507872985757302</v>
      </c>
      <c r="AK5787">
        <v>0.71869545676238</v>
      </c>
      <c r="AL5787">
        <v>84.892667342671203</v>
      </c>
      <c r="AM5787">
        <v>90.4614103643693</v>
      </c>
      <c r="AN5787">
        <v>1.00000001695231</v>
      </c>
    </row>
    <row r="5788" spans="1:40" x14ac:dyDescent="0.25">
      <c r="A5788" t="str">
        <f>"20190312164621018"</f>
        <v>20190312164621018</v>
      </c>
      <c r="B5788" t="str">
        <f>"1552380381007258"</f>
        <v>1552380381007258</v>
      </c>
      <c r="C5788" t="s">
        <v>40</v>
      </c>
      <c r="D5788">
        <v>5.4999750000000001</v>
      </c>
      <c r="E5788">
        <v>0.49972139999999998</v>
      </c>
      <c r="F5788" t="s">
        <v>41</v>
      </c>
      <c r="G5788">
        <v>-280.5917</v>
      </c>
      <c r="H5788">
        <v>1.0191809999999999</v>
      </c>
      <c r="I5788">
        <v>-62.632620000000003</v>
      </c>
      <c r="J5788">
        <v>-281.18040000000002</v>
      </c>
      <c r="K5788">
        <v>1.114201</v>
      </c>
      <c r="L5788">
        <v>-62.592410000000001</v>
      </c>
      <c r="M5788">
        <v>0.99569229999999997</v>
      </c>
      <c r="N5788">
        <v>0</v>
      </c>
      <c r="O5788">
        <v>-9.2133179999999995E-2</v>
      </c>
      <c r="P5788">
        <v>0.99303280000000005</v>
      </c>
      <c r="Q5788">
        <v>7.8797800000000001E-2</v>
      </c>
      <c r="R5788">
        <v>-8.7619390000000005E-2</v>
      </c>
      <c r="S5788">
        <v>3.0342709999999999</v>
      </c>
      <c r="T5788">
        <v>-0.39614319999999997</v>
      </c>
      <c r="U5788">
        <v>-0.20690919999999999</v>
      </c>
      <c r="V5788">
        <v>-5.541402E-3</v>
      </c>
      <c r="W5788">
        <v>8.9103940000000006E-2</v>
      </c>
      <c r="X5788">
        <v>0.99600690000000003</v>
      </c>
      <c r="Y5788">
        <v>-2.3210160000000001E-2</v>
      </c>
      <c r="Z5788">
        <v>1.3449529999999999E-2</v>
      </c>
      <c r="AA5788">
        <v>0.99964010000000003</v>
      </c>
      <c r="AB5788">
        <v>28</v>
      </c>
      <c r="AC5788">
        <v>0.58870000000001699</v>
      </c>
      <c r="AD5788">
        <v>-9.5020000000000104E-2</v>
      </c>
      <c r="AE5788">
        <v>-4.0209999999994701E-2</v>
      </c>
      <c r="AF5788">
        <v>-1.3843800264828E-2</v>
      </c>
      <c r="AG5788">
        <v>-9.5020000000000104E-2</v>
      </c>
      <c r="AH5788">
        <v>0.57499055718604397</v>
      </c>
      <c r="AI5788">
        <v>99.380931216201205</v>
      </c>
      <c r="AJ5788">
        <v>91.379219371403806</v>
      </c>
      <c r="AK5788">
        <v>0.58295333609036804</v>
      </c>
      <c r="AL5788">
        <v>84.887940385487695</v>
      </c>
      <c r="AM5788">
        <v>90.3187685459893</v>
      </c>
      <c r="AN5788">
        <v>0.99999998205362906</v>
      </c>
    </row>
    <row r="5789" spans="1:40" x14ac:dyDescent="0.25">
      <c r="A5789" t="str">
        <f>"20190312164621030"</f>
        <v>20190312164621030</v>
      </c>
      <c r="B5789" t="str">
        <f>"1552380381026778"</f>
        <v>1552380381026778</v>
      </c>
      <c r="C5789" t="s">
        <v>40</v>
      </c>
      <c r="D5789">
        <v>5.5687610000000003</v>
      </c>
      <c r="E5789">
        <v>0.49961689999999997</v>
      </c>
      <c r="F5789" t="s">
        <v>41</v>
      </c>
      <c r="G5789">
        <v>-280.34690000000001</v>
      </c>
      <c r="H5789">
        <v>1.0078990000000001</v>
      </c>
      <c r="I5789">
        <v>-62.648490000000002</v>
      </c>
      <c r="J5789">
        <v>-281.03890000000001</v>
      </c>
      <c r="K5789">
        <v>1.1141589999999999</v>
      </c>
      <c r="L5789">
        <v>-62.60181</v>
      </c>
      <c r="M5789">
        <v>0.99604490000000001</v>
      </c>
      <c r="N5789">
        <v>0</v>
      </c>
      <c r="O5789">
        <v>-8.8239919999999999E-2</v>
      </c>
      <c r="P5789">
        <v>0.99318609999999896</v>
      </c>
      <c r="Q5789">
        <v>7.8534510000000002E-2</v>
      </c>
      <c r="R5789">
        <v>-8.6104769999999997E-2</v>
      </c>
      <c r="S5789">
        <v>3.0337830000000001</v>
      </c>
      <c r="T5789">
        <v>-0.38729910000000001</v>
      </c>
      <c r="U5789">
        <v>-0.2035217</v>
      </c>
      <c r="V5789">
        <v>-3.1539670000000001E-3</v>
      </c>
      <c r="W5789">
        <v>8.88655E-2</v>
      </c>
      <c r="X5789">
        <v>0.9960386</v>
      </c>
      <c r="Y5789">
        <v>-2.0497339999999999E-2</v>
      </c>
      <c r="Z5789">
        <v>1.248993E-2</v>
      </c>
      <c r="AA5789">
        <v>0.99971189999999999</v>
      </c>
      <c r="AB5789">
        <v>28</v>
      </c>
      <c r="AC5789">
        <v>0.69200000000000705</v>
      </c>
      <c r="AD5789">
        <v>-0.10625999999999999</v>
      </c>
      <c r="AE5789">
        <v>-4.6680000000001998E-2</v>
      </c>
      <c r="AF5789">
        <v>-1.42333479090533E-2</v>
      </c>
      <c r="AG5789">
        <v>-0.10625999999999999</v>
      </c>
      <c r="AH5789">
        <v>0.67751677185053705</v>
      </c>
      <c r="AI5789">
        <v>98.911577485728202</v>
      </c>
      <c r="AJ5789">
        <v>91.203499096194406</v>
      </c>
      <c r="AK5789">
        <v>0.68594661011734204</v>
      </c>
      <c r="AL5789">
        <v>84.901656283330894</v>
      </c>
      <c r="AM5789">
        <v>90.181427099160601</v>
      </c>
      <c r="AN5789">
        <v>0.99999995864402202</v>
      </c>
    </row>
    <row r="5790" spans="1:40" x14ac:dyDescent="0.25">
      <c r="A5790" t="str">
        <f>"20190312164621042"</f>
        <v>20190312164621042</v>
      </c>
      <c r="B5790" t="str">
        <f>"1552380381037513"</f>
        <v>1552380381037513</v>
      </c>
      <c r="C5790" t="s">
        <v>40</v>
      </c>
      <c r="D5790">
        <v>5.4349319999999999</v>
      </c>
      <c r="E5790">
        <v>0.4997955</v>
      </c>
      <c r="F5790" t="s">
        <v>41</v>
      </c>
      <c r="G5790">
        <v>-280.10160000000002</v>
      </c>
      <c r="H5790">
        <v>0.99699340000000003</v>
      </c>
      <c r="I5790">
        <v>-62.663240000000002</v>
      </c>
      <c r="J5790">
        <v>-280.88780000000003</v>
      </c>
      <c r="K5790">
        <v>1.1141099999999999</v>
      </c>
      <c r="L5790">
        <v>-62.610959999999999</v>
      </c>
      <c r="M5790">
        <v>0.99639889999999998</v>
      </c>
      <c r="N5790">
        <v>0</v>
      </c>
      <c r="O5790">
        <v>-8.4150279999999994E-2</v>
      </c>
      <c r="P5790">
        <v>0.99339429999999995</v>
      </c>
      <c r="Q5790">
        <v>7.7963409999999997E-2</v>
      </c>
      <c r="R5790">
        <v>-8.4198659999999995E-2</v>
      </c>
      <c r="S5790">
        <v>3.0332949999999999</v>
      </c>
      <c r="T5790">
        <v>-0.37917719999999999</v>
      </c>
      <c r="U5790">
        <v>-0.19888310000000001</v>
      </c>
      <c r="V5790">
        <v>-9.5974769999999997E-4</v>
      </c>
      <c r="W5790">
        <v>8.8315030000000003E-2</v>
      </c>
      <c r="X5790">
        <v>0.99609210000000004</v>
      </c>
      <c r="Y5790">
        <v>-1.7991070000000001E-2</v>
      </c>
      <c r="Z5790">
        <v>1.157032E-2</v>
      </c>
      <c r="AA5790">
        <v>0.99977119999999997</v>
      </c>
      <c r="AB5790">
        <v>28</v>
      </c>
      <c r="AC5790">
        <v>0.786200000000007</v>
      </c>
      <c r="AD5790">
        <v>-0.117116599999999</v>
      </c>
      <c r="AE5790">
        <v>-5.2280000000003199E-2</v>
      </c>
      <c r="AF5790">
        <v>-1.37638894722004E-2</v>
      </c>
      <c r="AG5790">
        <v>-0.117116599999999</v>
      </c>
      <c r="AH5790">
        <v>0.77078183745127904</v>
      </c>
      <c r="AI5790">
        <v>98.638377229453894</v>
      </c>
      <c r="AJ5790">
        <v>91.023024844905095</v>
      </c>
      <c r="AK5790">
        <v>0.77975020589528099</v>
      </c>
      <c r="AL5790">
        <v>84.933320442125705</v>
      </c>
      <c r="AM5790">
        <v>90.0552052120388</v>
      </c>
      <c r="AN5790">
        <v>0.99999996866097796</v>
      </c>
    </row>
    <row r="5791" spans="1:40" x14ac:dyDescent="0.25">
      <c r="A5791" t="str">
        <f>"20190312164621054"</f>
        <v>20190312164621054</v>
      </c>
      <c r="B5791" t="str">
        <f>"1552380381047276"</f>
        <v>1552380381047276</v>
      </c>
      <c r="C5791" t="s">
        <v>40</v>
      </c>
      <c r="D5791">
        <v>5.4582899999999999</v>
      </c>
      <c r="E5791">
        <v>0.49990839999999998</v>
      </c>
      <c r="F5791" t="s">
        <v>41</v>
      </c>
      <c r="G5791">
        <v>-280.09280000000001</v>
      </c>
      <c r="H5791">
        <v>1.0148140000000001</v>
      </c>
      <c r="I5791">
        <v>-62.661869999999901</v>
      </c>
      <c r="J5791">
        <v>-280.74560000000002</v>
      </c>
      <c r="K5791">
        <v>1.1140620000000001</v>
      </c>
      <c r="L5791">
        <v>-62.619259999999997</v>
      </c>
      <c r="M5791">
        <v>0.99671480000000001</v>
      </c>
      <c r="N5791">
        <v>0</v>
      </c>
      <c r="O5791">
        <v>-8.0322939999999995E-2</v>
      </c>
      <c r="P5791">
        <v>0.9935775</v>
      </c>
      <c r="Q5791">
        <v>7.7401819999999996E-2</v>
      </c>
      <c r="R5791">
        <v>-8.2541089999999998E-2</v>
      </c>
      <c r="S5791">
        <v>3.0332029999999999</v>
      </c>
      <c r="T5791">
        <v>-0.37881890000000001</v>
      </c>
      <c r="U5791">
        <v>-0.19433590000000001</v>
      </c>
      <c r="V5791">
        <v>1.219915E-3</v>
      </c>
      <c r="W5791">
        <v>8.7774019999999994E-2</v>
      </c>
      <c r="X5791">
        <v>0.99613960000000001</v>
      </c>
      <c r="Y5791">
        <v>-1.569015E-2</v>
      </c>
      <c r="Z5791">
        <v>1.0943700000000001E-2</v>
      </c>
      <c r="AA5791">
        <v>0.99981699999999996</v>
      </c>
      <c r="AB5791">
        <v>28</v>
      </c>
      <c r="AC5791">
        <v>0.65280000000001304</v>
      </c>
      <c r="AD5791">
        <v>-9.9248000000000197E-2</v>
      </c>
      <c r="AE5791">
        <v>-4.26099999999962E-2</v>
      </c>
      <c r="AF5791">
        <v>-9.7411294655018604E-3</v>
      </c>
      <c r="AG5791">
        <v>-9.9248000000000197E-2</v>
      </c>
      <c r="AH5791">
        <v>0.63939665967646797</v>
      </c>
      <c r="AI5791">
        <v>98.822108688046001</v>
      </c>
      <c r="AJ5791">
        <v>90.872826629663606</v>
      </c>
      <c r="AK5791">
        <v>0.64712683726815701</v>
      </c>
      <c r="AL5791">
        <v>84.964438709090302</v>
      </c>
      <c r="AM5791">
        <v>89.929833182093503</v>
      </c>
      <c r="AN5791">
        <v>0.99999993473386095</v>
      </c>
    </row>
    <row r="5792" spans="1:40" x14ac:dyDescent="0.25">
      <c r="A5792" t="str">
        <f>"20190312164621064"</f>
        <v>20190312164621064</v>
      </c>
      <c r="B5792" t="str">
        <f>"1552380381057035"</f>
        <v>1552380381057035</v>
      </c>
      <c r="C5792" t="s">
        <v>40</v>
      </c>
      <c r="D5792">
        <v>5.4771289999999997</v>
      </c>
      <c r="E5792">
        <v>0.499836</v>
      </c>
      <c r="F5792" t="s">
        <v>41</v>
      </c>
      <c r="G5792">
        <v>-279.84809999999999</v>
      </c>
      <c r="H5792">
        <v>1.0016560000000001</v>
      </c>
      <c r="I5792">
        <v>-62.675609999999999</v>
      </c>
      <c r="J5792">
        <v>-280.60320000000002</v>
      </c>
      <c r="K5792">
        <v>1.1140139999999901</v>
      </c>
      <c r="L5792">
        <v>-62.626980000000003</v>
      </c>
      <c r="M5792">
        <v>0.99701329999999999</v>
      </c>
      <c r="N5792">
        <v>0</v>
      </c>
      <c r="O5792">
        <v>-7.6531360000000007E-2</v>
      </c>
      <c r="P5792">
        <v>0.99374569999999995</v>
      </c>
      <c r="Q5792">
        <v>7.7001020000000003E-2</v>
      </c>
      <c r="R5792">
        <v>-8.0872509999999995E-2</v>
      </c>
      <c r="S5792">
        <v>3.0331419999999998</v>
      </c>
      <c r="T5792">
        <v>-0.38006719999999999</v>
      </c>
      <c r="U5792">
        <v>-0.19015499999999999</v>
      </c>
      <c r="V5792">
        <v>3.351059E-3</v>
      </c>
      <c r="W5792">
        <v>8.7392579999999997E-2</v>
      </c>
      <c r="X5792">
        <v>0.99616830000000001</v>
      </c>
      <c r="Y5792">
        <v>-1.330138E-2</v>
      </c>
      <c r="Z5792">
        <v>1.036024E-2</v>
      </c>
      <c r="AA5792">
        <v>0.99985780000000002</v>
      </c>
      <c r="AB5792">
        <v>28</v>
      </c>
      <c r="AC5792">
        <v>0.75510000000002697</v>
      </c>
      <c r="AD5792">
        <v>-0.112357999999999</v>
      </c>
      <c r="AE5792">
        <v>-4.8629999999995698E-2</v>
      </c>
      <c r="AF5792">
        <v>-9.1038366517916195E-3</v>
      </c>
      <c r="AG5792">
        <v>-0.112357999999999</v>
      </c>
      <c r="AH5792">
        <v>0.74028410760900698</v>
      </c>
      <c r="AI5792">
        <v>98.629663395468398</v>
      </c>
      <c r="AJ5792">
        <v>90.704574256374002</v>
      </c>
      <c r="AK5792">
        <v>0.74881757456956499</v>
      </c>
      <c r="AL5792">
        <v>84.986378184943604</v>
      </c>
      <c r="AM5792">
        <v>89.807260667334205</v>
      </c>
      <c r="AN5792">
        <v>0.99999998728018302</v>
      </c>
    </row>
    <row r="5793" spans="1:40" x14ac:dyDescent="0.25">
      <c r="A5793" t="str">
        <f>"20190312164621076"</f>
        <v>20190312164621076</v>
      </c>
      <c r="B5793" t="str">
        <f>"1552380381066794"</f>
        <v>1552380381066794</v>
      </c>
      <c r="C5793" t="s">
        <v>40</v>
      </c>
      <c r="D5793">
        <v>5.4182589999999999</v>
      </c>
      <c r="E5793">
        <v>0.4997143</v>
      </c>
      <c r="F5793" t="s">
        <v>41</v>
      </c>
      <c r="G5793">
        <v>-279.8399</v>
      </c>
      <c r="H5793">
        <v>1.0184040000000001</v>
      </c>
      <c r="I5793">
        <v>-62.673479999999998</v>
      </c>
      <c r="J5793">
        <v>-280.4538</v>
      </c>
      <c r="K5793">
        <v>1.1139619999999999</v>
      </c>
      <c r="L5793">
        <v>-62.63449</v>
      </c>
      <c r="M5793">
        <v>0.99730750000000001</v>
      </c>
      <c r="N5793">
        <v>0</v>
      </c>
      <c r="O5793">
        <v>-7.2597789999999995E-2</v>
      </c>
      <c r="P5793">
        <v>0.99392250000000004</v>
      </c>
      <c r="Q5793">
        <v>7.6691980000000007E-2</v>
      </c>
      <c r="R5793">
        <v>-7.8969410000000004E-2</v>
      </c>
      <c r="S5793">
        <v>3.033325</v>
      </c>
      <c r="T5793">
        <v>-0.38009969999999998</v>
      </c>
      <c r="U5793">
        <v>-0.18441769999999999</v>
      </c>
      <c r="V5793">
        <v>5.3882180000000002E-3</v>
      </c>
      <c r="W5793">
        <v>8.7100449999999996E-2</v>
      </c>
      <c r="X5793">
        <v>0.99618490000000004</v>
      </c>
      <c r="Y5793">
        <v>-1.1290659999999999E-2</v>
      </c>
      <c r="Z5793">
        <v>9.7469070000000008E-3</v>
      </c>
      <c r="AA5793">
        <v>0.99988880000000002</v>
      </c>
      <c r="AB5793">
        <v>28</v>
      </c>
      <c r="AC5793">
        <v>0.613900000000001</v>
      </c>
      <c r="AD5793">
        <v>-9.5558000000000004E-2</v>
      </c>
      <c r="AE5793">
        <v>-3.8990000000005402E-2</v>
      </c>
      <c r="AF5793">
        <v>-5.5491573905075801E-3</v>
      </c>
      <c r="AG5793">
        <v>-9.5558000000000004E-2</v>
      </c>
      <c r="AH5793">
        <v>0.60061667892085802</v>
      </c>
      <c r="AI5793">
        <v>99.039600809302101</v>
      </c>
      <c r="AJ5793">
        <v>90.529346359005004</v>
      </c>
      <c r="AK5793">
        <v>0.60819611928198403</v>
      </c>
      <c r="AL5793">
        <v>85.003179824850207</v>
      </c>
      <c r="AM5793">
        <v>89.690098555075096</v>
      </c>
      <c r="AN5793">
        <v>0.99999993813571197</v>
      </c>
    </row>
    <row r="5794" spans="1:40" x14ac:dyDescent="0.25">
      <c r="A5794" t="str">
        <f>"20190312164621087"</f>
        <v>20190312164621087</v>
      </c>
      <c r="B5794" t="str">
        <f>"1552380381077530"</f>
        <v>1552380381077530</v>
      </c>
      <c r="C5794" t="s">
        <v>40</v>
      </c>
      <c r="D5794">
        <v>5.2442469999999997</v>
      </c>
      <c r="E5794">
        <v>0.4996545</v>
      </c>
      <c r="F5794" t="s">
        <v>41</v>
      </c>
      <c r="G5794">
        <v>-279.5942</v>
      </c>
      <c r="H5794">
        <v>1.0061070000000001</v>
      </c>
      <c r="I5794">
        <v>-62.684899999999999</v>
      </c>
      <c r="J5794">
        <v>-280.32170000000002</v>
      </c>
      <c r="K5794">
        <v>1.113917</v>
      </c>
      <c r="L5794">
        <v>-62.640839999999997</v>
      </c>
      <c r="M5794">
        <v>0.99755309999999997</v>
      </c>
      <c r="N5794">
        <v>0</v>
      </c>
      <c r="O5794">
        <v>-6.9143750000000004E-2</v>
      </c>
      <c r="P5794">
        <v>0.99401930000000005</v>
      </c>
      <c r="Q5794">
        <v>7.679076E-2</v>
      </c>
      <c r="R5794">
        <v>-7.764559E-2</v>
      </c>
      <c r="S5794">
        <v>3.03363</v>
      </c>
      <c r="T5794">
        <v>-0.38075920000000002</v>
      </c>
      <c r="U5794">
        <v>-0.17767330000000001</v>
      </c>
      <c r="V5794">
        <v>7.5214069999999999E-3</v>
      </c>
      <c r="W5794">
        <v>8.7218729999999994E-2</v>
      </c>
      <c r="X5794">
        <v>0.99616079999999996</v>
      </c>
      <c r="Y5794">
        <v>-1.0083160000000001E-2</v>
      </c>
      <c r="Z5794">
        <v>9.2578910000000007E-3</v>
      </c>
      <c r="AA5794">
        <v>0.99990630000000003</v>
      </c>
      <c r="AB5794">
        <v>28</v>
      </c>
      <c r="AC5794">
        <v>0.72750000000002002</v>
      </c>
      <c r="AD5794">
        <v>-0.10781</v>
      </c>
      <c r="AE5794">
        <v>-4.4059999999994597E-2</v>
      </c>
      <c r="AF5794">
        <v>-6.21425561795817E-3</v>
      </c>
      <c r="AG5794">
        <v>-0.10781</v>
      </c>
      <c r="AH5794">
        <v>0.71319998468116996</v>
      </c>
      <c r="AI5794">
        <v>98.595645005167498</v>
      </c>
      <c r="AJ5794">
        <v>90.499217074230003</v>
      </c>
      <c r="AK5794">
        <v>0.72132921140219097</v>
      </c>
      <c r="AL5794">
        <v>84.996377345682703</v>
      </c>
      <c r="AM5794">
        <v>89.567402483401395</v>
      </c>
      <c r="AN5794">
        <v>1.0000000089413501</v>
      </c>
    </row>
    <row r="5795" spans="1:40" x14ac:dyDescent="0.25">
      <c r="A5795" t="str">
        <f>"20190312164621097"</f>
        <v>20190312164621097</v>
      </c>
      <c r="B5795" t="str">
        <f>"1552380381087289"</f>
        <v>1552380381087289</v>
      </c>
      <c r="C5795" t="s">
        <v>40</v>
      </c>
      <c r="D5795">
        <v>5.2641210000000003</v>
      </c>
      <c r="E5795">
        <v>0.49959330000000002</v>
      </c>
      <c r="F5795" t="s">
        <v>41</v>
      </c>
      <c r="G5795">
        <v>-279.58629999999999</v>
      </c>
      <c r="H5795">
        <v>1.0219640000000001</v>
      </c>
      <c r="I5795">
        <v>-62.682870000000001</v>
      </c>
      <c r="J5795">
        <v>-280.19549999999998</v>
      </c>
      <c r="K5795">
        <v>1.113874</v>
      </c>
      <c r="L5795">
        <v>-62.646299999999997</v>
      </c>
      <c r="M5795">
        <v>0.99777309999999997</v>
      </c>
      <c r="N5795">
        <v>0</v>
      </c>
      <c r="O5795">
        <v>-6.5895239999999994E-2</v>
      </c>
      <c r="P5795">
        <v>0.99405739999999998</v>
      </c>
      <c r="Q5795">
        <v>7.7411229999999998E-2</v>
      </c>
      <c r="R5795">
        <v>-7.6533980000000001E-2</v>
      </c>
      <c r="S5795">
        <v>3.0338440000000002</v>
      </c>
      <c r="T5795">
        <v>-0.37949860000000002</v>
      </c>
      <c r="U5795">
        <v>-0.1731567</v>
      </c>
      <c r="V5795">
        <v>9.6567679999999996E-3</v>
      </c>
      <c r="W5795">
        <v>8.7856199999999995E-2</v>
      </c>
      <c r="X5795">
        <v>0.99608640000000004</v>
      </c>
      <c r="Y5795">
        <v>-8.357537E-3</v>
      </c>
      <c r="Z5795">
        <v>8.7165260000000005E-3</v>
      </c>
      <c r="AA5795">
        <v>0.99992709999999996</v>
      </c>
      <c r="AB5795">
        <v>28</v>
      </c>
      <c r="AC5795">
        <v>0.60919999999998697</v>
      </c>
      <c r="AD5795">
        <v>-9.1910000000000103E-2</v>
      </c>
      <c r="AE5795">
        <v>-3.65699999999975E-2</v>
      </c>
      <c r="AF5795">
        <v>-3.5739554606972501E-3</v>
      </c>
      <c r="AG5795">
        <v>-9.1910000000000103E-2</v>
      </c>
      <c r="AH5795">
        <v>0.59675137146853496</v>
      </c>
      <c r="AI5795">
        <v>98.755583368560394</v>
      </c>
      <c r="AJ5795">
        <v>90.343141424760603</v>
      </c>
      <c r="AK5795">
        <v>0.60379832776119302</v>
      </c>
      <c r="AL5795">
        <v>84.9597124161523</v>
      </c>
      <c r="AM5795">
        <v>89.444551479714505</v>
      </c>
      <c r="AN5795">
        <v>1.0000000406558001</v>
      </c>
    </row>
    <row r="5796" spans="1:40" x14ac:dyDescent="0.25">
      <c r="A5796" t="str">
        <f>"20190312164621108"</f>
        <v>20190312164621108</v>
      </c>
      <c r="B5796" t="str">
        <f>"1552380381097050"</f>
        <v>1552380381097050</v>
      </c>
      <c r="C5796" t="s">
        <v>40</v>
      </c>
      <c r="D5796">
        <v>5.3663800000000004</v>
      </c>
      <c r="E5796">
        <v>0.49949939999999998</v>
      </c>
      <c r="F5796" t="s">
        <v>41</v>
      </c>
      <c r="G5796">
        <v>-279.34120000000001</v>
      </c>
      <c r="H5796">
        <v>1.007663</v>
      </c>
      <c r="I5796">
        <v>-62.6941699999999</v>
      </c>
      <c r="J5796">
        <v>-280.04660000000001</v>
      </c>
      <c r="K5796">
        <v>1.113823</v>
      </c>
      <c r="L5796">
        <v>-62.652529999999999</v>
      </c>
      <c r="M5796">
        <v>0.99801830000000002</v>
      </c>
      <c r="N5796">
        <v>0</v>
      </c>
      <c r="O5796">
        <v>-6.2074259999999999E-2</v>
      </c>
      <c r="P5796">
        <v>0.99412690000000004</v>
      </c>
      <c r="Q5796">
        <v>7.8006919999999993E-2</v>
      </c>
      <c r="R5796">
        <v>-7.5011330000000001E-2</v>
      </c>
      <c r="S5796">
        <v>3.034332</v>
      </c>
      <c r="T5796">
        <v>-0.37761270000000002</v>
      </c>
      <c r="U5796">
        <v>-0.1693115</v>
      </c>
      <c r="V5796">
        <v>1.195298E-2</v>
      </c>
      <c r="W5796">
        <v>8.8467499999999893E-2</v>
      </c>
      <c r="X5796">
        <v>0.99600730000000004</v>
      </c>
      <c r="Y5796">
        <v>-5.8551609999999898E-3</v>
      </c>
      <c r="Z5796">
        <v>8.045366E-3</v>
      </c>
      <c r="AA5796">
        <v>0.99995049999999996</v>
      </c>
      <c r="AB5796">
        <v>28</v>
      </c>
      <c r="AC5796">
        <v>0.70539999999999703</v>
      </c>
      <c r="AD5796">
        <v>-0.10616</v>
      </c>
      <c r="AE5796">
        <v>-4.1639999999986799E-2</v>
      </c>
      <c r="AF5796">
        <v>-2.1806022909183599E-3</v>
      </c>
      <c r="AG5796">
        <v>-0.10616</v>
      </c>
      <c r="AH5796">
        <v>0.69102762073239499</v>
      </c>
      <c r="AI5796">
        <v>98.733812255432596</v>
      </c>
      <c r="AJ5796">
        <v>90.180801591158698</v>
      </c>
      <c r="AK5796">
        <v>0.69913795007954305</v>
      </c>
      <c r="AL5796">
        <v>84.924550166746698</v>
      </c>
      <c r="AM5796">
        <v>89.312432317030897</v>
      </c>
      <c r="AN5796">
        <v>0.99999995697020905</v>
      </c>
    </row>
    <row r="5797" spans="1:40" x14ac:dyDescent="0.25">
      <c r="A5797" t="str">
        <f>"20190312164621119"</f>
        <v>20190312164621119</v>
      </c>
      <c r="B5797" t="str">
        <f>"1552380381117546"</f>
        <v>1552380381117546</v>
      </c>
      <c r="C5797" t="s">
        <v>40</v>
      </c>
      <c r="D5797">
        <v>5.5803479999999999</v>
      </c>
      <c r="E5797">
        <v>0.49955080000000002</v>
      </c>
      <c r="F5797" t="s">
        <v>41</v>
      </c>
      <c r="G5797">
        <v>-279.0942</v>
      </c>
      <c r="H5797">
        <v>0.9964712</v>
      </c>
      <c r="I5797">
        <v>-62.703980000000001</v>
      </c>
      <c r="J5797">
        <v>-279.90800000000002</v>
      </c>
      <c r="K5797">
        <v>1.1137760000000001</v>
      </c>
      <c r="L5797">
        <v>-62.657530000000001</v>
      </c>
      <c r="M5797">
        <v>0.99822869999999997</v>
      </c>
      <c r="N5797">
        <v>0</v>
      </c>
      <c r="O5797">
        <v>-5.8592449999999997E-2</v>
      </c>
      <c r="P5797">
        <v>0.99418810000000002</v>
      </c>
      <c r="Q5797">
        <v>7.8481350000000005E-2</v>
      </c>
      <c r="R5797">
        <v>-7.3694850000000006E-2</v>
      </c>
      <c r="S5797">
        <v>3.0346980000000001</v>
      </c>
      <c r="T5797">
        <v>-0.37397049999999998</v>
      </c>
      <c r="U5797">
        <v>-0.16394039999999999</v>
      </c>
      <c r="V5797">
        <v>1.4116409999999999E-2</v>
      </c>
      <c r="W5797">
        <v>8.8955279999999998E-2</v>
      </c>
      <c r="X5797">
        <v>0.99593560000000003</v>
      </c>
      <c r="Y5797">
        <v>-4.1868340000000004E-3</v>
      </c>
      <c r="Z5797">
        <v>7.4393180000000003E-3</v>
      </c>
      <c r="AA5797">
        <v>0.99996359999999995</v>
      </c>
      <c r="AB5797">
        <v>29</v>
      </c>
      <c r="AC5797">
        <v>0.81380000000001396</v>
      </c>
      <c r="AD5797">
        <v>-0.1173048</v>
      </c>
      <c r="AE5797">
        <v>-4.6450000000000102E-2</v>
      </c>
      <c r="AF5797">
        <v>-1.28820372524449E-3</v>
      </c>
      <c r="AG5797">
        <v>-0.1173048</v>
      </c>
      <c r="AH5797">
        <v>0.79858467349691098</v>
      </c>
      <c r="AI5797">
        <v>98.356456032856997</v>
      </c>
      <c r="AJ5797">
        <v>90.092424228813201</v>
      </c>
      <c r="AK5797">
        <v>0.80715522442467402</v>
      </c>
      <c r="AL5797">
        <v>84.896492113988202</v>
      </c>
      <c r="AM5797">
        <v>89.187942917906597</v>
      </c>
      <c r="AN5797">
        <v>1.00000001710926</v>
      </c>
    </row>
    <row r="5798" spans="1:40" x14ac:dyDescent="0.25">
      <c r="A5798" t="str">
        <f>"20190312164621132"</f>
        <v>20190312164621132</v>
      </c>
      <c r="B5798" t="str">
        <f>"1552380381127305"</f>
        <v>1552380381127305</v>
      </c>
      <c r="C5798" t="s">
        <v>40</v>
      </c>
      <c r="D5798">
        <v>5.4088500000000002</v>
      </c>
      <c r="E5798">
        <v>0.4993959</v>
      </c>
      <c r="F5798" t="s">
        <v>41</v>
      </c>
      <c r="G5798">
        <v>-279.08640000000003</v>
      </c>
      <c r="H5798">
        <v>1.012202</v>
      </c>
      <c r="I5798">
        <v>-62.700830000000003</v>
      </c>
      <c r="J5798">
        <v>-279.76229999999998</v>
      </c>
      <c r="K5798">
        <v>1.113726</v>
      </c>
      <c r="L5798">
        <v>-62.662599999999998</v>
      </c>
      <c r="M5798">
        <v>0.9984362</v>
      </c>
      <c r="N5798">
        <v>0</v>
      </c>
      <c r="O5798">
        <v>-5.4946969999999998E-2</v>
      </c>
      <c r="P5798">
        <v>0.99424829999999997</v>
      </c>
      <c r="Q5798">
        <v>7.8984219999999994E-2</v>
      </c>
      <c r="R5798">
        <v>-7.2331329999999999E-2</v>
      </c>
      <c r="S5798">
        <v>3.035339</v>
      </c>
      <c r="T5798">
        <v>-0.37530089999999999</v>
      </c>
      <c r="U5798">
        <v>-0.15994259999999999</v>
      </c>
      <c r="V5798">
        <v>1.639593E-2</v>
      </c>
      <c r="W5798">
        <v>8.9471999999999996E-2</v>
      </c>
      <c r="X5798">
        <v>0.99585440000000003</v>
      </c>
      <c r="Y5798">
        <v>-1.9016720000000001E-3</v>
      </c>
      <c r="Z5798">
        <v>6.8758400000000003E-3</v>
      </c>
      <c r="AA5798">
        <v>0.99997449999999999</v>
      </c>
      <c r="AB5798">
        <v>29</v>
      </c>
      <c r="AC5798">
        <v>0.67589999999995598</v>
      </c>
      <c r="AD5798">
        <v>-0.101523999999999</v>
      </c>
      <c r="AE5798">
        <v>-3.8230000000005697E-2</v>
      </c>
      <c r="AF5798">
        <v>1.00892310540166E-3</v>
      </c>
      <c r="AG5798">
        <v>-0.101523999999999</v>
      </c>
      <c r="AH5798">
        <v>0.66208927846339205</v>
      </c>
      <c r="AI5798">
        <v>98.717755095555106</v>
      </c>
      <c r="AJ5798">
        <v>89.912690036029304</v>
      </c>
      <c r="AK5798">
        <v>0.669828599835814</v>
      </c>
      <c r="AL5798">
        <v>84.866767757282602</v>
      </c>
      <c r="AM5798">
        <v>89.056756970139901</v>
      </c>
      <c r="AN5798">
        <v>1.0000000256519599</v>
      </c>
    </row>
    <row r="5799" spans="1:40" x14ac:dyDescent="0.25">
      <c r="A5799" t="str">
        <f>"20190312164621142"</f>
        <v>20190312164621142</v>
      </c>
      <c r="B5799" t="str">
        <f>"1552380381137065"</f>
        <v>1552380381137065</v>
      </c>
      <c r="C5799" t="s">
        <v>40</v>
      </c>
      <c r="D5799">
        <v>5.4242019999999904</v>
      </c>
      <c r="E5799">
        <v>0.4993959</v>
      </c>
      <c r="F5799" t="s">
        <v>41</v>
      </c>
      <c r="G5799">
        <v>-278.83909999999997</v>
      </c>
      <c r="H5799">
        <v>1.0006060000000001</v>
      </c>
      <c r="I5799">
        <v>-62.70973</v>
      </c>
      <c r="J5799">
        <v>-279.61020000000002</v>
      </c>
      <c r="K5799">
        <v>1.1136740000000001</v>
      </c>
      <c r="L5799">
        <v>-62.667180000000002</v>
      </c>
      <c r="M5799">
        <v>0.99863559999999996</v>
      </c>
      <c r="N5799">
        <v>0</v>
      </c>
      <c r="O5799">
        <v>-5.1196720000000001E-2</v>
      </c>
      <c r="P5799">
        <v>0.99436210000000003</v>
      </c>
      <c r="Q5799">
        <v>7.9152410000000006E-2</v>
      </c>
      <c r="R5799">
        <v>-7.0563169999999995E-2</v>
      </c>
      <c r="S5799">
        <v>3.035736</v>
      </c>
      <c r="T5799">
        <v>-0.37223840000000002</v>
      </c>
      <c r="U5799">
        <v>-0.15435789999999999</v>
      </c>
      <c r="V5799">
        <v>1.837631E-2</v>
      </c>
      <c r="W5799">
        <v>8.9650099999999996E-2</v>
      </c>
      <c r="X5799">
        <v>0.99580380000000002</v>
      </c>
      <c r="Y5799" s="1">
        <v>-3.6376469999999998E-5</v>
      </c>
      <c r="Z5799">
        <v>6.2487369999999999E-3</v>
      </c>
      <c r="AA5799">
        <v>0.99998039999999999</v>
      </c>
      <c r="AB5799">
        <v>29</v>
      </c>
      <c r="AC5799">
        <v>0.77110000000004597</v>
      </c>
      <c r="AD5799">
        <v>-0.113068</v>
      </c>
      <c r="AE5799">
        <v>-4.2550000000005597E-2</v>
      </c>
      <c r="AF5799">
        <v>2.9510555657428399E-3</v>
      </c>
      <c r="AG5799">
        <v>-0.113068</v>
      </c>
      <c r="AH5799">
        <v>0.756060514140942</v>
      </c>
      <c r="AI5799">
        <v>98.505421360939295</v>
      </c>
      <c r="AJ5799">
        <v>89.776364236443101</v>
      </c>
      <c r="AK5799">
        <v>0.76447405606470198</v>
      </c>
      <c r="AL5799">
        <v>84.856522169627198</v>
      </c>
      <c r="AM5799">
        <v>88.942798256346705</v>
      </c>
      <c r="AN5799">
        <v>1.0000000186468301</v>
      </c>
    </row>
    <row r="5800" spans="1:40" x14ac:dyDescent="0.25">
      <c r="A5800" t="str">
        <f>"20190312164621154"</f>
        <v>20190312164621154</v>
      </c>
      <c r="B5800" t="str">
        <f>"1552380381146826"</f>
        <v>1552380381146826</v>
      </c>
      <c r="C5800" t="s">
        <v>40</v>
      </c>
      <c r="D5800">
        <v>5.5809769999999999</v>
      </c>
      <c r="E5800">
        <v>0.4762266</v>
      </c>
      <c r="F5800" t="s">
        <v>41</v>
      </c>
      <c r="G5800">
        <v>-278.83019999999999</v>
      </c>
      <c r="H5800">
        <v>1.018284</v>
      </c>
      <c r="I5800">
        <v>-62.705559999999998</v>
      </c>
      <c r="J5800">
        <v>-279.46780000000001</v>
      </c>
      <c r="K5800">
        <v>1.113631</v>
      </c>
      <c r="L5800">
        <v>-62.671019999999999</v>
      </c>
      <c r="M5800">
        <v>0.99880800000000003</v>
      </c>
      <c r="N5800">
        <v>0</v>
      </c>
      <c r="O5800">
        <v>-4.7718299999999998E-2</v>
      </c>
      <c r="P5800">
        <v>0.99444909999999997</v>
      </c>
      <c r="Q5800">
        <v>7.9366010000000001E-2</v>
      </c>
      <c r="R5800">
        <v>-6.9079260000000003E-2</v>
      </c>
      <c r="S5800">
        <v>3.0360109999999998</v>
      </c>
      <c r="T5800">
        <v>-0.37170429999999999</v>
      </c>
      <c r="U5800">
        <v>-0.1486816</v>
      </c>
      <c r="V5800">
        <v>2.0368830000000001E-2</v>
      </c>
      <c r="W5800">
        <v>8.9872839999999996E-2</v>
      </c>
      <c r="X5800">
        <v>0.99574490000000004</v>
      </c>
      <c r="Y5800">
        <v>1.5382739999999901E-3</v>
      </c>
      <c r="Z5800">
        <v>5.7202520000000003E-3</v>
      </c>
      <c r="AA5800">
        <v>0.9999825</v>
      </c>
      <c r="AB5800">
        <v>29</v>
      </c>
      <c r="AC5800">
        <v>0.63760000000002004</v>
      </c>
      <c r="AD5800">
        <v>-9.5347000000000001E-2</v>
      </c>
      <c r="AE5800">
        <v>-3.4539999999999703E-2</v>
      </c>
      <c r="AF5800">
        <v>3.9850019668412201E-3</v>
      </c>
      <c r="AG5800">
        <v>-9.5347000000000001E-2</v>
      </c>
      <c r="AH5800">
        <v>0.62459531693217296</v>
      </c>
      <c r="AI5800">
        <v>98.679252683834605</v>
      </c>
      <c r="AJ5800">
        <v>89.634450195383494</v>
      </c>
      <c r="AK5800">
        <v>0.63184352539475896</v>
      </c>
      <c r="AL5800">
        <v>84.843708085585504</v>
      </c>
      <c r="AM5800">
        <v>88.828128316223001</v>
      </c>
      <c r="AN5800">
        <v>0.99999996124062096</v>
      </c>
    </row>
    <row r="5801" spans="1:40" x14ac:dyDescent="0.25">
      <c r="A5801" t="str">
        <f>"20190312164621164"</f>
        <v>20190312164621164</v>
      </c>
      <c r="B5801" t="str">
        <f>"1552380381157562"</f>
        <v>1552380381157562</v>
      </c>
      <c r="C5801" t="s">
        <v>40</v>
      </c>
      <c r="D5801">
        <v>5.1971299999999996</v>
      </c>
      <c r="E5801">
        <v>0.47330290000000003</v>
      </c>
      <c r="F5801" t="s">
        <v>89</v>
      </c>
      <c r="G5801">
        <v>-267.25369999999998</v>
      </c>
      <c r="H5801" s="1">
        <v>-2.6910990000000001E-6</v>
      </c>
      <c r="I5801">
        <v>-62.541029999999999</v>
      </c>
      <c r="J5801">
        <v>-279.33449999999999</v>
      </c>
      <c r="K5801">
        <v>1.113588</v>
      </c>
      <c r="L5801">
        <v>-62.674289999999999</v>
      </c>
      <c r="M5801">
        <v>0.99895730000000005</v>
      </c>
      <c r="N5801">
        <v>0</v>
      </c>
      <c r="O5801">
        <v>-4.4489180000000003E-2</v>
      </c>
      <c r="P5801">
        <v>0.99450760000000005</v>
      </c>
      <c r="Q5801">
        <v>7.9716540000000002E-2</v>
      </c>
      <c r="R5801">
        <v>-6.7823659999999994E-2</v>
      </c>
      <c r="S5801">
        <v>3.0411069999999998</v>
      </c>
      <c r="T5801">
        <v>-0.27727570000000001</v>
      </c>
      <c r="U5801">
        <v>3.2348630000000003E-2</v>
      </c>
      <c r="V5801">
        <v>2.2338429999999999E-2</v>
      </c>
      <c r="W5801">
        <v>9.0231859999999997E-2</v>
      </c>
      <c r="X5801">
        <v>0.99567030000000001</v>
      </c>
      <c r="Y5801">
        <v>-5.4703630000000003E-2</v>
      </c>
      <c r="Z5801">
        <v>6.5358739999999997E-3</v>
      </c>
      <c r="AA5801">
        <v>0.99848130000000002</v>
      </c>
      <c r="AB5801">
        <v>29</v>
      </c>
      <c r="AC5801">
        <v>12.0808</v>
      </c>
      <c r="AD5801">
        <v>-1.1135906910989899</v>
      </c>
      <c r="AE5801">
        <v>0.133259999999992</v>
      </c>
      <c r="AF5801">
        <v>-0.66497165173000095</v>
      </c>
      <c r="AG5801">
        <v>-1.1135906910989899</v>
      </c>
      <c r="AH5801">
        <v>11.9612868689763</v>
      </c>
      <c r="AI5801">
        <v>95.310727252443897</v>
      </c>
      <c r="AJ5801">
        <v>93.182006317667799</v>
      </c>
      <c r="AK5801">
        <v>12.031402872768099</v>
      </c>
      <c r="AL5801">
        <v>84.823054401778506</v>
      </c>
      <c r="AM5801">
        <v>88.714752185302203</v>
      </c>
      <c r="AN5801">
        <v>1.0000000701580001</v>
      </c>
    </row>
    <row r="5802" spans="1:40" x14ac:dyDescent="0.25">
      <c r="A5802" t="str">
        <f>"20190312164621176"</f>
        <v>20190312164621176</v>
      </c>
      <c r="B5802" t="str">
        <f>"1552380381167324"</f>
        <v>1552380381167324</v>
      </c>
      <c r="C5802" t="s">
        <v>40</v>
      </c>
      <c r="D5802">
        <v>5.3543430000000001</v>
      </c>
      <c r="E5802">
        <v>0.46874369999999999</v>
      </c>
      <c r="F5802" t="s">
        <v>89</v>
      </c>
      <c r="G5802">
        <v>-266.1361</v>
      </c>
      <c r="H5802" s="1">
        <v>-2.1804529999999999E-6</v>
      </c>
      <c r="I5802">
        <v>-62.423760000000001</v>
      </c>
      <c r="J5802">
        <v>-279.1968</v>
      </c>
      <c r="K5802">
        <v>1.11354</v>
      </c>
      <c r="L5802">
        <v>-62.677120000000002</v>
      </c>
      <c r="M5802">
        <v>0.99909870000000001</v>
      </c>
      <c r="N5802">
        <v>0</v>
      </c>
      <c r="O5802">
        <v>-4.1198310000000002E-2</v>
      </c>
      <c r="P5802">
        <v>0.99458369999999996</v>
      </c>
      <c r="Q5802">
        <v>7.9914490000000005E-2</v>
      </c>
      <c r="R5802">
        <v>-6.6461060000000002E-2</v>
      </c>
      <c r="S5802">
        <v>3.0411069999999998</v>
      </c>
      <c r="T5802">
        <v>-0.25658789999999998</v>
      </c>
      <c r="U5802">
        <v>5.7708740000000001E-2</v>
      </c>
      <c r="V5802">
        <v>2.4263730000000001E-2</v>
      </c>
      <c r="W5802">
        <v>9.0434630000000002E-2</v>
      </c>
      <c r="X5802">
        <v>0.99560680000000001</v>
      </c>
      <c r="Y5802">
        <v>-5.9791039999999997E-2</v>
      </c>
      <c r="Z5802">
        <v>5.9870210000000004E-3</v>
      </c>
      <c r="AA5802">
        <v>0.998193</v>
      </c>
      <c r="AB5802">
        <v>29</v>
      </c>
      <c r="AC5802">
        <v>13.060699999999899</v>
      </c>
      <c r="AD5802">
        <v>-1.1135421804529999</v>
      </c>
      <c r="AE5802">
        <v>0.25335999999999997</v>
      </c>
      <c r="AF5802">
        <v>-0.78554370778222105</v>
      </c>
      <c r="AG5802">
        <v>-1.1135421804529999</v>
      </c>
      <c r="AH5802">
        <v>12.9451077751655</v>
      </c>
      <c r="AI5802">
        <v>94.907514832223399</v>
      </c>
      <c r="AJ5802">
        <v>93.472602590015299</v>
      </c>
      <c r="AK5802">
        <v>13.0166382148055</v>
      </c>
      <c r="AL5802">
        <v>84.811388611760705</v>
      </c>
      <c r="AM5802">
        <v>88.603932606083006</v>
      </c>
      <c r="AN5802">
        <v>1.00000002555149</v>
      </c>
    </row>
    <row r="5803" spans="1:40" x14ac:dyDescent="0.25">
      <c r="A5803" t="str">
        <f>"20190312164621185"</f>
        <v>20190312164621185</v>
      </c>
      <c r="B5803" t="str">
        <f>"1552380381177082"</f>
        <v>1552380381177082</v>
      </c>
      <c r="C5803" t="s">
        <v>40</v>
      </c>
      <c r="D5803">
        <v>5.2019310000000001</v>
      </c>
      <c r="E5803">
        <v>0.46726780000000001</v>
      </c>
      <c r="F5803" t="s">
        <v>89</v>
      </c>
      <c r="G5803">
        <v>-265.91219999999998</v>
      </c>
      <c r="H5803" s="1">
        <v>-2.0378339999999999E-6</v>
      </c>
      <c r="I5803">
        <v>-62.248779999999996</v>
      </c>
      <c r="J5803">
        <v>-279.06189999999998</v>
      </c>
      <c r="K5803">
        <v>1.1134980000000001</v>
      </c>
      <c r="L5803">
        <v>-62.679630000000003</v>
      </c>
      <c r="M5803">
        <v>0.99922569999999999</v>
      </c>
      <c r="N5803">
        <v>0</v>
      </c>
      <c r="O5803">
        <v>-3.7992339999999999E-2</v>
      </c>
      <c r="P5803">
        <v>0.99461809999999995</v>
      </c>
      <c r="Q5803">
        <v>8.0431030000000001E-2</v>
      </c>
      <c r="R5803">
        <v>-6.5308989999999997E-2</v>
      </c>
      <c r="S5803">
        <v>3.043396</v>
      </c>
      <c r="T5803">
        <v>-0.2551022</v>
      </c>
      <c r="U5803">
        <v>9.8114010000000001E-2</v>
      </c>
      <c r="V5803">
        <v>2.6311359999999999E-2</v>
      </c>
      <c r="W5803">
        <v>9.0955560000000005E-2</v>
      </c>
      <c r="X5803">
        <v>0.99550729999999998</v>
      </c>
      <c r="Y5803">
        <v>-6.9795259999999998E-2</v>
      </c>
      <c r="Z5803">
        <v>6.0975580000000003E-3</v>
      </c>
      <c r="AA5803">
        <v>0.9975427</v>
      </c>
      <c r="AB5803">
        <v>29</v>
      </c>
      <c r="AC5803">
        <v>13.1496999999999</v>
      </c>
      <c r="AD5803">
        <v>-1.1135000378340001</v>
      </c>
      <c r="AE5803">
        <v>0.43084999999999901</v>
      </c>
      <c r="AF5803">
        <v>-0.923537790232413</v>
      </c>
      <c r="AG5803">
        <v>-1.1135000378340001</v>
      </c>
      <c r="AH5803">
        <v>13.030500603836501</v>
      </c>
      <c r="AI5803">
        <v>94.872088577740598</v>
      </c>
      <c r="AJ5803">
        <v>94.054063874025005</v>
      </c>
      <c r="AK5803">
        <v>13.1105587360275</v>
      </c>
      <c r="AL5803">
        <v>84.781417833543102</v>
      </c>
      <c r="AM5803">
        <v>88.486019138373607</v>
      </c>
      <c r="AN5803">
        <v>0.999999992956626</v>
      </c>
    </row>
    <row r="5804" spans="1:40" x14ac:dyDescent="0.25">
      <c r="A5804" t="str">
        <f>"20190312164621197"</f>
        <v>20190312164621197</v>
      </c>
      <c r="B5804" t="str">
        <f>"1552380381186842"</f>
        <v>1552380381186842</v>
      </c>
      <c r="C5804" t="s">
        <v>40</v>
      </c>
      <c r="D5804">
        <v>5.3497190000000003</v>
      </c>
      <c r="E5804">
        <v>0.46725709999999998</v>
      </c>
      <c r="F5804" t="s">
        <v>89</v>
      </c>
      <c r="G5804">
        <v>-266.64299999999997</v>
      </c>
      <c r="H5804" s="1">
        <v>-2.3409779999999999E-6</v>
      </c>
      <c r="I5804">
        <v>-62.209829999999997</v>
      </c>
      <c r="J5804">
        <v>-278.91719999999998</v>
      </c>
      <c r="K5804">
        <v>1.1134500000000001</v>
      </c>
      <c r="L5804">
        <v>-62.681699999999999</v>
      </c>
      <c r="M5804">
        <v>0.99934889999999998</v>
      </c>
      <c r="N5804">
        <v>0</v>
      </c>
      <c r="O5804">
        <v>-3.4612200000000003E-2</v>
      </c>
      <c r="P5804">
        <v>0.99467430000000001</v>
      </c>
      <c r="Q5804">
        <v>8.0874139999999997E-2</v>
      </c>
      <c r="R5804">
        <v>-6.3895229999999997E-2</v>
      </c>
      <c r="S5804">
        <v>3.045868</v>
      </c>
      <c r="T5804">
        <v>-0.27309719999999998</v>
      </c>
      <c r="U5804">
        <v>0.1152039</v>
      </c>
      <c r="V5804">
        <v>2.8271669999999999E-2</v>
      </c>
      <c r="W5804">
        <v>9.139717E-2</v>
      </c>
      <c r="X5804">
        <v>0.99541310000000005</v>
      </c>
      <c r="Y5804">
        <v>-7.1935689999999997E-2</v>
      </c>
      <c r="Z5804">
        <v>6.3136049999999999E-3</v>
      </c>
      <c r="AA5804">
        <v>0.99738930000000003</v>
      </c>
      <c r="AB5804">
        <v>29</v>
      </c>
      <c r="AC5804">
        <v>12.2742</v>
      </c>
      <c r="AD5804">
        <v>-1.1134523409779999</v>
      </c>
      <c r="AE5804">
        <v>0.47186999999999502</v>
      </c>
      <c r="AF5804">
        <v>-0.88914024241766598</v>
      </c>
      <c r="AG5804">
        <v>-1.1134523409779999</v>
      </c>
      <c r="AH5804">
        <v>12.150668902519699</v>
      </c>
      <c r="AI5804">
        <v>95.221912556075793</v>
      </c>
      <c r="AJ5804">
        <v>94.185229946039698</v>
      </c>
      <c r="AK5804">
        <v>12.233932371276801</v>
      </c>
      <c r="AL5804">
        <v>84.756009569903</v>
      </c>
      <c r="AM5804">
        <v>88.373125669733199</v>
      </c>
      <c r="AN5804">
        <v>0.99999998483010299</v>
      </c>
    </row>
    <row r="5805" spans="1:40" x14ac:dyDescent="0.25">
      <c r="A5805" t="str">
        <f>"20190312164621209"</f>
        <v>20190312164621209</v>
      </c>
      <c r="B5805" t="str">
        <f>"1552380381197578"</f>
        <v>1552380381197578</v>
      </c>
      <c r="C5805" t="s">
        <v>40</v>
      </c>
      <c r="D5805">
        <v>5.2485850000000003</v>
      </c>
      <c r="E5805">
        <v>0.4671535</v>
      </c>
      <c r="F5805" t="s">
        <v>89</v>
      </c>
      <c r="G5805">
        <v>-265.99329999999998</v>
      </c>
      <c r="H5805" s="1">
        <v>-2.0536640000000002E-6</v>
      </c>
      <c r="I5805">
        <v>-62.177390000000003</v>
      </c>
      <c r="J5805">
        <v>-278.77460000000002</v>
      </c>
      <c r="K5805">
        <v>1.1134040000000001</v>
      </c>
      <c r="L5805">
        <v>-62.683529999999998</v>
      </c>
      <c r="M5805">
        <v>0.99945839999999997</v>
      </c>
      <c r="N5805">
        <v>0</v>
      </c>
      <c r="O5805">
        <v>-3.1295730000000001E-2</v>
      </c>
      <c r="P5805">
        <v>0.99469430000000003</v>
      </c>
      <c r="Q5805">
        <v>8.1648219999999994E-2</v>
      </c>
      <c r="R5805">
        <v>-6.2586639999999999E-2</v>
      </c>
      <c r="S5805">
        <v>3.045013</v>
      </c>
      <c r="T5805">
        <v>-0.26234220000000003</v>
      </c>
      <c r="U5805">
        <v>0.1188049</v>
      </c>
      <c r="V5805">
        <v>3.027001E-2</v>
      </c>
      <c r="W5805">
        <v>9.216924E-2</v>
      </c>
      <c r="X5805">
        <v>0.99528309999999998</v>
      </c>
      <c r="Y5805">
        <v>-6.9866750000000005E-2</v>
      </c>
      <c r="Z5805">
        <v>5.693465E-3</v>
      </c>
      <c r="AA5805">
        <v>0.99754010000000004</v>
      </c>
      <c r="AB5805">
        <v>29</v>
      </c>
      <c r="AC5805">
        <v>12.7813</v>
      </c>
      <c r="AD5805">
        <v>-1.113406053664</v>
      </c>
      <c r="AE5805">
        <v>0.50614000000000203</v>
      </c>
      <c r="AF5805">
        <v>-0.89910070202715897</v>
      </c>
      <c r="AG5805">
        <v>-1.113406053664</v>
      </c>
      <c r="AH5805">
        <v>12.6632529358389</v>
      </c>
      <c r="AI5805">
        <v>95.012209274910106</v>
      </c>
      <c r="AJ5805">
        <v>94.061229214042498</v>
      </c>
      <c r="AK5805">
        <v>12.7438624454972</v>
      </c>
      <c r="AL5805">
        <v>84.711585495664295</v>
      </c>
      <c r="AM5805">
        <v>88.257973664444705</v>
      </c>
      <c r="AN5805">
        <v>0.99999994572659201</v>
      </c>
    </row>
    <row r="5806" spans="1:40" x14ac:dyDescent="0.25">
      <c r="A5806" t="str">
        <f>"20190312164621220"</f>
        <v>20190312164621220</v>
      </c>
      <c r="B5806" t="str">
        <f>"1552380381217098"</f>
        <v>1552380381217098</v>
      </c>
      <c r="C5806" t="s">
        <v>40</v>
      </c>
      <c r="D5806">
        <v>5.2546920000000004</v>
      </c>
      <c r="E5806">
        <v>0.4657232</v>
      </c>
      <c r="F5806" t="s">
        <v>42</v>
      </c>
      <c r="G5806">
        <v>-265.29180000000002</v>
      </c>
      <c r="H5806" s="1">
        <v>-1.742492E-6</v>
      </c>
      <c r="I5806">
        <v>-62.139060000000001</v>
      </c>
      <c r="J5806">
        <v>-278.63279999999997</v>
      </c>
      <c r="K5806">
        <v>1.1133519999999999</v>
      </c>
      <c r="L5806">
        <v>-62.684629999999999</v>
      </c>
      <c r="M5806">
        <v>0.99955450000000001</v>
      </c>
      <c r="N5806">
        <v>0</v>
      </c>
      <c r="O5806">
        <v>-2.8069150000000001E-2</v>
      </c>
      <c r="P5806">
        <v>0.99468199999999996</v>
      </c>
      <c r="Q5806">
        <v>8.2684229999999997E-2</v>
      </c>
      <c r="R5806">
        <v>-6.1408770000000001E-2</v>
      </c>
      <c r="S5806">
        <v>3.0443730000000002</v>
      </c>
      <c r="T5806">
        <v>-0.25140289999999998</v>
      </c>
      <c r="U5806">
        <v>0.1229248</v>
      </c>
      <c r="V5806">
        <v>3.2307599999999999E-2</v>
      </c>
      <c r="W5806">
        <v>9.3202370000000007E-2</v>
      </c>
      <c r="X5806">
        <v>0.99512279999999997</v>
      </c>
      <c r="Y5806">
        <v>-6.8049970000000001E-2</v>
      </c>
      <c r="Z5806">
        <v>5.1171360000000004E-3</v>
      </c>
      <c r="AA5806">
        <v>0.99766880000000002</v>
      </c>
      <c r="AB5806">
        <v>29</v>
      </c>
      <c r="AC5806">
        <v>13.3409999999999</v>
      </c>
      <c r="AD5806">
        <v>-1.1133537424919999</v>
      </c>
      <c r="AE5806">
        <v>0.545570000000005</v>
      </c>
      <c r="AF5806">
        <v>-0.91349341925444905</v>
      </c>
      <c r="AG5806">
        <v>-1.1133537424919999</v>
      </c>
      <c r="AH5806">
        <v>13.228452746780899</v>
      </c>
      <c r="AI5806">
        <v>94.799502833908207</v>
      </c>
      <c r="AJ5806">
        <v>93.950300184063906</v>
      </c>
      <c r="AK5806">
        <v>13.306614477648299</v>
      </c>
      <c r="AL5806">
        <v>84.652135481807306</v>
      </c>
      <c r="AM5806">
        <v>88.140491641053799</v>
      </c>
      <c r="AN5806">
        <v>0.99999992493560497</v>
      </c>
    </row>
    <row r="5807" spans="1:40" x14ac:dyDescent="0.25">
      <c r="A5807" t="str">
        <f>"20190312164621232"</f>
        <v>20190312164621232</v>
      </c>
      <c r="B5807" t="str">
        <f>"1552380381226857"</f>
        <v>1552380381226857</v>
      </c>
      <c r="C5807" t="s">
        <v>40</v>
      </c>
      <c r="D5807">
        <v>6.4397409999999997</v>
      </c>
      <c r="E5807">
        <v>0.46607500000000002</v>
      </c>
      <c r="F5807" t="s">
        <v>42</v>
      </c>
      <c r="G5807">
        <v>-265.60180000000003</v>
      </c>
      <c r="H5807" s="1">
        <v>-1.8618389999999999E-6</v>
      </c>
      <c r="I5807">
        <v>-62.087710000000001</v>
      </c>
      <c r="J5807">
        <v>-278.48259999999999</v>
      </c>
      <c r="K5807">
        <v>1.113291</v>
      </c>
      <c r="L5807">
        <v>-62.685580000000002</v>
      </c>
      <c r="M5807">
        <v>0.99964439999999999</v>
      </c>
      <c r="N5807">
        <v>0</v>
      </c>
      <c r="O5807">
        <v>-2.4670540000000001E-2</v>
      </c>
      <c r="P5807">
        <v>0.99469569999999996</v>
      </c>
      <c r="Q5807">
        <v>8.3627900000000005E-2</v>
      </c>
      <c r="R5807">
        <v>-5.9894360000000001E-2</v>
      </c>
      <c r="S5807">
        <v>3.046265</v>
      </c>
      <c r="T5807">
        <v>-0.26026949999999999</v>
      </c>
      <c r="U5807">
        <v>0.13952639999999999</v>
      </c>
      <c r="V5807">
        <v>3.4180160000000001E-2</v>
      </c>
      <c r="W5807">
        <v>9.4139029999999999E-2</v>
      </c>
      <c r="X5807">
        <v>0.99497219999999997</v>
      </c>
      <c r="Y5807">
        <v>-7.0042069999999998E-2</v>
      </c>
      <c r="Z5807">
        <v>5.0883009999999999E-3</v>
      </c>
      <c r="AA5807">
        <v>0.9975311</v>
      </c>
      <c r="AB5807">
        <v>29</v>
      </c>
      <c r="AC5807">
        <v>12.880799999999899</v>
      </c>
      <c r="AD5807">
        <v>-1.1132928618389999</v>
      </c>
      <c r="AE5807">
        <v>0.59787000000000701</v>
      </c>
      <c r="AF5807">
        <v>-0.90870693611787701</v>
      </c>
      <c r="AG5807">
        <v>-1.1132928618389999</v>
      </c>
      <c r="AH5807">
        <v>12.766961677614299</v>
      </c>
      <c r="AI5807">
        <v>94.971134567838902</v>
      </c>
      <c r="AJ5807">
        <v>94.071244028700093</v>
      </c>
      <c r="AK5807">
        <v>12.8475865348182</v>
      </c>
      <c r="AL5807">
        <v>84.598232538311294</v>
      </c>
      <c r="AM5807">
        <v>88.032498715188495</v>
      </c>
      <c r="AN5807">
        <v>1.0000000595398999</v>
      </c>
    </row>
    <row r="5808" spans="1:40" x14ac:dyDescent="0.25">
      <c r="A5808" t="str">
        <f>"20190312164621243"</f>
        <v>20190312164621243</v>
      </c>
      <c r="B5808" t="str">
        <f>"1552380381237594"</f>
        <v>1552380381237594</v>
      </c>
      <c r="C5808" t="s">
        <v>40</v>
      </c>
      <c r="D5808">
        <v>5.1796490000000004</v>
      </c>
      <c r="E5808">
        <v>0.46650979999999997</v>
      </c>
      <c r="F5808" t="s">
        <v>89</v>
      </c>
      <c r="G5808">
        <v>-265.15010000000001</v>
      </c>
      <c r="H5808" s="1">
        <v>-1.662347E-6</v>
      </c>
      <c r="I5808">
        <v>-62.066360000000003</v>
      </c>
      <c r="J5808">
        <v>-278.33539999999999</v>
      </c>
      <c r="K5808">
        <v>1.113237</v>
      </c>
      <c r="L5808">
        <v>-62.68591</v>
      </c>
      <c r="M5808">
        <v>0.99972019999999995</v>
      </c>
      <c r="N5808">
        <v>0</v>
      </c>
      <c r="O5808">
        <v>-2.1390320000000001E-2</v>
      </c>
      <c r="P5808">
        <v>0.99473780000000001</v>
      </c>
      <c r="Q5808">
        <v>8.4206909999999996E-2</v>
      </c>
      <c r="R5808">
        <v>-5.8364659999999999E-2</v>
      </c>
      <c r="S5808">
        <v>3.0458980000000002</v>
      </c>
      <c r="T5808">
        <v>-0.25433850000000002</v>
      </c>
      <c r="U5808">
        <v>0.14144899999999999</v>
      </c>
      <c r="V5808">
        <v>3.5923280000000002E-2</v>
      </c>
      <c r="W5808">
        <v>9.4708700000000007E-2</v>
      </c>
      <c r="X5808">
        <v>0.99485670000000004</v>
      </c>
      <c r="Y5808">
        <v>-6.7438390000000001E-2</v>
      </c>
      <c r="Z5808">
        <v>4.5915069999999999E-3</v>
      </c>
      <c r="AA5808">
        <v>0.99771290000000001</v>
      </c>
      <c r="AB5808">
        <v>29</v>
      </c>
      <c r="AC5808">
        <v>13.1852999999999</v>
      </c>
      <c r="AD5808">
        <v>-1.1132386623469901</v>
      </c>
      <c r="AE5808">
        <v>0.61955000000000304</v>
      </c>
      <c r="AF5808">
        <v>-0.89509380525687099</v>
      </c>
      <c r="AG5808">
        <v>-1.1132386623469901</v>
      </c>
      <c r="AH5808">
        <v>13.076023123418</v>
      </c>
      <c r="AI5808">
        <v>94.854885240465705</v>
      </c>
      <c r="AJ5808">
        <v>93.915962599390994</v>
      </c>
      <c r="AK5808">
        <v>13.153815946854101</v>
      </c>
      <c r="AL5808">
        <v>84.565446242899597</v>
      </c>
      <c r="AM5808">
        <v>87.932005210474003</v>
      </c>
      <c r="AN5808">
        <v>1.00000003671826</v>
      </c>
    </row>
    <row r="5809" spans="1:40" x14ac:dyDescent="0.25">
      <c r="A5809" t="str">
        <f>"20190312164621255"</f>
        <v>20190312164621255</v>
      </c>
      <c r="B5809" t="str">
        <f>"1552380381247353"</f>
        <v>1552380381247353</v>
      </c>
      <c r="C5809" t="s">
        <v>40</v>
      </c>
      <c r="D5809">
        <v>6.4060300000000003</v>
      </c>
      <c r="E5809">
        <v>0.46680159999999998</v>
      </c>
      <c r="F5809" t="s">
        <v>89</v>
      </c>
      <c r="G5809">
        <v>-265.13749999999999</v>
      </c>
      <c r="H5809" s="1">
        <v>-1.6568069999999999E-6</v>
      </c>
      <c r="I5809">
        <v>-62.0657</v>
      </c>
      <c r="J5809">
        <v>-278.19009999999997</v>
      </c>
      <c r="K5809">
        <v>1.1131819999999999</v>
      </c>
      <c r="L5809">
        <v>-62.685850000000002</v>
      </c>
      <c r="M5809">
        <v>0.99978370000000005</v>
      </c>
      <c r="N5809">
        <v>0</v>
      </c>
      <c r="O5809">
        <v>-1.8194160000000001E-2</v>
      </c>
      <c r="P5809">
        <v>0.99479530000000005</v>
      </c>
      <c r="Q5809">
        <v>8.4444240000000004E-2</v>
      </c>
      <c r="R5809">
        <v>-5.7023369999999997E-2</v>
      </c>
      <c r="S5809">
        <v>3.0460210000000001</v>
      </c>
      <c r="T5809">
        <v>-0.25693120000000003</v>
      </c>
      <c r="U5809">
        <v>0.14312739999999999</v>
      </c>
      <c r="V5809">
        <v>3.7774790000000003E-2</v>
      </c>
      <c r="W5809">
        <v>9.4935599999999995E-2</v>
      </c>
      <c r="X5809">
        <v>0.9947665</v>
      </c>
      <c r="Y5809">
        <v>-6.4809660000000005E-2</v>
      </c>
      <c r="Z5809">
        <v>4.2582899999999996E-3</v>
      </c>
      <c r="AA5809">
        <v>0.99788860000000001</v>
      </c>
      <c r="AB5809">
        <v>29</v>
      </c>
      <c r="AC5809">
        <v>13.052599999999901</v>
      </c>
      <c r="AD5809">
        <v>-1.1131836568069999</v>
      </c>
      <c r="AE5809">
        <v>0.62015000000000198</v>
      </c>
      <c r="AF5809">
        <v>-0.85136210621657005</v>
      </c>
      <c r="AG5809">
        <v>-1.1131836568069999</v>
      </c>
      <c r="AH5809">
        <v>12.945211442180399</v>
      </c>
      <c r="AI5809">
        <v>94.904340700860303</v>
      </c>
      <c r="AJ5809">
        <v>93.762728021246801</v>
      </c>
      <c r="AK5809">
        <v>13.0208484582396</v>
      </c>
      <c r="AL5809">
        <v>84.552387040861205</v>
      </c>
      <c r="AM5809">
        <v>87.825322201535499</v>
      </c>
      <c r="AN5809">
        <v>1.0000000462145699</v>
      </c>
    </row>
    <row r="5810" spans="1:40" x14ac:dyDescent="0.25">
      <c r="A5810" t="str">
        <f>"20190312164621266"</f>
        <v>20190312164621266</v>
      </c>
      <c r="B5810" t="str">
        <f>"1552380381257114"</f>
        <v>1552380381257114</v>
      </c>
      <c r="C5810" t="s">
        <v>40</v>
      </c>
      <c r="D5810">
        <v>5.2245629999999998</v>
      </c>
      <c r="E5810">
        <v>0.46709850000000003</v>
      </c>
      <c r="F5810" t="s">
        <v>42</v>
      </c>
      <c r="G5810">
        <v>-264.88549999999998</v>
      </c>
      <c r="H5810" s="1">
        <v>-1.5458849999999999E-6</v>
      </c>
      <c r="I5810">
        <v>-62.055210000000002</v>
      </c>
      <c r="J5810">
        <v>-278.03570000000002</v>
      </c>
      <c r="K5810">
        <v>1.1131219999999999</v>
      </c>
      <c r="L5810">
        <v>-62.685419999999901</v>
      </c>
      <c r="M5810">
        <v>0.99983960000000005</v>
      </c>
      <c r="N5810">
        <v>0</v>
      </c>
      <c r="O5810">
        <v>-1.4833600000000001E-2</v>
      </c>
      <c r="P5810">
        <v>0.994919</v>
      </c>
      <c r="Q5810">
        <v>8.4169430000000003E-2</v>
      </c>
      <c r="R5810">
        <v>-5.5246660000000003E-2</v>
      </c>
      <c r="S5810">
        <v>3.0455930000000002</v>
      </c>
      <c r="T5810">
        <v>-0.25482179999999999</v>
      </c>
      <c r="U5810">
        <v>0.14434810000000001</v>
      </c>
      <c r="V5810">
        <v>3.9360510000000001E-2</v>
      </c>
      <c r="W5810">
        <v>9.4643179999999993E-2</v>
      </c>
      <c r="X5810">
        <v>0.99473290000000003</v>
      </c>
      <c r="Y5810">
        <v>-6.1887589999999999E-2</v>
      </c>
      <c r="Z5810">
        <v>3.8214730000000001E-3</v>
      </c>
      <c r="AA5810">
        <v>0.99807579999999996</v>
      </c>
      <c r="AB5810">
        <v>29</v>
      </c>
      <c r="AC5810">
        <v>13.1502</v>
      </c>
      <c r="AD5810">
        <v>-1.113123545885</v>
      </c>
      <c r="AE5810">
        <v>0.63020999999999805</v>
      </c>
      <c r="AF5810">
        <v>-0.81935796158281604</v>
      </c>
      <c r="AG5810">
        <v>-1.113123545885</v>
      </c>
      <c r="AH5810">
        <v>13.0461416021374</v>
      </c>
      <c r="AI5810">
        <v>94.867238599846402</v>
      </c>
      <c r="AJ5810">
        <v>93.593719554497696</v>
      </c>
      <c r="AK5810">
        <v>13.1191540200057</v>
      </c>
      <c r="AL5810">
        <v>84.569217337482996</v>
      </c>
      <c r="AM5810">
        <v>87.734049790737899</v>
      </c>
      <c r="AN5810">
        <v>1.0000000618051801</v>
      </c>
    </row>
    <row r="5811" spans="1:40" x14ac:dyDescent="0.25">
      <c r="A5811" t="str">
        <f>"20190312164621277"</f>
        <v>20190312164621277</v>
      </c>
      <c r="B5811" t="str">
        <f>"1552380381266874"</f>
        <v>1552380381266874</v>
      </c>
      <c r="C5811" t="s">
        <v>40</v>
      </c>
      <c r="D5811">
        <v>5.1778760000000004</v>
      </c>
      <c r="E5811">
        <v>0.46742990000000001</v>
      </c>
      <c r="F5811" t="s">
        <v>42</v>
      </c>
      <c r="G5811">
        <v>-264.75529999999998</v>
      </c>
      <c r="H5811" s="1">
        <v>-1.487135E-6</v>
      </c>
      <c r="I5811">
        <v>-62.044240000000002</v>
      </c>
      <c r="J5811">
        <v>-277.91070000000002</v>
      </c>
      <c r="K5811">
        <v>1.113065</v>
      </c>
      <c r="L5811">
        <v>-62.684600000000003</v>
      </c>
      <c r="M5811">
        <v>0.99987570000000003</v>
      </c>
      <c r="N5811">
        <v>0</v>
      </c>
      <c r="O5811">
        <v>-1.217785E-2</v>
      </c>
      <c r="P5811">
        <v>0.99502159999999995</v>
      </c>
      <c r="Q5811">
        <v>8.3718089999999995E-2</v>
      </c>
      <c r="R5811">
        <v>-5.406615E-2</v>
      </c>
      <c r="S5811">
        <v>3.0450740000000001</v>
      </c>
      <c r="T5811">
        <v>-0.25523030000000002</v>
      </c>
      <c r="U5811">
        <v>0.1470032</v>
      </c>
      <c r="V5811">
        <v>4.0841170000000003E-2</v>
      </c>
      <c r="W5811">
        <v>9.4177010000000005E-2</v>
      </c>
      <c r="X5811">
        <v>0.99471739999999997</v>
      </c>
      <c r="Y5811">
        <v>-6.0127300000000002E-2</v>
      </c>
      <c r="Z5811">
        <v>3.5324380000000002E-3</v>
      </c>
      <c r="AA5811">
        <v>0.99818439999999997</v>
      </c>
      <c r="AB5811">
        <v>29</v>
      </c>
      <c r="AC5811">
        <v>13.1554</v>
      </c>
      <c r="AD5811">
        <v>-1.113066487135</v>
      </c>
      <c r="AE5811">
        <v>0.64036000000000104</v>
      </c>
      <c r="AF5811">
        <v>-0.79484840213380303</v>
      </c>
      <c r="AG5811">
        <v>-1.113066487135</v>
      </c>
      <c r="AH5811">
        <v>13.053401310717399</v>
      </c>
      <c r="AI5811">
        <v>94.864866978831301</v>
      </c>
      <c r="AJ5811">
        <v>93.484555155947206</v>
      </c>
      <c r="AK5811">
        <v>13.1248613998699</v>
      </c>
      <c r="AL5811">
        <v>84.5960464550935</v>
      </c>
      <c r="AM5811">
        <v>87.648866815430793</v>
      </c>
      <c r="AN5811">
        <v>1.00000000812113</v>
      </c>
    </row>
    <row r="5812" spans="1:40" x14ac:dyDescent="0.25">
      <c r="A5812" t="str">
        <f>"20190312164621287"</f>
        <v>20190312164621287</v>
      </c>
      <c r="B5812" t="str">
        <f>"1552380381277610"</f>
        <v>1552380381277610</v>
      </c>
      <c r="C5812" t="s">
        <v>40</v>
      </c>
      <c r="D5812">
        <v>5.0557319999999999</v>
      </c>
      <c r="E5812">
        <v>0.46753509999999998</v>
      </c>
      <c r="F5812" t="s">
        <v>42</v>
      </c>
      <c r="G5812">
        <v>-264.64940000000001</v>
      </c>
      <c r="H5812" s="1">
        <v>-1.441104E-6</v>
      </c>
      <c r="I5812">
        <v>-62.0419699999999</v>
      </c>
      <c r="J5812">
        <v>-277.76799999999997</v>
      </c>
      <c r="K5812">
        <v>1.112997</v>
      </c>
      <c r="L5812">
        <v>-62.683500000000002</v>
      </c>
      <c r="M5812">
        <v>0.99990809999999997</v>
      </c>
      <c r="N5812">
        <v>0</v>
      </c>
      <c r="O5812">
        <v>-9.1574280000000004E-3</v>
      </c>
      <c r="P5812">
        <v>0.99515480000000001</v>
      </c>
      <c r="Q5812">
        <v>8.284793E-2</v>
      </c>
      <c r="R5812">
        <v>-5.294956E-2</v>
      </c>
      <c r="S5812">
        <v>3.044556</v>
      </c>
      <c r="T5812">
        <v>-0.2555403</v>
      </c>
      <c r="U5812">
        <v>0.14752199999999999</v>
      </c>
      <c r="V5812">
        <v>4.2754899999999998E-2</v>
      </c>
      <c r="W5812">
        <v>9.329163E-2</v>
      </c>
      <c r="X5812">
        <v>0.99472039999999995</v>
      </c>
      <c r="Y5812">
        <v>-5.7309520000000003E-2</v>
      </c>
      <c r="Z5812">
        <v>3.166365E-3</v>
      </c>
      <c r="AA5812">
        <v>0.99835149999999995</v>
      </c>
      <c r="AB5812">
        <v>29</v>
      </c>
      <c r="AC5812">
        <v>13.118599999999899</v>
      </c>
      <c r="AD5812">
        <v>-1.1129984411039999</v>
      </c>
      <c r="AE5812">
        <v>0.64153000000001004</v>
      </c>
      <c r="AF5812">
        <v>-0.75621148306007602</v>
      </c>
      <c r="AG5812">
        <v>-1.1129984411039999</v>
      </c>
      <c r="AH5812">
        <v>13.0186893666896</v>
      </c>
      <c r="AI5812">
        <v>94.878286296956901</v>
      </c>
      <c r="AJ5812">
        <v>93.324381861043804</v>
      </c>
      <c r="AK5812">
        <v>13.0880439395414</v>
      </c>
      <c r="AL5812">
        <v>84.646999239716905</v>
      </c>
      <c r="AM5812">
        <v>87.538837594136695</v>
      </c>
      <c r="AN5812">
        <v>0.99999999193911304</v>
      </c>
    </row>
    <row r="5813" spans="1:40" x14ac:dyDescent="0.25">
      <c r="A5813" t="str">
        <f>"20190312164621299"</f>
        <v>20190312164621299</v>
      </c>
      <c r="B5813" t="str">
        <f>"1552380381287370"</f>
        <v>1552380381287370</v>
      </c>
      <c r="C5813" t="s">
        <v>40</v>
      </c>
      <c r="D5813">
        <v>5.2164570000000001</v>
      </c>
      <c r="E5813">
        <v>0.4675629</v>
      </c>
      <c r="F5813" t="s">
        <v>42</v>
      </c>
      <c r="G5813">
        <v>-264.54809999999998</v>
      </c>
      <c r="H5813" s="1">
        <v>-1.395102E-6</v>
      </c>
      <c r="I5813">
        <v>-62.032539999999997</v>
      </c>
      <c r="J5813">
        <v>-277.63369999999998</v>
      </c>
      <c r="K5813">
        <v>1.1129209999999901</v>
      </c>
      <c r="L5813">
        <v>-62.68188</v>
      </c>
      <c r="M5813">
        <v>0.99992990000000004</v>
      </c>
      <c r="N5813">
        <v>0</v>
      </c>
      <c r="O5813">
        <v>-6.4010600000000001E-3</v>
      </c>
      <c r="P5813">
        <v>0.99529979999999996</v>
      </c>
      <c r="Q5813">
        <v>8.1818840000000004E-2</v>
      </c>
      <c r="R5813">
        <v>-5.1809139999999997E-2</v>
      </c>
      <c r="S5813">
        <v>3.0439449999999999</v>
      </c>
      <c r="T5813">
        <v>-0.25627240000000001</v>
      </c>
      <c r="U5813">
        <v>0.149871799999999</v>
      </c>
      <c r="V5813">
        <v>4.438512E-2</v>
      </c>
      <c r="W5813">
        <v>9.2245209999999994E-2</v>
      </c>
      <c r="X5813">
        <v>0.99474660000000004</v>
      </c>
      <c r="Y5813">
        <v>-5.535114E-2</v>
      </c>
      <c r="Z5813">
        <v>2.862196E-3</v>
      </c>
      <c r="AA5813">
        <v>0.99846290000000004</v>
      </c>
      <c r="AB5813">
        <v>29</v>
      </c>
      <c r="AC5813">
        <v>13.085599999999999</v>
      </c>
      <c r="AD5813">
        <v>-1.11292239510199</v>
      </c>
      <c r="AE5813">
        <v>0.64934000000000203</v>
      </c>
      <c r="AF5813">
        <v>-0.72784073109679304</v>
      </c>
      <c r="AG5813">
        <v>-1.11292239510199</v>
      </c>
      <c r="AH5813">
        <v>12.987462464662901</v>
      </c>
      <c r="AI5813">
        <v>94.890192267646299</v>
      </c>
      <c r="AJ5813">
        <v>93.207603213428698</v>
      </c>
      <c r="AK5813">
        <v>13.055364018609</v>
      </c>
      <c r="AL5813">
        <v>84.707214442420494</v>
      </c>
      <c r="AM5813">
        <v>87.445184142392904</v>
      </c>
      <c r="AN5813">
        <v>1.0000000079284499</v>
      </c>
    </row>
    <row r="5814" spans="1:40" x14ac:dyDescent="0.25">
      <c r="A5814" t="str">
        <f>"20190312164621309"</f>
        <v>20190312164621309</v>
      </c>
      <c r="B5814" t="str">
        <f>"1552380381306891"</f>
        <v>1552380381306891</v>
      </c>
      <c r="C5814" t="s">
        <v>40</v>
      </c>
      <c r="D5814">
        <v>5.0729730000000002</v>
      </c>
      <c r="E5814">
        <v>0.46708650000000002</v>
      </c>
      <c r="F5814" t="s">
        <v>89</v>
      </c>
      <c r="G5814">
        <v>-264.8707</v>
      </c>
      <c r="H5814" s="1">
        <v>-1.5347450000000001E-6</v>
      </c>
      <c r="I5814">
        <v>-62.037170000000003</v>
      </c>
      <c r="J5814">
        <v>-277.488</v>
      </c>
      <c r="K5814">
        <v>1.1128400000000001</v>
      </c>
      <c r="L5814">
        <v>-62.680050000000001</v>
      </c>
      <c r="M5814">
        <v>0.99994479999999997</v>
      </c>
      <c r="N5814">
        <v>0</v>
      </c>
      <c r="O5814">
        <v>-3.42976E-3</v>
      </c>
      <c r="P5814">
        <v>0.99544299999999997</v>
      </c>
      <c r="Q5814">
        <v>8.0858780000000005E-2</v>
      </c>
      <c r="R5814">
        <v>-5.0546439999999998E-2</v>
      </c>
      <c r="S5814">
        <v>3.0439449999999999</v>
      </c>
      <c r="T5814">
        <v>-0.2654301</v>
      </c>
      <c r="U5814">
        <v>0.15374760000000001</v>
      </c>
      <c r="V5814">
        <v>4.610728E-2</v>
      </c>
      <c r="W5814">
        <v>9.1265170000000007E-2</v>
      </c>
      <c r="X5814">
        <v>0.9947587</v>
      </c>
      <c r="Y5814">
        <v>-5.3654189999999997E-2</v>
      </c>
      <c r="Z5814">
        <v>2.6317350000000001E-3</v>
      </c>
      <c r="AA5814">
        <v>0.99855609999999995</v>
      </c>
      <c r="AB5814">
        <v>29</v>
      </c>
      <c r="AC5814">
        <v>12.6173</v>
      </c>
      <c r="AD5814">
        <v>-1.112841534745</v>
      </c>
      <c r="AE5814">
        <v>0.642880000000005</v>
      </c>
      <c r="AF5814">
        <v>-0.68086977050731701</v>
      </c>
      <c r="AG5814">
        <v>-1.112841534745</v>
      </c>
      <c r="AH5814">
        <v>12.5178939590004</v>
      </c>
      <c r="AI5814">
        <v>95.072783887520998</v>
      </c>
      <c r="AJ5814">
        <v>93.113348119074004</v>
      </c>
      <c r="AK5814">
        <v>12.5856930319559</v>
      </c>
      <c r="AL5814">
        <v>84.763604654298206</v>
      </c>
      <c r="AM5814">
        <v>87.346227595463205</v>
      </c>
      <c r="AN5814">
        <v>1.0000000418749</v>
      </c>
    </row>
    <row r="5815" spans="1:40" x14ac:dyDescent="0.25">
      <c r="A5815" t="str">
        <f>"20190312164621320"</f>
        <v>20190312164621320</v>
      </c>
      <c r="B5815" t="str">
        <f>"1552380381317627"</f>
        <v>1552380381317627</v>
      </c>
      <c r="C5815" t="s">
        <v>40</v>
      </c>
      <c r="D5815">
        <v>4.7548349999999999</v>
      </c>
      <c r="E5815">
        <v>0.46721400000000002</v>
      </c>
      <c r="F5815" t="s">
        <v>89</v>
      </c>
      <c r="G5815">
        <v>-265.14409999999998</v>
      </c>
      <c r="H5815" s="1">
        <v>-1.6477750000000001E-6</v>
      </c>
      <c r="I5815">
        <v>-62.021180000000001</v>
      </c>
      <c r="J5815">
        <v>-277.34399999999999</v>
      </c>
      <c r="K5815">
        <v>1.1127530000000001</v>
      </c>
      <c r="L5815">
        <v>-62.677579999999999</v>
      </c>
      <c r="M5815">
        <v>0.99995089999999998</v>
      </c>
      <c r="N5815">
        <v>0</v>
      </c>
      <c r="O5815">
        <v>-5.8518619999999998E-4</v>
      </c>
      <c r="P5815">
        <v>0.99555819999999995</v>
      </c>
      <c r="Q5815">
        <v>8.0179410000000007E-2</v>
      </c>
      <c r="R5815">
        <v>-4.93479E-2</v>
      </c>
      <c r="S5815">
        <v>3.0442809999999998</v>
      </c>
      <c r="T5815">
        <v>-0.27445069999999999</v>
      </c>
      <c r="U5815">
        <v>0.1624756</v>
      </c>
      <c r="V5815">
        <v>4.7765799999999997E-2</v>
      </c>
      <c r="W5815">
        <v>9.0564749999999999E-2</v>
      </c>
      <c r="X5815">
        <v>0.99474439999999997</v>
      </c>
      <c r="Y5815">
        <v>-5.3659909999999998E-2</v>
      </c>
      <c r="Z5815">
        <v>2.4648109999999999E-3</v>
      </c>
      <c r="AA5815">
        <v>0.99855629999999995</v>
      </c>
      <c r="AB5815">
        <v>29</v>
      </c>
      <c r="AC5815">
        <v>12.1999</v>
      </c>
      <c r="AD5815">
        <v>-1.1127546477750001</v>
      </c>
      <c r="AE5815">
        <v>0.65639999999999699</v>
      </c>
      <c r="AF5815">
        <v>-0.65808049006703895</v>
      </c>
      <c r="AG5815">
        <v>-1.1127546477750001</v>
      </c>
      <c r="AH5815">
        <v>12.0991479912873</v>
      </c>
      <c r="AI5815">
        <v>95.246979672364503</v>
      </c>
      <c r="AJ5815">
        <v>93.113286892619897</v>
      </c>
      <c r="AK5815">
        <v>12.168018530254701</v>
      </c>
      <c r="AL5815">
        <v>84.803902346702003</v>
      </c>
      <c r="AM5815">
        <v>87.250873477521296</v>
      </c>
      <c r="AN5815">
        <v>0.99999998346178098</v>
      </c>
    </row>
    <row r="5816" spans="1:40" x14ac:dyDescent="0.25">
      <c r="A5816" t="str">
        <f>"20190312164621333"</f>
        <v>20190312164621333</v>
      </c>
      <c r="B5816" t="str">
        <f>"1552380381327385"</f>
        <v>1552380381327385</v>
      </c>
      <c r="C5816" t="s">
        <v>40</v>
      </c>
      <c r="D5816">
        <v>5.1128650000000002</v>
      </c>
      <c r="E5816">
        <v>0.46732420000000002</v>
      </c>
      <c r="F5816" t="s">
        <v>89</v>
      </c>
      <c r="G5816">
        <v>-264.97820000000002</v>
      </c>
      <c r="H5816" s="1">
        <v>-1.5728790000000001E-6</v>
      </c>
      <c r="I5816">
        <v>-62.007100000000001</v>
      </c>
      <c r="J5816">
        <v>-277.19330000000002</v>
      </c>
      <c r="K5816">
        <v>1.1126670000000001</v>
      </c>
      <c r="L5816">
        <v>-62.674840000000003</v>
      </c>
      <c r="M5816">
        <v>0.99994859999999997</v>
      </c>
      <c r="N5816">
        <v>0</v>
      </c>
      <c r="O5816">
        <v>2.3573040000000002E-3</v>
      </c>
      <c r="P5816">
        <v>0.99567090000000003</v>
      </c>
      <c r="Q5816">
        <v>7.9660529999999993E-2</v>
      </c>
      <c r="R5816">
        <v>-4.7895170000000001E-2</v>
      </c>
      <c r="S5816">
        <v>3.0435789999999998</v>
      </c>
      <c r="T5816">
        <v>-0.27388190000000001</v>
      </c>
      <c r="U5816">
        <v>0.1650085</v>
      </c>
      <c r="V5816">
        <v>4.926672E-2</v>
      </c>
      <c r="W5816">
        <v>9.0021950000000003E-2</v>
      </c>
      <c r="X5816">
        <v>0.99472050000000001</v>
      </c>
      <c r="Y5816">
        <v>-5.1583379999999998E-2</v>
      </c>
      <c r="Z5816">
        <v>2.1029920000000001E-3</v>
      </c>
      <c r="AA5816">
        <v>0.99866650000000001</v>
      </c>
      <c r="AB5816">
        <v>29</v>
      </c>
      <c r="AC5816">
        <v>12.2151</v>
      </c>
      <c r="AD5816">
        <v>-1.112668572879</v>
      </c>
      <c r="AE5816">
        <v>0.667740000000002</v>
      </c>
      <c r="AF5816">
        <v>-0.633699699736473</v>
      </c>
      <c r="AG5816">
        <v>-1.112668572879</v>
      </c>
      <c r="AH5816">
        <v>12.116406086919</v>
      </c>
      <c r="AI5816">
        <v>95.239723854409604</v>
      </c>
      <c r="AJ5816">
        <v>92.993896575446897</v>
      </c>
      <c r="AK5816">
        <v>12.183878821034201</v>
      </c>
      <c r="AL5816">
        <v>84.835130229753403</v>
      </c>
      <c r="AM5816">
        <v>87.164559905941502</v>
      </c>
      <c r="AN5816">
        <v>1.0000000171507999</v>
      </c>
    </row>
    <row r="5817" spans="1:40" x14ac:dyDescent="0.25">
      <c r="A5817" t="str">
        <f>"20190312164621343"</f>
        <v>20190312164621343</v>
      </c>
      <c r="B5817" t="str">
        <f>"1552380381337145"</f>
        <v>1552380381337145</v>
      </c>
      <c r="C5817" t="s">
        <v>40</v>
      </c>
      <c r="D5817">
        <v>5.1528109999999998</v>
      </c>
      <c r="E5817">
        <v>0.46729670000000001</v>
      </c>
      <c r="F5817" t="s">
        <v>89</v>
      </c>
      <c r="G5817">
        <v>-264.79140000000001</v>
      </c>
      <c r="H5817" s="1">
        <v>-1.4877209999999999E-6</v>
      </c>
      <c r="I5817">
        <v>-61.988219999999998</v>
      </c>
      <c r="J5817">
        <v>-277.04410000000001</v>
      </c>
      <c r="K5817">
        <v>1.112582</v>
      </c>
      <c r="L5817">
        <v>-62.67163</v>
      </c>
      <c r="M5817">
        <v>0.99993810000000005</v>
      </c>
      <c r="N5817">
        <v>0</v>
      </c>
      <c r="O5817">
        <v>5.203989E-3</v>
      </c>
      <c r="P5817">
        <v>0.99575670000000005</v>
      </c>
      <c r="Q5817">
        <v>7.9367019999999996E-2</v>
      </c>
      <c r="R5817">
        <v>-4.6580339999999998E-2</v>
      </c>
      <c r="S5817">
        <v>3.0430299999999999</v>
      </c>
      <c r="T5817">
        <v>-0.2730149</v>
      </c>
      <c r="U5817">
        <v>0.168457</v>
      </c>
      <c r="V5817">
        <v>5.0807379999999999E-2</v>
      </c>
      <c r="W5817">
        <v>8.9705179999999995E-2</v>
      </c>
      <c r="X5817">
        <v>0.99467159999999999</v>
      </c>
      <c r="Y5817">
        <v>-4.9897700000000003E-2</v>
      </c>
      <c r="Z5817">
        <v>1.76657299999999E-3</v>
      </c>
      <c r="AA5817">
        <v>0.9987528</v>
      </c>
      <c r="AB5817">
        <v>29</v>
      </c>
      <c r="AC5817">
        <v>12.252700000000001</v>
      </c>
      <c r="AD5817">
        <v>-1.1125834877209999</v>
      </c>
      <c r="AE5817">
        <v>0.68341000000000895</v>
      </c>
      <c r="AF5817">
        <v>-0.61458309565531699</v>
      </c>
      <c r="AG5817">
        <v>-1.1125834877209999</v>
      </c>
      <c r="AH5817">
        <v>12.156171388021001</v>
      </c>
      <c r="AI5817">
        <v>95.222745941296907</v>
      </c>
      <c r="AJ5817">
        <v>92.894255139157707</v>
      </c>
      <c r="AK5817">
        <v>12.222440722439799</v>
      </c>
      <c r="AL5817">
        <v>84.853353457715599</v>
      </c>
      <c r="AM5817">
        <v>87.075898578721507</v>
      </c>
      <c r="AN5817">
        <v>1.00000000051392</v>
      </c>
    </row>
    <row r="5818" spans="1:40" x14ac:dyDescent="0.25">
      <c r="A5818" t="str">
        <f>"20190312164621354"</f>
        <v>20190312164621354</v>
      </c>
      <c r="B5818" t="str">
        <f>"1552380381346906"</f>
        <v>1552380381346906</v>
      </c>
      <c r="C5818" t="s">
        <v>40</v>
      </c>
      <c r="D5818">
        <v>4.9934770000000004</v>
      </c>
      <c r="E5818">
        <v>0.46722920000000001</v>
      </c>
      <c r="F5818" t="s">
        <v>42</v>
      </c>
      <c r="G5818">
        <v>-264.82679999999999</v>
      </c>
      <c r="H5818" s="1">
        <v>-1.499974E-6</v>
      </c>
      <c r="I5818">
        <v>-61.977229999999999</v>
      </c>
      <c r="J5818">
        <v>-276.90820000000002</v>
      </c>
      <c r="K5818">
        <v>1.1125039999999999</v>
      </c>
      <c r="L5818">
        <v>-62.668430000000001</v>
      </c>
      <c r="M5818">
        <v>0.99992199999999998</v>
      </c>
      <c r="N5818">
        <v>0</v>
      </c>
      <c r="O5818">
        <v>7.739096E-3</v>
      </c>
      <c r="P5818">
        <v>0.99582309999999996</v>
      </c>
      <c r="Q5818">
        <v>7.9019629999999993E-2</v>
      </c>
      <c r="R5818">
        <v>-4.5744649999999998E-2</v>
      </c>
      <c r="S5818">
        <v>3.0430299999999999</v>
      </c>
      <c r="T5818">
        <v>-0.2771187</v>
      </c>
      <c r="U5818">
        <v>0.17294309999999999</v>
      </c>
      <c r="V5818">
        <v>5.2515909999999999E-2</v>
      </c>
      <c r="W5818">
        <v>8.9339959999999996E-2</v>
      </c>
      <c r="X5818">
        <v>0.99461569999999999</v>
      </c>
      <c r="Y5818">
        <v>-4.8842759999999999E-2</v>
      </c>
      <c r="Z5818">
        <v>1.5148589999999999E-3</v>
      </c>
      <c r="AA5818">
        <v>0.99880530000000001</v>
      </c>
      <c r="AB5818">
        <v>29</v>
      </c>
      <c r="AC5818">
        <v>12.0814</v>
      </c>
      <c r="AD5818">
        <v>-1.1125054999740001</v>
      </c>
      <c r="AE5818">
        <v>0.69120000000000203</v>
      </c>
      <c r="AF5818">
        <v>-0.59266657577627702</v>
      </c>
      <c r="AG5818">
        <v>-1.1125054999740001</v>
      </c>
      <c r="AH5818">
        <v>11.9850917597549</v>
      </c>
      <c r="AI5818">
        <v>95.296797866443001</v>
      </c>
      <c r="AJ5818">
        <v>92.830988339376006</v>
      </c>
      <c r="AK5818">
        <v>12.0511968968754</v>
      </c>
      <c r="AL5818">
        <v>84.874363224625597</v>
      </c>
      <c r="AM5818">
        <v>86.977577873521895</v>
      </c>
      <c r="AN5818">
        <v>0.99999996997120899</v>
      </c>
    </row>
    <row r="5819" spans="1:40" x14ac:dyDescent="0.25">
      <c r="A5819" t="str">
        <f>"20190312164621365"</f>
        <v>20190312164621365</v>
      </c>
      <c r="B5819" t="str">
        <f>"1552380381357643"</f>
        <v>1552380381357643</v>
      </c>
      <c r="C5819" t="s">
        <v>40</v>
      </c>
      <c r="D5819">
        <v>5.1546949999999896</v>
      </c>
      <c r="E5819">
        <v>0.46738590000000002</v>
      </c>
      <c r="F5819" t="s">
        <v>89</v>
      </c>
      <c r="G5819">
        <v>-264.86689999999999</v>
      </c>
      <c r="H5819" s="1">
        <v>-1.5155109999999901E-6</v>
      </c>
      <c r="I5819">
        <v>-61.970959999999998</v>
      </c>
      <c r="J5819">
        <v>-276.76909999999998</v>
      </c>
      <c r="K5819">
        <v>1.1124289999999999</v>
      </c>
      <c r="L5819">
        <v>-62.66489</v>
      </c>
      <c r="M5819">
        <v>0.99989910000000004</v>
      </c>
      <c r="N5819">
        <v>0</v>
      </c>
      <c r="O5819">
        <v>1.0291410000000001E-2</v>
      </c>
      <c r="P5819">
        <v>0.9959327</v>
      </c>
      <c r="Q5819">
        <v>7.8271599999999997E-2</v>
      </c>
      <c r="R5819">
        <v>-4.4628130000000002E-2</v>
      </c>
      <c r="S5819">
        <v>3.0429689999999998</v>
      </c>
      <c r="T5819">
        <v>-0.28114299999999998</v>
      </c>
      <c r="U5819">
        <v>0.17623900000000001</v>
      </c>
      <c r="V5819">
        <v>5.3966050000000002E-2</v>
      </c>
      <c r="W5819">
        <v>8.8571499999999997E-2</v>
      </c>
      <c r="X5819">
        <v>0.99460689999999996</v>
      </c>
      <c r="Y5819">
        <v>-4.7384719999999998E-2</v>
      </c>
      <c r="Z5819">
        <v>1.234506E-3</v>
      </c>
      <c r="AA5819">
        <v>0.99887599999999999</v>
      </c>
      <c r="AB5819">
        <v>29</v>
      </c>
      <c r="AC5819">
        <v>11.902199999999899</v>
      </c>
      <c r="AD5819">
        <v>-1.1124305155109999</v>
      </c>
      <c r="AE5819">
        <v>0.69393000000000105</v>
      </c>
      <c r="AF5819">
        <v>-0.56646532041256603</v>
      </c>
      <c r="AG5819">
        <v>-1.1124305155109999</v>
      </c>
      <c r="AH5819">
        <v>11.8059293266934</v>
      </c>
      <c r="AI5819">
        <v>95.376733831348304</v>
      </c>
      <c r="AJ5819">
        <v>92.747026394543596</v>
      </c>
      <c r="AK5819">
        <v>11.8717459490148</v>
      </c>
      <c r="AL5819">
        <v>84.918568473932694</v>
      </c>
      <c r="AM5819">
        <v>86.894252455062798</v>
      </c>
      <c r="AN5819">
        <v>1.00000006534622</v>
      </c>
    </row>
    <row r="5820" spans="1:40" x14ac:dyDescent="0.25">
      <c r="A5820" t="str">
        <f>"20190312164621376"</f>
        <v>20190312164621376</v>
      </c>
      <c r="B5820" t="str">
        <f>"1552380381367402"</f>
        <v>1552380381367402</v>
      </c>
      <c r="C5820" t="s">
        <v>40</v>
      </c>
      <c r="D5820">
        <v>5.2304709999999996</v>
      </c>
      <c r="E5820">
        <v>0.46743469999999998</v>
      </c>
      <c r="F5820" t="s">
        <v>89</v>
      </c>
      <c r="G5820">
        <v>-264.81619999999998</v>
      </c>
      <c r="H5820" s="1">
        <v>-1.492251E-6</v>
      </c>
      <c r="I5820">
        <v>-61.965350000000001</v>
      </c>
      <c r="J5820">
        <v>-276.62560000000002</v>
      </c>
      <c r="K5820">
        <v>1.1123449999999999</v>
      </c>
      <c r="L5820">
        <v>-62.660829999999997</v>
      </c>
      <c r="M5820">
        <v>0.99986989999999998</v>
      </c>
      <c r="N5820">
        <v>0</v>
      </c>
      <c r="O5820">
        <v>1.284312E-2</v>
      </c>
      <c r="P5820">
        <v>0.99605569999999999</v>
      </c>
      <c r="Q5820">
        <v>7.7306390000000003E-2</v>
      </c>
      <c r="R5820">
        <v>-4.355697E-2</v>
      </c>
      <c r="S5820">
        <v>3.0424799999999999</v>
      </c>
      <c r="T5820">
        <v>-0.28315649999999998</v>
      </c>
      <c r="U5820">
        <v>0.17803959999999999</v>
      </c>
      <c r="V5820">
        <v>5.5464010000000001E-2</v>
      </c>
      <c r="W5820">
        <v>8.7582599999999997E-2</v>
      </c>
      <c r="X5820">
        <v>0.99461200000000005</v>
      </c>
      <c r="Y5820">
        <v>-4.5450940000000002E-2</v>
      </c>
      <c r="Z5820">
        <v>9.1704380000000004E-4</v>
      </c>
      <c r="AA5820">
        <v>0.99896620000000003</v>
      </c>
      <c r="AB5820">
        <v>29</v>
      </c>
      <c r="AC5820">
        <v>11.8094</v>
      </c>
      <c r="AD5820">
        <v>-1.112346492251</v>
      </c>
      <c r="AE5820">
        <v>0.69548000000000298</v>
      </c>
      <c r="AF5820">
        <v>-0.53898052924319895</v>
      </c>
      <c r="AG5820">
        <v>-1.112346492251</v>
      </c>
      <c r="AH5820">
        <v>11.713792189452899</v>
      </c>
      <c r="AI5820">
        <v>95.418865303366999</v>
      </c>
      <c r="AJ5820">
        <v>92.634462288466906</v>
      </c>
      <c r="AK5820">
        <v>11.7788260105756</v>
      </c>
      <c r="AL5820">
        <v>84.975448994730201</v>
      </c>
      <c r="AM5820">
        <v>86.808236992419097</v>
      </c>
      <c r="AN5820">
        <v>0.99999999938602002</v>
      </c>
    </row>
    <row r="5821" spans="1:40" x14ac:dyDescent="0.25">
      <c r="A5821" t="str">
        <f>"20190312164621387"</f>
        <v>20190312164621387</v>
      </c>
      <c r="B5821" t="str">
        <f>"1552380381377162"</f>
        <v>1552380381377162</v>
      </c>
      <c r="C5821" t="s">
        <v>40</v>
      </c>
      <c r="D5821">
        <v>5.1170629999999999</v>
      </c>
      <c r="E5821">
        <v>0.46751019999999999</v>
      </c>
      <c r="F5821" t="s">
        <v>89</v>
      </c>
      <c r="G5821">
        <v>-264.69189999999998</v>
      </c>
      <c r="H5821" s="1">
        <v>-1.4358310000000001E-6</v>
      </c>
      <c r="I5821">
        <v>-61.953749999999999</v>
      </c>
      <c r="J5821">
        <v>-276.48079999999999</v>
      </c>
      <c r="K5821">
        <v>1.1122620000000001</v>
      </c>
      <c r="L5821">
        <v>-62.656590000000001</v>
      </c>
      <c r="M5821">
        <v>0.99983429999999995</v>
      </c>
      <c r="N5821">
        <v>0</v>
      </c>
      <c r="O5821">
        <v>1.538551E-2</v>
      </c>
      <c r="P5821">
        <v>0.99618890000000004</v>
      </c>
      <c r="Q5821">
        <v>7.6151559999999993E-2</v>
      </c>
      <c r="R5821">
        <v>-4.2529150000000002E-2</v>
      </c>
      <c r="S5821">
        <v>3.0417480000000001</v>
      </c>
      <c r="T5821">
        <v>-0.28352129999999998</v>
      </c>
      <c r="U5821">
        <v>0.18020630000000001</v>
      </c>
      <c r="V5821">
        <v>5.6998760000000002E-2</v>
      </c>
      <c r="W5821">
        <v>8.6403569999999999E-2</v>
      </c>
      <c r="X5821">
        <v>0.99462839999999997</v>
      </c>
      <c r="Y5821">
        <v>-4.3652240000000002E-2</v>
      </c>
      <c r="Z5821">
        <v>5.9864719999999996E-4</v>
      </c>
      <c r="AA5821">
        <v>0.99904660000000001</v>
      </c>
      <c r="AB5821">
        <v>29</v>
      </c>
      <c r="AC5821">
        <v>11.7889</v>
      </c>
      <c r="AD5821">
        <v>-1.112263435831</v>
      </c>
      <c r="AE5821">
        <v>0.70284000000000102</v>
      </c>
      <c r="AF5821">
        <v>-0.51678604058004296</v>
      </c>
      <c r="AG5821">
        <v>-1.112263435831</v>
      </c>
      <c r="AH5821">
        <v>11.694586561292001</v>
      </c>
      <c r="AI5821">
        <v>95.427751075877396</v>
      </c>
      <c r="AJ5821">
        <v>92.530265416638898</v>
      </c>
      <c r="AK5821">
        <v>11.758722405175501</v>
      </c>
      <c r="AL5821">
        <v>85.043259742910095</v>
      </c>
      <c r="AM5821">
        <v>86.720161605521099</v>
      </c>
      <c r="AN5821">
        <v>1.0000000448184201</v>
      </c>
    </row>
    <row r="5822" spans="1:40" x14ac:dyDescent="0.25">
      <c r="A5822" t="str">
        <f>"20190312164621399"</f>
        <v>20190312164621399</v>
      </c>
      <c r="B5822" t="str">
        <f>"1552380381396681"</f>
        <v>1552380381396681</v>
      </c>
      <c r="C5822" t="s">
        <v>40</v>
      </c>
      <c r="D5822">
        <v>5.0943329999999998</v>
      </c>
      <c r="E5822">
        <v>0.46734619999999999</v>
      </c>
      <c r="F5822" t="s">
        <v>42</v>
      </c>
      <c r="G5822">
        <v>-264.71249999999998</v>
      </c>
      <c r="H5822" s="1">
        <v>-1.44350599999999E-6</v>
      </c>
      <c r="I5822">
        <v>-61.949289999999998</v>
      </c>
      <c r="J5822">
        <v>-276.339</v>
      </c>
      <c r="K5822">
        <v>1.1121730000000001</v>
      </c>
      <c r="L5822">
        <v>-62.651919999999997</v>
      </c>
      <c r="M5822">
        <v>0.99979510000000005</v>
      </c>
      <c r="N5822">
        <v>0</v>
      </c>
      <c r="O5822">
        <v>1.776689E-2</v>
      </c>
      <c r="P5822">
        <v>0.99626029999999999</v>
      </c>
      <c r="Q5822">
        <v>7.5522420000000007E-2</v>
      </c>
      <c r="R5822">
        <v>-4.1971830000000002E-2</v>
      </c>
      <c r="S5822">
        <v>3.04129</v>
      </c>
      <c r="T5822">
        <v>-0.2874429</v>
      </c>
      <c r="U5822">
        <v>0.18276980000000001</v>
      </c>
      <c r="V5822">
        <v>5.8837960000000002E-2</v>
      </c>
      <c r="W5822">
        <v>8.5751770000000005E-2</v>
      </c>
      <c r="X5822">
        <v>0.99457759999999995</v>
      </c>
      <c r="Y5822">
        <v>-4.2134539999999998E-2</v>
      </c>
      <c r="Z5822">
        <v>3.1116869999999998E-4</v>
      </c>
      <c r="AA5822">
        <v>0.99911190000000005</v>
      </c>
      <c r="AB5822">
        <v>29</v>
      </c>
      <c r="AC5822">
        <v>11.6265</v>
      </c>
      <c r="AD5822">
        <v>-1.1121744435059999</v>
      </c>
      <c r="AE5822">
        <v>0.70262999999999198</v>
      </c>
      <c r="AF5822">
        <v>-0.49146183026192802</v>
      </c>
      <c r="AG5822">
        <v>-1.1121744435059999</v>
      </c>
      <c r="AH5822">
        <v>11.532008416601601</v>
      </c>
      <c r="AI5822">
        <v>95.503739920594498</v>
      </c>
      <c r="AJ5822">
        <v>92.440308634552906</v>
      </c>
      <c r="AK5822">
        <v>11.595933978941201</v>
      </c>
      <c r="AL5822">
        <v>85.080743725758197</v>
      </c>
      <c r="AM5822">
        <v>86.614399654526693</v>
      </c>
      <c r="AN5822">
        <v>0.99999993700842504</v>
      </c>
    </row>
    <row r="5823" spans="1:40" x14ac:dyDescent="0.25">
      <c r="A5823" t="str">
        <f>"20190312164621410"</f>
        <v>20190312164621410</v>
      </c>
      <c r="B5823" t="str">
        <f>"1552380381407418"</f>
        <v>1552380381407418</v>
      </c>
      <c r="C5823" t="s">
        <v>40</v>
      </c>
      <c r="D5823">
        <v>5.0554730000000001</v>
      </c>
      <c r="E5823">
        <v>0.46735130000000003</v>
      </c>
      <c r="F5823" t="s">
        <v>41</v>
      </c>
      <c r="G5823">
        <v>-275.48059999999998</v>
      </c>
      <c r="H5823">
        <v>1.0303960000000001</v>
      </c>
      <c r="I5823">
        <v>-62.599559999999997</v>
      </c>
      <c r="J5823">
        <v>-276.19189999999998</v>
      </c>
      <c r="K5823">
        <v>1.1120779999999999</v>
      </c>
      <c r="L5823">
        <v>-62.646970000000003</v>
      </c>
      <c r="M5823">
        <v>0.999749</v>
      </c>
      <c r="N5823">
        <v>0</v>
      </c>
      <c r="O5823">
        <v>2.0210289999999999E-2</v>
      </c>
      <c r="P5823">
        <v>0.99634489999999998</v>
      </c>
      <c r="Q5823">
        <v>7.4945579999999998E-2</v>
      </c>
      <c r="R5823">
        <v>-4.0991090000000001E-2</v>
      </c>
      <c r="S5823">
        <v>3.0410159999999999</v>
      </c>
      <c r="T5823">
        <v>-0.28980400000000001</v>
      </c>
      <c r="U5823">
        <v>0.18585209999999999</v>
      </c>
      <c r="V5823">
        <v>6.0315779999999999E-2</v>
      </c>
      <c r="W5823">
        <v>8.5147459999999994E-2</v>
      </c>
      <c r="X5823">
        <v>0.99454100000000001</v>
      </c>
      <c r="Y5823">
        <v>-4.0722689999999999E-2</v>
      </c>
      <c r="Z5823" s="1">
        <v>1.4653660000000001E-5</v>
      </c>
      <c r="AA5823">
        <v>0.99917049999999996</v>
      </c>
      <c r="AB5823">
        <v>29</v>
      </c>
      <c r="AC5823">
        <v>0.71129999999999405</v>
      </c>
      <c r="AD5823">
        <v>-8.1682000000000199E-2</v>
      </c>
      <c r="AE5823">
        <v>4.7409999999999203E-2</v>
      </c>
      <c r="AF5823">
        <v>-3.2596119470140503E-2</v>
      </c>
      <c r="AG5823">
        <v>-8.1682000000000199E-2</v>
      </c>
      <c r="AH5823">
        <v>0.70288494748337105</v>
      </c>
      <c r="AI5823">
        <v>96.621536001972203</v>
      </c>
      <c r="AJ5823">
        <v>92.655175587240095</v>
      </c>
      <c r="AK5823">
        <v>0.70836551689591298</v>
      </c>
      <c r="AL5823">
        <v>85.115495269240697</v>
      </c>
      <c r="AM5823">
        <v>86.5294421732779</v>
      </c>
      <c r="AN5823">
        <v>0.99999994197122799</v>
      </c>
    </row>
    <row r="5824" spans="1:40" x14ac:dyDescent="0.25">
      <c r="A5824" t="str">
        <f>"20190312164621422"</f>
        <v>20190312164621422</v>
      </c>
      <c r="B5824" t="str">
        <f>"1552380381417178"</f>
        <v>1552380381417178</v>
      </c>
      <c r="C5824" t="s">
        <v>40</v>
      </c>
      <c r="D5824">
        <v>5.0410519999999996</v>
      </c>
      <c r="E5824">
        <v>0.4673561</v>
      </c>
      <c r="F5824" t="s">
        <v>41</v>
      </c>
      <c r="G5824">
        <v>-275.23630000000003</v>
      </c>
      <c r="H5824">
        <v>1.0202260000000001</v>
      </c>
      <c r="I5824">
        <v>-62.587730000000001</v>
      </c>
      <c r="J5824">
        <v>-276.03429999999997</v>
      </c>
      <c r="K5824">
        <v>1.111977</v>
      </c>
      <c r="L5824">
        <v>-62.641199999999998</v>
      </c>
      <c r="M5824">
        <v>0.99969549999999996</v>
      </c>
      <c r="N5824">
        <v>0</v>
      </c>
      <c r="O5824">
        <v>2.271171E-2</v>
      </c>
      <c r="P5824">
        <v>0.99640790000000001</v>
      </c>
      <c r="Q5824">
        <v>7.4466539999999998E-2</v>
      </c>
      <c r="R5824">
        <v>-4.0324989999999998E-2</v>
      </c>
      <c r="S5824">
        <v>3.0407709999999999</v>
      </c>
      <c r="T5824">
        <v>-0.29240739999999998</v>
      </c>
      <c r="U5824">
        <v>0.1890869</v>
      </c>
      <c r="V5824">
        <v>6.2167159999999999E-2</v>
      </c>
      <c r="W5824">
        <v>8.4641460000000002E-2</v>
      </c>
      <c r="X5824">
        <v>0.99447019999999997</v>
      </c>
      <c r="Y5824">
        <v>-3.9302770000000001E-2</v>
      </c>
      <c r="Z5824">
        <v>-2.9290700000000002E-4</v>
      </c>
      <c r="AA5824">
        <v>0.99922730000000004</v>
      </c>
      <c r="AB5824">
        <v>29</v>
      </c>
      <c r="AC5824">
        <v>0.79799999999994498</v>
      </c>
      <c r="AD5824">
        <v>-9.1750999999999902E-2</v>
      </c>
      <c r="AE5824">
        <v>5.3469999999990102E-2</v>
      </c>
      <c r="AF5824">
        <v>-3.4872481127528498E-2</v>
      </c>
      <c r="AG5824">
        <v>-9.1750999999999902E-2</v>
      </c>
      <c r="AH5824">
        <v>0.78862987818362795</v>
      </c>
      <c r="AI5824">
        <v>96.629667427643696</v>
      </c>
      <c r="AJ5824">
        <v>92.531916800767704</v>
      </c>
      <c r="AK5824">
        <v>0.79471467880297397</v>
      </c>
      <c r="AL5824">
        <v>85.144592042664996</v>
      </c>
      <c r="AM5824">
        <v>86.422932609322601</v>
      </c>
      <c r="AN5824">
        <v>0.99999995561071697</v>
      </c>
    </row>
    <row r="5825" spans="1:40" x14ac:dyDescent="0.25">
      <c r="A5825" t="str">
        <f>"20190312164621433"</f>
        <v>20190312164621433</v>
      </c>
      <c r="B5825" t="str">
        <f>"1552380381426938"</f>
        <v>1552380381426938</v>
      </c>
      <c r="C5825" t="s">
        <v>40</v>
      </c>
      <c r="D5825">
        <v>5.0563510000000003</v>
      </c>
      <c r="E5825">
        <v>0.46735939999999998</v>
      </c>
      <c r="F5825" t="s">
        <v>42</v>
      </c>
      <c r="G5825">
        <v>-264.57679999999999</v>
      </c>
      <c r="H5825" s="1">
        <v>-1.3774590000000001E-6</v>
      </c>
      <c r="I5825">
        <v>-61.92</v>
      </c>
      <c r="J5825">
        <v>-275.88679999999999</v>
      </c>
      <c r="K5825">
        <v>1.111883</v>
      </c>
      <c r="L5825">
        <v>-62.635559999999998</v>
      </c>
      <c r="M5825">
        <v>0.999641</v>
      </c>
      <c r="N5825">
        <v>0</v>
      </c>
      <c r="O5825">
        <v>2.5004559999999999E-2</v>
      </c>
      <c r="P5825">
        <v>0.9964229</v>
      </c>
      <c r="Q5825">
        <v>7.4445800000000006E-2</v>
      </c>
      <c r="R5825">
        <v>-3.9990530000000003E-2</v>
      </c>
      <c r="S5825">
        <v>3.040619</v>
      </c>
      <c r="T5825">
        <v>-0.295097099999999</v>
      </c>
      <c r="U5825">
        <v>0.19137570000000001</v>
      </c>
      <c r="V5825">
        <v>6.4135449999999997E-2</v>
      </c>
      <c r="W5825">
        <v>8.4596790000000005E-2</v>
      </c>
      <c r="X5825">
        <v>0.99434909999999999</v>
      </c>
      <c r="Y5825">
        <v>-3.7779689999999998E-2</v>
      </c>
      <c r="Z5825">
        <v>-5.9092059999999997E-4</v>
      </c>
      <c r="AA5825">
        <v>0.99928589999999995</v>
      </c>
      <c r="AB5825">
        <v>29</v>
      </c>
      <c r="AC5825">
        <v>11.31</v>
      </c>
      <c r="AD5825">
        <v>-1.1118843774589999</v>
      </c>
      <c r="AE5825">
        <v>0.71555999999999598</v>
      </c>
      <c r="AF5825">
        <v>-0.42839769384697901</v>
      </c>
      <c r="AG5825">
        <v>-1.1118843774589999</v>
      </c>
      <c r="AH5825">
        <v>11.2163843363104</v>
      </c>
      <c r="AI5825">
        <v>95.657158370410599</v>
      </c>
      <c r="AJ5825">
        <v>92.187287285324999</v>
      </c>
      <c r="AK5825">
        <v>11.279498616195699</v>
      </c>
      <c r="AL5825">
        <v>85.147161130444999</v>
      </c>
      <c r="AM5825">
        <v>86.3095381511759</v>
      </c>
      <c r="AN5825">
        <v>1.0000000527479</v>
      </c>
    </row>
    <row r="5826" spans="1:40" x14ac:dyDescent="0.25">
      <c r="A5826" t="str">
        <f>"20190312164621444"</f>
        <v>20190312164621444</v>
      </c>
      <c r="B5826" t="str">
        <f>"1552380381436698"</f>
        <v>1552380381436698</v>
      </c>
      <c r="C5826" t="s">
        <v>40</v>
      </c>
      <c r="D5826">
        <v>5.0609710000000003</v>
      </c>
      <c r="E5826">
        <v>0.46743370000000001</v>
      </c>
      <c r="F5826" t="s">
        <v>41</v>
      </c>
      <c r="G5826">
        <v>-274.97469999999998</v>
      </c>
      <c r="H5826">
        <v>1.0231460000000001</v>
      </c>
      <c r="I5826">
        <v>-62.57799</v>
      </c>
      <c r="J5826">
        <v>-275.74599999999998</v>
      </c>
      <c r="K5826">
        <v>1.1117939999999999</v>
      </c>
      <c r="L5826">
        <v>-62.629939999999998</v>
      </c>
      <c r="M5826">
        <v>0.99958590000000003</v>
      </c>
      <c r="N5826">
        <v>0</v>
      </c>
      <c r="O5826">
        <v>2.7131269999999999E-2</v>
      </c>
      <c r="P5826">
        <v>0.99641040000000003</v>
      </c>
      <c r="Q5826">
        <v>7.4794070000000004E-2</v>
      </c>
      <c r="R5826">
        <v>-3.9650150000000002E-2</v>
      </c>
      <c r="S5826">
        <v>3.040619</v>
      </c>
      <c r="T5826">
        <v>-0.29585899999999998</v>
      </c>
      <c r="U5826">
        <v>0.19226070000000001</v>
      </c>
      <c r="V5826">
        <v>6.5927479999999997E-2</v>
      </c>
      <c r="W5826">
        <v>8.4922250000000005E-2</v>
      </c>
      <c r="X5826">
        <v>0.99420410000000004</v>
      </c>
      <c r="Y5826">
        <v>-3.5961559999999997E-2</v>
      </c>
      <c r="Z5826">
        <v>-8.8670160000000004E-4</v>
      </c>
      <c r="AA5826">
        <v>0.99935280000000004</v>
      </c>
      <c r="AB5826">
        <v>29</v>
      </c>
      <c r="AC5826">
        <v>0.77129999999999599</v>
      </c>
      <c r="AD5826">
        <v>-8.8648000000000005E-2</v>
      </c>
      <c r="AE5826">
        <v>5.1950000000004999E-2</v>
      </c>
      <c r="AF5826">
        <v>-3.06011589617038E-2</v>
      </c>
      <c r="AG5826">
        <v>-8.8648000000000005E-2</v>
      </c>
      <c r="AH5826">
        <v>0.76240002260700901</v>
      </c>
      <c r="AI5826">
        <v>96.626991350860095</v>
      </c>
      <c r="AJ5826">
        <v>92.298500198382598</v>
      </c>
      <c r="AK5826">
        <v>0.76814627077462705</v>
      </c>
      <c r="AL5826">
        <v>85.128446076129705</v>
      </c>
      <c r="AM5826">
        <v>86.206167087470504</v>
      </c>
      <c r="AN5826">
        <v>1.0000000068105099</v>
      </c>
    </row>
    <row r="5827" spans="1:40" x14ac:dyDescent="0.25">
      <c r="A5827" t="str">
        <f>"20190312164621457"</f>
        <v>20190312164621457</v>
      </c>
      <c r="B5827" t="str">
        <f>"1552380381447434"</f>
        <v>1552380381447434</v>
      </c>
      <c r="C5827" t="s">
        <v>40</v>
      </c>
      <c r="D5827">
        <v>5.0531940000000004</v>
      </c>
      <c r="E5827">
        <v>0.46767069999999999</v>
      </c>
      <c r="F5827" t="s">
        <v>42</v>
      </c>
      <c r="G5827">
        <v>-264.33969999999999</v>
      </c>
      <c r="H5827" s="1">
        <v>-1.272303E-6</v>
      </c>
      <c r="I5827">
        <v>-61.906950000000002</v>
      </c>
      <c r="J5827">
        <v>-275.59410000000003</v>
      </c>
      <c r="K5827">
        <v>1.1116999999999999</v>
      </c>
      <c r="L5827">
        <v>-62.623570000000001</v>
      </c>
      <c r="M5827">
        <v>0.9995233</v>
      </c>
      <c r="N5827">
        <v>0</v>
      </c>
      <c r="O5827">
        <v>2.9352550000000002E-2</v>
      </c>
      <c r="P5827">
        <v>0.99637100000000001</v>
      </c>
      <c r="Q5827">
        <v>7.5411510000000001E-2</v>
      </c>
      <c r="R5827">
        <v>-3.9470409999999997E-2</v>
      </c>
      <c r="S5827">
        <v>3.0407099999999998</v>
      </c>
      <c r="T5827">
        <v>-0.29638360000000002</v>
      </c>
      <c r="U5827">
        <v>0.19271849999999999</v>
      </c>
      <c r="V5827">
        <v>6.7971970000000007E-2</v>
      </c>
      <c r="W5827">
        <v>8.5515659999999993E-2</v>
      </c>
      <c r="X5827">
        <v>0.99401550000000005</v>
      </c>
      <c r="Y5827">
        <v>-3.3908639999999997E-2</v>
      </c>
      <c r="Z5827">
        <v>-1.2035839999999999E-3</v>
      </c>
      <c r="AA5827">
        <v>0.99942419999999998</v>
      </c>
      <c r="AB5827">
        <v>29</v>
      </c>
      <c r="AC5827">
        <v>11.2544</v>
      </c>
      <c r="AD5827">
        <v>-1.111701272303</v>
      </c>
      <c r="AE5827">
        <v>0.71661999999999104</v>
      </c>
      <c r="AF5827">
        <v>-0.38223617710351798</v>
      </c>
      <c r="AG5827">
        <v>-1.111701272303</v>
      </c>
      <c r="AH5827">
        <v>11.162113107146601</v>
      </c>
      <c r="AI5827">
        <v>95.684361056822695</v>
      </c>
      <c r="AJ5827">
        <v>91.961274262240906</v>
      </c>
      <c r="AK5827">
        <v>11.223847523494801</v>
      </c>
      <c r="AL5827">
        <v>85.094321849574797</v>
      </c>
      <c r="AM5827">
        <v>86.088135690811995</v>
      </c>
      <c r="AN5827">
        <v>0.99999996552558201</v>
      </c>
    </row>
    <row r="5828" spans="1:40" x14ac:dyDescent="0.25">
      <c r="A5828" t="str">
        <f>"20190312164621466"</f>
        <v>20190312164621466</v>
      </c>
      <c r="B5828" t="str">
        <f>"1552380381457194"</f>
        <v>1552380381457194</v>
      </c>
      <c r="C5828" t="s">
        <v>40</v>
      </c>
      <c r="D5828">
        <v>5.0374800000000004</v>
      </c>
      <c r="E5828">
        <v>0.46763549999999998</v>
      </c>
      <c r="F5828" t="s">
        <v>41</v>
      </c>
      <c r="G5828">
        <v>-274.71260000000001</v>
      </c>
      <c r="H5828">
        <v>1.0261579999999999</v>
      </c>
      <c r="I5828">
        <v>-62.568309999999997</v>
      </c>
      <c r="J5828">
        <v>-275.45069999999998</v>
      </c>
      <c r="K5828">
        <v>1.1116090000000001</v>
      </c>
      <c r="L5828">
        <v>-62.617370000000001</v>
      </c>
      <c r="M5828">
        <v>0.99946109999999999</v>
      </c>
      <c r="N5828">
        <v>0</v>
      </c>
      <c r="O5828">
        <v>3.1410250000000001E-2</v>
      </c>
      <c r="P5828">
        <v>0.99637189999999998</v>
      </c>
      <c r="Q5828">
        <v>7.5489979999999998E-2</v>
      </c>
      <c r="R5828">
        <v>-3.9300839999999997E-2</v>
      </c>
      <c r="S5828">
        <v>3.0408940000000002</v>
      </c>
      <c r="T5828">
        <v>-0.29522789999999999</v>
      </c>
      <c r="U5828">
        <v>0.19134519999999999</v>
      </c>
      <c r="V5828">
        <v>6.9868189999999997E-2</v>
      </c>
      <c r="W5828">
        <v>8.5571739999999993E-2</v>
      </c>
      <c r="X5828">
        <v>0.99387919999999996</v>
      </c>
      <c r="Y5828">
        <v>-3.141907E-2</v>
      </c>
      <c r="Z5828">
        <v>-1.5182660000000001E-3</v>
      </c>
      <c r="AA5828">
        <v>0.99950519999999998</v>
      </c>
      <c r="AB5828">
        <v>29</v>
      </c>
      <c r="AC5828">
        <v>0.738099999999974</v>
      </c>
      <c r="AD5828">
        <v>-8.5451000000000096E-2</v>
      </c>
      <c r="AE5828">
        <v>4.9059999999997203E-2</v>
      </c>
      <c r="AF5828">
        <v>-2.5510417409327201E-2</v>
      </c>
      <c r="AG5828">
        <v>-8.5451000000000096E-2</v>
      </c>
      <c r="AH5828">
        <v>0.72954174713647701</v>
      </c>
      <c r="AI5828">
        <v>96.676553058936705</v>
      </c>
      <c r="AJ5828">
        <v>92.002687245357905</v>
      </c>
      <c r="AK5828">
        <v>0.73497198287577103</v>
      </c>
      <c r="AL5828">
        <v>85.091096929487094</v>
      </c>
      <c r="AM5828">
        <v>85.978809564007307</v>
      </c>
      <c r="AN5828">
        <v>0.99999997542657104</v>
      </c>
    </row>
    <row r="5829" spans="1:40" x14ac:dyDescent="0.25">
      <c r="A5829" t="str">
        <f>"20190312164621478"</f>
        <v>20190312164621478</v>
      </c>
      <c r="B5829" t="str">
        <f>"1552380381466954"</f>
        <v>1552380381466954</v>
      </c>
      <c r="C5829" t="s">
        <v>40</v>
      </c>
      <c r="D5829">
        <v>5.0837629999999896</v>
      </c>
      <c r="E5829">
        <v>0.46800849999999999</v>
      </c>
      <c r="F5829" t="s">
        <v>42</v>
      </c>
      <c r="G5829">
        <v>-264.02409999999998</v>
      </c>
      <c r="H5829" s="1">
        <v>-1.1339709999999999E-6</v>
      </c>
      <c r="I5829">
        <v>-61.895899999999997</v>
      </c>
      <c r="J5829">
        <v>-275.30619999999999</v>
      </c>
      <c r="K5829">
        <v>1.1115219999999999</v>
      </c>
      <c r="L5829">
        <v>-62.610750000000003</v>
      </c>
      <c r="M5829">
        <v>0.99939719999999999</v>
      </c>
      <c r="N5829">
        <v>0</v>
      </c>
      <c r="O5829">
        <v>3.3385680000000001E-2</v>
      </c>
      <c r="P5829">
        <v>0.99633430000000001</v>
      </c>
      <c r="Q5829">
        <v>7.60377E-2</v>
      </c>
      <c r="R5829">
        <v>-3.9201850000000003E-2</v>
      </c>
      <c r="S5829">
        <v>3.040924</v>
      </c>
      <c r="T5829">
        <v>-0.29582849999999999</v>
      </c>
      <c r="U5829">
        <v>0.19198609999999999</v>
      </c>
      <c r="V5829">
        <v>7.1747870000000005E-2</v>
      </c>
      <c r="W5829">
        <v>8.6097140000000003E-2</v>
      </c>
      <c r="X5829">
        <v>0.99369989999999997</v>
      </c>
      <c r="Y5829">
        <v>-2.9670120000000001E-2</v>
      </c>
      <c r="Z5829">
        <v>-1.7974670000000001E-3</v>
      </c>
      <c r="AA5829">
        <v>0.99955819999999995</v>
      </c>
      <c r="AB5829">
        <v>29</v>
      </c>
      <c r="AC5829">
        <v>11.2821</v>
      </c>
      <c r="AD5829">
        <v>-1.1115231339710001</v>
      </c>
      <c r="AE5829">
        <v>0.71485000000000498</v>
      </c>
      <c r="AF5829">
        <v>-0.33453963180778601</v>
      </c>
      <c r="AG5829">
        <v>-1.1115231339710001</v>
      </c>
      <c r="AH5829">
        <v>11.191482600675</v>
      </c>
      <c r="AI5829">
        <v>95.669423653454899</v>
      </c>
      <c r="AJ5829">
        <v>91.712195212129501</v>
      </c>
      <c r="AK5829">
        <v>11.251519152710699</v>
      </c>
      <c r="AL5829">
        <v>85.060882252409598</v>
      </c>
      <c r="AM5829">
        <v>85.870253394485204</v>
      </c>
      <c r="AN5829">
        <v>0.99999998281286295</v>
      </c>
    </row>
    <row r="5830" spans="1:40" x14ac:dyDescent="0.25">
      <c r="A5830" t="str">
        <f>"20190312164621490"</f>
        <v>20190312164621490</v>
      </c>
      <c r="B5830" t="str">
        <f>"1552380381487450"</f>
        <v>1552380381487450</v>
      </c>
      <c r="C5830" t="s">
        <v>40</v>
      </c>
      <c r="D5830">
        <v>5.3523389999999997</v>
      </c>
      <c r="E5830">
        <v>0.46898879999999998</v>
      </c>
      <c r="F5830" t="s">
        <v>41</v>
      </c>
      <c r="G5830">
        <v>-274.4502</v>
      </c>
      <c r="H5830">
        <v>1.0288090000000001</v>
      </c>
      <c r="I5830">
        <v>-62.557690000000001</v>
      </c>
      <c r="J5830">
        <v>-275.15410000000003</v>
      </c>
      <c r="K5830">
        <v>1.1114280000000001</v>
      </c>
      <c r="L5830">
        <v>-62.603700000000003</v>
      </c>
      <c r="M5830">
        <v>0.99932690000000002</v>
      </c>
      <c r="N5830">
        <v>0</v>
      </c>
      <c r="O5830">
        <v>3.5434510000000002E-2</v>
      </c>
      <c r="P5830">
        <v>0.99631449999999999</v>
      </c>
      <c r="Q5830">
        <v>7.6274739999999994E-2</v>
      </c>
      <c r="R5830">
        <v>-3.9239650000000001E-2</v>
      </c>
      <c r="S5830">
        <v>3.0408940000000002</v>
      </c>
      <c r="T5830">
        <v>-0.29391299999999998</v>
      </c>
      <c r="U5830">
        <v>0.18890380000000001</v>
      </c>
      <c r="V5830">
        <v>7.3841799999999999E-2</v>
      </c>
      <c r="W5830">
        <v>8.6310940000000003E-2</v>
      </c>
      <c r="X5830">
        <v>0.99352790000000002</v>
      </c>
      <c r="Y5830">
        <v>-2.6635539999999999E-2</v>
      </c>
      <c r="Z5830">
        <v>-2.1293330000000002E-3</v>
      </c>
      <c r="AA5830">
        <v>0.99964299999999995</v>
      </c>
      <c r="AB5830">
        <v>29</v>
      </c>
      <c r="AC5830">
        <v>0.70390000000003194</v>
      </c>
      <c r="AD5830">
        <v>-8.2618999999999998E-2</v>
      </c>
      <c r="AE5830">
        <v>4.60100000000025E-2</v>
      </c>
      <c r="AF5830">
        <v>-2.0752941349551499E-2</v>
      </c>
      <c r="AG5830">
        <v>-8.2618999999999998E-2</v>
      </c>
      <c r="AH5830">
        <v>0.69554691148977199</v>
      </c>
      <c r="AI5830">
        <v>96.771027092178201</v>
      </c>
      <c r="AJ5830">
        <v>91.709019582513505</v>
      </c>
      <c r="AK5830">
        <v>0.70074395453590499</v>
      </c>
      <c r="AL5830">
        <v>85.048586426350298</v>
      </c>
      <c r="AM5830">
        <v>85.749430872385304</v>
      </c>
      <c r="AN5830">
        <v>0.99999993893466499</v>
      </c>
    </row>
    <row r="5831" spans="1:40" x14ac:dyDescent="0.25">
      <c r="A5831" t="str">
        <f>"20190312164621500"</f>
        <v>20190312164621500</v>
      </c>
      <c r="B5831" t="str">
        <f>"1552380381497210"</f>
        <v>1552380381497210</v>
      </c>
      <c r="C5831" t="s">
        <v>40</v>
      </c>
      <c r="D5831">
        <v>5.2338820000000004</v>
      </c>
      <c r="E5831">
        <v>0.46898879999999998</v>
      </c>
      <c r="F5831" t="s">
        <v>41</v>
      </c>
      <c r="G5831">
        <v>-274.19479999999999</v>
      </c>
      <c r="H5831">
        <v>1.0186809999999999</v>
      </c>
      <c r="I5831">
        <v>-62.546790000000001</v>
      </c>
      <c r="J5831">
        <v>-275.02080000000001</v>
      </c>
      <c r="K5831">
        <v>1.111348</v>
      </c>
      <c r="L5831">
        <v>-62.597169999999998</v>
      </c>
      <c r="M5831">
        <v>0.99926539999999997</v>
      </c>
      <c r="N5831">
        <v>0</v>
      </c>
      <c r="O5831">
        <v>3.712857E-2</v>
      </c>
      <c r="P5831">
        <v>0.99630240000000003</v>
      </c>
      <c r="Q5831">
        <v>7.6306970000000002E-2</v>
      </c>
      <c r="R5831">
        <v>-3.9484909999999998E-2</v>
      </c>
      <c r="S5831">
        <v>3.0407410000000001</v>
      </c>
      <c r="T5831">
        <v>-0.29409469999999999</v>
      </c>
      <c r="U5831">
        <v>0.1806335</v>
      </c>
      <c r="V5831">
        <v>7.5789540000000002E-2</v>
      </c>
      <c r="W5831">
        <v>8.6323759999999999E-2</v>
      </c>
      <c r="X5831">
        <v>0.99338020000000005</v>
      </c>
      <c r="Y5831">
        <v>-2.2263149999999999E-2</v>
      </c>
      <c r="Z5831">
        <v>-2.5048929999999998E-3</v>
      </c>
      <c r="AA5831">
        <v>0.999749</v>
      </c>
      <c r="AB5831">
        <v>29</v>
      </c>
      <c r="AC5831">
        <v>0.82600000000002105</v>
      </c>
      <c r="AD5831">
        <v>-9.2666999999999999E-2</v>
      </c>
      <c r="AE5831">
        <v>5.0379999999996899E-2</v>
      </c>
      <c r="AF5831">
        <v>-1.9432012546100799E-2</v>
      </c>
      <c r="AG5831">
        <v>-9.2666999999999999E-2</v>
      </c>
      <c r="AH5831">
        <v>0.81705563614184995</v>
      </c>
      <c r="AI5831">
        <v>96.468782140428004</v>
      </c>
      <c r="AJ5831">
        <v>91.3624071721039</v>
      </c>
      <c r="AK5831">
        <v>0.82252336656884995</v>
      </c>
      <c r="AL5831">
        <v>85.0478496137668</v>
      </c>
      <c r="AM5831">
        <v>85.637093905084797</v>
      </c>
      <c r="AN5831">
        <v>1.00000003383299</v>
      </c>
    </row>
    <row r="5832" spans="1:40" x14ac:dyDescent="0.25">
      <c r="A5832" t="str">
        <f>"20190312164621511"</f>
        <v>20190312164621511</v>
      </c>
      <c r="B5832" t="str">
        <f>"1552380381506970"</f>
        <v>1552380381506970</v>
      </c>
      <c r="C5832" t="s">
        <v>40</v>
      </c>
      <c r="D5832">
        <v>5.1281650000000001</v>
      </c>
      <c r="E5832">
        <v>0.49383510000000003</v>
      </c>
      <c r="F5832" t="s">
        <v>41</v>
      </c>
      <c r="G5832">
        <v>-274.18799999999999</v>
      </c>
      <c r="H5832">
        <v>1.0308269999999999</v>
      </c>
      <c r="I5832">
        <v>-62.54806</v>
      </c>
      <c r="J5832">
        <v>-274.86829999999998</v>
      </c>
      <c r="K5832">
        <v>1.1112489999999999</v>
      </c>
      <c r="L5832">
        <v>-62.589660000000002</v>
      </c>
      <c r="M5832">
        <v>0.99919290000000005</v>
      </c>
      <c r="N5832">
        <v>0</v>
      </c>
      <c r="O5832">
        <v>3.9036080000000001E-2</v>
      </c>
      <c r="P5832">
        <v>0.99629120000000004</v>
      </c>
      <c r="Q5832">
        <v>7.6322849999999998E-2</v>
      </c>
      <c r="R5832">
        <v>-3.973078E-2</v>
      </c>
      <c r="S5832">
        <v>3.0407709999999999</v>
      </c>
      <c r="T5832">
        <v>-0.29412389999999999</v>
      </c>
      <c r="U5832">
        <v>0.17962649999999999</v>
      </c>
      <c r="V5832">
        <v>7.7953090000000003E-2</v>
      </c>
      <c r="W5832">
        <v>8.6315210000000003E-2</v>
      </c>
      <c r="X5832">
        <v>0.99321349999999997</v>
      </c>
      <c r="Y5832">
        <v>-2.004324E-2</v>
      </c>
      <c r="Z5832">
        <v>-2.7958879999999998E-3</v>
      </c>
      <c r="AA5832">
        <v>0.9997952</v>
      </c>
      <c r="AB5832">
        <v>29</v>
      </c>
      <c r="AC5832">
        <v>0.68029999999998803</v>
      </c>
      <c r="AD5832">
        <v>-8.0421999999999993E-2</v>
      </c>
      <c r="AE5832">
        <v>4.1599999999995398E-2</v>
      </c>
      <c r="AF5832">
        <v>-1.4804729017485399E-2</v>
      </c>
      <c r="AG5832">
        <v>-8.0421999999999993E-2</v>
      </c>
      <c r="AH5832">
        <v>0.67204857781707605</v>
      </c>
      <c r="AI5832">
        <v>96.8223213104948</v>
      </c>
      <c r="AJ5832">
        <v>91.261979182041699</v>
      </c>
      <c r="AK5832">
        <v>0.67700529468478798</v>
      </c>
      <c r="AL5832">
        <v>85.048341299774407</v>
      </c>
      <c r="AM5832">
        <v>85.512298397091698</v>
      </c>
      <c r="AN5832">
        <v>1.0000000281500701</v>
      </c>
    </row>
    <row r="5833" spans="1:40" x14ac:dyDescent="0.25">
      <c r="A5833" t="str">
        <f>"20190312164621523"</f>
        <v>20190312164621523</v>
      </c>
      <c r="B5833" t="str">
        <f>"1552380381516731"</f>
        <v>1552380381516731</v>
      </c>
      <c r="C5833" t="s">
        <v>40</v>
      </c>
      <c r="D5833">
        <v>6.4967990000000002</v>
      </c>
      <c r="E5833">
        <v>0.49496449999999997</v>
      </c>
      <c r="F5833" t="s">
        <v>41</v>
      </c>
      <c r="G5833">
        <v>-273.91730000000001</v>
      </c>
      <c r="H5833">
        <v>1.04654</v>
      </c>
      <c r="I5833">
        <v>-62.59881</v>
      </c>
      <c r="J5833">
        <v>-274.7088</v>
      </c>
      <c r="K5833">
        <v>1.111145</v>
      </c>
      <c r="L5833">
        <v>-62.581449999999997</v>
      </c>
      <c r="M5833">
        <v>0.99911689999999997</v>
      </c>
      <c r="N5833">
        <v>0</v>
      </c>
      <c r="O5833">
        <v>4.0941169999999999E-2</v>
      </c>
      <c r="P5833">
        <v>0.9963012</v>
      </c>
      <c r="Q5833">
        <v>7.6047729999999994E-2</v>
      </c>
      <c r="R5833">
        <v>-4.000749E-2</v>
      </c>
      <c r="S5833">
        <v>3.0258790000000002</v>
      </c>
      <c r="T5833">
        <v>-0.2059851</v>
      </c>
      <c r="U5833">
        <v>-2.8656009999999999E-2</v>
      </c>
      <c r="V5833">
        <v>8.0148590000000006E-2</v>
      </c>
      <c r="W5833">
        <v>8.601164E-2</v>
      </c>
      <c r="X5833">
        <v>0.99306510000000003</v>
      </c>
      <c r="Y5833">
        <v>5.0192229999999997E-2</v>
      </c>
      <c r="Z5833">
        <v>-4.4898309999999997E-3</v>
      </c>
      <c r="AA5833">
        <v>0.99872950000000005</v>
      </c>
      <c r="AB5833">
        <v>29</v>
      </c>
      <c r="AC5833">
        <v>0.79149999999998499</v>
      </c>
      <c r="AD5833">
        <v>-6.4604999999999996E-2</v>
      </c>
      <c r="AE5833">
        <v>-1.7360000000003501E-2</v>
      </c>
      <c r="AF5833">
        <v>4.9422710105524799E-2</v>
      </c>
      <c r="AG5833">
        <v>-6.4604999999999996E-2</v>
      </c>
      <c r="AH5833">
        <v>0.78489875243410501</v>
      </c>
      <c r="AI5833">
        <v>94.696148466808495</v>
      </c>
      <c r="AJ5833">
        <v>86.397014086965598</v>
      </c>
      <c r="AK5833">
        <v>0.78910231394400898</v>
      </c>
      <c r="AL5833">
        <v>85.065799593051395</v>
      </c>
      <c r="AM5833">
        <v>85.385756837895798</v>
      </c>
      <c r="AN5833">
        <v>1.0000000457662399</v>
      </c>
    </row>
    <row r="5834" spans="1:40" x14ac:dyDescent="0.25">
      <c r="A5834" t="str">
        <f>"20190312164621534"</f>
        <v>20190312164621534</v>
      </c>
      <c r="B5834" t="str">
        <f>"1552380381527467"</f>
        <v>1552380381527467</v>
      </c>
      <c r="C5834" t="s">
        <v>40</v>
      </c>
      <c r="D5834">
        <v>5.3478490000000001</v>
      </c>
      <c r="E5834">
        <v>0.49405060000000001</v>
      </c>
      <c r="F5834" t="s">
        <v>41</v>
      </c>
      <c r="G5834">
        <v>-273.9058</v>
      </c>
      <c r="H5834">
        <v>1.056584</v>
      </c>
      <c r="I5834">
        <v>-62.591869999999901</v>
      </c>
      <c r="J5834">
        <v>-274.57150000000001</v>
      </c>
      <c r="K5834">
        <v>1.111049</v>
      </c>
      <c r="L5834">
        <v>-62.574219999999997</v>
      </c>
      <c r="M5834">
        <v>0.99905120000000003</v>
      </c>
      <c r="N5834">
        <v>0</v>
      </c>
      <c r="O5834">
        <v>4.2520710000000003E-2</v>
      </c>
      <c r="P5834">
        <v>0.99625359999999996</v>
      </c>
      <c r="Q5834">
        <v>7.6317689999999994E-2</v>
      </c>
      <c r="R5834">
        <v>-4.068198E-2</v>
      </c>
      <c r="S5834">
        <v>3.025299</v>
      </c>
      <c r="T5834">
        <v>-0.2056595</v>
      </c>
      <c r="U5834">
        <v>-3.8665770000000002E-2</v>
      </c>
      <c r="V5834">
        <v>8.2408460000000003E-2</v>
      </c>
      <c r="W5834">
        <v>8.6258669999999996E-2</v>
      </c>
      <c r="X5834">
        <v>0.99285860000000004</v>
      </c>
      <c r="Y5834">
        <v>5.5062170000000001E-2</v>
      </c>
      <c r="Z5834">
        <v>-4.7561010000000004E-3</v>
      </c>
      <c r="AA5834">
        <v>0.99847160000000001</v>
      </c>
      <c r="AB5834">
        <v>29</v>
      </c>
      <c r="AC5834">
        <v>0.66570000000001495</v>
      </c>
      <c r="AD5834">
        <v>-5.4464999999999902E-2</v>
      </c>
      <c r="AE5834">
        <v>-1.7649999999996099E-2</v>
      </c>
      <c r="AF5834">
        <v>4.5636059914886999E-2</v>
      </c>
      <c r="AG5834">
        <v>-5.4464999999999902E-2</v>
      </c>
      <c r="AH5834">
        <v>0.659932945541016</v>
      </c>
      <c r="AI5834">
        <v>94.706801738686195</v>
      </c>
      <c r="AJ5834">
        <v>86.044147246609398</v>
      </c>
      <c r="AK5834">
        <v>0.66374737573869003</v>
      </c>
      <c r="AL5834">
        <v>85.051592572717496</v>
      </c>
      <c r="AM5834">
        <v>85.255257152673494</v>
      </c>
      <c r="AN5834">
        <v>0.99999995601184899</v>
      </c>
    </row>
    <row r="5835" spans="1:40" x14ac:dyDescent="0.25">
      <c r="A5835" t="str">
        <f>"20190312164621545"</f>
        <v>20190312164621545</v>
      </c>
      <c r="B5835" t="str">
        <f>"1552380381537226"</f>
        <v>1552380381537226</v>
      </c>
      <c r="C5835" t="s">
        <v>40</v>
      </c>
      <c r="D5835">
        <v>5.3508319999999996</v>
      </c>
      <c r="E5835">
        <v>0.49331589999999997</v>
      </c>
      <c r="F5835" t="s">
        <v>41</v>
      </c>
      <c r="G5835">
        <v>-273.65440000000001</v>
      </c>
      <c r="H5835">
        <v>1.046905</v>
      </c>
      <c r="I5835">
        <v>-62.584499999999998</v>
      </c>
      <c r="J5835">
        <v>-274.42590000000001</v>
      </c>
      <c r="K5835">
        <v>1.110954</v>
      </c>
      <c r="L5835">
        <v>-62.566380000000002</v>
      </c>
      <c r="M5835">
        <v>0.99898100000000001</v>
      </c>
      <c r="N5835">
        <v>0</v>
      </c>
      <c r="O5835">
        <v>4.414212E-2</v>
      </c>
      <c r="P5835">
        <v>0.99621130000000002</v>
      </c>
      <c r="Q5835">
        <v>7.6477900000000001E-2</v>
      </c>
      <c r="R5835">
        <v>-4.140448E-2</v>
      </c>
      <c r="S5835">
        <v>3.026154</v>
      </c>
      <c r="T5835">
        <v>-0.2117908</v>
      </c>
      <c r="U5835">
        <v>-3.2745360000000001E-2</v>
      </c>
      <c r="V5835">
        <v>8.4760100000000005E-2</v>
      </c>
      <c r="W5835">
        <v>8.6392640000000007E-2</v>
      </c>
      <c r="X5835">
        <v>0.992649</v>
      </c>
      <c r="Y5835">
        <v>5.4709349999999997E-2</v>
      </c>
      <c r="Z5835">
        <v>-4.9971410000000001E-3</v>
      </c>
      <c r="AA5835">
        <v>0.99848979999999998</v>
      </c>
      <c r="AB5835">
        <v>29</v>
      </c>
      <c r="AC5835">
        <v>0.77150000000000296</v>
      </c>
      <c r="AD5835">
        <v>-6.4048999999999995E-2</v>
      </c>
      <c r="AE5835">
        <v>-1.8119999999996101E-2</v>
      </c>
      <c r="AF5835">
        <v>5.1802654424915301E-2</v>
      </c>
      <c r="AG5835">
        <v>-6.4048999999999995E-2</v>
      </c>
      <c r="AH5835">
        <v>0.76468066667676604</v>
      </c>
      <c r="AI5835">
        <v>94.776971853654601</v>
      </c>
      <c r="AJ5835">
        <v>86.124466558984494</v>
      </c>
      <c r="AK5835">
        <v>0.76910487672078298</v>
      </c>
      <c r="AL5835">
        <v>85.043888113572905</v>
      </c>
      <c r="AM5835">
        <v>85.119478702009303</v>
      </c>
      <c r="AN5835">
        <v>0.999999999999589</v>
      </c>
    </row>
    <row r="5836" spans="1:40" x14ac:dyDescent="0.25">
      <c r="A5836" t="str">
        <f>"20190312164621555"</f>
        <v>20190312164621555</v>
      </c>
      <c r="B5836" t="str">
        <f>"1552380381546987"</f>
        <v>1552380381546987</v>
      </c>
      <c r="C5836" t="s">
        <v>40</v>
      </c>
      <c r="D5836">
        <v>5.2886680000000004</v>
      </c>
      <c r="E5836">
        <v>0.49265720000000002</v>
      </c>
      <c r="F5836" t="s">
        <v>41</v>
      </c>
      <c r="G5836">
        <v>-273.6472</v>
      </c>
      <c r="H5836">
        <v>1.055585</v>
      </c>
      <c r="I5836">
        <v>-62.574150000000003</v>
      </c>
      <c r="J5836">
        <v>-274.28660000000002</v>
      </c>
      <c r="K5836">
        <v>1.1108559999999901</v>
      </c>
      <c r="L5836">
        <v>-62.558689999999999</v>
      </c>
      <c r="M5836">
        <v>0.99891529999999995</v>
      </c>
      <c r="N5836">
        <v>0</v>
      </c>
      <c r="O5836">
        <v>4.5607149999999999E-2</v>
      </c>
      <c r="P5836">
        <v>0.99613019999999997</v>
      </c>
      <c r="Q5836">
        <v>7.7004600000000006E-2</v>
      </c>
      <c r="R5836">
        <v>-4.2365970000000003E-2</v>
      </c>
      <c r="S5836">
        <v>3.026764</v>
      </c>
      <c r="T5836">
        <v>-0.215368</v>
      </c>
      <c r="U5836">
        <v>-2.8839110000000001E-2</v>
      </c>
      <c r="V5836">
        <v>8.7190870000000004E-2</v>
      </c>
      <c r="W5836">
        <v>8.6894289999999999E-2</v>
      </c>
      <c r="X5836">
        <v>0.99239460000000002</v>
      </c>
      <c r="Y5836">
        <v>5.4870790000000003E-2</v>
      </c>
      <c r="Z5836">
        <v>-5.1901040000000001E-3</v>
      </c>
      <c r="AA5836">
        <v>0.99848000000000003</v>
      </c>
      <c r="AB5836">
        <v>29</v>
      </c>
      <c r="AC5836">
        <v>0.63940000000002295</v>
      </c>
      <c r="AD5836">
        <v>-5.5270999999999799E-2</v>
      </c>
      <c r="AE5836">
        <v>-1.5459999999997301E-2</v>
      </c>
      <c r="AF5836">
        <v>4.4275764936581197E-2</v>
      </c>
      <c r="AG5836">
        <v>-5.5270999999999799E-2</v>
      </c>
      <c r="AH5836">
        <v>0.63330010770813305</v>
      </c>
      <c r="AI5836">
        <v>94.975742595730495</v>
      </c>
      <c r="AJ5836">
        <v>86.000800615105703</v>
      </c>
      <c r="AK5836">
        <v>0.63724740346654396</v>
      </c>
      <c r="AL5836">
        <v>85.015036957216097</v>
      </c>
      <c r="AM5836">
        <v>84.978938967928599</v>
      </c>
      <c r="AN5836">
        <v>0.99999995377755901</v>
      </c>
    </row>
    <row r="5837" spans="1:40" x14ac:dyDescent="0.25">
      <c r="A5837" t="str">
        <f>"20190312164621566"</f>
        <v>20190312164621566</v>
      </c>
      <c r="B5837" t="str">
        <f>"1552380381556747"</f>
        <v>1552380381556747</v>
      </c>
      <c r="C5837" t="s">
        <v>40</v>
      </c>
      <c r="D5837">
        <v>5.3468619999999998</v>
      </c>
      <c r="E5837">
        <v>0.49243439999999999</v>
      </c>
      <c r="F5837" t="s">
        <v>41</v>
      </c>
      <c r="G5837">
        <v>-273.3913</v>
      </c>
      <c r="H5837">
        <v>1.0467420000000001</v>
      </c>
      <c r="I5837">
        <v>-62.566699999999997</v>
      </c>
      <c r="J5837">
        <v>-274.14150000000001</v>
      </c>
      <c r="K5837">
        <v>1.110752</v>
      </c>
      <c r="L5837">
        <v>-62.550600000000003</v>
      </c>
      <c r="M5837">
        <v>0.99884660000000003</v>
      </c>
      <c r="N5837">
        <v>0</v>
      </c>
      <c r="O5837">
        <v>4.7091910000000001E-2</v>
      </c>
      <c r="P5837">
        <v>0.99606969999999995</v>
      </c>
      <c r="Q5837">
        <v>7.7434500000000003E-2</v>
      </c>
      <c r="R5837">
        <v>-4.3002899999999997E-2</v>
      </c>
      <c r="S5837">
        <v>3.0272519999999998</v>
      </c>
      <c r="T5837">
        <v>-0.21684680000000001</v>
      </c>
      <c r="U5837">
        <v>-2.651978E-2</v>
      </c>
      <c r="V5837">
        <v>8.9319640000000006E-2</v>
      </c>
      <c r="W5837">
        <v>8.7294269999999993E-2</v>
      </c>
      <c r="X5837">
        <v>0.9921702</v>
      </c>
      <c r="Y5837">
        <v>5.5579459999999997E-2</v>
      </c>
      <c r="Z5837">
        <v>-5.3563090000000001E-3</v>
      </c>
      <c r="AA5837">
        <v>0.99843990000000005</v>
      </c>
      <c r="AB5837">
        <v>30</v>
      </c>
      <c r="AC5837">
        <v>0.75020000000000597</v>
      </c>
      <c r="AD5837">
        <v>-6.40099999999999E-2</v>
      </c>
      <c r="AE5837">
        <v>-1.60999999999944E-2</v>
      </c>
      <c r="AF5837">
        <v>5.1040625358478101E-2</v>
      </c>
      <c r="AG5837">
        <v>-6.40099999999999E-2</v>
      </c>
      <c r="AH5837">
        <v>0.74320127142258996</v>
      </c>
      <c r="AI5837">
        <v>94.911078090764605</v>
      </c>
      <c r="AJ5837">
        <v>86.071282651841301</v>
      </c>
      <c r="AK5837">
        <v>0.74769683387128205</v>
      </c>
      <c r="AL5837">
        <v>84.992032589962193</v>
      </c>
      <c r="AM5837">
        <v>84.855842185312198</v>
      </c>
      <c r="AN5837">
        <v>0.99999999671630102</v>
      </c>
    </row>
    <row r="5838" spans="1:40" x14ac:dyDescent="0.25">
      <c r="A5838" t="str">
        <f>"20190312164621581"</f>
        <v>20190312164621581</v>
      </c>
      <c r="B5838" t="str">
        <f>"1552380381577242"</f>
        <v>1552380381577242</v>
      </c>
      <c r="C5838" t="s">
        <v>40</v>
      </c>
      <c r="D5838">
        <v>5.2075519999999997</v>
      </c>
      <c r="E5838">
        <v>0.49195660000000002</v>
      </c>
      <c r="F5838" t="s">
        <v>41</v>
      </c>
      <c r="G5838">
        <v>-273.38350000000003</v>
      </c>
      <c r="H5838">
        <v>1.0562290000000001</v>
      </c>
      <c r="I5838">
        <v>-62.557419999999901</v>
      </c>
      <c r="J5838">
        <v>-273.98540000000003</v>
      </c>
      <c r="K5838">
        <v>1.1106309999999999</v>
      </c>
      <c r="L5838">
        <v>-62.54166</v>
      </c>
      <c r="M5838">
        <v>0.99877669999999996</v>
      </c>
      <c r="N5838">
        <v>0</v>
      </c>
      <c r="O5838">
        <v>4.8556009999999997E-2</v>
      </c>
      <c r="P5838">
        <v>0.99600010000000005</v>
      </c>
      <c r="Q5838">
        <v>7.7902289999999999E-2</v>
      </c>
      <c r="R5838">
        <v>-4.3760769999999997E-2</v>
      </c>
      <c r="S5838">
        <v>3.0276489999999998</v>
      </c>
      <c r="T5838">
        <v>-0.2178398</v>
      </c>
      <c r="U5838">
        <v>-2.6550290000000001E-2</v>
      </c>
      <c r="V5838">
        <v>9.1551930000000004E-2</v>
      </c>
      <c r="W5838">
        <v>8.7727929999999996E-2</v>
      </c>
      <c r="X5838">
        <v>0.99192849999999999</v>
      </c>
      <c r="Y5838">
        <v>5.7041939999999999E-2</v>
      </c>
      <c r="Z5838">
        <v>-5.5377439999999998E-3</v>
      </c>
      <c r="AA5838">
        <v>0.99835640000000003</v>
      </c>
      <c r="AB5838">
        <v>30</v>
      </c>
      <c r="AC5838">
        <v>0.60189999999999999</v>
      </c>
      <c r="AD5838">
        <v>-5.4401999999999798E-2</v>
      </c>
      <c r="AE5838">
        <v>-1.5759999999993099E-2</v>
      </c>
      <c r="AF5838">
        <v>4.46044147598742E-2</v>
      </c>
      <c r="AG5838">
        <v>-5.4401999999999798E-2</v>
      </c>
      <c r="AH5838">
        <v>0.59556274253020902</v>
      </c>
      <c r="AI5838">
        <v>95.204733237015802</v>
      </c>
      <c r="AJ5838">
        <v>85.716853695329803</v>
      </c>
      <c r="AK5838">
        <v>0.59970335309232303</v>
      </c>
      <c r="AL5838">
        <v>84.967090266335504</v>
      </c>
      <c r="AM5838">
        <v>84.726716919008297</v>
      </c>
      <c r="AN5838">
        <v>1.0000000473505199</v>
      </c>
    </row>
    <row r="5839" spans="1:40" x14ac:dyDescent="0.25">
      <c r="A5839" t="str">
        <f>"20190312164621588"</f>
        <v>20190312164621588</v>
      </c>
      <c r="B5839" t="str">
        <f>"1552380381577242"</f>
        <v>1552380381577242</v>
      </c>
      <c r="C5839" t="s">
        <v>40</v>
      </c>
      <c r="D5839">
        <v>5.2075519999999997</v>
      </c>
      <c r="E5839">
        <v>0.49195660000000002</v>
      </c>
      <c r="F5839" t="s">
        <v>41</v>
      </c>
      <c r="G5839">
        <v>-273.12709999999998</v>
      </c>
      <c r="H5839">
        <v>1.047841</v>
      </c>
      <c r="I5839">
        <v>-62.548949999999998</v>
      </c>
      <c r="J5839">
        <v>-273.85140000000001</v>
      </c>
      <c r="K5839">
        <v>1.1105259999999999</v>
      </c>
      <c r="L5839">
        <v>-62.533940000000001</v>
      </c>
      <c r="M5839">
        <v>0.9987161</v>
      </c>
      <c r="N5839">
        <v>0</v>
      </c>
      <c r="O5839">
        <v>4.9789760000000002E-2</v>
      </c>
      <c r="P5839">
        <v>0.99593229999999999</v>
      </c>
      <c r="Q5839">
        <v>7.8196740000000001E-2</v>
      </c>
      <c r="R5839">
        <v>-4.476546E-2</v>
      </c>
      <c r="S5839">
        <v>3.0282900000000001</v>
      </c>
      <c r="T5839">
        <v>-0.22158890000000001</v>
      </c>
      <c r="U5839">
        <v>-2.4627690000000001E-2</v>
      </c>
      <c r="V5839">
        <v>9.3799489999999999E-2</v>
      </c>
      <c r="W5839">
        <v>8.7992520000000005E-2</v>
      </c>
      <c r="X5839">
        <v>0.99169499999999999</v>
      </c>
      <c r="Y5839">
        <v>5.762536E-2</v>
      </c>
      <c r="Z5839">
        <v>-5.7430099999999998E-3</v>
      </c>
      <c r="AA5839">
        <v>0.99832180000000004</v>
      </c>
      <c r="AB5839">
        <v>30</v>
      </c>
      <c r="AC5839">
        <v>0.72430000000002703</v>
      </c>
      <c r="AD5839">
        <v>-6.2685000000000102E-2</v>
      </c>
      <c r="AE5839">
        <v>-1.5009999999996601E-2</v>
      </c>
      <c r="AF5839">
        <v>5.0676266455193901E-2</v>
      </c>
      <c r="AG5839">
        <v>-6.2685000000000102E-2</v>
      </c>
      <c r="AH5839">
        <v>0.71728395524094102</v>
      </c>
      <c r="AI5839">
        <v>94.982157284269505</v>
      </c>
      <c r="AJ5839">
        <v>85.958755761862804</v>
      </c>
      <c r="AK5839">
        <v>0.72179897870039</v>
      </c>
      <c r="AL5839">
        <v>84.951871285672794</v>
      </c>
      <c r="AM5839">
        <v>84.596752439508805</v>
      </c>
      <c r="AN5839">
        <v>1.0000000004626</v>
      </c>
    </row>
    <row r="5840" spans="1:40" x14ac:dyDescent="0.25">
      <c r="A5840" t="str">
        <f>"20190312164621600"</f>
        <v>20190312164621600</v>
      </c>
      <c r="B5840" t="str">
        <f>"1552380381596763"</f>
        <v>1552380381596763</v>
      </c>
      <c r="C5840" t="s">
        <v>40</v>
      </c>
      <c r="D5840">
        <v>5.2171070000000004</v>
      </c>
      <c r="E5840">
        <v>0.49146250000000002</v>
      </c>
      <c r="F5840" t="s">
        <v>41</v>
      </c>
      <c r="G5840">
        <v>-272.86660000000001</v>
      </c>
      <c r="H5840">
        <v>1.0387759999999999</v>
      </c>
      <c r="I5840">
        <v>-62.543089999999999</v>
      </c>
      <c r="J5840">
        <v>-273.70260000000002</v>
      </c>
      <c r="K5840">
        <v>1.1104069999999999</v>
      </c>
      <c r="L5840">
        <v>-62.525179999999999</v>
      </c>
      <c r="M5840">
        <v>0.99865499999999996</v>
      </c>
      <c r="N5840">
        <v>0</v>
      </c>
      <c r="O5840">
        <v>5.1004710000000002E-2</v>
      </c>
      <c r="P5840">
        <v>0.99591099999999999</v>
      </c>
      <c r="Q5840">
        <v>7.8131309999999995E-2</v>
      </c>
      <c r="R5840">
        <v>-4.5352379999999998E-2</v>
      </c>
      <c r="S5840">
        <v>3.0283199999999999</v>
      </c>
      <c r="T5840">
        <v>-0.2207047</v>
      </c>
      <c r="U5840">
        <v>-2.7771000000000001E-2</v>
      </c>
      <c r="V5840">
        <v>9.5620230000000001E-2</v>
      </c>
      <c r="W5840">
        <v>8.7888499999999994E-2</v>
      </c>
      <c r="X5840">
        <v>0.99153029999999998</v>
      </c>
      <c r="Y5840">
        <v>5.9868890000000001E-2</v>
      </c>
      <c r="Z5840">
        <v>-5.8900949999999997E-3</v>
      </c>
      <c r="AA5840">
        <v>0.99818890000000005</v>
      </c>
      <c r="AB5840">
        <v>30</v>
      </c>
      <c r="AC5840">
        <v>0.83600000000001196</v>
      </c>
      <c r="AD5840">
        <v>-7.1631E-2</v>
      </c>
      <c r="AE5840">
        <v>-1.79099999999934E-2</v>
      </c>
      <c r="AF5840">
        <v>6.0087537865177697E-2</v>
      </c>
      <c r="AG5840">
        <v>-7.1631E-2</v>
      </c>
      <c r="AH5840">
        <v>0.82792277266768999</v>
      </c>
      <c r="AI5840">
        <v>94.931948544093501</v>
      </c>
      <c r="AJ5840">
        <v>85.848964705689994</v>
      </c>
      <c r="AK5840">
        <v>0.83318523142783496</v>
      </c>
      <c r="AL5840">
        <v>84.957854250705395</v>
      </c>
      <c r="AM5840">
        <v>84.491599692238694</v>
      </c>
      <c r="AN5840">
        <v>0.99999997631779602</v>
      </c>
    </row>
    <row r="5841" spans="1:40" x14ac:dyDescent="0.25">
      <c r="A5841" t="str">
        <f>"20190312164621612"</f>
        <v>20190312164621612</v>
      </c>
      <c r="B5841" t="str">
        <f>"1552380381607498"</f>
        <v>1552380381607498</v>
      </c>
      <c r="C5841" t="s">
        <v>40</v>
      </c>
      <c r="D5841">
        <v>5.4056519999999999</v>
      </c>
      <c r="E5841">
        <v>0.49127559999999898</v>
      </c>
      <c r="F5841" t="s">
        <v>41</v>
      </c>
      <c r="G5841">
        <v>-272.86349999999999</v>
      </c>
      <c r="H5841">
        <v>1.046381</v>
      </c>
      <c r="I5841">
        <v>-62.532089999999997</v>
      </c>
      <c r="J5841">
        <v>-273.54579999999999</v>
      </c>
      <c r="K5841">
        <v>1.110269</v>
      </c>
      <c r="L5841">
        <v>-62.515900000000002</v>
      </c>
      <c r="M5841">
        <v>0.99859149999999997</v>
      </c>
      <c r="N5841">
        <v>0</v>
      </c>
      <c r="O5841">
        <v>5.2237749999999999E-2</v>
      </c>
      <c r="P5841">
        <v>0.99587820000000005</v>
      </c>
      <c r="Q5841">
        <v>7.8232389999999999E-2</v>
      </c>
      <c r="R5841">
        <v>-4.5896560000000003E-2</v>
      </c>
      <c r="S5841">
        <v>3.0293269999999999</v>
      </c>
      <c r="T5841">
        <v>-0.23122780000000001</v>
      </c>
      <c r="U5841">
        <v>-2.4505619999999999E-2</v>
      </c>
      <c r="V5841">
        <v>9.7416520000000006E-2</v>
      </c>
      <c r="W5841">
        <v>8.7946910000000003E-2</v>
      </c>
      <c r="X5841">
        <v>0.99135030000000002</v>
      </c>
      <c r="Y5841">
        <v>5.999007E-2</v>
      </c>
      <c r="Z5841">
        <v>-6.2666079999999999E-3</v>
      </c>
      <c r="AA5841">
        <v>0.99817929999999999</v>
      </c>
      <c r="AB5841">
        <v>30</v>
      </c>
      <c r="AC5841">
        <v>0.68229999999999702</v>
      </c>
      <c r="AD5841">
        <v>-6.3887999999999903E-2</v>
      </c>
      <c r="AE5841">
        <v>-1.61900000000017E-2</v>
      </c>
      <c r="AF5841">
        <v>5.1361178951750297E-2</v>
      </c>
      <c r="AG5841">
        <v>-6.3887999999999903E-2</v>
      </c>
      <c r="AH5841">
        <v>0.674611105072635</v>
      </c>
      <c r="AI5841">
        <v>95.394453728335804</v>
      </c>
      <c r="AJ5841">
        <v>85.646213716036598</v>
      </c>
      <c r="AK5841">
        <v>0.67957324133211405</v>
      </c>
      <c r="AL5841">
        <v>84.954494852730207</v>
      </c>
      <c r="AM5841">
        <v>84.387762735940299</v>
      </c>
      <c r="AN5841">
        <v>1.0000000273287699</v>
      </c>
    </row>
    <row r="5842" spans="1:40" x14ac:dyDescent="0.25">
      <c r="A5842" t="str">
        <f>"20190312164621624"</f>
        <v>20190312164621624</v>
      </c>
      <c r="B5842" t="str">
        <f>"1552380381617261"</f>
        <v>1552380381617261</v>
      </c>
      <c r="C5842" t="s">
        <v>40</v>
      </c>
      <c r="D5842">
        <v>5.2854519999999896</v>
      </c>
      <c r="E5842">
        <v>0.4910986</v>
      </c>
      <c r="F5842" t="s">
        <v>41</v>
      </c>
      <c r="G5842">
        <v>-272.6019</v>
      </c>
      <c r="H5842">
        <v>1.0388109999999999</v>
      </c>
      <c r="I5842">
        <v>-62.523879999999998</v>
      </c>
      <c r="J5842">
        <v>-273.3913</v>
      </c>
      <c r="K5842">
        <v>1.110128</v>
      </c>
      <c r="L5842">
        <v>-62.506619999999998</v>
      </c>
      <c r="M5842">
        <v>0.99853329999999996</v>
      </c>
      <c r="N5842">
        <v>0</v>
      </c>
      <c r="O5842">
        <v>5.334055E-2</v>
      </c>
      <c r="P5842">
        <v>0.99585900000000005</v>
      </c>
      <c r="Q5842">
        <v>7.8129279999999995E-2</v>
      </c>
      <c r="R5842">
        <v>-4.6488290000000002E-2</v>
      </c>
      <c r="S5842">
        <v>3.0292970000000001</v>
      </c>
      <c r="T5842">
        <v>-0.2293181</v>
      </c>
      <c r="U5842">
        <v>-2.4902339999999999E-2</v>
      </c>
      <c r="V5842">
        <v>9.9132369999999997E-2</v>
      </c>
      <c r="W5842">
        <v>8.7801089999999998E-2</v>
      </c>
      <c r="X5842">
        <v>0.99119310000000005</v>
      </c>
      <c r="Y5842">
        <v>6.1221869999999998E-2</v>
      </c>
      <c r="Z5842">
        <v>-6.3449090000000001E-3</v>
      </c>
      <c r="AA5842">
        <v>0.99810399999999999</v>
      </c>
      <c r="AB5842">
        <v>30</v>
      </c>
      <c r="AC5842">
        <v>0.78939999999999999</v>
      </c>
      <c r="AD5842">
        <v>-7.1316999999999797E-2</v>
      </c>
      <c r="AE5842">
        <v>-1.7260000000007301E-2</v>
      </c>
      <c r="AF5842">
        <v>5.8864054176292202E-2</v>
      </c>
      <c r="AG5842">
        <v>-7.1316999999999797E-2</v>
      </c>
      <c r="AH5842">
        <v>0.78098412223033997</v>
      </c>
      <c r="AI5842">
        <v>95.202922375062698</v>
      </c>
      <c r="AJ5842">
        <v>85.689672955852799</v>
      </c>
      <c r="AK5842">
        <v>0.78643962930346001</v>
      </c>
      <c r="AL5842">
        <v>84.962882080253294</v>
      </c>
      <c r="AM5842">
        <v>84.288659406558097</v>
      </c>
      <c r="AN5842">
        <v>1.0000000098373001</v>
      </c>
    </row>
    <row r="5843" spans="1:40" x14ac:dyDescent="0.25">
      <c r="A5843" t="str">
        <f>"20190312164621634"</f>
        <v>20190312164621634</v>
      </c>
      <c r="B5843" t="str">
        <f>"1552380381627018"</f>
        <v>1552380381627018</v>
      </c>
      <c r="C5843" t="s">
        <v>40</v>
      </c>
      <c r="D5843">
        <v>5.3440539999999999</v>
      </c>
      <c r="E5843">
        <v>0.49092069999999999</v>
      </c>
      <c r="F5843" t="s">
        <v>41</v>
      </c>
      <c r="G5843">
        <v>-272.596</v>
      </c>
      <c r="H5843">
        <v>1.050103</v>
      </c>
      <c r="I5843">
        <v>-62.513539999999999</v>
      </c>
      <c r="J5843">
        <v>-273.2525</v>
      </c>
      <c r="K5843">
        <v>1.1100000000000001</v>
      </c>
      <c r="L5843">
        <v>-62.49823</v>
      </c>
      <c r="M5843">
        <v>0.99848429999999999</v>
      </c>
      <c r="N5843">
        <v>0</v>
      </c>
      <c r="O5843">
        <v>5.4251109999999998E-2</v>
      </c>
      <c r="P5843">
        <v>0.99587429999999999</v>
      </c>
      <c r="Q5843">
        <v>7.751239E-2</v>
      </c>
      <c r="R5843">
        <v>-4.7179369999999998E-2</v>
      </c>
      <c r="S5843">
        <v>3.029236</v>
      </c>
      <c r="T5843">
        <v>-0.22862060000000001</v>
      </c>
      <c r="U5843">
        <v>-2.5512699999999999E-2</v>
      </c>
      <c r="V5843">
        <v>0.1007579</v>
      </c>
      <c r="W5843">
        <v>8.7146059999999997E-2</v>
      </c>
      <c r="X5843">
        <v>0.99108700000000005</v>
      </c>
      <c r="Y5843">
        <v>6.2329530000000001E-2</v>
      </c>
      <c r="Z5843">
        <v>-6.4360900000000002E-3</v>
      </c>
      <c r="AA5843">
        <v>0.99803489999999995</v>
      </c>
      <c r="AB5843">
        <v>30</v>
      </c>
      <c r="AC5843">
        <v>0.65649999999999398</v>
      </c>
      <c r="AD5843">
        <v>-5.9896999999999999E-2</v>
      </c>
      <c r="AE5843">
        <v>-1.53099999999923E-2</v>
      </c>
      <c r="AF5843">
        <v>5.0484819715842802E-2</v>
      </c>
      <c r="AG5843">
        <v>-5.9896999999999999E-2</v>
      </c>
      <c r="AH5843">
        <v>0.64930053802465104</v>
      </c>
      <c r="AI5843">
        <v>95.254762426544602</v>
      </c>
      <c r="AJ5843">
        <v>85.554047769224695</v>
      </c>
      <c r="AK5843">
        <v>0.65400883503959095</v>
      </c>
      <c r="AL5843">
        <v>85.000556979090305</v>
      </c>
      <c r="AM5843">
        <v>84.195024495269706</v>
      </c>
      <c r="AN5843">
        <v>1.00000001587746</v>
      </c>
    </row>
    <row r="5844" spans="1:40" x14ac:dyDescent="0.25">
      <c r="A5844" t="str">
        <f>"20190312164621644"</f>
        <v>20190312164621644</v>
      </c>
      <c r="B5844" t="str">
        <f>"1552380381636778"</f>
        <v>1552380381636778</v>
      </c>
      <c r="C5844" t="s">
        <v>40</v>
      </c>
      <c r="D5844">
        <v>5.2815940000000001</v>
      </c>
      <c r="E5844">
        <v>0.49099159999999997</v>
      </c>
      <c r="F5844" t="s">
        <v>41</v>
      </c>
      <c r="G5844">
        <v>-272.33569999999997</v>
      </c>
      <c r="H5844">
        <v>1.0404979999999999</v>
      </c>
      <c r="I5844">
        <v>-62.506230000000002</v>
      </c>
      <c r="J5844">
        <v>-273.1069</v>
      </c>
      <c r="K5844">
        <v>1.109866</v>
      </c>
      <c r="L5844">
        <v>-62.489379999999997</v>
      </c>
      <c r="M5844">
        <v>0.99843599999999999</v>
      </c>
      <c r="N5844">
        <v>0</v>
      </c>
      <c r="O5844">
        <v>5.5134570000000001E-2</v>
      </c>
      <c r="P5844">
        <v>0.99589559999999999</v>
      </c>
      <c r="Q5844">
        <v>7.7095810000000001E-2</v>
      </c>
      <c r="R5844">
        <v>-4.7416119999999999E-2</v>
      </c>
      <c r="S5844">
        <v>3.0290530000000002</v>
      </c>
      <c r="T5844">
        <v>-0.2296542</v>
      </c>
      <c r="U5844">
        <v>-2.633667E-2</v>
      </c>
      <c r="V5844">
        <v>0.1019029</v>
      </c>
      <c r="W5844">
        <v>8.6687180000000003E-2</v>
      </c>
      <c r="X5844">
        <v>0.9910101</v>
      </c>
      <c r="Y5844">
        <v>6.3475680000000007E-2</v>
      </c>
      <c r="Z5844">
        <v>-6.5756979999999996E-3</v>
      </c>
      <c r="AA5844">
        <v>0.99796169999999995</v>
      </c>
      <c r="AB5844">
        <v>30</v>
      </c>
      <c r="AC5844">
        <v>0.77120000000002098</v>
      </c>
      <c r="AD5844">
        <v>-6.9368000000000096E-2</v>
      </c>
      <c r="AE5844">
        <v>-1.6849999999997999E-2</v>
      </c>
      <c r="AF5844">
        <v>5.8869901516871097E-2</v>
      </c>
      <c r="AG5844">
        <v>-6.9368000000000096E-2</v>
      </c>
      <c r="AH5844">
        <v>0.762928143010555</v>
      </c>
      <c r="AI5844">
        <v>95.179926503544493</v>
      </c>
      <c r="AJ5844">
        <v>85.587623413786403</v>
      </c>
      <c r="AK5844">
        <v>0.76833387021928201</v>
      </c>
      <c r="AL5844">
        <v>85.026948381402306</v>
      </c>
      <c r="AM5844">
        <v>84.129063284760804</v>
      </c>
      <c r="AN5844">
        <v>0.99999994325338404</v>
      </c>
    </row>
    <row r="5845" spans="1:40" x14ac:dyDescent="0.25">
      <c r="A5845" t="str">
        <f>"20190312164621656"</f>
        <v>20190312164621656</v>
      </c>
      <c r="B5845" t="str">
        <f>"1552380381647514"</f>
        <v>1552380381647514</v>
      </c>
      <c r="C5845" t="s">
        <v>40</v>
      </c>
      <c r="D5845">
        <v>5.2948659999999999</v>
      </c>
      <c r="E5845">
        <v>0.4910081</v>
      </c>
      <c r="F5845" t="s">
        <v>41</v>
      </c>
      <c r="G5845">
        <v>-272.32979999999998</v>
      </c>
      <c r="H5845">
        <v>1.0508029999999999</v>
      </c>
      <c r="I5845">
        <v>-62.496580000000002</v>
      </c>
      <c r="J5845">
        <v>-272.96409999999997</v>
      </c>
      <c r="K5845">
        <v>1.109729</v>
      </c>
      <c r="L5845">
        <v>-62.480649999999997</v>
      </c>
      <c r="M5845">
        <v>0.99839480000000003</v>
      </c>
      <c r="N5845">
        <v>0</v>
      </c>
      <c r="O5845">
        <v>5.5882800000000003E-2</v>
      </c>
      <c r="P5845">
        <v>0.99589629999999996</v>
      </c>
      <c r="Q5845">
        <v>7.6782089999999997E-2</v>
      </c>
      <c r="R5845">
        <v>-4.7911719999999998E-2</v>
      </c>
      <c r="S5845">
        <v>3.0288390000000001</v>
      </c>
      <c r="T5845">
        <v>-0.23021440000000001</v>
      </c>
      <c r="U5845">
        <v>-2.7954099999999999E-2</v>
      </c>
      <c r="V5845">
        <v>0.1031706</v>
      </c>
      <c r="W5845">
        <v>8.632898E-2</v>
      </c>
      <c r="X5845">
        <v>0.99091019999999996</v>
      </c>
      <c r="Y5845">
        <v>6.474945E-2</v>
      </c>
      <c r="Z5845">
        <v>-6.6972200000000003E-3</v>
      </c>
      <c r="AA5845">
        <v>0.99787910000000002</v>
      </c>
      <c r="AB5845">
        <v>30</v>
      </c>
      <c r="AC5845">
        <v>0.63429999999999598</v>
      </c>
      <c r="AD5845">
        <v>-5.8925999999999999E-2</v>
      </c>
      <c r="AE5845">
        <v>-1.5930000000004399E-2</v>
      </c>
      <c r="AF5845">
        <v>5.09139458623327E-2</v>
      </c>
      <c r="AG5845">
        <v>-5.8925999999999999E-2</v>
      </c>
      <c r="AH5845">
        <v>0.62701060536603004</v>
      </c>
      <c r="AI5845">
        <v>95.351336021527203</v>
      </c>
      <c r="AJ5845">
        <v>85.357705428357207</v>
      </c>
      <c r="AK5845">
        <v>0.63182814324842096</v>
      </c>
      <c r="AL5845">
        <v>85.047548967968595</v>
      </c>
      <c r="AM5845">
        <v>84.055951949725298</v>
      </c>
      <c r="AN5845">
        <v>0.99999994497811795</v>
      </c>
    </row>
    <row r="5846" spans="1:40" x14ac:dyDescent="0.25">
      <c r="A5846" t="str">
        <f>"20190312164621668"</f>
        <v>20190312164621668</v>
      </c>
      <c r="B5846" t="str">
        <f>"1552380381657274"</f>
        <v>1552380381657274</v>
      </c>
      <c r="C5846" t="s">
        <v>40</v>
      </c>
      <c r="D5846">
        <v>5.2377000000000002</v>
      </c>
      <c r="E5846">
        <v>0.4910429</v>
      </c>
      <c r="F5846" t="s">
        <v>41</v>
      </c>
      <c r="G5846">
        <v>-272.06900000000002</v>
      </c>
      <c r="H5846">
        <v>1.0419320000000001</v>
      </c>
      <c r="I5846">
        <v>-62.489840000000001</v>
      </c>
      <c r="J5846">
        <v>-272.80959999999999</v>
      </c>
      <c r="K5846">
        <v>1.109577</v>
      </c>
      <c r="L5846">
        <v>-62.47119</v>
      </c>
      <c r="M5846">
        <v>0.99835240000000003</v>
      </c>
      <c r="N5846">
        <v>0</v>
      </c>
      <c r="O5846">
        <v>5.6634829999999997E-2</v>
      </c>
      <c r="P5846">
        <v>0.99591879999999999</v>
      </c>
      <c r="Q5846">
        <v>7.6286279999999998E-2</v>
      </c>
      <c r="R5846">
        <v>-4.8233400000000003E-2</v>
      </c>
      <c r="S5846">
        <v>3.0285950000000001</v>
      </c>
      <c r="T5846">
        <v>-0.22935939999999999</v>
      </c>
      <c r="U5846">
        <v>-3.0120850000000001E-2</v>
      </c>
      <c r="V5846">
        <v>0.104272699999999</v>
      </c>
      <c r="W5846">
        <v>8.5783139999999994E-2</v>
      </c>
      <c r="X5846">
        <v>0.99084229999999995</v>
      </c>
      <c r="Y5846">
        <v>6.6211800000000001E-2</v>
      </c>
      <c r="Z5846">
        <v>-6.7850569999999997E-3</v>
      </c>
      <c r="AA5846">
        <v>0.99778250000000002</v>
      </c>
      <c r="AB5846">
        <v>30</v>
      </c>
      <c r="AC5846">
        <v>0.74059999999997195</v>
      </c>
      <c r="AD5846">
        <v>-6.76449999999999E-2</v>
      </c>
      <c r="AE5846">
        <v>-1.8650000000000898E-2</v>
      </c>
      <c r="AF5846">
        <v>6.0064818741352798E-2</v>
      </c>
      <c r="AG5846">
        <v>-6.76449999999999E-2</v>
      </c>
      <c r="AH5846">
        <v>0.73224988923632905</v>
      </c>
      <c r="AI5846">
        <v>95.260416650657206</v>
      </c>
      <c r="AJ5846">
        <v>85.310654204330703</v>
      </c>
      <c r="AK5846">
        <v>0.73781673114808599</v>
      </c>
      <c r="AL5846">
        <v>85.0789400364594</v>
      </c>
      <c r="AM5846">
        <v>83.992509022748493</v>
      </c>
      <c r="AN5846">
        <v>1.00000000327141</v>
      </c>
    </row>
    <row r="5847" spans="1:40" x14ac:dyDescent="0.25">
      <c r="A5847" t="str">
        <f>"20190312164621679"</f>
        <v>20190312164621679</v>
      </c>
      <c r="B5847" t="str">
        <f>"1552380381667034"</f>
        <v>1552380381667034</v>
      </c>
      <c r="C5847" t="s">
        <v>40</v>
      </c>
      <c r="D5847">
        <v>5.1832940000000001</v>
      </c>
      <c r="E5847">
        <v>0.4910757</v>
      </c>
      <c r="F5847" t="s">
        <v>41</v>
      </c>
      <c r="G5847">
        <v>-272.06189999999998</v>
      </c>
      <c r="H5847">
        <v>1.0528280000000001</v>
      </c>
      <c r="I5847">
        <v>-62.479320000000001</v>
      </c>
      <c r="J5847">
        <v>-272.66140000000001</v>
      </c>
      <c r="K5847">
        <v>1.109426</v>
      </c>
      <c r="L5847">
        <v>-62.4621</v>
      </c>
      <c r="M5847">
        <v>0.99832140000000003</v>
      </c>
      <c r="N5847">
        <v>0</v>
      </c>
      <c r="O5847">
        <v>5.7182690000000001E-2</v>
      </c>
      <c r="P5847">
        <v>0.99593810000000005</v>
      </c>
      <c r="Q5847">
        <v>7.5937569999999996E-2</v>
      </c>
      <c r="R5847">
        <v>-4.8385459999999998E-2</v>
      </c>
      <c r="S5847">
        <v>3.0283509999999998</v>
      </c>
      <c r="T5847">
        <v>-0.2297989</v>
      </c>
      <c r="U5847">
        <v>-3.17688E-2</v>
      </c>
      <c r="V5847">
        <v>0.10500230000000001</v>
      </c>
      <c r="W5847">
        <v>8.5382150000000004E-2</v>
      </c>
      <c r="X5847">
        <v>0.99079989999999996</v>
      </c>
      <c r="Y5847">
        <v>6.7296919999999996E-2</v>
      </c>
      <c r="Z5847">
        <v>-6.8811469999999998E-3</v>
      </c>
      <c r="AA5847">
        <v>0.99770930000000002</v>
      </c>
      <c r="AB5847">
        <v>30</v>
      </c>
      <c r="AC5847">
        <v>0.59950000000003401</v>
      </c>
      <c r="AD5847">
        <v>-5.6597999999999898E-2</v>
      </c>
      <c r="AE5847">
        <v>-1.7219999999994601E-2</v>
      </c>
      <c r="AF5847">
        <v>5.1019926959867498E-2</v>
      </c>
      <c r="AG5847">
        <v>-5.6597999999999898E-2</v>
      </c>
      <c r="AH5847">
        <v>0.59225978802241797</v>
      </c>
      <c r="AI5847">
        <v>95.438746713052396</v>
      </c>
      <c r="AJ5847">
        <v>85.076438407284002</v>
      </c>
      <c r="AK5847">
        <v>0.59714154357183202</v>
      </c>
      <c r="AL5847">
        <v>85.101999748515297</v>
      </c>
      <c r="AM5847">
        <v>83.950528037794996</v>
      </c>
      <c r="AN5847">
        <v>1.0000000181919599</v>
      </c>
    </row>
    <row r="5848" spans="1:40" x14ac:dyDescent="0.25">
      <c r="A5848" t="str">
        <f>"20190312164621690"</f>
        <v>20190312164621690</v>
      </c>
      <c r="B5848" t="str">
        <f>"1552380381687531"</f>
        <v>1552380381687531</v>
      </c>
      <c r="C5848" t="s">
        <v>40</v>
      </c>
      <c r="D5848">
        <v>5.2312459999999996</v>
      </c>
      <c r="E5848">
        <v>0.49094650000000001</v>
      </c>
      <c r="F5848" t="s">
        <v>41</v>
      </c>
      <c r="G5848">
        <v>-271.80130000000003</v>
      </c>
      <c r="H5848">
        <v>1.044206</v>
      </c>
      <c r="I5848">
        <v>-62.471490000000003</v>
      </c>
      <c r="J5848">
        <v>-272.51100000000002</v>
      </c>
      <c r="K5848">
        <v>1.109275</v>
      </c>
      <c r="L5848">
        <v>-62.45288</v>
      </c>
      <c r="M5848">
        <v>0.99829190000000001</v>
      </c>
      <c r="N5848">
        <v>0</v>
      </c>
      <c r="O5848">
        <v>5.7697560000000002E-2</v>
      </c>
      <c r="P5848">
        <v>0.9959462</v>
      </c>
      <c r="Q5848">
        <v>7.5731039999999999E-2</v>
      </c>
      <c r="R5848">
        <v>-4.8541620000000001E-2</v>
      </c>
      <c r="S5848">
        <v>3.028168</v>
      </c>
      <c r="T5848">
        <v>-0.22965350000000001</v>
      </c>
      <c r="U5848">
        <v>-3.2806399999999999E-2</v>
      </c>
      <c r="V5848">
        <v>0.1057029</v>
      </c>
      <c r="W5848">
        <v>8.5122290000000003E-2</v>
      </c>
      <c r="X5848">
        <v>0.99074770000000001</v>
      </c>
      <c r="Y5848">
        <v>6.8150390000000005E-2</v>
      </c>
      <c r="Z5848">
        <v>-6.9484809999999899E-3</v>
      </c>
      <c r="AA5848">
        <v>0.99765090000000001</v>
      </c>
      <c r="AB5848">
        <v>30</v>
      </c>
      <c r="AC5848">
        <v>0.70969999999994104</v>
      </c>
      <c r="AD5848">
        <v>-6.5069000000000002E-2</v>
      </c>
      <c r="AE5848">
        <v>-1.86099999999953E-2</v>
      </c>
      <c r="AF5848">
        <v>5.9032779850632502E-2</v>
      </c>
      <c r="AG5848">
        <v>-6.5069000000000002E-2</v>
      </c>
      <c r="AH5848">
        <v>0.70155051284887404</v>
      </c>
      <c r="AI5848">
        <v>95.2804831639056</v>
      </c>
      <c r="AJ5848">
        <v>85.190111225997398</v>
      </c>
      <c r="AK5848">
        <v>0.70703038544068997</v>
      </c>
      <c r="AL5848">
        <v>85.116942728532393</v>
      </c>
      <c r="AM5848">
        <v>83.910148392806207</v>
      </c>
      <c r="AN5848">
        <v>0.99999995618927096</v>
      </c>
    </row>
    <row r="5849" spans="1:40" x14ac:dyDescent="0.25">
      <c r="A5849" t="str">
        <f>"20190312164621700"</f>
        <v>20190312164621700</v>
      </c>
      <c r="B5849" t="str">
        <f>"1552380381697290"</f>
        <v>1552380381697290</v>
      </c>
      <c r="C5849" t="s">
        <v>40</v>
      </c>
      <c r="D5849">
        <v>5.3567119999999999</v>
      </c>
      <c r="E5849">
        <v>0.49094569999999998</v>
      </c>
      <c r="F5849" t="s">
        <v>41</v>
      </c>
      <c r="G5849">
        <v>-271.53820000000002</v>
      </c>
      <c r="H5849">
        <v>1.034986</v>
      </c>
      <c r="I5849">
        <v>-62.463450000000002</v>
      </c>
      <c r="J5849">
        <v>-272.37549999999999</v>
      </c>
      <c r="K5849">
        <v>1.109135</v>
      </c>
      <c r="L5849">
        <v>-62.444609999999997</v>
      </c>
      <c r="M5849">
        <v>0.99827370000000004</v>
      </c>
      <c r="N5849">
        <v>0</v>
      </c>
      <c r="O5849">
        <v>5.8012180000000003E-2</v>
      </c>
      <c r="P5849">
        <v>0.99594369999999999</v>
      </c>
      <c r="Q5849">
        <v>7.5572539999999994E-2</v>
      </c>
      <c r="R5849">
        <v>-4.8839210000000001E-2</v>
      </c>
      <c r="S5849">
        <v>3.0281980000000002</v>
      </c>
      <c r="T5849">
        <v>-0.23119410000000001</v>
      </c>
      <c r="U5849">
        <v>-3.2470699999999998E-2</v>
      </c>
      <c r="V5849">
        <v>0.1063428</v>
      </c>
      <c r="W5849">
        <v>8.4915119999999997E-2</v>
      </c>
      <c r="X5849">
        <v>0.99069700000000005</v>
      </c>
      <c r="Y5849">
        <v>6.8347770000000002E-2</v>
      </c>
      <c r="Z5849">
        <v>-7.0263740000000002E-3</v>
      </c>
      <c r="AA5849">
        <v>0.99763679999999999</v>
      </c>
      <c r="AB5849">
        <v>30</v>
      </c>
      <c r="AC5849">
        <v>0.83729999999996996</v>
      </c>
      <c r="AD5849">
        <v>-7.4149000000000007E-2</v>
      </c>
      <c r="AE5849">
        <v>-1.8840000000004398E-2</v>
      </c>
      <c r="AF5849">
        <v>6.6859836423389093E-2</v>
      </c>
      <c r="AG5849">
        <v>-7.4149000000000007E-2</v>
      </c>
      <c r="AH5849">
        <v>0.82830417119823996</v>
      </c>
      <c r="AI5849">
        <v>95.098931872817204</v>
      </c>
      <c r="AJ5849">
        <v>85.385150693433403</v>
      </c>
      <c r="AK5849">
        <v>0.834299773433965</v>
      </c>
      <c r="AL5849">
        <v>85.128855834063998</v>
      </c>
      <c r="AM5849">
        <v>83.873250277551193</v>
      </c>
      <c r="AN5849">
        <v>0.99999995726272595</v>
      </c>
    </row>
    <row r="5850" spans="1:40" x14ac:dyDescent="0.25">
      <c r="A5850" t="str">
        <f>"20190312164621712"</f>
        <v>20190312164621712</v>
      </c>
      <c r="B5850" t="str">
        <f>"1552380381706854"</f>
        <v>1552380381706854</v>
      </c>
      <c r="C5850" t="s">
        <v>40</v>
      </c>
      <c r="D5850">
        <v>5.2195879999999999</v>
      </c>
      <c r="E5850">
        <v>0.4909211</v>
      </c>
      <c r="F5850" t="s">
        <v>41</v>
      </c>
      <c r="G5850">
        <v>-271.53379999999999</v>
      </c>
      <c r="H5850">
        <v>1.04495</v>
      </c>
      <c r="I5850">
        <v>-62.454129999999999</v>
      </c>
      <c r="J5850">
        <v>-272.22030000000001</v>
      </c>
      <c r="K5850">
        <v>1.1089709999999999</v>
      </c>
      <c r="L5850">
        <v>-62.43515</v>
      </c>
      <c r="M5850">
        <v>0.99825560000000002</v>
      </c>
      <c r="N5850">
        <v>0</v>
      </c>
      <c r="O5850">
        <v>5.8324109999999998E-2</v>
      </c>
      <c r="P5850">
        <v>0.99592270000000005</v>
      </c>
      <c r="Q5850">
        <v>7.5800060000000002E-2</v>
      </c>
      <c r="R5850">
        <v>-4.8910620000000002E-2</v>
      </c>
      <c r="S5850">
        <v>3.028076</v>
      </c>
      <c r="T5850">
        <v>-0.23084830000000001</v>
      </c>
      <c r="U5850">
        <v>-3.3752440000000002E-2</v>
      </c>
      <c r="V5850">
        <v>0.1067563</v>
      </c>
      <c r="W5850">
        <v>8.5086640000000005E-2</v>
      </c>
      <c r="X5850">
        <v>0.99063780000000001</v>
      </c>
      <c r="Y5850">
        <v>6.9080199999999994E-2</v>
      </c>
      <c r="Z5850">
        <v>-7.0677700000000001E-3</v>
      </c>
      <c r="AA5850">
        <v>0.99758610000000003</v>
      </c>
      <c r="AB5850">
        <v>30</v>
      </c>
      <c r="AC5850">
        <v>0.68650000000002298</v>
      </c>
      <c r="AD5850">
        <v>-6.40209999999998E-2</v>
      </c>
      <c r="AE5850">
        <v>-1.89800000000062E-2</v>
      </c>
      <c r="AF5850">
        <v>5.8480660791362701E-2</v>
      </c>
      <c r="AG5850">
        <v>-6.40209999999998E-2</v>
      </c>
      <c r="AH5850">
        <v>0.67832938666680398</v>
      </c>
      <c r="AI5850">
        <v>95.371818372781405</v>
      </c>
      <c r="AJ5850">
        <v>85.072555558909499</v>
      </c>
      <c r="AK5850">
        <v>0.68384898401866201</v>
      </c>
      <c r="AL5850">
        <v>85.118992717323195</v>
      </c>
      <c r="AM5850">
        <v>83.8492447254892</v>
      </c>
      <c r="AN5850">
        <v>0.99999994734250797</v>
      </c>
    </row>
    <row r="5851" spans="1:40" x14ac:dyDescent="0.25">
      <c r="A5851" t="str">
        <f>"20190312164621723"</f>
        <v>20190312164621723</v>
      </c>
      <c r="B5851" t="str">
        <f>"1552380381717590"</f>
        <v>1552380381717590</v>
      </c>
      <c r="C5851" t="s">
        <v>40</v>
      </c>
      <c r="D5851">
        <v>5.2481920000000004</v>
      </c>
      <c r="E5851">
        <v>0.49086479999999999</v>
      </c>
      <c r="F5851" t="s">
        <v>41</v>
      </c>
      <c r="G5851">
        <v>-271.26940000000002</v>
      </c>
      <c r="H5851">
        <v>1.0370360000000001</v>
      </c>
      <c r="I5851">
        <v>-62.4458699999999</v>
      </c>
      <c r="J5851">
        <v>-272.06560000000002</v>
      </c>
      <c r="K5851">
        <v>1.108808</v>
      </c>
      <c r="L5851">
        <v>-62.425780000000003</v>
      </c>
      <c r="M5851">
        <v>0.99824520000000005</v>
      </c>
      <c r="N5851">
        <v>0</v>
      </c>
      <c r="O5851">
        <v>5.850553E-2</v>
      </c>
      <c r="P5851">
        <v>0.99588639999999995</v>
      </c>
      <c r="Q5851">
        <v>7.6293650000000005E-2</v>
      </c>
      <c r="R5851">
        <v>-4.88834E-2</v>
      </c>
      <c r="S5851">
        <v>3.0280459999999998</v>
      </c>
      <c r="T5851">
        <v>-0.22909309999999999</v>
      </c>
      <c r="U5851">
        <v>-3.4240720000000002E-2</v>
      </c>
      <c r="V5851">
        <v>0.1069401</v>
      </c>
      <c r="W5851">
        <v>8.5525630000000005E-2</v>
      </c>
      <c r="X5851">
        <v>0.99058020000000002</v>
      </c>
      <c r="Y5851">
        <v>6.9426509999999997E-2</v>
      </c>
      <c r="Z5851">
        <v>-7.0410250000000002E-3</v>
      </c>
      <c r="AA5851">
        <v>0.99756219999999995</v>
      </c>
      <c r="AB5851">
        <v>30</v>
      </c>
      <c r="AC5851">
        <v>0.79619999999999802</v>
      </c>
      <c r="AD5851">
        <v>-7.1771999999999905E-2</v>
      </c>
      <c r="AE5851">
        <v>-2.0089999999988999E-2</v>
      </c>
      <c r="AF5851">
        <v>6.6102839216642506E-2</v>
      </c>
      <c r="AG5851">
        <v>-7.1771999999999905E-2</v>
      </c>
      <c r="AH5851">
        <v>0.78726753457943799</v>
      </c>
      <c r="AI5851">
        <v>95.190859804013201</v>
      </c>
      <c r="AJ5851">
        <v>85.200423690249096</v>
      </c>
      <c r="AK5851">
        <v>0.79329123046916905</v>
      </c>
      <c r="AL5851">
        <v>85.093748559220202</v>
      </c>
      <c r="AM5851">
        <v>83.838380974694701</v>
      </c>
      <c r="AN5851">
        <v>0.99999997550347297</v>
      </c>
    </row>
    <row r="5852" spans="1:40" x14ac:dyDescent="0.25">
      <c r="A5852" t="str">
        <f>"20190312164621734"</f>
        <v>20190312164621734</v>
      </c>
      <c r="B5852" t="str">
        <f>"1552380381727350"</f>
        <v>1552380381727350</v>
      </c>
      <c r="C5852" t="s">
        <v>40</v>
      </c>
      <c r="D5852">
        <v>5.1965510000000004</v>
      </c>
      <c r="E5852">
        <v>0.4908091</v>
      </c>
      <c r="F5852" t="s">
        <v>41</v>
      </c>
      <c r="G5852">
        <v>-271.26429999999999</v>
      </c>
      <c r="H5852">
        <v>1.0480160000000001</v>
      </c>
      <c r="I5852">
        <v>-62.434669999999997</v>
      </c>
      <c r="J5852">
        <v>-271.9153</v>
      </c>
      <c r="K5852">
        <v>1.108652</v>
      </c>
      <c r="L5852">
        <v>-62.416780000000003</v>
      </c>
      <c r="M5852">
        <v>0.99824040000000003</v>
      </c>
      <c r="N5852">
        <v>0</v>
      </c>
      <c r="O5852">
        <v>5.8588649999999999E-2</v>
      </c>
      <c r="P5852">
        <v>0.99585630000000003</v>
      </c>
      <c r="Q5852">
        <v>7.6577010000000001E-2</v>
      </c>
      <c r="R5852">
        <v>-4.9057799999999999E-2</v>
      </c>
      <c r="S5852">
        <v>3.0283509999999998</v>
      </c>
      <c r="T5852">
        <v>-0.2297527</v>
      </c>
      <c r="U5852">
        <v>-3.3691409999999998E-2</v>
      </c>
      <c r="V5852">
        <v>0.107227</v>
      </c>
      <c r="W5852">
        <v>8.5757E-2</v>
      </c>
      <c r="X5852">
        <v>0.9905292</v>
      </c>
      <c r="Y5852">
        <v>6.9325540000000005E-2</v>
      </c>
      <c r="Z5852">
        <v>-7.062998E-3</v>
      </c>
      <c r="AA5852">
        <v>0.99756909999999999</v>
      </c>
      <c r="AB5852">
        <v>30</v>
      </c>
      <c r="AC5852">
        <v>0.65100000000001002</v>
      </c>
      <c r="AD5852">
        <v>-6.0635999999999898E-2</v>
      </c>
      <c r="AE5852">
        <v>-1.7889999999994102E-2</v>
      </c>
      <c r="AF5852">
        <v>5.5520757364986198E-2</v>
      </c>
      <c r="AG5852">
        <v>-6.0635999999999898E-2</v>
      </c>
      <c r="AH5852">
        <v>0.64325700639476802</v>
      </c>
      <c r="AI5852">
        <v>95.365188468955793</v>
      </c>
      <c r="AJ5852">
        <v>85.066916202868995</v>
      </c>
      <c r="AK5852">
        <v>0.64848967244694</v>
      </c>
      <c r="AL5852">
        <v>85.080443243506593</v>
      </c>
      <c r="AM5852">
        <v>83.821662550528302</v>
      </c>
      <c r="AN5852">
        <v>0.99999999431531905</v>
      </c>
    </row>
    <row r="5853" spans="1:40" x14ac:dyDescent="0.25">
      <c r="A5853" t="str">
        <f>"20190312164621744"</f>
        <v>20190312164621744</v>
      </c>
      <c r="B5853" t="str">
        <f>"1552380381737110"</f>
        <v>1552380381737110</v>
      </c>
      <c r="C5853" t="s">
        <v>40</v>
      </c>
      <c r="D5853">
        <v>5.2033990000000001</v>
      </c>
      <c r="E5853">
        <v>0.4908594</v>
      </c>
      <c r="F5853" t="s">
        <v>41</v>
      </c>
      <c r="G5853">
        <v>-271.00060000000002</v>
      </c>
      <c r="H5853">
        <v>1.038359</v>
      </c>
      <c r="I5853">
        <v>-62.427079999999997</v>
      </c>
      <c r="J5853">
        <v>-271.77140000000003</v>
      </c>
      <c r="K5853">
        <v>1.108506</v>
      </c>
      <c r="L5853">
        <v>-62.408200000000001</v>
      </c>
      <c r="M5853">
        <v>0.99824049999999998</v>
      </c>
      <c r="N5853">
        <v>0</v>
      </c>
      <c r="O5853">
        <v>5.8588809999999998E-2</v>
      </c>
      <c r="P5853">
        <v>0.99582760000000003</v>
      </c>
      <c r="Q5853">
        <v>7.7019779999999996E-2</v>
      </c>
      <c r="R5853">
        <v>-4.8944139999999997E-2</v>
      </c>
      <c r="S5853">
        <v>3.0287169999999999</v>
      </c>
      <c r="T5853">
        <v>-0.2326425</v>
      </c>
      <c r="U5853">
        <v>-3.363037E-2</v>
      </c>
      <c r="V5853">
        <v>0.1071429</v>
      </c>
      <c r="W5853">
        <v>8.6150840000000006E-2</v>
      </c>
      <c r="X5853">
        <v>0.9905041</v>
      </c>
      <c r="Y5853">
        <v>6.9295129999999996E-2</v>
      </c>
      <c r="Z5853">
        <v>-7.1495619999999999E-3</v>
      </c>
      <c r="AA5853">
        <v>0.99757059999999997</v>
      </c>
      <c r="AB5853">
        <v>30</v>
      </c>
      <c r="AC5853">
        <v>0.77080000000000803</v>
      </c>
      <c r="AD5853">
        <v>-7.0146999999999904E-2</v>
      </c>
      <c r="AE5853">
        <v>-1.8880000000002801E-2</v>
      </c>
      <c r="AF5853">
        <v>6.3484239332554898E-2</v>
      </c>
      <c r="AG5853">
        <v>-7.0146999999999904E-2</v>
      </c>
      <c r="AH5853">
        <v>0.76206199994985302</v>
      </c>
      <c r="AI5853">
        <v>95.241142157408902</v>
      </c>
      <c r="AJ5853">
        <v>85.237920886981797</v>
      </c>
      <c r="AK5853">
        <v>0.76791232704014001</v>
      </c>
      <c r="AL5853">
        <v>85.057793931781106</v>
      </c>
      <c r="AM5853">
        <v>83.8263156619917</v>
      </c>
      <c r="AN5853">
        <v>0.99999997018496201</v>
      </c>
    </row>
    <row r="5854" spans="1:40" x14ac:dyDescent="0.25">
      <c r="A5854" t="str">
        <f>"20190312164621755"</f>
        <v>20190312164621755</v>
      </c>
      <c r="B5854" t="str">
        <f>"1552380381746870"</f>
        <v>1552380381746870</v>
      </c>
      <c r="C5854" t="s">
        <v>40</v>
      </c>
      <c r="D5854">
        <v>5.3053030000000003</v>
      </c>
      <c r="E5854">
        <v>0.49093510000000001</v>
      </c>
      <c r="F5854" t="s">
        <v>41</v>
      </c>
      <c r="G5854">
        <v>-270.99549999999999</v>
      </c>
      <c r="H5854">
        <v>1.048645</v>
      </c>
      <c r="I5854">
        <v>-62.4169699999999</v>
      </c>
      <c r="J5854">
        <v>-271.63290000000001</v>
      </c>
      <c r="K5854">
        <v>1.1083609999999999</v>
      </c>
      <c r="L5854">
        <v>-62.40005</v>
      </c>
      <c r="M5854">
        <v>0.99824749999999995</v>
      </c>
      <c r="N5854">
        <v>0</v>
      </c>
      <c r="O5854">
        <v>5.8471540000000002E-2</v>
      </c>
      <c r="P5854">
        <v>0.99578500000000003</v>
      </c>
      <c r="Q5854">
        <v>7.7338399999999904E-2</v>
      </c>
      <c r="R5854">
        <v>-4.930702E-2</v>
      </c>
      <c r="S5854">
        <v>3.0289609999999998</v>
      </c>
      <c r="T5854">
        <v>-0.23355619999999999</v>
      </c>
      <c r="U5854">
        <v>-3.3660889999999999E-2</v>
      </c>
      <c r="V5854">
        <v>0.1074164</v>
      </c>
      <c r="W5854">
        <v>8.6420189999999994E-2</v>
      </c>
      <c r="X5854">
        <v>0.99045099999999997</v>
      </c>
      <c r="Y5854">
        <v>6.9184869999999996E-2</v>
      </c>
      <c r="Z5854">
        <v>-7.1637139999999998E-3</v>
      </c>
      <c r="AA5854">
        <v>0.99757810000000002</v>
      </c>
      <c r="AB5854">
        <v>30</v>
      </c>
      <c r="AC5854">
        <v>0.63740000000001296</v>
      </c>
      <c r="AD5854">
        <v>-5.9716000000000102E-2</v>
      </c>
      <c r="AE5854">
        <v>-1.6919999999991799E-2</v>
      </c>
      <c r="AF5854">
        <v>5.3691425337901298E-2</v>
      </c>
      <c r="AG5854">
        <v>-5.9716000000000102E-2</v>
      </c>
      <c r="AH5854">
        <v>0.62979601710161703</v>
      </c>
      <c r="AI5854">
        <v>95.397017060995907</v>
      </c>
      <c r="AJ5854">
        <v>85.127197426268296</v>
      </c>
      <c r="AK5854">
        <v>0.63489510390920201</v>
      </c>
      <c r="AL5854">
        <v>85.042303479392004</v>
      </c>
      <c r="AM5854">
        <v>83.810349223798895</v>
      </c>
      <c r="AN5854">
        <v>0.999999957814797</v>
      </c>
    </row>
    <row r="5855" spans="1:40" x14ac:dyDescent="0.25">
      <c r="A5855" t="str">
        <f>"20190312164621766"</f>
        <v>20190312164621766</v>
      </c>
      <c r="B5855" t="str">
        <f>"1552380381757606"</f>
        <v>1552380381757606</v>
      </c>
      <c r="C5855" t="s">
        <v>40</v>
      </c>
      <c r="D5855">
        <v>5.3059789999999998</v>
      </c>
      <c r="E5855">
        <v>0.49091770000000001</v>
      </c>
      <c r="F5855" t="s">
        <v>41</v>
      </c>
      <c r="G5855">
        <v>-270.73110000000003</v>
      </c>
      <c r="H5855">
        <v>1.0394129999999999</v>
      </c>
      <c r="I5855">
        <v>-62.410719999999998</v>
      </c>
      <c r="J5855">
        <v>-271.48070000000001</v>
      </c>
      <c r="K5855">
        <v>1.108201</v>
      </c>
      <c r="L5855">
        <v>-62.391170000000002</v>
      </c>
      <c r="M5855">
        <v>0.9982586</v>
      </c>
      <c r="N5855">
        <v>0</v>
      </c>
      <c r="O5855">
        <v>5.8281579999999999E-2</v>
      </c>
      <c r="P5855">
        <v>0.99575049999999998</v>
      </c>
      <c r="Q5855">
        <v>7.7605149999999998E-2</v>
      </c>
      <c r="R5855">
        <v>-4.9583750000000003E-2</v>
      </c>
      <c r="S5855">
        <v>3.0289000000000001</v>
      </c>
      <c r="T5855">
        <v>-0.23152790000000001</v>
      </c>
      <c r="U5855">
        <v>-3.5461430000000002E-2</v>
      </c>
      <c r="V5855">
        <v>0.1075357</v>
      </c>
      <c r="W5855">
        <v>8.6632529999999999E-2</v>
      </c>
      <c r="X5855">
        <v>0.99041959999999996</v>
      </c>
      <c r="Y5855">
        <v>6.9594089999999997E-2</v>
      </c>
      <c r="Z5855">
        <v>-7.1029580000000004E-3</v>
      </c>
      <c r="AA5855">
        <v>0.9975501</v>
      </c>
      <c r="AB5855">
        <v>30</v>
      </c>
      <c r="AC5855">
        <v>0.74959999999998606</v>
      </c>
      <c r="AD5855">
        <v>-6.8788000000000002E-2</v>
      </c>
      <c r="AE5855">
        <v>-1.9550000000002399E-2</v>
      </c>
      <c r="AF5855">
        <v>6.2678987842057499E-2</v>
      </c>
      <c r="AG5855">
        <v>-6.8788000000000002E-2</v>
      </c>
      <c r="AH5855">
        <v>0.74095091693348103</v>
      </c>
      <c r="AI5855">
        <v>95.285222297008502</v>
      </c>
      <c r="AJ5855">
        <v>85.164710949281499</v>
      </c>
      <c r="AK5855">
        <v>0.74677219134450301</v>
      </c>
      <c r="AL5855">
        <v>85.030091967209103</v>
      </c>
      <c r="AM5855">
        <v>83.803333330218095</v>
      </c>
      <c r="AN5855">
        <v>1.0000000530464199</v>
      </c>
    </row>
    <row r="5856" spans="1:40" x14ac:dyDescent="0.25">
      <c r="A5856" t="str">
        <f>"20190312164621778"</f>
        <v>20190312164621778</v>
      </c>
      <c r="B5856" t="str">
        <f>"1552380381767366"</f>
        <v>1552380381767366</v>
      </c>
      <c r="C5856" t="s">
        <v>40</v>
      </c>
      <c r="D5856">
        <v>5.2371059999999998</v>
      </c>
      <c r="E5856">
        <v>0.49097059999999998</v>
      </c>
      <c r="F5856" t="s">
        <v>41</v>
      </c>
      <c r="G5856">
        <v>-270.72460000000001</v>
      </c>
      <c r="H5856">
        <v>1.0508470000000001</v>
      </c>
      <c r="I5856">
        <v>-62.400359999999999</v>
      </c>
      <c r="J5856">
        <v>-271.33019999999999</v>
      </c>
      <c r="K5856">
        <v>1.108039</v>
      </c>
      <c r="L5856">
        <v>-62.382599999999996</v>
      </c>
      <c r="M5856">
        <v>0.99827889999999997</v>
      </c>
      <c r="N5856">
        <v>0</v>
      </c>
      <c r="O5856">
        <v>5.7934470000000002E-2</v>
      </c>
      <c r="P5856">
        <v>0.99573460000000003</v>
      </c>
      <c r="Q5856">
        <v>7.7649830000000003E-2</v>
      </c>
      <c r="R5856">
        <v>-4.9832309999999998E-2</v>
      </c>
      <c r="S5856">
        <v>3.02887</v>
      </c>
      <c r="T5856">
        <v>-0.22970769999999999</v>
      </c>
      <c r="U5856">
        <v>-3.6376949999999998E-2</v>
      </c>
      <c r="V5856">
        <v>0.10747230000000001</v>
      </c>
      <c r="W5856">
        <v>8.6623039999999998E-2</v>
      </c>
      <c r="X5856">
        <v>0.99042730000000001</v>
      </c>
      <c r="Y5856">
        <v>6.9555740000000005E-2</v>
      </c>
      <c r="Z5856">
        <v>-7.0196329999999999E-3</v>
      </c>
      <c r="AA5856">
        <v>0.99755329999999998</v>
      </c>
      <c r="AB5856">
        <v>30</v>
      </c>
      <c r="AC5856">
        <v>0.60559999999998104</v>
      </c>
      <c r="AD5856">
        <v>-5.7192000000000097E-2</v>
      </c>
      <c r="AE5856">
        <v>-1.77600000000026E-2</v>
      </c>
      <c r="AF5856">
        <v>5.23502438808486E-2</v>
      </c>
      <c r="AG5856">
        <v>-5.7192000000000097E-2</v>
      </c>
      <c r="AH5856">
        <v>0.59822303015753397</v>
      </c>
      <c r="AI5856">
        <v>95.440392947080994</v>
      </c>
      <c r="AJ5856">
        <v>84.998810892255193</v>
      </c>
      <c r="AK5856">
        <v>0.60322654675440601</v>
      </c>
      <c r="AL5856">
        <v>85.030637698141803</v>
      </c>
      <c r="AM5856">
        <v>83.807006085043696</v>
      </c>
      <c r="AN5856">
        <v>1.00000004145571</v>
      </c>
    </row>
    <row r="5857" spans="1:40" x14ac:dyDescent="0.25">
      <c r="A5857" t="str">
        <f>"20190312164621789"</f>
        <v>20190312164621789</v>
      </c>
      <c r="B5857" t="str">
        <f>"1552380381777127"</f>
        <v>1552380381777127</v>
      </c>
      <c r="C5857" t="s">
        <v>40</v>
      </c>
      <c r="D5857">
        <v>5.2478850000000001</v>
      </c>
      <c r="E5857">
        <v>0.49096780000000001</v>
      </c>
      <c r="F5857" t="s">
        <v>41</v>
      </c>
      <c r="G5857">
        <v>-270.46030000000002</v>
      </c>
      <c r="H5857">
        <v>1.042178</v>
      </c>
      <c r="I5857">
        <v>-62.393630000000002</v>
      </c>
      <c r="J5857">
        <v>-271.18090000000001</v>
      </c>
      <c r="K5857">
        <v>1.107877</v>
      </c>
      <c r="L5857">
        <v>-62.37415</v>
      </c>
      <c r="M5857">
        <v>0.99830129999999995</v>
      </c>
      <c r="N5857">
        <v>0</v>
      </c>
      <c r="O5857">
        <v>5.755267E-2</v>
      </c>
      <c r="P5857">
        <v>0.99573659999999997</v>
      </c>
      <c r="Q5857">
        <v>7.7467839999999996E-2</v>
      </c>
      <c r="R5857">
        <v>-5.007793E-2</v>
      </c>
      <c r="S5857">
        <v>3.02887</v>
      </c>
      <c r="T5857">
        <v>-0.2291783</v>
      </c>
      <c r="U5857">
        <v>-3.7689210000000001E-2</v>
      </c>
      <c r="V5857">
        <v>0.1073723</v>
      </c>
      <c r="W5857">
        <v>8.6387899999999906E-2</v>
      </c>
      <c r="X5857">
        <v>0.99045870000000003</v>
      </c>
      <c r="Y5857">
        <v>6.9608929999999999E-2</v>
      </c>
      <c r="Z5857">
        <v>-6.9766869999999996E-3</v>
      </c>
      <c r="AA5857">
        <v>0.99755000000000005</v>
      </c>
      <c r="AB5857">
        <v>30</v>
      </c>
      <c r="AC5857">
        <v>0.72059999999999003</v>
      </c>
      <c r="AD5857">
        <v>-6.5698999999999896E-2</v>
      </c>
      <c r="AE5857">
        <v>-1.9480000000001399E-2</v>
      </c>
      <c r="AF5857">
        <v>6.0419996019957102E-2</v>
      </c>
      <c r="AG5857">
        <v>-6.5698999999999896E-2</v>
      </c>
      <c r="AH5857">
        <v>0.71236712319708495</v>
      </c>
      <c r="AI5857">
        <v>95.250527514246002</v>
      </c>
      <c r="AJ5857">
        <v>85.152014736936906</v>
      </c>
      <c r="AK5857">
        <v>0.71793722060646903</v>
      </c>
      <c r="AL5857">
        <v>85.044161004072606</v>
      </c>
      <c r="AM5857">
        <v>83.8129184101265</v>
      </c>
      <c r="AN5857">
        <v>1.00000005823969</v>
      </c>
    </row>
    <row r="5858" spans="1:40" x14ac:dyDescent="0.25">
      <c r="A5858" t="str">
        <f>"20190312164621800"</f>
        <v>20190312164621800</v>
      </c>
      <c r="B5858" t="str">
        <f>"1552380381797623"</f>
        <v>1552380381797623</v>
      </c>
      <c r="C5858" t="s">
        <v>40</v>
      </c>
      <c r="D5858">
        <v>5.3700700000000001</v>
      </c>
      <c r="E5858">
        <v>0.49101729999999999</v>
      </c>
      <c r="F5858" t="s">
        <v>41</v>
      </c>
      <c r="G5858">
        <v>-270.19400000000002</v>
      </c>
      <c r="H5858">
        <v>1.03318</v>
      </c>
      <c r="I5858">
        <v>-62.386650000000003</v>
      </c>
      <c r="J5858">
        <v>-271.0299</v>
      </c>
      <c r="K5858">
        <v>1.1077129999999999</v>
      </c>
      <c r="L5858">
        <v>-62.365879999999997</v>
      </c>
      <c r="M5858">
        <v>0.99833329999999998</v>
      </c>
      <c r="N5858">
        <v>0</v>
      </c>
      <c r="O5858">
        <v>5.6994959999999997E-2</v>
      </c>
      <c r="P5858">
        <v>0.99571050000000005</v>
      </c>
      <c r="Q5858">
        <v>7.7449489999999996E-2</v>
      </c>
      <c r="R5858">
        <v>-5.0620869999999998E-2</v>
      </c>
      <c r="S5858">
        <v>3.0287480000000002</v>
      </c>
      <c r="T5858">
        <v>-0.22929849999999999</v>
      </c>
      <c r="U5858">
        <v>-3.8604739999999999E-2</v>
      </c>
      <c r="V5858">
        <v>0.107394</v>
      </c>
      <c r="W5858">
        <v>8.6317119999999997E-2</v>
      </c>
      <c r="X5858">
        <v>0.99046250000000002</v>
      </c>
      <c r="Y5858">
        <v>6.935558E-2</v>
      </c>
      <c r="Z5858">
        <v>-6.9289190000000004E-3</v>
      </c>
      <c r="AA5858">
        <v>0.99756800000000001</v>
      </c>
      <c r="AB5858">
        <v>30</v>
      </c>
      <c r="AC5858">
        <v>0.83589999999997999</v>
      </c>
      <c r="AD5858">
        <v>-7.4532999999999905E-2</v>
      </c>
      <c r="AE5858">
        <v>-2.07699999999988E-2</v>
      </c>
      <c r="AF5858">
        <v>6.7841248341586002E-2</v>
      </c>
      <c r="AG5858">
        <v>-7.4532999999999905E-2</v>
      </c>
      <c r="AH5858">
        <v>0.82678803709341597</v>
      </c>
      <c r="AI5858">
        <v>95.1339947353583</v>
      </c>
      <c r="AJ5858">
        <v>85.309162046413903</v>
      </c>
      <c r="AK5858">
        <v>0.832908195028917</v>
      </c>
      <c r="AL5858">
        <v>85.048231514561706</v>
      </c>
      <c r="AM5858">
        <v>83.811701256206007</v>
      </c>
      <c r="AN5858">
        <v>1.0000000401736699</v>
      </c>
    </row>
    <row r="5859" spans="1:40" x14ac:dyDescent="0.25">
      <c r="A5859" t="str">
        <f>"20190312164621812"</f>
        <v>20190312164621812</v>
      </c>
      <c r="B5859" t="str">
        <f>"1552380381807114"</f>
        <v>1552380381807114</v>
      </c>
      <c r="C5859" t="s">
        <v>40</v>
      </c>
      <c r="D5859">
        <v>5.3107930000000003</v>
      </c>
      <c r="E5859">
        <v>0.4909869</v>
      </c>
      <c r="F5859" t="s">
        <v>41</v>
      </c>
      <c r="G5859">
        <v>-270.18920000000003</v>
      </c>
      <c r="H5859">
        <v>1.0442640000000001</v>
      </c>
      <c r="I5859">
        <v>-62.377110000000002</v>
      </c>
      <c r="J5859">
        <v>-270.86720000000003</v>
      </c>
      <c r="K5859">
        <v>1.1075390000000001</v>
      </c>
      <c r="L5859">
        <v>-62.357059999999997</v>
      </c>
      <c r="M5859">
        <v>0.99837039999999999</v>
      </c>
      <c r="N5859">
        <v>0</v>
      </c>
      <c r="O5859">
        <v>5.6342469999999999E-2</v>
      </c>
      <c r="P5859">
        <v>0.99569759999999996</v>
      </c>
      <c r="Q5859">
        <v>7.7191350000000006E-2</v>
      </c>
      <c r="R5859">
        <v>-5.1259880000000001E-2</v>
      </c>
      <c r="S5859">
        <v>3.0286249999999999</v>
      </c>
      <c r="T5859">
        <v>-0.22863269999999999</v>
      </c>
      <c r="U5859">
        <v>-4.0740970000000001E-2</v>
      </c>
      <c r="V5859">
        <v>0.107419899999999</v>
      </c>
      <c r="W5859">
        <v>8.6003090000000004E-2</v>
      </c>
      <c r="X5859">
        <v>0.99048700000000001</v>
      </c>
      <c r="Y5859">
        <v>6.941137E-2</v>
      </c>
      <c r="Z5859">
        <v>-6.8620909999999999E-3</v>
      </c>
      <c r="AA5859">
        <v>0.99756449999999997</v>
      </c>
      <c r="AB5859">
        <v>30</v>
      </c>
      <c r="AC5859">
        <v>0.67799999999999705</v>
      </c>
      <c r="AD5859">
        <v>-6.3275000000000095E-2</v>
      </c>
      <c r="AE5859">
        <v>-2.0049999999997601E-2</v>
      </c>
      <c r="AF5859">
        <v>5.77176441776793E-2</v>
      </c>
      <c r="AG5859">
        <v>-6.3275000000000095E-2</v>
      </c>
      <c r="AH5859">
        <v>0.66996309439507895</v>
      </c>
      <c r="AI5859">
        <v>95.375530381196896</v>
      </c>
      <c r="AJ5859">
        <v>85.076098482223401</v>
      </c>
      <c r="AK5859">
        <v>0.67541513154936805</v>
      </c>
      <c r="AL5859">
        <v>85.066291224801603</v>
      </c>
      <c r="AM5859">
        <v>83.810372337503495</v>
      </c>
      <c r="AN5859">
        <v>1.0000000317872699</v>
      </c>
    </row>
    <row r="5860" spans="1:40" x14ac:dyDescent="0.25">
      <c r="A5860" t="str">
        <f>"20190312164621822"</f>
        <v>20190312164621822</v>
      </c>
      <c r="B5860" t="str">
        <f>"1552380381816874"</f>
        <v>1552380381816874</v>
      </c>
      <c r="C5860" t="s">
        <v>40</v>
      </c>
      <c r="D5860">
        <v>5.3109089999999997</v>
      </c>
      <c r="E5860">
        <v>0.49100080000000002</v>
      </c>
      <c r="F5860" t="s">
        <v>41</v>
      </c>
      <c r="G5860">
        <v>-269.92230000000001</v>
      </c>
      <c r="H5860">
        <v>1.0353779999999999</v>
      </c>
      <c r="I5860">
        <v>-62.370570000000001</v>
      </c>
      <c r="J5860">
        <v>-270.71609999999998</v>
      </c>
      <c r="K5860">
        <v>1.107383</v>
      </c>
      <c r="L5860">
        <v>-62.349089999999997</v>
      </c>
      <c r="M5860">
        <v>0.99841029999999997</v>
      </c>
      <c r="N5860">
        <v>0</v>
      </c>
      <c r="O5860">
        <v>5.5630409999999998E-2</v>
      </c>
      <c r="P5860">
        <v>0.99564949999999997</v>
      </c>
      <c r="Q5860">
        <v>7.7166349999999995E-2</v>
      </c>
      <c r="R5860">
        <v>-5.2226109999999999E-2</v>
      </c>
      <c r="S5860">
        <v>3.0287169999999999</v>
      </c>
      <c r="T5860">
        <v>-0.23106670000000001</v>
      </c>
      <c r="U5860">
        <v>-4.2541500000000003E-2</v>
      </c>
      <c r="V5860">
        <v>0.1077075</v>
      </c>
      <c r="W5860">
        <v>8.5928499999999894E-2</v>
      </c>
      <c r="X5860">
        <v>0.99046219999999996</v>
      </c>
      <c r="Y5860">
        <v>6.9287230000000005E-2</v>
      </c>
      <c r="Z5860">
        <v>-6.8757929999999998E-3</v>
      </c>
      <c r="AA5860">
        <v>0.99757309999999999</v>
      </c>
      <c r="AB5860">
        <v>30</v>
      </c>
      <c r="AC5860">
        <v>0.79379999999997597</v>
      </c>
      <c r="AD5860">
        <v>-7.2004999999999805E-2</v>
      </c>
      <c r="AE5860">
        <v>-2.1479999999989698E-2</v>
      </c>
      <c r="AF5860">
        <v>6.5072927785254295E-2</v>
      </c>
      <c r="AG5860">
        <v>-7.2004999999999805E-2</v>
      </c>
      <c r="AH5860">
        <v>0.78492191028970704</v>
      </c>
      <c r="AI5860">
        <v>95.223551860730296</v>
      </c>
      <c r="AJ5860">
        <v>85.260805789218793</v>
      </c>
      <c r="AK5860">
        <v>0.79089924213415996</v>
      </c>
      <c r="AL5860">
        <v>85.070580595651805</v>
      </c>
      <c r="AM5860">
        <v>83.793775540168099</v>
      </c>
      <c r="AN5860">
        <v>0.99999999114867</v>
      </c>
    </row>
    <row r="5861" spans="1:40" x14ac:dyDescent="0.25">
      <c r="A5861" t="str">
        <f>"20190312164621834"</f>
        <v>20190312164621834</v>
      </c>
      <c r="B5861" t="str">
        <f>"1552380381827614"</f>
        <v>1552380381827614</v>
      </c>
      <c r="C5861" t="s">
        <v>40</v>
      </c>
      <c r="D5861">
        <v>5.314673</v>
      </c>
      <c r="E5861">
        <v>0.49103400000000003</v>
      </c>
      <c r="F5861" t="s">
        <v>41</v>
      </c>
      <c r="G5861">
        <v>-269.91739999999999</v>
      </c>
      <c r="H5861">
        <v>1.046414</v>
      </c>
      <c r="I5861">
        <v>-62.361350000000002</v>
      </c>
      <c r="J5861">
        <v>-270.56540000000001</v>
      </c>
      <c r="K5861">
        <v>1.1072340000000001</v>
      </c>
      <c r="L5861">
        <v>-62.34131</v>
      </c>
      <c r="M5861">
        <v>0.99845399999999995</v>
      </c>
      <c r="N5861">
        <v>0</v>
      </c>
      <c r="O5861">
        <v>5.4843589999999998E-2</v>
      </c>
      <c r="P5861">
        <v>0.99560079999999995</v>
      </c>
      <c r="Q5861">
        <v>7.733698E-2</v>
      </c>
      <c r="R5861">
        <v>-5.2899210000000002E-2</v>
      </c>
      <c r="S5861">
        <v>3.0286249999999999</v>
      </c>
      <c r="T5861">
        <v>-0.23093</v>
      </c>
      <c r="U5861">
        <v>-4.5562739999999997E-2</v>
      </c>
      <c r="V5861">
        <v>0.107627</v>
      </c>
      <c r="W5861">
        <v>8.6052489999999995E-2</v>
      </c>
      <c r="X5861">
        <v>0.99046020000000001</v>
      </c>
      <c r="Y5861">
        <v>6.9498489999999996E-2</v>
      </c>
      <c r="Z5861">
        <v>-6.820113E-3</v>
      </c>
      <c r="AA5861">
        <v>0.99755879999999997</v>
      </c>
      <c r="AB5861">
        <v>30</v>
      </c>
      <c r="AC5861">
        <v>0.648000000000024</v>
      </c>
      <c r="AD5861">
        <v>-6.0820000000000103E-2</v>
      </c>
      <c r="AE5861">
        <v>-2.0040000000001602E-2</v>
      </c>
      <c r="AF5861">
        <v>5.5065311324201102E-2</v>
      </c>
      <c r="AG5861">
        <v>-6.0820000000000103E-2</v>
      </c>
      <c r="AH5861">
        <v>0.64029040312138596</v>
      </c>
      <c r="AI5861">
        <v>95.406302509863295</v>
      </c>
      <c r="AJ5861">
        <v>85.084627208692794</v>
      </c>
      <c r="AK5861">
        <v>0.64552541486805703</v>
      </c>
      <c r="AL5861">
        <v>85.063450148568293</v>
      </c>
      <c r="AM5861">
        <v>83.798365456312794</v>
      </c>
      <c r="AN5861">
        <v>1.00000000497412</v>
      </c>
    </row>
    <row r="5862" spans="1:40" x14ac:dyDescent="0.25">
      <c r="A5862" t="str">
        <f>"20190312164621845"</f>
        <v>20190312164621845</v>
      </c>
      <c r="B5862" t="str">
        <f>"1552380381837370"</f>
        <v>1552380381837370</v>
      </c>
      <c r="C5862" t="s">
        <v>40</v>
      </c>
      <c r="D5862">
        <v>5.318943</v>
      </c>
      <c r="E5862">
        <v>0.49112689999999998</v>
      </c>
      <c r="F5862" t="s">
        <v>41</v>
      </c>
      <c r="G5862">
        <v>-269.64980000000003</v>
      </c>
      <c r="H5862">
        <v>1.037812</v>
      </c>
      <c r="I5862">
        <v>-62.356099999999998</v>
      </c>
      <c r="J5862">
        <v>-270.41980000000001</v>
      </c>
      <c r="K5862">
        <v>1.107097</v>
      </c>
      <c r="L5862">
        <v>-62.333979999999997</v>
      </c>
      <c r="M5862">
        <v>0.99849900000000003</v>
      </c>
      <c r="N5862">
        <v>0</v>
      </c>
      <c r="O5862">
        <v>5.4020739999999998E-2</v>
      </c>
      <c r="P5862">
        <v>0.99553930000000002</v>
      </c>
      <c r="Q5862">
        <v>7.7584959999999994E-2</v>
      </c>
      <c r="R5862">
        <v>-5.3688340000000001E-2</v>
      </c>
      <c r="S5862">
        <v>3.0285030000000002</v>
      </c>
      <c r="T5862">
        <v>-0.2294621</v>
      </c>
      <c r="U5862">
        <v>-4.8126219999999997E-2</v>
      </c>
      <c r="V5862">
        <v>0.107624499999999</v>
      </c>
      <c r="W5862">
        <v>8.6257249999999994E-2</v>
      </c>
      <c r="X5862">
        <v>0.99044259999999995</v>
      </c>
      <c r="Y5862">
        <v>6.9528019999999996E-2</v>
      </c>
      <c r="Z5862">
        <v>-6.7160600000000003E-3</v>
      </c>
      <c r="AA5862">
        <v>0.99755740000000004</v>
      </c>
      <c r="AB5862">
        <v>30</v>
      </c>
      <c r="AC5862">
        <v>0.76999999999998103</v>
      </c>
      <c r="AD5862">
        <v>-6.9284999999999805E-2</v>
      </c>
      <c r="AE5862">
        <v>-2.2119999999993901E-2</v>
      </c>
      <c r="AF5862">
        <v>6.3174294595669894E-2</v>
      </c>
      <c r="AG5862">
        <v>-6.9284999999999805E-2</v>
      </c>
      <c r="AH5862">
        <v>0.76152001926310198</v>
      </c>
      <c r="AI5862">
        <v>95.180901090248398</v>
      </c>
      <c r="AJ5862">
        <v>85.257706946516507</v>
      </c>
      <c r="AK5862">
        <v>0.76727057969215495</v>
      </c>
      <c r="AL5862">
        <v>85.051674182658402</v>
      </c>
      <c r="AM5862">
        <v>83.798399046937405</v>
      </c>
      <c r="AN5862">
        <v>0.99999994503628398</v>
      </c>
    </row>
    <row r="5863" spans="1:40" x14ac:dyDescent="0.25">
      <c r="A5863" t="str">
        <f>"20190312164621856"</f>
        <v>20190312164621856</v>
      </c>
      <c r="B5863" t="str">
        <f>"1552380381847130"</f>
        <v>1552380381847130</v>
      </c>
      <c r="C5863" t="s">
        <v>40</v>
      </c>
      <c r="D5863">
        <v>5.3102939999999998</v>
      </c>
      <c r="E5863">
        <v>0.4911819</v>
      </c>
      <c r="F5863" t="s">
        <v>41</v>
      </c>
      <c r="G5863">
        <v>-269.64460000000003</v>
      </c>
      <c r="H5863">
        <v>1.04799</v>
      </c>
      <c r="I5863">
        <v>-62.347349999999999</v>
      </c>
      <c r="J5863">
        <v>-270.27030000000002</v>
      </c>
      <c r="K5863">
        <v>1.1069690000000001</v>
      </c>
      <c r="L5863">
        <v>-62.326749999999997</v>
      </c>
      <c r="M5863">
        <v>0.99854900000000002</v>
      </c>
      <c r="N5863">
        <v>0</v>
      </c>
      <c r="O5863">
        <v>5.3085420000000001E-2</v>
      </c>
      <c r="P5863">
        <v>0.99547770000000002</v>
      </c>
      <c r="Q5863">
        <v>7.7719940000000001E-2</v>
      </c>
      <c r="R5863">
        <v>-5.4625880000000002E-2</v>
      </c>
      <c r="S5863">
        <v>3.0286249999999999</v>
      </c>
      <c r="T5863">
        <v>-0.23067940000000001</v>
      </c>
      <c r="U5863">
        <v>-5.130005E-2</v>
      </c>
      <c r="V5863">
        <v>0.10765660000000001</v>
      </c>
      <c r="W5863">
        <v>8.6351319999999995E-2</v>
      </c>
      <c r="X5863">
        <v>0.99043099999999995</v>
      </c>
      <c r="Y5863">
        <v>6.9636729999999994E-2</v>
      </c>
      <c r="Z5863">
        <v>-6.6843450000000004E-3</v>
      </c>
      <c r="AA5863">
        <v>0.99755000000000005</v>
      </c>
      <c r="AB5863">
        <v>30</v>
      </c>
      <c r="AC5863">
        <v>0.62569999999999404</v>
      </c>
      <c r="AD5863">
        <v>-5.8979000000000101E-2</v>
      </c>
      <c r="AE5863">
        <v>-2.06000000000017E-2</v>
      </c>
      <c r="AF5863">
        <v>5.3314664135593597E-2</v>
      </c>
      <c r="AG5863">
        <v>-5.8979000000000101E-2</v>
      </c>
      <c r="AH5863">
        <v>0.61823691928722402</v>
      </c>
      <c r="AI5863">
        <v>95.429421143422005</v>
      </c>
      <c r="AJ5863">
        <v>85.071199420588997</v>
      </c>
      <c r="AK5863">
        <v>0.62332805505820799</v>
      </c>
      <c r="AL5863">
        <v>85.046264604038797</v>
      </c>
      <c r="AM5863">
        <v>83.796491692904397</v>
      </c>
      <c r="AN5863">
        <v>1.0000000298751499</v>
      </c>
    </row>
    <row r="5864" spans="1:40" x14ac:dyDescent="0.25">
      <c r="A5864" t="str">
        <f>"20190312164621867"</f>
        <v>20190312164621867</v>
      </c>
      <c r="B5864" t="str">
        <f>"1552380381856890"</f>
        <v>1552380381856890</v>
      </c>
      <c r="C5864" t="s">
        <v>40</v>
      </c>
      <c r="D5864">
        <v>5.3163070000000001</v>
      </c>
      <c r="E5864">
        <v>0.49122700000000002</v>
      </c>
      <c r="F5864" t="s">
        <v>41</v>
      </c>
      <c r="G5864">
        <v>-269.37740000000002</v>
      </c>
      <c r="H5864">
        <v>1.038586</v>
      </c>
      <c r="I5864">
        <v>-62.343060000000001</v>
      </c>
      <c r="J5864">
        <v>-270.11200000000002</v>
      </c>
      <c r="K5864">
        <v>1.106833</v>
      </c>
      <c r="L5864">
        <v>-62.319119999999998</v>
      </c>
      <c r="M5864">
        <v>0.99860349999999998</v>
      </c>
      <c r="N5864">
        <v>0</v>
      </c>
      <c r="O5864">
        <v>5.205452E-2</v>
      </c>
      <c r="P5864">
        <v>0.99541259999999998</v>
      </c>
      <c r="Q5864">
        <v>7.8025419999999998E-2</v>
      </c>
      <c r="R5864">
        <v>-5.5373020000000002E-2</v>
      </c>
      <c r="S5864">
        <v>3.0287480000000002</v>
      </c>
      <c r="T5864">
        <v>-0.23178489999999999</v>
      </c>
      <c r="U5864">
        <v>-5.4595949999999997E-2</v>
      </c>
      <c r="V5864">
        <v>0.1074049</v>
      </c>
      <c r="W5864">
        <v>8.6616390000000001E-2</v>
      </c>
      <c r="X5864">
        <v>0.99043519999999896</v>
      </c>
      <c r="Y5864">
        <v>6.96909E-2</v>
      </c>
      <c r="Z5864">
        <v>-6.6393399999999997E-3</v>
      </c>
      <c r="AA5864">
        <v>0.99754659999999995</v>
      </c>
      <c r="AB5864">
        <v>30</v>
      </c>
      <c r="AC5864">
        <v>0.73460000000000003</v>
      </c>
      <c r="AD5864">
        <v>-6.8246999999999905E-2</v>
      </c>
      <c r="AE5864">
        <v>-2.3939999999995999E-2</v>
      </c>
      <c r="AF5864">
        <v>6.1617088975944603E-2</v>
      </c>
      <c r="AG5864">
        <v>-6.8246999999999905E-2</v>
      </c>
      <c r="AH5864">
        <v>0.72609738710659399</v>
      </c>
      <c r="AI5864">
        <v>95.350424155083104</v>
      </c>
      <c r="AJ5864">
        <v>85.149464637760502</v>
      </c>
      <c r="AK5864">
        <v>0.73189598593371996</v>
      </c>
      <c r="AL5864">
        <v>85.031020187524405</v>
      </c>
      <c r="AM5864">
        <v>83.810908780730102</v>
      </c>
      <c r="AN5864">
        <v>1.0000000484798299</v>
      </c>
    </row>
    <row r="5865" spans="1:40" x14ac:dyDescent="0.25">
      <c r="A5865" t="str">
        <f>"20190312164621879"</f>
        <v>20190312164621879</v>
      </c>
      <c r="B5865" t="str">
        <f>"1552380381867626"</f>
        <v>1552380381867626</v>
      </c>
      <c r="C5865" t="s">
        <v>40</v>
      </c>
      <c r="D5865">
        <v>5.3021859999999998</v>
      </c>
      <c r="E5865">
        <v>0.49134559999999999</v>
      </c>
      <c r="F5865" t="s">
        <v>41</v>
      </c>
      <c r="G5865">
        <v>-269.37060000000002</v>
      </c>
      <c r="H5865">
        <v>1.049971</v>
      </c>
      <c r="I5865">
        <v>-62.33334</v>
      </c>
      <c r="J5865">
        <v>-269.9649</v>
      </c>
      <c r="K5865">
        <v>1.1067279999999999</v>
      </c>
      <c r="L5865">
        <v>-62.312469999999998</v>
      </c>
      <c r="M5865">
        <v>0.99865800000000005</v>
      </c>
      <c r="N5865">
        <v>0</v>
      </c>
      <c r="O5865">
        <v>5.0997439999999998E-2</v>
      </c>
      <c r="P5865">
        <v>0.99535850000000003</v>
      </c>
      <c r="Q5865">
        <v>7.810889E-2</v>
      </c>
      <c r="R5865">
        <v>-5.6216879999999997E-2</v>
      </c>
      <c r="S5865">
        <v>3.0288390000000001</v>
      </c>
      <c r="T5865">
        <v>-0.2320219</v>
      </c>
      <c r="U5865">
        <v>-5.725098E-2</v>
      </c>
      <c r="V5865">
        <v>0.10721849999999999</v>
      </c>
      <c r="W5865">
        <v>8.6667220000000003E-2</v>
      </c>
      <c r="X5865">
        <v>0.99045090000000002</v>
      </c>
      <c r="Y5865">
        <v>6.9511470000000006E-2</v>
      </c>
      <c r="Z5865">
        <v>-6.5582219999999998E-3</v>
      </c>
      <c r="AA5865">
        <v>0.99755959999999999</v>
      </c>
      <c r="AB5865">
        <v>30</v>
      </c>
      <c r="AC5865">
        <v>0.59429999999997496</v>
      </c>
      <c r="AD5865">
        <v>-5.6757000000000099E-2</v>
      </c>
      <c r="AE5865">
        <v>-2.0870000000002099E-2</v>
      </c>
      <c r="AF5865">
        <v>5.0690095616447203E-2</v>
      </c>
      <c r="AG5865">
        <v>-5.6757000000000099E-2</v>
      </c>
      <c r="AH5865">
        <v>0.58711397885453898</v>
      </c>
      <c r="AI5865">
        <v>95.501352718882998</v>
      </c>
      <c r="AJ5865">
        <v>85.065448509541696</v>
      </c>
      <c r="AK5865">
        <v>0.59202505606520806</v>
      </c>
      <c r="AL5865">
        <v>85.028096606117998</v>
      </c>
      <c r="AM5865">
        <v>83.821663914225496</v>
      </c>
      <c r="AN5865">
        <v>0.99999999953779395</v>
      </c>
    </row>
    <row r="5866" spans="1:40" x14ac:dyDescent="0.25">
      <c r="A5866" t="str">
        <f>"20190312164621891"</f>
        <v>20190312164621891</v>
      </c>
      <c r="B5866" t="str">
        <f>"1552380381887146"</f>
        <v>1552380381887146</v>
      </c>
      <c r="C5866" t="s">
        <v>40</v>
      </c>
      <c r="D5866">
        <v>5.2870429999999997</v>
      </c>
      <c r="E5866">
        <v>0.4913749</v>
      </c>
      <c r="F5866" t="s">
        <v>41</v>
      </c>
      <c r="G5866">
        <v>-269.10410000000002</v>
      </c>
      <c r="H5866">
        <v>1.040384</v>
      </c>
      <c r="I5866">
        <v>-62.329700000000003</v>
      </c>
      <c r="J5866">
        <v>-269.80520000000001</v>
      </c>
      <c r="K5866">
        <v>1.106614</v>
      </c>
      <c r="L5866">
        <v>-62.305269999999901</v>
      </c>
      <c r="M5866">
        <v>0.99871710000000002</v>
      </c>
      <c r="N5866">
        <v>0</v>
      </c>
      <c r="O5866">
        <v>4.9829579999999998E-2</v>
      </c>
      <c r="P5866">
        <v>0.99528419999999895</v>
      </c>
      <c r="Q5866">
        <v>7.8372399999999995E-2</v>
      </c>
      <c r="R5866">
        <v>-5.7159809999999998E-2</v>
      </c>
      <c r="S5866">
        <v>3.02887</v>
      </c>
      <c r="T5866">
        <v>-0.23340959999999999</v>
      </c>
      <c r="U5866">
        <v>-6.0516359999999998E-2</v>
      </c>
      <c r="V5866">
        <v>0.107021699999999</v>
      </c>
      <c r="W5866">
        <v>8.6896199999999896E-2</v>
      </c>
      <c r="X5866">
        <v>0.99045209999999995</v>
      </c>
      <c r="Y5866">
        <v>6.941928E-2</v>
      </c>
      <c r="Z5866">
        <v>-6.5038789999999997E-3</v>
      </c>
      <c r="AA5866">
        <v>0.99756630000000002</v>
      </c>
      <c r="AB5866">
        <v>30</v>
      </c>
      <c r="AC5866">
        <v>0.70109999999999595</v>
      </c>
      <c r="AD5866">
        <v>-6.6229999999999997E-2</v>
      </c>
      <c r="AE5866">
        <v>-2.44300000000095E-2</v>
      </c>
      <c r="AF5866">
        <v>5.8812392180340997E-2</v>
      </c>
      <c r="AG5866">
        <v>-6.6229999999999997E-2</v>
      </c>
      <c r="AH5866">
        <v>0.69283635952603995</v>
      </c>
      <c r="AI5866">
        <v>95.441008136156199</v>
      </c>
      <c r="AJ5866">
        <v>85.147998611708203</v>
      </c>
      <c r="AK5866">
        <v>0.69847514734260197</v>
      </c>
      <c r="AL5866">
        <v>85.014927228413001</v>
      </c>
      <c r="AM5866">
        <v>83.832924224205001</v>
      </c>
      <c r="AN5866">
        <v>0.99999997811986896</v>
      </c>
    </row>
    <row r="5867" spans="1:40" x14ac:dyDescent="0.25">
      <c r="A5867" t="str">
        <f>"20190312164621901"</f>
        <v>20190312164621901</v>
      </c>
      <c r="B5867" t="str">
        <f>"1552380381896907"</f>
        <v>1552380381896907</v>
      </c>
      <c r="C5867" t="s">
        <v>40</v>
      </c>
      <c r="D5867">
        <v>5.4310660000000004</v>
      </c>
      <c r="E5867">
        <v>0.491421</v>
      </c>
      <c r="F5867" t="s">
        <v>41</v>
      </c>
      <c r="G5867">
        <v>-268.83479999999997</v>
      </c>
      <c r="H5867">
        <v>1.0317909999999999</v>
      </c>
      <c r="I5867">
        <v>-62.325899999999997</v>
      </c>
      <c r="J5867">
        <v>-269.6551</v>
      </c>
      <c r="K5867">
        <v>1.106522</v>
      </c>
      <c r="L5867">
        <v>-62.298859999999998</v>
      </c>
      <c r="M5867">
        <v>0.99877439999999995</v>
      </c>
      <c r="N5867">
        <v>0</v>
      </c>
      <c r="O5867">
        <v>4.8667780000000001E-2</v>
      </c>
      <c r="P5867">
        <v>0.99521210000000004</v>
      </c>
      <c r="Q5867">
        <v>7.8452010000000003E-2</v>
      </c>
      <c r="R5867">
        <v>-5.8293629999999999E-2</v>
      </c>
      <c r="S5867">
        <v>3.0289609999999998</v>
      </c>
      <c r="T5867">
        <v>-0.23336009999999999</v>
      </c>
      <c r="U5867">
        <v>-6.3415529999999998E-2</v>
      </c>
      <c r="V5867">
        <v>0.1070164</v>
      </c>
      <c r="W5867">
        <v>8.6948440000000002E-2</v>
      </c>
      <c r="X5867">
        <v>0.99044810000000005</v>
      </c>
      <c r="Y5867">
        <v>6.9216910000000006E-2</v>
      </c>
      <c r="Z5867">
        <v>-6.4051719999999998E-3</v>
      </c>
      <c r="AA5867">
        <v>0.9975811</v>
      </c>
      <c r="AB5867">
        <v>30</v>
      </c>
      <c r="AC5867">
        <v>0.820300000000031</v>
      </c>
      <c r="AD5867">
        <v>-7.4731000000000103E-2</v>
      </c>
      <c r="AE5867">
        <v>-2.7039999999999498E-2</v>
      </c>
      <c r="AF5867">
        <v>6.6381415424017598E-2</v>
      </c>
      <c r="AG5867">
        <v>-7.4731000000000103E-2</v>
      </c>
      <c r="AH5867">
        <v>0.81128582911528002</v>
      </c>
      <c r="AI5867">
        <v>95.245475530429005</v>
      </c>
      <c r="AJ5867">
        <v>85.322337728822802</v>
      </c>
      <c r="AK5867">
        <v>0.81742027819106799</v>
      </c>
      <c r="AL5867">
        <v>85.011922784168902</v>
      </c>
      <c r="AM5867">
        <v>83.833202567913503</v>
      </c>
      <c r="AN5867">
        <v>0.99999998994050099</v>
      </c>
    </row>
    <row r="5868" spans="1:40" x14ac:dyDescent="0.25">
      <c r="A5868" t="str">
        <f>"20190312164621914"</f>
        <v>20190312164621914</v>
      </c>
      <c r="B5868" t="str">
        <f>"1552380381907287"</f>
        <v>1552380381907287</v>
      </c>
      <c r="C5868" t="s">
        <v>40</v>
      </c>
      <c r="D5868">
        <v>5.3421640000000004</v>
      </c>
      <c r="E5868">
        <v>0.49146840000000003</v>
      </c>
      <c r="F5868" t="s">
        <v>41</v>
      </c>
      <c r="G5868">
        <v>-268.8297</v>
      </c>
      <c r="H5868">
        <v>1.043126</v>
      </c>
      <c r="I5868">
        <v>-62.31738</v>
      </c>
      <c r="J5868">
        <v>-269.48059999999998</v>
      </c>
      <c r="K5868">
        <v>1.1064290000000001</v>
      </c>
      <c r="L5868">
        <v>-62.291559999999997</v>
      </c>
      <c r="M5868">
        <v>0.99884050000000002</v>
      </c>
      <c r="N5868">
        <v>0</v>
      </c>
      <c r="O5868">
        <v>4.7290749999999999E-2</v>
      </c>
      <c r="P5868">
        <v>0.99513490000000004</v>
      </c>
      <c r="Q5868">
        <v>7.8564540000000002E-2</v>
      </c>
      <c r="R5868">
        <v>-5.9451940000000002E-2</v>
      </c>
      <c r="S5868">
        <v>3.0288390000000001</v>
      </c>
      <c r="T5868">
        <v>-0.2323625</v>
      </c>
      <c r="U5868">
        <v>-6.6802979999999998E-2</v>
      </c>
      <c r="V5868">
        <v>0.10682220000000001</v>
      </c>
      <c r="W5868">
        <v>8.7032529999999997E-2</v>
      </c>
      <c r="X5868">
        <v>0.9904617</v>
      </c>
      <c r="Y5868">
        <v>6.8965319999999997E-2</v>
      </c>
      <c r="Z5868">
        <v>-6.2630269999999896E-3</v>
      </c>
      <c r="AA5868">
        <v>0.99759940000000003</v>
      </c>
      <c r="AB5868">
        <v>30</v>
      </c>
      <c r="AC5868">
        <v>0.65089999999997805</v>
      </c>
      <c r="AD5868">
        <v>-6.3303000000000095E-2</v>
      </c>
      <c r="AE5868">
        <v>-2.5820000000010099E-2</v>
      </c>
      <c r="AF5868">
        <v>5.6044646238207797E-2</v>
      </c>
      <c r="AG5868">
        <v>-6.3303000000000095E-2</v>
      </c>
      <c r="AH5868">
        <v>0.64287950399409299</v>
      </c>
      <c r="AI5868">
        <v>95.602553526523195</v>
      </c>
      <c r="AJ5868">
        <v>85.017691791042495</v>
      </c>
      <c r="AK5868">
        <v>0.64841524414271501</v>
      </c>
      <c r="AL5868">
        <v>85.007086555721003</v>
      </c>
      <c r="AM5868">
        <v>83.844391183610398</v>
      </c>
      <c r="AN5868">
        <v>1.00000001142896</v>
      </c>
    </row>
    <row r="5869" spans="1:40" x14ac:dyDescent="0.25">
      <c r="A5869" t="str">
        <f>"20190312164621924"</f>
        <v>20190312164621924</v>
      </c>
      <c r="B5869" t="str">
        <f>"1552380381917046"</f>
        <v>1552380381917046</v>
      </c>
      <c r="C5869" t="s">
        <v>40</v>
      </c>
      <c r="D5869">
        <v>5.2985389999999999</v>
      </c>
      <c r="E5869">
        <v>0.49149700000000002</v>
      </c>
      <c r="F5869" t="s">
        <v>41</v>
      </c>
      <c r="G5869">
        <v>-268.55930000000001</v>
      </c>
      <c r="H5869">
        <v>1.036122</v>
      </c>
      <c r="I5869">
        <v>-62.312910000000002</v>
      </c>
      <c r="J5869">
        <v>-269.3408</v>
      </c>
      <c r="K5869">
        <v>1.1063639999999999</v>
      </c>
      <c r="L5869">
        <v>-62.28595</v>
      </c>
      <c r="M5869">
        <v>0.99889329999999998</v>
      </c>
      <c r="N5869">
        <v>0</v>
      </c>
      <c r="O5869">
        <v>4.6162349999999998E-2</v>
      </c>
      <c r="P5869">
        <v>0.99509879999999995</v>
      </c>
      <c r="Q5869">
        <v>7.8475760000000006E-2</v>
      </c>
      <c r="R5869">
        <v>-6.0166850000000001E-2</v>
      </c>
      <c r="S5869">
        <v>3.0287480000000002</v>
      </c>
      <c r="T5869">
        <v>-0.23113719999999999</v>
      </c>
      <c r="U5869">
        <v>-7.0007319999999998E-2</v>
      </c>
      <c r="V5869">
        <v>0.10642740000000001</v>
      </c>
      <c r="W5869">
        <v>8.6926119999999996E-2</v>
      </c>
      <c r="X5869">
        <v>0.99051350000000005</v>
      </c>
      <c r="Y5869">
        <v>6.8900959999999997E-2</v>
      </c>
      <c r="Z5869">
        <v>-6.1418469999999998E-3</v>
      </c>
      <c r="AA5869">
        <v>0.99760459999999995</v>
      </c>
      <c r="AB5869">
        <v>30</v>
      </c>
      <c r="AC5869">
        <v>0.78149999999999398</v>
      </c>
      <c r="AD5869">
        <v>-7.0241999999999902E-2</v>
      </c>
      <c r="AE5869">
        <v>-2.6959999999995401E-2</v>
      </c>
      <c r="AF5869">
        <v>6.2504252247328501E-2</v>
      </c>
      <c r="AG5869">
        <v>-7.0241999999999902E-2</v>
      </c>
      <c r="AH5869">
        <v>0.77318341711934102</v>
      </c>
      <c r="AI5869">
        <v>95.174157755968196</v>
      </c>
      <c r="AJ5869">
        <v>85.3782518365378</v>
      </c>
      <c r="AK5869">
        <v>0.778879526384754</v>
      </c>
      <c r="AL5869">
        <v>85.013206375389004</v>
      </c>
      <c r="AM5869">
        <v>83.867286047359997</v>
      </c>
      <c r="AN5869">
        <v>0.99999996774563105</v>
      </c>
    </row>
    <row r="5870" spans="1:40" x14ac:dyDescent="0.25">
      <c r="A5870" t="str">
        <f>"20190312164621934"</f>
        <v>20190312164621934</v>
      </c>
      <c r="B5870" t="str">
        <f>"1552380381927783"</f>
        <v>1552380381927783</v>
      </c>
      <c r="C5870" t="s">
        <v>40</v>
      </c>
      <c r="D5870">
        <v>5.394711</v>
      </c>
      <c r="E5870">
        <v>0.49147200000000002</v>
      </c>
      <c r="F5870" t="s">
        <v>41</v>
      </c>
      <c r="G5870">
        <v>-268.55439999999999</v>
      </c>
      <c r="H5870">
        <v>1.046181</v>
      </c>
      <c r="I5870">
        <v>-62.304560000000002</v>
      </c>
      <c r="J5870">
        <v>-269.19839999999999</v>
      </c>
      <c r="K5870">
        <v>1.1063080000000001</v>
      </c>
      <c r="L5870">
        <v>-62.280430000000003</v>
      </c>
      <c r="M5870">
        <v>0.99894669999999997</v>
      </c>
      <c r="N5870">
        <v>0</v>
      </c>
      <c r="O5870">
        <v>4.4995540000000001E-2</v>
      </c>
      <c r="P5870">
        <v>0.99507999999999996</v>
      </c>
      <c r="Q5870">
        <v>7.8163730000000001E-2</v>
      </c>
      <c r="R5870">
        <v>-6.0881440000000002E-2</v>
      </c>
      <c r="S5870">
        <v>3.028778</v>
      </c>
      <c r="T5870">
        <v>-0.23175899999999999</v>
      </c>
      <c r="U5870">
        <v>-7.1472170000000002E-2</v>
      </c>
      <c r="V5870">
        <v>0.10599169999999999</v>
      </c>
      <c r="W5870">
        <v>8.6599770000000006E-2</v>
      </c>
      <c r="X5870">
        <v>0.99058880000000005</v>
      </c>
      <c r="Y5870">
        <v>6.8221260000000006E-2</v>
      </c>
      <c r="Z5870">
        <v>-6.0431740000000001E-3</v>
      </c>
      <c r="AA5870">
        <v>0.99765190000000004</v>
      </c>
      <c r="AB5870">
        <v>30</v>
      </c>
      <c r="AC5870">
        <v>0.64400000000000501</v>
      </c>
      <c r="AD5870">
        <v>-6.0127E-2</v>
      </c>
      <c r="AE5870">
        <v>-2.4129999999992401E-2</v>
      </c>
      <c r="AF5870">
        <v>5.2625762752818099E-2</v>
      </c>
      <c r="AG5870">
        <v>-6.0127E-2</v>
      </c>
      <c r="AH5870">
        <v>0.63671940433672802</v>
      </c>
      <c r="AI5870">
        <v>95.376361362292698</v>
      </c>
      <c r="AJ5870">
        <v>85.275161809736403</v>
      </c>
      <c r="AK5870">
        <v>0.64171358633991304</v>
      </c>
      <c r="AL5870">
        <v>85.031975622478498</v>
      </c>
      <c r="AM5870">
        <v>83.892663204677703</v>
      </c>
      <c r="AN5870">
        <v>0.99999996565919003</v>
      </c>
    </row>
    <row r="5871" spans="1:40" x14ac:dyDescent="0.25">
      <c r="A5871" t="str">
        <f>"20190312164621945"</f>
        <v>20190312164621945</v>
      </c>
      <c r="B5871" t="str">
        <f>"1552380381937542"</f>
        <v>1552380381937542</v>
      </c>
      <c r="C5871" t="s">
        <v>40</v>
      </c>
      <c r="D5871">
        <v>5.3611440000000004</v>
      </c>
      <c r="E5871">
        <v>0.49147109999999999</v>
      </c>
      <c r="F5871" t="s">
        <v>41</v>
      </c>
      <c r="G5871">
        <v>-268.28530000000001</v>
      </c>
      <c r="H5871">
        <v>1.03586</v>
      </c>
      <c r="I5871">
        <v>-62.302590000000002</v>
      </c>
      <c r="J5871">
        <v>-269.04849999999999</v>
      </c>
      <c r="K5871">
        <v>1.10626</v>
      </c>
      <c r="L5871">
        <v>-62.274749999999997</v>
      </c>
      <c r="M5871">
        <v>0.9990019</v>
      </c>
      <c r="N5871">
        <v>0</v>
      </c>
      <c r="O5871">
        <v>4.375573E-2</v>
      </c>
      <c r="P5871">
        <v>0.99506280000000003</v>
      </c>
      <c r="Q5871">
        <v>7.7715409999999999E-2</v>
      </c>
      <c r="R5871">
        <v>-6.1731809999999998E-2</v>
      </c>
      <c r="S5871">
        <v>3.0287169999999999</v>
      </c>
      <c r="T5871">
        <v>-0.2335689</v>
      </c>
      <c r="U5871">
        <v>-7.2845460000000001E-2</v>
      </c>
      <c r="V5871">
        <v>0.1056174</v>
      </c>
      <c r="W5871">
        <v>8.6138000000000006E-2</v>
      </c>
      <c r="X5871">
        <v>0.99066909999999997</v>
      </c>
      <c r="Y5871">
        <v>6.7436460000000004E-2</v>
      </c>
      <c r="Z5871">
        <v>-5.9646990000000004E-3</v>
      </c>
      <c r="AA5871">
        <v>0.99770579999999998</v>
      </c>
      <c r="AB5871">
        <v>31</v>
      </c>
      <c r="AC5871">
        <v>0.763199999999983</v>
      </c>
      <c r="AD5871">
        <v>-7.0400000000000004E-2</v>
      </c>
      <c r="AE5871">
        <v>-2.7840000000004701E-2</v>
      </c>
      <c r="AF5871">
        <v>6.06933127040944E-2</v>
      </c>
      <c r="AG5871">
        <v>-7.0400000000000004E-2</v>
      </c>
      <c r="AH5871">
        <v>0.75483656233732999</v>
      </c>
      <c r="AI5871">
        <v>95.311247364862297</v>
      </c>
      <c r="AJ5871">
        <v>85.402971057642205</v>
      </c>
      <c r="AK5871">
        <v>0.76053801617554595</v>
      </c>
      <c r="AL5871">
        <v>85.058532640788002</v>
      </c>
      <c r="AM5871">
        <v>83.914558165326795</v>
      </c>
      <c r="AN5871">
        <v>1.0000000279607799</v>
      </c>
    </row>
    <row r="5872" spans="1:40" x14ac:dyDescent="0.25">
      <c r="A5872" t="str">
        <f>"20190312164621957"</f>
        <v>20190312164621957</v>
      </c>
      <c r="B5872" t="str">
        <f>"1552380381947303"</f>
        <v>1552380381947303</v>
      </c>
      <c r="C5872" t="s">
        <v>40</v>
      </c>
      <c r="D5872">
        <v>5.455781</v>
      </c>
      <c r="E5872">
        <v>0.49147109999999999</v>
      </c>
      <c r="F5872" t="s">
        <v>41</v>
      </c>
      <c r="G5872">
        <v>-268.27969999999999</v>
      </c>
      <c r="H5872">
        <v>1.046759</v>
      </c>
      <c r="I5872">
        <v>-62.294029999999999</v>
      </c>
      <c r="J5872">
        <v>-268.89940000000001</v>
      </c>
      <c r="K5872">
        <v>1.106222</v>
      </c>
      <c r="L5872">
        <v>-62.269410000000001</v>
      </c>
      <c r="M5872">
        <v>0.99905540000000004</v>
      </c>
      <c r="N5872">
        <v>0</v>
      </c>
      <c r="O5872">
        <v>4.2517439999999997E-2</v>
      </c>
      <c r="P5872">
        <v>0.99502159999999995</v>
      </c>
      <c r="Q5872">
        <v>7.7671260000000006E-2</v>
      </c>
      <c r="R5872">
        <v>-6.244396E-2</v>
      </c>
      <c r="S5872">
        <v>3.0285340000000001</v>
      </c>
      <c r="T5872">
        <v>-0.23422780000000001</v>
      </c>
      <c r="U5872">
        <v>-7.5164789999999995E-2</v>
      </c>
      <c r="V5872">
        <v>0.1051049</v>
      </c>
      <c r="W5872">
        <v>8.6084320000000006E-2</v>
      </c>
      <c r="X5872">
        <v>0.99072830000000001</v>
      </c>
      <c r="Y5872">
        <v>6.6968079999999999E-2</v>
      </c>
      <c r="Z5872">
        <v>-5.8681369999999998E-3</v>
      </c>
      <c r="AA5872">
        <v>0.99773789999999996</v>
      </c>
      <c r="AB5872">
        <v>31</v>
      </c>
      <c r="AC5872">
        <v>0.61970000000002201</v>
      </c>
      <c r="AD5872">
        <v>-5.9463000000000002E-2</v>
      </c>
      <c r="AE5872">
        <v>-2.46200000000058E-2</v>
      </c>
      <c r="AF5872">
        <v>5.0482778255702902E-2</v>
      </c>
      <c r="AG5872">
        <v>-5.9463000000000002E-2</v>
      </c>
      <c r="AH5872">
        <v>0.61246253575167298</v>
      </c>
      <c r="AI5872">
        <v>95.526748537790496</v>
      </c>
      <c r="AJ5872">
        <v>85.287995472044997</v>
      </c>
      <c r="AK5872">
        <v>0.61740968324831402</v>
      </c>
      <c r="AL5872">
        <v>85.061619890271103</v>
      </c>
      <c r="AM5872">
        <v>83.944226497099805</v>
      </c>
      <c r="AN5872">
        <v>1.00000005728737</v>
      </c>
    </row>
    <row r="5873" spans="1:40" x14ac:dyDescent="0.25">
      <c r="A5873" t="str">
        <f>"20190312164621967"</f>
        <v>20190312164621967</v>
      </c>
      <c r="B5873" t="str">
        <f>"1552380381957064"</f>
        <v>1552380381957064</v>
      </c>
      <c r="C5873" t="s">
        <v>40</v>
      </c>
      <c r="D5873">
        <v>5.4715429999999996</v>
      </c>
      <c r="E5873">
        <v>0.4719816</v>
      </c>
      <c r="F5873" t="s">
        <v>41</v>
      </c>
      <c r="G5873">
        <v>-268.01</v>
      </c>
      <c r="H5873">
        <v>1.037344</v>
      </c>
      <c r="I5873">
        <v>-62.29233</v>
      </c>
      <c r="J5873">
        <v>-268.74759999999998</v>
      </c>
      <c r="K5873">
        <v>1.10619</v>
      </c>
      <c r="L5873">
        <v>-62.264009999999999</v>
      </c>
      <c r="M5873">
        <v>0.99910829999999995</v>
      </c>
      <c r="N5873">
        <v>0</v>
      </c>
      <c r="O5873">
        <v>4.1255319999999998E-2</v>
      </c>
      <c r="P5873">
        <v>0.99499950000000004</v>
      </c>
      <c r="Q5873">
        <v>7.7214080000000004E-2</v>
      </c>
      <c r="R5873">
        <v>-6.3356670000000004E-2</v>
      </c>
      <c r="S5873">
        <v>3.0285030000000002</v>
      </c>
      <c r="T5873">
        <v>-0.23433329999999999</v>
      </c>
      <c r="U5873">
        <v>-7.7270510000000001E-2</v>
      </c>
      <c r="V5873">
        <v>0.104766899999999</v>
      </c>
      <c r="W5873">
        <v>8.5618760000000002E-2</v>
      </c>
      <c r="X5873">
        <v>0.99080440000000003</v>
      </c>
      <c r="Y5873">
        <v>6.6406320000000005E-2</v>
      </c>
      <c r="Z5873">
        <v>-5.7516319999999996E-3</v>
      </c>
      <c r="AA5873">
        <v>0.99777610000000005</v>
      </c>
      <c r="AB5873">
        <v>31</v>
      </c>
      <c r="AC5873">
        <v>0.73759999999998604</v>
      </c>
      <c r="AD5873">
        <v>-6.8845999999999893E-2</v>
      </c>
      <c r="AE5873">
        <v>-2.8320000000007801E-2</v>
      </c>
      <c r="AF5873">
        <v>5.8220569586578598E-2</v>
      </c>
      <c r="AG5873">
        <v>-6.8845999999999893E-2</v>
      </c>
      <c r="AH5873">
        <v>0.72945793616945798</v>
      </c>
      <c r="AI5873">
        <v>95.374595248261699</v>
      </c>
      <c r="AJ5873">
        <v>85.436698277311905</v>
      </c>
      <c r="AK5873">
        <v>0.73500903877407597</v>
      </c>
      <c r="AL5873">
        <v>85.088393164095507</v>
      </c>
      <c r="AM5873">
        <v>83.964017060483798</v>
      </c>
      <c r="AN5873">
        <v>1.0000000172294501</v>
      </c>
    </row>
    <row r="5874" spans="1:40" x14ac:dyDescent="0.25">
      <c r="A5874" t="str">
        <f>"20190312164621979"</f>
        <v>20190312164621979</v>
      </c>
      <c r="B5874" t="str">
        <f>"1552380381977559"</f>
        <v>1552380381977559</v>
      </c>
      <c r="C5874" t="s">
        <v>40</v>
      </c>
      <c r="D5874">
        <v>5.3813789999999999</v>
      </c>
      <c r="E5874">
        <v>0.4689952</v>
      </c>
      <c r="F5874" t="s">
        <v>90</v>
      </c>
      <c r="G5874">
        <v>-249.8023</v>
      </c>
      <c r="H5874" s="1">
        <v>-3.4651040000000002E-6</v>
      </c>
      <c r="I5874">
        <v>-61.822699999999998</v>
      </c>
      <c r="J5874">
        <v>-268.59179999999998</v>
      </c>
      <c r="K5874">
        <v>1.106176</v>
      </c>
      <c r="L5874">
        <v>-62.258819999999901</v>
      </c>
      <c r="M5874">
        <v>0.99916050000000001</v>
      </c>
      <c r="N5874">
        <v>0</v>
      </c>
      <c r="O5874">
        <v>3.99715E-2</v>
      </c>
      <c r="P5874">
        <v>0.99494090000000002</v>
      </c>
      <c r="Q5874">
        <v>7.7245430000000004E-2</v>
      </c>
      <c r="R5874">
        <v>-6.4232109999999995E-2</v>
      </c>
      <c r="S5874">
        <v>3.033325</v>
      </c>
      <c r="T5874">
        <v>-0.177112299999999</v>
      </c>
      <c r="U5874">
        <v>7.064819E-2</v>
      </c>
      <c r="V5874">
        <v>0.104368</v>
      </c>
      <c r="W5874">
        <v>8.5644899999999996E-2</v>
      </c>
      <c r="X5874">
        <v>0.99084419999999995</v>
      </c>
      <c r="Y5874">
        <v>1.660027E-2</v>
      </c>
      <c r="Z5874">
        <v>-2.8151019999999999E-3</v>
      </c>
      <c r="AA5874">
        <v>0.99985829999999998</v>
      </c>
      <c r="AB5874">
        <v>31</v>
      </c>
      <c r="AC5874">
        <v>18.789499999999901</v>
      </c>
      <c r="AD5874">
        <v>-1.106179465104</v>
      </c>
      <c r="AE5874">
        <v>0.43611999999999501</v>
      </c>
      <c r="AF5874">
        <v>0.31421486223996498</v>
      </c>
      <c r="AG5874">
        <v>-1.106179465104</v>
      </c>
      <c r="AH5874">
        <v>18.7270438586213</v>
      </c>
      <c r="AI5874">
        <v>93.379976486116604</v>
      </c>
      <c r="AJ5874">
        <v>89.038743303715904</v>
      </c>
      <c r="AK5874">
        <v>18.7623169057394</v>
      </c>
      <c r="AL5874">
        <v>85.086889740076501</v>
      </c>
      <c r="AM5874">
        <v>83.987070130879601</v>
      </c>
      <c r="AN5874">
        <v>0.99999997849682398</v>
      </c>
    </row>
    <row r="5875" spans="1:40" x14ac:dyDescent="0.25">
      <c r="A5875" t="str">
        <f>"20190312164621992"</f>
        <v>20190312164621992</v>
      </c>
      <c r="B5875" t="str">
        <f>"1552380381987318"</f>
        <v>1552380381987318</v>
      </c>
      <c r="C5875" t="s">
        <v>40</v>
      </c>
      <c r="D5875">
        <v>5.4222020000000004</v>
      </c>
      <c r="E5875">
        <v>0.4689952</v>
      </c>
      <c r="F5875" t="s">
        <v>90</v>
      </c>
      <c r="G5875">
        <v>-245.4966</v>
      </c>
      <c r="H5875" s="1">
        <v>-1.663376E-6</v>
      </c>
      <c r="I5875">
        <v>-61.579569999999997</v>
      </c>
      <c r="J5875">
        <v>-268.42520000000002</v>
      </c>
      <c r="K5875">
        <v>1.106168</v>
      </c>
      <c r="L5875">
        <v>-62.253360000000001</v>
      </c>
      <c r="M5875">
        <v>0.99921409999999999</v>
      </c>
      <c r="N5875">
        <v>0</v>
      </c>
      <c r="O5875">
        <v>3.8608360000000001E-2</v>
      </c>
      <c r="P5875">
        <v>0.99485579999999996</v>
      </c>
      <c r="Q5875">
        <v>7.7265449999999999E-2</v>
      </c>
      <c r="R5875">
        <v>-6.5513420000000003E-2</v>
      </c>
      <c r="S5875">
        <v>3.032257</v>
      </c>
      <c r="T5875">
        <v>-0.14523449999999999</v>
      </c>
      <c r="U5875">
        <v>8.9172360000000006E-2</v>
      </c>
      <c r="V5875">
        <v>0.104294</v>
      </c>
      <c r="W5875">
        <v>8.5659620000000006E-2</v>
      </c>
      <c r="X5875">
        <v>0.99085069999999997</v>
      </c>
      <c r="Y5875">
        <v>9.1652590000000003E-3</v>
      </c>
      <c r="Z5875">
        <v>-2.0665340000000001E-3</v>
      </c>
      <c r="AA5875">
        <v>0.99995590000000001</v>
      </c>
      <c r="AB5875">
        <v>31</v>
      </c>
      <c r="AC5875">
        <v>22.928599999999999</v>
      </c>
      <c r="AD5875">
        <v>-1.1061696633759901</v>
      </c>
      <c r="AE5875">
        <v>0.673790000000003</v>
      </c>
      <c r="AF5875">
        <v>0.21149189410774999</v>
      </c>
      <c r="AG5875">
        <v>-1.1061696633759901</v>
      </c>
      <c r="AH5875">
        <v>22.884301377402402</v>
      </c>
      <c r="AI5875">
        <v>92.767262116076694</v>
      </c>
      <c r="AJ5875">
        <v>89.470499546354404</v>
      </c>
      <c r="AK5875">
        <v>22.911996632271698</v>
      </c>
      <c r="AL5875">
        <v>85.086043140854699</v>
      </c>
      <c r="AM5875">
        <v>83.991341403647795</v>
      </c>
      <c r="AN5875">
        <v>0.99999995931251595</v>
      </c>
    </row>
    <row r="5876" spans="1:40" x14ac:dyDescent="0.25">
      <c r="A5876" t="str">
        <f>"20190312164622001"</f>
        <v>20190312164622001</v>
      </c>
      <c r="B5876" t="str">
        <f>"1552380381997078"</f>
        <v>1552380381997078</v>
      </c>
      <c r="C5876" t="s">
        <v>40</v>
      </c>
      <c r="D5876">
        <v>5.6842940000000004</v>
      </c>
      <c r="E5876">
        <v>0.46919719999999998</v>
      </c>
      <c r="F5876" t="s">
        <v>90</v>
      </c>
      <c r="G5876">
        <v>-245.30340000000001</v>
      </c>
      <c r="H5876" s="1">
        <v>-1.586569E-6</v>
      </c>
      <c r="I5876">
        <v>-61.602449999999997</v>
      </c>
      <c r="J5876">
        <v>-268.2731</v>
      </c>
      <c r="K5876">
        <v>1.1061749999999999</v>
      </c>
      <c r="L5876">
        <v>-62.248660000000001</v>
      </c>
      <c r="M5876">
        <v>0.9992605</v>
      </c>
      <c r="N5876">
        <v>0</v>
      </c>
      <c r="O5876">
        <v>3.738735E-2</v>
      </c>
      <c r="P5876">
        <v>0.99478929999999999</v>
      </c>
      <c r="Q5876">
        <v>7.7410740000000006E-2</v>
      </c>
      <c r="R5876">
        <v>-6.6347160000000002E-2</v>
      </c>
      <c r="S5876">
        <v>3.03241</v>
      </c>
      <c r="T5876">
        <v>-0.14507329999999999</v>
      </c>
      <c r="U5876">
        <v>8.5357669999999997E-2</v>
      </c>
      <c r="V5876">
        <v>0.1039128</v>
      </c>
      <c r="W5876">
        <v>8.5804980000000003E-2</v>
      </c>
      <c r="X5876">
        <v>0.99087820000000004</v>
      </c>
      <c r="Y5876">
        <v>9.2031960000000003E-3</v>
      </c>
      <c r="Z5876">
        <v>-2.0067700000000002E-3</v>
      </c>
      <c r="AA5876">
        <v>0.9999557</v>
      </c>
      <c r="AB5876">
        <v>31</v>
      </c>
      <c r="AC5876">
        <v>22.9696999999999</v>
      </c>
      <c r="AD5876">
        <v>-1.1061765865690001</v>
      </c>
      <c r="AE5876">
        <v>0.64621000000000295</v>
      </c>
      <c r="AF5876">
        <v>0.21256009636475301</v>
      </c>
      <c r="AG5876">
        <v>-1.1061765865690001</v>
      </c>
      <c r="AH5876">
        <v>22.924675590790802</v>
      </c>
      <c r="AI5876">
        <v>92.762412545338293</v>
      </c>
      <c r="AJ5876">
        <v>89.468762496878199</v>
      </c>
      <c r="AK5876">
        <v>22.9523323298143</v>
      </c>
      <c r="AL5876">
        <v>85.077683980099593</v>
      </c>
      <c r="AM5876">
        <v>84.013308513430701</v>
      </c>
      <c r="AN5876">
        <v>0.99999998591593997</v>
      </c>
    </row>
    <row r="5877" spans="1:40" x14ac:dyDescent="0.25">
      <c r="A5877" t="str">
        <f>"20190312164622013"</f>
        <v>20190312164622013</v>
      </c>
      <c r="B5877" t="str">
        <f>"1552380382006838"</f>
        <v>1552380382006838</v>
      </c>
      <c r="C5877" t="s">
        <v>40</v>
      </c>
      <c r="D5877">
        <v>5.4455479999999996</v>
      </c>
      <c r="E5877">
        <v>0.46883960000000002</v>
      </c>
      <c r="F5877" t="s">
        <v>90</v>
      </c>
      <c r="G5877">
        <v>-245.3407</v>
      </c>
      <c r="H5877" s="1">
        <v>-1.609937E-6</v>
      </c>
      <c r="I5877">
        <v>-61.630119999999998</v>
      </c>
      <c r="J5877">
        <v>-268.113</v>
      </c>
      <c r="K5877">
        <v>1.1061859999999999</v>
      </c>
      <c r="L5877">
        <v>-62.2438</v>
      </c>
      <c r="M5877">
        <v>0.99930719999999995</v>
      </c>
      <c r="N5877">
        <v>0</v>
      </c>
      <c r="O5877">
        <v>3.6120300000000001E-2</v>
      </c>
      <c r="P5877">
        <v>0.99468520000000005</v>
      </c>
      <c r="Q5877">
        <v>7.7684459999999997E-2</v>
      </c>
      <c r="R5877">
        <v>-6.7577410000000004E-2</v>
      </c>
      <c r="S5877">
        <v>3.032562</v>
      </c>
      <c r="T5877">
        <v>-0.14627979999999999</v>
      </c>
      <c r="U5877">
        <v>8.1787109999999996E-2</v>
      </c>
      <c r="V5877">
        <v>0.103880399999999</v>
      </c>
      <c r="W5877">
        <v>8.6077680000000004E-2</v>
      </c>
      <c r="X5877">
        <v>0.99085800000000002</v>
      </c>
      <c r="Y5877">
        <v>9.1138480000000008E-3</v>
      </c>
      <c r="Z5877">
        <v>-1.9602E-3</v>
      </c>
      <c r="AA5877">
        <v>0.99995650000000003</v>
      </c>
      <c r="AB5877">
        <v>31</v>
      </c>
      <c r="AC5877">
        <v>22.772300000000001</v>
      </c>
      <c r="AD5877">
        <v>-1.106187609937</v>
      </c>
      <c r="AE5877">
        <v>0.613680000000002</v>
      </c>
      <c r="AF5877">
        <v>0.20880354224424699</v>
      </c>
      <c r="AG5877">
        <v>-1.106187609937</v>
      </c>
      <c r="AH5877">
        <v>22.7260198478753</v>
      </c>
      <c r="AI5877">
        <v>92.786551711758094</v>
      </c>
      <c r="AJ5877">
        <v>89.473589076609798</v>
      </c>
      <c r="AK5877">
        <v>22.753883801972201</v>
      </c>
      <c r="AL5877">
        <v>85.062001667702702</v>
      </c>
      <c r="AM5877">
        <v>84.015040489288694</v>
      </c>
      <c r="AN5877">
        <v>1.00000004033117</v>
      </c>
    </row>
    <row r="5878" spans="1:40" x14ac:dyDescent="0.25">
      <c r="A5878" t="str">
        <f>"20190312164622024"</f>
        <v>20190312164622024</v>
      </c>
      <c r="B5878" t="str">
        <f>"1552380382017574"</f>
        <v>1552380382017574</v>
      </c>
      <c r="C5878" t="s">
        <v>40</v>
      </c>
      <c r="D5878">
        <v>5.4486420000000004</v>
      </c>
      <c r="E5878">
        <v>0.46851500000000001</v>
      </c>
      <c r="F5878" t="s">
        <v>90</v>
      </c>
      <c r="G5878">
        <v>-244.31610000000001</v>
      </c>
      <c r="H5878" s="1">
        <v>-1.165321E-6</v>
      </c>
      <c r="I5878">
        <v>-61.611040000000003</v>
      </c>
      <c r="J5878">
        <v>-267.96210000000002</v>
      </c>
      <c r="K5878">
        <v>1.106201</v>
      </c>
      <c r="L5878">
        <v>-62.239440000000002</v>
      </c>
      <c r="M5878">
        <v>0.99934889999999998</v>
      </c>
      <c r="N5878">
        <v>0</v>
      </c>
      <c r="O5878">
        <v>3.4947739999999998E-2</v>
      </c>
      <c r="P5878">
        <v>0.99457479999999998</v>
      </c>
      <c r="Q5878">
        <v>7.8247289999999997E-2</v>
      </c>
      <c r="R5878">
        <v>-6.8545389999999998E-2</v>
      </c>
      <c r="S5878">
        <v>3.0325319999999998</v>
      </c>
      <c r="T5878">
        <v>-0.14096589999999901</v>
      </c>
      <c r="U5878">
        <v>8.0627439999999995E-2</v>
      </c>
      <c r="V5878">
        <v>0.10367999999999999</v>
      </c>
      <c r="W5878">
        <v>8.6642049999999998E-2</v>
      </c>
      <c r="X5878">
        <v>0.99082979999999998</v>
      </c>
      <c r="Y5878">
        <v>8.32824699999999E-3</v>
      </c>
      <c r="Z5878">
        <v>-1.816425E-3</v>
      </c>
      <c r="AA5878">
        <v>0.99996359999999995</v>
      </c>
      <c r="AB5878">
        <v>31</v>
      </c>
      <c r="AC5878">
        <v>23.646000000000001</v>
      </c>
      <c r="AD5878">
        <v>-1.1062021653209999</v>
      </c>
      <c r="AE5878">
        <v>0.62839999999999896</v>
      </c>
      <c r="AF5878">
        <v>0.19795845650906199</v>
      </c>
      <c r="AG5878">
        <v>-1.1062021653209999</v>
      </c>
      <c r="AH5878">
        <v>23.601899367513798</v>
      </c>
      <c r="AI5878">
        <v>92.683349384282096</v>
      </c>
      <c r="AJ5878">
        <v>89.519448924709295</v>
      </c>
      <c r="AK5878">
        <v>23.628637805326701</v>
      </c>
      <c r="AL5878">
        <v>85.029544387201994</v>
      </c>
      <c r="AM5878">
        <v>84.026333977774399</v>
      </c>
      <c r="AN5878">
        <v>1.0000000398981199</v>
      </c>
    </row>
    <row r="5879" spans="1:40" x14ac:dyDescent="0.25">
      <c r="A5879" t="str">
        <f>"20190312164622035"</f>
        <v>20190312164622035</v>
      </c>
      <c r="B5879" t="str">
        <f>"1552380382027335"</f>
        <v>1552380382027335</v>
      </c>
      <c r="C5879" t="s">
        <v>40</v>
      </c>
      <c r="D5879">
        <v>5.4648219999999998</v>
      </c>
      <c r="E5879">
        <v>0.46771829999999998</v>
      </c>
      <c r="F5879" t="s">
        <v>90</v>
      </c>
      <c r="G5879">
        <v>-243.7713</v>
      </c>
      <c r="H5879" s="1">
        <v>-9.2872210000000002E-7</v>
      </c>
      <c r="I5879">
        <v>-61.600169999999999</v>
      </c>
      <c r="J5879">
        <v>-267.81939999999997</v>
      </c>
      <c r="K5879">
        <v>1.106222</v>
      </c>
      <c r="L5879">
        <v>-62.235439999999997</v>
      </c>
      <c r="M5879">
        <v>0.99938610000000005</v>
      </c>
      <c r="N5879">
        <v>0</v>
      </c>
      <c r="O5879">
        <v>3.3867340000000003E-2</v>
      </c>
      <c r="P5879">
        <v>0.9944558</v>
      </c>
      <c r="Q5879">
        <v>7.8959000000000001E-2</v>
      </c>
      <c r="R5879">
        <v>-6.9450709999999999E-2</v>
      </c>
      <c r="S5879">
        <v>3.0328369999999998</v>
      </c>
      <c r="T5879">
        <v>-0.13868649999999999</v>
      </c>
      <c r="U5879">
        <v>8.0139160000000001E-2</v>
      </c>
      <c r="V5879">
        <v>0.1035078</v>
      </c>
      <c r="W5879">
        <v>8.7356950000000003E-2</v>
      </c>
      <c r="X5879">
        <v>0.99078500000000003</v>
      </c>
      <c r="Y5879">
        <v>7.4143380000000004E-3</v>
      </c>
      <c r="Z5879">
        <v>-1.7166900000000001E-3</v>
      </c>
      <c r="AA5879">
        <v>0.99997100000000005</v>
      </c>
      <c r="AB5879">
        <v>31</v>
      </c>
      <c r="AC5879">
        <v>24.048099999999899</v>
      </c>
      <c r="AD5879">
        <v>-1.1062229287220999</v>
      </c>
      <c r="AE5879">
        <v>0.635270000000005</v>
      </c>
      <c r="AF5879">
        <v>0.17919347657864301</v>
      </c>
      <c r="AG5879">
        <v>-1.1062229287220999</v>
      </c>
      <c r="AH5879">
        <v>24.0050589267343</v>
      </c>
      <c r="AI5879">
        <v>92.638416073426399</v>
      </c>
      <c r="AJ5879">
        <v>89.572305185469503</v>
      </c>
      <c r="AK5879">
        <v>24.031202498960901</v>
      </c>
      <c r="AL5879">
        <v>84.988427579186194</v>
      </c>
      <c r="AM5879">
        <v>84.035916231721103</v>
      </c>
      <c r="AN5879">
        <v>1.00000000879957</v>
      </c>
    </row>
    <row r="5880" spans="1:40" x14ac:dyDescent="0.25">
      <c r="A5880" t="str">
        <f>"20190312164622046"</f>
        <v>20190312164622046</v>
      </c>
      <c r="B5880" t="str">
        <f>"1552380382037095"</f>
        <v>1552380382037095</v>
      </c>
      <c r="C5880" t="s">
        <v>40</v>
      </c>
      <c r="D5880">
        <v>5.352983</v>
      </c>
      <c r="E5880">
        <v>0.46735149999999998</v>
      </c>
      <c r="F5880" t="s">
        <v>90</v>
      </c>
      <c r="G5880">
        <v>-244.55269999999999</v>
      </c>
      <c r="H5880" s="1">
        <v>-1.261142E-6</v>
      </c>
      <c r="I5880">
        <v>-61.589709999999997</v>
      </c>
      <c r="J5880">
        <v>-267.65839999999997</v>
      </c>
      <c r="K5880">
        <v>1.10625</v>
      </c>
      <c r="L5880">
        <v>-62.231110000000001</v>
      </c>
      <c r="M5880">
        <v>0.99942609999999998</v>
      </c>
      <c r="N5880">
        <v>0</v>
      </c>
      <c r="O5880">
        <v>3.2667420000000003E-2</v>
      </c>
      <c r="P5880">
        <v>0.99425399999999997</v>
      </c>
      <c r="Q5880">
        <v>8.0161789999999997E-2</v>
      </c>
      <c r="R5880">
        <v>-7.094425E-2</v>
      </c>
      <c r="S5880">
        <v>3.0340579999999999</v>
      </c>
      <c r="T5880">
        <v>-0.1442552</v>
      </c>
      <c r="U5880">
        <v>8.4197999999999995E-2</v>
      </c>
      <c r="V5880">
        <v>0.1038037</v>
      </c>
      <c r="W5880">
        <v>8.856058E-2</v>
      </c>
      <c r="X5880">
        <v>0.99064719999999995</v>
      </c>
      <c r="Y5880">
        <v>4.888318E-3</v>
      </c>
      <c r="Z5880">
        <v>-1.6678070000000001E-3</v>
      </c>
      <c r="AA5880">
        <v>0.99998659999999995</v>
      </c>
      <c r="AB5880">
        <v>31</v>
      </c>
      <c r="AC5880">
        <v>23.105699999999899</v>
      </c>
      <c r="AD5880">
        <v>-1.1062512611419999</v>
      </c>
      <c r="AE5880">
        <v>0.64140000000000397</v>
      </c>
      <c r="AF5880">
        <v>0.113516262873486</v>
      </c>
      <c r="AG5880">
        <v>-1.1062512611419999</v>
      </c>
      <c r="AH5880">
        <v>23.061497795364801</v>
      </c>
      <c r="AI5880">
        <v>92.746318252101304</v>
      </c>
      <c r="AJ5880">
        <v>89.717973641692893</v>
      </c>
      <c r="AK5880">
        <v>23.0882948344032</v>
      </c>
      <c r="AL5880">
        <v>84.919196430431995</v>
      </c>
      <c r="AM5880">
        <v>84.018164058692307</v>
      </c>
      <c r="AN5880">
        <v>1.0000000296657301</v>
      </c>
    </row>
    <row r="5881" spans="1:40" x14ac:dyDescent="0.25">
      <c r="A5881" t="str">
        <f>"20190312164622057"</f>
        <v>20190312164622057</v>
      </c>
      <c r="B5881" t="str">
        <f>"1552380382047832"</f>
        <v>1552380382047832</v>
      </c>
      <c r="C5881" t="s">
        <v>40</v>
      </c>
      <c r="D5881">
        <v>5.352983</v>
      </c>
      <c r="E5881">
        <v>0.46724019999999999</v>
      </c>
      <c r="F5881" t="s">
        <v>90</v>
      </c>
      <c r="G5881">
        <v>-244.80500000000001</v>
      </c>
      <c r="H5881" s="1">
        <v>-1.3734799999999999E-6</v>
      </c>
      <c r="I5881">
        <v>-61.6051</v>
      </c>
      <c r="J5881">
        <v>-267.50470000000001</v>
      </c>
      <c r="K5881">
        <v>1.1062829999999999</v>
      </c>
      <c r="L5881">
        <v>-62.227139999999999</v>
      </c>
      <c r="M5881">
        <v>0.9994613</v>
      </c>
      <c r="N5881">
        <v>0</v>
      </c>
      <c r="O5881">
        <v>3.1571559999999999E-2</v>
      </c>
      <c r="P5881">
        <v>0.99408969999999997</v>
      </c>
      <c r="Q5881">
        <v>8.1048090000000003E-2</v>
      </c>
      <c r="R5881">
        <v>-7.2227260000000001E-2</v>
      </c>
      <c r="S5881">
        <v>3.0350950000000001</v>
      </c>
      <c r="T5881">
        <v>-0.14691779999999999</v>
      </c>
      <c r="U5881">
        <v>8.3129880000000003E-2</v>
      </c>
      <c r="V5881">
        <v>0.103990899999999</v>
      </c>
      <c r="W5881">
        <v>8.9451589999999997E-2</v>
      </c>
      <c r="X5881">
        <v>0.99054750000000003</v>
      </c>
      <c r="Y5881">
        <v>4.1535770000000003E-3</v>
      </c>
      <c r="Z5881">
        <v>-1.627241E-3</v>
      </c>
      <c r="AA5881">
        <v>0.99999000000000005</v>
      </c>
      <c r="AB5881">
        <v>31</v>
      </c>
      <c r="AC5881">
        <v>22.6997</v>
      </c>
      <c r="AD5881">
        <v>-1.1062843734800001</v>
      </c>
      <c r="AE5881">
        <v>0.62204000000000503</v>
      </c>
      <c r="AF5881">
        <v>9.4738996896030894E-2</v>
      </c>
      <c r="AG5881">
        <v>-1.1062843734800001</v>
      </c>
      <c r="AH5881">
        <v>22.654255554787799</v>
      </c>
      <c r="AI5881">
        <v>92.795702525708094</v>
      </c>
      <c r="AJ5881">
        <v>89.760393228509002</v>
      </c>
      <c r="AK5881">
        <v>22.681449145373701</v>
      </c>
      <c r="AL5881">
        <v>84.867941853201998</v>
      </c>
      <c r="AM5881">
        <v>84.006856052880394</v>
      </c>
      <c r="AN5881">
        <v>1.0000000219962899</v>
      </c>
    </row>
    <row r="5882" spans="1:40" x14ac:dyDescent="0.25">
      <c r="A5882" t="str">
        <f>"20190312164622069"</f>
        <v>20190312164622069</v>
      </c>
      <c r="B5882" t="str">
        <f>"1552380382057591"</f>
        <v>1552380382057591</v>
      </c>
      <c r="C5882" t="s">
        <v>40</v>
      </c>
      <c r="D5882">
        <v>5.3843569999999996</v>
      </c>
      <c r="E5882">
        <v>0.46750999999999998</v>
      </c>
      <c r="F5882" t="s">
        <v>90</v>
      </c>
      <c r="G5882">
        <v>-245.03559999999999</v>
      </c>
      <c r="H5882" s="1">
        <v>-1.478144E-6</v>
      </c>
      <c r="I5882">
        <v>-61.626739999999998</v>
      </c>
      <c r="J5882">
        <v>-267.35289999999998</v>
      </c>
      <c r="K5882">
        <v>1.106317</v>
      </c>
      <c r="L5882">
        <v>-62.223300000000002</v>
      </c>
      <c r="M5882">
        <v>0.99949469999999996</v>
      </c>
      <c r="N5882">
        <v>0</v>
      </c>
      <c r="O5882">
        <v>3.0500269999999999E-2</v>
      </c>
      <c r="P5882">
        <v>0.99391479999999999</v>
      </c>
      <c r="Q5882">
        <v>8.1928340000000002E-2</v>
      </c>
      <c r="R5882">
        <v>-7.3630150000000005E-2</v>
      </c>
      <c r="S5882">
        <v>3.0359189999999998</v>
      </c>
      <c r="T5882">
        <v>-0.14947559999999999</v>
      </c>
      <c r="U5882">
        <v>8.1115720000000002E-2</v>
      </c>
      <c r="V5882">
        <v>0.1043217</v>
      </c>
      <c r="W5882">
        <v>9.0335380000000007E-2</v>
      </c>
      <c r="X5882">
        <v>0.99043250000000005</v>
      </c>
      <c r="Y5882">
        <v>3.752455E-3</v>
      </c>
      <c r="Z5882">
        <v>-1.592563E-3</v>
      </c>
      <c r="AA5882">
        <v>0.99999170000000004</v>
      </c>
      <c r="AB5882">
        <v>31</v>
      </c>
      <c r="AC5882">
        <v>22.3172999999999</v>
      </c>
      <c r="AD5882">
        <v>-1.1063184781440001</v>
      </c>
      <c r="AE5882">
        <v>0.59655999999999598</v>
      </c>
      <c r="AF5882">
        <v>8.4221678814105805E-2</v>
      </c>
      <c r="AG5882">
        <v>-1.1063184781440001</v>
      </c>
      <c r="AH5882">
        <v>22.270423794045701</v>
      </c>
      <c r="AI5882">
        <v>92.843900207080097</v>
      </c>
      <c r="AJ5882">
        <v>89.783321423080906</v>
      </c>
      <c r="AK5882">
        <v>22.298044977815</v>
      </c>
      <c r="AL5882">
        <v>84.817098547475098</v>
      </c>
      <c r="AM5882">
        <v>83.987238035350103</v>
      </c>
      <c r="AN5882">
        <v>1.00000001751344</v>
      </c>
    </row>
    <row r="5883" spans="1:40" x14ac:dyDescent="0.25">
      <c r="A5883" t="str">
        <f>"20190312164622081"</f>
        <v>20190312164622081</v>
      </c>
      <c r="B5883" t="str">
        <f>"1552380382077111"</f>
        <v>1552380382077111</v>
      </c>
      <c r="C5883" t="s">
        <v>40</v>
      </c>
      <c r="D5883">
        <v>5.4475910000000001</v>
      </c>
      <c r="E5883">
        <v>0.46792280000000003</v>
      </c>
      <c r="F5883" t="s">
        <v>90</v>
      </c>
      <c r="G5883">
        <v>-243.9521</v>
      </c>
      <c r="H5883" s="1">
        <v>-1.017975E-6</v>
      </c>
      <c r="I5883">
        <v>-61.644080000000002</v>
      </c>
      <c r="J5883">
        <v>-267.18290000000002</v>
      </c>
      <c r="K5883">
        <v>1.106368</v>
      </c>
      <c r="L5883">
        <v>-62.219239999999999</v>
      </c>
      <c r="M5883">
        <v>0.99952830000000004</v>
      </c>
      <c r="N5883">
        <v>0</v>
      </c>
      <c r="O5883">
        <v>2.9377130000000001E-2</v>
      </c>
      <c r="P5883">
        <v>0.99376940000000002</v>
      </c>
      <c r="Q5883">
        <v>8.2464869999999996E-2</v>
      </c>
      <c r="R5883">
        <v>-7.49803E-2</v>
      </c>
      <c r="S5883">
        <v>3.0357669999999999</v>
      </c>
      <c r="T5883">
        <v>-0.14352200000000001</v>
      </c>
      <c r="U5883">
        <v>7.5134279999999998E-2</v>
      </c>
      <c r="V5883">
        <v>0.1045446</v>
      </c>
      <c r="W5883">
        <v>9.0880539999999996E-2</v>
      </c>
      <c r="X5883">
        <v>0.99035910000000005</v>
      </c>
      <c r="Y5883">
        <v>4.5999739999999997E-3</v>
      </c>
      <c r="Z5883">
        <v>-1.496315E-3</v>
      </c>
      <c r="AA5883">
        <v>0.99998830000000005</v>
      </c>
      <c r="AB5883">
        <v>31</v>
      </c>
      <c r="AC5883">
        <v>23.230799999999999</v>
      </c>
      <c r="AD5883">
        <v>-1.1063690179750001</v>
      </c>
      <c r="AE5883">
        <v>0.57515999999999601</v>
      </c>
      <c r="AF5883">
        <v>0.107326562593103</v>
      </c>
      <c r="AG5883">
        <v>-1.1063690179750001</v>
      </c>
      <c r="AH5883">
        <v>23.1851148946743</v>
      </c>
      <c r="AI5883">
        <v>92.731991984306006</v>
      </c>
      <c r="AJ5883">
        <v>89.734773143438602</v>
      </c>
      <c r="AK5883">
        <v>23.211745390517802</v>
      </c>
      <c r="AL5883">
        <v>84.785734057293894</v>
      </c>
      <c r="AM5883">
        <v>83.974041930515796</v>
      </c>
      <c r="AN5883">
        <v>0.99999999644632998</v>
      </c>
    </row>
    <row r="5884" spans="1:40" x14ac:dyDescent="0.25">
      <c r="A5884" t="str">
        <f>"20190312164622093"</f>
        <v>20190312164622093</v>
      </c>
      <c r="B5884" t="str">
        <f>"1552380382086870"</f>
        <v>1552380382086870</v>
      </c>
      <c r="C5884" t="s">
        <v>40</v>
      </c>
      <c r="D5884">
        <v>5.449274</v>
      </c>
      <c r="E5884">
        <v>0.4680568</v>
      </c>
      <c r="F5884" t="s">
        <v>90</v>
      </c>
      <c r="G5884">
        <v>-242.48869999999999</v>
      </c>
      <c r="H5884" s="1">
        <v>-3.9631280000000003E-7</v>
      </c>
      <c r="I5884">
        <v>-61.667230000000004</v>
      </c>
      <c r="J5884">
        <v>-267.01679999999999</v>
      </c>
      <c r="K5884">
        <v>1.1064179999999999</v>
      </c>
      <c r="L5884">
        <v>-62.215389999999999</v>
      </c>
      <c r="M5884">
        <v>0.99955919999999998</v>
      </c>
      <c r="N5884">
        <v>0</v>
      </c>
      <c r="O5884">
        <v>2.830508E-2</v>
      </c>
      <c r="P5884">
        <v>0.9936104</v>
      </c>
      <c r="Q5884">
        <v>8.3180039999999997E-2</v>
      </c>
      <c r="R5884">
        <v>-7.6286439999999997E-2</v>
      </c>
      <c r="S5884">
        <v>3.0351870000000001</v>
      </c>
      <c r="T5884">
        <v>-0.13598450000000001</v>
      </c>
      <c r="U5884">
        <v>6.7840579999999998E-2</v>
      </c>
      <c r="V5884">
        <v>0.1047746</v>
      </c>
      <c r="W5884">
        <v>9.1604199999999997E-2</v>
      </c>
      <c r="X5884">
        <v>0.99026809999999998</v>
      </c>
      <c r="Y5884">
        <v>5.9280039999999997E-3</v>
      </c>
      <c r="Z5884">
        <v>-1.3998859999999999E-3</v>
      </c>
      <c r="AA5884">
        <v>0.99998149999999997</v>
      </c>
      <c r="AB5884">
        <v>31</v>
      </c>
      <c r="AC5884">
        <v>24.528099999999899</v>
      </c>
      <c r="AD5884">
        <v>-1.1064183963128</v>
      </c>
      <c r="AE5884">
        <v>0.54815999999999498</v>
      </c>
      <c r="AF5884">
        <v>0.14606028504236901</v>
      </c>
      <c r="AG5884">
        <v>-1.1064183963128</v>
      </c>
      <c r="AH5884">
        <v>24.483993969708401</v>
      </c>
      <c r="AI5884">
        <v>92.587358919734001</v>
      </c>
      <c r="AJ5884">
        <v>89.658203697223897</v>
      </c>
      <c r="AK5884">
        <v>24.509415659767999</v>
      </c>
      <c r="AL5884">
        <v>84.744097618510295</v>
      </c>
      <c r="AM5884">
        <v>83.960331720399097</v>
      </c>
      <c r="AN5884">
        <v>0.99999997807020402</v>
      </c>
    </row>
    <row r="5885" spans="1:40" x14ac:dyDescent="0.25">
      <c r="A5885" t="str">
        <f>"20190312164622104"</f>
        <v>20190312164622104</v>
      </c>
      <c r="B5885" t="str">
        <f>"1552380382097608"</f>
        <v>1552380382097608</v>
      </c>
      <c r="C5885" t="s">
        <v>40</v>
      </c>
      <c r="D5885">
        <v>5.4557349999999998</v>
      </c>
      <c r="E5885">
        <v>0.4682074</v>
      </c>
      <c r="F5885" t="s">
        <v>90</v>
      </c>
      <c r="G5885">
        <v>-241.64879999999999</v>
      </c>
      <c r="H5885" s="1">
        <v>-4.178469E-8</v>
      </c>
      <c r="I5885">
        <v>-61.688879999999997</v>
      </c>
      <c r="J5885">
        <v>-266.86130000000003</v>
      </c>
      <c r="K5885">
        <v>1.1064700000000001</v>
      </c>
      <c r="L5885">
        <v>-62.211880000000001</v>
      </c>
      <c r="M5885">
        <v>0.99958599999999997</v>
      </c>
      <c r="N5885">
        <v>0</v>
      </c>
      <c r="O5885">
        <v>2.7343820000000001E-2</v>
      </c>
      <c r="P5885">
        <v>0.99352600000000002</v>
      </c>
      <c r="Q5885">
        <v>8.3461770000000005E-2</v>
      </c>
      <c r="R5885">
        <v>-7.7075240000000003E-2</v>
      </c>
      <c r="S5885">
        <v>3.0352169999999998</v>
      </c>
      <c r="T5885">
        <v>-0.13238039999999901</v>
      </c>
      <c r="U5885">
        <v>6.2988279999999994E-2</v>
      </c>
      <c r="V5885">
        <v>0.1045977</v>
      </c>
      <c r="W5885">
        <v>9.189717E-2</v>
      </c>
      <c r="X5885">
        <v>0.99025969999999996</v>
      </c>
      <c r="Y5885">
        <v>6.5665609999999899E-3</v>
      </c>
      <c r="Z5885">
        <v>-1.3348679999999999E-3</v>
      </c>
      <c r="AA5885">
        <v>0.99997749999999996</v>
      </c>
      <c r="AB5885">
        <v>31</v>
      </c>
      <c r="AC5885">
        <v>25.212499999999999</v>
      </c>
      <c r="AD5885">
        <v>-1.10647004178468</v>
      </c>
      <c r="AE5885">
        <v>0.52300000000000302</v>
      </c>
      <c r="AF5885">
        <v>0.166309093993664</v>
      </c>
      <c r="AG5885">
        <v>-1.10647004178468</v>
      </c>
      <c r="AH5885">
        <v>25.168919865651802</v>
      </c>
      <c r="AI5885">
        <v>92.517147711798003</v>
      </c>
      <c r="AJ5885">
        <v>89.621411226507107</v>
      </c>
      <c r="AK5885">
        <v>25.193778237328999</v>
      </c>
      <c r="AL5885">
        <v>84.727240798075698</v>
      </c>
      <c r="AM5885">
        <v>83.970403061248206</v>
      </c>
      <c r="AN5885">
        <v>1.0000000210716899</v>
      </c>
    </row>
    <row r="5886" spans="1:40" x14ac:dyDescent="0.25">
      <c r="A5886" t="str">
        <f>"20190312164622115"</f>
        <v>20190312164622115</v>
      </c>
      <c r="B5886" t="str">
        <f>"1552380382107367"</f>
        <v>1552380382107367</v>
      </c>
      <c r="C5886" t="s">
        <v>40</v>
      </c>
      <c r="D5886">
        <v>5.4534200000000004</v>
      </c>
      <c r="E5886">
        <v>0.4682074</v>
      </c>
      <c r="F5886" t="s">
        <v>90</v>
      </c>
      <c r="G5886">
        <v>-241.20820000000001</v>
      </c>
      <c r="H5886" s="1">
        <v>1.4153309999999999E-7</v>
      </c>
      <c r="I5886">
        <v>-61.7104</v>
      </c>
      <c r="J5886">
        <v>-266.71379999999999</v>
      </c>
      <c r="K5886">
        <v>1.1065199999999999</v>
      </c>
      <c r="L5886">
        <v>-62.208710000000004</v>
      </c>
      <c r="M5886">
        <v>0.99960950000000004</v>
      </c>
      <c r="N5886">
        <v>0</v>
      </c>
      <c r="O5886">
        <v>2.6470710000000001E-2</v>
      </c>
      <c r="P5886">
        <v>0.99343899999999996</v>
      </c>
      <c r="Q5886">
        <v>8.3822320000000006E-2</v>
      </c>
      <c r="R5886">
        <v>-7.7800179999999997E-2</v>
      </c>
      <c r="S5886">
        <v>3.0351870000000001</v>
      </c>
      <c r="T5886">
        <v>-0.13091349999999999</v>
      </c>
      <c r="U5886">
        <v>5.9326169999999998E-2</v>
      </c>
      <c r="V5886">
        <v>0.104445</v>
      </c>
      <c r="W5886">
        <v>9.2268959999999997E-2</v>
      </c>
      <c r="X5886">
        <v>0.99024120000000004</v>
      </c>
      <c r="Y5886">
        <v>6.9001490000000004E-3</v>
      </c>
      <c r="Z5886">
        <v>-1.28969E-3</v>
      </c>
      <c r="AA5886">
        <v>0.99997539999999996</v>
      </c>
      <c r="AB5886">
        <v>31</v>
      </c>
      <c r="AC5886">
        <v>25.505599999999902</v>
      </c>
      <c r="AD5886">
        <v>-1.1065198584669</v>
      </c>
      <c r="AE5886">
        <v>0.49830999999999598</v>
      </c>
      <c r="AF5886">
        <v>0.17671056248479899</v>
      </c>
      <c r="AG5886">
        <v>-1.1065198584669</v>
      </c>
      <c r="AH5886">
        <v>25.461948837267599</v>
      </c>
      <c r="AI5886">
        <v>92.488322013872903</v>
      </c>
      <c r="AJ5886">
        <v>89.602363238643306</v>
      </c>
      <c r="AK5886">
        <v>25.486593562336001</v>
      </c>
      <c r="AL5886">
        <v>84.705847673028799</v>
      </c>
      <c r="AM5886">
        <v>83.979029181369</v>
      </c>
      <c r="AN5886">
        <v>0.99999997659095996</v>
      </c>
    </row>
    <row r="5887" spans="1:40" x14ac:dyDescent="0.25">
      <c r="A5887" t="str">
        <f>"20190312164622124"</f>
        <v>20190312164622124</v>
      </c>
      <c r="B5887" t="str">
        <f>"1552380382117127"</f>
        <v>1552380382117127</v>
      </c>
      <c r="C5887" t="s">
        <v>40</v>
      </c>
      <c r="D5887">
        <v>5.3971910000000003</v>
      </c>
      <c r="E5887">
        <v>0.46820050000000002</v>
      </c>
      <c r="F5887" t="s">
        <v>90</v>
      </c>
      <c r="G5887">
        <v>-240.86060000000001</v>
      </c>
      <c r="H5887" s="1">
        <v>2.8725970000000002E-7</v>
      </c>
      <c r="I5887">
        <v>-61.723080000000003</v>
      </c>
      <c r="J5887">
        <v>-266.56220000000002</v>
      </c>
      <c r="K5887">
        <v>1.1065739999999999</v>
      </c>
      <c r="L5887">
        <v>-62.205469999999998</v>
      </c>
      <c r="M5887">
        <v>0.99963210000000002</v>
      </c>
      <c r="N5887">
        <v>0</v>
      </c>
      <c r="O5887">
        <v>2.5601619999999999E-2</v>
      </c>
      <c r="P5887">
        <v>0.99334500000000003</v>
      </c>
      <c r="Q5887">
        <v>8.4263500000000005E-2</v>
      </c>
      <c r="R5887">
        <v>-7.8520060000000003E-2</v>
      </c>
      <c r="S5887">
        <v>3.0352480000000002</v>
      </c>
      <c r="T5887">
        <v>-0.12990879999999999</v>
      </c>
      <c r="U5887">
        <v>5.7006840000000003E-2</v>
      </c>
      <c r="V5887">
        <v>0.10429040000000001</v>
      </c>
      <c r="W5887">
        <v>9.2722379999999993E-2</v>
      </c>
      <c r="X5887">
        <v>0.99021519999999996</v>
      </c>
      <c r="Y5887">
        <v>6.7963470000000003E-3</v>
      </c>
      <c r="Z5887">
        <v>-1.2404040000000001E-3</v>
      </c>
      <c r="AA5887">
        <v>0.99997619999999998</v>
      </c>
      <c r="AB5887">
        <v>31</v>
      </c>
      <c r="AC5887">
        <v>25.701599999999999</v>
      </c>
      <c r="AD5887">
        <v>-1.1065737127402999</v>
      </c>
      <c r="AE5887">
        <v>0.48238999999999499</v>
      </c>
      <c r="AF5887">
        <v>0.17547196086165801</v>
      </c>
      <c r="AG5887">
        <v>-1.1065737127402999</v>
      </c>
      <c r="AH5887">
        <v>25.657979888001499</v>
      </c>
      <c r="AI5887">
        <v>92.469456215471794</v>
      </c>
      <c r="AJ5887">
        <v>89.608166890432798</v>
      </c>
      <c r="AK5887">
        <v>25.6824303313348</v>
      </c>
      <c r="AL5887">
        <v>84.679757080969793</v>
      </c>
      <c r="AM5887">
        <v>83.987719424760996</v>
      </c>
      <c r="AN5887">
        <v>1.00000003479803</v>
      </c>
    </row>
    <row r="5888" spans="1:40" x14ac:dyDescent="0.25">
      <c r="A5888" t="str">
        <f>"20190312164622136"</f>
        <v>20190312164622136</v>
      </c>
      <c r="B5888" t="str">
        <f>"1552380382127863"</f>
        <v>1552380382127863</v>
      </c>
      <c r="C5888" t="s">
        <v>40</v>
      </c>
      <c r="D5888">
        <v>5.5133489999999998</v>
      </c>
      <c r="E5888">
        <v>0.4682038</v>
      </c>
      <c r="F5888" t="s">
        <v>90</v>
      </c>
      <c r="G5888">
        <v>-240.24690000000001</v>
      </c>
      <c r="H5888" s="1">
        <v>5.4807319999999997E-7</v>
      </c>
      <c r="I5888">
        <v>-61.732340000000001</v>
      </c>
      <c r="J5888">
        <v>-266.40820000000002</v>
      </c>
      <c r="K5888">
        <v>1.1066290000000001</v>
      </c>
      <c r="L5888">
        <v>-62.202359999999999</v>
      </c>
      <c r="M5888">
        <v>0.99965320000000002</v>
      </c>
      <c r="N5888">
        <v>0</v>
      </c>
      <c r="O5888">
        <v>2.4770589999999999E-2</v>
      </c>
      <c r="P5888">
        <v>0.99326780000000003</v>
      </c>
      <c r="Q5888">
        <v>8.4745150000000005E-2</v>
      </c>
      <c r="R5888">
        <v>-7.8979400000000005E-2</v>
      </c>
      <c r="S5888">
        <v>3.0352779999999999</v>
      </c>
      <c r="T5888">
        <v>-0.12763519999999901</v>
      </c>
      <c r="U5888">
        <v>5.4565429999999998E-2</v>
      </c>
      <c r="V5888">
        <v>0.1039129</v>
      </c>
      <c r="W5888">
        <v>9.3218040000000002E-2</v>
      </c>
      <c r="X5888">
        <v>0.99020830000000004</v>
      </c>
      <c r="Y5888">
        <v>6.7710629999999999E-3</v>
      </c>
      <c r="Z5888">
        <v>-1.183267E-3</v>
      </c>
      <c r="AA5888">
        <v>0.99997639999999999</v>
      </c>
      <c r="AB5888">
        <v>31</v>
      </c>
      <c r="AC5888">
        <v>26.161300000000001</v>
      </c>
      <c r="AD5888">
        <v>-1.1066284519267999</v>
      </c>
      <c r="AE5888">
        <v>0.47001999999999799</v>
      </c>
      <c r="AF5888">
        <v>0.177862808767802</v>
      </c>
      <c r="AG5888">
        <v>-1.1066284519267999</v>
      </c>
      <c r="AH5888">
        <v>26.118196802077399</v>
      </c>
      <c r="AI5888">
        <v>92.426115843138405</v>
      </c>
      <c r="AJ5888">
        <v>89.609826404795598</v>
      </c>
      <c r="AK5888">
        <v>26.142235288922802</v>
      </c>
      <c r="AL5888">
        <v>84.651234056368907</v>
      </c>
      <c r="AM5888">
        <v>84.009282091757001</v>
      </c>
      <c r="AN5888">
        <v>0.99999998557837</v>
      </c>
    </row>
    <row r="5889" spans="1:40" x14ac:dyDescent="0.25">
      <c r="A5889" t="str">
        <f>"20190312164622147"</f>
        <v>20190312164622147</v>
      </c>
      <c r="B5889" t="str">
        <f>"1552380382137623"</f>
        <v>1552380382137623</v>
      </c>
      <c r="C5889" t="s">
        <v>40</v>
      </c>
      <c r="D5889">
        <v>8.9939850000000003</v>
      </c>
      <c r="E5889">
        <v>0.46818870000000001</v>
      </c>
      <c r="F5889" t="s">
        <v>91</v>
      </c>
      <c r="G5889">
        <v>-239.67830000000001</v>
      </c>
      <c r="H5889" s="1">
        <v>-3.4077999999999998E-6</v>
      </c>
      <c r="I5889">
        <v>-61.737630000000003</v>
      </c>
      <c r="J5889">
        <v>-266.25639999999999</v>
      </c>
      <c r="K5889">
        <v>1.1066860000000001</v>
      </c>
      <c r="L5889">
        <v>-62.199339999999999</v>
      </c>
      <c r="M5889">
        <v>0.99967280000000003</v>
      </c>
      <c r="N5889">
        <v>0</v>
      </c>
      <c r="O5889">
        <v>2.3970129999999999E-2</v>
      </c>
      <c r="P5889">
        <v>0.99317029999999995</v>
      </c>
      <c r="Q5889">
        <v>8.5471740000000004E-2</v>
      </c>
      <c r="R5889">
        <v>-7.9420309999999994E-2</v>
      </c>
      <c r="S5889">
        <v>3.0352779999999999</v>
      </c>
      <c r="T5889">
        <v>-0.125662</v>
      </c>
      <c r="U5889">
        <v>5.2764890000000002E-2</v>
      </c>
      <c r="V5889">
        <v>0.1035483</v>
      </c>
      <c r="W5889">
        <v>9.3958169999999994E-2</v>
      </c>
      <c r="X5889">
        <v>0.99017659999999996</v>
      </c>
      <c r="Y5889">
        <v>6.5650630000000003E-3</v>
      </c>
      <c r="Z5889">
        <v>-1.127622E-3</v>
      </c>
      <c r="AA5889">
        <v>0.99997780000000003</v>
      </c>
      <c r="AB5889">
        <v>31</v>
      </c>
      <c r="AC5889">
        <v>26.5780999999999</v>
      </c>
      <c r="AD5889">
        <v>-1.1066894078</v>
      </c>
      <c r="AE5889">
        <v>0.46170999999999601</v>
      </c>
      <c r="AF5889">
        <v>0.17522486441922</v>
      </c>
      <c r="AG5889">
        <v>-1.1066894078</v>
      </c>
      <c r="AH5889">
        <v>26.535536607053398</v>
      </c>
      <c r="AI5889">
        <v>92.388138123121294</v>
      </c>
      <c r="AJ5889">
        <v>89.621658328474396</v>
      </c>
      <c r="AK5889">
        <v>26.5591823711258</v>
      </c>
      <c r="AL5889">
        <v>84.608641101766395</v>
      </c>
      <c r="AM5889">
        <v>84.029959964115903</v>
      </c>
      <c r="AN5889">
        <v>1.00000004366509</v>
      </c>
    </row>
    <row r="5890" spans="1:40" x14ac:dyDescent="0.25">
      <c r="A5890" t="str">
        <f>"20190312164622159"</f>
        <v>20190312164622159</v>
      </c>
      <c r="B5890" t="str">
        <f>"1552380382147383"</f>
        <v>1552380382147383</v>
      </c>
      <c r="C5890" t="s">
        <v>40</v>
      </c>
      <c r="D5890">
        <v>5.4523640000000002</v>
      </c>
      <c r="E5890">
        <v>0.46818189999999998</v>
      </c>
      <c r="F5890" t="s">
        <v>91</v>
      </c>
      <c r="G5890">
        <v>-238.70310000000001</v>
      </c>
      <c r="H5890" s="1">
        <v>-3.0754830000000002E-6</v>
      </c>
      <c r="I5890">
        <v>-61.734969999999997</v>
      </c>
      <c r="J5890">
        <v>-266.09769999999997</v>
      </c>
      <c r="K5890">
        <v>1.106746</v>
      </c>
      <c r="L5890">
        <v>-62.196350000000002</v>
      </c>
      <c r="M5890">
        <v>0.99969090000000005</v>
      </c>
      <c r="N5890">
        <v>0</v>
      </c>
      <c r="O5890">
        <v>2.3195440000000001E-2</v>
      </c>
      <c r="P5890">
        <v>0.99304769999999998</v>
      </c>
      <c r="Q5890">
        <v>8.6534689999999997E-2</v>
      </c>
      <c r="R5890">
        <v>-7.9802239999999997E-2</v>
      </c>
      <c r="S5890">
        <v>3.0352480000000002</v>
      </c>
      <c r="T5890">
        <v>-0.1219119</v>
      </c>
      <c r="U5890">
        <v>5.1147459999999999E-2</v>
      </c>
      <c r="V5890">
        <v>0.1031498</v>
      </c>
      <c r="W5890">
        <v>9.5035270000000005E-2</v>
      </c>
      <c r="X5890">
        <v>0.99011530000000003</v>
      </c>
      <c r="Y5890">
        <v>6.3250399999999997E-3</v>
      </c>
      <c r="Z5890">
        <v>-1.0581049999999999E-3</v>
      </c>
      <c r="AA5890">
        <v>0.99997939999999996</v>
      </c>
      <c r="AB5890">
        <v>31</v>
      </c>
      <c r="AC5890">
        <v>27.394599999999901</v>
      </c>
      <c r="AD5890">
        <v>-1.1067490754830001</v>
      </c>
      <c r="AE5890">
        <v>0.46138000000000501</v>
      </c>
      <c r="AF5890">
        <v>0.17391560660593899</v>
      </c>
      <c r="AG5890">
        <v>-1.1067490754830001</v>
      </c>
      <c r="AH5890">
        <v>27.3532983389508</v>
      </c>
      <c r="AI5890">
        <v>92.316949141302899</v>
      </c>
      <c r="AJ5890">
        <v>89.635711355391507</v>
      </c>
      <c r="AK5890">
        <v>27.3762318476074</v>
      </c>
      <c r="AL5890">
        <v>84.546649882959898</v>
      </c>
      <c r="AM5890">
        <v>84.052404786588795</v>
      </c>
      <c r="AN5890">
        <v>0.99999994553905003</v>
      </c>
    </row>
    <row r="5891" spans="1:40" x14ac:dyDescent="0.25">
      <c r="A5891" t="str">
        <f>"20190312164622170"</f>
        <v>20190312164622170</v>
      </c>
      <c r="B5891" t="str">
        <f>"1552380382166903"</f>
        <v>1552380382166903</v>
      </c>
      <c r="C5891" t="s">
        <v>40</v>
      </c>
      <c r="D5891">
        <v>5.5090430000000001</v>
      </c>
      <c r="E5891">
        <v>0.4682229</v>
      </c>
      <c r="F5891" t="s">
        <v>91</v>
      </c>
      <c r="G5891">
        <v>-237.6183</v>
      </c>
      <c r="H5891" s="1">
        <v>-2.613797E-6</v>
      </c>
      <c r="I5891">
        <v>-61.730699999999999</v>
      </c>
      <c r="J5891">
        <v>-265.94349999999997</v>
      </c>
      <c r="K5891">
        <v>1.1068119999999999</v>
      </c>
      <c r="L5891">
        <v>-62.193449999999999</v>
      </c>
      <c r="M5891">
        <v>0.99970780000000004</v>
      </c>
      <c r="N5891">
        <v>0</v>
      </c>
      <c r="O5891">
        <v>2.2457000000000001E-2</v>
      </c>
      <c r="P5891">
        <v>0.99294749999999998</v>
      </c>
      <c r="Q5891">
        <v>8.7452009999999997E-2</v>
      </c>
      <c r="R5891">
        <v>-8.0045909999999998E-2</v>
      </c>
      <c r="S5891">
        <v>3.0352779999999999</v>
      </c>
      <c r="T5891">
        <v>-0.1179553</v>
      </c>
      <c r="U5891">
        <v>4.9621579999999998E-2</v>
      </c>
      <c r="V5891">
        <v>0.1026497</v>
      </c>
      <c r="W5891">
        <v>9.5966560000000006E-2</v>
      </c>
      <c r="X5891">
        <v>0.99007750000000005</v>
      </c>
      <c r="Y5891">
        <v>6.0913869999999898E-3</v>
      </c>
      <c r="Z5891">
        <v>-9.9057190000000008E-4</v>
      </c>
      <c r="AA5891">
        <v>0.99998100000000001</v>
      </c>
      <c r="AB5891">
        <v>31</v>
      </c>
      <c r="AC5891">
        <v>28.325199999999899</v>
      </c>
      <c r="AD5891">
        <v>-1.1068146137970001</v>
      </c>
      <c r="AE5891">
        <v>0.462749999999999</v>
      </c>
      <c r="AF5891">
        <v>0.17322674633686899</v>
      </c>
      <c r="AG5891">
        <v>-1.1068146137970001</v>
      </c>
      <c r="AH5891">
        <v>28.2852719002532</v>
      </c>
      <c r="AI5891">
        <v>92.2408227638509</v>
      </c>
      <c r="AJ5891">
        <v>89.649109352213301</v>
      </c>
      <c r="AK5891">
        <v>28.307448711712102</v>
      </c>
      <c r="AL5891">
        <v>84.493046180082402</v>
      </c>
      <c r="AM5891">
        <v>84.080810858115797</v>
      </c>
      <c r="AN5891">
        <v>0.99999999877728696</v>
      </c>
    </row>
    <row r="5892" spans="1:40" x14ac:dyDescent="0.25">
      <c r="A5892" t="str">
        <f>"20190312164622181"</f>
        <v>20190312164622181</v>
      </c>
      <c r="B5892" t="str">
        <f>"1552380382177642"</f>
        <v>1552380382177642</v>
      </c>
      <c r="C5892" t="s">
        <v>40</v>
      </c>
      <c r="D5892">
        <v>5.5096939999999996</v>
      </c>
      <c r="E5892">
        <v>0.46827809999999997</v>
      </c>
      <c r="F5892" t="s">
        <v>91</v>
      </c>
      <c r="G5892">
        <v>-236.4889</v>
      </c>
      <c r="H5892" s="1">
        <v>-2.128362E-6</v>
      </c>
      <c r="I5892">
        <v>-61.727249999999998</v>
      </c>
      <c r="J5892">
        <v>-265.77879999999999</v>
      </c>
      <c r="K5892">
        <v>1.106876</v>
      </c>
      <c r="L5892">
        <v>-62.190489999999997</v>
      </c>
      <c r="M5892">
        <v>0.99972399999999995</v>
      </c>
      <c r="N5892">
        <v>0</v>
      </c>
      <c r="O5892">
        <v>2.1726160000000001E-2</v>
      </c>
      <c r="P5892">
        <v>0.9928169</v>
      </c>
      <c r="Q5892">
        <v>8.8854249999999996E-2</v>
      </c>
      <c r="R5892">
        <v>-8.0120919999999998E-2</v>
      </c>
      <c r="S5892">
        <v>3.0351870000000001</v>
      </c>
      <c r="T5892">
        <v>-0.1140531</v>
      </c>
      <c r="U5892">
        <v>4.8034670000000002E-2</v>
      </c>
      <c r="V5892">
        <v>0.1019887</v>
      </c>
      <c r="W5892">
        <v>9.7383719999999993E-2</v>
      </c>
      <c r="X5892">
        <v>0.99000750000000004</v>
      </c>
      <c r="Y5892">
        <v>5.8846119999999896E-3</v>
      </c>
      <c r="Z5892">
        <v>-9.2653080000000001E-4</v>
      </c>
      <c r="AA5892">
        <v>0.99998220000000004</v>
      </c>
      <c r="AB5892">
        <v>31</v>
      </c>
      <c r="AC5892">
        <v>29.2898999999999</v>
      </c>
      <c r="AD5892">
        <v>-1.1068781283619999</v>
      </c>
      <c r="AE5892">
        <v>0.46324000000000598</v>
      </c>
      <c r="AF5892">
        <v>0.17300482001759601</v>
      </c>
      <c r="AG5892">
        <v>-1.1068781283619999</v>
      </c>
      <c r="AH5892">
        <v>29.251286844701799</v>
      </c>
      <c r="AI5892">
        <v>92.167018976236406</v>
      </c>
      <c r="AJ5892">
        <v>89.661131816299502</v>
      </c>
      <c r="AK5892">
        <v>29.272732908456302</v>
      </c>
      <c r="AL5892">
        <v>84.411467149352404</v>
      </c>
      <c r="AM5892">
        <v>84.118245769879195</v>
      </c>
      <c r="AN5892">
        <v>1.00000006695248</v>
      </c>
    </row>
    <row r="5893" spans="1:40" x14ac:dyDescent="0.25">
      <c r="A5893" t="str">
        <f>"20190312164622194"</f>
        <v>20190312164622194</v>
      </c>
      <c r="B5893" t="str">
        <f>"1552380382187399"</f>
        <v>1552380382187399</v>
      </c>
      <c r="C5893" t="s">
        <v>40</v>
      </c>
      <c r="D5893">
        <v>5.4498139999999999</v>
      </c>
      <c r="E5893">
        <v>0.46833160000000001</v>
      </c>
      <c r="F5893" t="s">
        <v>91</v>
      </c>
      <c r="G5893">
        <v>-235.08420000000001</v>
      </c>
      <c r="H5893" s="1">
        <v>-1.5228649999999999E-6</v>
      </c>
      <c r="I5893">
        <v>-61.7164</v>
      </c>
      <c r="J5893">
        <v>-265.6028</v>
      </c>
      <c r="K5893">
        <v>1.106941</v>
      </c>
      <c r="L5893">
        <v>-62.18741</v>
      </c>
      <c r="M5893">
        <v>0.99974010000000002</v>
      </c>
      <c r="N5893">
        <v>0</v>
      </c>
      <c r="O5893">
        <v>2.0972919999999999E-2</v>
      </c>
      <c r="P5893">
        <v>0.99261080000000002</v>
      </c>
      <c r="Q5893">
        <v>9.1140399999999996E-2</v>
      </c>
      <c r="R5893">
        <v>-8.011037E-2</v>
      </c>
      <c r="S5893">
        <v>3.0352779999999999</v>
      </c>
      <c r="T5893">
        <v>-0.1094551</v>
      </c>
      <c r="U5893">
        <v>4.6875E-2</v>
      </c>
      <c r="V5893">
        <v>0.10122009999999999</v>
      </c>
      <c r="W5893">
        <v>9.9684659999999994E-2</v>
      </c>
      <c r="X5893">
        <v>0.98985730000000005</v>
      </c>
      <c r="Y5893">
        <v>5.515888E-3</v>
      </c>
      <c r="Z5893">
        <v>-8.5538719999999995E-4</v>
      </c>
      <c r="AA5893">
        <v>0.9999844</v>
      </c>
      <c r="AB5893">
        <v>31</v>
      </c>
      <c r="AC5893">
        <v>30.5185999999999</v>
      </c>
      <c r="AD5893">
        <v>-1.1069425228650001</v>
      </c>
      <c r="AE5893">
        <v>0.47100999999999899</v>
      </c>
      <c r="AF5893">
        <v>0.16896109742162799</v>
      </c>
      <c r="AG5893">
        <v>-1.1069425228650001</v>
      </c>
      <c r="AH5893">
        <v>30.481673698801998</v>
      </c>
      <c r="AI5893">
        <v>92.079751392625099</v>
      </c>
      <c r="AJ5893">
        <v>89.682410528580107</v>
      </c>
      <c r="AK5893">
        <v>30.5022343621186</v>
      </c>
      <c r="AL5893">
        <v>84.278987947909201</v>
      </c>
      <c r="AM5893">
        <v>84.161384455896993</v>
      </c>
      <c r="AN5893">
        <v>1.0000000072233</v>
      </c>
    </row>
    <row r="5894" spans="1:40" x14ac:dyDescent="0.25">
      <c r="A5894" t="str">
        <f>"20190312164622203"</f>
        <v>20190312164622203</v>
      </c>
      <c r="B5894" t="str">
        <f>"1552380382197159"</f>
        <v>1552380382197159</v>
      </c>
      <c r="C5894" t="s">
        <v>40</v>
      </c>
      <c r="D5894">
        <v>5.4303800000000004</v>
      </c>
      <c r="E5894">
        <v>0.46841929999999998</v>
      </c>
      <c r="F5894" t="s">
        <v>91</v>
      </c>
      <c r="G5894">
        <v>-232.83940000000001</v>
      </c>
      <c r="H5894" s="1">
        <v>-5.5325530000000002E-7</v>
      </c>
      <c r="I5894">
        <v>-61.691609999999997</v>
      </c>
      <c r="J5894">
        <v>-265.46109999999999</v>
      </c>
      <c r="K5894">
        <v>1.106997</v>
      </c>
      <c r="L5894">
        <v>-62.185000000000002</v>
      </c>
      <c r="M5894">
        <v>0.99975210000000003</v>
      </c>
      <c r="N5894">
        <v>0</v>
      </c>
      <c r="O5894">
        <v>2.0392790000000001E-2</v>
      </c>
      <c r="P5894">
        <v>0.99244219999999905</v>
      </c>
      <c r="Q5894">
        <v>9.3141940000000006E-2</v>
      </c>
      <c r="R5894">
        <v>-7.9896220000000004E-2</v>
      </c>
      <c r="S5894">
        <v>3.0354610000000002</v>
      </c>
      <c r="T5894">
        <v>-0.1025558</v>
      </c>
      <c r="U5894">
        <v>4.5928959999999998E-2</v>
      </c>
      <c r="V5894">
        <v>0.1004229</v>
      </c>
      <c r="W5894">
        <v>0.1016981</v>
      </c>
      <c r="X5894">
        <v>0.98973370000000005</v>
      </c>
      <c r="Y5894">
        <v>5.2507279999999996E-3</v>
      </c>
      <c r="Z5894">
        <v>-7.7738769999999996E-4</v>
      </c>
      <c r="AA5894">
        <v>0.99998589999999998</v>
      </c>
      <c r="AB5894">
        <v>31</v>
      </c>
      <c r="AC5894">
        <v>32.621699999999898</v>
      </c>
      <c r="AD5894">
        <v>-1.1069975532553</v>
      </c>
      <c r="AE5894">
        <v>0.49339000000000499</v>
      </c>
      <c r="AF5894">
        <v>0.17178888054410299</v>
      </c>
      <c r="AG5894">
        <v>-1.1069975532553</v>
      </c>
      <c r="AH5894">
        <v>32.587460348939103</v>
      </c>
      <c r="AI5894">
        <v>91.945565147996504</v>
      </c>
      <c r="AJ5894">
        <v>89.697960916820705</v>
      </c>
      <c r="AK5894">
        <v>32.606709846227503</v>
      </c>
      <c r="AL5894">
        <v>84.163037149059406</v>
      </c>
      <c r="AM5894">
        <v>84.2063363607935</v>
      </c>
      <c r="AN5894">
        <v>1.0000000296518501</v>
      </c>
    </row>
    <row r="5895" spans="1:40" x14ac:dyDescent="0.25">
      <c r="A5895" t="str">
        <f>"20190312164622214"</f>
        <v>20190312164622214</v>
      </c>
      <c r="B5895" t="str">
        <f>"1552380382206919"</f>
        <v>1552380382206919</v>
      </c>
      <c r="C5895" t="s">
        <v>40</v>
      </c>
      <c r="D5895">
        <v>5.6034810000000004</v>
      </c>
      <c r="E5895">
        <v>0.46854099999999999</v>
      </c>
      <c r="F5895" t="s">
        <v>91</v>
      </c>
      <c r="G5895">
        <v>-230.82390000000001</v>
      </c>
      <c r="H5895" s="1">
        <v>3.1797630000000002E-7</v>
      </c>
      <c r="I5895">
        <v>-61.666789999999999</v>
      </c>
      <c r="J5895">
        <v>-265.315</v>
      </c>
      <c r="K5895">
        <v>1.1070469999999999</v>
      </c>
      <c r="L5895">
        <v>-62.182560000000002</v>
      </c>
      <c r="M5895">
        <v>0.99976350000000003</v>
      </c>
      <c r="N5895">
        <v>0</v>
      </c>
      <c r="O5895">
        <v>1.9823380000000002E-2</v>
      </c>
      <c r="P5895">
        <v>0.99223479999999997</v>
      </c>
      <c r="Q5895">
        <v>9.5628050000000006E-2</v>
      </c>
      <c r="R5895">
        <v>-7.953317E-2</v>
      </c>
      <c r="S5895">
        <v>3.0356139999999998</v>
      </c>
      <c r="T5895">
        <v>-9.7017530000000005E-2</v>
      </c>
      <c r="U5895">
        <v>4.5410159999999998E-2</v>
      </c>
      <c r="V5895">
        <v>9.948804E-2</v>
      </c>
      <c r="W5895">
        <v>0.1041953</v>
      </c>
      <c r="X5895">
        <v>0.98956840000000001</v>
      </c>
      <c r="Y5895">
        <v>4.8548430000000002E-3</v>
      </c>
      <c r="Z5895">
        <v>-7.1088019999999996E-4</v>
      </c>
      <c r="AA5895">
        <v>0.99998799999999999</v>
      </c>
      <c r="AB5895">
        <v>31</v>
      </c>
      <c r="AC5895">
        <v>34.491099999999904</v>
      </c>
      <c r="AD5895">
        <v>-1.1070466820236999</v>
      </c>
      <c r="AE5895">
        <v>0.51576999999999595</v>
      </c>
      <c r="AF5895">
        <v>0.16791593651209999</v>
      </c>
      <c r="AG5895">
        <v>-1.1070466820236999</v>
      </c>
      <c r="AH5895">
        <v>34.459055109616799</v>
      </c>
      <c r="AI5895">
        <v>91.840054572899305</v>
      </c>
      <c r="AJ5895">
        <v>89.720804929342194</v>
      </c>
      <c r="AK5895">
        <v>34.477242162990997</v>
      </c>
      <c r="AL5895">
        <v>84.019194105272206</v>
      </c>
      <c r="AM5895">
        <v>84.258956646045704</v>
      </c>
      <c r="AN5895">
        <v>1.00000007446184</v>
      </c>
    </row>
    <row r="5896" spans="1:40" x14ac:dyDescent="0.25">
      <c r="A5896" t="str">
        <f>"20190312164622225"</f>
        <v>20190312164622225</v>
      </c>
      <c r="B5896" t="str">
        <f>"1552380382217655"</f>
        <v>1552380382217655</v>
      </c>
      <c r="C5896" t="s">
        <v>40</v>
      </c>
      <c r="D5896">
        <v>5.5121719999999996</v>
      </c>
      <c r="E5896">
        <v>0.46867429999999899</v>
      </c>
      <c r="F5896" t="s">
        <v>92</v>
      </c>
      <c r="G5896">
        <v>-227.87880000000001</v>
      </c>
      <c r="H5896" s="1">
        <v>-2.7745779999999999E-6</v>
      </c>
      <c r="I5896">
        <v>-61.627459999999999</v>
      </c>
      <c r="J5896">
        <v>-265.15769999999998</v>
      </c>
      <c r="K5896">
        <v>1.107102</v>
      </c>
      <c r="L5896">
        <v>-62.180019999999899</v>
      </c>
      <c r="M5896">
        <v>0.99977519999999998</v>
      </c>
      <c r="N5896">
        <v>0</v>
      </c>
      <c r="O5896">
        <v>1.9230629999999999E-2</v>
      </c>
      <c r="P5896">
        <v>0.99207339999999999</v>
      </c>
      <c r="Q5896">
        <v>9.778481E-2</v>
      </c>
      <c r="R5896">
        <v>-7.8922519999999996E-2</v>
      </c>
      <c r="S5896">
        <v>3.0357669999999999</v>
      </c>
      <c r="T5896">
        <v>-8.9772580000000005E-2</v>
      </c>
      <c r="U5896">
        <v>4.501343E-2</v>
      </c>
      <c r="V5896">
        <v>9.8281229999999997E-2</v>
      </c>
      <c r="W5896">
        <v>0.10636470000000001</v>
      </c>
      <c r="X5896">
        <v>0.98945810000000001</v>
      </c>
      <c r="Y5896">
        <v>4.3956330000000004E-3</v>
      </c>
      <c r="Z5896">
        <v>-6.3347709999999897E-4</v>
      </c>
      <c r="AA5896">
        <v>0.99999020000000005</v>
      </c>
      <c r="AB5896">
        <v>31</v>
      </c>
      <c r="AC5896">
        <v>37.278899999999901</v>
      </c>
      <c r="AD5896">
        <v>-1.1071047745780001</v>
      </c>
      <c r="AE5896">
        <v>0.55255999999999195</v>
      </c>
      <c r="AF5896">
        <v>0.16432261008476801</v>
      </c>
      <c r="AG5896">
        <v>-1.1071047745780001</v>
      </c>
      <c r="AH5896">
        <v>37.249786340086402</v>
      </c>
      <c r="AI5896">
        <v>91.702376120316202</v>
      </c>
      <c r="AJ5896">
        <v>89.7472487257061</v>
      </c>
      <c r="AK5896">
        <v>37.266597178762702</v>
      </c>
      <c r="AL5896">
        <v>83.894201482359605</v>
      </c>
      <c r="AM5896">
        <v>84.327511684380696</v>
      </c>
      <c r="AN5896">
        <v>0.99999999061600597</v>
      </c>
    </row>
    <row r="5897" spans="1:40" x14ac:dyDescent="0.25">
      <c r="A5897" t="str">
        <f>"20190312164622237"</f>
        <v>20190312164622237</v>
      </c>
      <c r="B5897" t="str">
        <f>"1552380382227415"</f>
        <v>1552380382227415</v>
      </c>
      <c r="C5897" t="s">
        <v>40</v>
      </c>
      <c r="D5897">
        <v>5.4540439999999997</v>
      </c>
      <c r="E5897">
        <v>0.46872599999999998</v>
      </c>
      <c r="F5897" t="s">
        <v>92</v>
      </c>
      <c r="G5897">
        <v>-225.28030000000001</v>
      </c>
      <c r="H5897" s="1">
        <v>-1.6497540000000001E-6</v>
      </c>
      <c r="I5897">
        <v>-61.581949999999999</v>
      </c>
      <c r="J5897">
        <v>-265.00189999999998</v>
      </c>
      <c r="K5897">
        <v>1.107154</v>
      </c>
      <c r="L5897">
        <v>-62.177579999999999</v>
      </c>
      <c r="M5897">
        <v>0.99978560000000005</v>
      </c>
      <c r="N5897">
        <v>0</v>
      </c>
      <c r="O5897">
        <v>1.8684409999999999E-2</v>
      </c>
      <c r="P5897">
        <v>0.99185710000000005</v>
      </c>
      <c r="Q5897">
        <v>0.1003096</v>
      </c>
      <c r="R5897">
        <v>-7.8472029999999998E-2</v>
      </c>
      <c r="S5897">
        <v>3.0359189999999998</v>
      </c>
      <c r="T5897">
        <v>-8.4285379999999993E-2</v>
      </c>
      <c r="U5897">
        <v>4.553223E-2</v>
      </c>
      <c r="V5897">
        <v>9.7280740000000004E-2</v>
      </c>
      <c r="W5897">
        <v>0.1089014</v>
      </c>
      <c r="X5897">
        <v>0.98928099999999997</v>
      </c>
      <c r="Y5897">
        <v>3.6809009999999999E-3</v>
      </c>
      <c r="Z5897">
        <v>-5.6966410000000003E-4</v>
      </c>
      <c r="AA5897">
        <v>0.99999309999999997</v>
      </c>
      <c r="AB5897">
        <v>31</v>
      </c>
      <c r="AC5897">
        <v>39.721599999999903</v>
      </c>
      <c r="AD5897">
        <v>-1.107155649754</v>
      </c>
      <c r="AE5897">
        <v>0.59563000000000699</v>
      </c>
      <c r="AF5897">
        <v>0.146564364737435</v>
      </c>
      <c r="AG5897">
        <v>-1.107155649754</v>
      </c>
      <c r="AH5897">
        <v>39.694962736221299</v>
      </c>
      <c r="AI5897">
        <v>91.597645333002802</v>
      </c>
      <c r="AJ5897">
        <v>89.788449697712593</v>
      </c>
      <c r="AK5897">
        <v>39.710670371775301</v>
      </c>
      <c r="AL5897">
        <v>83.748009879659193</v>
      </c>
      <c r="AM5897">
        <v>84.383887175286006</v>
      </c>
      <c r="AN5897">
        <v>0.99999997712895305</v>
      </c>
    </row>
    <row r="5898" spans="1:40" x14ac:dyDescent="0.25">
      <c r="A5898" t="str">
        <f>"20190312164622247"</f>
        <v>20190312164622247</v>
      </c>
      <c r="B5898" t="str">
        <f>"1552380382237175"</f>
        <v>1552380382237175</v>
      </c>
      <c r="C5898" t="s">
        <v>40</v>
      </c>
      <c r="D5898">
        <v>5.4924670000000004</v>
      </c>
      <c r="E5898">
        <v>0.46872599999999998</v>
      </c>
      <c r="F5898" t="s">
        <v>92</v>
      </c>
      <c r="G5898">
        <v>-221.6036</v>
      </c>
      <c r="H5898" s="1">
        <v>-5.8243239999999998E-8</v>
      </c>
      <c r="I5898">
        <v>-61.5180199999999</v>
      </c>
      <c r="J5898">
        <v>-264.84879999999998</v>
      </c>
      <c r="K5898">
        <v>1.1072059999999999</v>
      </c>
      <c r="L5898">
        <v>-62.175199999999997</v>
      </c>
      <c r="M5898">
        <v>0.99979510000000005</v>
      </c>
      <c r="N5898">
        <v>0</v>
      </c>
      <c r="O5898">
        <v>1.8159089999999999E-2</v>
      </c>
      <c r="P5898">
        <v>0.99165979999999998</v>
      </c>
      <c r="Q5898">
        <v>0.10268579999999999</v>
      </c>
      <c r="R5898">
        <v>-7.7887490000000004E-2</v>
      </c>
      <c r="S5898">
        <v>3.0361020000000001</v>
      </c>
      <c r="T5898">
        <v>-7.745552E-2</v>
      </c>
      <c r="U5898">
        <v>4.6142580000000002E-2</v>
      </c>
      <c r="V5898">
        <v>9.6166870000000002E-2</v>
      </c>
      <c r="W5898">
        <v>0.1112891</v>
      </c>
      <c r="X5898">
        <v>0.98912420000000001</v>
      </c>
      <c r="Y5898">
        <v>2.9571469999999998E-3</v>
      </c>
      <c r="Z5898">
        <v>-5.0085929999999998E-4</v>
      </c>
      <c r="AA5898">
        <v>0.99999550000000004</v>
      </c>
      <c r="AB5898">
        <v>31</v>
      </c>
      <c r="AC5898">
        <v>43.245199999999897</v>
      </c>
      <c r="AD5898">
        <v>-1.1072060582432399</v>
      </c>
      <c r="AE5898">
        <v>0.65718000000000298</v>
      </c>
      <c r="AF5898">
        <v>0.12816926845309101</v>
      </c>
      <c r="AG5898">
        <v>-1.1072060582432399</v>
      </c>
      <c r="AH5898">
        <v>43.221677186898603</v>
      </c>
      <c r="AI5898">
        <v>91.467413770698101</v>
      </c>
      <c r="AJ5898">
        <v>89.830095981961307</v>
      </c>
      <c r="AK5898">
        <v>43.236046436570298</v>
      </c>
      <c r="AL5898">
        <v>83.610368180917604</v>
      </c>
      <c r="AM5898">
        <v>84.446913211973197</v>
      </c>
      <c r="AN5898">
        <v>1.0000000068450201</v>
      </c>
    </row>
    <row r="5899" spans="1:40" x14ac:dyDescent="0.25">
      <c r="A5899" t="str">
        <f>"20190312164622259"</f>
        <v>20190312164622259</v>
      </c>
      <c r="B5899" t="str">
        <f>"1552380382257671"</f>
        <v>1552380382257671</v>
      </c>
      <c r="C5899" t="s">
        <v>40</v>
      </c>
      <c r="D5899">
        <v>5.4583649999999997</v>
      </c>
      <c r="E5899">
        <v>0.4688832</v>
      </c>
      <c r="F5899" t="s">
        <v>93</v>
      </c>
      <c r="G5899">
        <v>-216.9769</v>
      </c>
      <c r="H5899" s="1">
        <v>-2.2377779999999998E-6</v>
      </c>
      <c r="I5899">
        <v>-61.419710000000002</v>
      </c>
      <c r="J5899">
        <v>-264.68880000000001</v>
      </c>
      <c r="K5899">
        <v>1.107262</v>
      </c>
      <c r="L5899">
        <v>-62.172820000000002</v>
      </c>
      <c r="M5899">
        <v>0.99980420000000003</v>
      </c>
      <c r="N5899">
        <v>0</v>
      </c>
      <c r="O5899">
        <v>1.7663269999999998E-2</v>
      </c>
      <c r="P5899">
        <v>0.99145640000000002</v>
      </c>
      <c r="Q5899">
        <v>0.1050116</v>
      </c>
      <c r="R5899">
        <v>-7.7377799999999997E-2</v>
      </c>
      <c r="S5899">
        <v>3.0362239999999998</v>
      </c>
      <c r="T5899">
        <v>-7.0223569999999999E-2</v>
      </c>
      <c r="U5899">
        <v>4.79126E-2</v>
      </c>
      <c r="V5899">
        <v>9.5154879999999997E-2</v>
      </c>
      <c r="W5899">
        <v>0.1136274</v>
      </c>
      <c r="X5899">
        <v>0.98895619999999995</v>
      </c>
      <c r="Y5899">
        <v>1.8806509999999999E-3</v>
      </c>
      <c r="Z5899">
        <v>-4.3017659999999998E-4</v>
      </c>
      <c r="AA5899">
        <v>0.99999819999999995</v>
      </c>
      <c r="AB5899">
        <v>31</v>
      </c>
      <c r="AC5899">
        <v>47.7119</v>
      </c>
      <c r="AD5899">
        <v>-1.107264237778</v>
      </c>
      <c r="AE5899">
        <v>0.75310999999999895</v>
      </c>
      <c r="AF5899">
        <v>8.97408827271719E-2</v>
      </c>
      <c r="AG5899">
        <v>-1.107264237778</v>
      </c>
      <c r="AH5899">
        <v>47.692079360251803</v>
      </c>
      <c r="AI5899">
        <v>91.329991500069198</v>
      </c>
      <c r="AJ5899">
        <v>89.892188224322496</v>
      </c>
      <c r="AK5899">
        <v>47.705015682031302</v>
      </c>
      <c r="AL5899">
        <v>83.475538091531305</v>
      </c>
      <c r="AM5899">
        <v>84.504062534831903</v>
      </c>
      <c r="AN5899">
        <v>1.0000000013685</v>
      </c>
    </row>
    <row r="5900" spans="1:40" x14ac:dyDescent="0.25">
      <c r="A5900" t="str">
        <f>"20190312164622271"</f>
        <v>20190312164622271</v>
      </c>
      <c r="B5900" t="str">
        <f>"1552380382267431"</f>
        <v>1552380382267431</v>
      </c>
      <c r="C5900" t="s">
        <v>40</v>
      </c>
      <c r="D5900">
        <v>5.5120990000000001</v>
      </c>
      <c r="E5900">
        <v>0.46890920000000003</v>
      </c>
      <c r="F5900" t="s">
        <v>93</v>
      </c>
      <c r="G5900">
        <v>-212.77680000000001</v>
      </c>
      <c r="H5900" s="1">
        <v>-4.1653539999999999E-7</v>
      </c>
      <c r="I5900">
        <v>-61.34684</v>
      </c>
      <c r="J5900">
        <v>-264.53070000000002</v>
      </c>
      <c r="K5900">
        <v>1.107313</v>
      </c>
      <c r="L5900">
        <v>-62.170499999999997</v>
      </c>
      <c r="M5900">
        <v>0.99981240000000005</v>
      </c>
      <c r="N5900">
        <v>0</v>
      </c>
      <c r="O5900">
        <v>1.7186340000000001E-2</v>
      </c>
      <c r="P5900">
        <v>0.99129449999999997</v>
      </c>
      <c r="Q5900">
        <v>0.1071718</v>
      </c>
      <c r="R5900">
        <v>-7.6482369999999994E-2</v>
      </c>
      <c r="S5900">
        <v>3.036438</v>
      </c>
      <c r="T5900">
        <v>-6.4765929999999999E-2</v>
      </c>
      <c r="U5900">
        <v>4.8309329999999998E-2</v>
      </c>
      <c r="V5900">
        <v>9.3776070000000003E-2</v>
      </c>
      <c r="W5900">
        <v>0.11580020000000001</v>
      </c>
      <c r="X5900">
        <v>0.98883589999999999</v>
      </c>
      <c r="Y5900">
        <v>1.275144E-3</v>
      </c>
      <c r="Z5900">
        <v>-3.800977E-4</v>
      </c>
      <c r="AA5900">
        <v>0.99999910000000003</v>
      </c>
      <c r="AB5900">
        <v>31</v>
      </c>
      <c r="AC5900">
        <v>51.753900000000002</v>
      </c>
      <c r="AD5900">
        <v>-1.1073134165353999</v>
      </c>
      <c r="AE5900">
        <v>0.82365999999999595</v>
      </c>
      <c r="AF5900">
        <v>6.5927099572553896E-2</v>
      </c>
      <c r="AG5900">
        <v>-1.1073134165353999</v>
      </c>
      <c r="AH5900">
        <v>51.736733865496397</v>
      </c>
      <c r="AI5900">
        <v>91.226104630638304</v>
      </c>
      <c r="AJ5900">
        <v>89.926989157716605</v>
      </c>
      <c r="AK5900">
        <v>51.748624333928902</v>
      </c>
      <c r="AL5900">
        <v>83.350218749838106</v>
      </c>
      <c r="AM5900">
        <v>84.582567377740205</v>
      </c>
      <c r="AN5900">
        <v>1.0000000373767399</v>
      </c>
    </row>
    <row r="5901" spans="1:40" x14ac:dyDescent="0.25">
      <c r="A5901" t="str">
        <f>"20190312164622283"</f>
        <v>20190312164622283</v>
      </c>
      <c r="B5901" t="str">
        <f>"1552380382277191"</f>
        <v>1552380382277191</v>
      </c>
      <c r="C5901" t="s">
        <v>40</v>
      </c>
      <c r="D5901">
        <v>5.4483410000000001</v>
      </c>
      <c r="E5901">
        <v>0.46900340000000001</v>
      </c>
      <c r="F5901" t="s">
        <v>52</v>
      </c>
      <c r="G5901">
        <v>-206.89879999999999</v>
      </c>
      <c r="H5901" s="1">
        <v>-2.057368E-6</v>
      </c>
      <c r="I5901">
        <v>-61.206710000000001</v>
      </c>
      <c r="J5901">
        <v>-264.36090000000002</v>
      </c>
      <c r="K5901">
        <v>1.107378</v>
      </c>
      <c r="L5901">
        <v>-62.168030000000002</v>
      </c>
      <c r="M5901">
        <v>0.9998203</v>
      </c>
      <c r="N5901">
        <v>0</v>
      </c>
      <c r="O5901">
        <v>1.6723620000000002E-2</v>
      </c>
      <c r="P5901">
        <v>0.99113530000000005</v>
      </c>
      <c r="Q5901">
        <v>0.1092799</v>
      </c>
      <c r="R5901">
        <v>-7.5558109999999998E-2</v>
      </c>
      <c r="S5901">
        <v>3.0365600000000001</v>
      </c>
      <c r="T5901">
        <v>-5.834317E-2</v>
      </c>
      <c r="U5901">
        <v>5.078125E-2</v>
      </c>
      <c r="V5901">
        <v>9.2380019999999993E-2</v>
      </c>
      <c r="W5901">
        <v>0.11792320000000001</v>
      </c>
      <c r="X5901">
        <v>0.98871640000000005</v>
      </c>
      <c r="Y5901" s="1">
        <v>2.6047790000000002E-7</v>
      </c>
      <c r="Z5901">
        <v>-3.2126129999999998E-4</v>
      </c>
      <c r="AA5901">
        <v>0.99999990000000005</v>
      </c>
      <c r="AB5901">
        <v>31</v>
      </c>
      <c r="AC5901">
        <v>57.4621</v>
      </c>
      <c r="AD5901">
        <v>-1.1073800573679999</v>
      </c>
      <c r="AE5901">
        <v>0.96131999999999995</v>
      </c>
      <c r="AF5901">
        <v>-1.72868700723083E-4</v>
      </c>
      <c r="AG5901">
        <v>-1.1073800573679999</v>
      </c>
      <c r="AH5901">
        <v>57.4488107499037</v>
      </c>
      <c r="AI5901">
        <v>91.104293478194506</v>
      </c>
      <c r="AJ5901">
        <v>90.000172408215704</v>
      </c>
      <c r="AK5901">
        <v>57.459482656908698</v>
      </c>
      <c r="AL5901">
        <v>83.227740574164002</v>
      </c>
      <c r="AM5901">
        <v>84.6621064382105</v>
      </c>
      <c r="AN5901">
        <v>1.0000000344111899</v>
      </c>
    </row>
    <row r="5902" spans="1:40" x14ac:dyDescent="0.25">
      <c r="A5902" t="str">
        <f>"20190312164622294"</f>
        <v>20190312164622294</v>
      </c>
      <c r="B5902" t="str">
        <f>"1552380382286951"</f>
        <v>1552380382286951</v>
      </c>
      <c r="C5902" t="s">
        <v>40</v>
      </c>
      <c r="D5902">
        <v>5.3945270000000001</v>
      </c>
      <c r="E5902">
        <v>0.46904630000000003</v>
      </c>
      <c r="F5902" t="s">
        <v>52</v>
      </c>
      <c r="G5902">
        <v>-200.72819999999999</v>
      </c>
      <c r="H5902" s="1">
        <v>-5.3709760000000001E-6</v>
      </c>
      <c r="I5902">
        <v>-61.061070000000001</v>
      </c>
      <c r="J5902">
        <v>-264.20280000000002</v>
      </c>
      <c r="K5902">
        <v>1.1074389999999901</v>
      </c>
      <c r="L5902">
        <v>-62.165799999999997</v>
      </c>
      <c r="M5902">
        <v>0.99982700000000002</v>
      </c>
      <c r="N5902">
        <v>0</v>
      </c>
      <c r="O5902">
        <v>1.6319090000000001E-2</v>
      </c>
      <c r="P5902">
        <v>0.99097100000000005</v>
      </c>
      <c r="Q5902">
        <v>0.11157889999999999</v>
      </c>
      <c r="R5902">
        <v>-7.4344099999999996E-2</v>
      </c>
      <c r="S5902">
        <v>3.0366520000000001</v>
      </c>
      <c r="T5902">
        <v>-5.2846070000000002E-2</v>
      </c>
      <c r="U5902">
        <v>5.282593E-2</v>
      </c>
      <c r="V5902">
        <v>9.0752390000000002E-2</v>
      </c>
      <c r="W5902">
        <v>0.1202355</v>
      </c>
      <c r="X5902">
        <v>0.98858860000000004</v>
      </c>
      <c r="Y5902">
        <v>-1.0761989999999999E-3</v>
      </c>
      <c r="Z5902">
        <v>-2.745828E-4</v>
      </c>
      <c r="AA5902">
        <v>0.99999939999999998</v>
      </c>
      <c r="AB5902">
        <v>31</v>
      </c>
      <c r="AC5902">
        <v>63.474600000000002</v>
      </c>
      <c r="AD5902">
        <v>-1.10744437097599</v>
      </c>
      <c r="AE5902">
        <v>1.10473</v>
      </c>
      <c r="AF5902">
        <v>-6.8673009940736801E-2</v>
      </c>
      <c r="AG5902">
        <v>-1.10744437097599</v>
      </c>
      <c r="AH5902">
        <v>63.4648628034792</v>
      </c>
      <c r="AI5902">
        <v>90.999693523701595</v>
      </c>
      <c r="AJ5902">
        <v>90.061997646045398</v>
      </c>
      <c r="AK5902">
        <v>63.474561516260501</v>
      </c>
      <c r="AL5902">
        <v>83.094305828442202</v>
      </c>
      <c r="AM5902">
        <v>84.754950744294504</v>
      </c>
      <c r="AN5902">
        <v>0.99999999590046096</v>
      </c>
    </row>
    <row r="5903" spans="1:40" x14ac:dyDescent="0.25">
      <c r="A5903" t="str">
        <f>"20190312164622304"</f>
        <v>20190312164622304</v>
      </c>
      <c r="B5903" t="str">
        <f>"1552380382297687"</f>
        <v>1552380382297687</v>
      </c>
      <c r="C5903" t="s">
        <v>40</v>
      </c>
      <c r="D5903">
        <v>5.4444249999999998</v>
      </c>
      <c r="E5903">
        <v>0.46914240000000001</v>
      </c>
      <c r="F5903" t="s">
        <v>52</v>
      </c>
      <c r="G5903">
        <v>-192.18960000000001</v>
      </c>
      <c r="H5903" s="1">
        <v>-8.9144709999999998E-6</v>
      </c>
      <c r="I5903">
        <v>-60.835680000000004</v>
      </c>
      <c r="J5903">
        <v>-264.04689999999999</v>
      </c>
      <c r="K5903">
        <v>1.1074949999999999</v>
      </c>
      <c r="L5903">
        <v>-62.163640000000001</v>
      </c>
      <c r="M5903">
        <v>0.99983290000000002</v>
      </c>
      <c r="N5903">
        <v>0</v>
      </c>
      <c r="O5903">
        <v>1.5948400000000001E-2</v>
      </c>
      <c r="P5903">
        <v>0.9908517</v>
      </c>
      <c r="Q5903">
        <v>0.11340219999999999</v>
      </c>
      <c r="R5903">
        <v>-7.3164899999999894E-2</v>
      </c>
      <c r="S5903">
        <v>3.0368040000000001</v>
      </c>
      <c r="T5903">
        <v>-4.6701189999999997E-2</v>
      </c>
      <c r="U5903">
        <v>5.6091309999999998E-2</v>
      </c>
      <c r="V5903">
        <v>8.9192399999999894E-2</v>
      </c>
      <c r="W5903">
        <v>0.1220734</v>
      </c>
      <c r="X5903">
        <v>0.98850539999999998</v>
      </c>
      <c r="Y5903">
        <v>-2.5202760000000001E-3</v>
      </c>
      <c r="Z5903">
        <v>-2.258424E-4</v>
      </c>
      <c r="AA5903">
        <v>0.99999680000000002</v>
      </c>
      <c r="AB5903">
        <v>31</v>
      </c>
      <c r="AC5903">
        <v>71.857299999999896</v>
      </c>
      <c r="AD5903">
        <v>-1.1075039144709999</v>
      </c>
      <c r="AE5903">
        <v>1.32795999999999</v>
      </c>
      <c r="AF5903">
        <v>-0.181693241994383</v>
      </c>
      <c r="AG5903">
        <v>-1.1075039144709999</v>
      </c>
      <c r="AH5903">
        <v>71.852277432939502</v>
      </c>
      <c r="AI5903">
        <v>90.883062792384393</v>
      </c>
      <c r="AJ5903">
        <v>90.144883838277494</v>
      </c>
      <c r="AK5903">
        <v>71.861041946626798</v>
      </c>
      <c r="AL5903">
        <v>82.988220908392904</v>
      </c>
      <c r="AM5903">
        <v>84.844188992080504</v>
      </c>
      <c r="AN5903">
        <v>1.0000000625172301</v>
      </c>
    </row>
    <row r="5904" spans="1:40" x14ac:dyDescent="0.25">
      <c r="A5904" t="str">
        <f>"20190312164622316"</f>
        <v>20190312164622316</v>
      </c>
      <c r="B5904" t="str">
        <f>"1552380382307447"</f>
        <v>1552380382307447</v>
      </c>
      <c r="C5904" t="s">
        <v>40</v>
      </c>
      <c r="D5904">
        <v>5.4472269999999998</v>
      </c>
      <c r="E5904">
        <v>0.4692634</v>
      </c>
      <c r="F5904" t="s">
        <v>52</v>
      </c>
      <c r="G5904">
        <v>-183.90459999999999</v>
      </c>
      <c r="H5904" s="1">
        <v>-1.0545889999999999E-5</v>
      </c>
      <c r="I5904">
        <v>-60.613329999999998</v>
      </c>
      <c r="J5904">
        <v>-263.89749999999998</v>
      </c>
      <c r="K5904">
        <v>1.107553</v>
      </c>
      <c r="L5904">
        <v>-62.161589999999997</v>
      </c>
      <c r="M5904">
        <v>0.99983789999999995</v>
      </c>
      <c r="N5904">
        <v>0</v>
      </c>
      <c r="O5904">
        <v>1.5630450000000001E-2</v>
      </c>
      <c r="P5904">
        <v>0.99076600000000004</v>
      </c>
      <c r="Q5904">
        <v>0.1150993</v>
      </c>
      <c r="R5904">
        <v>-7.1658070000000004E-2</v>
      </c>
      <c r="S5904">
        <v>3.0368650000000001</v>
      </c>
      <c r="T5904">
        <v>-4.1967150000000002E-2</v>
      </c>
      <c r="U5904">
        <v>5.8746340000000001E-2</v>
      </c>
      <c r="V5904">
        <v>8.735743E-2</v>
      </c>
      <c r="W5904">
        <v>0.12378459999999999</v>
      </c>
      <c r="X5904">
        <v>0.98845640000000001</v>
      </c>
      <c r="Y5904">
        <v>-3.7114079999999998E-3</v>
      </c>
      <c r="Z5904">
        <v>-1.903234E-4</v>
      </c>
      <c r="AA5904">
        <v>0.99999309999999997</v>
      </c>
      <c r="AB5904">
        <v>31</v>
      </c>
      <c r="AC5904">
        <v>79.992899999999906</v>
      </c>
      <c r="AD5904">
        <v>-1.1075635458899999</v>
      </c>
      <c r="AE5904">
        <v>1.54825999999999</v>
      </c>
      <c r="AF5904">
        <v>-0.29763885327522599</v>
      </c>
      <c r="AG5904">
        <v>-1.1075635458899999</v>
      </c>
      <c r="AH5904">
        <v>79.991998859781901</v>
      </c>
      <c r="AI5904">
        <v>90.793257121678394</v>
      </c>
      <c r="AJ5904">
        <v>90.213188464534895</v>
      </c>
      <c r="AK5904">
        <v>80.000219796438799</v>
      </c>
      <c r="AL5904">
        <v>82.889426620900096</v>
      </c>
      <c r="AM5904">
        <v>84.949457017797101</v>
      </c>
      <c r="AN5904">
        <v>1.0000000012371599</v>
      </c>
    </row>
    <row r="5905" spans="1:40" x14ac:dyDescent="0.25">
      <c r="A5905" t="str">
        <f>"20190312164622325"</f>
        <v>20190312164622325</v>
      </c>
      <c r="B5905" t="str">
        <f>"1552380382317207"</f>
        <v>1552380382317207</v>
      </c>
      <c r="C5905" t="s">
        <v>40</v>
      </c>
      <c r="D5905">
        <v>5.3711209999999996</v>
      </c>
      <c r="E5905">
        <v>0.46933619999999998</v>
      </c>
      <c r="F5905" t="s">
        <v>52</v>
      </c>
      <c r="G5905">
        <v>-179.9478</v>
      </c>
      <c r="H5905">
        <v>5.9902950000000003E-2</v>
      </c>
      <c r="I5905">
        <v>-60.444839999999999</v>
      </c>
      <c r="J5905">
        <v>-263.7441</v>
      </c>
      <c r="K5905">
        <v>1.107613</v>
      </c>
      <c r="L5905">
        <v>-62.159480000000002</v>
      </c>
      <c r="M5905">
        <v>0.99984269999999997</v>
      </c>
      <c r="N5905">
        <v>0</v>
      </c>
      <c r="O5905">
        <v>1.532324E-2</v>
      </c>
      <c r="P5905">
        <v>0.9906855</v>
      </c>
      <c r="Q5905">
        <v>0.11675870000000001</v>
      </c>
      <c r="R5905">
        <v>-7.007004E-2</v>
      </c>
      <c r="S5905">
        <v>3.0368650000000001</v>
      </c>
      <c r="T5905">
        <v>-3.7898540000000001E-2</v>
      </c>
      <c r="U5905">
        <v>6.2103270000000002E-2</v>
      </c>
      <c r="V5905">
        <v>8.5450750000000006E-2</v>
      </c>
      <c r="W5905">
        <v>0.12545799999999999</v>
      </c>
      <c r="X5905">
        <v>0.98841210000000002</v>
      </c>
      <c r="Y5905">
        <v>-5.1232710000000004E-3</v>
      </c>
      <c r="Z5905">
        <v>-1.5923000000000001E-4</v>
      </c>
      <c r="AA5905">
        <v>0.99998690000000001</v>
      </c>
      <c r="AB5905">
        <v>32</v>
      </c>
      <c r="AC5905">
        <v>83.796300000000002</v>
      </c>
      <c r="AD5905">
        <v>-1.0477100500000001</v>
      </c>
      <c r="AE5905">
        <v>1.7146399999999999</v>
      </c>
      <c r="AF5905">
        <v>-0.43028939952860101</v>
      </c>
      <c r="AG5905">
        <v>-1.0477100500000001</v>
      </c>
      <c r="AH5905">
        <v>83.799641149761896</v>
      </c>
      <c r="AI5905">
        <v>90.716297163847798</v>
      </c>
      <c r="AJ5905">
        <v>90.294196365966101</v>
      </c>
      <c r="AK5905">
        <v>83.807295041333205</v>
      </c>
      <c r="AL5905">
        <v>82.792794607736795</v>
      </c>
      <c r="AM5905">
        <v>85.058919066744394</v>
      </c>
      <c r="AN5905">
        <v>1.00000000993298</v>
      </c>
    </row>
    <row r="5906" spans="1:40" x14ac:dyDescent="0.25">
      <c r="A5906" t="str">
        <f>"20190312164622337"</f>
        <v>20190312164622337</v>
      </c>
      <c r="B5906" t="str">
        <f>"1552380382326968"</f>
        <v>1552380382326968</v>
      </c>
      <c r="C5906" t="s">
        <v>40</v>
      </c>
      <c r="D5906">
        <v>5.4427070000000004</v>
      </c>
      <c r="E5906">
        <v>0.46928249999999999</v>
      </c>
      <c r="F5906" t="s">
        <v>43</v>
      </c>
      <c r="G5906">
        <v>-160.74870000000001</v>
      </c>
      <c r="H5906">
        <v>-0.05</v>
      </c>
      <c r="I5906">
        <v>-59.918719999999901</v>
      </c>
      <c r="J5906">
        <v>-263.59030000000001</v>
      </c>
      <c r="K5906">
        <v>1.1076710000000001</v>
      </c>
      <c r="L5906">
        <v>-62.157380000000003</v>
      </c>
      <c r="M5906">
        <v>0.99984660000000003</v>
      </c>
      <c r="N5906">
        <v>0</v>
      </c>
      <c r="O5906">
        <v>1.5066110000000001E-2</v>
      </c>
      <c r="P5906">
        <v>0.99064479999999999</v>
      </c>
      <c r="Q5906">
        <v>0.118199</v>
      </c>
      <c r="R5906">
        <v>-6.8207749999999998E-2</v>
      </c>
      <c r="S5906">
        <v>3.0368650000000001</v>
      </c>
      <c r="T5906">
        <v>-3.4132719999999998E-2</v>
      </c>
      <c r="U5906">
        <v>6.607056E-2</v>
      </c>
      <c r="V5906">
        <v>8.3318580000000003E-2</v>
      </c>
      <c r="W5906">
        <v>0.126914</v>
      </c>
      <c r="X5906">
        <v>0.98840830000000002</v>
      </c>
      <c r="Y5906">
        <v>-6.6859409999999999E-3</v>
      </c>
      <c r="Z5906">
        <v>-1.3173690000000001E-4</v>
      </c>
      <c r="AA5906">
        <v>0.99997760000000002</v>
      </c>
      <c r="AB5906">
        <v>32</v>
      </c>
      <c r="AC5906">
        <v>102.8416</v>
      </c>
      <c r="AD5906">
        <v>-1.1576709999999999</v>
      </c>
      <c r="AE5906">
        <v>2.2386599999999999</v>
      </c>
      <c r="AF5906">
        <v>-0.68883397083963804</v>
      </c>
      <c r="AG5906">
        <v>-1.1576709999999999</v>
      </c>
      <c r="AH5906">
        <v>102.850629078178</v>
      </c>
      <c r="AI5906">
        <v>90.644870863647299</v>
      </c>
      <c r="AJ5906">
        <v>90.383728223895602</v>
      </c>
      <c r="AK5906">
        <v>102.859450689572</v>
      </c>
      <c r="AL5906">
        <v>82.708700096671706</v>
      </c>
      <c r="AM5906">
        <v>85.181602808861896</v>
      </c>
      <c r="AN5906">
        <v>1.00000005833905</v>
      </c>
    </row>
    <row r="5907" spans="1:40" x14ac:dyDescent="0.25">
      <c r="A5907" t="str">
        <f>"20190312164622348"</f>
        <v>20190312164622348</v>
      </c>
      <c r="B5907" t="str">
        <f>"1552380382337704"</f>
        <v>1552380382337704</v>
      </c>
      <c r="C5907" t="s">
        <v>40</v>
      </c>
      <c r="D5907">
        <v>5.4464589999999999</v>
      </c>
      <c r="E5907">
        <v>0.46928249999999999</v>
      </c>
      <c r="F5907" t="s">
        <v>43</v>
      </c>
      <c r="G5907">
        <v>-149.41630000000001</v>
      </c>
      <c r="H5907">
        <v>-0.05</v>
      </c>
      <c r="I5907">
        <v>-59.456629999999997</v>
      </c>
      <c r="J5907">
        <v>-263.4316</v>
      </c>
      <c r="K5907">
        <v>1.1077330000000001</v>
      </c>
      <c r="L5907">
        <v>-62.155239999999999</v>
      </c>
      <c r="M5907">
        <v>0.99985029999999997</v>
      </c>
      <c r="N5907">
        <v>0</v>
      </c>
      <c r="O5907">
        <v>1.4813349999999999E-2</v>
      </c>
      <c r="P5907">
        <v>0.99065630000000005</v>
      </c>
      <c r="Q5907">
        <v>0.1192347</v>
      </c>
      <c r="R5907">
        <v>-6.6207310000000005E-2</v>
      </c>
      <c r="S5907">
        <v>3.0369570000000001</v>
      </c>
      <c r="T5907">
        <v>-3.0793310000000001E-2</v>
      </c>
      <c r="U5907">
        <v>7.1838379999999993E-2</v>
      </c>
      <c r="V5907">
        <v>8.1051830000000005E-2</v>
      </c>
      <c r="W5907">
        <v>0.12796540000000001</v>
      </c>
      <c r="X5907">
        <v>0.98846109999999998</v>
      </c>
      <c r="Y5907">
        <v>-8.8360290000000005E-3</v>
      </c>
      <c r="Z5907">
        <v>-1.053816E-4</v>
      </c>
      <c r="AA5907">
        <v>0.99996099999999999</v>
      </c>
      <c r="AB5907">
        <v>32</v>
      </c>
      <c r="AC5907">
        <v>114.0153</v>
      </c>
      <c r="AD5907">
        <v>-1.1577329999999999</v>
      </c>
      <c r="AE5907">
        <v>2.6986099999999902</v>
      </c>
      <c r="AF5907">
        <v>-1.0091938201414801</v>
      </c>
      <c r="AG5907">
        <v>-1.1577329999999999</v>
      </c>
      <c r="AH5907">
        <v>114.0310149949</v>
      </c>
      <c r="AI5907">
        <v>90.581669279060193</v>
      </c>
      <c r="AJ5907">
        <v>90.507064126530196</v>
      </c>
      <c r="AK5907">
        <v>114.041357404378</v>
      </c>
      <c r="AL5907">
        <v>82.647963251042</v>
      </c>
      <c r="AM5907">
        <v>85.312348167309494</v>
      </c>
      <c r="AN5907">
        <v>0.99999994447835705</v>
      </c>
    </row>
    <row r="5908" spans="1:40" x14ac:dyDescent="0.25">
      <c r="A5908" t="str">
        <f>"20190312164622360"</f>
        <v>20190312164622360</v>
      </c>
      <c r="B5908" t="str">
        <f>"1552380382357223"</f>
        <v>1552380382357223</v>
      </c>
      <c r="C5908" t="s">
        <v>40</v>
      </c>
      <c r="D5908">
        <v>5.300395</v>
      </c>
      <c r="E5908">
        <v>0.43607069999999998</v>
      </c>
      <c r="F5908" t="s">
        <v>62</v>
      </c>
      <c r="G5908">
        <v>-157.3501</v>
      </c>
      <c r="H5908">
        <v>0.1337652</v>
      </c>
      <c r="I5908">
        <v>-59.442189999999997</v>
      </c>
      <c r="J5908">
        <v>-263.27080000000001</v>
      </c>
      <c r="K5908">
        <v>1.1077950000000001</v>
      </c>
      <c r="L5908">
        <v>-62.15305</v>
      </c>
      <c r="M5908">
        <v>0.99985329999999994</v>
      </c>
      <c r="N5908">
        <v>0</v>
      </c>
      <c r="O5908">
        <v>1.4624389999999999E-2</v>
      </c>
      <c r="P5908">
        <v>0.99062669999999997</v>
      </c>
      <c r="Q5908">
        <v>0.1205932</v>
      </c>
      <c r="R5908">
        <v>-6.41592E-2</v>
      </c>
      <c r="S5908">
        <v>3.036835</v>
      </c>
      <c r="T5908">
        <v>-2.78827E-2</v>
      </c>
      <c r="U5908">
        <v>7.7667239999999999E-2</v>
      </c>
      <c r="V5908">
        <v>7.8799359999999999E-2</v>
      </c>
      <c r="W5908">
        <v>0.12933529999999999</v>
      </c>
      <c r="X5908">
        <v>0.98846500000000004</v>
      </c>
      <c r="Y5908">
        <v>-1.0943929999999999E-2</v>
      </c>
      <c r="Z5908" s="1">
        <v>-8.4012949999999993E-5</v>
      </c>
      <c r="AA5908">
        <v>0.9999401</v>
      </c>
      <c r="AB5908">
        <v>32</v>
      </c>
      <c r="AC5908">
        <v>105.9207</v>
      </c>
      <c r="AD5908">
        <v>-0.97402979999999995</v>
      </c>
      <c r="AE5908">
        <v>2.7108599999999901</v>
      </c>
      <c r="AF5908">
        <v>-1.16138471769865</v>
      </c>
      <c r="AG5908">
        <v>-0.97402979999999995</v>
      </c>
      <c r="AH5908">
        <v>105.940065170664</v>
      </c>
      <c r="AI5908">
        <v>90.526740013074502</v>
      </c>
      <c r="AJ5908">
        <v>90.628088883206601</v>
      </c>
      <c r="AK5908">
        <v>105.950908239988</v>
      </c>
      <c r="AL5908">
        <v>82.568816511293903</v>
      </c>
      <c r="AM5908">
        <v>85.442081510375701</v>
      </c>
      <c r="AN5908">
        <v>1.0000000075937401</v>
      </c>
    </row>
    <row r="5909" spans="1:40" x14ac:dyDescent="0.25">
      <c r="A5909" t="str">
        <f>"20190312164622371"</f>
        <v>20190312164622371</v>
      </c>
      <c r="B5909" t="str">
        <f>"1552380382366983"</f>
        <v>1552380382366983</v>
      </c>
      <c r="C5909" t="s">
        <v>40</v>
      </c>
      <c r="D5909">
        <v>5.3745050000000001</v>
      </c>
      <c r="E5909">
        <v>0.42970150000000001</v>
      </c>
      <c r="F5909" t="s">
        <v>52</v>
      </c>
      <c r="G5909">
        <v>-207.7653</v>
      </c>
      <c r="H5909" s="1">
        <v>-2.6203090000000002E-6</v>
      </c>
      <c r="I5909">
        <v>-55.767470000000003</v>
      </c>
      <c r="J5909">
        <v>-263.11130000000003</v>
      </c>
      <c r="K5909">
        <v>1.1078619999999999</v>
      </c>
      <c r="L5909">
        <v>-62.150910000000003</v>
      </c>
      <c r="M5909">
        <v>0.99985559999999996</v>
      </c>
      <c r="N5909">
        <v>0</v>
      </c>
      <c r="O5909">
        <v>1.445193E-2</v>
      </c>
      <c r="P5909">
        <v>0.99059280000000005</v>
      </c>
      <c r="Q5909">
        <v>0.12190579999999999</v>
      </c>
      <c r="R5909">
        <v>-6.2170889999999999E-2</v>
      </c>
      <c r="S5909">
        <v>3.0585629999999999</v>
      </c>
      <c r="T5909">
        <v>-6.1043739999999999E-2</v>
      </c>
      <c r="U5909">
        <v>0.35186770000000001</v>
      </c>
      <c r="V5909">
        <v>7.6622709999999997E-2</v>
      </c>
      <c r="W5909">
        <v>0.13065959999999999</v>
      </c>
      <c r="X5909">
        <v>0.98846199999999995</v>
      </c>
      <c r="Y5909">
        <v>-9.990309E-2</v>
      </c>
      <c r="Z5909">
        <v>7.0616919999999896E-4</v>
      </c>
      <c r="AA5909">
        <v>0.99499689999999996</v>
      </c>
      <c r="AB5909">
        <v>32</v>
      </c>
      <c r="AC5909">
        <v>55.345999999999997</v>
      </c>
      <c r="AD5909">
        <v>-1.1078646203089999</v>
      </c>
      <c r="AE5909">
        <v>6.3834400000000002</v>
      </c>
      <c r="AF5909">
        <v>-5.5806780848941999</v>
      </c>
      <c r="AG5909">
        <v>-1.1078646203089999</v>
      </c>
      <c r="AH5909">
        <v>55.410565612783003</v>
      </c>
      <c r="AI5909">
        <v>91.139640624821993</v>
      </c>
      <c r="AJ5909">
        <v>95.751154172548496</v>
      </c>
      <c r="AK5909">
        <v>55.701904037767697</v>
      </c>
      <c r="AL5909">
        <v>82.492290634948802</v>
      </c>
      <c r="AM5909">
        <v>85.5674612440435</v>
      </c>
      <c r="AN5909">
        <v>1.00000004810195</v>
      </c>
    </row>
    <row r="5910" spans="1:40" x14ac:dyDescent="0.25">
      <c r="A5910" t="str">
        <f>"20190312164622382"</f>
        <v>20190312164622382</v>
      </c>
      <c r="B5910" t="str">
        <f>"1552380382377719"</f>
        <v>1552380382377719</v>
      </c>
      <c r="C5910" t="s">
        <v>40</v>
      </c>
      <c r="D5910">
        <v>5.4081510000000002</v>
      </c>
      <c r="E5910">
        <v>0.42637399999999998</v>
      </c>
      <c r="F5910" t="s">
        <v>52</v>
      </c>
      <c r="G5910">
        <v>-204.27010000000001</v>
      </c>
      <c r="H5910" s="1">
        <v>-4.8768319999999997E-6</v>
      </c>
      <c r="I5910">
        <v>-54.295850000000002</v>
      </c>
      <c r="J5910">
        <v>-262.9443</v>
      </c>
      <c r="K5910">
        <v>1.107925</v>
      </c>
      <c r="L5910">
        <v>-62.148650000000004</v>
      </c>
      <c r="M5910">
        <v>0.99985769999999996</v>
      </c>
      <c r="N5910">
        <v>0</v>
      </c>
      <c r="O5910">
        <v>1.4323300000000001E-2</v>
      </c>
      <c r="P5910">
        <v>0.99060490000000001</v>
      </c>
      <c r="Q5910">
        <v>0.1229711</v>
      </c>
      <c r="R5910">
        <v>-5.9836960000000002E-2</v>
      </c>
      <c r="S5910">
        <v>3.0612180000000002</v>
      </c>
      <c r="T5910">
        <v>-5.7636859999999998E-2</v>
      </c>
      <c r="U5910">
        <v>0.40866089999999999</v>
      </c>
      <c r="V5910">
        <v>7.4143089999999995E-2</v>
      </c>
      <c r="W5910">
        <v>0.13173499999999999</v>
      </c>
      <c r="X5910">
        <v>0.98850830000000001</v>
      </c>
      <c r="Y5910">
        <v>-0.1180928</v>
      </c>
      <c r="Z5910">
        <v>8.3831800000000001E-4</v>
      </c>
      <c r="AA5910">
        <v>0.99300219999999995</v>
      </c>
      <c r="AB5910">
        <v>32</v>
      </c>
      <c r="AC5910">
        <v>58.6741999999999</v>
      </c>
      <c r="AD5910">
        <v>-1.1079298768320001</v>
      </c>
      <c r="AE5910">
        <v>7.8528000000000002</v>
      </c>
      <c r="AF5910">
        <v>-7.0090976501278899</v>
      </c>
      <c r="AG5910">
        <v>-1.1079298768320001</v>
      </c>
      <c r="AH5910">
        <v>58.760080290220301</v>
      </c>
      <c r="AI5910">
        <v>91.072590341030704</v>
      </c>
      <c r="AJ5910">
        <v>96.802290339776405</v>
      </c>
      <c r="AK5910">
        <v>59.187008660635499</v>
      </c>
      <c r="AL5910">
        <v>82.430137028021605</v>
      </c>
      <c r="AM5910">
        <v>85.7105603562716</v>
      </c>
      <c r="AN5910">
        <v>0.99999998359431896</v>
      </c>
    </row>
    <row r="5911" spans="1:40" x14ac:dyDescent="0.25">
      <c r="A5911" t="str">
        <f>"20190312164622395"</f>
        <v>20190312164622395</v>
      </c>
      <c r="B5911" t="str">
        <f>"1552380382387479"</f>
        <v>1552380382387479</v>
      </c>
      <c r="C5911" t="s">
        <v>40</v>
      </c>
      <c r="D5911">
        <v>5.401027</v>
      </c>
      <c r="E5911">
        <v>0.42456880000000002</v>
      </c>
      <c r="F5911" t="s">
        <v>52</v>
      </c>
      <c r="G5911">
        <v>-197.46619999999999</v>
      </c>
      <c r="H5911" s="1">
        <v>-9.7075830000000002E-6</v>
      </c>
      <c r="I5911">
        <v>-52.695340000000002</v>
      </c>
      <c r="J5911">
        <v>-262.77980000000002</v>
      </c>
      <c r="K5911">
        <v>1.107985</v>
      </c>
      <c r="L5911">
        <v>-62.146389999999997</v>
      </c>
      <c r="M5911">
        <v>0.99985900000000005</v>
      </c>
      <c r="N5911">
        <v>0</v>
      </c>
      <c r="O5911">
        <v>1.422375E-2</v>
      </c>
      <c r="P5911">
        <v>0.99058970000000002</v>
      </c>
      <c r="Q5911">
        <v>0.1241424</v>
      </c>
      <c r="R5911">
        <v>-5.7623939999999998E-2</v>
      </c>
      <c r="S5911">
        <v>3.0616150000000002</v>
      </c>
      <c r="T5911">
        <v>-5.1804660000000002E-2</v>
      </c>
      <c r="U5911">
        <v>0.44201659999999998</v>
      </c>
      <c r="V5911">
        <v>7.1814130000000004E-2</v>
      </c>
      <c r="W5911">
        <v>0.13291520000000001</v>
      </c>
      <c r="X5911">
        <v>0.98852229999999996</v>
      </c>
      <c r="Y5911">
        <v>-0.12878329999999999</v>
      </c>
      <c r="Z5911">
        <v>8.4449600000000003E-4</v>
      </c>
      <c r="AA5911">
        <v>0.99167240000000001</v>
      </c>
      <c r="AB5911">
        <v>32</v>
      </c>
      <c r="AC5911">
        <v>65.313599999999994</v>
      </c>
      <c r="AD5911">
        <v>-1.1079947075829999</v>
      </c>
      <c r="AE5911">
        <v>9.4510500000000004</v>
      </c>
      <c r="AF5911">
        <v>-8.51865124550182</v>
      </c>
      <c r="AG5911">
        <v>-1.1079947075829999</v>
      </c>
      <c r="AH5911">
        <v>65.422985297582102</v>
      </c>
      <c r="AI5911">
        <v>90.962140306190506</v>
      </c>
      <c r="AJ5911">
        <v>97.418678795946406</v>
      </c>
      <c r="AK5911">
        <v>65.984559379919801</v>
      </c>
      <c r="AL5911">
        <v>82.361916984864806</v>
      </c>
      <c r="AM5911">
        <v>85.844878021390699</v>
      </c>
      <c r="AN5911">
        <v>1.00000002862799</v>
      </c>
    </row>
    <row r="5912" spans="1:40" x14ac:dyDescent="0.25">
      <c r="A5912" t="str">
        <f>"20190312164622405"</f>
        <v>20190312164622405</v>
      </c>
      <c r="B5912" t="str">
        <f>"1552380382397239"</f>
        <v>1552380382397239</v>
      </c>
      <c r="C5912" t="s">
        <v>40</v>
      </c>
      <c r="D5912">
        <v>5.3341469999999997</v>
      </c>
      <c r="E5912">
        <v>0.42307909999999999</v>
      </c>
      <c r="F5912" t="s">
        <v>52</v>
      </c>
      <c r="G5912">
        <v>-191.50800000000001</v>
      </c>
      <c r="H5912" s="1">
        <v>-9.5942750000000006E-6</v>
      </c>
      <c r="I5912">
        <v>-51.36992</v>
      </c>
      <c r="J5912">
        <v>-262.62990000000002</v>
      </c>
      <c r="K5912">
        <v>1.1080429999999999</v>
      </c>
      <c r="L5912">
        <v>-62.144350000000003</v>
      </c>
      <c r="M5912">
        <v>0.99985999999999997</v>
      </c>
      <c r="N5912">
        <v>0</v>
      </c>
      <c r="O5912">
        <v>1.415604E-2</v>
      </c>
      <c r="P5912">
        <v>0.99057640000000002</v>
      </c>
      <c r="Q5912">
        <v>0.12524560000000001</v>
      </c>
      <c r="R5912">
        <v>-5.5428900000000003E-2</v>
      </c>
      <c r="S5912">
        <v>3.061401</v>
      </c>
      <c r="T5912">
        <v>-4.7592639999999999E-2</v>
      </c>
      <c r="U5912">
        <v>0.46289059999999999</v>
      </c>
      <c r="V5912">
        <v>6.9536710000000002E-2</v>
      </c>
      <c r="W5912">
        <v>0.13402620000000001</v>
      </c>
      <c r="X5912">
        <v>0.9885351</v>
      </c>
      <c r="Y5912">
        <v>-0.13547609999999999</v>
      </c>
      <c r="Z5912">
        <v>8.2828589999999998E-4</v>
      </c>
      <c r="AA5912">
        <v>0.99078029999999995</v>
      </c>
      <c r="AB5912">
        <v>32</v>
      </c>
      <c r="AC5912">
        <v>71.121899999999997</v>
      </c>
      <c r="AD5912">
        <v>-1.1080525942749999</v>
      </c>
      <c r="AE5912">
        <v>10.774430000000001</v>
      </c>
      <c r="AF5912">
        <v>-9.7641889304805094</v>
      </c>
      <c r="AG5912">
        <v>-1.1080525942749999</v>
      </c>
      <c r="AH5912">
        <v>71.250395988831897</v>
      </c>
      <c r="AI5912">
        <v>90.882716281131195</v>
      </c>
      <c r="AJ5912">
        <v>97.803235256815199</v>
      </c>
      <c r="AK5912">
        <v>71.924864230578393</v>
      </c>
      <c r="AL5912">
        <v>82.297686544902604</v>
      </c>
      <c r="AM5912">
        <v>85.976260205964707</v>
      </c>
      <c r="AN5912">
        <v>1.00000001012803</v>
      </c>
    </row>
    <row r="5913" spans="1:40" x14ac:dyDescent="0.25">
      <c r="A5913" t="str">
        <f>"20190312164622415"</f>
        <v>20190312164622415</v>
      </c>
      <c r="B5913" t="str">
        <f>"1552380382406999"</f>
        <v>1552380382406999</v>
      </c>
      <c r="C5913" t="s">
        <v>40</v>
      </c>
      <c r="D5913">
        <v>5.3263680000000004</v>
      </c>
      <c r="E5913">
        <v>0.42203679999999899</v>
      </c>
      <c r="F5913" t="s">
        <v>52</v>
      </c>
      <c r="G5913">
        <v>-196.1807</v>
      </c>
      <c r="H5913" s="1">
        <v>-9.9455190000000002E-6</v>
      </c>
      <c r="I5913">
        <v>-51.687719999999999</v>
      </c>
      <c r="J5913">
        <v>-262.4803</v>
      </c>
      <c r="K5913">
        <v>1.108088</v>
      </c>
      <c r="L5913">
        <v>-62.142299999999999</v>
      </c>
      <c r="M5913">
        <v>0.99986079999999999</v>
      </c>
      <c r="N5913">
        <v>0</v>
      </c>
      <c r="O5913">
        <v>1.4112400000000001E-2</v>
      </c>
      <c r="P5913">
        <v>0.99056860000000002</v>
      </c>
      <c r="Q5913">
        <v>0.12632789999999999</v>
      </c>
      <c r="R5913">
        <v>-5.30628E-2</v>
      </c>
      <c r="S5913">
        <v>3.0619809999999998</v>
      </c>
      <c r="T5913">
        <v>-5.1059130000000001E-2</v>
      </c>
      <c r="U5913">
        <v>0.48184199999999999</v>
      </c>
      <c r="V5913">
        <v>6.7113880000000001E-2</v>
      </c>
      <c r="W5913">
        <v>0.13511289999999901</v>
      </c>
      <c r="X5913">
        <v>0.98855459999999995</v>
      </c>
      <c r="Y5913">
        <v>-0.14147579999999901</v>
      </c>
      <c r="Z5913">
        <v>9.3846399999999996E-4</v>
      </c>
      <c r="AA5913">
        <v>0.98994130000000002</v>
      </c>
      <c r="AB5913">
        <v>32</v>
      </c>
      <c r="AC5913">
        <v>66.299599999999998</v>
      </c>
      <c r="AD5913">
        <v>-1.1080979455190001</v>
      </c>
      <c r="AE5913">
        <v>10.45458</v>
      </c>
      <c r="AF5913">
        <v>-9.5152617475320405</v>
      </c>
      <c r="AG5913">
        <v>-1.1080979455190001</v>
      </c>
      <c r="AH5913">
        <v>66.422437764362897</v>
      </c>
      <c r="AI5913">
        <v>90.946096400091804</v>
      </c>
      <c r="AJ5913">
        <v>98.152369246637605</v>
      </c>
      <c r="AK5913">
        <v>67.109673861087799</v>
      </c>
      <c r="AL5913">
        <v>82.234851469553703</v>
      </c>
      <c r="AM5913">
        <v>86.116096772243196</v>
      </c>
      <c r="AN5913">
        <v>0.99999998290811198</v>
      </c>
    </row>
    <row r="5914" spans="1:40" x14ac:dyDescent="0.25">
      <c r="A5914" t="str">
        <f>"20190312164622426"</f>
        <v>20190312164622426</v>
      </c>
      <c r="B5914" t="str">
        <f>"1552380382416759"</f>
        <v>1552380382416759</v>
      </c>
      <c r="C5914" t="s">
        <v>40</v>
      </c>
      <c r="D5914">
        <v>5.3566029999999998</v>
      </c>
      <c r="E5914">
        <v>0.42108079999999998</v>
      </c>
      <c r="F5914" t="s">
        <v>52</v>
      </c>
      <c r="G5914">
        <v>-200.6207</v>
      </c>
      <c r="H5914" s="1">
        <v>-6.7688390000000003E-6</v>
      </c>
      <c r="I5914">
        <v>-52.089350000000003</v>
      </c>
      <c r="J5914">
        <v>-262.3186</v>
      </c>
      <c r="K5914">
        <v>1.108133</v>
      </c>
      <c r="L5914">
        <v>-62.140050000000002</v>
      </c>
      <c r="M5914">
        <v>0.99986109999999995</v>
      </c>
      <c r="N5914">
        <v>0</v>
      </c>
      <c r="O5914">
        <v>1.407859E-2</v>
      </c>
      <c r="P5914">
        <v>0.99057329999999999</v>
      </c>
      <c r="Q5914">
        <v>0.1272006</v>
      </c>
      <c r="R5914">
        <v>-5.0837699999999902E-2</v>
      </c>
      <c r="S5914">
        <v>3.0622250000000002</v>
      </c>
      <c r="T5914">
        <v>-5.4853800000000001E-2</v>
      </c>
      <c r="U5914">
        <v>0.49765009999999998</v>
      </c>
      <c r="V5914">
        <v>6.4841960000000004E-2</v>
      </c>
      <c r="W5914">
        <v>0.13598789999999999</v>
      </c>
      <c r="X5914">
        <v>0.98858619999999997</v>
      </c>
      <c r="Y5914">
        <v>-0.14647479999999999</v>
      </c>
      <c r="Z5914">
        <v>1.052793E-3</v>
      </c>
      <c r="AA5914">
        <v>0.98921380000000003</v>
      </c>
      <c r="AB5914">
        <v>32</v>
      </c>
      <c r="AC5914">
        <v>61.697899999999997</v>
      </c>
      <c r="AD5914">
        <v>-1.108139768839</v>
      </c>
      <c r="AE5914">
        <v>10.050700000000001</v>
      </c>
      <c r="AF5914">
        <v>-9.1781655854910298</v>
      </c>
      <c r="AG5914">
        <v>-1.108139768839</v>
      </c>
      <c r="AH5914">
        <v>61.813865120002902</v>
      </c>
      <c r="AI5914">
        <v>91.015898753838798</v>
      </c>
      <c r="AJ5914">
        <v>98.445612387988504</v>
      </c>
      <c r="AK5914">
        <v>62.501364931782803</v>
      </c>
      <c r="AL5914">
        <v>82.184250234959507</v>
      </c>
      <c r="AM5914">
        <v>86.247310915204295</v>
      </c>
      <c r="AN5914">
        <v>0.99999993177674296</v>
      </c>
    </row>
    <row r="5915" spans="1:40" x14ac:dyDescent="0.25">
      <c r="A5915" t="str">
        <f>"20190312164622438"</f>
        <v>20190312164622438</v>
      </c>
      <c r="B5915" t="str">
        <f>"1552380382427495"</f>
        <v>1552380382427495</v>
      </c>
      <c r="C5915" t="s">
        <v>40</v>
      </c>
      <c r="D5915">
        <v>5.359737</v>
      </c>
      <c r="E5915">
        <v>0.42033090000000001</v>
      </c>
      <c r="F5915" t="s">
        <v>93</v>
      </c>
      <c r="G5915">
        <v>-211.7441</v>
      </c>
      <c r="H5915" s="1">
        <v>-1.3522289999999999E-6</v>
      </c>
      <c r="I5915">
        <v>-53.671520000000001</v>
      </c>
      <c r="J5915">
        <v>-262.16309999999999</v>
      </c>
      <c r="K5915">
        <v>1.1081620000000001</v>
      </c>
      <c r="L5915">
        <v>-62.137880000000003</v>
      </c>
      <c r="M5915">
        <v>0.99986140000000001</v>
      </c>
      <c r="N5915">
        <v>0</v>
      </c>
      <c r="O5915">
        <v>1.407366E-2</v>
      </c>
      <c r="P5915">
        <v>0.99056370000000005</v>
      </c>
      <c r="Q5915">
        <v>0.1281156</v>
      </c>
      <c r="R5915">
        <v>-4.8686569999999998E-2</v>
      </c>
      <c r="S5915">
        <v>3.063507</v>
      </c>
      <c r="T5915">
        <v>-6.7124249999999996E-2</v>
      </c>
      <c r="U5915">
        <v>0.51297000000000004</v>
      </c>
      <c r="V5915">
        <v>6.2675159999999994E-2</v>
      </c>
      <c r="W5915">
        <v>0.13690050000000001</v>
      </c>
      <c r="X5915">
        <v>0.98860009999999998</v>
      </c>
      <c r="Y5915">
        <v>-0.15121689999999999</v>
      </c>
      <c r="Z5915">
        <v>1.3388899999999999E-3</v>
      </c>
      <c r="AA5915">
        <v>0.98849969999999998</v>
      </c>
      <c r="AB5915">
        <v>32</v>
      </c>
      <c r="AC5915">
        <v>50.418999999999897</v>
      </c>
      <c r="AD5915">
        <v>-1.108163352229</v>
      </c>
      <c r="AE5915">
        <v>8.4663599999999999</v>
      </c>
      <c r="AF5915">
        <v>-7.7522712351968099</v>
      </c>
      <c r="AG5915">
        <v>-1.108163352229</v>
      </c>
      <c r="AH5915">
        <v>50.509432595602199</v>
      </c>
      <c r="AI5915">
        <v>91.242309841402005</v>
      </c>
      <c r="AJ5915">
        <v>98.725759692416801</v>
      </c>
      <c r="AK5915">
        <v>51.112899706913197</v>
      </c>
      <c r="AL5915">
        <v>82.131469331318698</v>
      </c>
      <c r="AM5915">
        <v>86.372423394653396</v>
      </c>
      <c r="AN5915">
        <v>1.0000000401506399</v>
      </c>
    </row>
    <row r="5916" spans="1:40" x14ac:dyDescent="0.25">
      <c r="A5916" t="str">
        <f>"20190312164622448"</f>
        <v>20190312164622448</v>
      </c>
      <c r="B5916" t="str">
        <f>"1552380382437255"</f>
        <v>1552380382437255</v>
      </c>
      <c r="C5916" t="s">
        <v>40</v>
      </c>
      <c r="D5916">
        <v>5.3143880000000001</v>
      </c>
      <c r="E5916">
        <v>0.41988940000000002</v>
      </c>
      <c r="F5916" t="s">
        <v>93</v>
      </c>
      <c r="G5916">
        <v>-217.726</v>
      </c>
      <c r="H5916" s="1">
        <v>-3.3259600000000002E-6</v>
      </c>
      <c r="I5916">
        <v>-54.506529999999998</v>
      </c>
      <c r="J5916">
        <v>-262.0034</v>
      </c>
      <c r="K5916">
        <v>1.1081970000000001</v>
      </c>
      <c r="L5916">
        <v>-62.135649999999998</v>
      </c>
      <c r="M5916">
        <v>0.99986129999999995</v>
      </c>
      <c r="N5916">
        <v>0</v>
      </c>
      <c r="O5916">
        <v>1.407509E-2</v>
      </c>
      <c r="P5916">
        <v>0.99055689999999996</v>
      </c>
      <c r="Q5916">
        <v>0.12896350000000001</v>
      </c>
      <c r="R5916">
        <v>-4.653405E-2</v>
      </c>
      <c r="S5916">
        <v>3.0643310000000001</v>
      </c>
      <c r="T5916">
        <v>-7.6417799999999994E-2</v>
      </c>
      <c r="U5916">
        <v>0.52624510000000002</v>
      </c>
      <c r="V5916">
        <v>6.0513270000000001E-2</v>
      </c>
      <c r="W5916">
        <v>0.13774459999999999</v>
      </c>
      <c r="X5916">
        <v>0.98861750000000004</v>
      </c>
      <c r="Y5916">
        <v>-0.15532279999999901</v>
      </c>
      <c r="Z5916">
        <v>1.57404299999999E-3</v>
      </c>
      <c r="AA5916">
        <v>0.98786249999999998</v>
      </c>
      <c r="AB5916">
        <v>32</v>
      </c>
      <c r="AC5916">
        <v>44.2774</v>
      </c>
      <c r="AD5916">
        <v>-1.10820032596</v>
      </c>
      <c r="AE5916">
        <v>7.6291199999999897</v>
      </c>
      <c r="AF5916">
        <v>-7.0008720055821101</v>
      </c>
      <c r="AG5916">
        <v>-1.10820032596</v>
      </c>
      <c r="AH5916">
        <v>44.353415173805701</v>
      </c>
      <c r="AI5916">
        <v>91.4137801899614</v>
      </c>
      <c r="AJ5916">
        <v>98.969729218993905</v>
      </c>
      <c r="AK5916">
        <v>44.9162081478499</v>
      </c>
      <c r="AL5916">
        <v>82.082643054322006</v>
      </c>
      <c r="AM5916">
        <v>86.497295874029405</v>
      </c>
      <c r="AN5916">
        <v>0.99999999599075096</v>
      </c>
    </row>
    <row r="5917" spans="1:40" x14ac:dyDescent="0.25">
      <c r="A5917" t="str">
        <f>"20190312164622460"</f>
        <v>20190312164622460</v>
      </c>
      <c r="B5917" t="str">
        <f>"1552380382457752"</f>
        <v>1552380382457752</v>
      </c>
      <c r="C5917" t="s">
        <v>40</v>
      </c>
      <c r="D5917">
        <v>5.3047009999999997</v>
      </c>
      <c r="E5917">
        <v>0.41936909999999999</v>
      </c>
      <c r="F5917" t="s">
        <v>92</v>
      </c>
      <c r="G5917">
        <v>-222.1474</v>
      </c>
      <c r="H5917" s="1">
        <v>-1.4729370000000001E-6</v>
      </c>
      <c r="I5917">
        <v>-55.153089999999999</v>
      </c>
      <c r="J5917">
        <v>-261.84100000000001</v>
      </c>
      <c r="K5917">
        <v>1.1082240000000001</v>
      </c>
      <c r="L5917">
        <v>-62.133330000000001</v>
      </c>
      <c r="M5917">
        <v>0.99986120000000001</v>
      </c>
      <c r="N5917">
        <v>0</v>
      </c>
      <c r="O5917">
        <v>1.410295E-2</v>
      </c>
      <c r="P5917">
        <v>0.99049480000000001</v>
      </c>
      <c r="Q5917">
        <v>0.1300693</v>
      </c>
      <c r="R5917">
        <v>-4.4744010000000001E-2</v>
      </c>
      <c r="S5917">
        <v>3.0649109999999999</v>
      </c>
      <c r="T5917">
        <v>-8.5220219999999999E-2</v>
      </c>
      <c r="U5917">
        <v>0.53695680000000001</v>
      </c>
      <c r="V5917">
        <v>5.8740970000000003E-2</v>
      </c>
      <c r="W5917">
        <v>0.13884160000000001</v>
      </c>
      <c r="X5917">
        <v>0.98857090000000003</v>
      </c>
      <c r="Y5917">
        <v>-0.15860339999999901</v>
      </c>
      <c r="Z5917">
        <v>1.7989309999999999E-3</v>
      </c>
      <c r="AA5917">
        <v>0.98734069999999996</v>
      </c>
      <c r="AB5917">
        <v>32</v>
      </c>
      <c r="AC5917">
        <v>39.693600000000004</v>
      </c>
      <c r="AD5917">
        <v>-1.10822547293699</v>
      </c>
      <c r="AE5917">
        <v>6.9802400000000002</v>
      </c>
      <c r="AF5917">
        <v>-6.4148764761622603</v>
      </c>
      <c r="AG5917">
        <v>-1.10822547293699</v>
      </c>
      <c r="AH5917">
        <v>39.758036255738901</v>
      </c>
      <c r="AI5917">
        <v>91.576287930022403</v>
      </c>
      <c r="AJ5917">
        <v>99.165563464303204</v>
      </c>
      <c r="AK5917">
        <v>40.287470146634099</v>
      </c>
      <c r="AL5917">
        <v>82.019179477858202</v>
      </c>
      <c r="AM5917">
        <v>86.599478098076901</v>
      </c>
      <c r="AN5917">
        <v>0.99999995788695395</v>
      </c>
    </row>
    <row r="5918" spans="1:40" x14ac:dyDescent="0.25">
      <c r="A5918" t="str">
        <f>"20190312164622472"</f>
        <v>20190312164622472</v>
      </c>
      <c r="B5918" t="str">
        <f>"1552380382467511"</f>
        <v>1552380382467511</v>
      </c>
      <c r="C5918" t="s">
        <v>40</v>
      </c>
      <c r="D5918">
        <v>5.2395519999999998</v>
      </c>
      <c r="E5918">
        <v>0.41940709999999998</v>
      </c>
      <c r="F5918" t="s">
        <v>92</v>
      </c>
      <c r="G5918">
        <v>-226.59630000000001</v>
      </c>
      <c r="H5918" s="1">
        <v>-2.9525250000000002E-6</v>
      </c>
      <c r="I5918">
        <v>-55.839570000000002</v>
      </c>
      <c r="J5918">
        <v>-261.67750000000001</v>
      </c>
      <c r="K5918">
        <v>1.108249</v>
      </c>
      <c r="L5918">
        <v>-62.131039999999999</v>
      </c>
      <c r="M5918">
        <v>0.99986090000000005</v>
      </c>
      <c r="N5918">
        <v>0</v>
      </c>
      <c r="O5918">
        <v>1.41359E-2</v>
      </c>
      <c r="P5918">
        <v>0.99049129999999996</v>
      </c>
      <c r="Q5918">
        <v>0.1307982</v>
      </c>
      <c r="R5918">
        <v>-4.2655239999999997E-2</v>
      </c>
      <c r="S5918">
        <v>3.0662229999999999</v>
      </c>
      <c r="T5918">
        <v>-9.6413730000000003E-2</v>
      </c>
      <c r="U5918">
        <v>0.54754639999999999</v>
      </c>
      <c r="V5918">
        <v>5.6675900000000001E-2</v>
      </c>
      <c r="W5918">
        <v>0.1395612</v>
      </c>
      <c r="X5918">
        <v>0.98859019999999997</v>
      </c>
      <c r="Y5918">
        <v>-0.16178809999999999</v>
      </c>
      <c r="Z5918">
        <v>2.0822869999999999E-3</v>
      </c>
      <c r="AA5918">
        <v>0.98682329999999996</v>
      </c>
      <c r="AB5918">
        <v>32</v>
      </c>
      <c r="AC5918">
        <v>35.081199999999903</v>
      </c>
      <c r="AD5918">
        <v>-1.1082519525250001</v>
      </c>
      <c r="AE5918">
        <v>6.2914700000000101</v>
      </c>
      <c r="AF5918">
        <v>-5.7893198902882803</v>
      </c>
      <c r="AG5918">
        <v>-1.1082519525250001</v>
      </c>
      <c r="AH5918">
        <v>35.132663957230598</v>
      </c>
      <c r="AI5918">
        <v>91.782756801700302</v>
      </c>
      <c r="AJ5918">
        <v>99.357366949263707</v>
      </c>
      <c r="AK5918">
        <v>35.623707329727097</v>
      </c>
      <c r="AL5918">
        <v>81.977544695278894</v>
      </c>
      <c r="AM5918">
        <v>86.718823216433293</v>
      </c>
      <c r="AN5918">
        <v>1.00000003486114</v>
      </c>
    </row>
    <row r="5919" spans="1:40" x14ac:dyDescent="0.25">
      <c r="A5919" t="str">
        <f>"20190312164622484"</f>
        <v>20190312164622484</v>
      </c>
      <c r="B5919" t="str">
        <f>"1552380382477271"</f>
        <v>1552380382477271</v>
      </c>
      <c r="C5919" t="s">
        <v>40</v>
      </c>
      <c r="D5919">
        <v>5.1942199999999996</v>
      </c>
      <c r="E5919">
        <v>0.41957889999999998</v>
      </c>
      <c r="F5919" t="s">
        <v>92</v>
      </c>
      <c r="G5919">
        <v>-227.72829999999999</v>
      </c>
      <c r="H5919" s="1">
        <v>-3.4034599999999999E-6</v>
      </c>
      <c r="I5919">
        <v>-55.996310000000001</v>
      </c>
      <c r="J5919">
        <v>-261.49959999999999</v>
      </c>
      <c r="K5919">
        <v>1.108271</v>
      </c>
      <c r="L5919">
        <v>-62.128509999999999</v>
      </c>
      <c r="M5919">
        <v>0.99986019999999998</v>
      </c>
      <c r="N5919">
        <v>0</v>
      </c>
      <c r="O5919">
        <v>1.418613E-2</v>
      </c>
      <c r="P5919">
        <v>0.99043729999999996</v>
      </c>
      <c r="Q5919">
        <v>0.13176940000000001</v>
      </c>
      <c r="R5919">
        <v>-4.0876719999999998E-2</v>
      </c>
      <c r="S5919">
        <v>3.065887</v>
      </c>
      <c r="T5919">
        <v>-0.1000841</v>
      </c>
      <c r="U5919">
        <v>0.55401610000000001</v>
      </c>
      <c r="V5919">
        <v>5.4938220000000003E-2</v>
      </c>
      <c r="W5919">
        <v>0.14052110000000001</v>
      </c>
      <c r="X5919">
        <v>0.98855230000000005</v>
      </c>
      <c r="Y5919">
        <v>-0.16376779999999999</v>
      </c>
      <c r="Z5919">
        <v>2.1917709999999999E-3</v>
      </c>
      <c r="AA5919">
        <v>0.9864965</v>
      </c>
      <c r="AB5919">
        <v>32</v>
      </c>
      <c r="AC5919">
        <v>33.771299999999997</v>
      </c>
      <c r="AD5919">
        <v>-1.1082744034600001</v>
      </c>
      <c r="AE5919">
        <v>6.1321999999999903</v>
      </c>
      <c r="AF5919">
        <v>-5.6465930183335997</v>
      </c>
      <c r="AG5919">
        <v>-1.1082744034600001</v>
      </c>
      <c r="AH5919">
        <v>33.8196371935474</v>
      </c>
      <c r="AI5919">
        <v>91.851311033849001</v>
      </c>
      <c r="AJ5919">
        <v>99.478783383837893</v>
      </c>
      <c r="AK5919">
        <v>34.305686770144</v>
      </c>
      <c r="AL5919">
        <v>81.921998981060398</v>
      </c>
      <c r="AM5919">
        <v>86.819092395063393</v>
      </c>
      <c r="AN5919">
        <v>1.00000001869863</v>
      </c>
    </row>
    <row r="5920" spans="1:40" x14ac:dyDescent="0.25">
      <c r="A5920" t="str">
        <f>"20190312164622495"</f>
        <v>20190312164622495</v>
      </c>
      <c r="B5920" t="str">
        <f>"1552380382487031"</f>
        <v>1552380382487031</v>
      </c>
      <c r="C5920" t="s">
        <v>40</v>
      </c>
      <c r="D5920">
        <v>5.2672509999999999</v>
      </c>
      <c r="E5920">
        <v>0.41965770000000002</v>
      </c>
      <c r="F5920" t="s">
        <v>92</v>
      </c>
      <c r="G5920">
        <v>-228.1489</v>
      </c>
      <c r="H5920" s="1">
        <v>-3.5703330000000002E-6</v>
      </c>
      <c r="I5920">
        <v>-56.057720000000003</v>
      </c>
      <c r="J5920">
        <v>-261.34210000000002</v>
      </c>
      <c r="K5920">
        <v>1.1082890000000001</v>
      </c>
      <c r="L5920">
        <v>-62.126220000000004</v>
      </c>
      <c r="M5920">
        <v>0.99985970000000002</v>
      </c>
      <c r="N5920">
        <v>0</v>
      </c>
      <c r="O5920">
        <v>1.4235640000000001E-2</v>
      </c>
      <c r="P5920">
        <v>0.99036179999999996</v>
      </c>
      <c r="Q5920">
        <v>0.1329255</v>
      </c>
      <c r="R5920">
        <v>-3.8915560000000002E-2</v>
      </c>
      <c r="S5920">
        <v>3.0655209999999999</v>
      </c>
      <c r="T5920">
        <v>-0.10187019999999999</v>
      </c>
      <c r="U5920">
        <v>0.55801389999999995</v>
      </c>
      <c r="V5920">
        <v>5.3018750000000003E-2</v>
      </c>
      <c r="W5920">
        <v>0.1416654</v>
      </c>
      <c r="X5920">
        <v>0.98849370000000003</v>
      </c>
      <c r="Y5920">
        <v>-0.16498160000000001</v>
      </c>
      <c r="Z5920">
        <v>2.2492390000000001E-3</v>
      </c>
      <c r="AA5920">
        <v>0.98629409999999895</v>
      </c>
      <c r="AB5920">
        <v>32</v>
      </c>
      <c r="AC5920">
        <v>33.193199999999997</v>
      </c>
      <c r="AD5920">
        <v>-1.10829257033299</v>
      </c>
      <c r="AE5920">
        <v>6.0685000000000002</v>
      </c>
      <c r="AF5920">
        <v>-5.58931053955253</v>
      </c>
      <c r="AG5920">
        <v>-1.10829257033299</v>
      </c>
      <c r="AH5920">
        <v>33.240369595668</v>
      </c>
      <c r="AI5920">
        <v>91.883217077678296</v>
      </c>
      <c r="AJ5920">
        <v>99.5448974440054</v>
      </c>
      <c r="AK5920">
        <v>33.725226101326903</v>
      </c>
      <c r="AL5920">
        <v>81.855772219859603</v>
      </c>
      <c r="AM5920">
        <v>86.929831097999795</v>
      </c>
      <c r="AN5920">
        <v>0.99999993417420396</v>
      </c>
    </row>
    <row r="5921" spans="1:40" x14ac:dyDescent="0.25">
      <c r="A5921" t="str">
        <f>"20190312164622506"</f>
        <v>20190312164622506</v>
      </c>
      <c r="B5921" t="str">
        <f>"1552380382496791"</f>
        <v>1552380382496791</v>
      </c>
      <c r="C5921" t="s">
        <v>40</v>
      </c>
      <c r="D5921">
        <v>5.2357230000000001</v>
      </c>
      <c r="E5921">
        <v>0.41987170000000001</v>
      </c>
      <c r="F5921" t="s">
        <v>92</v>
      </c>
      <c r="G5921">
        <v>-228.8981</v>
      </c>
      <c r="H5921" s="1">
        <v>-3.8677500000000004E-6</v>
      </c>
      <c r="I5921">
        <v>-56.166310000000003</v>
      </c>
      <c r="J5921">
        <v>-261.18689999999998</v>
      </c>
      <c r="K5921">
        <v>1.1083099999999999</v>
      </c>
      <c r="L5921">
        <v>-62.123989999999999</v>
      </c>
      <c r="M5921">
        <v>0.99985900000000005</v>
      </c>
      <c r="N5921">
        <v>0</v>
      </c>
      <c r="O5921">
        <v>1.428828E-2</v>
      </c>
      <c r="P5921">
        <v>0.99036930000000001</v>
      </c>
      <c r="Q5921">
        <v>0.13340270000000001</v>
      </c>
      <c r="R5921">
        <v>-3.7048409999999997E-2</v>
      </c>
      <c r="S5921">
        <v>3.0653990000000002</v>
      </c>
      <c r="T5921">
        <v>-0.1047148</v>
      </c>
      <c r="U5921">
        <v>0.56311040000000001</v>
      </c>
      <c r="V5921">
        <v>5.119808E-2</v>
      </c>
      <c r="W5921">
        <v>0.1421299</v>
      </c>
      <c r="X5921">
        <v>0.98852309999999999</v>
      </c>
      <c r="Y5921">
        <v>-0.16651769999999999</v>
      </c>
      <c r="Z5921">
        <v>2.33599E-3</v>
      </c>
      <c r="AA5921">
        <v>0.98603569999999996</v>
      </c>
      <c r="AB5921">
        <v>32</v>
      </c>
      <c r="AC5921">
        <v>32.288799999999902</v>
      </c>
      <c r="AD5921">
        <v>-1.10831386775</v>
      </c>
      <c r="AE5921">
        <v>5.9576799999999999</v>
      </c>
      <c r="AF5921">
        <v>-5.4894476426096404</v>
      </c>
      <c r="AG5921">
        <v>-1.10831386775</v>
      </c>
      <c r="AH5921">
        <v>32.333790285259298</v>
      </c>
      <c r="AI5921">
        <v>91.935499842067401</v>
      </c>
      <c r="AJ5921">
        <v>99.635478192815</v>
      </c>
      <c r="AK5921">
        <v>32.815185345530601</v>
      </c>
      <c r="AL5921">
        <v>81.828887112416098</v>
      </c>
      <c r="AM5921">
        <v>87.035157626311701</v>
      </c>
      <c r="AN5921">
        <v>1.0000000355516501</v>
      </c>
    </row>
    <row r="5922" spans="1:40" x14ac:dyDescent="0.25">
      <c r="A5922" t="str">
        <f>"20190312164622518"</f>
        <v>20190312164622518</v>
      </c>
      <c r="B5922" t="str">
        <f>"1552380382507528"</f>
        <v>1552380382507528</v>
      </c>
      <c r="C5922" t="s">
        <v>40</v>
      </c>
      <c r="D5922">
        <v>5.1464730000000003</v>
      </c>
      <c r="E5922">
        <v>0.4198904</v>
      </c>
      <c r="F5922" t="s">
        <v>91</v>
      </c>
      <c r="G5922">
        <v>-230.05629999999999</v>
      </c>
      <c r="H5922" s="1">
        <v>-7.5011259999999999E-8</v>
      </c>
      <c r="I5922">
        <v>-56.367159999999998</v>
      </c>
      <c r="J5922">
        <v>-261.0213</v>
      </c>
      <c r="K5922">
        <v>1.1083240000000001</v>
      </c>
      <c r="L5922">
        <v>-62.121549999999999</v>
      </c>
      <c r="M5922">
        <v>0.99985840000000004</v>
      </c>
      <c r="N5922">
        <v>0</v>
      </c>
      <c r="O5922">
        <v>1.4347769999999999E-2</v>
      </c>
      <c r="P5922">
        <v>0.99035629999999997</v>
      </c>
      <c r="Q5922">
        <v>0.1340481</v>
      </c>
      <c r="R5922">
        <v>-3.5010899999999998E-2</v>
      </c>
      <c r="S5922">
        <v>3.0650629999999999</v>
      </c>
      <c r="T5922">
        <v>-0.10912239999999999</v>
      </c>
      <c r="U5922">
        <v>0.56680299999999995</v>
      </c>
      <c r="V5922">
        <v>4.9214229999999998E-2</v>
      </c>
      <c r="W5922">
        <v>0.142759</v>
      </c>
      <c r="X5922">
        <v>0.9885332</v>
      </c>
      <c r="Y5922">
        <v>-0.16761899999999999</v>
      </c>
      <c r="Z5922">
        <v>2.4515919999999998E-3</v>
      </c>
      <c r="AA5922">
        <v>0.98584879999999997</v>
      </c>
      <c r="AB5922">
        <v>32</v>
      </c>
      <c r="AC5922">
        <v>30.965</v>
      </c>
      <c r="AD5922">
        <v>-1.10832407501126</v>
      </c>
      <c r="AE5922">
        <v>5.7543899999999999</v>
      </c>
      <c r="AF5922">
        <v>-5.3029348207301599</v>
      </c>
      <c r="AG5922">
        <v>-1.10832407501126</v>
      </c>
      <c r="AH5922">
        <v>31.005981730255598</v>
      </c>
      <c r="AI5922">
        <v>92.017918551083</v>
      </c>
      <c r="AJ5922">
        <v>99.705359834104499</v>
      </c>
      <c r="AK5922">
        <v>31.4757113188106</v>
      </c>
      <c r="AL5922">
        <v>81.792470949878407</v>
      </c>
      <c r="AM5922">
        <v>87.149876728514101</v>
      </c>
      <c r="AN5922">
        <v>1.0000000300088601</v>
      </c>
    </row>
    <row r="5923" spans="1:40" x14ac:dyDescent="0.25">
      <c r="A5923" t="str">
        <f>"20190312164622528"</f>
        <v>20190312164622528</v>
      </c>
      <c r="B5923" t="str">
        <f>"1552380382517288"</f>
        <v>1552380382517288</v>
      </c>
      <c r="C5923" t="s">
        <v>40</v>
      </c>
      <c r="D5923">
        <v>5.2472729999999999</v>
      </c>
      <c r="E5923">
        <v>0.41992839999999998</v>
      </c>
      <c r="F5923" t="s">
        <v>92</v>
      </c>
      <c r="G5923">
        <v>-227.11179999999999</v>
      </c>
      <c r="H5923" s="1">
        <v>-3.183843E-6</v>
      </c>
      <c r="I5923">
        <v>-55.793599999999998</v>
      </c>
      <c r="J5923">
        <v>-260.87529999999998</v>
      </c>
      <c r="K5923">
        <v>1.1083350000000001</v>
      </c>
      <c r="L5923">
        <v>-62.119450000000001</v>
      </c>
      <c r="M5923">
        <v>0.99985769999999996</v>
      </c>
      <c r="N5923">
        <v>0</v>
      </c>
      <c r="O5923">
        <v>1.440103E-2</v>
      </c>
      <c r="P5923">
        <v>0.9903573</v>
      </c>
      <c r="Q5923">
        <v>0.13447679999999901</v>
      </c>
      <c r="R5923">
        <v>-3.329526E-2</v>
      </c>
      <c r="S5923">
        <v>3.0629879999999998</v>
      </c>
      <c r="T5923">
        <v>-0.10011340000000001</v>
      </c>
      <c r="U5923">
        <v>0.57159419999999905</v>
      </c>
      <c r="V5923">
        <v>4.7547220000000001E-2</v>
      </c>
      <c r="W5923">
        <v>0.14317240000000001</v>
      </c>
      <c r="X5923">
        <v>0.98855499999999996</v>
      </c>
      <c r="Y5923">
        <v>-0.16919039999999999</v>
      </c>
      <c r="Z5923">
        <v>2.2742109999999999E-3</v>
      </c>
      <c r="AA5923">
        <v>0.98558069999999998</v>
      </c>
      <c r="AB5923">
        <v>32</v>
      </c>
      <c r="AC5923">
        <v>33.763499999999901</v>
      </c>
      <c r="AD5923">
        <v>-1.108338183843</v>
      </c>
      <c r="AE5923">
        <v>6.32585</v>
      </c>
      <c r="AF5923">
        <v>-5.8328737766555196</v>
      </c>
      <c r="AG5923">
        <v>-1.108338183843</v>
      </c>
      <c r="AH5923">
        <v>33.815897120614103</v>
      </c>
      <c r="AI5923">
        <v>91.849935717598797</v>
      </c>
      <c r="AJ5923">
        <v>99.786597377947004</v>
      </c>
      <c r="AK5923">
        <v>34.333157852084</v>
      </c>
      <c r="AL5923">
        <v>81.768539047405</v>
      </c>
      <c r="AM5923">
        <v>87.246327021559395</v>
      </c>
      <c r="AN5923">
        <v>1.00000003113824</v>
      </c>
    </row>
    <row r="5924" spans="1:40" x14ac:dyDescent="0.25">
      <c r="A5924" t="str">
        <f>"20190312164622539"</f>
        <v>20190312164622539</v>
      </c>
      <c r="B5924" t="str">
        <f>"1552380382527048"</f>
        <v>1552380382527048</v>
      </c>
      <c r="C5924" t="s">
        <v>40</v>
      </c>
      <c r="D5924">
        <v>5.193962</v>
      </c>
      <c r="E5924">
        <v>0.41966379999999998</v>
      </c>
      <c r="F5924" t="s">
        <v>92</v>
      </c>
      <c r="G5924">
        <v>-227.98769999999999</v>
      </c>
      <c r="H5924" s="1">
        <v>-3.5286680000000002E-6</v>
      </c>
      <c r="I5924">
        <v>-55.933480000000003</v>
      </c>
      <c r="J5924">
        <v>-260.71570000000003</v>
      </c>
      <c r="K5924">
        <v>1.108347</v>
      </c>
      <c r="L5924">
        <v>-62.117069999999998</v>
      </c>
      <c r="M5924">
        <v>0.99985710000000005</v>
      </c>
      <c r="N5924">
        <v>0</v>
      </c>
      <c r="O5924">
        <v>1.446065E-2</v>
      </c>
      <c r="P5924">
        <v>0.99040850000000002</v>
      </c>
      <c r="Q5924">
        <v>0.13451250000000001</v>
      </c>
      <c r="R5924">
        <v>-3.1582739999999998E-2</v>
      </c>
      <c r="S5924">
        <v>3.0625610000000001</v>
      </c>
      <c r="T5924">
        <v>-0.10321080000000001</v>
      </c>
      <c r="U5924">
        <v>0.57604979999999995</v>
      </c>
      <c r="V5924">
        <v>4.5891019999999998E-2</v>
      </c>
      <c r="W5924">
        <v>0.1431885</v>
      </c>
      <c r="X5924">
        <v>0.98863089999999998</v>
      </c>
      <c r="Y5924">
        <v>-0.17053579999999999</v>
      </c>
      <c r="Z5924">
        <v>2.3650239999999999E-3</v>
      </c>
      <c r="AA5924">
        <v>0.98534860000000002</v>
      </c>
      <c r="AB5924">
        <v>32</v>
      </c>
      <c r="AC5924">
        <v>32.728000000000002</v>
      </c>
      <c r="AD5924">
        <v>-1.108350528668</v>
      </c>
      <c r="AE5924">
        <v>6.1835899999999899</v>
      </c>
      <c r="AF5924">
        <v>-5.7033415368583498</v>
      </c>
      <c r="AG5924">
        <v>-1.108350528668</v>
      </c>
      <c r="AH5924">
        <v>32.777703667482697</v>
      </c>
      <c r="AI5924">
        <v>91.908023939641396</v>
      </c>
      <c r="AJ5924">
        <v>99.870678643127803</v>
      </c>
      <c r="AK5924">
        <v>33.288652770783003</v>
      </c>
      <c r="AL5924">
        <v>81.767606676915904</v>
      </c>
      <c r="AM5924">
        <v>87.342308737325794</v>
      </c>
      <c r="AN5924">
        <v>0.99999999434185005</v>
      </c>
    </row>
    <row r="5925" spans="1:40" x14ac:dyDescent="0.25">
      <c r="A5925" t="str">
        <f>"20190312164622550"</f>
        <v>20190312164622550</v>
      </c>
      <c r="B5925" t="str">
        <f>"1552380382547544"</f>
        <v>1552380382547544</v>
      </c>
      <c r="C5925" t="s">
        <v>40</v>
      </c>
      <c r="D5925">
        <v>5.1727589999999903</v>
      </c>
      <c r="E5925">
        <v>0.41928910000000003</v>
      </c>
      <c r="F5925" t="s">
        <v>92</v>
      </c>
      <c r="G5925">
        <v>-227.23400000000001</v>
      </c>
      <c r="H5925" s="1">
        <v>-3.2474489999999999E-6</v>
      </c>
      <c r="I5925">
        <v>-55.742870000000003</v>
      </c>
      <c r="J5925">
        <v>-260.5566</v>
      </c>
      <c r="K5925">
        <v>1.108352</v>
      </c>
      <c r="L5925">
        <v>-62.114719999999998</v>
      </c>
      <c r="M5925">
        <v>0.99985639999999998</v>
      </c>
      <c r="N5925">
        <v>0</v>
      </c>
      <c r="O5925">
        <v>1.4520099999999999E-2</v>
      </c>
      <c r="P5925">
        <v>0.99041080000000004</v>
      </c>
      <c r="Q5925">
        <v>0.1348598</v>
      </c>
      <c r="R5925">
        <v>-2.9990929999999999E-2</v>
      </c>
      <c r="S5925">
        <v>3.061401</v>
      </c>
      <c r="T5925">
        <v>-0.1013421</v>
      </c>
      <c r="U5925">
        <v>0.58282469999999997</v>
      </c>
      <c r="V5925">
        <v>4.4354890000000001E-2</v>
      </c>
      <c r="W5925">
        <v>0.14351549999999999</v>
      </c>
      <c r="X5925">
        <v>0.98865360000000002</v>
      </c>
      <c r="Y5925">
        <v>-0.17265169999999999</v>
      </c>
      <c r="Z5925">
        <v>2.3553710000000002E-3</v>
      </c>
      <c r="AA5925">
        <v>0.98498010000000003</v>
      </c>
      <c r="AB5925">
        <v>32</v>
      </c>
      <c r="AC5925">
        <v>33.322599999999902</v>
      </c>
      <c r="AD5925">
        <v>-1.1083552474489999</v>
      </c>
      <c r="AE5925">
        <v>6.3718500000000002</v>
      </c>
      <c r="AF5925">
        <v>-5.8810354647031096</v>
      </c>
      <c r="AG5925">
        <v>-1.1083552474489999</v>
      </c>
      <c r="AH5925">
        <v>33.375988226611199</v>
      </c>
      <c r="AI5925">
        <v>91.873152722334098</v>
      </c>
      <c r="AJ5925">
        <v>99.993254021653499</v>
      </c>
      <c r="AK5925">
        <v>33.9082824630581</v>
      </c>
      <c r="AL5925">
        <v>81.748675460034704</v>
      </c>
      <c r="AM5925">
        <v>87.4312084616096</v>
      </c>
      <c r="AN5925">
        <v>0.999999997900061</v>
      </c>
    </row>
    <row r="5926" spans="1:40" x14ac:dyDescent="0.25">
      <c r="A5926" t="str">
        <f>"20190312164622562"</f>
        <v>20190312164622562</v>
      </c>
      <c r="B5926" t="str">
        <f>"1552380382557303"</f>
        <v>1552380382557303</v>
      </c>
      <c r="C5926" t="s">
        <v>40</v>
      </c>
      <c r="D5926">
        <v>5.1950770000000004</v>
      </c>
      <c r="E5926">
        <v>0.4191822</v>
      </c>
      <c r="F5926" t="s">
        <v>92</v>
      </c>
      <c r="G5926">
        <v>-227.10980000000001</v>
      </c>
      <c r="H5926" s="1">
        <v>-3.2113660000000002E-6</v>
      </c>
      <c r="I5926">
        <v>-55.665050000000001</v>
      </c>
      <c r="J5926">
        <v>-260.38350000000003</v>
      </c>
      <c r="K5926">
        <v>1.108355</v>
      </c>
      <c r="L5926">
        <v>-62.11215</v>
      </c>
      <c r="M5926">
        <v>0.99985570000000001</v>
      </c>
      <c r="N5926">
        <v>0</v>
      </c>
      <c r="O5926">
        <v>1.4585020000000001E-2</v>
      </c>
      <c r="P5926">
        <v>0.99040010000000001</v>
      </c>
      <c r="Q5926">
        <v>0.13526389999999999</v>
      </c>
      <c r="R5926">
        <v>-2.8485320000000001E-2</v>
      </c>
      <c r="S5926">
        <v>3.06073</v>
      </c>
      <c r="T5926">
        <v>-0.1014259</v>
      </c>
      <c r="U5926">
        <v>0.59021000000000001</v>
      </c>
      <c r="V5926">
        <v>4.2910759999999999E-2</v>
      </c>
      <c r="W5926">
        <v>0.14389489999999999</v>
      </c>
      <c r="X5926">
        <v>0.98866220000000005</v>
      </c>
      <c r="Y5926">
        <v>-0.1749182</v>
      </c>
      <c r="Z5926">
        <v>2.3923680000000002E-3</v>
      </c>
      <c r="AA5926">
        <v>0.98458000000000001</v>
      </c>
      <c r="AB5926">
        <v>32</v>
      </c>
      <c r="AC5926">
        <v>33.273699999999998</v>
      </c>
      <c r="AD5926">
        <v>-1.108358211366</v>
      </c>
      <c r="AE5926">
        <v>6.4470999999999901</v>
      </c>
      <c r="AF5926">
        <v>-5.9547300387152999</v>
      </c>
      <c r="AG5926">
        <v>-1.108358211366</v>
      </c>
      <c r="AH5926">
        <v>33.3285526246028</v>
      </c>
      <c r="AI5926">
        <v>91.875028154071401</v>
      </c>
      <c r="AJ5926">
        <v>100.13000738963601</v>
      </c>
      <c r="AK5926">
        <v>33.874469557612301</v>
      </c>
      <c r="AL5926">
        <v>81.726709551892498</v>
      </c>
      <c r="AM5926">
        <v>87.514759500494705</v>
      </c>
      <c r="AN5926">
        <v>1.0000000106393101</v>
      </c>
    </row>
    <row r="5927" spans="1:40" x14ac:dyDescent="0.25">
      <c r="A5927" t="str">
        <f>"20190312164622573"</f>
        <v>20190312164622573</v>
      </c>
      <c r="B5927" t="str">
        <f>"1552380382567063"</f>
        <v>1552380382567063</v>
      </c>
      <c r="C5927" t="s">
        <v>40</v>
      </c>
      <c r="D5927">
        <v>5.1046870000000002</v>
      </c>
      <c r="E5927">
        <v>0.41923959999999999</v>
      </c>
      <c r="F5927" t="s">
        <v>92</v>
      </c>
      <c r="G5927">
        <v>-226.53039999999999</v>
      </c>
      <c r="H5927" s="1">
        <v>-2.993577E-6</v>
      </c>
      <c r="I5927">
        <v>-55.525939999999999</v>
      </c>
      <c r="J5927">
        <v>-260.21660000000003</v>
      </c>
      <c r="K5927">
        <v>1.1083590000000001</v>
      </c>
      <c r="L5927">
        <v>-62.109650000000002</v>
      </c>
      <c r="M5927">
        <v>0.99985489999999999</v>
      </c>
      <c r="N5927">
        <v>0</v>
      </c>
      <c r="O5927">
        <v>1.464731E-2</v>
      </c>
      <c r="P5927">
        <v>0.99039449999999996</v>
      </c>
      <c r="Q5927">
        <v>0.1355172</v>
      </c>
      <c r="R5927">
        <v>-2.7458969999999999E-2</v>
      </c>
      <c r="S5927">
        <v>3.0598749999999999</v>
      </c>
      <c r="T5927">
        <v>-0.1001809</v>
      </c>
      <c r="U5927">
        <v>0.59530640000000001</v>
      </c>
      <c r="V5927">
        <v>4.1943790000000002E-2</v>
      </c>
      <c r="W5927">
        <v>0.14412420000000001</v>
      </c>
      <c r="X5927">
        <v>0.9886703</v>
      </c>
      <c r="Y5927">
        <v>-0.1764896</v>
      </c>
      <c r="Z5927">
        <v>2.3867559999999999E-3</v>
      </c>
      <c r="AA5927">
        <v>0.98429960000000005</v>
      </c>
      <c r="AB5927">
        <v>32</v>
      </c>
      <c r="AC5927">
        <v>33.686199999999999</v>
      </c>
      <c r="AD5927">
        <v>-1.1083619935769999</v>
      </c>
      <c r="AE5927">
        <v>6.5837099999999902</v>
      </c>
      <c r="AF5927">
        <v>-6.0832295150279201</v>
      </c>
      <c r="AG5927">
        <v>-1.1083619935769999</v>
      </c>
      <c r="AH5927">
        <v>33.743836940370699</v>
      </c>
      <c r="AI5927">
        <v>91.851456978789997</v>
      </c>
      <c r="AJ5927">
        <v>100.219332382202</v>
      </c>
      <c r="AK5927">
        <v>34.305694557895698</v>
      </c>
      <c r="AL5927">
        <v>81.713433272202707</v>
      </c>
      <c r="AM5927">
        <v>87.570715019201998</v>
      </c>
      <c r="AN5927">
        <v>1.0000000143236401</v>
      </c>
    </row>
    <row r="5928" spans="1:40" x14ac:dyDescent="0.25">
      <c r="A5928" t="str">
        <f>"20190312164622583"</f>
        <v>20190312164622583</v>
      </c>
      <c r="B5928" t="str">
        <f>"1552380382576823"</f>
        <v>1552380382576823</v>
      </c>
      <c r="C5928" t="s">
        <v>40</v>
      </c>
      <c r="D5928">
        <v>5.1351690000000003</v>
      </c>
      <c r="E5928">
        <v>0.41927890000000001</v>
      </c>
      <c r="F5928" t="s">
        <v>92</v>
      </c>
      <c r="G5928">
        <v>-226.0393</v>
      </c>
      <c r="H5928" s="1">
        <v>-2.8041080000000002E-6</v>
      </c>
      <c r="I5928">
        <v>-55.429989999999997</v>
      </c>
      <c r="J5928">
        <v>-260.06479999999999</v>
      </c>
      <c r="K5928">
        <v>1.1083639999999999</v>
      </c>
      <c r="L5928">
        <v>-62.107419999999998</v>
      </c>
      <c r="M5928">
        <v>0.99985440000000003</v>
      </c>
      <c r="N5928">
        <v>0</v>
      </c>
      <c r="O5928">
        <v>1.470318E-2</v>
      </c>
      <c r="P5928">
        <v>0.99042399999999997</v>
      </c>
      <c r="Q5928">
        <v>0.13564989999999999</v>
      </c>
      <c r="R5928">
        <v>-2.56808E-2</v>
      </c>
      <c r="S5928">
        <v>3.0592350000000001</v>
      </c>
      <c r="T5928">
        <v>-9.9210140000000002E-2</v>
      </c>
      <c r="U5928">
        <v>0.5979004</v>
      </c>
      <c r="V5928">
        <v>4.0219970000000001E-2</v>
      </c>
      <c r="W5928">
        <v>0.14423559999999999</v>
      </c>
      <c r="X5928">
        <v>0.98872570000000004</v>
      </c>
      <c r="Y5928">
        <v>-0.177278399999999</v>
      </c>
      <c r="Z5928">
        <v>2.374812E-3</v>
      </c>
      <c r="AA5928">
        <v>0.98415790000000003</v>
      </c>
      <c r="AB5928">
        <v>32</v>
      </c>
      <c r="AC5928">
        <v>34.025499999999901</v>
      </c>
      <c r="AD5928">
        <v>-1.1083668041079999</v>
      </c>
      <c r="AE5928">
        <v>6.6774299999999904</v>
      </c>
      <c r="AF5928">
        <v>-6.1701019992946398</v>
      </c>
      <c r="AG5928">
        <v>-1.1083668041079999</v>
      </c>
      <c r="AH5928">
        <v>34.085178149824898</v>
      </c>
      <c r="AI5928">
        <v>91.832698311736905</v>
      </c>
      <c r="AJ5928">
        <v>100.26057621196399</v>
      </c>
      <c r="AK5928">
        <v>34.656860867070002</v>
      </c>
      <c r="AL5928">
        <v>81.7069832762608</v>
      </c>
      <c r="AM5928">
        <v>87.670572629415105</v>
      </c>
      <c r="AN5928">
        <v>1.0000000320673199</v>
      </c>
    </row>
    <row r="5929" spans="1:40" x14ac:dyDescent="0.25">
      <c r="A5929" t="str">
        <f>"20190312164622595"</f>
        <v>20190312164622595</v>
      </c>
      <c r="B5929" t="str">
        <f>"1552380382587559"</f>
        <v>1552380382587559</v>
      </c>
      <c r="C5929" t="s">
        <v>40</v>
      </c>
      <c r="D5929">
        <v>5.0821930000000002</v>
      </c>
      <c r="E5929">
        <v>0.419294</v>
      </c>
      <c r="F5929" t="s">
        <v>92</v>
      </c>
      <c r="G5929">
        <v>-226.10570000000001</v>
      </c>
      <c r="H5929" s="1">
        <v>-2.8361179999999999E-6</v>
      </c>
      <c r="I5929">
        <v>-55.414160000000003</v>
      </c>
      <c r="J5929">
        <v>-259.9033</v>
      </c>
      <c r="K5929">
        <v>1.1083639999999999</v>
      </c>
      <c r="L5929">
        <v>-62.104950000000002</v>
      </c>
      <c r="M5929">
        <v>0.99985369999999996</v>
      </c>
      <c r="N5929">
        <v>0</v>
      </c>
      <c r="O5929">
        <v>1.4761069999999999E-2</v>
      </c>
      <c r="P5929">
        <v>0.99044259999999995</v>
      </c>
      <c r="Q5929">
        <v>0.135758399999999</v>
      </c>
      <c r="R5929">
        <v>-2.4356079999999999E-2</v>
      </c>
      <c r="S5929">
        <v>3.0582889999999998</v>
      </c>
      <c r="T5929">
        <v>-9.9817509999999998E-2</v>
      </c>
      <c r="U5929">
        <v>0.60278319999999996</v>
      </c>
      <c r="V5929">
        <v>3.8951489999999998E-2</v>
      </c>
      <c r="W5929">
        <v>0.14432239999999999</v>
      </c>
      <c r="X5929">
        <v>0.98876379999999997</v>
      </c>
      <c r="Y5929">
        <v>-0.1787898</v>
      </c>
      <c r="Z5929">
        <v>2.4122599999999998E-3</v>
      </c>
      <c r="AA5929">
        <v>0.98388430000000004</v>
      </c>
      <c r="AB5929">
        <v>32</v>
      </c>
      <c r="AC5929">
        <v>33.797599999999903</v>
      </c>
      <c r="AD5929">
        <v>-1.1083668361179999</v>
      </c>
      <c r="AE5929">
        <v>6.6907899999999998</v>
      </c>
      <c r="AF5929">
        <v>-6.18475298346738</v>
      </c>
      <c r="AG5929">
        <v>-1.1083668361179999</v>
      </c>
      <c r="AH5929">
        <v>33.857644954161998</v>
      </c>
      <c r="AI5929">
        <v>91.844470980320494</v>
      </c>
      <c r="AJ5929">
        <v>100.35204548597299</v>
      </c>
      <c r="AK5929">
        <v>34.435733887228302</v>
      </c>
      <c r="AL5929">
        <v>81.701957257710404</v>
      </c>
      <c r="AM5929">
        <v>87.744049113621898</v>
      </c>
      <c r="AN5929">
        <v>1.00000001295271</v>
      </c>
    </row>
    <row r="5930" spans="1:40" x14ac:dyDescent="0.25">
      <c r="A5930" t="str">
        <f>"20190312164622605"</f>
        <v>20190312164622605</v>
      </c>
      <c r="B5930" t="str">
        <f>"1552380382597319"</f>
        <v>1552380382597319</v>
      </c>
      <c r="C5930" t="s">
        <v>40</v>
      </c>
      <c r="D5930">
        <v>5.1366759999999996</v>
      </c>
      <c r="E5930">
        <v>0.41945969999999999</v>
      </c>
      <c r="F5930" t="s">
        <v>92</v>
      </c>
      <c r="G5930">
        <v>-226.69</v>
      </c>
      <c r="H5930" s="1">
        <v>-3.0652150000000001E-6</v>
      </c>
      <c r="I5930">
        <v>-55.51155</v>
      </c>
      <c r="J5930">
        <v>-259.75040000000001</v>
      </c>
      <c r="K5930">
        <v>1.1083639999999999</v>
      </c>
      <c r="L5930">
        <v>-62.10266</v>
      </c>
      <c r="M5930">
        <v>0.99985310000000005</v>
      </c>
      <c r="N5930">
        <v>0</v>
      </c>
      <c r="O5930">
        <v>1.481471E-2</v>
      </c>
      <c r="P5930">
        <v>0.99045749999999999</v>
      </c>
      <c r="Q5930">
        <v>0.13582</v>
      </c>
      <c r="R5930">
        <v>-2.3385980000000001E-2</v>
      </c>
      <c r="S5930">
        <v>3.0577999999999999</v>
      </c>
      <c r="T5930">
        <v>-0.10204240000000001</v>
      </c>
      <c r="U5930">
        <v>0.60702509999999998</v>
      </c>
      <c r="V5930">
        <v>3.8034060000000001E-2</v>
      </c>
      <c r="W5930">
        <v>0.1443634</v>
      </c>
      <c r="X5930">
        <v>0.98879349999999999</v>
      </c>
      <c r="Y5930">
        <v>-0.18007570000000001</v>
      </c>
      <c r="Z5930">
        <v>2.485531E-3</v>
      </c>
      <c r="AA5930">
        <v>0.98364960000000001</v>
      </c>
      <c r="AB5930">
        <v>32</v>
      </c>
      <c r="AC5930">
        <v>33.060400000000001</v>
      </c>
      <c r="AD5930">
        <v>-1.1083670652149999</v>
      </c>
      <c r="AE5930">
        <v>6.5911099999999996</v>
      </c>
      <c r="AF5930">
        <v>-6.0940005960701198</v>
      </c>
      <c r="AG5930">
        <v>-1.1083670652149999</v>
      </c>
      <c r="AH5930">
        <v>33.118619521692302</v>
      </c>
      <c r="AI5930">
        <v>91.885153984050504</v>
      </c>
      <c r="AJ5930">
        <v>100.42610070174401</v>
      </c>
      <c r="AK5930">
        <v>33.692852058541597</v>
      </c>
      <c r="AL5930">
        <v>81.699583021961999</v>
      </c>
      <c r="AM5930">
        <v>87.797196970945507</v>
      </c>
      <c r="AN5930">
        <v>0.99999998331094597</v>
      </c>
    </row>
    <row r="5931" spans="1:40" x14ac:dyDescent="0.25">
      <c r="A5931" t="str">
        <f>"20190312164622616"</f>
        <v>20190312164622616</v>
      </c>
      <c r="B5931" t="str">
        <f>"1552380382607079"</f>
        <v>1552380382607079</v>
      </c>
      <c r="C5931" t="s">
        <v>40</v>
      </c>
      <c r="D5931">
        <v>5.1156100000000002</v>
      </c>
      <c r="E5931">
        <v>0.41946070000000002</v>
      </c>
      <c r="F5931" t="s">
        <v>92</v>
      </c>
      <c r="G5931">
        <v>-226.9032</v>
      </c>
      <c r="H5931" s="1">
        <v>-3.1449889999999999E-6</v>
      </c>
      <c r="I5931">
        <v>-55.564509999999999</v>
      </c>
      <c r="J5931">
        <v>-259.5899</v>
      </c>
      <c r="K5931">
        <v>1.108366</v>
      </c>
      <c r="L5931">
        <v>-62.100219999999901</v>
      </c>
      <c r="M5931">
        <v>0.99985239999999997</v>
      </c>
      <c r="N5931">
        <v>0</v>
      </c>
      <c r="O5931">
        <v>1.486852E-2</v>
      </c>
      <c r="P5931">
        <v>0.99050519999999997</v>
      </c>
      <c r="Q5931">
        <v>0.13567119999999999</v>
      </c>
      <c r="R5931">
        <v>-2.2200689999999999E-2</v>
      </c>
      <c r="S5931">
        <v>3.0574650000000001</v>
      </c>
      <c r="T5931">
        <v>-0.1031686</v>
      </c>
      <c r="U5931">
        <v>0.6085815</v>
      </c>
      <c r="V5931">
        <v>3.690243E-2</v>
      </c>
      <c r="W5931">
        <v>0.14419499999999999</v>
      </c>
      <c r="X5931">
        <v>0.98886099999999999</v>
      </c>
      <c r="Y5931">
        <v>-0.18052289999999999</v>
      </c>
      <c r="Z5931">
        <v>2.5187669999999999E-3</v>
      </c>
      <c r="AA5931">
        <v>0.98356750000000004</v>
      </c>
      <c r="AB5931">
        <v>32</v>
      </c>
      <c r="AC5931">
        <v>32.686700000000002</v>
      </c>
      <c r="AD5931">
        <v>-1.1083691449890001</v>
      </c>
      <c r="AE5931">
        <v>6.5357099999999901</v>
      </c>
      <c r="AF5931">
        <v>-6.0422862030755802</v>
      </c>
      <c r="AG5931">
        <v>-1.1083691449890001</v>
      </c>
      <c r="AH5931">
        <v>32.744064254101197</v>
      </c>
      <c r="AI5931">
        <v>91.906527358045494</v>
      </c>
      <c r="AJ5931">
        <v>100.455218743299</v>
      </c>
      <c r="AK5931">
        <v>33.315333535748202</v>
      </c>
      <c r="AL5931">
        <v>81.709334061433097</v>
      </c>
      <c r="AM5931">
        <v>87.8628211652251</v>
      </c>
      <c r="AN5931">
        <v>1.0000000323429501</v>
      </c>
    </row>
    <row r="5932" spans="1:40" x14ac:dyDescent="0.25">
      <c r="A5932" t="str">
        <f>"20190312164622627"</f>
        <v>20190312164622627</v>
      </c>
      <c r="B5932" t="str">
        <f>"1552380382616839"</f>
        <v>1552380382616839</v>
      </c>
      <c r="C5932" t="s">
        <v>40</v>
      </c>
      <c r="D5932">
        <v>5.0644450000000001</v>
      </c>
      <c r="E5932">
        <v>0.41958479999999998</v>
      </c>
      <c r="F5932" t="s">
        <v>92</v>
      </c>
      <c r="G5932">
        <v>-227.02369999999999</v>
      </c>
      <c r="H5932" s="1">
        <v>-3.1937169999999999E-6</v>
      </c>
      <c r="I5932">
        <v>-55.57779</v>
      </c>
      <c r="J5932">
        <v>-259.4273</v>
      </c>
      <c r="K5932">
        <v>1.1083639999999999</v>
      </c>
      <c r="L5932">
        <v>-62.09778</v>
      </c>
      <c r="M5932">
        <v>0.99985190000000002</v>
      </c>
      <c r="N5932">
        <v>0</v>
      </c>
      <c r="O5932">
        <v>1.492214E-2</v>
      </c>
      <c r="P5932">
        <v>0.99045090000000002</v>
      </c>
      <c r="Q5932">
        <v>0.13621050000000001</v>
      </c>
      <c r="R5932">
        <v>-2.130578E-2</v>
      </c>
      <c r="S5932">
        <v>3.0567630000000001</v>
      </c>
      <c r="T5932">
        <v>-0.10403469999999999</v>
      </c>
      <c r="U5932">
        <v>0.61221309999999995</v>
      </c>
      <c r="V5932">
        <v>3.605941E-2</v>
      </c>
      <c r="W5932">
        <v>0.14471349999999999</v>
      </c>
      <c r="X5932">
        <v>0.98881629999999998</v>
      </c>
      <c r="Y5932">
        <v>-0.18163480000000001</v>
      </c>
      <c r="Z5932">
        <v>2.557106E-3</v>
      </c>
      <c r="AA5932">
        <v>0.98336270000000003</v>
      </c>
      <c r="AB5932">
        <v>32</v>
      </c>
      <c r="AC5932">
        <v>32.403599999999997</v>
      </c>
      <c r="AD5932">
        <v>-1.1083671937170001</v>
      </c>
      <c r="AE5932">
        <v>6.51999</v>
      </c>
      <c r="AF5932">
        <v>-6.0289358696460198</v>
      </c>
      <c r="AG5932">
        <v>-1.1083671937170001</v>
      </c>
      <c r="AH5932">
        <v>32.460786760181399</v>
      </c>
      <c r="AI5932">
        <v>91.922736930732796</v>
      </c>
      <c r="AJ5932">
        <v>100.52164432396199</v>
      </c>
      <c r="AK5932">
        <v>33.034515626029403</v>
      </c>
      <c r="AL5932">
        <v>81.679310839331393</v>
      </c>
      <c r="AM5932">
        <v>87.911506028626405</v>
      </c>
      <c r="AN5932">
        <v>0.99999997663874296</v>
      </c>
    </row>
    <row r="5933" spans="1:40" x14ac:dyDescent="0.25">
      <c r="A5933" t="str">
        <f>"20190312164622639"</f>
        <v>20190312164622639</v>
      </c>
      <c r="B5933" t="str">
        <f>"1552380382627576"</f>
        <v>1552380382627576</v>
      </c>
      <c r="C5933" t="s">
        <v>40</v>
      </c>
      <c r="D5933">
        <v>5.0885629999999997</v>
      </c>
      <c r="E5933">
        <v>0.41959970000000002</v>
      </c>
      <c r="F5933" t="s">
        <v>92</v>
      </c>
      <c r="G5933">
        <v>-226.7518</v>
      </c>
      <c r="H5933" s="1">
        <v>-3.0864510000000001E-6</v>
      </c>
      <c r="I5933">
        <v>-55.535380000000004</v>
      </c>
      <c r="J5933">
        <v>-259.26819999999998</v>
      </c>
      <c r="K5933">
        <v>1.1083540000000001</v>
      </c>
      <c r="L5933">
        <v>-62.09534</v>
      </c>
      <c r="M5933">
        <v>0.99985119999999905</v>
      </c>
      <c r="N5933">
        <v>0</v>
      </c>
      <c r="O5933">
        <v>1.497164E-2</v>
      </c>
      <c r="P5933">
        <v>0.99049410000000004</v>
      </c>
      <c r="Q5933">
        <v>0.13602899999999901</v>
      </c>
      <c r="R5933">
        <v>-2.0436360000000001E-2</v>
      </c>
      <c r="S5933">
        <v>3.0563959999999999</v>
      </c>
      <c r="T5933">
        <v>-0.10367410000000001</v>
      </c>
      <c r="U5933">
        <v>0.6138306</v>
      </c>
      <c r="V5933">
        <v>3.523975E-2</v>
      </c>
      <c r="W5933">
        <v>0.14451159999999999</v>
      </c>
      <c r="X5933">
        <v>0.98887539999999996</v>
      </c>
      <c r="Y5933">
        <v>-0.18210950000000001</v>
      </c>
      <c r="Z5933">
        <v>2.554724E-3</v>
      </c>
      <c r="AA5933">
        <v>0.98327489999999995</v>
      </c>
      <c r="AB5933">
        <v>32</v>
      </c>
      <c r="AC5933">
        <v>32.516399999999898</v>
      </c>
      <c r="AD5933">
        <v>-1.108357086451</v>
      </c>
      <c r="AE5933">
        <v>6.5599599999999896</v>
      </c>
      <c r="AF5933">
        <v>-6.0656111996876501</v>
      </c>
      <c r="AG5933">
        <v>-1.108357086451</v>
      </c>
      <c r="AH5933">
        <v>32.574605176205502</v>
      </c>
      <c r="AI5933">
        <v>91.915842154456598</v>
      </c>
      <c r="AJ5933">
        <v>100.54805702613599</v>
      </c>
      <c r="AK5933">
        <v>33.153054113347302</v>
      </c>
      <c r="AL5933">
        <v>81.691001940462399</v>
      </c>
      <c r="AM5933">
        <v>87.959060473252507</v>
      </c>
      <c r="AN5933">
        <v>0.99999999961989094</v>
      </c>
    </row>
    <row r="5934" spans="1:40" x14ac:dyDescent="0.25">
      <c r="A5934" t="str">
        <f>"20190312164622651"</f>
        <v>20190312164622651</v>
      </c>
      <c r="B5934" t="str">
        <f>"1552380382647095"</f>
        <v>1552380382647095</v>
      </c>
      <c r="C5934" t="s">
        <v>40</v>
      </c>
      <c r="D5934">
        <v>4.9805549999999998</v>
      </c>
      <c r="E5934">
        <v>0.41937950000000002</v>
      </c>
      <c r="F5934" t="s">
        <v>92</v>
      </c>
      <c r="G5934">
        <v>-226.84649999999999</v>
      </c>
      <c r="H5934" s="1">
        <v>-3.122563E-6</v>
      </c>
      <c r="I5934">
        <v>-55.555819999999997</v>
      </c>
      <c r="J5934">
        <v>-259.10379999999998</v>
      </c>
      <c r="K5934">
        <v>1.1083499999999999</v>
      </c>
      <c r="L5934">
        <v>-62.092799999999997</v>
      </c>
      <c r="M5934">
        <v>0.99985069999999998</v>
      </c>
      <c r="N5934">
        <v>0</v>
      </c>
      <c r="O5934">
        <v>1.5021919999999999E-2</v>
      </c>
      <c r="P5934">
        <v>0.99052189999999996</v>
      </c>
      <c r="Q5934">
        <v>0.13594210000000001</v>
      </c>
      <c r="R5934">
        <v>-1.9657359999999999E-2</v>
      </c>
      <c r="S5934">
        <v>3.0558169999999998</v>
      </c>
      <c r="T5934">
        <v>-0.10446510000000001</v>
      </c>
      <c r="U5934">
        <v>0.61636349999999995</v>
      </c>
      <c r="V5934">
        <v>3.4511199999999999E-2</v>
      </c>
      <c r="W5934">
        <v>0.14440310000000001</v>
      </c>
      <c r="X5934">
        <v>0.98891689999999999</v>
      </c>
      <c r="Y5934">
        <v>-0.1828775</v>
      </c>
      <c r="Z5934">
        <v>2.5857710000000002E-3</v>
      </c>
      <c r="AA5934">
        <v>0.98313229999999996</v>
      </c>
      <c r="AB5934">
        <v>32</v>
      </c>
      <c r="AC5934">
        <v>32.257299999999901</v>
      </c>
      <c r="AD5934">
        <v>-1.1083531225629999</v>
      </c>
      <c r="AE5934">
        <v>6.5369799999999998</v>
      </c>
      <c r="AF5934">
        <v>-6.0448031570029803</v>
      </c>
      <c r="AG5934">
        <v>-1.1083531225629999</v>
      </c>
      <c r="AH5934">
        <v>32.315215383164301</v>
      </c>
      <c r="AI5934">
        <v>91.930905794216002</v>
      </c>
      <c r="AJ5934">
        <v>100.595160571337</v>
      </c>
      <c r="AK5934">
        <v>32.894395223373699</v>
      </c>
      <c r="AL5934">
        <v>81.697284070198506</v>
      </c>
      <c r="AM5934">
        <v>88.001304279554802</v>
      </c>
      <c r="AN5934">
        <v>0.99999995666032904</v>
      </c>
    </row>
    <row r="5935" spans="1:40" x14ac:dyDescent="0.25">
      <c r="A5935" t="str">
        <f>"20190312164622662"</f>
        <v>20190312164622662</v>
      </c>
      <c r="B5935" t="str">
        <f>"1552380382656855"</f>
        <v>1552380382656855</v>
      </c>
      <c r="C5935" t="s">
        <v>40</v>
      </c>
      <c r="D5935">
        <v>5.0236289999999997</v>
      </c>
      <c r="E5935">
        <v>0.41932970000000003</v>
      </c>
      <c r="F5935" t="s">
        <v>92</v>
      </c>
      <c r="G5935">
        <v>-225.7876</v>
      </c>
      <c r="H5935" s="1">
        <v>-2.718748E-6</v>
      </c>
      <c r="I5935">
        <v>-55.3277199999999</v>
      </c>
      <c r="J5935">
        <v>-258.9271</v>
      </c>
      <c r="K5935">
        <v>1.1083449999999999</v>
      </c>
      <c r="L5935">
        <v>-62.090089999999996</v>
      </c>
      <c r="M5935">
        <v>0.99985020000000002</v>
      </c>
      <c r="N5935">
        <v>0</v>
      </c>
      <c r="O5935">
        <v>1.5072E-2</v>
      </c>
      <c r="P5935">
        <v>0.99058990000000002</v>
      </c>
      <c r="Q5935">
        <v>0.13548250000000001</v>
      </c>
      <c r="R5935">
        <v>-1.9396440000000001E-2</v>
      </c>
      <c r="S5935">
        <v>3.0549620000000002</v>
      </c>
      <c r="T5935">
        <v>-0.1016314</v>
      </c>
      <c r="U5935">
        <v>0.62033079999999996</v>
      </c>
      <c r="V5935">
        <v>3.4301640000000001E-2</v>
      </c>
      <c r="W5935">
        <v>0.1439213</v>
      </c>
      <c r="X5935">
        <v>0.9889945</v>
      </c>
      <c r="Y5935">
        <v>-0.18411230000000001</v>
      </c>
      <c r="Z5935">
        <v>2.5347149999999999E-3</v>
      </c>
      <c r="AA5935">
        <v>0.9829019</v>
      </c>
      <c r="AB5935">
        <v>33</v>
      </c>
      <c r="AC5935">
        <v>33.139499999999998</v>
      </c>
      <c r="AD5935">
        <v>-1.108347718748</v>
      </c>
      <c r="AE5935">
        <v>6.7623700000000104</v>
      </c>
      <c r="AF5935">
        <v>-6.2553878500172599</v>
      </c>
      <c r="AG5935">
        <v>-1.108347718748</v>
      </c>
      <c r="AH5935">
        <v>33.202007673905598</v>
      </c>
      <c r="AI5935">
        <v>91.878903097677295</v>
      </c>
      <c r="AJ5935">
        <v>100.66967802866201</v>
      </c>
      <c r="AK5935">
        <v>33.804313709908101</v>
      </c>
      <c r="AL5935">
        <v>81.725181211602603</v>
      </c>
      <c r="AM5935">
        <v>88.013586817213906</v>
      </c>
      <c r="AN5935">
        <v>1.00000003206531</v>
      </c>
    </row>
    <row r="5936" spans="1:40" x14ac:dyDescent="0.25">
      <c r="A5936" t="str">
        <f>"20190312164622673"</f>
        <v>20190312164622673</v>
      </c>
      <c r="B5936" t="str">
        <f>"1552380382667594"</f>
        <v>1552380382667594</v>
      </c>
      <c r="C5936" t="s">
        <v>40</v>
      </c>
      <c r="D5936">
        <v>5.0518700000000001</v>
      </c>
      <c r="E5936">
        <v>0.41929870000000002</v>
      </c>
      <c r="F5936" t="s">
        <v>92</v>
      </c>
      <c r="G5936">
        <v>-225.09030000000001</v>
      </c>
      <c r="H5936" s="1">
        <v>-2.4573199999999999E-6</v>
      </c>
      <c r="I5936">
        <v>-55.208190000000002</v>
      </c>
      <c r="J5936">
        <v>-258.7647</v>
      </c>
      <c r="K5936">
        <v>1.1083350000000001</v>
      </c>
      <c r="L5936">
        <v>-62.087649999999996</v>
      </c>
      <c r="M5936">
        <v>0.99984960000000001</v>
      </c>
      <c r="N5936">
        <v>0</v>
      </c>
      <c r="O5936">
        <v>1.511672E-2</v>
      </c>
      <c r="P5936">
        <v>0.99066080000000001</v>
      </c>
      <c r="Q5936">
        <v>0.13504150000000001</v>
      </c>
      <c r="R5936">
        <v>-1.8843220000000001E-2</v>
      </c>
      <c r="S5936">
        <v>3.0543819999999999</v>
      </c>
      <c r="T5936">
        <v>-0.10004830000000001</v>
      </c>
      <c r="U5936">
        <v>0.62121579999999998</v>
      </c>
      <c r="V5936">
        <v>3.3794369999999997E-2</v>
      </c>
      <c r="W5936">
        <v>0.1434598</v>
      </c>
      <c r="X5936">
        <v>0.98907900000000004</v>
      </c>
      <c r="Y5936">
        <v>-0.18438080000000001</v>
      </c>
      <c r="Z5936">
        <v>2.4985519999999998E-3</v>
      </c>
      <c r="AA5936">
        <v>0.98285169999999999</v>
      </c>
      <c r="AB5936">
        <v>33</v>
      </c>
      <c r="AC5936">
        <v>33.674399999999899</v>
      </c>
      <c r="AD5936">
        <v>-1.10833745732</v>
      </c>
      <c r="AE5936">
        <v>6.8794599999999901</v>
      </c>
      <c r="AF5936">
        <v>-6.3629921971237202</v>
      </c>
      <c r="AG5936">
        <v>-1.10833745732</v>
      </c>
      <c r="AH5936">
        <v>33.739465298657599</v>
      </c>
      <c r="AI5936">
        <v>91.848913427593601</v>
      </c>
      <c r="AJ5936">
        <v>100.680083665922</v>
      </c>
      <c r="AK5936">
        <v>34.352112020358703</v>
      </c>
      <c r="AL5936">
        <v>81.751900395712397</v>
      </c>
      <c r="AM5936">
        <v>88.043106952691403</v>
      </c>
      <c r="AN5936">
        <v>1.0000000209503599</v>
      </c>
    </row>
    <row r="5937" spans="1:40" x14ac:dyDescent="0.25">
      <c r="A5937" t="str">
        <f>"20190312164622684"</f>
        <v>20190312164622684</v>
      </c>
      <c r="B5937" t="str">
        <f>"1552380382677351"</f>
        <v>1552380382677351</v>
      </c>
      <c r="C5937" t="s">
        <v>40</v>
      </c>
      <c r="D5937">
        <v>5.0660740000000004</v>
      </c>
      <c r="E5937">
        <v>0.41931550000000001</v>
      </c>
      <c r="F5937" t="s">
        <v>92</v>
      </c>
      <c r="G5937">
        <v>-226.22970000000001</v>
      </c>
      <c r="H5937" s="1">
        <v>-2.881621E-6</v>
      </c>
      <c r="I5937">
        <v>-55.448929999999997</v>
      </c>
      <c r="J5937">
        <v>-258.60199999999998</v>
      </c>
      <c r="K5937">
        <v>1.1083270000000001</v>
      </c>
      <c r="L5937">
        <v>-62.08511</v>
      </c>
      <c r="M5937">
        <v>0.99984910000000005</v>
      </c>
      <c r="N5937">
        <v>0</v>
      </c>
      <c r="O5937">
        <v>1.515947E-2</v>
      </c>
      <c r="P5937">
        <v>0.99071719999999996</v>
      </c>
      <c r="Q5937">
        <v>0.13463149999999999</v>
      </c>
      <c r="R5937">
        <v>-1.880747E-2</v>
      </c>
      <c r="S5937">
        <v>3.0543209999999998</v>
      </c>
      <c r="T5937">
        <v>-0.1040486</v>
      </c>
      <c r="U5937">
        <v>0.62322999999999995</v>
      </c>
      <c r="V5937">
        <v>3.3802829999999999E-2</v>
      </c>
      <c r="W5937">
        <v>0.14302889999999999</v>
      </c>
      <c r="X5937">
        <v>0.9891411</v>
      </c>
      <c r="Y5937">
        <v>-0.1849575</v>
      </c>
      <c r="Z5937">
        <v>2.60656E-3</v>
      </c>
      <c r="AA5937">
        <v>0.98274309999999998</v>
      </c>
      <c r="AB5937">
        <v>33</v>
      </c>
      <c r="AC5937">
        <v>32.372300000000003</v>
      </c>
      <c r="AD5937">
        <v>-1.1083298816210001</v>
      </c>
      <c r="AE5937">
        <v>6.6361799999999898</v>
      </c>
      <c r="AF5937">
        <v>-6.13774845410944</v>
      </c>
      <c r="AG5937">
        <v>-1.1083298816210001</v>
      </c>
      <c r="AH5937">
        <v>32.432700861883298</v>
      </c>
      <c r="AI5937">
        <v>91.923111888864398</v>
      </c>
      <c r="AJ5937">
        <v>100.716247702168</v>
      </c>
      <c r="AK5937">
        <v>33.0269652921491</v>
      </c>
      <c r="AL5937">
        <v>81.776846287618</v>
      </c>
      <c r="AM5937">
        <v>88.042740242192494</v>
      </c>
      <c r="AN5937">
        <v>1.0000000066302099</v>
      </c>
    </row>
    <row r="5938" spans="1:40" x14ac:dyDescent="0.25">
      <c r="A5938" t="str">
        <f>"20190312164622695"</f>
        <v>20190312164622695</v>
      </c>
      <c r="B5938" t="str">
        <f>"1552380382687112"</f>
        <v>1552380382687112</v>
      </c>
      <c r="C5938" t="s">
        <v>40</v>
      </c>
      <c r="D5938">
        <v>4.8969199999999997</v>
      </c>
      <c r="E5938">
        <v>0.41916740000000002</v>
      </c>
      <c r="F5938" t="s">
        <v>92</v>
      </c>
      <c r="G5938">
        <v>-227.3545</v>
      </c>
      <c r="H5938" s="1">
        <v>-3.3066190000000001E-6</v>
      </c>
      <c r="I5938">
        <v>-55.70919</v>
      </c>
      <c r="J5938">
        <v>-258.43540000000002</v>
      </c>
      <c r="K5938">
        <v>1.10832</v>
      </c>
      <c r="L5938">
        <v>-62.082549999999998</v>
      </c>
      <c r="M5938">
        <v>0.99984870000000003</v>
      </c>
      <c r="N5938">
        <v>0</v>
      </c>
      <c r="O5938">
        <v>1.5201030000000001E-2</v>
      </c>
      <c r="P5938">
        <v>0.99073359999999999</v>
      </c>
      <c r="Q5938">
        <v>0.13452049999999999</v>
      </c>
      <c r="R5938">
        <v>-1.875127E-2</v>
      </c>
      <c r="S5938">
        <v>3.0546570000000002</v>
      </c>
      <c r="T5938">
        <v>-0.1083469</v>
      </c>
      <c r="U5938">
        <v>0.62329100000000004</v>
      </c>
      <c r="V5938">
        <v>3.3788459999999999E-2</v>
      </c>
      <c r="W5938">
        <v>0.1428963</v>
      </c>
      <c r="X5938">
        <v>0.98916079999999995</v>
      </c>
      <c r="Y5938">
        <v>-0.1849065</v>
      </c>
      <c r="Z5938">
        <v>2.7115239999999999E-3</v>
      </c>
      <c r="AA5938">
        <v>0.98275239999999997</v>
      </c>
      <c r="AB5938">
        <v>33</v>
      </c>
      <c r="AC5938">
        <v>31.0809</v>
      </c>
      <c r="AD5938">
        <v>-1.1083233066189999</v>
      </c>
      <c r="AE5938">
        <v>6.3733599999999901</v>
      </c>
      <c r="AF5938">
        <v>-5.8929539415887104</v>
      </c>
      <c r="AG5938">
        <v>-1.1083233066189999</v>
      </c>
      <c r="AH5938">
        <v>31.136198946246001</v>
      </c>
      <c r="AI5938">
        <v>92.003107268875198</v>
      </c>
      <c r="AJ5938">
        <v>100.71724766265299</v>
      </c>
      <c r="AK5938">
        <v>31.7083296868487</v>
      </c>
      <c r="AL5938">
        <v>81.784522920120097</v>
      </c>
      <c r="AM5938">
        <v>88.043610584409706</v>
      </c>
      <c r="AN5938">
        <v>1.0000000504197399</v>
      </c>
    </row>
    <row r="5939" spans="1:40" x14ac:dyDescent="0.25">
      <c r="A5939" t="str">
        <f>"20190312164622706"</f>
        <v>20190312164622706</v>
      </c>
      <c r="B5939" t="str">
        <f>"1552380382696872"</f>
        <v>1552380382696872</v>
      </c>
      <c r="C5939" t="s">
        <v>40</v>
      </c>
      <c r="D5939">
        <v>4.9322059999999999</v>
      </c>
      <c r="E5939">
        <v>0.41906399999999999</v>
      </c>
      <c r="F5939" t="s">
        <v>92</v>
      </c>
      <c r="G5939">
        <v>-228.38659999999999</v>
      </c>
      <c r="H5939" s="1">
        <v>-3.698752E-6</v>
      </c>
      <c r="I5939">
        <v>-55.9381699999999</v>
      </c>
      <c r="J5939">
        <v>-258.27499999999998</v>
      </c>
      <c r="K5939">
        <v>1.1083149999999999</v>
      </c>
      <c r="L5939">
        <v>-62.080080000000002</v>
      </c>
      <c r="M5939">
        <v>0.99984819999999996</v>
      </c>
      <c r="N5939">
        <v>0</v>
      </c>
      <c r="O5939">
        <v>1.523977E-2</v>
      </c>
      <c r="P5939">
        <v>0.9907475</v>
      </c>
      <c r="Q5939">
        <v>0.13440389999999999</v>
      </c>
      <c r="R5939">
        <v>-1.884483E-2</v>
      </c>
      <c r="S5939">
        <v>3.0551910000000002</v>
      </c>
      <c r="T5939">
        <v>-0.1126881</v>
      </c>
      <c r="U5939">
        <v>0.62472530000000004</v>
      </c>
      <c r="V5939">
        <v>3.3921359999999998E-2</v>
      </c>
      <c r="W5939">
        <v>0.14275950000000001</v>
      </c>
      <c r="X5939">
        <v>0.98917600000000006</v>
      </c>
      <c r="Y5939">
        <v>-0.18526909999999999</v>
      </c>
      <c r="Z5939">
        <v>2.8246880000000001E-3</v>
      </c>
      <c r="AA5939">
        <v>0.9826838</v>
      </c>
      <c r="AB5939">
        <v>33</v>
      </c>
      <c r="AC5939">
        <v>29.888399999999901</v>
      </c>
      <c r="AD5939">
        <v>-1.108318698752</v>
      </c>
      <c r="AE5939">
        <v>6.14191000000001</v>
      </c>
      <c r="AF5939">
        <v>-5.6781965406712596</v>
      </c>
      <c r="AG5939">
        <v>-1.108318698752</v>
      </c>
      <c r="AH5939">
        <v>29.939033214239199</v>
      </c>
      <c r="AI5939">
        <v>92.082976911897802</v>
      </c>
      <c r="AJ5939">
        <v>100.73908928403699</v>
      </c>
      <c r="AK5939">
        <v>30.4928843518584</v>
      </c>
      <c r="AL5939">
        <v>81.792442139664104</v>
      </c>
      <c r="AM5939">
        <v>88.035951698687498</v>
      </c>
      <c r="AN5939">
        <v>1.0000000462402401</v>
      </c>
    </row>
    <row r="5940" spans="1:40" x14ac:dyDescent="0.25">
      <c r="A5940" t="str">
        <f>"20190312164622717"</f>
        <v>20190312164622717</v>
      </c>
      <c r="B5940" t="str">
        <f>"1552380382707608"</f>
        <v>1552380382707608</v>
      </c>
      <c r="C5940" t="s">
        <v>40</v>
      </c>
      <c r="D5940">
        <v>5.0056520000000004</v>
      </c>
      <c r="E5940">
        <v>0.41913430000000002</v>
      </c>
      <c r="F5940" t="s">
        <v>92</v>
      </c>
      <c r="G5940">
        <v>-228.35339999999999</v>
      </c>
      <c r="H5940" s="1">
        <v>-3.6798490000000002E-6</v>
      </c>
      <c r="I5940">
        <v>-55.959200000000003</v>
      </c>
      <c r="J5940">
        <v>-258.11939999999998</v>
      </c>
      <c r="K5940">
        <v>1.1083099999999999</v>
      </c>
      <c r="L5940">
        <v>-62.077669999999998</v>
      </c>
      <c r="M5940">
        <v>0.99984799999999996</v>
      </c>
      <c r="N5940">
        <v>0</v>
      </c>
      <c r="O5940">
        <v>1.5274589999999999E-2</v>
      </c>
      <c r="P5940">
        <v>0.99079320000000004</v>
      </c>
      <c r="Q5940">
        <v>0.13403570000000001</v>
      </c>
      <c r="R5940">
        <v>-1.9060879999999999E-2</v>
      </c>
      <c r="S5940">
        <v>3.0552830000000002</v>
      </c>
      <c r="T5940">
        <v>-0.1131699</v>
      </c>
      <c r="U5940">
        <v>0.625</v>
      </c>
      <c r="V5940">
        <v>3.4173479999999999E-2</v>
      </c>
      <c r="W5940">
        <v>0.142371</v>
      </c>
      <c r="X5940">
        <v>0.98922319999999997</v>
      </c>
      <c r="Y5940">
        <v>-0.18531300000000001</v>
      </c>
      <c r="Z5940">
        <v>2.836178E-3</v>
      </c>
      <c r="AA5940">
        <v>0.98267539999999998</v>
      </c>
      <c r="AB5940">
        <v>33</v>
      </c>
      <c r="AC5940">
        <v>29.765999999999899</v>
      </c>
      <c r="AD5940">
        <v>-1.1083136798489901</v>
      </c>
      <c r="AE5940">
        <v>6.1184699999999896</v>
      </c>
      <c r="AF5940">
        <v>-5.65555370897129</v>
      </c>
      <c r="AG5940">
        <v>-1.1083136798489901</v>
      </c>
      <c r="AH5940">
        <v>29.816326368498402</v>
      </c>
      <c r="AI5940">
        <v>92.091524107379499</v>
      </c>
      <c r="AJ5940">
        <v>100.740257094177</v>
      </c>
      <c r="AK5940">
        <v>30.368190019835101</v>
      </c>
      <c r="AL5940">
        <v>81.814930340568395</v>
      </c>
      <c r="AM5940">
        <v>88.021459833489104</v>
      </c>
      <c r="AN5940">
        <v>0.99999993389727204</v>
      </c>
    </row>
    <row r="5941" spans="1:40" x14ac:dyDescent="0.25">
      <c r="A5941" t="str">
        <f>"20190312164622728"</f>
        <v>20190312164622728</v>
      </c>
      <c r="B5941" t="str">
        <f>"1552380382717368"</f>
        <v>1552380382717368</v>
      </c>
      <c r="C5941" t="s">
        <v>40</v>
      </c>
      <c r="D5941">
        <v>4.9993429999999996</v>
      </c>
      <c r="E5941">
        <v>0.41913590000000001</v>
      </c>
      <c r="F5941" t="s">
        <v>92</v>
      </c>
      <c r="G5941">
        <v>-229.238</v>
      </c>
      <c r="H5941" s="1">
        <v>-4.0102810000000001E-6</v>
      </c>
      <c r="I5941">
        <v>-56.181089999999998</v>
      </c>
      <c r="J5941">
        <v>-257.95890000000003</v>
      </c>
      <c r="K5941">
        <v>1.108303</v>
      </c>
      <c r="L5941">
        <v>-62.075200000000002</v>
      </c>
      <c r="M5941">
        <v>0.99984770000000001</v>
      </c>
      <c r="N5941">
        <v>0</v>
      </c>
      <c r="O5941">
        <v>1.5310000000000001E-2</v>
      </c>
      <c r="P5941">
        <v>0.99079430000000002</v>
      </c>
      <c r="Q5941">
        <v>0.1339921</v>
      </c>
      <c r="R5941">
        <v>-1.9312679999999999E-2</v>
      </c>
      <c r="S5941">
        <v>3.0557099999999999</v>
      </c>
      <c r="T5941">
        <v>-0.11726200000000001</v>
      </c>
      <c r="U5941">
        <v>0.62387079999999995</v>
      </c>
      <c r="V5941">
        <v>3.44613E-2</v>
      </c>
      <c r="W5941">
        <v>0.1423054</v>
      </c>
      <c r="X5941">
        <v>0.98922270000000001</v>
      </c>
      <c r="Y5941">
        <v>-0.1848947</v>
      </c>
      <c r="Z5941">
        <v>2.9290800000000001E-3</v>
      </c>
      <c r="AA5941">
        <v>0.98275400000000002</v>
      </c>
      <c r="AB5941">
        <v>33</v>
      </c>
      <c r="AC5941">
        <v>28.7209</v>
      </c>
      <c r="AD5941">
        <v>-1.108307010281</v>
      </c>
      <c r="AE5941">
        <v>5.8941099999999897</v>
      </c>
      <c r="AF5941">
        <v>-5.4459049541616302</v>
      </c>
      <c r="AG5941">
        <v>-1.108307010281</v>
      </c>
      <c r="AH5941">
        <v>28.766670218885501</v>
      </c>
      <c r="AI5941">
        <v>92.167901676201296</v>
      </c>
      <c r="AJ5941">
        <v>100.719972177931</v>
      </c>
      <c r="AK5941">
        <v>29.298592810592702</v>
      </c>
      <c r="AL5941">
        <v>81.818727980021706</v>
      </c>
      <c r="AM5941">
        <v>88.004808338347601</v>
      </c>
      <c r="AN5941">
        <v>0.99999997913106897</v>
      </c>
    </row>
    <row r="5942" spans="1:40" x14ac:dyDescent="0.25">
      <c r="A5942" t="str">
        <f>"20190312164622739"</f>
        <v>20190312164622739</v>
      </c>
      <c r="B5942" t="str">
        <f>"1552380382727127"</f>
        <v>1552380382727127</v>
      </c>
      <c r="C5942" t="s">
        <v>40</v>
      </c>
      <c r="D5942">
        <v>5.0045729999999997</v>
      </c>
      <c r="E5942">
        <v>0.4191608</v>
      </c>
      <c r="F5942" t="s">
        <v>92</v>
      </c>
      <c r="G5942">
        <v>-229.72409999999999</v>
      </c>
      <c r="H5942" s="1">
        <v>-4.1880009999999998E-6</v>
      </c>
      <c r="I5942">
        <v>-56.320430000000002</v>
      </c>
      <c r="J5942">
        <v>-257.7937</v>
      </c>
      <c r="K5942">
        <v>1.1082939999999999</v>
      </c>
      <c r="L5942">
        <v>-62.072629999999997</v>
      </c>
      <c r="M5942">
        <v>0.99984720000000005</v>
      </c>
      <c r="N5942">
        <v>0</v>
      </c>
      <c r="O5942">
        <v>1.534232E-2</v>
      </c>
      <c r="P5942">
        <v>0.99083140000000003</v>
      </c>
      <c r="Q5942">
        <v>0.13366810000000001</v>
      </c>
      <c r="R5942">
        <v>-1.9642119999999999E-2</v>
      </c>
      <c r="S5942">
        <v>3.0562740000000002</v>
      </c>
      <c r="T5942">
        <v>-0.1199688</v>
      </c>
      <c r="U5942">
        <v>0.62292479999999995</v>
      </c>
      <c r="V5942">
        <v>3.4824170000000002E-2</v>
      </c>
      <c r="W5942">
        <v>0.141958</v>
      </c>
      <c r="X5942">
        <v>0.98925989999999997</v>
      </c>
      <c r="Y5942">
        <v>-0.1845301</v>
      </c>
      <c r="Z5942">
        <v>2.9878560000000001E-3</v>
      </c>
      <c r="AA5942">
        <v>0.98282230000000004</v>
      </c>
      <c r="AB5942">
        <v>33</v>
      </c>
      <c r="AC5942">
        <v>28.069600000000001</v>
      </c>
      <c r="AD5942">
        <v>-1.1082981880009899</v>
      </c>
      <c r="AE5942">
        <v>5.7522000000000002</v>
      </c>
      <c r="AF5942">
        <v>-5.3129061102046302</v>
      </c>
      <c r="AG5942">
        <v>-1.1082981880009899</v>
      </c>
      <c r="AH5942">
        <v>28.1124906441168</v>
      </c>
      <c r="AI5942">
        <v>92.218413211497307</v>
      </c>
      <c r="AJ5942">
        <v>100.70195966903199</v>
      </c>
      <c r="AK5942">
        <v>28.631580927796001</v>
      </c>
      <c r="AL5942">
        <v>81.838836633786798</v>
      </c>
      <c r="AM5942">
        <v>87.983892406085303</v>
      </c>
      <c r="AN5942">
        <v>0.99999997316409905</v>
      </c>
    </row>
    <row r="5943" spans="1:40" x14ac:dyDescent="0.25">
      <c r="A5943" t="str">
        <f>"20190312164622751"</f>
        <v>20190312164622751</v>
      </c>
      <c r="B5943" t="str">
        <f>"1552380382747623"</f>
        <v>1552380382747623</v>
      </c>
      <c r="C5943" t="s">
        <v>40</v>
      </c>
      <c r="D5943">
        <v>4.9143780000000001</v>
      </c>
      <c r="E5943">
        <v>0.41927009999999998</v>
      </c>
      <c r="F5943" t="s">
        <v>91</v>
      </c>
      <c r="G5943">
        <v>-230.3913</v>
      </c>
      <c r="H5943" s="1">
        <v>-1.53415299999999E-7</v>
      </c>
      <c r="I5943">
        <v>-56.500950000000003</v>
      </c>
      <c r="J5943">
        <v>-257.63150000000002</v>
      </c>
      <c r="K5943">
        <v>1.1082860000000001</v>
      </c>
      <c r="L5943">
        <v>-62.070099999999996</v>
      </c>
      <c r="M5943">
        <v>0.99984709999999999</v>
      </c>
      <c r="N5943">
        <v>0</v>
      </c>
      <c r="O5943">
        <v>1.537266E-2</v>
      </c>
      <c r="P5943">
        <v>0.99085000000000001</v>
      </c>
      <c r="Q5943">
        <v>0.1334832</v>
      </c>
      <c r="R5943">
        <v>-1.996059E-2</v>
      </c>
      <c r="S5943">
        <v>3.0567630000000001</v>
      </c>
      <c r="T5943">
        <v>-0.1236314</v>
      </c>
      <c r="U5943">
        <v>0.62152099999999999</v>
      </c>
      <c r="V5943">
        <v>3.5174160000000003E-2</v>
      </c>
      <c r="W5943">
        <v>0.1417494</v>
      </c>
      <c r="X5943">
        <v>0.98927750000000003</v>
      </c>
      <c r="Y5943">
        <v>-0.18402879999999999</v>
      </c>
      <c r="Z5943">
        <v>3.0674159999999999E-3</v>
      </c>
      <c r="AA5943">
        <v>0.98291609999999996</v>
      </c>
      <c r="AB5943">
        <v>33</v>
      </c>
      <c r="AC5943">
        <v>27.240200000000002</v>
      </c>
      <c r="AD5943">
        <v>-1.1082861534152999</v>
      </c>
      <c r="AE5943">
        <v>5.5691499999999898</v>
      </c>
      <c r="AF5943">
        <v>-5.1415535194716</v>
      </c>
      <c r="AG5943">
        <v>-1.1082861534152999</v>
      </c>
      <c r="AH5943">
        <v>27.279252214169102</v>
      </c>
      <c r="AI5943">
        <v>92.286290280860598</v>
      </c>
      <c r="AJ5943">
        <v>100.67380751494601</v>
      </c>
      <c r="AK5943">
        <v>27.7816751142852</v>
      </c>
      <c r="AL5943">
        <v>81.850911203132696</v>
      </c>
      <c r="AM5943">
        <v>87.963683286022501</v>
      </c>
      <c r="AN5943">
        <v>1.00000004296915</v>
      </c>
    </row>
    <row r="5944" spans="1:40" x14ac:dyDescent="0.25">
      <c r="A5944" t="str">
        <f>"20190312164622762"</f>
        <v>20190312164622762</v>
      </c>
      <c r="B5944" t="str">
        <f>"1552380382757383"</f>
        <v>1552380382757383</v>
      </c>
      <c r="C5944" t="s">
        <v>40</v>
      </c>
      <c r="D5944">
        <v>4.9469620000000001</v>
      </c>
      <c r="E5944">
        <v>0.41932170000000002</v>
      </c>
      <c r="F5944" t="s">
        <v>91</v>
      </c>
      <c r="G5944">
        <v>-231.39189999999999</v>
      </c>
      <c r="H5944" s="1">
        <v>-4.2643100000000002E-7</v>
      </c>
      <c r="I5944">
        <v>-56.754649999999998</v>
      </c>
      <c r="J5944">
        <v>-257.45549999999997</v>
      </c>
      <c r="K5944">
        <v>1.108277</v>
      </c>
      <c r="L5944">
        <v>-62.067349999999998</v>
      </c>
      <c r="M5944">
        <v>0.99984689999999998</v>
      </c>
      <c r="N5944">
        <v>0</v>
      </c>
      <c r="O5944">
        <v>1.5400499999999999E-2</v>
      </c>
      <c r="P5944">
        <v>0.99085919999999905</v>
      </c>
      <c r="Q5944">
        <v>0.1333384</v>
      </c>
      <c r="R5944">
        <v>-2.047206E-2</v>
      </c>
      <c r="S5944">
        <v>3.0576020000000002</v>
      </c>
      <c r="T5944">
        <v>-0.1291448</v>
      </c>
      <c r="U5944">
        <v>0.61938479999999996</v>
      </c>
      <c r="V5944">
        <v>3.5714700000000002E-2</v>
      </c>
      <c r="W5944">
        <v>0.14157990000000001</v>
      </c>
      <c r="X5944">
        <v>0.98928240000000001</v>
      </c>
      <c r="Y5944">
        <v>-0.18327779999999999</v>
      </c>
      <c r="Z5944">
        <v>3.1865970000000002E-3</v>
      </c>
      <c r="AA5944">
        <v>0.98305600000000004</v>
      </c>
      <c r="AB5944">
        <v>33</v>
      </c>
      <c r="AC5944">
        <v>26.063599999999902</v>
      </c>
      <c r="AD5944">
        <v>-1.108277426431</v>
      </c>
      <c r="AE5944">
        <v>5.3127000000000004</v>
      </c>
      <c r="AF5944">
        <v>-4.9021534646297296</v>
      </c>
      <c r="AG5944">
        <v>-1.108277426431</v>
      </c>
      <c r="AH5944">
        <v>26.097025539971501</v>
      </c>
      <c r="AI5944">
        <v>92.390001238881197</v>
      </c>
      <c r="AJ5944">
        <v>100.638660092968</v>
      </c>
      <c r="AK5944">
        <v>26.5765710632249</v>
      </c>
      <c r="AL5944">
        <v>81.860721734374906</v>
      </c>
      <c r="AM5944">
        <v>87.932427311979097</v>
      </c>
      <c r="AN5944">
        <v>1.0000000374149201</v>
      </c>
    </row>
    <row r="5945" spans="1:40" x14ac:dyDescent="0.25">
      <c r="A5945" t="str">
        <f>"20190312164622773"</f>
        <v>20190312164622773</v>
      </c>
      <c r="B5945" t="str">
        <f>"1552380382767143"</f>
        <v>1552380382767143</v>
      </c>
      <c r="C5945" t="s">
        <v>40</v>
      </c>
      <c r="D5945">
        <v>4.931476</v>
      </c>
      <c r="E5945">
        <v>0.41936250000000003</v>
      </c>
      <c r="F5945" t="s">
        <v>91</v>
      </c>
      <c r="G5945">
        <v>-231.74459999999999</v>
      </c>
      <c r="H5945" s="1">
        <v>-5.1371660000000002E-7</v>
      </c>
      <c r="I5945">
        <v>-56.87764</v>
      </c>
      <c r="J5945">
        <v>-257.298</v>
      </c>
      <c r="K5945">
        <v>1.108266</v>
      </c>
      <c r="L5945">
        <v>-62.064909999999998</v>
      </c>
      <c r="M5945">
        <v>0.99984660000000003</v>
      </c>
      <c r="N5945">
        <v>0</v>
      </c>
      <c r="O5945">
        <v>1.5422780000000001E-2</v>
      </c>
      <c r="P5945">
        <v>0.99087119999999995</v>
      </c>
      <c r="Q5945">
        <v>0.13322220000000001</v>
      </c>
      <c r="R5945">
        <v>-2.0643580000000002E-2</v>
      </c>
      <c r="S5945">
        <v>3.0581670000000001</v>
      </c>
      <c r="T5945">
        <v>-0.1318232</v>
      </c>
      <c r="U5945">
        <v>0.61727909999999997</v>
      </c>
      <c r="V5945">
        <v>3.5910240000000003E-2</v>
      </c>
      <c r="W5945">
        <v>0.14144119999999999</v>
      </c>
      <c r="X5945">
        <v>0.98929509999999998</v>
      </c>
      <c r="Y5945">
        <v>-0.1825649</v>
      </c>
      <c r="Z5945">
        <v>3.2361009999999999E-3</v>
      </c>
      <c r="AA5945">
        <v>0.98318850000000002</v>
      </c>
      <c r="AB5945">
        <v>33</v>
      </c>
      <c r="AC5945">
        <v>25.5534</v>
      </c>
      <c r="AD5945">
        <v>-1.1082665137165999</v>
      </c>
      <c r="AE5945">
        <v>5.1872699999999901</v>
      </c>
      <c r="AF5945">
        <v>-4.7838925336018603</v>
      </c>
      <c r="AG5945">
        <v>-1.1082665137165999</v>
      </c>
      <c r="AH5945">
        <v>25.584145975119501</v>
      </c>
      <c r="AI5945">
        <v>92.438209576999995</v>
      </c>
      <c r="AJ5945">
        <v>100.59123614274399</v>
      </c>
      <c r="AK5945">
        <v>26.051149834790401</v>
      </c>
      <c r="AL5945">
        <v>81.868748946032994</v>
      </c>
      <c r="AM5945">
        <v>87.9211438042948</v>
      </c>
      <c r="AN5945">
        <v>0.99999997663915297</v>
      </c>
    </row>
    <row r="5946" spans="1:40" x14ac:dyDescent="0.25">
      <c r="A5946" t="str">
        <f>"20190312164622784"</f>
        <v>20190312164622784</v>
      </c>
      <c r="B5946" t="str">
        <f>"1552380382776904"</f>
        <v>1552380382776904</v>
      </c>
      <c r="C5946" t="s">
        <v>40</v>
      </c>
      <c r="D5946">
        <v>4.8802120000000002</v>
      </c>
      <c r="E5946">
        <v>0.41923899999999997</v>
      </c>
      <c r="F5946" t="s">
        <v>91</v>
      </c>
      <c r="G5946">
        <v>-232.01159999999999</v>
      </c>
      <c r="H5946" s="1">
        <v>-5.802489E-7</v>
      </c>
      <c r="I5946">
        <v>-56.969000000000001</v>
      </c>
      <c r="J5946">
        <v>-257.12799999999999</v>
      </c>
      <c r="K5946">
        <v>1.1082559999999999</v>
      </c>
      <c r="L5946">
        <v>-62.062260000000002</v>
      </c>
      <c r="M5946">
        <v>0.99984660000000003</v>
      </c>
      <c r="N5946">
        <v>0</v>
      </c>
      <c r="O5946">
        <v>1.5442910000000001E-2</v>
      </c>
      <c r="P5946">
        <v>0.9909365</v>
      </c>
      <c r="Q5946">
        <v>0.13266649999999999</v>
      </c>
      <c r="R5946">
        <v>-2.1082449999999999E-2</v>
      </c>
      <c r="S5946">
        <v>3.0585019999999998</v>
      </c>
      <c r="T5946">
        <v>-0.13404929999999901</v>
      </c>
      <c r="U5946">
        <v>0.61636349999999995</v>
      </c>
      <c r="V5946">
        <v>3.637195E-2</v>
      </c>
      <c r="W5946">
        <v>0.1408615</v>
      </c>
      <c r="X5946">
        <v>0.98936100000000005</v>
      </c>
      <c r="Y5946">
        <v>-0.1822366</v>
      </c>
      <c r="Z5946">
        <v>3.282451E-3</v>
      </c>
      <c r="AA5946">
        <v>0.98324920000000005</v>
      </c>
      <c r="AB5946">
        <v>33</v>
      </c>
      <c r="AC5946">
        <v>25.116399999999999</v>
      </c>
      <c r="AD5946">
        <v>-1.1082565802488999</v>
      </c>
      <c r="AE5946">
        <v>5.0932599999999999</v>
      </c>
      <c r="AF5946">
        <v>-4.6959870921151303</v>
      </c>
      <c r="AG5946">
        <v>-1.1082565802488999</v>
      </c>
      <c r="AH5946">
        <v>25.145038475286999</v>
      </c>
      <c r="AI5946">
        <v>92.480816219062405</v>
      </c>
      <c r="AJ5946">
        <v>100.57847004951699</v>
      </c>
      <c r="AK5946">
        <v>25.603778770733101</v>
      </c>
      <c r="AL5946">
        <v>81.9022996877559</v>
      </c>
      <c r="AM5946">
        <v>87.894579280669106</v>
      </c>
      <c r="AN5946">
        <v>1.00000003462502</v>
      </c>
    </row>
    <row r="5947" spans="1:40" x14ac:dyDescent="0.25">
      <c r="A5947" t="str">
        <f>"20190312164622795"</f>
        <v>20190312164622795</v>
      </c>
      <c r="B5947" t="str">
        <f>"1552380382787640"</f>
        <v>1552380382787640</v>
      </c>
      <c r="C5947" t="s">
        <v>40</v>
      </c>
      <c r="D5947">
        <v>4.9060589999999999</v>
      </c>
      <c r="E5947">
        <v>0.41945860000000001</v>
      </c>
      <c r="F5947" t="s">
        <v>91</v>
      </c>
      <c r="G5947">
        <v>-232.15799999999999</v>
      </c>
      <c r="H5947" s="1">
        <v>-6.1285640000000001E-7</v>
      </c>
      <c r="I5947">
        <v>-57.033700000000003</v>
      </c>
      <c r="J5947">
        <v>-256.97059999999999</v>
      </c>
      <c r="K5947">
        <v>1.1082459999999901</v>
      </c>
      <c r="L5947">
        <v>-62.059809999999999</v>
      </c>
      <c r="M5947">
        <v>0.99984649999999997</v>
      </c>
      <c r="N5947">
        <v>0</v>
      </c>
      <c r="O5947">
        <v>1.545821E-2</v>
      </c>
      <c r="P5947">
        <v>0.99095880000000003</v>
      </c>
      <c r="Q5947">
        <v>0.13241510000000001</v>
      </c>
      <c r="R5947">
        <v>-2.1610649999999999E-2</v>
      </c>
      <c r="S5947">
        <v>3.058716</v>
      </c>
      <c r="T5947">
        <v>-0.1357563</v>
      </c>
      <c r="U5947">
        <v>0.61596680000000004</v>
      </c>
      <c r="V5947">
        <v>3.69173E-2</v>
      </c>
      <c r="W5947">
        <v>0.1405853</v>
      </c>
      <c r="X5947">
        <v>0.98938009999999998</v>
      </c>
      <c r="Y5947">
        <v>-0.18208199999999999</v>
      </c>
      <c r="Z5947">
        <v>3.3199560000000002E-3</v>
      </c>
      <c r="AA5947">
        <v>0.98327770000000003</v>
      </c>
      <c r="AB5947">
        <v>33</v>
      </c>
      <c r="AC5947">
        <v>24.8126</v>
      </c>
      <c r="AD5947">
        <v>-1.1082466128563999</v>
      </c>
      <c r="AE5947">
        <v>5.0261099999999903</v>
      </c>
      <c r="AF5947">
        <v>-4.6330596370205397</v>
      </c>
      <c r="AG5947">
        <v>-1.1082466128563999</v>
      </c>
      <c r="AH5947">
        <v>24.839731895840998</v>
      </c>
      <c r="AI5947">
        <v>92.511354335323205</v>
      </c>
      <c r="AJ5947">
        <v>100.565297660154</v>
      </c>
      <c r="AK5947">
        <v>25.292404646698898</v>
      </c>
      <c r="AL5947">
        <v>81.918283949020505</v>
      </c>
      <c r="AM5947">
        <v>87.863081507468294</v>
      </c>
      <c r="AN5947">
        <v>1.0000000479456901</v>
      </c>
    </row>
    <row r="5948" spans="1:40" x14ac:dyDescent="0.25">
      <c r="A5948" t="str">
        <f>"20190312164622806"</f>
        <v>20190312164622806</v>
      </c>
      <c r="B5948" t="str">
        <f>"1552380382797400"</f>
        <v>1552380382797400</v>
      </c>
      <c r="C5948" t="s">
        <v>40</v>
      </c>
      <c r="D5948">
        <v>5.1569779999999996</v>
      </c>
      <c r="E5948">
        <v>0.41945860000000001</v>
      </c>
      <c r="F5948" t="s">
        <v>91</v>
      </c>
      <c r="G5948">
        <v>-231.8905</v>
      </c>
      <c r="H5948" s="1">
        <v>-5.2109949999999996E-7</v>
      </c>
      <c r="I5948">
        <v>-57.03651</v>
      </c>
      <c r="J5948">
        <v>-256.80250000000001</v>
      </c>
      <c r="K5948">
        <v>1.1082339999999999</v>
      </c>
      <c r="L5948">
        <v>-62.057189999999999</v>
      </c>
      <c r="M5948">
        <v>0.99984660000000003</v>
      </c>
      <c r="N5948">
        <v>0</v>
      </c>
      <c r="O5948">
        <v>1.547215E-2</v>
      </c>
      <c r="P5948">
        <v>0.99101539999999999</v>
      </c>
      <c r="Q5948">
        <v>0.1318686</v>
      </c>
      <c r="R5948">
        <v>-2.234761E-2</v>
      </c>
      <c r="S5948">
        <v>3.058792</v>
      </c>
      <c r="T5948">
        <v>-0.1351629</v>
      </c>
      <c r="U5948">
        <v>0.61264039999999997</v>
      </c>
      <c r="V5948">
        <v>3.767098E-2</v>
      </c>
      <c r="W5948">
        <v>0.14001259999999999</v>
      </c>
      <c r="X5948">
        <v>0.98943289999999995</v>
      </c>
      <c r="Y5948">
        <v>-0.1810379</v>
      </c>
      <c r="Z5948">
        <v>3.2822889999999999E-3</v>
      </c>
      <c r="AA5948">
        <v>0.98347059999999997</v>
      </c>
      <c r="AB5948">
        <v>33</v>
      </c>
      <c r="AC5948">
        <v>24.911999999999999</v>
      </c>
      <c r="AD5948">
        <v>-1.1082345210994999</v>
      </c>
      <c r="AE5948">
        <v>5.0206799999999996</v>
      </c>
      <c r="AF5948">
        <v>-4.6258265884798497</v>
      </c>
      <c r="AG5948">
        <v>-1.1082345210994999</v>
      </c>
      <c r="AH5948">
        <v>24.939272682401299</v>
      </c>
      <c r="AI5948">
        <v>92.501780846705998</v>
      </c>
      <c r="AJ5948">
        <v>100.50800826392999</v>
      </c>
      <c r="AK5948">
        <v>25.388851437345799</v>
      </c>
      <c r="AL5948">
        <v>81.951425027396297</v>
      </c>
      <c r="AM5948">
        <v>87.819613483647302</v>
      </c>
      <c r="AN5948">
        <v>1.00000004724766</v>
      </c>
    </row>
    <row r="5949" spans="1:40" x14ac:dyDescent="0.25">
      <c r="A5949" t="str">
        <f>"20190312164622818"</f>
        <v>20190312164622818</v>
      </c>
      <c r="B5949" t="str">
        <f>"1552380382807160"</f>
        <v>1552380382807160</v>
      </c>
      <c r="C5949" t="s">
        <v>40</v>
      </c>
      <c r="D5949">
        <v>5.1171819999999997</v>
      </c>
      <c r="E5949">
        <v>0.46689659999999999</v>
      </c>
      <c r="F5949" t="s">
        <v>91</v>
      </c>
      <c r="G5949">
        <v>-232.03030000000001</v>
      </c>
      <c r="H5949" s="1">
        <v>-5.4784949999999996E-7</v>
      </c>
      <c r="I5949">
        <v>-57.114739999999998</v>
      </c>
      <c r="J5949">
        <v>-256.6422</v>
      </c>
      <c r="K5949">
        <v>1.108223</v>
      </c>
      <c r="L5949">
        <v>-62.054720000000003</v>
      </c>
      <c r="M5949">
        <v>0.99984660000000003</v>
      </c>
      <c r="N5949">
        <v>0</v>
      </c>
      <c r="O5949">
        <v>1.548156E-2</v>
      </c>
      <c r="P5949">
        <v>0.99106870000000002</v>
      </c>
      <c r="Q5949">
        <v>0.13133919999999999</v>
      </c>
      <c r="R5949">
        <v>-2.308437E-2</v>
      </c>
      <c r="S5949">
        <v>3.0592039999999998</v>
      </c>
      <c r="T5949">
        <v>-0.1368595</v>
      </c>
      <c r="U5949">
        <v>0.61035159999999999</v>
      </c>
      <c r="V5949">
        <v>3.8419849999999998E-2</v>
      </c>
      <c r="W5949">
        <v>0.13945689999999999</v>
      </c>
      <c r="X5949">
        <v>0.98948250000000004</v>
      </c>
      <c r="Y5949">
        <v>-0.18029239999999999</v>
      </c>
      <c r="Z5949">
        <v>3.3063290000000002E-3</v>
      </c>
      <c r="AA5949">
        <v>0.98360749999999997</v>
      </c>
      <c r="AB5949">
        <v>33</v>
      </c>
      <c r="AC5949">
        <v>24.611899999999899</v>
      </c>
      <c r="AD5949">
        <v>-1.1082235478494999</v>
      </c>
      <c r="AE5949">
        <v>4.9399799999999896</v>
      </c>
      <c r="AF5949">
        <v>-4.5494776059218802</v>
      </c>
      <c r="AG5949">
        <v>-1.1082235478494999</v>
      </c>
      <c r="AH5949">
        <v>24.637413035586601</v>
      </c>
      <c r="AI5949">
        <v>92.532742164177805</v>
      </c>
      <c r="AJ5949">
        <v>100.46223022666599</v>
      </c>
      <c r="AK5949">
        <v>25.078437491296899</v>
      </c>
      <c r="AL5949">
        <v>81.983579096862698</v>
      </c>
      <c r="AM5949">
        <v>87.776423527391998</v>
      </c>
      <c r="AN5949">
        <v>0.99999996481894005</v>
      </c>
    </row>
    <row r="5950" spans="1:40" x14ac:dyDescent="0.25">
      <c r="A5950" t="str">
        <f>"20190312164622829"</f>
        <v>20190312164622829</v>
      </c>
      <c r="B5950" t="str">
        <f>"1552380382817210"</f>
        <v>1552380382817210</v>
      </c>
      <c r="C5950" t="s">
        <v>40</v>
      </c>
      <c r="D5950">
        <v>5.1868650000000001</v>
      </c>
      <c r="E5950">
        <v>0.46689659999999999</v>
      </c>
      <c r="F5950" t="s">
        <v>52</v>
      </c>
      <c r="G5950">
        <v>-207.88730000000001</v>
      </c>
      <c r="H5950" s="1">
        <v>-1.8277549999999999E-6</v>
      </c>
      <c r="I5950">
        <v>-58.454659999999997</v>
      </c>
      <c r="J5950">
        <v>-256.4726</v>
      </c>
      <c r="K5950">
        <v>1.1082099999999999</v>
      </c>
      <c r="L5950">
        <v>-62.05209</v>
      </c>
      <c r="M5950">
        <v>0.99984660000000003</v>
      </c>
      <c r="N5950">
        <v>0</v>
      </c>
      <c r="O5950">
        <v>1.549063E-2</v>
      </c>
      <c r="P5950">
        <v>0.99109480000000005</v>
      </c>
      <c r="Q5950">
        <v>0.13104689999999999</v>
      </c>
      <c r="R5950">
        <v>-2.3620490000000001E-2</v>
      </c>
      <c r="S5950">
        <v>3.0414279999999998</v>
      </c>
      <c r="T5950">
        <v>-6.9133280000000005E-2</v>
      </c>
      <c r="U5950">
        <v>0.2245789</v>
      </c>
      <c r="V5950">
        <v>3.8967120000000001E-2</v>
      </c>
      <c r="W5950">
        <v>0.13913629999999999</v>
      </c>
      <c r="X5950">
        <v>0.9895062</v>
      </c>
      <c r="Y5950">
        <v>-5.817058E-2</v>
      </c>
      <c r="Z5950">
        <v>3.0860319999999997E-4</v>
      </c>
      <c r="AA5950">
        <v>0.99830660000000004</v>
      </c>
      <c r="AB5950">
        <v>33</v>
      </c>
      <c r="AC5950">
        <v>48.585299999999897</v>
      </c>
      <c r="AD5950">
        <v>-1.1082118277549999</v>
      </c>
      <c r="AE5950">
        <v>3.5974300000000001</v>
      </c>
      <c r="AF5950">
        <v>-2.8428852486370699</v>
      </c>
      <c r="AG5950">
        <v>-1.1082118277549999</v>
      </c>
      <c r="AH5950">
        <v>48.610045467937503</v>
      </c>
      <c r="AI5950">
        <v>91.303775970744297</v>
      </c>
      <c r="AJ5950">
        <v>93.347044801306694</v>
      </c>
      <c r="AK5950">
        <v>48.705714761073402</v>
      </c>
      <c r="AL5950">
        <v>82.002128717630796</v>
      </c>
      <c r="AM5950">
        <v>87.744836316886705</v>
      </c>
      <c r="AN5950">
        <v>0.99999993312860902</v>
      </c>
    </row>
    <row r="5951" spans="1:40" x14ac:dyDescent="0.25">
      <c r="A5951" t="str">
        <f>"20190312164622839"</f>
        <v>20190312164622839</v>
      </c>
      <c r="B5951" t="str">
        <f>"1552380382837707"</f>
        <v>1552380382837707</v>
      </c>
      <c r="C5951" t="s">
        <v>40</v>
      </c>
      <c r="D5951">
        <v>5.1971920000000003</v>
      </c>
      <c r="E5951">
        <v>0.51421019999999995</v>
      </c>
      <c r="F5951" t="s">
        <v>52</v>
      </c>
      <c r="G5951">
        <v>-208.37889999999999</v>
      </c>
      <c r="H5951" s="1">
        <v>-1.495756E-6</v>
      </c>
      <c r="I5951">
        <v>-58.527999999999999</v>
      </c>
      <c r="J5951">
        <v>-256.31279999999998</v>
      </c>
      <c r="K5951">
        <v>1.1081920000000001</v>
      </c>
      <c r="L5951">
        <v>-62.049590000000002</v>
      </c>
      <c r="M5951">
        <v>0.99984689999999998</v>
      </c>
      <c r="N5951">
        <v>0</v>
      </c>
      <c r="O5951">
        <v>1.549559E-2</v>
      </c>
      <c r="P5951">
        <v>0.99113320000000005</v>
      </c>
      <c r="Q5951">
        <v>0.13058629999999999</v>
      </c>
      <c r="R5951">
        <v>-2.4545620000000001E-2</v>
      </c>
      <c r="S5951">
        <v>3.041534</v>
      </c>
      <c r="T5951">
        <v>-7.0085289999999995E-2</v>
      </c>
      <c r="U5951">
        <v>0.22286990000000001</v>
      </c>
      <c r="V5951">
        <v>3.9898940000000001E-2</v>
      </c>
      <c r="W5951">
        <v>0.13864660000000001</v>
      </c>
      <c r="X5951">
        <v>0.98953789999999997</v>
      </c>
      <c r="Y5951">
        <v>-5.760498E-2</v>
      </c>
      <c r="Z5951">
        <v>3.0622590000000001E-4</v>
      </c>
      <c r="AA5951">
        <v>0.99833939999999999</v>
      </c>
      <c r="AB5951">
        <v>33</v>
      </c>
      <c r="AC5951">
        <v>47.933900000000001</v>
      </c>
      <c r="AD5951">
        <v>-1.108193495756</v>
      </c>
      <c r="AE5951">
        <v>3.5215900000000002</v>
      </c>
      <c r="AF5951">
        <v>-2.7769022798778402</v>
      </c>
      <c r="AG5951">
        <v>-1.108193495756</v>
      </c>
      <c r="AH5951">
        <v>47.957220005920497</v>
      </c>
      <c r="AI5951">
        <v>91.321540148287497</v>
      </c>
      <c r="AJ5951">
        <v>93.313939378184799</v>
      </c>
      <c r="AK5951">
        <v>48.0503301736032</v>
      </c>
      <c r="AL5951">
        <v>82.030461850865905</v>
      </c>
      <c r="AM5951">
        <v>87.6910402110029</v>
      </c>
      <c r="AN5951">
        <v>1.0000000303205401</v>
      </c>
    </row>
    <row r="5952" spans="1:40" x14ac:dyDescent="0.25">
      <c r="A5952" t="str">
        <f>"20190312164622852"</f>
        <v>20190312164622852</v>
      </c>
      <c r="B5952" t="str">
        <f>"1552380382847466"</f>
        <v>1552380382847466</v>
      </c>
      <c r="C5952" t="s">
        <v>40</v>
      </c>
      <c r="D5952">
        <v>5.2127840000000001</v>
      </c>
      <c r="E5952">
        <v>0.51469730000000002</v>
      </c>
      <c r="F5952" t="s">
        <v>93</v>
      </c>
      <c r="G5952">
        <v>-218.78149999999999</v>
      </c>
      <c r="H5952" s="1">
        <v>-3.4874869999999999E-6</v>
      </c>
      <c r="I5952">
        <v>-63.988309999999998</v>
      </c>
      <c r="J5952">
        <v>-256.13499999999999</v>
      </c>
      <c r="K5952">
        <v>1.108177</v>
      </c>
      <c r="L5952">
        <v>-62.046880000000002</v>
      </c>
      <c r="M5952">
        <v>0.99984700000000004</v>
      </c>
      <c r="N5952">
        <v>0</v>
      </c>
      <c r="O5952">
        <v>1.550033E-2</v>
      </c>
      <c r="P5952">
        <v>0.99120629999999998</v>
      </c>
      <c r="Q5952">
        <v>0.12991559999999999</v>
      </c>
      <c r="R5952">
        <v>-2.51492E-2</v>
      </c>
      <c r="S5952">
        <v>3.0347599999999999</v>
      </c>
      <c r="T5952">
        <v>-8.9608069999999998E-2</v>
      </c>
      <c r="U5952">
        <v>-0.15676880000000001</v>
      </c>
      <c r="V5952">
        <v>4.0509629999999998E-2</v>
      </c>
      <c r="W5952">
        <v>0.13794529999999999</v>
      </c>
      <c r="X5952">
        <v>0.98961109999999997</v>
      </c>
      <c r="Y5952">
        <v>6.7027069999999994E-2</v>
      </c>
      <c r="Z5952">
        <v>-1.4460129999999999E-3</v>
      </c>
      <c r="AA5952">
        <v>0.99775009999999997</v>
      </c>
      <c r="AB5952">
        <v>33</v>
      </c>
      <c r="AC5952">
        <v>37.353499999999997</v>
      </c>
      <c r="AD5952">
        <v>-1.1081804874869901</v>
      </c>
      <c r="AE5952">
        <v>-1.94142999999999</v>
      </c>
      <c r="AF5952">
        <v>2.5179970954906801</v>
      </c>
      <c r="AG5952">
        <v>-1.1081804874869901</v>
      </c>
      <c r="AH5952">
        <v>37.286189205574303</v>
      </c>
      <c r="AI5952">
        <v>91.698516743640596</v>
      </c>
      <c r="AJ5952">
        <v>86.136588606541807</v>
      </c>
      <c r="AK5952">
        <v>37.387541759784497</v>
      </c>
      <c r="AL5952">
        <v>82.071033251223199</v>
      </c>
      <c r="AM5952">
        <v>87.655911795637806</v>
      </c>
      <c r="AN5952">
        <v>1.0000000325790099</v>
      </c>
    </row>
    <row r="5953" spans="1:40" x14ac:dyDescent="0.25">
      <c r="A5953" t="str">
        <f>"20190312164622863"</f>
        <v>20190312164622863</v>
      </c>
      <c r="B5953" t="str">
        <f>"1552380382857226"</f>
        <v>1552380382857226</v>
      </c>
      <c r="C5953" t="s">
        <v>40</v>
      </c>
      <c r="D5953">
        <v>5.210331</v>
      </c>
      <c r="E5953">
        <v>0.51493500000000003</v>
      </c>
      <c r="F5953" t="s">
        <v>92</v>
      </c>
      <c r="G5953">
        <v>-222.85470000000001</v>
      </c>
      <c r="H5953" s="1">
        <v>-1.107039E-6</v>
      </c>
      <c r="I5953">
        <v>-63.821010000000001</v>
      </c>
      <c r="J5953">
        <v>-255.9657</v>
      </c>
      <c r="K5953">
        <v>1.1081650000000001</v>
      </c>
      <c r="L5953">
        <v>-62.044249999999998</v>
      </c>
      <c r="M5953">
        <v>0.99984720000000005</v>
      </c>
      <c r="N5953">
        <v>0</v>
      </c>
      <c r="O5953">
        <v>1.5502449999999999E-2</v>
      </c>
      <c r="P5953">
        <v>0.99123709999999998</v>
      </c>
      <c r="Q5953">
        <v>0.1294708</v>
      </c>
      <c r="R5953">
        <v>-2.61985E-2</v>
      </c>
      <c r="S5953">
        <v>3.0357970000000001</v>
      </c>
      <c r="T5953">
        <v>-0.10108689999999999</v>
      </c>
      <c r="U5953">
        <v>-0.1618347</v>
      </c>
      <c r="V5953">
        <v>4.1562580000000002E-2</v>
      </c>
      <c r="W5953">
        <v>0.1374716</v>
      </c>
      <c r="X5953">
        <v>0.98963330000000005</v>
      </c>
      <c r="Y5953">
        <v>6.8661269999999996E-2</v>
      </c>
      <c r="Z5953">
        <v>-1.657775E-3</v>
      </c>
      <c r="AA5953">
        <v>0.99763860000000004</v>
      </c>
      <c r="AB5953">
        <v>33</v>
      </c>
      <c r="AC5953">
        <v>33.110999999999898</v>
      </c>
      <c r="AD5953">
        <v>-1.1081661070389901</v>
      </c>
      <c r="AE5953">
        <v>-1.7767599999999999</v>
      </c>
      <c r="AF5953">
        <v>2.2873101328438099</v>
      </c>
      <c r="AG5953">
        <v>-1.1081661070389901</v>
      </c>
      <c r="AH5953">
        <v>33.042570327988898</v>
      </c>
      <c r="AI5953">
        <v>91.916256544473796</v>
      </c>
      <c r="AJ5953">
        <v>86.040123792304797</v>
      </c>
      <c r="AK5953">
        <v>33.1401761257343</v>
      </c>
      <c r="AL5953">
        <v>82.098434897468707</v>
      </c>
      <c r="AM5953">
        <v>87.595107404315399</v>
      </c>
      <c r="AN5953">
        <v>0.999999978665853</v>
      </c>
    </row>
    <row r="5954" spans="1:40" x14ac:dyDescent="0.25">
      <c r="A5954" t="str">
        <f>"20190312164622874"</f>
        <v>20190312164622874</v>
      </c>
      <c r="B5954" t="str">
        <f>"1552380382866986"</f>
        <v>1552380382866986</v>
      </c>
      <c r="C5954" t="s">
        <v>40</v>
      </c>
      <c r="D5954">
        <v>5.0877319999999999</v>
      </c>
      <c r="E5954">
        <v>0.51491600000000004</v>
      </c>
      <c r="F5954" t="s">
        <v>92</v>
      </c>
      <c r="G5954">
        <v>-224.3921</v>
      </c>
      <c r="H5954" s="1">
        <v>-1.7565400000000001E-6</v>
      </c>
      <c r="I5954">
        <v>-63.775840000000002</v>
      </c>
      <c r="J5954">
        <v>-255.8021</v>
      </c>
      <c r="K5954">
        <v>1.1081570000000001</v>
      </c>
      <c r="L5954">
        <v>-62.041719999999998</v>
      </c>
      <c r="M5954">
        <v>0.9998475</v>
      </c>
      <c r="N5954">
        <v>0</v>
      </c>
      <c r="O5954">
        <v>1.550373E-2</v>
      </c>
      <c r="P5954">
        <v>0.99128559999999999</v>
      </c>
      <c r="Q5954">
        <v>0.12892919999999999</v>
      </c>
      <c r="R5954">
        <v>-2.7027849999999999E-2</v>
      </c>
      <c r="S5954">
        <v>3.0360260000000001</v>
      </c>
      <c r="T5954">
        <v>-0.106558</v>
      </c>
      <c r="U5954">
        <v>-0.16650390000000001</v>
      </c>
      <c r="V5954">
        <v>4.2394479999999998E-2</v>
      </c>
      <c r="W5954">
        <v>0.13690189999999999</v>
      </c>
      <c r="X5954">
        <v>0.98967700000000003</v>
      </c>
      <c r="Y5954">
        <v>7.0182209999999995E-2</v>
      </c>
      <c r="Z5954">
        <v>-1.77395E-3</v>
      </c>
      <c r="AA5954">
        <v>0.99753259999999999</v>
      </c>
      <c r="AB5954">
        <v>33</v>
      </c>
      <c r="AC5954">
        <v>31.41</v>
      </c>
      <c r="AD5954">
        <v>-1.10815875654</v>
      </c>
      <c r="AE5954">
        <v>-1.7341200000000001</v>
      </c>
      <c r="AF5954">
        <v>2.2181468954084398</v>
      </c>
      <c r="AG5954">
        <v>-1.10815875654</v>
      </c>
      <c r="AH5954">
        <v>31.340447172117301</v>
      </c>
      <c r="AI5954">
        <v>92.020014147514701</v>
      </c>
      <c r="AJ5954">
        <v>85.951593089986503</v>
      </c>
      <c r="AK5954">
        <v>31.438381326454799</v>
      </c>
      <c r="AL5954">
        <v>82.131387983381302</v>
      </c>
      <c r="AM5954">
        <v>87.547138436228494</v>
      </c>
      <c r="AN5954">
        <v>0.99999999324354005</v>
      </c>
    </row>
    <row r="5955" spans="1:40" x14ac:dyDescent="0.25">
      <c r="A5955" t="str">
        <f>"20190312164622885"</f>
        <v>20190312164622885</v>
      </c>
      <c r="B5955" t="str">
        <f>"1552380382877722"</f>
        <v>1552380382877722</v>
      </c>
      <c r="C5955" t="s">
        <v>40</v>
      </c>
      <c r="D5955">
        <v>5.1718099999999998</v>
      </c>
      <c r="E5955">
        <v>0.51528969999999996</v>
      </c>
      <c r="F5955" t="s">
        <v>92</v>
      </c>
      <c r="G5955">
        <v>-224.20650000000001</v>
      </c>
      <c r="H5955" s="1">
        <v>-1.6816619999999999E-6</v>
      </c>
      <c r="I5955">
        <v>-63.797289999999997</v>
      </c>
      <c r="J5955">
        <v>-255.63419999999999</v>
      </c>
      <c r="K5955">
        <v>1.108147</v>
      </c>
      <c r="L5955">
        <v>-62.039090000000002</v>
      </c>
      <c r="M5955">
        <v>0.99984779999999995</v>
      </c>
      <c r="N5955">
        <v>0</v>
      </c>
      <c r="O5955">
        <v>1.550383E-2</v>
      </c>
      <c r="P5955">
        <v>0.9913206</v>
      </c>
      <c r="Q5955">
        <v>0.12845480000000001</v>
      </c>
      <c r="R5955">
        <v>-2.798256E-2</v>
      </c>
      <c r="S5955">
        <v>3.0356290000000001</v>
      </c>
      <c r="T5955">
        <v>-0.10646890000000001</v>
      </c>
      <c r="U5955">
        <v>-0.16867070000000001</v>
      </c>
      <c r="V5955">
        <v>4.3350479999999997E-2</v>
      </c>
      <c r="W5955">
        <v>0.13639889999999999</v>
      </c>
      <c r="X5955">
        <v>0.98970499999999995</v>
      </c>
      <c r="Y5955">
        <v>7.0898909999999996E-2</v>
      </c>
      <c r="Z5955">
        <v>-1.785224E-3</v>
      </c>
      <c r="AA5955">
        <v>0.99748190000000003</v>
      </c>
      <c r="AB5955">
        <v>33</v>
      </c>
      <c r="AC5955">
        <v>31.427699999999898</v>
      </c>
      <c r="AD5955">
        <v>-1.1081486816619901</v>
      </c>
      <c r="AE5955">
        <v>-1.7582</v>
      </c>
      <c r="AF5955">
        <v>2.2424746408593101</v>
      </c>
      <c r="AG5955">
        <v>-1.1081486816619901</v>
      </c>
      <c r="AH5955">
        <v>31.357797649535801</v>
      </c>
      <c r="AI5955">
        <v>92.0187738621877</v>
      </c>
      <c r="AJ5955">
        <v>85.909598657519894</v>
      </c>
      <c r="AK5955">
        <v>31.457402299694099</v>
      </c>
      <c r="AL5955">
        <v>82.160480372222096</v>
      </c>
      <c r="AM5955">
        <v>87.491966871865301</v>
      </c>
      <c r="AN5955">
        <v>0.99999995553121901</v>
      </c>
    </row>
    <row r="5956" spans="1:40" x14ac:dyDescent="0.25">
      <c r="A5956" t="str">
        <f>"20190312164622897"</f>
        <v>20190312164622897</v>
      </c>
      <c r="B5956" t="str">
        <f>"1552380382887483"</f>
        <v>1552380382887483</v>
      </c>
      <c r="C5956" t="s">
        <v>40</v>
      </c>
      <c r="D5956">
        <v>5.086614</v>
      </c>
      <c r="E5956">
        <v>0.51523359999999996</v>
      </c>
      <c r="F5956" t="s">
        <v>92</v>
      </c>
      <c r="G5956">
        <v>-224.76679999999999</v>
      </c>
      <c r="H5956" s="1">
        <v>-1.9251730000000001E-6</v>
      </c>
      <c r="I5956">
        <v>-63.811399999999999</v>
      </c>
      <c r="J5956">
        <v>-255.47110000000001</v>
      </c>
      <c r="K5956">
        <v>1.108139</v>
      </c>
      <c r="L5956">
        <v>-62.036589999999997</v>
      </c>
      <c r="M5956">
        <v>0.99984790000000001</v>
      </c>
      <c r="N5956">
        <v>0</v>
      </c>
      <c r="O5956">
        <v>1.550321E-2</v>
      </c>
      <c r="P5956">
        <v>0.99133419999999906</v>
      </c>
      <c r="Q5956">
        <v>0.12816730000000001</v>
      </c>
      <c r="R5956">
        <v>-2.8804509999999998E-2</v>
      </c>
      <c r="S5956">
        <v>3.0354610000000002</v>
      </c>
      <c r="T5956">
        <v>-0.10897370000000001</v>
      </c>
      <c r="U5956">
        <v>-0.17428589999999999</v>
      </c>
      <c r="V5956">
        <v>4.4172320000000001E-2</v>
      </c>
      <c r="W5956">
        <v>0.1360838</v>
      </c>
      <c r="X5956">
        <v>0.98971209999999998</v>
      </c>
      <c r="Y5956">
        <v>7.2736850000000006E-2</v>
      </c>
      <c r="Z5956">
        <v>-1.8601360000000001E-3</v>
      </c>
      <c r="AA5956">
        <v>0.99734940000000005</v>
      </c>
      <c r="AB5956">
        <v>33</v>
      </c>
      <c r="AC5956">
        <v>30.7043</v>
      </c>
      <c r="AD5956">
        <v>-1.1081409251729999</v>
      </c>
      <c r="AE5956">
        <v>-1.77480999999999</v>
      </c>
      <c r="AF5956">
        <v>2.2477091042506698</v>
      </c>
      <c r="AG5956">
        <v>-1.1081409251729999</v>
      </c>
      <c r="AH5956">
        <v>30.633325226214701</v>
      </c>
      <c r="AI5956">
        <v>92.066185069759996</v>
      </c>
      <c r="AJ5956">
        <v>85.803463378149402</v>
      </c>
      <c r="AK5956">
        <v>30.735659858581499</v>
      </c>
      <c r="AL5956">
        <v>82.178704687244306</v>
      </c>
      <c r="AM5956">
        <v>87.444500244613593</v>
      </c>
      <c r="AN5956">
        <v>1.00000001768151</v>
      </c>
    </row>
    <row r="5957" spans="1:40" x14ac:dyDescent="0.25">
      <c r="A5957" t="str">
        <f>"20190312164622907"</f>
        <v>20190312164622907</v>
      </c>
      <c r="B5957" t="str">
        <f>"1552380382897243"</f>
        <v>1552380382897243</v>
      </c>
      <c r="C5957" t="s">
        <v>40</v>
      </c>
      <c r="D5957">
        <v>5.1089719999999996</v>
      </c>
      <c r="E5957">
        <v>0.51532449999999996</v>
      </c>
      <c r="F5957" t="s">
        <v>92</v>
      </c>
      <c r="G5957">
        <v>-224.4838</v>
      </c>
      <c r="H5957" s="1">
        <v>-1.809094E-6</v>
      </c>
      <c r="I5957">
        <v>-63.835279999999997</v>
      </c>
      <c r="J5957">
        <v>-255.30459999999999</v>
      </c>
      <c r="K5957">
        <v>1.1081299999999901</v>
      </c>
      <c r="L5957">
        <v>-62.033999999999999</v>
      </c>
      <c r="M5957">
        <v>0.99984819999999996</v>
      </c>
      <c r="N5957">
        <v>0</v>
      </c>
      <c r="O5957">
        <v>1.550236E-2</v>
      </c>
      <c r="P5957">
        <v>0.9913653</v>
      </c>
      <c r="Q5957">
        <v>0.12773039999999999</v>
      </c>
      <c r="R5957">
        <v>-2.9664349999999999E-2</v>
      </c>
      <c r="S5957">
        <v>3.0351409999999999</v>
      </c>
      <c r="T5957">
        <v>-0.1085402</v>
      </c>
      <c r="U5957">
        <v>-0.176178</v>
      </c>
      <c r="V5957">
        <v>4.5032210000000003E-2</v>
      </c>
      <c r="W5957">
        <v>0.1356194</v>
      </c>
      <c r="X5957">
        <v>0.98973710000000004</v>
      </c>
      <c r="Y5957">
        <v>7.3361739999999995E-2</v>
      </c>
      <c r="Z5957">
        <v>-1.864033E-3</v>
      </c>
      <c r="AA5957">
        <v>0.99730370000000002</v>
      </c>
      <c r="AB5957">
        <v>33</v>
      </c>
      <c r="AC5957">
        <v>30.820799999999899</v>
      </c>
      <c r="AD5957">
        <v>-1.10813180909399</v>
      </c>
      <c r="AE5957">
        <v>-1.80128</v>
      </c>
      <c r="AF5957">
        <v>2.2759417011944998</v>
      </c>
      <c r="AG5957">
        <v>-1.10813180909399</v>
      </c>
      <c r="AH5957">
        <v>30.749556699176399</v>
      </c>
      <c r="AI5957">
        <v>92.058268234478703</v>
      </c>
      <c r="AJ5957">
        <v>85.766946863642005</v>
      </c>
      <c r="AK5957">
        <v>30.853575221186698</v>
      </c>
      <c r="AL5957">
        <v>82.205561886675</v>
      </c>
      <c r="AM5957">
        <v>87.394886655745395</v>
      </c>
      <c r="AN5957">
        <v>1.0000000243551199</v>
      </c>
    </row>
    <row r="5958" spans="1:40" x14ac:dyDescent="0.25">
      <c r="A5958" t="str">
        <f>"20190312164622918"</f>
        <v>20190312164622918</v>
      </c>
      <c r="B5958" t="str">
        <f>"1552380382907002"</f>
        <v>1552380382907002</v>
      </c>
      <c r="C5958" t="s">
        <v>40</v>
      </c>
      <c r="D5958">
        <v>5.1082239999999999</v>
      </c>
      <c r="E5958">
        <v>0.51529219999999998</v>
      </c>
      <c r="F5958" t="s">
        <v>92</v>
      </c>
      <c r="G5958">
        <v>-224.3186</v>
      </c>
      <c r="H5958" s="1">
        <v>-1.744891E-6</v>
      </c>
      <c r="I5958">
        <v>-63.86524</v>
      </c>
      <c r="J5958">
        <v>-255.1472</v>
      </c>
      <c r="K5958">
        <v>1.108125</v>
      </c>
      <c r="L5958">
        <v>-62.031559999999999</v>
      </c>
      <c r="M5958">
        <v>0.99984839999999997</v>
      </c>
      <c r="N5958">
        <v>0</v>
      </c>
      <c r="O5958">
        <v>1.550145E-2</v>
      </c>
      <c r="P5958">
        <v>0.99138020000000004</v>
      </c>
      <c r="Q5958">
        <v>0.12740389999999999</v>
      </c>
      <c r="R5958">
        <v>-3.0559599999999999E-2</v>
      </c>
      <c r="S5958">
        <v>3.0347599999999999</v>
      </c>
      <c r="T5958">
        <v>-0.10853</v>
      </c>
      <c r="U5958">
        <v>-0.17935179999999901</v>
      </c>
      <c r="V5958">
        <v>4.5926939999999999E-2</v>
      </c>
      <c r="W5958">
        <v>0.13526649999999901</v>
      </c>
      <c r="X5958">
        <v>0.98974419999999996</v>
      </c>
      <c r="Y5958">
        <v>7.4406819999999999E-2</v>
      </c>
      <c r="Z5958">
        <v>-1.882669E-3</v>
      </c>
      <c r="AA5958">
        <v>0.99722619999999895</v>
      </c>
      <c r="AB5958">
        <v>33</v>
      </c>
      <c r="AC5958">
        <v>30.828599999999899</v>
      </c>
      <c r="AD5958">
        <v>-1.1081267448909999</v>
      </c>
      <c r="AE5958">
        <v>-1.83368</v>
      </c>
      <c r="AF5958">
        <v>2.3083907018924599</v>
      </c>
      <c r="AG5958">
        <v>-1.1081267448909999</v>
      </c>
      <c r="AH5958">
        <v>30.756871388465601</v>
      </c>
      <c r="AI5958">
        <v>92.057611664715793</v>
      </c>
      <c r="AJ5958">
        <v>85.707835822018893</v>
      </c>
      <c r="AK5958">
        <v>30.863275103623401</v>
      </c>
      <c r="AL5958">
        <v>82.225969005410207</v>
      </c>
      <c r="AM5958">
        <v>87.343218999408194</v>
      </c>
      <c r="AN5958">
        <v>0.99999994563682504</v>
      </c>
    </row>
    <row r="5959" spans="1:40" x14ac:dyDescent="0.25">
      <c r="A5959" t="str">
        <f>"20190312164622928"</f>
        <v>20190312164622928</v>
      </c>
      <c r="B5959" t="str">
        <f>"1552380382917738"</f>
        <v>1552380382917738</v>
      </c>
      <c r="C5959" t="s">
        <v>40</v>
      </c>
      <c r="D5959">
        <v>5.2256199999999904</v>
      </c>
      <c r="E5959">
        <v>0.51547189999999998</v>
      </c>
      <c r="F5959" t="s">
        <v>92</v>
      </c>
      <c r="G5959">
        <v>-224.39850000000001</v>
      </c>
      <c r="H5959" s="1">
        <v>-1.780557E-6</v>
      </c>
      <c r="I5959">
        <v>-63.871470000000002</v>
      </c>
      <c r="J5959">
        <v>-254.9862</v>
      </c>
      <c r="K5959">
        <v>1.1081179999999999</v>
      </c>
      <c r="L5959">
        <v>-62.029049999999998</v>
      </c>
      <c r="M5959">
        <v>0.99984870000000003</v>
      </c>
      <c r="N5959">
        <v>0</v>
      </c>
      <c r="O5959">
        <v>1.5500180000000001E-2</v>
      </c>
      <c r="P5959">
        <v>0.99138020000000004</v>
      </c>
      <c r="Q5959">
        <v>0.1271794</v>
      </c>
      <c r="R5959">
        <v>-3.1476200000000003E-2</v>
      </c>
      <c r="S5959">
        <v>3.0345610000000001</v>
      </c>
      <c r="T5959">
        <v>-0.1093602</v>
      </c>
      <c r="U5959">
        <v>-0.18157960000000001</v>
      </c>
      <c r="V5959">
        <v>4.6842429999999997E-2</v>
      </c>
      <c r="W5959">
        <v>0.13501469999999999</v>
      </c>
      <c r="X5959">
        <v>0.9897357</v>
      </c>
      <c r="Y5959">
        <v>7.5137519999999999E-2</v>
      </c>
      <c r="Z5959">
        <v>-1.9102489999999999E-3</v>
      </c>
      <c r="AA5959">
        <v>0.99717129999999998</v>
      </c>
      <c r="AB5959">
        <v>33</v>
      </c>
      <c r="AC5959">
        <v>30.587699999999899</v>
      </c>
      <c r="AD5959">
        <v>-1.108119780557</v>
      </c>
      <c r="AE5959">
        <v>-1.84241999999999</v>
      </c>
      <c r="AF5959">
        <v>2.3133031789852998</v>
      </c>
      <c r="AG5959">
        <v>-1.108119780557</v>
      </c>
      <c r="AH5959">
        <v>30.515561294913301</v>
      </c>
      <c r="AI5959">
        <v>92.073738362287997</v>
      </c>
      <c r="AJ5959">
        <v>85.6648516730952</v>
      </c>
      <c r="AK5959">
        <v>30.623173940491199</v>
      </c>
      <c r="AL5959">
        <v>82.240529840303793</v>
      </c>
      <c r="AM5959">
        <v>87.290314670390799</v>
      </c>
      <c r="AN5959">
        <v>0.999999969159441</v>
      </c>
    </row>
    <row r="5960" spans="1:40" x14ac:dyDescent="0.25">
      <c r="A5960" t="str">
        <f>"20190312164622940"</f>
        <v>20190312164622940</v>
      </c>
      <c r="B5960" t="str">
        <f>"1552380382937259"</f>
        <v>1552380382937259</v>
      </c>
      <c r="C5960" t="s">
        <v>40</v>
      </c>
      <c r="D5960">
        <v>5.1849290000000003</v>
      </c>
      <c r="E5960">
        <v>0.51550479999999999</v>
      </c>
      <c r="F5960" t="s">
        <v>92</v>
      </c>
      <c r="G5960">
        <v>-224.3878</v>
      </c>
      <c r="H5960" s="1">
        <v>-1.7825450000000001E-6</v>
      </c>
      <c r="I5960">
        <v>-63.90108</v>
      </c>
      <c r="J5960">
        <v>-254.81809999999999</v>
      </c>
      <c r="K5960">
        <v>1.1081160000000001</v>
      </c>
      <c r="L5960">
        <v>-62.02646</v>
      </c>
      <c r="M5960">
        <v>0.99984870000000003</v>
      </c>
      <c r="N5960">
        <v>0</v>
      </c>
      <c r="O5960">
        <v>1.549944E-2</v>
      </c>
      <c r="P5960">
        <v>0.99142660000000005</v>
      </c>
      <c r="Q5960">
        <v>0.1266862</v>
      </c>
      <c r="R5960">
        <v>-3.1995410000000002E-2</v>
      </c>
      <c r="S5960">
        <v>3.0342709999999999</v>
      </c>
      <c r="T5960">
        <v>-0.1098861</v>
      </c>
      <c r="U5960">
        <v>-0.18563840000000001</v>
      </c>
      <c r="V5960">
        <v>4.7361769999999997E-2</v>
      </c>
      <c r="W5960">
        <v>0.134494899999999</v>
      </c>
      <c r="X5960">
        <v>0.98978180000000004</v>
      </c>
      <c r="Y5960">
        <v>7.6469969999999998E-2</v>
      </c>
      <c r="Z5960">
        <v>-1.9436049999999999E-3</v>
      </c>
      <c r="AA5960">
        <v>0.99707000000000001</v>
      </c>
      <c r="AB5960">
        <v>33</v>
      </c>
      <c r="AC5960">
        <v>30.4302999999999</v>
      </c>
      <c r="AD5960">
        <v>-1.1081177825449999</v>
      </c>
      <c r="AE5960">
        <v>-1.87462</v>
      </c>
      <c r="AF5960">
        <v>2.3429669706481402</v>
      </c>
      <c r="AG5960">
        <v>-1.1081177825449999</v>
      </c>
      <c r="AH5960">
        <v>30.357484609358401</v>
      </c>
      <c r="AI5960">
        <v>92.084306145658303</v>
      </c>
      <c r="AJ5960">
        <v>85.586705366512703</v>
      </c>
      <c r="AK5960">
        <v>30.467922329114799</v>
      </c>
      <c r="AL5960">
        <v>82.270586678608097</v>
      </c>
      <c r="AM5960">
        <v>87.260445436172901</v>
      </c>
      <c r="AN5960">
        <v>1.0000000134973901</v>
      </c>
    </row>
    <row r="5961" spans="1:40" x14ac:dyDescent="0.25">
      <c r="A5961" t="str">
        <f>"20190312164622951"</f>
        <v>20190312164622951</v>
      </c>
      <c r="B5961" t="str">
        <f>"1552380382947018"</f>
        <v>1552380382947018</v>
      </c>
      <c r="C5961" t="s">
        <v>40</v>
      </c>
      <c r="D5961">
        <v>5.2154629999999997</v>
      </c>
      <c r="E5961">
        <v>0.5157467</v>
      </c>
      <c r="F5961" t="s">
        <v>92</v>
      </c>
      <c r="G5961">
        <v>-226.45050000000001</v>
      </c>
      <c r="H5961" s="1">
        <v>-2.6389249999999999E-6</v>
      </c>
      <c r="I5961">
        <v>-63.772959999999998</v>
      </c>
      <c r="J5961">
        <v>-254.64940000000001</v>
      </c>
      <c r="K5961">
        <v>1.1081080000000001</v>
      </c>
      <c r="L5961">
        <v>-62.023829999999997</v>
      </c>
      <c r="M5961">
        <v>0.99984910000000005</v>
      </c>
      <c r="N5961">
        <v>0</v>
      </c>
      <c r="O5961">
        <v>1.549853E-2</v>
      </c>
      <c r="P5961">
        <v>0.99142439999999998</v>
      </c>
      <c r="Q5961">
        <v>0.1265076</v>
      </c>
      <c r="R5961">
        <v>-3.2768159999999998E-2</v>
      </c>
      <c r="S5961">
        <v>3.0350799999999998</v>
      </c>
      <c r="T5961">
        <v>-0.118558399999999</v>
      </c>
      <c r="U5961">
        <v>-0.1868591</v>
      </c>
      <c r="V5961">
        <v>4.8133849999999999E-2</v>
      </c>
      <c r="W5961">
        <v>0.13428889999999999</v>
      </c>
      <c r="X5961">
        <v>0.98977250000000006</v>
      </c>
      <c r="Y5961">
        <v>7.6842279999999999E-2</v>
      </c>
      <c r="Z5961">
        <v>-2.1035279999999999E-3</v>
      </c>
      <c r="AA5961">
        <v>0.99704099999999996</v>
      </c>
      <c r="AB5961">
        <v>34</v>
      </c>
      <c r="AC5961">
        <v>28.198899999999998</v>
      </c>
      <c r="AD5961">
        <v>-1.1081106389249999</v>
      </c>
      <c r="AE5961">
        <v>-1.7491299999999901</v>
      </c>
      <c r="AF5961">
        <v>2.1826173860325202</v>
      </c>
      <c r="AG5961">
        <v>-1.1081106389249999</v>
      </c>
      <c r="AH5961">
        <v>28.1251388427733</v>
      </c>
      <c r="AI5961">
        <v>92.249489876416902</v>
      </c>
      <c r="AJ5961">
        <v>85.562524070633799</v>
      </c>
      <c r="AK5961">
        <v>28.231456972093799</v>
      </c>
      <c r="AL5961">
        <v>82.282497471929901</v>
      </c>
      <c r="AM5961">
        <v>87.215829473864702</v>
      </c>
      <c r="AN5961">
        <v>0.99999998896764097</v>
      </c>
    </row>
    <row r="5962" spans="1:40" x14ac:dyDescent="0.25">
      <c r="A5962" t="str">
        <f>"20190312164622962"</f>
        <v>20190312164622962</v>
      </c>
      <c r="B5962" t="str">
        <f>"1552380382957754"</f>
        <v>1552380382957754</v>
      </c>
      <c r="C5962" t="s">
        <v>40</v>
      </c>
      <c r="D5962">
        <v>5.1054510000000004</v>
      </c>
      <c r="E5962">
        <v>0.51565499999999997</v>
      </c>
      <c r="F5962" t="s">
        <v>92</v>
      </c>
      <c r="G5962">
        <v>-226.12610000000001</v>
      </c>
      <c r="H5962" s="1">
        <v>-2.5103049999999998E-6</v>
      </c>
      <c r="I5962">
        <v>-63.820300000000003</v>
      </c>
      <c r="J5962">
        <v>-254.46629999999999</v>
      </c>
      <c r="K5962">
        <v>1.1081019999999999</v>
      </c>
      <c r="L5962">
        <v>-62.021030000000003</v>
      </c>
      <c r="M5962">
        <v>0.99984930000000005</v>
      </c>
      <c r="N5962">
        <v>0</v>
      </c>
      <c r="O5962">
        <v>1.549799E-2</v>
      </c>
      <c r="P5962">
        <v>0.99143919999999996</v>
      </c>
      <c r="Q5962">
        <v>0.1262424</v>
      </c>
      <c r="R5962">
        <v>-3.3336449999999997E-2</v>
      </c>
      <c r="S5962">
        <v>3.0346829999999998</v>
      </c>
      <c r="T5962">
        <v>-0.1178955</v>
      </c>
      <c r="U5962">
        <v>-0.19113160000000001</v>
      </c>
      <c r="V5962">
        <v>4.8701920000000003E-2</v>
      </c>
      <c r="W5962">
        <v>0.13399449999999999</v>
      </c>
      <c r="X5962">
        <v>0.98978460000000001</v>
      </c>
      <c r="Y5962">
        <v>7.8247650000000002E-2</v>
      </c>
      <c r="Z5962">
        <v>-2.119199E-3</v>
      </c>
      <c r="AA5962">
        <v>0.99693169999999998</v>
      </c>
      <c r="AB5962">
        <v>34</v>
      </c>
      <c r="AC5962">
        <v>28.3401999999999</v>
      </c>
      <c r="AD5962">
        <v>-1.108104510305</v>
      </c>
      <c r="AE5962">
        <v>-1.7992699999999999</v>
      </c>
      <c r="AF5962">
        <v>2.2348804596043501</v>
      </c>
      <c r="AG5962">
        <v>-1.108104510305</v>
      </c>
      <c r="AH5962">
        <v>28.265870310363301</v>
      </c>
      <c r="AI5962">
        <v>92.238034451662699</v>
      </c>
      <c r="AJ5962">
        <v>85.479234141455606</v>
      </c>
      <c r="AK5962">
        <v>28.3757292536555</v>
      </c>
      <c r="AL5962">
        <v>82.299519109821802</v>
      </c>
      <c r="AM5962">
        <v>87.183058022484303</v>
      </c>
      <c r="AN5962">
        <v>0.99999997871954704</v>
      </c>
    </row>
    <row r="5963" spans="1:40" x14ac:dyDescent="0.25">
      <c r="A5963" t="str">
        <f>"20190312164622974"</f>
        <v>20190312164622974</v>
      </c>
      <c r="B5963" t="str">
        <f>"1552380382967518"</f>
        <v>1552380382967518</v>
      </c>
      <c r="C5963" t="s">
        <v>40</v>
      </c>
      <c r="D5963">
        <v>5.0557559999999997</v>
      </c>
      <c r="E5963">
        <v>0.51569790000000004</v>
      </c>
      <c r="F5963" t="s">
        <v>92</v>
      </c>
      <c r="G5963">
        <v>-226.202</v>
      </c>
      <c r="H5963" s="1">
        <v>-2.5403230000000001E-6</v>
      </c>
      <c r="I5963">
        <v>-63.808900000000001</v>
      </c>
      <c r="J5963">
        <v>-254.30439999999999</v>
      </c>
      <c r="K5963">
        <v>1.108093</v>
      </c>
      <c r="L5963">
        <v>-62.018520000000002</v>
      </c>
      <c r="M5963">
        <v>0.99984949999999995</v>
      </c>
      <c r="N5963">
        <v>0</v>
      </c>
      <c r="O5963">
        <v>1.549761E-2</v>
      </c>
      <c r="P5963">
        <v>0.9914752</v>
      </c>
      <c r="Q5963">
        <v>0.12583859999999999</v>
      </c>
      <c r="R5963">
        <v>-3.3788749999999999E-2</v>
      </c>
      <c r="S5963">
        <v>3.0346069999999998</v>
      </c>
      <c r="T5963">
        <v>-0.1189721</v>
      </c>
      <c r="U5963">
        <v>-0.1919556</v>
      </c>
      <c r="V5963">
        <v>4.9154580000000003E-2</v>
      </c>
      <c r="W5963">
        <v>0.1335654</v>
      </c>
      <c r="X5963">
        <v>0.98982020000000004</v>
      </c>
      <c r="Y5963">
        <v>7.8516950000000002E-2</v>
      </c>
      <c r="Z5963">
        <v>-2.143828E-3</v>
      </c>
      <c r="AA5963">
        <v>0.99691050000000003</v>
      </c>
      <c r="AB5963">
        <v>34</v>
      </c>
      <c r="AC5963">
        <v>28.1023999999999</v>
      </c>
      <c r="AD5963">
        <v>-1.108095540323</v>
      </c>
      <c r="AE5963">
        <v>-1.7903800000000001</v>
      </c>
      <c r="AF5963">
        <v>2.2222571038969199</v>
      </c>
      <c r="AG5963">
        <v>-1.108095540323</v>
      </c>
      <c r="AH5963">
        <v>28.027876489693501</v>
      </c>
      <c r="AI5963">
        <v>92.256961303208797</v>
      </c>
      <c r="AJ5963">
        <v>85.466651072308295</v>
      </c>
      <c r="AK5963">
        <v>28.137664488791899</v>
      </c>
      <c r="AL5963">
        <v>82.324327577126994</v>
      </c>
      <c r="AM5963">
        <v>87.157020801415001</v>
      </c>
      <c r="AN5963">
        <v>0.99999995857008706</v>
      </c>
    </row>
    <row r="5964" spans="1:40" x14ac:dyDescent="0.25">
      <c r="A5964" t="str">
        <f>"20190312164622986"</f>
        <v>20190312164622986</v>
      </c>
      <c r="B5964" t="str">
        <f>"1552380382977275"</f>
        <v>1552380382977275</v>
      </c>
      <c r="C5964" t="s">
        <v>40</v>
      </c>
      <c r="D5964">
        <v>5.22837</v>
      </c>
      <c r="E5964">
        <v>0.5156927</v>
      </c>
      <c r="F5964" t="s">
        <v>92</v>
      </c>
      <c r="G5964">
        <v>-225.3031</v>
      </c>
      <c r="H5964" s="1">
        <v>-2.168827E-6</v>
      </c>
      <c r="I5964">
        <v>-63.872419999999998</v>
      </c>
      <c r="J5964">
        <v>-254.12620000000001</v>
      </c>
      <c r="K5964">
        <v>1.108087</v>
      </c>
      <c r="L5964">
        <v>-62.015749999999997</v>
      </c>
      <c r="M5964">
        <v>0.99984969999999995</v>
      </c>
      <c r="N5964">
        <v>0</v>
      </c>
      <c r="O5964">
        <v>1.5497530000000001E-2</v>
      </c>
      <c r="P5964">
        <v>0.99144790000000005</v>
      </c>
      <c r="Q5964">
        <v>0.12587880000000001</v>
      </c>
      <c r="R5964">
        <v>-3.4439570000000003E-2</v>
      </c>
      <c r="S5964">
        <v>3.03389</v>
      </c>
      <c r="T5964">
        <v>-0.1159201</v>
      </c>
      <c r="U5964">
        <v>-0.19393920000000001</v>
      </c>
      <c r="V5964">
        <v>4.9804870000000001E-2</v>
      </c>
      <c r="W5964">
        <v>0.13357729999999901</v>
      </c>
      <c r="X5964">
        <v>0.9897861</v>
      </c>
      <c r="Y5964">
        <v>7.9184030000000002E-2</v>
      </c>
      <c r="Z5964">
        <v>-2.1020460000000002E-3</v>
      </c>
      <c r="AA5964">
        <v>0.99685780000000002</v>
      </c>
      <c r="AB5964">
        <v>34</v>
      </c>
      <c r="AC5964">
        <v>28.8231</v>
      </c>
      <c r="AD5964">
        <v>-1.108089168827</v>
      </c>
      <c r="AE5964">
        <v>-1.85667</v>
      </c>
      <c r="AF5964">
        <v>2.2997624069181599</v>
      </c>
      <c r="AG5964">
        <v>-1.108089168827</v>
      </c>
      <c r="AH5964">
        <v>28.748549492085498</v>
      </c>
      <c r="AI5964">
        <v>92.200303910676695</v>
      </c>
      <c r="AJ5964">
        <v>85.426319453309503</v>
      </c>
      <c r="AK5964">
        <v>28.861667772899601</v>
      </c>
      <c r="AL5964">
        <v>82.323639695772499</v>
      </c>
      <c r="AM5964">
        <v>87.119373496951695</v>
      </c>
      <c r="AN5964">
        <v>0.99999997195210799</v>
      </c>
    </row>
    <row r="5965" spans="1:40" x14ac:dyDescent="0.25">
      <c r="A5965" t="str">
        <f>"20190312164622995"</f>
        <v>20190312164622995</v>
      </c>
      <c r="B5965" t="str">
        <f>"1552380382987035"</f>
        <v>1552380382987035</v>
      </c>
      <c r="C5965" t="s">
        <v>40</v>
      </c>
      <c r="D5965">
        <v>5.1446699999999996</v>
      </c>
      <c r="E5965">
        <v>0.51565640000000001</v>
      </c>
      <c r="F5965" t="s">
        <v>92</v>
      </c>
      <c r="G5965">
        <v>-224.43469999999999</v>
      </c>
      <c r="H5965" s="1">
        <v>-1.8102710000000001E-6</v>
      </c>
      <c r="I5965">
        <v>-63.93524</v>
      </c>
      <c r="J5965">
        <v>-253.96719999999999</v>
      </c>
      <c r="K5965">
        <v>1.1080810000000001</v>
      </c>
      <c r="L5965">
        <v>-62.013280000000002</v>
      </c>
      <c r="M5965">
        <v>0.99984989999999996</v>
      </c>
      <c r="N5965">
        <v>0</v>
      </c>
      <c r="O5965">
        <v>1.54977999999999E-2</v>
      </c>
      <c r="P5965">
        <v>0.99143049999999999</v>
      </c>
      <c r="Q5965">
        <v>0.12588940000000001</v>
      </c>
      <c r="R5965">
        <v>-3.4893479999999998E-2</v>
      </c>
      <c r="S5965">
        <v>3.0334469999999998</v>
      </c>
      <c r="T5965">
        <v>-0.1132084</v>
      </c>
      <c r="U5965">
        <v>-0.196106</v>
      </c>
      <c r="V5965">
        <v>5.025897E-2</v>
      </c>
      <c r="W5965">
        <v>0.1335655</v>
      </c>
      <c r="X5965">
        <v>0.9897648</v>
      </c>
      <c r="Y5965">
        <v>7.9905290000000004E-2</v>
      </c>
      <c r="Z5965">
        <v>-2.0666109999999999E-3</v>
      </c>
      <c r="AA5965">
        <v>0.99680029999999997</v>
      </c>
      <c r="AB5965">
        <v>34</v>
      </c>
      <c r="AC5965">
        <v>29.532499999999999</v>
      </c>
      <c r="AD5965">
        <v>-1.1080828102710001</v>
      </c>
      <c r="AE5965">
        <v>-1.9219599999999899</v>
      </c>
      <c r="AF5965">
        <v>2.3761006810175802</v>
      </c>
      <c r="AG5965">
        <v>-1.1080828102710001</v>
      </c>
      <c r="AH5965">
        <v>29.457869767485501</v>
      </c>
      <c r="AI5965">
        <v>92.147246477742101</v>
      </c>
      <c r="AJ5965">
        <v>85.388450122406795</v>
      </c>
      <c r="AK5965">
        <v>29.574309682541799</v>
      </c>
      <c r="AL5965">
        <v>82.324322371164698</v>
      </c>
      <c r="AM5965">
        <v>87.093091541471395</v>
      </c>
      <c r="AN5965">
        <v>1.00000003308737</v>
      </c>
    </row>
    <row r="5966" spans="1:40" x14ac:dyDescent="0.25">
      <c r="A5966" t="str">
        <f>"20190312164623006"</f>
        <v>20190312164623006</v>
      </c>
      <c r="B5966" t="str">
        <f>"1552380382996795"</f>
        <v>1552380382996795</v>
      </c>
      <c r="C5966" t="s">
        <v>40</v>
      </c>
      <c r="D5966">
        <v>5.3328499999999996</v>
      </c>
      <c r="E5966">
        <v>0.5156482</v>
      </c>
      <c r="F5966" t="s">
        <v>92</v>
      </c>
      <c r="G5966">
        <v>-223.6223</v>
      </c>
      <c r="H5966" s="1">
        <v>-1.47328E-6</v>
      </c>
      <c r="I5966">
        <v>-63.987180000000002</v>
      </c>
      <c r="J5966">
        <v>-253.80709999999999</v>
      </c>
      <c r="K5966">
        <v>1.108079</v>
      </c>
      <c r="L5966">
        <v>-62.010800000000003</v>
      </c>
      <c r="M5966">
        <v>0.99985009999999996</v>
      </c>
      <c r="N5966">
        <v>0</v>
      </c>
      <c r="O5966">
        <v>1.549788E-2</v>
      </c>
      <c r="P5966">
        <v>0.99140859999999997</v>
      </c>
      <c r="Q5966">
        <v>0.12590029999999999</v>
      </c>
      <c r="R5966">
        <v>-3.5472589999999998E-2</v>
      </c>
      <c r="S5966">
        <v>3.0330349999999999</v>
      </c>
      <c r="T5966">
        <v>-0.110755199999999</v>
      </c>
      <c r="U5966">
        <v>-0.1972961</v>
      </c>
      <c r="V5966">
        <v>5.0837859999999999E-2</v>
      </c>
      <c r="W5966">
        <v>0.13355359999999999</v>
      </c>
      <c r="X5966">
        <v>0.98973679999999997</v>
      </c>
      <c r="Y5966">
        <v>8.0306139999999998E-2</v>
      </c>
      <c r="Z5966">
        <v>-2.0294179999999998E-3</v>
      </c>
      <c r="AA5966">
        <v>0.99676819999999999</v>
      </c>
      <c r="AB5966">
        <v>34</v>
      </c>
      <c r="AC5966">
        <v>30.184799999999999</v>
      </c>
      <c r="AD5966">
        <v>-1.10808047328</v>
      </c>
      <c r="AE5966">
        <v>-1.97637999999999</v>
      </c>
      <c r="AF5966">
        <v>2.4406819113636402</v>
      </c>
      <c r="AG5966">
        <v>-1.10808047328</v>
      </c>
      <c r="AH5966">
        <v>30.110140319179301</v>
      </c>
      <c r="AI5966">
        <v>92.100701754588798</v>
      </c>
      <c r="AJ5966">
        <v>85.365823623057196</v>
      </c>
      <c r="AK5966">
        <v>30.2292130325682</v>
      </c>
      <c r="AL5966">
        <v>82.325010042699603</v>
      </c>
      <c r="AM5966">
        <v>87.059584738248205</v>
      </c>
      <c r="AN5966">
        <v>0.99999999267828898</v>
      </c>
    </row>
    <row r="5967" spans="1:40" x14ac:dyDescent="0.25">
      <c r="A5967" t="str">
        <f>"20190312164623018"</f>
        <v>20190312164623018</v>
      </c>
      <c r="B5967" t="str">
        <f>"1552380383007531"</f>
        <v>1552380383007531</v>
      </c>
      <c r="C5967" t="s">
        <v>40</v>
      </c>
      <c r="D5967">
        <v>5.2820369999999999</v>
      </c>
      <c r="E5967">
        <v>0.5156463</v>
      </c>
      <c r="F5967" t="s">
        <v>92</v>
      </c>
      <c r="G5967">
        <v>-222.76349999999999</v>
      </c>
      <c r="H5967" s="1">
        <v>-1.1187509999999999E-6</v>
      </c>
      <c r="I5967">
        <v>-64.049499999999995</v>
      </c>
      <c r="J5967">
        <v>-253.63740000000001</v>
      </c>
      <c r="K5967">
        <v>1.1080730000000001</v>
      </c>
      <c r="L5967">
        <v>-62.008180000000003</v>
      </c>
      <c r="M5967">
        <v>0.99985029999999997</v>
      </c>
      <c r="N5967">
        <v>0</v>
      </c>
      <c r="O5967">
        <v>1.5498140000000001E-2</v>
      </c>
      <c r="P5967">
        <v>0.99137160000000002</v>
      </c>
      <c r="Q5967">
        <v>0.12600929999999999</v>
      </c>
      <c r="R5967">
        <v>-3.6115010000000003E-2</v>
      </c>
      <c r="S5967">
        <v>3.0326080000000002</v>
      </c>
      <c r="T5967">
        <v>-0.10824689999999999</v>
      </c>
      <c r="U5967">
        <v>-0.19915769999999999</v>
      </c>
      <c r="V5967">
        <v>5.1479999999999998E-2</v>
      </c>
      <c r="W5967">
        <v>0.13364010000000001</v>
      </c>
      <c r="X5967">
        <v>0.98969189999999996</v>
      </c>
      <c r="Y5967">
        <v>8.0927209999999999E-2</v>
      </c>
      <c r="Z5967">
        <v>-1.9948050000000001E-3</v>
      </c>
      <c r="AA5967">
        <v>0.99671799999999999</v>
      </c>
      <c r="AB5967">
        <v>34</v>
      </c>
      <c r="AC5967">
        <v>30.873899999999999</v>
      </c>
      <c r="AD5967">
        <v>-1.1080741187509999</v>
      </c>
      <c r="AE5967">
        <v>-2.04131999999999</v>
      </c>
      <c r="AF5967">
        <v>2.5163497612380001</v>
      </c>
      <c r="AG5967">
        <v>-1.1080741187509999</v>
      </c>
      <c r="AH5967">
        <v>30.799054075750899</v>
      </c>
      <c r="AI5967">
        <v>92.053635369806102</v>
      </c>
      <c r="AJ5967">
        <v>85.329184603641295</v>
      </c>
      <c r="AK5967">
        <v>30.921539035671501</v>
      </c>
      <c r="AL5967">
        <v>82.320008889978496</v>
      </c>
      <c r="AM5967">
        <v>87.022375525895299</v>
      </c>
      <c r="AN5967">
        <v>0.99999996182680895</v>
      </c>
    </row>
    <row r="5968" spans="1:40" x14ac:dyDescent="0.25">
      <c r="A5968" t="str">
        <f>"20190312164623029"</f>
        <v>20190312164623029</v>
      </c>
      <c r="B5968" t="str">
        <f>"1552380383017291"</f>
        <v>1552380383017291</v>
      </c>
      <c r="C5968" t="s">
        <v>40</v>
      </c>
      <c r="D5968">
        <v>5.1463710000000003</v>
      </c>
      <c r="E5968">
        <v>0.51552940000000003</v>
      </c>
      <c r="F5968" t="s">
        <v>92</v>
      </c>
      <c r="G5968">
        <v>-221.76400000000001</v>
      </c>
      <c r="H5968" s="1">
        <v>-7.0641340000000004E-7</v>
      </c>
      <c r="I5968">
        <v>-64.123480000000001</v>
      </c>
      <c r="J5968">
        <v>-253.47149999999999</v>
      </c>
      <c r="K5968">
        <v>1.108069</v>
      </c>
      <c r="L5968">
        <v>-62.005650000000003</v>
      </c>
      <c r="M5968">
        <v>0.99985029999999997</v>
      </c>
      <c r="N5968">
        <v>0</v>
      </c>
      <c r="O5968">
        <v>1.549852E-2</v>
      </c>
      <c r="P5968">
        <v>0.99130850000000004</v>
      </c>
      <c r="Q5968">
        <v>0.12631869999999901</v>
      </c>
      <c r="R5968">
        <v>-3.6758970000000002E-2</v>
      </c>
      <c r="S5968">
        <v>3.032181</v>
      </c>
      <c r="T5968">
        <v>-0.1054133</v>
      </c>
      <c r="U5968">
        <v>-0.20123289999999999</v>
      </c>
      <c r="V5968">
        <v>5.2123549999999998E-2</v>
      </c>
      <c r="W5968">
        <v>0.133928399999999</v>
      </c>
      <c r="X5968">
        <v>0.98961929999999998</v>
      </c>
      <c r="Y5968">
        <v>8.1618659999999996E-2</v>
      </c>
      <c r="Z5968">
        <v>-1.9548640000000002E-3</v>
      </c>
      <c r="AA5968">
        <v>0.99666169999999998</v>
      </c>
      <c r="AB5968">
        <v>34</v>
      </c>
      <c r="AC5968">
        <v>31.7074999999999</v>
      </c>
      <c r="AD5968">
        <v>-1.1080697064134</v>
      </c>
      <c r="AE5968">
        <v>-2.1178299999999899</v>
      </c>
      <c r="AF5968">
        <v>2.6058411870732701</v>
      </c>
      <c r="AG5968">
        <v>-1.1080697064134</v>
      </c>
      <c r="AH5968">
        <v>31.632407214231101</v>
      </c>
      <c r="AI5968">
        <v>91.999458903548202</v>
      </c>
      <c r="AJ5968">
        <v>85.290673547764996</v>
      </c>
      <c r="AK5968">
        <v>31.7588950206625</v>
      </c>
      <c r="AL5968">
        <v>82.303341126212999</v>
      </c>
      <c r="AM5968">
        <v>86.984999811400101</v>
      </c>
      <c r="AN5968">
        <v>1.00000001986182</v>
      </c>
    </row>
    <row r="5969" spans="1:40" x14ac:dyDescent="0.25">
      <c r="A5969" t="str">
        <f>"20190312164623039"</f>
        <v>20190312164623039</v>
      </c>
      <c r="B5969" t="str">
        <f>"1552380383036810"</f>
        <v>1552380383036810</v>
      </c>
      <c r="C5969" t="s">
        <v>40</v>
      </c>
      <c r="D5969">
        <v>5.1247809999999996</v>
      </c>
      <c r="E5969">
        <v>0.51529020000000003</v>
      </c>
      <c r="F5969" t="s">
        <v>92</v>
      </c>
      <c r="G5969">
        <v>-221.79390000000001</v>
      </c>
      <c r="H5969" s="1">
        <v>-7.1764410000000001E-7</v>
      </c>
      <c r="I5969">
        <v>-64.116460000000004</v>
      </c>
      <c r="J5969">
        <v>-253.30080000000001</v>
      </c>
      <c r="K5969">
        <v>1.1080639999999999</v>
      </c>
      <c r="L5969">
        <v>-62.002989999999997</v>
      </c>
      <c r="M5969">
        <v>0.99985060000000003</v>
      </c>
      <c r="N5969">
        <v>0</v>
      </c>
      <c r="O5969">
        <v>1.549877E-2</v>
      </c>
      <c r="P5969">
        <v>0.99125640000000004</v>
      </c>
      <c r="Q5969">
        <v>0.12654080000000001</v>
      </c>
      <c r="R5969">
        <v>-3.7397729999999997E-2</v>
      </c>
      <c r="S5969">
        <v>3.0323329999999999</v>
      </c>
      <c r="T5969">
        <v>-0.1060696</v>
      </c>
      <c r="U5969">
        <v>-0.20205690000000001</v>
      </c>
      <c r="V5969">
        <v>5.2761780000000001E-2</v>
      </c>
      <c r="W5969">
        <v>0.1341311</v>
      </c>
      <c r="X5969">
        <v>0.98955800000000005</v>
      </c>
      <c r="Y5969">
        <v>8.1884319999999997E-2</v>
      </c>
      <c r="Z5969">
        <v>-1.9715589999999999E-3</v>
      </c>
      <c r="AA5969">
        <v>0.99663990000000002</v>
      </c>
      <c r="AB5969">
        <v>34</v>
      </c>
      <c r="AC5969">
        <v>31.506900000000002</v>
      </c>
      <c r="AD5969">
        <v>-1.1080647176441001</v>
      </c>
      <c r="AE5969">
        <v>-2.1134699999999902</v>
      </c>
      <c r="AF5969">
        <v>2.5983492401953101</v>
      </c>
      <c r="AG5969">
        <v>-1.1080647176441001</v>
      </c>
      <c r="AH5969">
        <v>31.431655977018501</v>
      </c>
      <c r="AI5969">
        <v>92.012162330292099</v>
      </c>
      <c r="AJ5969">
        <v>85.274295941604393</v>
      </c>
      <c r="AK5969">
        <v>31.558330495293198</v>
      </c>
      <c r="AL5969">
        <v>82.291621347586201</v>
      </c>
      <c r="AM5969">
        <v>86.947963127986995</v>
      </c>
      <c r="AN5969">
        <v>0.99999999638998904</v>
      </c>
    </row>
    <row r="5970" spans="1:40" x14ac:dyDescent="0.25">
      <c r="A5970" t="str">
        <f>"20190312164623052"</f>
        <v>20190312164623052</v>
      </c>
      <c r="B5970" t="str">
        <f>"1552380383047546"</f>
        <v>1552380383047546</v>
      </c>
      <c r="C5970" t="s">
        <v>40</v>
      </c>
      <c r="D5970">
        <v>5.0907749999999998</v>
      </c>
      <c r="E5970">
        <v>0.51521249999999996</v>
      </c>
      <c r="F5970" t="s">
        <v>92</v>
      </c>
      <c r="G5970">
        <v>-222.05609999999999</v>
      </c>
      <c r="H5970" s="1">
        <v>-8.2246560000000001E-7</v>
      </c>
      <c r="I5970">
        <v>-64.081950000000006</v>
      </c>
      <c r="J5970">
        <v>-253.11670000000001</v>
      </c>
      <c r="K5970">
        <v>1.108063</v>
      </c>
      <c r="L5970">
        <v>-62.000120000000003</v>
      </c>
      <c r="M5970">
        <v>0.99985080000000004</v>
      </c>
      <c r="N5970">
        <v>0</v>
      </c>
      <c r="O5970">
        <v>1.549903E-2</v>
      </c>
      <c r="P5970">
        <v>0.99118899999999999</v>
      </c>
      <c r="Q5970">
        <v>0.12685949999999999</v>
      </c>
      <c r="R5970">
        <v>-3.8094990000000002E-2</v>
      </c>
      <c r="S5970">
        <v>3.032578</v>
      </c>
      <c r="T5970">
        <v>-0.1075474</v>
      </c>
      <c r="U5970">
        <v>-0.20178219999999999</v>
      </c>
      <c r="V5970">
        <v>5.3458279999999997E-2</v>
      </c>
      <c r="W5970">
        <v>0.1344293</v>
      </c>
      <c r="X5970">
        <v>0.98948009999999997</v>
      </c>
      <c r="Y5970">
        <v>8.1787789999999999E-2</v>
      </c>
      <c r="Z5970">
        <v>-1.9971559999999999E-3</v>
      </c>
      <c r="AA5970">
        <v>0.99664779999999997</v>
      </c>
      <c r="AB5970">
        <v>34</v>
      </c>
      <c r="AC5970">
        <v>31.060600000000001</v>
      </c>
      <c r="AD5970">
        <v>-1.1080638224656001</v>
      </c>
      <c r="AE5970">
        <v>-2.0818300000000098</v>
      </c>
      <c r="AF5970">
        <v>2.55975997651263</v>
      </c>
      <c r="AG5970">
        <v>-1.1080638224656001</v>
      </c>
      <c r="AH5970">
        <v>30.985344364329301</v>
      </c>
      <c r="AI5970">
        <v>92.041128596358405</v>
      </c>
      <c r="AJ5970">
        <v>85.277407451269497</v>
      </c>
      <c r="AK5970">
        <v>31.110637118967698</v>
      </c>
      <c r="AL5970">
        <v>82.274379205424594</v>
      </c>
      <c r="AM5970">
        <v>86.907508374334796</v>
      </c>
      <c r="AN5970">
        <v>0.99999994634752698</v>
      </c>
    </row>
    <row r="5971" spans="1:40" x14ac:dyDescent="0.25">
      <c r="A5971" t="str">
        <f>"20190312164623063"</f>
        <v>20190312164623063</v>
      </c>
      <c r="B5971" t="str">
        <f>"1552380383057307"</f>
        <v>1552380383057307</v>
      </c>
      <c r="C5971" t="s">
        <v>40</v>
      </c>
      <c r="D5971">
        <v>5.0842530000000004</v>
      </c>
      <c r="E5971">
        <v>0.51503779999999999</v>
      </c>
      <c r="F5971" t="s">
        <v>92</v>
      </c>
      <c r="G5971">
        <v>-221.9348</v>
      </c>
      <c r="H5971" s="1">
        <v>-7.7142029999999998E-7</v>
      </c>
      <c r="I5971">
        <v>-64.086460000000002</v>
      </c>
      <c r="J5971">
        <v>-252.9479</v>
      </c>
      <c r="K5971">
        <v>1.108063</v>
      </c>
      <c r="L5971">
        <v>-61.997529999999998</v>
      </c>
      <c r="M5971">
        <v>0.99985089999999999</v>
      </c>
      <c r="N5971">
        <v>0</v>
      </c>
      <c r="O5971">
        <v>1.549939E-2</v>
      </c>
      <c r="P5971">
        <v>0.99110339999999997</v>
      </c>
      <c r="Q5971">
        <v>0.12743450000000001</v>
      </c>
      <c r="R5971">
        <v>-3.8403119999999999E-2</v>
      </c>
      <c r="S5971">
        <v>3.0326689999999998</v>
      </c>
      <c r="T5971">
        <v>-0.1077671</v>
      </c>
      <c r="U5971">
        <v>-0.20291139999999999</v>
      </c>
      <c r="V5971">
        <v>5.3765380000000002E-2</v>
      </c>
      <c r="W5971">
        <v>0.13498679999999999</v>
      </c>
      <c r="X5971">
        <v>0.98938760000000003</v>
      </c>
      <c r="Y5971">
        <v>8.2155119999999998E-2</v>
      </c>
      <c r="Z5971">
        <v>-2.0076790000000001E-3</v>
      </c>
      <c r="AA5971">
        <v>0.99661759999999999</v>
      </c>
      <c r="AB5971">
        <v>34</v>
      </c>
      <c r="AC5971">
        <v>31.013100000000001</v>
      </c>
      <c r="AD5971">
        <v>-1.1080637714203001</v>
      </c>
      <c r="AE5971">
        <v>-2.0889299999999902</v>
      </c>
      <c r="AF5971">
        <v>2.56611612627235</v>
      </c>
      <c r="AG5971">
        <v>-1.1080637714203001</v>
      </c>
      <c r="AH5971">
        <v>30.937681077648399</v>
      </c>
      <c r="AI5971">
        <v>92.044214572256607</v>
      </c>
      <c r="AJ5971">
        <v>85.258473513885406</v>
      </c>
      <c r="AK5971">
        <v>31.063690504467299</v>
      </c>
      <c r="AL5971">
        <v>82.242143306068698</v>
      </c>
      <c r="AM5971">
        <v>86.889487609938001</v>
      </c>
      <c r="AN5971">
        <v>0.99999998764727205</v>
      </c>
    </row>
    <row r="5972" spans="1:40" x14ac:dyDescent="0.25">
      <c r="A5972" t="str">
        <f>"20190312164623074"</f>
        <v>20190312164623074</v>
      </c>
      <c r="B5972" t="str">
        <f>"1552380383067066"</f>
        <v>1552380383067066</v>
      </c>
      <c r="C5972" t="s">
        <v>40</v>
      </c>
      <c r="D5972">
        <v>5.3269909999999996</v>
      </c>
      <c r="E5972">
        <v>0.51502159999999997</v>
      </c>
      <c r="F5972" t="s">
        <v>92</v>
      </c>
      <c r="G5972">
        <v>-221.72730000000001</v>
      </c>
      <c r="H5972" s="1">
        <v>-6.8097879999999999E-7</v>
      </c>
      <c r="I5972">
        <v>-64.079989999999995</v>
      </c>
      <c r="J5972">
        <v>-252.77780000000001</v>
      </c>
      <c r="K5972">
        <v>1.10806</v>
      </c>
      <c r="L5972">
        <v>-61.994869999999999</v>
      </c>
      <c r="M5972">
        <v>0.99985089999999999</v>
      </c>
      <c r="N5972">
        <v>0</v>
      </c>
      <c r="O5972">
        <v>1.5499809999999999E-2</v>
      </c>
      <c r="P5972">
        <v>0.9910523</v>
      </c>
      <c r="Q5972">
        <v>0.12764449999999999</v>
      </c>
      <c r="R5972">
        <v>-3.9021269999999997E-2</v>
      </c>
      <c r="S5972">
        <v>3.0329280000000001</v>
      </c>
      <c r="T5972">
        <v>-0.107643</v>
      </c>
      <c r="U5972">
        <v>-0.20230100000000001</v>
      </c>
      <c r="V5972">
        <v>5.4382979999999997E-2</v>
      </c>
      <c r="W5972">
        <v>0.13518050000000001</v>
      </c>
      <c r="X5972">
        <v>0.98932739999999997</v>
      </c>
      <c r="Y5972">
        <v>8.1950460000000003E-2</v>
      </c>
      <c r="Z5972">
        <v>-2.0015979999999998E-3</v>
      </c>
      <c r="AA5972">
        <v>0.99663440000000003</v>
      </c>
      <c r="AB5972">
        <v>34</v>
      </c>
      <c r="AC5972">
        <v>31.0505</v>
      </c>
      <c r="AD5972">
        <v>-1.1080606809788001</v>
      </c>
      <c r="AE5972">
        <v>-2.0851200000000101</v>
      </c>
      <c r="AF5972">
        <v>2.5629111462460998</v>
      </c>
      <c r="AG5972">
        <v>-1.1080606809788001</v>
      </c>
      <c r="AH5972">
        <v>30.975180821799999</v>
      </c>
      <c r="AI5972">
        <v>92.0417703957078</v>
      </c>
      <c r="AJ5972">
        <v>85.270075657121893</v>
      </c>
      <c r="AK5972">
        <v>31.100773928625799</v>
      </c>
      <c r="AL5972">
        <v>82.230942468859993</v>
      </c>
      <c r="AM5972">
        <v>86.853637638580295</v>
      </c>
      <c r="AN5972">
        <v>0.99999999024234498</v>
      </c>
    </row>
    <row r="5973" spans="1:40" x14ac:dyDescent="0.25">
      <c r="A5973" t="str">
        <f>"20190312164623084"</f>
        <v>20190312164623084</v>
      </c>
      <c r="B5973" t="str">
        <f>"1552380383076826"</f>
        <v>1552380383076826</v>
      </c>
      <c r="C5973" t="s">
        <v>40</v>
      </c>
      <c r="D5973">
        <v>5.02311</v>
      </c>
      <c r="E5973">
        <v>0.5149146</v>
      </c>
      <c r="F5973" t="s">
        <v>92</v>
      </c>
      <c r="G5973">
        <v>-220.9066</v>
      </c>
      <c r="H5973" s="1">
        <v>-3.431642E-7</v>
      </c>
      <c r="I5973">
        <v>-64.144040000000004</v>
      </c>
      <c r="J5973">
        <v>-252.6138</v>
      </c>
      <c r="K5973">
        <v>1.108058</v>
      </c>
      <c r="L5973">
        <v>-61.992339999999999</v>
      </c>
      <c r="M5973">
        <v>0.99985100000000005</v>
      </c>
      <c r="N5973">
        <v>0</v>
      </c>
      <c r="O5973">
        <v>1.550004E-2</v>
      </c>
      <c r="P5973">
        <v>0.99098710000000001</v>
      </c>
      <c r="Q5973">
        <v>0.12800839999999999</v>
      </c>
      <c r="R5973">
        <v>-3.9479970000000003E-2</v>
      </c>
      <c r="S5973">
        <v>3.0326230000000001</v>
      </c>
      <c r="T5973">
        <v>-0.10543470000000001</v>
      </c>
      <c r="U5973">
        <v>-0.20449829999999999</v>
      </c>
      <c r="V5973">
        <v>5.4840880000000002E-2</v>
      </c>
      <c r="W5973">
        <v>0.13552919999999999</v>
      </c>
      <c r="X5973">
        <v>0.98925439999999998</v>
      </c>
      <c r="Y5973">
        <v>8.2678249999999995E-2</v>
      </c>
      <c r="Z5973">
        <v>-1.9733509999999999E-3</v>
      </c>
      <c r="AA5973">
        <v>0.99657430000000002</v>
      </c>
      <c r="AB5973">
        <v>34</v>
      </c>
      <c r="AC5973">
        <v>31.7072</v>
      </c>
      <c r="AD5973">
        <v>-1.1080583431641999</v>
      </c>
      <c r="AE5973">
        <v>-2.1516999999999902</v>
      </c>
      <c r="AF5973">
        <v>2.6397095458385</v>
      </c>
      <c r="AG5973">
        <v>-1.1080583431641999</v>
      </c>
      <c r="AH5973">
        <v>31.631584882367498</v>
      </c>
      <c r="AI5973">
        <v>91.999313852220098</v>
      </c>
      <c r="AJ5973">
        <v>85.229623211978804</v>
      </c>
      <c r="AK5973">
        <v>31.760872499801799</v>
      </c>
      <c r="AL5973">
        <v>82.210777755660899</v>
      </c>
      <c r="AM5973">
        <v>86.826965786929904</v>
      </c>
      <c r="AN5973">
        <v>0.99999997704558696</v>
      </c>
    </row>
    <row r="5974" spans="1:40" x14ac:dyDescent="0.25">
      <c r="A5974" t="str">
        <f>"20190312164623097"</f>
        <v>20190312164623097</v>
      </c>
      <c r="B5974" t="str">
        <f>"1552380383087564"</f>
        <v>1552380383087564</v>
      </c>
      <c r="C5974" t="s">
        <v>40</v>
      </c>
      <c r="D5974">
        <v>5.0494349999999999</v>
      </c>
      <c r="E5974">
        <v>0.51484770000000002</v>
      </c>
      <c r="F5974" t="s">
        <v>92</v>
      </c>
      <c r="G5974">
        <v>-220.74160000000001</v>
      </c>
      <c r="H5974" s="1">
        <v>-2.729225E-7</v>
      </c>
      <c r="I5974">
        <v>-64.146609999999995</v>
      </c>
      <c r="J5974">
        <v>-252.4325</v>
      </c>
      <c r="K5974">
        <v>1.108055</v>
      </c>
      <c r="L5974">
        <v>-61.989530000000002</v>
      </c>
      <c r="M5974">
        <v>0.99985109999999999</v>
      </c>
      <c r="N5974">
        <v>0</v>
      </c>
      <c r="O5974">
        <v>1.5500399999999999E-2</v>
      </c>
      <c r="P5974">
        <v>0.99090860000000003</v>
      </c>
      <c r="Q5974">
        <v>0.1285424</v>
      </c>
      <c r="R5974">
        <v>-3.9716660000000001E-2</v>
      </c>
      <c r="S5974">
        <v>3.0327449999999998</v>
      </c>
      <c r="T5974">
        <v>-0.1054354</v>
      </c>
      <c r="U5974">
        <v>-0.20498659999999999</v>
      </c>
      <c r="V5974">
        <v>5.5076609999999998E-2</v>
      </c>
      <c r="W5974">
        <v>0.13604829999999901</v>
      </c>
      <c r="X5974">
        <v>0.98917010000000005</v>
      </c>
      <c r="Y5974">
        <v>8.2835539999999999E-2</v>
      </c>
      <c r="Z5974">
        <v>-1.9760170000000001E-3</v>
      </c>
      <c r="AA5974">
        <v>0.99656129999999998</v>
      </c>
      <c r="AB5974">
        <v>34</v>
      </c>
      <c r="AC5974">
        <v>31.690899999999999</v>
      </c>
      <c r="AD5974">
        <v>-1.1080552729224999</v>
      </c>
      <c r="AE5974">
        <v>-2.1570799999999899</v>
      </c>
      <c r="AF5974">
        <v>2.6448381507238401</v>
      </c>
      <c r="AG5974">
        <v>-1.1080552729224999</v>
      </c>
      <c r="AH5974">
        <v>31.6151841691124</v>
      </c>
      <c r="AI5974">
        <v>92.000310554535403</v>
      </c>
      <c r="AJ5974">
        <v>85.217929926383704</v>
      </c>
      <c r="AK5974">
        <v>31.744965354812901</v>
      </c>
      <c r="AL5974">
        <v>82.180757877126595</v>
      </c>
      <c r="AM5974">
        <v>86.813083736798006</v>
      </c>
      <c r="AN5974">
        <v>1.0000000298179901</v>
      </c>
    </row>
    <row r="5975" spans="1:40" x14ac:dyDescent="0.25">
      <c r="A5975" t="str">
        <f>"20190312164623108"</f>
        <v>20190312164623108</v>
      </c>
      <c r="B5975" t="str">
        <f>"1552380383097323"</f>
        <v>1552380383097323</v>
      </c>
      <c r="C5975" t="s">
        <v>40</v>
      </c>
      <c r="D5975">
        <v>5.5399830000000003</v>
      </c>
      <c r="E5975">
        <v>0.51486719999999997</v>
      </c>
      <c r="F5975" t="s">
        <v>92</v>
      </c>
      <c r="G5975">
        <v>-220.57919999999999</v>
      </c>
      <c r="H5975" s="1">
        <v>-2.0252720000000001E-7</v>
      </c>
      <c r="I5975">
        <v>-64.143330000000006</v>
      </c>
      <c r="J5975">
        <v>-252.26830000000001</v>
      </c>
      <c r="K5975">
        <v>1.1080559999999999</v>
      </c>
      <c r="L5975">
        <v>-61.9869699999999</v>
      </c>
      <c r="M5975">
        <v>0.9998513</v>
      </c>
      <c r="N5975">
        <v>0</v>
      </c>
      <c r="O5975">
        <v>1.550063E-2</v>
      </c>
      <c r="P5975">
        <v>0.99088379999999998</v>
      </c>
      <c r="Q5975">
        <v>0.12859799999999999</v>
      </c>
      <c r="R5975">
        <v>-4.0152449999999999E-2</v>
      </c>
      <c r="S5975">
        <v>3.0329739999999998</v>
      </c>
      <c r="T5975">
        <v>-0.1055056</v>
      </c>
      <c r="U5975">
        <v>-0.20507810000000001</v>
      </c>
      <c r="V5975">
        <v>5.551242E-2</v>
      </c>
      <c r="W5975">
        <v>0.1360914</v>
      </c>
      <c r="X5975">
        <v>0.98913980000000001</v>
      </c>
      <c r="Y5975">
        <v>8.2860550000000005E-2</v>
      </c>
      <c r="Z5975">
        <v>-1.9776239999999999E-3</v>
      </c>
      <c r="AA5975">
        <v>0.99655919999999998</v>
      </c>
      <c r="AB5975">
        <v>34</v>
      </c>
      <c r="AC5975">
        <v>31.6891</v>
      </c>
      <c r="AD5975">
        <v>-1.1080562025271901</v>
      </c>
      <c r="AE5975">
        <v>-2.15636000000001</v>
      </c>
      <c r="AF5975">
        <v>2.6440980383103101</v>
      </c>
      <c r="AG5975">
        <v>-1.1080562025271901</v>
      </c>
      <c r="AH5975">
        <v>31.6133925922415</v>
      </c>
      <c r="AI5975">
        <v>92.000428599750705</v>
      </c>
      <c r="AJ5975">
        <v>85.218992227537498</v>
      </c>
      <c r="AK5975">
        <v>31.743119477697</v>
      </c>
      <c r="AL5975">
        <v>82.178265175846605</v>
      </c>
      <c r="AM5975">
        <v>86.787820725828396</v>
      </c>
      <c r="AN5975">
        <v>1.0000000209361199</v>
      </c>
    </row>
    <row r="5976" spans="1:40" x14ac:dyDescent="0.25">
      <c r="A5976" t="str">
        <f>"20190312164623120"</f>
        <v>20190312164623120</v>
      </c>
      <c r="B5976" t="str">
        <f>"1552380383116844"</f>
        <v>1552380383116844</v>
      </c>
      <c r="C5976" t="s">
        <v>40</v>
      </c>
      <c r="D5976">
        <v>4.9343729999999999</v>
      </c>
      <c r="E5976">
        <v>0.51491730000000002</v>
      </c>
      <c r="F5976" t="s">
        <v>93</v>
      </c>
      <c r="G5976">
        <v>-219.92949999999999</v>
      </c>
      <c r="H5976" s="1">
        <v>-3.9139139999999999E-6</v>
      </c>
      <c r="I5976">
        <v>-64.189980000000006</v>
      </c>
      <c r="J5976">
        <v>-252.08459999999999</v>
      </c>
      <c r="K5976">
        <v>1.1080540000000001</v>
      </c>
      <c r="L5976">
        <v>-61.98413</v>
      </c>
      <c r="M5976">
        <v>0.9998513</v>
      </c>
      <c r="N5976">
        <v>0</v>
      </c>
      <c r="O5976">
        <v>1.5501030000000001E-2</v>
      </c>
      <c r="P5976">
        <v>0.99085749999999995</v>
      </c>
      <c r="Q5976">
        <v>0.1286757</v>
      </c>
      <c r="R5976">
        <v>-4.0552070000000003E-2</v>
      </c>
      <c r="S5976">
        <v>3.0327299999999999</v>
      </c>
      <c r="T5976">
        <v>-0.1039137</v>
      </c>
      <c r="U5976">
        <v>-0.20660400000000001</v>
      </c>
      <c r="V5976">
        <v>5.5911919999999997E-2</v>
      </c>
      <c r="W5976">
        <v>0.13615650000000001</v>
      </c>
      <c r="X5976">
        <v>0.98910830000000005</v>
      </c>
      <c r="Y5976">
        <v>8.3366919999999997E-2</v>
      </c>
      <c r="Z5976">
        <v>-1.9566029999999999E-3</v>
      </c>
      <c r="AA5976">
        <v>0.99651699999999999</v>
      </c>
      <c r="AB5976">
        <v>34</v>
      </c>
      <c r="AC5976">
        <v>32.155099999999997</v>
      </c>
      <c r="AD5976">
        <v>-1.1080579139139899</v>
      </c>
      <c r="AE5976">
        <v>-2.2058499999999901</v>
      </c>
      <c r="AF5976">
        <v>2.7008441878485301</v>
      </c>
      <c r="AG5976">
        <v>-1.1080579139139899</v>
      </c>
      <c r="AH5976">
        <v>32.079127681592702</v>
      </c>
      <c r="AI5976">
        <v>91.971320820045094</v>
      </c>
      <c r="AJ5976">
        <v>85.187435241054402</v>
      </c>
      <c r="AK5976">
        <v>32.211687079064198</v>
      </c>
      <c r="AL5976">
        <v>82.174499870401206</v>
      </c>
      <c r="AM5976">
        <v>86.764650112706505</v>
      </c>
      <c r="AN5976">
        <v>0.99999998220961295</v>
      </c>
    </row>
    <row r="5977" spans="1:40" x14ac:dyDescent="0.25">
      <c r="A5977" t="str">
        <f>"20190312164623130"</f>
        <v>20190312164623130</v>
      </c>
      <c r="B5977" t="str">
        <f>"1552380383127580"</f>
        <v>1552380383127580</v>
      </c>
      <c r="C5977" t="s">
        <v>40</v>
      </c>
      <c r="D5977">
        <v>5.0847540000000002</v>
      </c>
      <c r="E5977">
        <v>0.51498659999999996</v>
      </c>
      <c r="F5977" t="s">
        <v>93</v>
      </c>
      <c r="G5977">
        <v>-218.80070000000001</v>
      </c>
      <c r="H5977" s="1">
        <v>-3.5438540000000001E-6</v>
      </c>
      <c r="I5977">
        <v>-64.269300000000001</v>
      </c>
      <c r="J5977">
        <v>-251.9272</v>
      </c>
      <c r="K5977">
        <v>1.108052</v>
      </c>
      <c r="L5977">
        <v>-61.98169</v>
      </c>
      <c r="M5977">
        <v>0.99985139999999995</v>
      </c>
      <c r="N5977">
        <v>0</v>
      </c>
      <c r="O5977">
        <v>1.5501249999999999E-2</v>
      </c>
      <c r="P5977">
        <v>0.99085089999999998</v>
      </c>
      <c r="Q5977">
        <v>0.12856210000000001</v>
      </c>
      <c r="R5977">
        <v>-4.1066369999999998E-2</v>
      </c>
      <c r="S5977">
        <v>3.032257</v>
      </c>
      <c r="T5977">
        <v>-0.100947</v>
      </c>
      <c r="U5977">
        <v>-0.20819090000000001</v>
      </c>
      <c r="V5977">
        <v>5.6426249999999997E-2</v>
      </c>
      <c r="W5977">
        <v>0.13603280000000001</v>
      </c>
      <c r="X5977">
        <v>0.98909610000000003</v>
      </c>
      <c r="Y5977">
        <v>8.3899710000000002E-2</v>
      </c>
      <c r="Z5977">
        <v>-1.9099E-3</v>
      </c>
      <c r="AA5977">
        <v>0.99647240000000004</v>
      </c>
      <c r="AB5977">
        <v>34</v>
      </c>
      <c r="AC5977">
        <v>33.126499999999901</v>
      </c>
      <c r="AD5977">
        <v>-1.1080555438540001</v>
      </c>
      <c r="AE5977">
        <v>-2.2876099999999999</v>
      </c>
      <c r="AF5977">
        <v>2.7977364981511901</v>
      </c>
      <c r="AG5977">
        <v>-1.1080555438540001</v>
      </c>
      <c r="AH5977">
        <v>33.050254969684197</v>
      </c>
      <c r="AI5977">
        <v>91.9133630550958</v>
      </c>
      <c r="AJ5977">
        <v>85.161391549030498</v>
      </c>
      <c r="AK5977">
        <v>33.186962352141997</v>
      </c>
      <c r="AL5977">
        <v>82.181653822479305</v>
      </c>
      <c r="AM5977">
        <v>86.734912258281199</v>
      </c>
      <c r="AN5977">
        <v>0.999999969700055</v>
      </c>
    </row>
    <row r="5978" spans="1:40" x14ac:dyDescent="0.25">
      <c r="A5978" t="str">
        <f>"20190312164623141"</f>
        <v>20190312164623141</v>
      </c>
      <c r="B5978" t="str">
        <f>"1552380383137339"</f>
        <v>1552380383137339</v>
      </c>
      <c r="C5978" t="s">
        <v>40</v>
      </c>
      <c r="D5978">
        <v>4.8433869999999999</v>
      </c>
      <c r="E5978">
        <v>0.51503929999999998</v>
      </c>
      <c r="F5978" t="s">
        <v>93</v>
      </c>
      <c r="G5978">
        <v>-218.49</v>
      </c>
      <c r="H5978" s="1">
        <v>-3.4433449999999999E-6</v>
      </c>
      <c r="I5978">
        <v>-64.298760000000001</v>
      </c>
      <c r="J5978">
        <v>-251.74789999999999</v>
      </c>
      <c r="K5978">
        <v>1.10805</v>
      </c>
      <c r="L5978">
        <v>-61.978940000000001</v>
      </c>
      <c r="M5978">
        <v>0.99985159999999995</v>
      </c>
      <c r="N5978">
        <v>0</v>
      </c>
      <c r="O5978">
        <v>1.550141E-2</v>
      </c>
      <c r="P5978">
        <v>0.9908188</v>
      </c>
      <c r="Q5978">
        <v>0.1287016</v>
      </c>
      <c r="R5978">
        <v>-4.1405770000000001E-2</v>
      </c>
      <c r="S5978">
        <v>3.0320279999999999</v>
      </c>
      <c r="T5978">
        <v>-0.1004765</v>
      </c>
      <c r="U5978">
        <v>-0.21011350000000001</v>
      </c>
      <c r="V5978">
        <v>5.6765360000000001E-2</v>
      </c>
      <c r="W5978">
        <v>0.1361617</v>
      </c>
      <c r="X5978">
        <v>0.98905900000000002</v>
      </c>
      <c r="Y5978">
        <v>8.4533999999999998E-2</v>
      </c>
      <c r="Z5978">
        <v>-1.9116039999999999E-3</v>
      </c>
      <c r="AA5978">
        <v>0.99641880000000005</v>
      </c>
      <c r="AB5978">
        <v>34</v>
      </c>
      <c r="AC5978">
        <v>33.2578999999999</v>
      </c>
      <c r="AD5978">
        <v>-1.108053443345</v>
      </c>
      <c r="AE5978">
        <v>-2.31982</v>
      </c>
      <c r="AF5978">
        <v>2.8319718210077101</v>
      </c>
      <c r="AG5978">
        <v>-1.108053443345</v>
      </c>
      <c r="AH5978">
        <v>33.181288564462903</v>
      </c>
      <c r="AI5978">
        <v>91.905697027630694</v>
      </c>
      <c r="AJ5978">
        <v>85.121715692559604</v>
      </c>
      <c r="AK5978">
        <v>33.320350502755097</v>
      </c>
      <c r="AL5978">
        <v>82.174199350888699</v>
      </c>
      <c r="AM5978">
        <v>86.715209659323904</v>
      </c>
      <c r="AN5978">
        <v>1.0000000100619</v>
      </c>
    </row>
    <row r="5979" spans="1:40" x14ac:dyDescent="0.25">
      <c r="A5979" t="str">
        <f>"20190312164623152"</f>
        <v>20190312164623152</v>
      </c>
      <c r="B5979" t="str">
        <f>"1552380383147098"</f>
        <v>1552380383147098</v>
      </c>
      <c r="C5979" t="s">
        <v>40</v>
      </c>
      <c r="D5979">
        <v>4.9972570000000003</v>
      </c>
      <c r="E5979">
        <v>0.5150728</v>
      </c>
      <c r="F5979" t="s">
        <v>93</v>
      </c>
      <c r="G5979">
        <v>-217.88329999999999</v>
      </c>
      <c r="H5979" s="1">
        <v>-3.244176E-6</v>
      </c>
      <c r="I5979">
        <v>-64.339730000000003</v>
      </c>
      <c r="J5979">
        <v>-251.57939999999999</v>
      </c>
      <c r="K5979">
        <v>1.1080479999999999</v>
      </c>
      <c r="L5979">
        <v>-61.976320000000001</v>
      </c>
      <c r="M5979">
        <v>0.9998515</v>
      </c>
      <c r="N5979">
        <v>0</v>
      </c>
      <c r="O5979">
        <v>1.55018E-2</v>
      </c>
      <c r="P5979">
        <v>0.99078409999999995</v>
      </c>
      <c r="Q5979">
        <v>0.12881210000000001</v>
      </c>
      <c r="R5979">
        <v>-4.1888160000000001E-2</v>
      </c>
      <c r="S5979">
        <v>3.03186</v>
      </c>
      <c r="T5979">
        <v>-9.9202990000000005E-2</v>
      </c>
      <c r="U5979">
        <v>-0.21136469999999999</v>
      </c>
      <c r="V5979">
        <v>5.7247409999999999E-2</v>
      </c>
      <c r="W5979">
        <v>0.13626279999999999</v>
      </c>
      <c r="X5979">
        <v>0.98901719999999904</v>
      </c>
      <c r="Y5979">
        <v>8.4948590000000004E-2</v>
      </c>
      <c r="Z5979">
        <v>-1.894251E-3</v>
      </c>
      <c r="AA5979">
        <v>0.99638349999999998</v>
      </c>
      <c r="AB5979">
        <v>34</v>
      </c>
      <c r="AC5979">
        <v>33.696100000000001</v>
      </c>
      <c r="AD5979">
        <v>-1.108051244176</v>
      </c>
      <c r="AE5979">
        <v>-2.36341</v>
      </c>
      <c r="AF5979">
        <v>2.88238942965953</v>
      </c>
      <c r="AG5979">
        <v>-1.108051244176</v>
      </c>
      <c r="AH5979">
        <v>33.619236990682701</v>
      </c>
      <c r="AI5979">
        <v>91.880824357152605</v>
      </c>
      <c r="AJ5979">
        <v>85.099654675668802</v>
      </c>
      <c r="AK5979">
        <v>33.760761872617998</v>
      </c>
      <c r="AL5979">
        <v>82.1683515351518</v>
      </c>
      <c r="AM5979">
        <v>86.687237469106094</v>
      </c>
      <c r="AN5979">
        <v>0.99999991925568998</v>
      </c>
    </row>
    <row r="5980" spans="1:40" x14ac:dyDescent="0.25">
      <c r="A5980" t="str">
        <f>"20190312164623163"</f>
        <v>20190312164623163</v>
      </c>
      <c r="B5980" t="str">
        <f>"1552380383156859"</f>
        <v>1552380383156859</v>
      </c>
      <c r="C5980" t="s">
        <v>40</v>
      </c>
      <c r="D5980">
        <v>5.0117159999999998</v>
      </c>
      <c r="E5980">
        <v>0.5151114</v>
      </c>
      <c r="F5980" t="s">
        <v>93</v>
      </c>
      <c r="G5980">
        <v>-217.4468</v>
      </c>
      <c r="H5980" s="1">
        <v>-3.1017119999999998E-6</v>
      </c>
      <c r="I5980">
        <v>-64.37415</v>
      </c>
      <c r="J5980">
        <v>-251.39590000000001</v>
      </c>
      <c r="K5980">
        <v>1.1080449999999999</v>
      </c>
      <c r="L5980">
        <v>-61.973480000000002</v>
      </c>
      <c r="M5980">
        <v>0.99985159999999995</v>
      </c>
      <c r="N5980">
        <v>0</v>
      </c>
      <c r="O5980">
        <v>1.550201E-2</v>
      </c>
      <c r="P5980">
        <v>0.99073250000000002</v>
      </c>
      <c r="Q5980">
        <v>0.12904080000000001</v>
      </c>
      <c r="R5980">
        <v>-4.2402549999999997E-2</v>
      </c>
      <c r="S5980">
        <v>3.0316770000000002</v>
      </c>
      <c r="T5980">
        <v>-9.8417519999999994E-2</v>
      </c>
      <c r="U5980">
        <v>-0.21298220000000001</v>
      </c>
      <c r="V5980">
        <v>5.7761270000000003E-2</v>
      </c>
      <c r="W5980">
        <v>0.13648199999999999</v>
      </c>
      <c r="X5980">
        <v>0.98895719999999998</v>
      </c>
      <c r="Y5980">
        <v>8.5482489999999994E-2</v>
      </c>
      <c r="Z5980">
        <v>-1.887999E-3</v>
      </c>
      <c r="AA5980">
        <v>0.9963379</v>
      </c>
      <c r="AB5980">
        <v>34</v>
      </c>
      <c r="AC5980">
        <v>33.949100000000001</v>
      </c>
      <c r="AD5980">
        <v>-1.1080481017120001</v>
      </c>
      <c r="AE5980">
        <v>-2.4006699999999901</v>
      </c>
      <c r="AF5980">
        <v>2.9235767479132599</v>
      </c>
      <c r="AG5980">
        <v>-1.1080481017120001</v>
      </c>
      <c r="AH5980">
        <v>33.871900799392201</v>
      </c>
      <c r="AI5980">
        <v>91.866707401209297</v>
      </c>
      <c r="AJ5980">
        <v>85.066870156048594</v>
      </c>
      <c r="AK5980">
        <v>34.015889454202302</v>
      </c>
      <c r="AL5980">
        <v>82.1556746711736</v>
      </c>
      <c r="AM5980">
        <v>86.657366486438406</v>
      </c>
      <c r="AN5980">
        <v>1.00000002203392</v>
      </c>
    </row>
    <row r="5981" spans="1:40" x14ac:dyDescent="0.25">
      <c r="A5981" t="str">
        <f>"20190312164623175"</f>
        <v>20190312164623175</v>
      </c>
      <c r="B5981" t="str">
        <f>"1552380383167595"</f>
        <v>1552380383167595</v>
      </c>
      <c r="C5981" t="s">
        <v>40</v>
      </c>
      <c r="D5981">
        <v>5.017747</v>
      </c>
      <c r="E5981">
        <v>0.51515599999999995</v>
      </c>
      <c r="F5981" t="s">
        <v>93</v>
      </c>
      <c r="G5981">
        <v>-217.53370000000001</v>
      </c>
      <c r="H5981" s="1">
        <v>-3.1307240000000002E-6</v>
      </c>
      <c r="I5981">
        <v>-64.370990000000006</v>
      </c>
      <c r="J5981">
        <v>-251.2345</v>
      </c>
      <c r="K5981">
        <v>1.108039</v>
      </c>
      <c r="L5981">
        <v>-61.970979999999997</v>
      </c>
      <c r="M5981">
        <v>0.99985159999999995</v>
      </c>
      <c r="N5981">
        <v>0</v>
      </c>
      <c r="O5981">
        <v>1.550138E-2</v>
      </c>
      <c r="P5981">
        <v>0.99068480000000003</v>
      </c>
      <c r="Q5981">
        <v>0.1292402</v>
      </c>
      <c r="R5981">
        <v>-4.290368E-2</v>
      </c>
      <c r="S5981">
        <v>3.031784</v>
      </c>
      <c r="T5981">
        <v>-9.9206810000000006E-2</v>
      </c>
      <c r="U5981">
        <v>-0.21466060000000001</v>
      </c>
      <c r="V5981">
        <v>5.8261140000000003E-2</v>
      </c>
      <c r="W5981">
        <v>0.1366743</v>
      </c>
      <c r="X5981">
        <v>0.98890129999999998</v>
      </c>
      <c r="Y5981">
        <v>8.6027129999999993E-2</v>
      </c>
      <c r="Z5981">
        <v>-1.9119059999999999E-3</v>
      </c>
      <c r="AA5981">
        <v>0.99629100000000004</v>
      </c>
      <c r="AB5981">
        <v>34</v>
      </c>
      <c r="AC5981">
        <v>33.700799999999902</v>
      </c>
      <c r="AD5981">
        <v>-1.108042130724</v>
      </c>
      <c r="AE5981">
        <v>-2.40001</v>
      </c>
      <c r="AF5981">
        <v>2.91900570651657</v>
      </c>
      <c r="AG5981">
        <v>-1.108042130724</v>
      </c>
      <c r="AH5981">
        <v>33.623381976080204</v>
      </c>
      <c r="AI5981">
        <v>91.880403655743805</v>
      </c>
      <c r="AJ5981">
        <v>85.038320984177204</v>
      </c>
      <c r="AK5981">
        <v>33.768034695367298</v>
      </c>
      <c r="AL5981">
        <v>82.144552319155494</v>
      </c>
      <c r="AM5981">
        <v>86.628315408328703</v>
      </c>
      <c r="AN5981">
        <v>1.00000000292813</v>
      </c>
    </row>
    <row r="5982" spans="1:40" x14ac:dyDescent="0.25">
      <c r="A5982" t="str">
        <f>"20190312164623185"</f>
        <v>20190312164623185</v>
      </c>
      <c r="B5982" t="str">
        <f>"1552380383177355"</f>
        <v>1552380383177355</v>
      </c>
      <c r="C5982" t="s">
        <v>40</v>
      </c>
      <c r="D5982">
        <v>5.1436539999999997</v>
      </c>
      <c r="E5982">
        <v>0.51539399999999902</v>
      </c>
      <c r="F5982" t="s">
        <v>93</v>
      </c>
      <c r="G5982">
        <v>-217.6781</v>
      </c>
      <c r="H5982" s="1">
        <v>-3.178878E-6</v>
      </c>
      <c r="I5982">
        <v>-64.365290000000002</v>
      </c>
      <c r="J5982">
        <v>-251.06809999999999</v>
      </c>
      <c r="K5982">
        <v>1.1080350000000001</v>
      </c>
      <c r="L5982">
        <v>-61.968409999999999</v>
      </c>
      <c r="M5982">
        <v>0.99985190000000002</v>
      </c>
      <c r="N5982">
        <v>0</v>
      </c>
      <c r="O5982">
        <v>1.549973E-2</v>
      </c>
      <c r="P5982">
        <v>0.9906372</v>
      </c>
      <c r="Q5982">
        <v>0.1294681</v>
      </c>
      <c r="R5982">
        <v>-4.3319580000000003E-2</v>
      </c>
      <c r="S5982">
        <v>3.0319210000000001</v>
      </c>
      <c r="T5982">
        <v>-0.10011490000000001</v>
      </c>
      <c r="U5982">
        <v>-0.21633910000000001</v>
      </c>
      <c r="V5982">
        <v>5.8674780000000003E-2</v>
      </c>
      <c r="W5982">
        <v>0.13689479999999901</v>
      </c>
      <c r="X5982">
        <v>0.98884640000000001</v>
      </c>
      <c r="Y5982">
        <v>8.6569809999999997E-2</v>
      </c>
      <c r="Z5982">
        <v>-1.9381649999999999E-3</v>
      </c>
      <c r="AA5982">
        <v>0.99624389999999996</v>
      </c>
      <c r="AB5982">
        <v>35</v>
      </c>
      <c r="AC5982">
        <v>33.389999999999901</v>
      </c>
      <c r="AD5982">
        <v>-1.1080381788779901</v>
      </c>
      <c r="AE5982">
        <v>-2.3968799999999999</v>
      </c>
      <c r="AF5982">
        <v>2.91095332650751</v>
      </c>
      <c r="AG5982">
        <v>-1.1080381788779901</v>
      </c>
      <c r="AH5982">
        <v>33.312340305968497</v>
      </c>
      <c r="AI5982">
        <v>91.897848422283204</v>
      </c>
      <c r="AJ5982">
        <v>85.005972136623697</v>
      </c>
      <c r="AK5982">
        <v>33.457636116970498</v>
      </c>
      <c r="AL5982">
        <v>82.131799173900305</v>
      </c>
      <c r="AM5982">
        <v>86.604244999543795</v>
      </c>
      <c r="AN5982">
        <v>1.0000000594340199</v>
      </c>
    </row>
    <row r="5983" spans="1:40" x14ac:dyDescent="0.25">
      <c r="A5983" t="str">
        <f>"20190312164623196"</f>
        <v>20190312164623196</v>
      </c>
      <c r="B5983" t="str">
        <f>"1552380383187115"</f>
        <v>1552380383187115</v>
      </c>
      <c r="C5983" t="s">
        <v>40</v>
      </c>
      <c r="D5983">
        <v>5.072781</v>
      </c>
      <c r="E5983">
        <v>0.51551950000000002</v>
      </c>
      <c r="F5983" t="s">
        <v>93</v>
      </c>
      <c r="G5983">
        <v>-217.4213</v>
      </c>
      <c r="H5983" s="1">
        <v>-3.0985519999999998E-6</v>
      </c>
      <c r="I5983">
        <v>-64.405169999999998</v>
      </c>
      <c r="J5983">
        <v>-250.8981</v>
      </c>
      <c r="K5983">
        <v>1.108031</v>
      </c>
      <c r="L5983">
        <v>-61.965760000000003</v>
      </c>
      <c r="M5983">
        <v>0.99985190000000002</v>
      </c>
      <c r="N5983">
        <v>0</v>
      </c>
      <c r="O5983">
        <v>1.5494839999999999E-2</v>
      </c>
      <c r="P5983">
        <v>0.99056069999999996</v>
      </c>
      <c r="Q5983">
        <v>0.12985539999999901</v>
      </c>
      <c r="R5983">
        <v>-4.3906390000000003E-2</v>
      </c>
      <c r="S5983">
        <v>3.0317989999999999</v>
      </c>
      <c r="T5983">
        <v>-9.984171E-2</v>
      </c>
      <c r="U5983">
        <v>-0.21957399999999999</v>
      </c>
      <c r="V5983">
        <v>5.9256400000000001E-2</v>
      </c>
      <c r="W5983">
        <v>0.13727510000000001</v>
      </c>
      <c r="X5983">
        <v>0.9887589</v>
      </c>
      <c r="Y5983">
        <v>8.7624969999999996E-2</v>
      </c>
      <c r="Z5983">
        <v>-1.950069E-3</v>
      </c>
      <c r="AA5983">
        <v>0.99615160000000003</v>
      </c>
      <c r="AB5983">
        <v>35</v>
      </c>
      <c r="AC5983">
        <v>33.476799999999997</v>
      </c>
      <c r="AD5983">
        <v>-1.1080340985519901</v>
      </c>
      <c r="AE5983">
        <v>-2.4394100000000001</v>
      </c>
      <c r="AF5983">
        <v>2.9546295891362</v>
      </c>
      <c r="AG5983">
        <v>-1.1080340985519901</v>
      </c>
      <c r="AH5983">
        <v>33.398586079918203</v>
      </c>
      <c r="AI5983">
        <v>91.892765601556704</v>
      </c>
      <c r="AJ5983">
        <v>84.944449396837896</v>
      </c>
      <c r="AK5983">
        <v>33.547326685002197</v>
      </c>
      <c r="AL5983">
        <v>82.109801195907806</v>
      </c>
      <c r="AM5983">
        <v>86.5703614035437</v>
      </c>
      <c r="AN5983">
        <v>0.99999996817508896</v>
      </c>
    </row>
    <row r="5984" spans="1:40" x14ac:dyDescent="0.25">
      <c r="A5984" t="str">
        <f>"20190312164623207"</f>
        <v>20190312164623207</v>
      </c>
      <c r="B5984" t="str">
        <f>"1552380383196875"</f>
        <v>1552380383196875</v>
      </c>
      <c r="C5984" t="s">
        <v>40</v>
      </c>
      <c r="D5984">
        <v>5.1512039999999999</v>
      </c>
      <c r="E5984">
        <v>0.51575159999999998</v>
      </c>
      <c r="F5984" t="s">
        <v>93</v>
      </c>
      <c r="G5984">
        <v>-217.2099</v>
      </c>
      <c r="H5984" s="1">
        <v>-3.031666E-6</v>
      </c>
      <c r="I5984">
        <v>-64.433660000000003</v>
      </c>
      <c r="J5984">
        <v>-250.72630000000001</v>
      </c>
      <c r="K5984">
        <v>1.108034</v>
      </c>
      <c r="L5984">
        <v>-61.96313</v>
      </c>
      <c r="M5984">
        <v>0.99985210000000002</v>
      </c>
      <c r="N5984">
        <v>0</v>
      </c>
      <c r="O5984">
        <v>1.548834E-2</v>
      </c>
      <c r="P5984">
        <v>0.99051829999999996</v>
      </c>
      <c r="Q5984">
        <v>0.1300936</v>
      </c>
      <c r="R5984">
        <v>-4.4154279999999997E-2</v>
      </c>
      <c r="S5984">
        <v>3.0317989999999999</v>
      </c>
      <c r="T5984">
        <v>-9.9718570000000006E-2</v>
      </c>
      <c r="U5984">
        <v>-0.2221069</v>
      </c>
      <c r="V5984">
        <v>5.9498089999999997E-2</v>
      </c>
      <c r="W5984">
        <v>0.1375065</v>
      </c>
      <c r="X5984">
        <v>0.98871229999999999</v>
      </c>
      <c r="Y5984">
        <v>8.8446010000000005E-2</v>
      </c>
      <c r="Z5984">
        <v>-1.9608749999999999E-3</v>
      </c>
      <c r="AA5984">
        <v>0.99607900000000005</v>
      </c>
      <c r="AB5984">
        <v>35</v>
      </c>
      <c r="AC5984">
        <v>33.516399999999997</v>
      </c>
      <c r="AD5984">
        <v>-1.108037031666</v>
      </c>
      <c r="AE5984">
        <v>-2.4705299999999899</v>
      </c>
      <c r="AF5984">
        <v>2.9861155556063501</v>
      </c>
      <c r="AG5984">
        <v>-1.108037031666</v>
      </c>
      <c r="AH5984">
        <v>33.437766181200402</v>
      </c>
      <c r="AI5984">
        <v>91.890414795359405</v>
      </c>
      <c r="AJ5984">
        <v>84.896813556855605</v>
      </c>
      <c r="AK5984">
        <v>33.589117871173798</v>
      </c>
      <c r="AL5984">
        <v>82.096416560546601</v>
      </c>
      <c r="AM5984">
        <v>86.556244564689706</v>
      </c>
      <c r="AN5984">
        <v>1.0000000362135899</v>
      </c>
    </row>
    <row r="5985" spans="1:40" x14ac:dyDescent="0.25">
      <c r="A5985" t="str">
        <f>"20190312164623219"</f>
        <v>20190312164623219</v>
      </c>
      <c r="B5985" t="str">
        <f>"1552380383207612"</f>
        <v>1552380383207612</v>
      </c>
      <c r="C5985" t="s">
        <v>40</v>
      </c>
      <c r="D5985">
        <v>4.9445199999999998</v>
      </c>
      <c r="E5985">
        <v>0.51575680000000002</v>
      </c>
      <c r="F5985" t="s">
        <v>93</v>
      </c>
      <c r="G5985">
        <v>-216.88810000000001</v>
      </c>
      <c r="H5985" s="1">
        <v>-2.929008E-6</v>
      </c>
      <c r="I5985">
        <v>-64.472390000000004</v>
      </c>
      <c r="J5985">
        <v>-250.553</v>
      </c>
      <c r="K5985">
        <v>1.1080270000000001</v>
      </c>
      <c r="L5985">
        <v>-61.9604199999999</v>
      </c>
      <c r="M5985">
        <v>0.99985239999999997</v>
      </c>
      <c r="N5985">
        <v>0</v>
      </c>
      <c r="O5985">
        <v>1.547275E-2</v>
      </c>
      <c r="P5985">
        <v>0.99044500000000002</v>
      </c>
      <c r="Q5985">
        <v>0.13054849999999901</v>
      </c>
      <c r="R5985">
        <v>-4.4455069999999999E-2</v>
      </c>
      <c r="S5985">
        <v>3.0317539999999998</v>
      </c>
      <c r="T5985">
        <v>-9.9274989999999994E-2</v>
      </c>
      <c r="U5985">
        <v>-0.224823</v>
      </c>
      <c r="V5985">
        <v>5.978435E-2</v>
      </c>
      <c r="W5985">
        <v>0.13795569999999999</v>
      </c>
      <c r="X5985">
        <v>0.98863239999999997</v>
      </c>
      <c r="Y5985">
        <v>8.9319120000000002E-2</v>
      </c>
      <c r="Z5985">
        <v>-1.9658840000000002E-3</v>
      </c>
      <c r="AA5985">
        <v>0.99600109999999997</v>
      </c>
      <c r="AB5985">
        <v>35</v>
      </c>
      <c r="AC5985">
        <v>33.664899999999903</v>
      </c>
      <c r="AD5985">
        <v>-1.108029929008</v>
      </c>
      <c r="AE5985">
        <v>-2.51197000000001</v>
      </c>
      <c r="AF5985">
        <v>3.0293089053492701</v>
      </c>
      <c r="AG5985">
        <v>-1.108029929008</v>
      </c>
      <c r="AH5985">
        <v>33.585819543563197</v>
      </c>
      <c r="AI5985">
        <v>91.881925978931903</v>
      </c>
      <c r="AJ5985">
        <v>84.8460919606147</v>
      </c>
      <c r="AK5985">
        <v>33.740357395564097</v>
      </c>
      <c r="AL5985">
        <v>82.070431227363002</v>
      </c>
      <c r="AM5985">
        <v>86.539436993692206</v>
      </c>
      <c r="AN5985">
        <v>0.99999998299858595</v>
      </c>
    </row>
    <row r="5986" spans="1:40" x14ac:dyDescent="0.25">
      <c r="A5986" t="str">
        <f>"20190312164623231"</f>
        <v>20190312164623231</v>
      </c>
      <c r="B5986" t="str">
        <f>"1552380383227131"</f>
        <v>1552380383227131</v>
      </c>
      <c r="C5986" t="s">
        <v>40</v>
      </c>
      <c r="D5986">
        <v>5.1899059999999997</v>
      </c>
      <c r="E5986">
        <v>0.51579710000000001</v>
      </c>
      <c r="F5986" t="s">
        <v>93</v>
      </c>
      <c r="G5986">
        <v>-216.75620000000001</v>
      </c>
      <c r="H5986" s="1">
        <v>-2.8851999999999999E-6</v>
      </c>
      <c r="I5986">
        <v>-64.478390000000005</v>
      </c>
      <c r="J5986">
        <v>-250.37520000000001</v>
      </c>
      <c r="K5986">
        <v>1.1080179999999999</v>
      </c>
      <c r="L5986">
        <v>-61.957700000000003</v>
      </c>
      <c r="M5986">
        <v>0.99985259999999998</v>
      </c>
      <c r="N5986">
        <v>0</v>
      </c>
      <c r="O5986">
        <v>1.54537999999999E-2</v>
      </c>
      <c r="P5986">
        <v>0.99034900000000003</v>
      </c>
      <c r="Q5986">
        <v>0.1311737</v>
      </c>
      <c r="R5986">
        <v>-4.4749980000000002E-2</v>
      </c>
      <c r="S5986">
        <v>3.0318909999999999</v>
      </c>
      <c r="T5986">
        <v>-9.9400760000000005E-2</v>
      </c>
      <c r="U5986">
        <v>-0.22589110000000001</v>
      </c>
      <c r="V5986">
        <v>6.0061530000000002E-2</v>
      </c>
      <c r="W5986">
        <v>0.1385739</v>
      </c>
      <c r="X5986">
        <v>0.98852910000000005</v>
      </c>
      <c r="Y5986">
        <v>8.9645580000000002E-2</v>
      </c>
      <c r="Z5986">
        <v>-1.9729819999999999E-3</v>
      </c>
      <c r="AA5986">
        <v>0.99597179999999996</v>
      </c>
      <c r="AB5986">
        <v>35</v>
      </c>
      <c r="AC5986">
        <v>33.619</v>
      </c>
      <c r="AD5986">
        <v>-1.1080208852</v>
      </c>
      <c r="AE5986">
        <v>-2.5206900000000001</v>
      </c>
      <c r="AF5986">
        <v>3.0366646980758598</v>
      </c>
      <c r="AG5986">
        <v>-1.1080208852</v>
      </c>
      <c r="AH5986">
        <v>33.539801113077097</v>
      </c>
      <c r="AI5986">
        <v>91.884432945048403</v>
      </c>
      <c r="AJ5986">
        <v>84.826594760995206</v>
      </c>
      <c r="AK5986">
        <v>33.695211847907203</v>
      </c>
      <c r="AL5986">
        <v>82.034667189219405</v>
      </c>
      <c r="AM5986">
        <v>86.523069536067993</v>
      </c>
      <c r="AN5986">
        <v>0.99999994734697895</v>
      </c>
    </row>
    <row r="5987" spans="1:40" x14ac:dyDescent="0.25">
      <c r="A5987" t="str">
        <f>"20190312164623241"</f>
        <v>20190312164623241</v>
      </c>
      <c r="B5987" t="str">
        <f>"1552380383236891"</f>
        <v>1552380383236891</v>
      </c>
      <c r="C5987" t="s">
        <v>40</v>
      </c>
      <c r="D5987">
        <v>4.9295090000000004</v>
      </c>
      <c r="E5987">
        <v>0.51593129999999998</v>
      </c>
      <c r="F5987" t="s">
        <v>93</v>
      </c>
      <c r="G5987">
        <v>-215.4128</v>
      </c>
      <c r="H5987" s="1">
        <v>-2.4078079999999999E-6</v>
      </c>
      <c r="I5987">
        <v>-64.580640000000002</v>
      </c>
      <c r="J5987">
        <v>-250.19460000000001</v>
      </c>
      <c r="K5987">
        <v>1.1080099999999999</v>
      </c>
      <c r="L5987">
        <v>-61.954929999999997</v>
      </c>
      <c r="M5987">
        <v>0.9998532</v>
      </c>
      <c r="N5987">
        <v>0</v>
      </c>
      <c r="O5987">
        <v>1.542021E-2</v>
      </c>
      <c r="P5987">
        <v>0.99031020000000003</v>
      </c>
      <c r="Q5987">
        <v>0.13140450000000001</v>
      </c>
      <c r="R5987">
        <v>-4.4928740000000002E-2</v>
      </c>
      <c r="S5987">
        <v>3.0316930000000002</v>
      </c>
      <c r="T5987">
        <v>-9.6079709999999999E-2</v>
      </c>
      <c r="U5987">
        <v>-0.2274475</v>
      </c>
      <c r="V5987">
        <v>6.0210619999999999E-2</v>
      </c>
      <c r="W5987">
        <v>0.13879910000000001</v>
      </c>
      <c r="X5987">
        <v>0.98848849999999999</v>
      </c>
      <c r="Y5987">
        <v>9.0128849999999996E-2</v>
      </c>
      <c r="Z5987">
        <v>-1.913767E-3</v>
      </c>
      <c r="AA5987">
        <v>0.99592829999999999</v>
      </c>
      <c r="AB5987">
        <v>35</v>
      </c>
      <c r="AC5987">
        <v>34.781799999999997</v>
      </c>
      <c r="AD5987">
        <v>-1.108012407808</v>
      </c>
      <c r="AE5987">
        <v>-2.62570999999999</v>
      </c>
      <c r="AF5987">
        <v>3.1585682269537001</v>
      </c>
      <c r="AG5987">
        <v>-1.108012407808</v>
      </c>
      <c r="AH5987">
        <v>34.702157562015103</v>
      </c>
      <c r="AI5987">
        <v>91.821264073906406</v>
      </c>
      <c r="AJ5987">
        <v>84.799304897445793</v>
      </c>
      <c r="AK5987">
        <v>34.863218213456697</v>
      </c>
      <c r="AL5987">
        <v>82.021638789240697</v>
      </c>
      <c r="AM5987">
        <v>86.514317237961095</v>
      </c>
      <c r="AN5987">
        <v>1.0000000117769201</v>
      </c>
    </row>
    <row r="5988" spans="1:40" x14ac:dyDescent="0.25">
      <c r="A5988" t="str">
        <f>"20190312164623253"</f>
        <v>20190312164623253</v>
      </c>
      <c r="B5988" t="str">
        <f>"1552380383247627"</f>
        <v>1552380383247627</v>
      </c>
      <c r="C5988" t="s">
        <v>40</v>
      </c>
      <c r="D5988">
        <v>5.0666830000000003</v>
      </c>
      <c r="E5988">
        <v>0.51612159999999996</v>
      </c>
      <c r="F5988" t="s">
        <v>93</v>
      </c>
      <c r="G5988">
        <v>-214.505</v>
      </c>
      <c r="H5988" s="1">
        <v>-2.0383099999999999E-6</v>
      </c>
      <c r="I5988">
        <v>-64.655649999999994</v>
      </c>
      <c r="J5988">
        <v>-250.01570000000001</v>
      </c>
      <c r="K5988">
        <v>1.1079969999999999</v>
      </c>
      <c r="L5988">
        <v>-61.952210000000001</v>
      </c>
      <c r="M5988">
        <v>0.99985380000000001</v>
      </c>
      <c r="N5988">
        <v>0</v>
      </c>
      <c r="O5988">
        <v>1.5379449999999999E-2</v>
      </c>
      <c r="P5988">
        <v>0.99028669999999996</v>
      </c>
      <c r="Q5988">
        <v>0.13147979999999901</v>
      </c>
      <c r="R5988">
        <v>-4.5229489999999997E-2</v>
      </c>
      <c r="S5988">
        <v>3.0314329999999998</v>
      </c>
      <c r="T5988">
        <v>-9.411311E-2</v>
      </c>
      <c r="U5988">
        <v>-0.22940060000000001</v>
      </c>
      <c r="V5988">
        <v>6.047479E-2</v>
      </c>
      <c r="W5988">
        <v>0.13886899999999999</v>
      </c>
      <c r="X5988">
        <v>0.98846259999999997</v>
      </c>
      <c r="Y5988">
        <v>9.0734510000000004E-2</v>
      </c>
      <c r="Z5988">
        <v>-1.882852E-3</v>
      </c>
      <c r="AA5988">
        <v>0.99587329999999996</v>
      </c>
      <c r="AB5988">
        <v>35</v>
      </c>
      <c r="AC5988">
        <v>35.5107</v>
      </c>
      <c r="AD5988">
        <v>-1.10799903830999</v>
      </c>
      <c r="AE5988">
        <v>-2.7034399999999899</v>
      </c>
      <c r="AF5988">
        <v>3.2461284588822701</v>
      </c>
      <c r="AG5988">
        <v>-1.10799903830999</v>
      </c>
      <c r="AH5988">
        <v>35.430626426084203</v>
      </c>
      <c r="AI5988">
        <v>91.783724189263296</v>
      </c>
      <c r="AJ5988">
        <v>84.765216415728005</v>
      </c>
      <c r="AK5988">
        <v>35.596268073847199</v>
      </c>
      <c r="AL5988">
        <v>82.017595000707701</v>
      </c>
      <c r="AM5988">
        <v>86.498970491689704</v>
      </c>
      <c r="AN5988">
        <v>1.00000005549265</v>
      </c>
    </row>
    <row r="5989" spans="1:40" x14ac:dyDescent="0.25">
      <c r="A5989" t="str">
        <f>"20190312164623264"</f>
        <v>20190312164623264</v>
      </c>
      <c r="B5989" t="str">
        <f>"1552380383257387"</f>
        <v>1552380383257387</v>
      </c>
      <c r="C5989" t="s">
        <v>40</v>
      </c>
      <c r="D5989">
        <v>5.0693549999999998</v>
      </c>
      <c r="E5989">
        <v>0.51637250000000001</v>
      </c>
      <c r="F5989" t="s">
        <v>93</v>
      </c>
      <c r="G5989">
        <v>-213.84450000000001</v>
      </c>
      <c r="H5989" s="1">
        <v>-1.772162E-6</v>
      </c>
      <c r="I5989">
        <v>-64.720179999999999</v>
      </c>
      <c r="J5989">
        <v>-249.8329</v>
      </c>
      <c r="K5989">
        <v>1.10798</v>
      </c>
      <c r="L5989">
        <v>-61.94943</v>
      </c>
      <c r="M5989">
        <v>0.99985469999999999</v>
      </c>
      <c r="N5989">
        <v>0</v>
      </c>
      <c r="O5989">
        <v>1.532597E-2</v>
      </c>
      <c r="P5989">
        <v>0.99025560000000001</v>
      </c>
      <c r="Q5989">
        <v>0.131604</v>
      </c>
      <c r="R5989">
        <v>-4.5549300000000001E-2</v>
      </c>
      <c r="S5989">
        <v>3.031174</v>
      </c>
      <c r="T5989">
        <v>-9.2851160000000002E-2</v>
      </c>
      <c r="U5989">
        <v>-0.23196410000000001</v>
      </c>
      <c r="V5989">
        <v>6.0746609999999999E-2</v>
      </c>
      <c r="W5989">
        <v>0.13898750000000001</v>
      </c>
      <c r="X5989">
        <v>0.98842920000000001</v>
      </c>
      <c r="Y5989">
        <v>9.1525969999999998E-2</v>
      </c>
      <c r="Z5989">
        <v>-1.8681819999999999E-3</v>
      </c>
      <c r="AA5989">
        <v>0.99580089999999999</v>
      </c>
      <c r="AB5989">
        <v>35</v>
      </c>
      <c r="AC5989">
        <v>35.988399999999899</v>
      </c>
      <c r="AD5989">
        <v>-1.107981772162</v>
      </c>
      <c r="AE5989">
        <v>-2.7707499999999898</v>
      </c>
      <c r="AF5989">
        <v>3.3188697990277398</v>
      </c>
      <c r="AG5989">
        <v>-1.107981772162</v>
      </c>
      <c r="AH5989">
        <v>35.907872563738003</v>
      </c>
      <c r="AI5989">
        <v>91.7598748884744</v>
      </c>
      <c r="AJ5989">
        <v>84.719305694934903</v>
      </c>
      <c r="AK5989">
        <v>36.0779410776722</v>
      </c>
      <c r="AL5989">
        <v>82.010738354151897</v>
      </c>
      <c r="AM5989">
        <v>86.483155054248101</v>
      </c>
      <c r="AN5989">
        <v>0.99999997959769005</v>
      </c>
    </row>
    <row r="5990" spans="1:40" x14ac:dyDescent="0.25">
      <c r="A5990" t="str">
        <f>"20190312164623275"</f>
        <v>20190312164623275</v>
      </c>
      <c r="B5990" t="str">
        <f>"1552380383267147"</f>
        <v>1552380383267147</v>
      </c>
      <c r="C5990" t="s">
        <v>40</v>
      </c>
      <c r="D5990">
        <v>5.1004050000000003</v>
      </c>
      <c r="E5990">
        <v>0.51662330000000001</v>
      </c>
      <c r="F5990" t="s">
        <v>93</v>
      </c>
      <c r="G5990">
        <v>-213.0489</v>
      </c>
      <c r="H5990" s="1">
        <v>-1.4524240000000001E-6</v>
      </c>
      <c r="I5990">
        <v>-64.801259999999999</v>
      </c>
      <c r="J5990">
        <v>-249.66980000000001</v>
      </c>
      <c r="K5990">
        <v>1.107961</v>
      </c>
      <c r="L5990">
        <v>-61.94699</v>
      </c>
      <c r="M5990">
        <v>0.99985559999999996</v>
      </c>
      <c r="N5990">
        <v>0</v>
      </c>
      <c r="O5990">
        <v>1.526395E-2</v>
      </c>
      <c r="P5990">
        <v>0.99027129999999997</v>
      </c>
      <c r="Q5990">
        <v>0.13147210000000001</v>
      </c>
      <c r="R5990">
        <v>-4.5585510000000003E-2</v>
      </c>
      <c r="S5990">
        <v>3.030869</v>
      </c>
      <c r="T5990">
        <v>-9.1293689999999997E-2</v>
      </c>
      <c r="U5990">
        <v>-0.23498540000000001</v>
      </c>
      <c r="V5990">
        <v>6.0727379999999997E-2</v>
      </c>
      <c r="W5990">
        <v>0.138851</v>
      </c>
      <c r="X5990">
        <v>0.98844960000000004</v>
      </c>
      <c r="Y5990">
        <v>9.2459840000000001E-2</v>
      </c>
      <c r="Z5990">
        <v>-1.8491499999999999E-3</v>
      </c>
      <c r="AA5990">
        <v>0.99571469999999995</v>
      </c>
      <c r="AB5990">
        <v>35</v>
      </c>
      <c r="AC5990">
        <v>36.620899999999999</v>
      </c>
      <c r="AD5990">
        <v>-1.1079624524239999</v>
      </c>
      <c r="AE5990">
        <v>-2.8542700000000001</v>
      </c>
      <c r="AF5990">
        <v>3.4098302598932499</v>
      </c>
      <c r="AG5990">
        <v>-1.1079624524239999</v>
      </c>
      <c r="AH5990">
        <v>36.539819603699002</v>
      </c>
      <c r="AI5990">
        <v>91.729285032384496</v>
      </c>
      <c r="AJ5990">
        <v>84.668700604873706</v>
      </c>
      <c r="AK5990">
        <v>36.715295720831897</v>
      </c>
      <c r="AL5990">
        <v>82.018636075010207</v>
      </c>
      <c r="AM5990">
        <v>86.484337933990503</v>
      </c>
      <c r="AN5990">
        <v>1.00000001331141</v>
      </c>
    </row>
    <row r="5991" spans="1:40" x14ac:dyDescent="0.25">
      <c r="A5991" t="str">
        <f>"20190312164623285"</f>
        <v>20190312164623285</v>
      </c>
      <c r="B5991" t="str">
        <f>"1552380383276907"</f>
        <v>1552380383276907</v>
      </c>
      <c r="C5991" t="s">
        <v>40</v>
      </c>
      <c r="D5991">
        <v>5.1120619999999999</v>
      </c>
      <c r="E5991">
        <v>0.51687190000000005</v>
      </c>
      <c r="F5991" t="s">
        <v>93</v>
      </c>
      <c r="G5991">
        <v>-212.6266</v>
      </c>
      <c r="H5991" s="1">
        <v>-1.2830729999999999E-6</v>
      </c>
      <c r="I5991">
        <v>-64.84563</v>
      </c>
      <c r="J5991">
        <v>-249.50409999999999</v>
      </c>
      <c r="K5991">
        <v>1.107944</v>
      </c>
      <c r="L5991">
        <v>-61.944519999999997</v>
      </c>
      <c r="M5991">
        <v>0.99985670000000004</v>
      </c>
      <c r="N5991">
        <v>0</v>
      </c>
      <c r="O5991">
        <v>1.519298E-2</v>
      </c>
      <c r="P5991">
        <v>0.99025039999999998</v>
      </c>
      <c r="Q5991">
        <v>0.13154070000000001</v>
      </c>
      <c r="R5991">
        <v>-4.5838429999999999E-2</v>
      </c>
      <c r="S5991">
        <v>3.030624</v>
      </c>
      <c r="T5991">
        <v>-9.0645909999999996E-2</v>
      </c>
      <c r="U5991">
        <v>-0.2371521</v>
      </c>
      <c r="V5991">
        <v>6.0916190000000002E-2</v>
      </c>
      <c r="W5991">
        <v>0.13891429999999999</v>
      </c>
      <c r="X5991">
        <v>0.98842909999999995</v>
      </c>
      <c r="Y5991">
        <v>9.3103350000000001E-2</v>
      </c>
      <c r="Z5991">
        <v>-1.8436189999999999E-3</v>
      </c>
      <c r="AA5991">
        <v>0.99565479999999995</v>
      </c>
      <c r="AB5991">
        <v>35</v>
      </c>
      <c r="AC5991">
        <v>36.877499999999998</v>
      </c>
      <c r="AD5991">
        <v>-1.1079452830730001</v>
      </c>
      <c r="AE5991">
        <v>-2.9011100000000001</v>
      </c>
      <c r="AF5991">
        <v>3.45796777902537</v>
      </c>
      <c r="AG5991">
        <v>-1.1079452830730001</v>
      </c>
      <c r="AH5991">
        <v>36.796156300745501</v>
      </c>
      <c r="AI5991">
        <v>91.717113937090403</v>
      </c>
      <c r="AJ5991">
        <v>84.631320375443494</v>
      </c>
      <c r="AK5991">
        <v>36.974886104218797</v>
      </c>
      <c r="AL5991">
        <v>82.014973856813498</v>
      </c>
      <c r="AM5991">
        <v>86.473361831099893</v>
      </c>
      <c r="AN5991">
        <v>1.0000000253376999</v>
      </c>
    </row>
    <row r="5992" spans="1:40" x14ac:dyDescent="0.25">
      <c r="A5992" t="str">
        <f>"20190312164623298"</f>
        <v>20190312164623298</v>
      </c>
      <c r="B5992" t="str">
        <f>"1552380383287643"</f>
        <v>1552380383287643</v>
      </c>
      <c r="C5992" t="s">
        <v>40</v>
      </c>
      <c r="D5992">
        <v>4.8967720000000003</v>
      </c>
      <c r="E5992">
        <v>0.5169705</v>
      </c>
      <c r="F5992" t="s">
        <v>93</v>
      </c>
      <c r="G5992">
        <v>-211.82140000000001</v>
      </c>
      <c r="H5992" s="1">
        <v>-9.5997440000000001E-7</v>
      </c>
      <c r="I5992">
        <v>-64.929630000000003</v>
      </c>
      <c r="J5992">
        <v>-249.32079999999999</v>
      </c>
      <c r="K5992">
        <v>1.1079190000000001</v>
      </c>
      <c r="L5992">
        <v>-61.941800000000001</v>
      </c>
      <c r="M5992">
        <v>0.99985829999999998</v>
      </c>
      <c r="N5992">
        <v>0</v>
      </c>
      <c r="O5992">
        <v>1.509024E-2</v>
      </c>
      <c r="P5992">
        <v>0.99021079999999995</v>
      </c>
      <c r="Q5992">
        <v>0.13179489999999999</v>
      </c>
      <c r="R5992">
        <v>-4.5963759999999999E-2</v>
      </c>
      <c r="S5992">
        <v>3.030243</v>
      </c>
      <c r="T5992">
        <v>-8.9094999999999994E-2</v>
      </c>
      <c r="U5992">
        <v>-0.2400513</v>
      </c>
      <c r="V5992">
        <v>6.0947420000000002E-2</v>
      </c>
      <c r="W5992">
        <v>0.13916319999999999</v>
      </c>
      <c r="X5992">
        <v>0.9883921</v>
      </c>
      <c r="Y5992">
        <v>9.3958780000000006E-2</v>
      </c>
      <c r="Z5992">
        <v>-1.8217870000000001E-3</v>
      </c>
      <c r="AA5992">
        <v>0.99557439999999997</v>
      </c>
      <c r="AB5992">
        <v>35</v>
      </c>
      <c r="AC5992">
        <v>37.499399999999902</v>
      </c>
      <c r="AD5992">
        <v>-1.1079199599743901</v>
      </c>
      <c r="AE5992">
        <v>-2.9878300000000002</v>
      </c>
      <c r="AF5992">
        <v>3.5503009368178802</v>
      </c>
      <c r="AG5992">
        <v>-1.1079199599743901</v>
      </c>
      <c r="AH5992">
        <v>37.417585557191501</v>
      </c>
      <c r="AI5992">
        <v>91.688431040748696</v>
      </c>
      <c r="AJ5992">
        <v>84.579818828627694</v>
      </c>
      <c r="AK5992">
        <v>37.601965803790499</v>
      </c>
      <c r="AL5992">
        <v>82.000572566288497</v>
      </c>
      <c r="AM5992">
        <v>86.471426638604697</v>
      </c>
      <c r="AN5992">
        <v>0.99999996379065204</v>
      </c>
    </row>
    <row r="5993" spans="1:40" x14ac:dyDescent="0.25">
      <c r="A5993" t="str">
        <f>"20190312164623309"</f>
        <v>20190312164623309</v>
      </c>
      <c r="B5993" t="str">
        <f>"1552380383297403"</f>
        <v>1552380383297403</v>
      </c>
      <c r="C5993" t="s">
        <v>40</v>
      </c>
      <c r="D5993">
        <v>4.922383</v>
      </c>
      <c r="E5993">
        <v>0.51705670000000004</v>
      </c>
      <c r="F5993" t="s">
        <v>93</v>
      </c>
      <c r="G5993">
        <v>-211.55019999999999</v>
      </c>
      <c r="H5993" s="1">
        <v>-8.4867449999999995E-7</v>
      </c>
      <c r="I5993">
        <v>-64.948629999999994</v>
      </c>
      <c r="J5993">
        <v>-249.15029999999999</v>
      </c>
      <c r="K5993">
        <v>1.1078969999999999</v>
      </c>
      <c r="L5993">
        <v>-61.939300000000003</v>
      </c>
      <c r="M5993">
        <v>0.99985990000000002</v>
      </c>
      <c r="N5993">
        <v>0</v>
      </c>
      <c r="O5993">
        <v>1.498792E-2</v>
      </c>
      <c r="P5993">
        <v>0.99017230000000001</v>
      </c>
      <c r="Q5993">
        <v>0.1320991</v>
      </c>
      <c r="R5993">
        <v>-4.5920950000000002E-2</v>
      </c>
      <c r="S5993">
        <v>3.030319</v>
      </c>
      <c r="T5993">
        <v>-8.8887930000000004E-2</v>
      </c>
      <c r="U5993">
        <v>-0.2412415</v>
      </c>
      <c r="V5993">
        <v>6.0810830000000003E-2</v>
      </c>
      <c r="W5993">
        <v>0.13946210000000001</v>
      </c>
      <c r="X5993">
        <v>0.98835839999999997</v>
      </c>
      <c r="Y5993">
        <v>9.4243629999999995E-2</v>
      </c>
      <c r="Z5993">
        <v>-1.818655E-3</v>
      </c>
      <c r="AA5993">
        <v>0.99554750000000003</v>
      </c>
      <c r="AB5993">
        <v>35</v>
      </c>
      <c r="AC5993">
        <v>37.600099999999998</v>
      </c>
      <c r="AD5993">
        <v>-1.1078978486744999</v>
      </c>
      <c r="AE5993">
        <v>-3.0093299999999998</v>
      </c>
      <c r="AF5993">
        <v>3.56947559392747</v>
      </c>
      <c r="AG5993">
        <v>-1.1078978486744999</v>
      </c>
      <c r="AH5993">
        <v>37.518405200047603</v>
      </c>
      <c r="AI5993">
        <v>91.683822326847803</v>
      </c>
      <c r="AJ5993">
        <v>84.565276500431196</v>
      </c>
      <c r="AK5993">
        <v>37.704102196096599</v>
      </c>
      <c r="AL5993">
        <v>81.9832783460228</v>
      </c>
      <c r="AM5993">
        <v>86.479194911324598</v>
      </c>
      <c r="AN5993">
        <v>0.99999998061612905</v>
      </c>
    </row>
    <row r="5994" spans="1:40" x14ac:dyDescent="0.25">
      <c r="A5994" t="str">
        <f>"20190312164623320"</f>
        <v>20190312164623320</v>
      </c>
      <c r="B5994" t="str">
        <f>"1552380383317454"</f>
        <v>1552380383317454</v>
      </c>
      <c r="C5994" t="s">
        <v>40</v>
      </c>
      <c r="D5994">
        <v>5.0062430000000004</v>
      </c>
      <c r="E5994">
        <v>0.51729349999999996</v>
      </c>
      <c r="F5994" t="s">
        <v>93</v>
      </c>
      <c r="G5994">
        <v>-211.2132</v>
      </c>
      <c r="H5994" s="1">
        <v>-7.0861449999999996E-7</v>
      </c>
      <c r="I5994">
        <v>-64.965469999999996</v>
      </c>
      <c r="J5994">
        <v>-248.9735</v>
      </c>
      <c r="K5994">
        <v>1.1078699999999999</v>
      </c>
      <c r="L5994">
        <v>-61.936799999999998</v>
      </c>
      <c r="M5994">
        <v>0.99986189999999997</v>
      </c>
      <c r="N5994">
        <v>0</v>
      </c>
      <c r="O5994">
        <v>1.484914E-2</v>
      </c>
      <c r="P5994">
        <v>0.99014069999999998</v>
      </c>
      <c r="Q5994">
        <v>0.1324321</v>
      </c>
      <c r="R5994">
        <v>-4.5642500000000003E-2</v>
      </c>
      <c r="S5994">
        <v>3.0303499999999999</v>
      </c>
      <c r="T5994">
        <v>-8.8496920000000007E-2</v>
      </c>
      <c r="U5994">
        <v>-0.24172969999999999</v>
      </c>
      <c r="V5994">
        <v>6.0404300000000001E-2</v>
      </c>
      <c r="W5994">
        <v>0.1397902</v>
      </c>
      <c r="X5994">
        <v>0.98833700000000002</v>
      </c>
      <c r="Y5994">
        <v>9.4264520000000004E-2</v>
      </c>
      <c r="Z5994">
        <v>-1.806886E-3</v>
      </c>
      <c r="AA5994">
        <v>0.99554560000000003</v>
      </c>
      <c r="AB5994">
        <v>35</v>
      </c>
      <c r="AC5994">
        <v>37.760300000000001</v>
      </c>
      <c r="AD5994">
        <v>-1.1078707086145001</v>
      </c>
      <c r="AE5994">
        <v>-3.0286699999999902</v>
      </c>
      <c r="AF5994">
        <v>3.5859925233461998</v>
      </c>
      <c r="AG5994">
        <v>-1.1078707086145001</v>
      </c>
      <c r="AH5994">
        <v>37.678935049113797</v>
      </c>
      <c r="AI5994">
        <v>91.676606293998006</v>
      </c>
      <c r="AJ5994">
        <v>84.563401464875994</v>
      </c>
      <c r="AK5994">
        <v>37.865404610539102</v>
      </c>
      <c r="AL5994">
        <v>81.964293808757205</v>
      </c>
      <c r="AM5994">
        <v>86.502597894840505</v>
      </c>
      <c r="AN5994">
        <v>1.0000000025217599</v>
      </c>
    </row>
    <row r="5995" spans="1:40" x14ac:dyDescent="0.25">
      <c r="A5995" t="str">
        <f>"20190312164623331"</f>
        <v>20190312164623331</v>
      </c>
      <c r="B5995" t="str">
        <f>"1552380383327215"</f>
        <v>1552380383327215</v>
      </c>
      <c r="C5995" t="s">
        <v>40</v>
      </c>
      <c r="D5995">
        <v>4.9770459999999996</v>
      </c>
      <c r="E5995">
        <v>0.51743409999999901</v>
      </c>
      <c r="F5995" t="s">
        <v>93</v>
      </c>
      <c r="G5995">
        <v>-211.40710000000001</v>
      </c>
      <c r="H5995" s="1">
        <v>-7.8597649999999996E-7</v>
      </c>
      <c r="I5995">
        <v>-64.943700000000007</v>
      </c>
      <c r="J5995">
        <v>-248.79839999999999</v>
      </c>
      <c r="K5995">
        <v>1.1078410000000001</v>
      </c>
      <c r="L5995">
        <v>-61.9343</v>
      </c>
      <c r="M5995">
        <v>0.99986410000000003</v>
      </c>
      <c r="N5995">
        <v>0</v>
      </c>
      <c r="O5995">
        <v>1.470397E-2</v>
      </c>
      <c r="P5995">
        <v>0.99010229999999999</v>
      </c>
      <c r="Q5995">
        <v>0.13264289999999901</v>
      </c>
      <c r="R5995">
        <v>-4.586498E-2</v>
      </c>
      <c r="S5995">
        <v>3.03064</v>
      </c>
      <c r="T5995">
        <v>-8.9376449999999996E-2</v>
      </c>
      <c r="U5995">
        <v>-0.2425842</v>
      </c>
      <c r="V5995">
        <v>6.0492190000000001E-2</v>
      </c>
      <c r="W5995">
        <v>0.13999610000000001</v>
      </c>
      <c r="X5995">
        <v>0.98830249999999997</v>
      </c>
      <c r="Y5995">
        <v>9.4390440000000006E-2</v>
      </c>
      <c r="Z5995">
        <v>-1.822221E-3</v>
      </c>
      <c r="AA5995">
        <v>0.99553360000000002</v>
      </c>
      <c r="AB5995">
        <v>35</v>
      </c>
      <c r="AC5995">
        <v>37.391299999999902</v>
      </c>
      <c r="AD5995">
        <v>-1.1078417859765</v>
      </c>
      <c r="AE5995">
        <v>-3.0093999999999999</v>
      </c>
      <c r="AF5995">
        <v>3.5557891523102501</v>
      </c>
      <c r="AG5995">
        <v>-1.1078417859765</v>
      </c>
      <c r="AH5995">
        <v>37.310464327360201</v>
      </c>
      <c r="AI5995">
        <v>91.693089533084404</v>
      </c>
      <c r="AJ5995">
        <v>84.555997912916496</v>
      </c>
      <c r="AK5995">
        <v>37.495889084560503</v>
      </c>
      <c r="AL5995">
        <v>81.952379609275994</v>
      </c>
      <c r="AM5995">
        <v>86.497399771308594</v>
      </c>
      <c r="AN5995">
        <v>1.00000002228622</v>
      </c>
    </row>
    <row r="5996" spans="1:40" x14ac:dyDescent="0.25">
      <c r="A5996" t="str">
        <f>"20190312164623342"</f>
        <v>20190312164623342</v>
      </c>
      <c r="B5996" t="str">
        <f>"1552380383336975"</f>
        <v>1552380383336975</v>
      </c>
      <c r="C5996" t="s">
        <v>40</v>
      </c>
      <c r="D5996">
        <v>4.9479170000000003</v>
      </c>
      <c r="E5996">
        <v>0.51751919999999996</v>
      </c>
      <c r="F5996" t="s">
        <v>93</v>
      </c>
      <c r="G5996">
        <v>-211.18190000000001</v>
      </c>
      <c r="H5996" s="1">
        <v>-6.9523359999999899E-7</v>
      </c>
      <c r="I5996">
        <v>-64.965639999999993</v>
      </c>
      <c r="J5996">
        <v>-248.61580000000001</v>
      </c>
      <c r="K5996">
        <v>1.1078079999999999</v>
      </c>
      <c r="L5996">
        <v>-61.931759999999997</v>
      </c>
      <c r="M5996">
        <v>0.99986679999999994</v>
      </c>
      <c r="N5996">
        <v>0</v>
      </c>
      <c r="O5996">
        <v>1.4523899999999999E-2</v>
      </c>
      <c r="P5996">
        <v>0.99010629999999999</v>
      </c>
      <c r="Q5996">
        <v>0.1326996</v>
      </c>
      <c r="R5996">
        <v>-4.5614109999999999E-2</v>
      </c>
      <c r="S5996">
        <v>3.0306549999999999</v>
      </c>
      <c r="T5996">
        <v>-8.9255810000000005E-2</v>
      </c>
      <c r="U5996">
        <v>-0.24423220000000001</v>
      </c>
      <c r="V5996">
        <v>6.0074160000000001E-2</v>
      </c>
      <c r="W5996">
        <v>0.14004759999999999</v>
      </c>
      <c r="X5996">
        <v>0.98832070000000005</v>
      </c>
      <c r="Y5996">
        <v>9.4748669999999993E-2</v>
      </c>
      <c r="Z5996">
        <v>-1.8196849999999999E-3</v>
      </c>
      <c r="AA5996">
        <v>0.99549960000000004</v>
      </c>
      <c r="AB5996">
        <v>35</v>
      </c>
      <c r="AC5996">
        <v>37.433900000000001</v>
      </c>
      <c r="AD5996">
        <v>-1.1078086952335999</v>
      </c>
      <c r="AE5996">
        <v>-3.0338800000000101</v>
      </c>
      <c r="AF5996">
        <v>3.5741514926511</v>
      </c>
      <c r="AG5996">
        <v>-1.1078086952335999</v>
      </c>
      <c r="AH5996">
        <v>37.353386159990897</v>
      </c>
      <c r="AI5996">
        <v>91.691033585989004</v>
      </c>
      <c r="AJ5996">
        <v>84.534304486461096</v>
      </c>
      <c r="AK5996">
        <v>37.540341722140099</v>
      </c>
      <c r="AL5996">
        <v>81.949399503653595</v>
      </c>
      <c r="AM5996">
        <v>86.521608677658406</v>
      </c>
      <c r="AN5996">
        <v>1.0000000205069699</v>
      </c>
    </row>
    <row r="5997" spans="1:40" x14ac:dyDescent="0.25">
      <c r="A5997" t="str">
        <f>"20190312164623353"</f>
        <v>20190312164623353</v>
      </c>
      <c r="B5997" t="str">
        <f>"1552380383347715"</f>
        <v>1552380383347715</v>
      </c>
      <c r="C5997" t="s">
        <v>40</v>
      </c>
      <c r="D5997">
        <v>5.0038549999999997</v>
      </c>
      <c r="E5997">
        <v>0.51756849999999999</v>
      </c>
      <c r="F5997" t="s">
        <v>93</v>
      </c>
      <c r="G5997">
        <v>-211.20089999999999</v>
      </c>
      <c r="H5997" s="1">
        <v>-6.9714089999999999E-7</v>
      </c>
      <c r="I5997">
        <v>-64.942229999999995</v>
      </c>
      <c r="J5997">
        <v>-248.4367</v>
      </c>
      <c r="K5997">
        <v>1.107777</v>
      </c>
      <c r="L5997">
        <v>-61.929319999999997</v>
      </c>
      <c r="M5997">
        <v>0.99986940000000002</v>
      </c>
      <c r="N5997">
        <v>0</v>
      </c>
      <c r="O5997">
        <v>1.4332499999999899E-2</v>
      </c>
      <c r="P5997">
        <v>0.99011610000000005</v>
      </c>
      <c r="Q5997">
        <v>0.13265160000000001</v>
      </c>
      <c r="R5997">
        <v>-4.5536559999999997E-2</v>
      </c>
      <c r="S5997">
        <v>3.0307770000000001</v>
      </c>
      <c r="T5997">
        <v>-8.9737419999999998E-2</v>
      </c>
      <c r="U5997">
        <v>-0.243866</v>
      </c>
      <c r="V5997">
        <v>5.9817929999999998E-2</v>
      </c>
      <c r="W5997">
        <v>0.1399956</v>
      </c>
      <c r="X5997">
        <v>0.98834359999999999</v>
      </c>
      <c r="Y5997">
        <v>9.4435099999999994E-2</v>
      </c>
      <c r="Z5997">
        <v>-1.8191430000000001E-3</v>
      </c>
      <c r="AA5997">
        <v>0.99552940000000001</v>
      </c>
      <c r="AB5997">
        <v>35</v>
      </c>
      <c r="AC5997">
        <v>37.235799999999998</v>
      </c>
      <c r="AD5997">
        <v>-1.1077776971408999</v>
      </c>
      <c r="AE5997">
        <v>-3.01291000000001</v>
      </c>
      <c r="AF5997">
        <v>3.54318188312633</v>
      </c>
      <c r="AG5997">
        <v>-1.1077776971408999</v>
      </c>
      <c r="AH5997">
        <v>37.156119025770998</v>
      </c>
      <c r="AI5997">
        <v>91.700011076614601</v>
      </c>
      <c r="AJ5997">
        <v>84.552785365186395</v>
      </c>
      <c r="AK5997">
        <v>37.341109923788501</v>
      </c>
      <c r="AL5997">
        <v>81.952408460505694</v>
      </c>
      <c r="AM5997">
        <v>86.536488671916402</v>
      </c>
      <c r="AN5997">
        <v>1.0000000122149</v>
      </c>
    </row>
    <row r="5998" spans="1:40" x14ac:dyDescent="0.25">
      <c r="A5998" t="str">
        <f>"20190312164623364"</f>
        <v>20190312164623364</v>
      </c>
      <c r="B5998" t="str">
        <f>"1552380383357471"</f>
        <v>1552380383357471</v>
      </c>
      <c r="C5998" t="s">
        <v>40</v>
      </c>
      <c r="D5998">
        <v>5.0997810000000001</v>
      </c>
      <c r="E5998">
        <v>0.51764270000000001</v>
      </c>
      <c r="F5998" t="s">
        <v>93</v>
      </c>
      <c r="G5998">
        <v>-211.47380000000001</v>
      </c>
      <c r="H5998" s="1">
        <v>-8.0353449999999896E-7</v>
      </c>
      <c r="I5998">
        <v>-64.902169999999998</v>
      </c>
      <c r="J5998">
        <v>-248.2603</v>
      </c>
      <c r="K5998">
        <v>1.1077440000000001</v>
      </c>
      <c r="L5998">
        <v>-61.926940000000002</v>
      </c>
      <c r="M5998">
        <v>0.99987239999999999</v>
      </c>
      <c r="N5998">
        <v>0</v>
      </c>
      <c r="O5998">
        <v>1.4126629999999999E-2</v>
      </c>
      <c r="P5998">
        <v>0.99010359999999997</v>
      </c>
      <c r="Q5998">
        <v>0.13278879999999901</v>
      </c>
      <c r="R5998">
        <v>-4.5413179999999997E-2</v>
      </c>
      <c r="S5998">
        <v>3.0309140000000001</v>
      </c>
      <c r="T5998">
        <v>-9.083629E-2</v>
      </c>
      <c r="U5998">
        <v>-0.2437744</v>
      </c>
      <c r="V5998">
        <v>5.9500780000000003E-2</v>
      </c>
      <c r="W5998">
        <v>0.140128799999999</v>
      </c>
      <c r="X5998">
        <v>0.98834379999999999</v>
      </c>
      <c r="Y5998">
        <v>9.4195660000000001E-2</v>
      </c>
      <c r="Z5998">
        <v>-1.831587E-3</v>
      </c>
      <c r="AA5998">
        <v>0.99555199999999999</v>
      </c>
      <c r="AB5998">
        <v>35</v>
      </c>
      <c r="AC5998">
        <v>36.786499999999897</v>
      </c>
      <c r="AD5998">
        <v>-1.1077448035345001</v>
      </c>
      <c r="AE5998">
        <v>-2.97522999999999</v>
      </c>
      <c r="AF5998">
        <v>3.4914713999375202</v>
      </c>
      <c r="AG5998">
        <v>-1.1077448035345001</v>
      </c>
      <c r="AH5998">
        <v>36.707728322840701</v>
      </c>
      <c r="AI5998">
        <v>91.720753090045704</v>
      </c>
      <c r="AJ5998">
        <v>84.5666330192213</v>
      </c>
      <c r="AK5998">
        <v>36.890036455794203</v>
      </c>
      <c r="AL5998">
        <v>81.9447001415855</v>
      </c>
      <c r="AM5998">
        <v>86.554808285983995</v>
      </c>
      <c r="AN5998">
        <v>0.99999994520424196</v>
      </c>
    </row>
    <row r="5999" spans="1:40" x14ac:dyDescent="0.25">
      <c r="A5999" t="str">
        <f>"20190312164623376"</f>
        <v>20190312164623376</v>
      </c>
      <c r="B5999" t="str">
        <f>"1552380383367231"</f>
        <v>1552380383367231</v>
      </c>
      <c r="C5999" t="s">
        <v>40</v>
      </c>
      <c r="D5999">
        <v>5.0666000000000002</v>
      </c>
      <c r="E5999">
        <v>0.51767089999999905</v>
      </c>
      <c r="F5999" t="s">
        <v>93</v>
      </c>
      <c r="G5999">
        <v>-211.45689999999999</v>
      </c>
      <c r="H5999" s="1">
        <v>-7.9212549999999997E-7</v>
      </c>
      <c r="I5999">
        <v>-64.886480000000006</v>
      </c>
      <c r="J5999">
        <v>-248.09360000000001</v>
      </c>
      <c r="K5999">
        <v>1.1077129999999999</v>
      </c>
      <c r="L5999">
        <v>-61.92474</v>
      </c>
      <c r="M5999">
        <v>0.99987539999999997</v>
      </c>
      <c r="N5999">
        <v>0</v>
      </c>
      <c r="O5999">
        <v>1.3913450000000001E-2</v>
      </c>
      <c r="P5999">
        <v>0.9901084</v>
      </c>
      <c r="Q5999">
        <v>0.1328174</v>
      </c>
      <c r="R5999">
        <v>-4.5221980000000002E-2</v>
      </c>
      <c r="S5999">
        <v>3.031021</v>
      </c>
      <c r="T5999">
        <v>-9.1230510000000001E-2</v>
      </c>
      <c r="U5999">
        <v>-0.24374390000000001</v>
      </c>
      <c r="V5999">
        <v>5.9108279999999999E-2</v>
      </c>
      <c r="W5999">
        <v>0.14015420000000001</v>
      </c>
      <c r="X5999">
        <v>0.98836380000000001</v>
      </c>
      <c r="Y5999">
        <v>9.3970410000000004E-2</v>
      </c>
      <c r="Z5999">
        <v>-1.8296779999999999E-3</v>
      </c>
      <c r="AA5999">
        <v>0.99557329999999999</v>
      </c>
      <c r="AB5999">
        <v>35</v>
      </c>
      <c r="AC5999">
        <v>36.636699999999998</v>
      </c>
      <c r="AD5999">
        <v>-1.1077137921255</v>
      </c>
      <c r="AE5999">
        <v>-2.9617399999999998</v>
      </c>
      <c r="AF5999">
        <v>3.4680605831779201</v>
      </c>
      <c r="AG5999">
        <v>-1.1077137921255</v>
      </c>
      <c r="AH5999">
        <v>36.558740761027302</v>
      </c>
      <c r="AI5999">
        <v>91.727754163460204</v>
      </c>
      <c r="AJ5999">
        <v>84.580984376254904</v>
      </c>
      <c r="AK5999">
        <v>36.739569949658602</v>
      </c>
      <c r="AL5999">
        <v>81.943230726399193</v>
      </c>
      <c r="AM5999">
        <v>86.577549563222405</v>
      </c>
      <c r="AN5999">
        <v>0.99999999484631896</v>
      </c>
    </row>
    <row r="6000" spans="1:40" x14ac:dyDescent="0.25">
      <c r="A6000" t="str">
        <f>"20190312164623386"</f>
        <v>20190312164623386</v>
      </c>
      <c r="B6000" t="str">
        <f>"1552380383376991"</f>
        <v>1552380383376991</v>
      </c>
      <c r="C6000" t="s">
        <v>40</v>
      </c>
      <c r="D6000">
        <v>4.9804849999999998</v>
      </c>
      <c r="E6000">
        <v>0.51768239999999999</v>
      </c>
      <c r="F6000" t="s">
        <v>93</v>
      </c>
      <c r="G6000">
        <v>-211.68700000000001</v>
      </c>
      <c r="H6000" s="1">
        <v>-8.7946740000000002E-7</v>
      </c>
      <c r="I6000">
        <v>-64.843729999999994</v>
      </c>
      <c r="J6000">
        <v>-247.92259999999999</v>
      </c>
      <c r="K6000">
        <v>1.1076820000000001</v>
      </c>
      <c r="L6000">
        <v>-61.922550000000001</v>
      </c>
      <c r="M6000">
        <v>0.9998785</v>
      </c>
      <c r="N6000">
        <v>0</v>
      </c>
      <c r="O6000">
        <v>1.368494E-2</v>
      </c>
      <c r="P6000">
        <v>0.99016230000000005</v>
      </c>
      <c r="Q6000">
        <v>0.1324206</v>
      </c>
      <c r="R6000">
        <v>-4.520424E-2</v>
      </c>
      <c r="S6000">
        <v>3.03125</v>
      </c>
      <c r="T6000">
        <v>-9.2229370000000005E-2</v>
      </c>
      <c r="U6000">
        <v>-0.24304200000000001</v>
      </c>
      <c r="V6000">
        <v>5.8874370000000002E-2</v>
      </c>
      <c r="W6000">
        <v>0.139754399999999</v>
      </c>
      <c r="X6000">
        <v>0.98843440000000005</v>
      </c>
      <c r="Y6000">
        <v>9.3507069999999998E-2</v>
      </c>
      <c r="Z6000">
        <v>-1.835602E-3</v>
      </c>
      <c r="AA6000">
        <v>0.99561690000000003</v>
      </c>
      <c r="AB6000">
        <v>35</v>
      </c>
      <c r="AC6000">
        <v>36.235599999999899</v>
      </c>
      <c r="AD6000">
        <v>-1.1076828794673901</v>
      </c>
      <c r="AE6000">
        <v>-2.9211800000000001</v>
      </c>
      <c r="AF6000">
        <v>3.41363296009043</v>
      </c>
      <c r="AG6000">
        <v>-1.1076828794673901</v>
      </c>
      <c r="AH6000">
        <v>36.158658720159799</v>
      </c>
      <c r="AI6000">
        <v>91.7468852243626</v>
      </c>
      <c r="AJ6000">
        <v>84.606858007054996</v>
      </c>
      <c r="AK6000">
        <v>36.336324136993703</v>
      </c>
      <c r="AL6000">
        <v>81.966365501515696</v>
      </c>
      <c r="AM6000">
        <v>86.591304182867603</v>
      </c>
      <c r="AN6000">
        <v>1.0000000234327999</v>
      </c>
    </row>
    <row r="6001" spans="1:40" x14ac:dyDescent="0.25">
      <c r="A6001" t="str">
        <f>"20190312164623397"</f>
        <v>20190312164623397</v>
      </c>
      <c r="B6001" t="str">
        <f>"1552380383387727"</f>
        <v>1552380383387727</v>
      </c>
      <c r="C6001" t="s">
        <v>40</v>
      </c>
      <c r="D6001">
        <v>4.9873019999999997</v>
      </c>
      <c r="E6001">
        <v>0.51766219999999996</v>
      </c>
      <c r="F6001" t="s">
        <v>93</v>
      </c>
      <c r="G6001">
        <v>-212.4016</v>
      </c>
      <c r="H6001" s="1">
        <v>-1.165856E-6</v>
      </c>
      <c r="I6001">
        <v>-64.767910000000001</v>
      </c>
      <c r="J6001">
        <v>-247.74359999999999</v>
      </c>
      <c r="K6001">
        <v>1.107642</v>
      </c>
      <c r="L6001">
        <v>-61.920349999999999</v>
      </c>
      <c r="M6001">
        <v>0.99988220000000005</v>
      </c>
      <c r="N6001">
        <v>0</v>
      </c>
      <c r="O6001">
        <v>1.3423650000000001E-2</v>
      </c>
      <c r="P6001">
        <v>0.9901816</v>
      </c>
      <c r="Q6001">
        <v>0.1323039</v>
      </c>
      <c r="R6001">
        <v>-4.5126380000000001E-2</v>
      </c>
      <c r="S6001">
        <v>3.0313569999999999</v>
      </c>
      <c r="T6001">
        <v>-9.4529390000000005E-2</v>
      </c>
      <c r="U6001">
        <v>-0.2428284</v>
      </c>
      <c r="V6001">
        <v>5.8547460000000003E-2</v>
      </c>
      <c r="W6001">
        <v>0.13963539999999999</v>
      </c>
      <c r="X6001">
        <v>0.98847059999999998</v>
      </c>
      <c r="Y6001">
        <v>9.3172190000000002E-2</v>
      </c>
      <c r="Z6001">
        <v>-1.867949E-3</v>
      </c>
      <c r="AA6001">
        <v>0.99564830000000004</v>
      </c>
      <c r="AB6001">
        <v>35</v>
      </c>
      <c r="AC6001">
        <v>35.341999999999899</v>
      </c>
      <c r="AD6001">
        <v>-1.107643165856</v>
      </c>
      <c r="AE6001">
        <v>-2.8475600000000001</v>
      </c>
      <c r="AF6001">
        <v>3.3184966599210401</v>
      </c>
      <c r="AG6001">
        <v>-1.107643165856</v>
      </c>
      <c r="AH6001">
        <v>35.266173344596702</v>
      </c>
      <c r="AI6001">
        <v>91.791052834953405</v>
      </c>
      <c r="AJ6001">
        <v>84.6243777236228</v>
      </c>
      <c r="AK6001">
        <v>35.439275893222103</v>
      </c>
      <c r="AL6001">
        <v>81.973250934382406</v>
      </c>
      <c r="AM6001">
        <v>86.610311142333899</v>
      </c>
      <c r="AN6001">
        <v>0.99999998853498495</v>
      </c>
    </row>
    <row r="6002" spans="1:40" x14ac:dyDescent="0.25">
      <c r="A6002" t="str">
        <f>"20190312164623409"</f>
        <v>20190312164623409</v>
      </c>
      <c r="B6002" t="str">
        <f>"1552380383397487"</f>
        <v>1552380383397487</v>
      </c>
      <c r="C6002" t="s">
        <v>40</v>
      </c>
      <c r="D6002">
        <v>5.0337779999999999</v>
      </c>
      <c r="E6002">
        <v>0.5176442</v>
      </c>
      <c r="F6002" t="s">
        <v>93</v>
      </c>
      <c r="G6002">
        <v>-212.76929999999999</v>
      </c>
      <c r="H6002" s="1">
        <v>-1.3097200000000001E-6</v>
      </c>
      <c r="I6002">
        <v>-64.715769999999907</v>
      </c>
      <c r="J6002">
        <v>-247.56479999999999</v>
      </c>
      <c r="K6002">
        <v>1.107613</v>
      </c>
      <c r="L6002">
        <v>-61.918089999999999</v>
      </c>
      <c r="M6002">
        <v>0.99988549999999998</v>
      </c>
      <c r="N6002">
        <v>0</v>
      </c>
      <c r="O6002">
        <v>1.315676E-2</v>
      </c>
      <c r="P6002">
        <v>0.99022569999999999</v>
      </c>
      <c r="Q6002">
        <v>0.13202739999999999</v>
      </c>
      <c r="R6002">
        <v>-4.4965829999999998E-2</v>
      </c>
      <c r="S6002">
        <v>3.0315400000000001</v>
      </c>
      <c r="T6002">
        <v>-9.6009490000000003E-2</v>
      </c>
      <c r="U6002">
        <v>-0.24230960000000001</v>
      </c>
      <c r="V6002">
        <v>5.8132370000000003E-2</v>
      </c>
      <c r="W6002">
        <v>0.1393568</v>
      </c>
      <c r="X6002">
        <v>0.98853449999999998</v>
      </c>
      <c r="Y6002">
        <v>9.2731079999999994E-2</v>
      </c>
      <c r="Z6002">
        <v>-1.88167E-3</v>
      </c>
      <c r="AA6002">
        <v>0.99568939999999995</v>
      </c>
      <c r="AB6002">
        <v>35</v>
      </c>
      <c r="AC6002">
        <v>34.795499999999997</v>
      </c>
      <c r="AD6002">
        <v>-1.10761430972</v>
      </c>
      <c r="AE6002">
        <v>-2.79767999999999</v>
      </c>
      <c r="AF6002">
        <v>3.2519726671765601</v>
      </c>
      <c r="AG6002">
        <v>-1.10761430972</v>
      </c>
      <c r="AH6002">
        <v>34.720722758627701</v>
      </c>
      <c r="AI6002">
        <v>91.819197588349297</v>
      </c>
      <c r="AJ6002">
        <v>84.649237988209293</v>
      </c>
      <c r="AK6002">
        <v>34.890266903087003</v>
      </c>
      <c r="AL6002">
        <v>81.989371840758395</v>
      </c>
      <c r="AM6002">
        <v>86.634504990495401</v>
      </c>
      <c r="AN6002">
        <v>1.0000000739191499</v>
      </c>
    </row>
    <row r="6003" spans="1:40" x14ac:dyDescent="0.25">
      <c r="A6003" t="str">
        <f>"20190312164623420"</f>
        <v>20190312164623420</v>
      </c>
      <c r="B6003" t="str">
        <f>"1552380383416833"</f>
        <v>1552380383416833</v>
      </c>
      <c r="C6003" t="s">
        <v>40</v>
      </c>
      <c r="D6003">
        <v>5.0690929999999996</v>
      </c>
      <c r="E6003">
        <v>0.49053790000000003</v>
      </c>
      <c r="F6003" t="s">
        <v>93</v>
      </c>
      <c r="G6003">
        <v>-213.0463</v>
      </c>
      <c r="H6003" s="1">
        <v>-1.4162939999999999E-6</v>
      </c>
      <c r="I6003">
        <v>-64.669719999999998</v>
      </c>
      <c r="J6003">
        <v>-247.38829999999999</v>
      </c>
      <c r="K6003">
        <v>1.107585</v>
      </c>
      <c r="L6003">
        <v>-61.916020000000003</v>
      </c>
      <c r="M6003">
        <v>0.99988929999999998</v>
      </c>
      <c r="N6003">
        <v>0</v>
      </c>
      <c r="O6003">
        <v>1.28713E-2</v>
      </c>
      <c r="P6003">
        <v>0.99026230000000004</v>
      </c>
      <c r="Q6003">
        <v>0.13172899999999901</v>
      </c>
      <c r="R6003">
        <v>-4.5035529999999997E-2</v>
      </c>
      <c r="S6003">
        <v>3.0316010000000002</v>
      </c>
      <c r="T6003">
        <v>-9.7276689999999999E-2</v>
      </c>
      <c r="U6003">
        <v>-0.24166869999999999</v>
      </c>
      <c r="V6003">
        <v>5.7927899999999997E-2</v>
      </c>
      <c r="W6003">
        <v>0.1390565</v>
      </c>
      <c r="X6003">
        <v>0.98858880000000005</v>
      </c>
      <c r="Y6003">
        <v>9.2235040000000004E-2</v>
      </c>
      <c r="Z6003">
        <v>-1.889382E-3</v>
      </c>
      <c r="AA6003">
        <v>0.9957355</v>
      </c>
      <c r="AB6003">
        <v>35</v>
      </c>
      <c r="AC6003">
        <v>34.341999999999899</v>
      </c>
      <c r="AD6003">
        <v>-1.1075864162939999</v>
      </c>
      <c r="AE6003">
        <v>-2.7536999999999998</v>
      </c>
      <c r="AF6003">
        <v>3.1922111462529998</v>
      </c>
      <c r="AG6003">
        <v>-1.1075864162939999</v>
      </c>
      <c r="AH6003">
        <v>34.268293198441903</v>
      </c>
      <c r="AI6003">
        <v>91.843239364228495</v>
      </c>
      <c r="AJ6003">
        <v>84.678056502001596</v>
      </c>
      <c r="AK6003">
        <v>34.434472239402801</v>
      </c>
      <c r="AL6003">
        <v>82.006747015491499</v>
      </c>
      <c r="AM6003">
        <v>86.646499224925094</v>
      </c>
      <c r="AN6003">
        <v>1.00000008363804</v>
      </c>
    </row>
    <row r="6004" spans="1:40" x14ac:dyDescent="0.25">
      <c r="A6004" t="str">
        <f>"20190312164623432"</f>
        <v>20190312164623432</v>
      </c>
      <c r="B6004" t="str">
        <f>"1552380383427573"</f>
        <v>1552380383427573</v>
      </c>
      <c r="C6004" t="s">
        <v>40</v>
      </c>
      <c r="D6004">
        <v>4.8990400000000003</v>
      </c>
      <c r="E6004">
        <v>0.4837419</v>
      </c>
      <c r="F6004" t="s">
        <v>52</v>
      </c>
      <c r="G6004">
        <v>-199.55869999999999</v>
      </c>
      <c r="H6004" s="1">
        <v>-6.0005460000000004E-6</v>
      </c>
      <c r="I6004">
        <v>-62.343679999999999</v>
      </c>
      <c r="J6004">
        <v>-247.20310000000001</v>
      </c>
      <c r="K6004">
        <v>1.107559</v>
      </c>
      <c r="L6004">
        <v>-61.913879999999999</v>
      </c>
      <c r="M6004">
        <v>0.99989320000000004</v>
      </c>
      <c r="N6004">
        <v>0</v>
      </c>
      <c r="O6004">
        <v>1.2566809999999999E-2</v>
      </c>
      <c r="P6004">
        <v>0.99033190000000004</v>
      </c>
      <c r="Q6004">
        <v>0.1312065</v>
      </c>
      <c r="R6004">
        <v>-4.5034320000000003E-2</v>
      </c>
      <c r="S6004">
        <v>3.0376129999999999</v>
      </c>
      <c r="T6004">
        <v>-7.0342059999999998E-2</v>
      </c>
      <c r="U6004">
        <v>-2.716064E-2</v>
      </c>
      <c r="V6004">
        <v>5.763393E-2</v>
      </c>
      <c r="W6004">
        <v>0.13853370000000001</v>
      </c>
      <c r="X6004">
        <v>0.98867930000000004</v>
      </c>
      <c r="Y6004">
        <v>2.1497909999999999E-2</v>
      </c>
      <c r="Z6004">
        <v>-5.3984699999999998E-4</v>
      </c>
      <c r="AA6004">
        <v>0.99976869999999995</v>
      </c>
      <c r="AB6004">
        <v>35</v>
      </c>
      <c r="AC6004">
        <v>47.644399999999997</v>
      </c>
      <c r="AD6004">
        <v>-1.107565000546</v>
      </c>
      <c r="AE6004">
        <v>-0.42980000000000002</v>
      </c>
      <c r="AF6004">
        <v>1.0279653793550401</v>
      </c>
      <c r="AG6004">
        <v>-1.107565000546</v>
      </c>
      <c r="AH6004">
        <v>47.6095101135056</v>
      </c>
      <c r="AI6004">
        <v>91.332350970548404</v>
      </c>
      <c r="AJ6004">
        <v>88.763084782062606</v>
      </c>
      <c r="AK6004">
        <v>47.633484717156499</v>
      </c>
      <c r="AL6004">
        <v>82.036993390270595</v>
      </c>
      <c r="AM6004">
        <v>86.663783602886099</v>
      </c>
      <c r="AN6004">
        <v>1.00000000708571</v>
      </c>
    </row>
    <row r="6005" spans="1:40" x14ac:dyDescent="0.25">
      <c r="A6005" t="str">
        <f>"20190312164623443"</f>
        <v>20190312164623443</v>
      </c>
      <c r="B6005" t="str">
        <f>"1552380383437329"</f>
        <v>1552380383437329</v>
      </c>
      <c r="C6005" t="s">
        <v>40</v>
      </c>
      <c r="D6005">
        <v>5.0948500000000001</v>
      </c>
      <c r="E6005">
        <v>0.48045599999999999</v>
      </c>
      <c r="F6005" t="s">
        <v>52</v>
      </c>
      <c r="G6005">
        <v>-197.93690000000001</v>
      </c>
      <c r="H6005" s="1">
        <v>-6.6109550000000001E-6</v>
      </c>
      <c r="I6005">
        <v>-61.480080000000001</v>
      </c>
      <c r="J6005">
        <v>-247.01410000000001</v>
      </c>
      <c r="K6005">
        <v>1.1075349999999999</v>
      </c>
      <c r="L6005">
        <v>-61.911740000000002</v>
      </c>
      <c r="M6005">
        <v>0.99989709999999998</v>
      </c>
      <c r="N6005">
        <v>0</v>
      </c>
      <c r="O6005">
        <v>1.224254E-2</v>
      </c>
      <c r="P6005">
        <v>0.99034279999999997</v>
      </c>
      <c r="Q6005">
        <v>0.1310992</v>
      </c>
      <c r="R6005">
        <v>-4.509933E-2</v>
      </c>
      <c r="S6005">
        <v>3.039536</v>
      </c>
      <c r="T6005">
        <v>-6.8332669999999998E-2</v>
      </c>
      <c r="U6005">
        <v>2.676392E-2</v>
      </c>
      <c r="V6005">
        <v>5.738588E-2</v>
      </c>
      <c r="W6005">
        <v>0.13843029999999901</v>
      </c>
      <c r="X6005">
        <v>0.98870820000000004</v>
      </c>
      <c r="Y6005">
        <v>3.4341789999999999E-3</v>
      </c>
      <c r="Z6005">
        <v>-3.137835E-4</v>
      </c>
      <c r="AA6005">
        <v>0.99999400000000005</v>
      </c>
      <c r="AB6005">
        <v>36</v>
      </c>
      <c r="AC6005">
        <v>49.077199999999998</v>
      </c>
      <c r="AD6005">
        <v>-1.107541610955</v>
      </c>
      <c r="AE6005">
        <v>0.43165999999999299</v>
      </c>
      <c r="AF6005">
        <v>0.16913260247831099</v>
      </c>
      <c r="AG6005">
        <v>-1.107541610955</v>
      </c>
      <c r="AH6005">
        <v>49.053826152923698</v>
      </c>
      <c r="AI6005">
        <v>91.293401724500896</v>
      </c>
      <c r="AJ6005">
        <v>89.802450763584204</v>
      </c>
      <c r="AK6005">
        <v>49.0666191468138</v>
      </c>
      <c r="AL6005">
        <v>82.042975321829402</v>
      </c>
      <c r="AM6005">
        <v>86.678206962491203</v>
      </c>
      <c r="AN6005">
        <v>0.99999999596435196</v>
      </c>
    </row>
    <row r="6006" spans="1:40" x14ac:dyDescent="0.25">
      <c r="A6006" t="str">
        <f>"20190312164623454"</f>
        <v>20190312164623454</v>
      </c>
      <c r="B6006" t="str">
        <f>"1552380383447089"</f>
        <v>1552380383447089</v>
      </c>
      <c r="C6006" t="s">
        <v>40</v>
      </c>
      <c r="D6006">
        <v>5.2074680000000004</v>
      </c>
      <c r="E6006">
        <v>0.4778559</v>
      </c>
      <c r="F6006" t="s">
        <v>52</v>
      </c>
      <c r="G6006">
        <v>-208.82480000000001</v>
      </c>
      <c r="H6006" s="1">
        <v>-8.3653949999999998E-7</v>
      </c>
      <c r="I6006">
        <v>-61.230879999999999</v>
      </c>
      <c r="J6006">
        <v>-246.83519999999999</v>
      </c>
      <c r="K6006">
        <v>1.1075140000000001</v>
      </c>
      <c r="L6006">
        <v>-61.909790000000001</v>
      </c>
      <c r="M6006">
        <v>0.99990089999999998</v>
      </c>
      <c r="N6006">
        <v>0</v>
      </c>
      <c r="O6006">
        <v>1.192811E-2</v>
      </c>
      <c r="P6006">
        <v>0.99037839999999999</v>
      </c>
      <c r="Q6006">
        <v>0.130857</v>
      </c>
      <c r="R6006">
        <v>-4.5024679999999997E-2</v>
      </c>
      <c r="S6006">
        <v>3.0434269999999999</v>
      </c>
      <c r="T6006">
        <v>-8.8262919999999995E-2</v>
      </c>
      <c r="U6006">
        <v>5.4260250000000003E-2</v>
      </c>
      <c r="V6006">
        <v>5.7006790000000002E-2</v>
      </c>
      <c r="W6006">
        <v>0.13819609999999999</v>
      </c>
      <c r="X6006">
        <v>0.9887629</v>
      </c>
      <c r="Y6006">
        <v>-5.9005569999999999E-3</v>
      </c>
      <c r="Z6006">
        <v>-2.6028660000000002E-4</v>
      </c>
      <c r="AA6006">
        <v>0.9999825</v>
      </c>
      <c r="AB6006">
        <v>36</v>
      </c>
      <c r="AC6006">
        <v>38.010399999999898</v>
      </c>
      <c r="AD6006">
        <v>-1.10751483653949</v>
      </c>
      <c r="AE6006">
        <v>0.67890999999999402</v>
      </c>
      <c r="AF6006">
        <v>-0.22526560687008201</v>
      </c>
      <c r="AG6006">
        <v>-1.10751483653949</v>
      </c>
      <c r="AH6006">
        <v>37.983557279791</v>
      </c>
      <c r="AI6006">
        <v>91.670113116571301</v>
      </c>
      <c r="AJ6006">
        <v>90.339794852066404</v>
      </c>
      <c r="AK6006">
        <v>38.000367857876803</v>
      </c>
      <c r="AL6006">
        <v>82.056524284717298</v>
      </c>
      <c r="AM6006">
        <v>86.700284160225294</v>
      </c>
      <c r="AN6006">
        <v>1.0000000042888599</v>
      </c>
    </row>
    <row r="6007" spans="1:40" x14ac:dyDescent="0.25">
      <c r="A6007" t="str">
        <f>"20190312164623464"</f>
        <v>20190312164623464</v>
      </c>
      <c r="B6007" t="str">
        <f>"1552380383456850"</f>
        <v>1552380383456850</v>
      </c>
      <c r="C6007" t="s">
        <v>40</v>
      </c>
      <c r="D6007">
        <v>5.1233180000000003</v>
      </c>
      <c r="E6007">
        <v>0.47721419999999998</v>
      </c>
      <c r="F6007" t="s">
        <v>43</v>
      </c>
      <c r="G6007">
        <v>-208.3724</v>
      </c>
      <c r="H6007">
        <v>-0.05</v>
      </c>
      <c r="I6007">
        <v>-60.95599</v>
      </c>
      <c r="J6007">
        <v>-246.667</v>
      </c>
      <c r="K6007">
        <v>1.10749599999999</v>
      </c>
      <c r="L6007">
        <v>-61.908019999999901</v>
      </c>
      <c r="M6007">
        <v>0.99990429999999997</v>
      </c>
      <c r="N6007">
        <v>0</v>
      </c>
      <c r="O6007">
        <v>1.1627230000000001E-2</v>
      </c>
      <c r="P6007">
        <v>0.99039880000000002</v>
      </c>
      <c r="Q6007">
        <v>0.13066079999999999</v>
      </c>
      <c r="R6007">
        <v>-4.514717E-2</v>
      </c>
      <c r="S6007">
        <v>3.0446620000000002</v>
      </c>
      <c r="T6007">
        <v>-9.1627239999999999E-2</v>
      </c>
      <c r="U6007">
        <v>7.5500490000000003E-2</v>
      </c>
      <c r="V6007">
        <v>5.6837060000000002E-2</v>
      </c>
      <c r="W6007">
        <v>0.13800899999999999</v>
      </c>
      <c r="X6007">
        <v>0.98879879999999998</v>
      </c>
      <c r="Y6007">
        <v>-1.3163680000000001E-2</v>
      </c>
      <c r="Z6007">
        <v>-1.517716E-4</v>
      </c>
      <c r="AA6007">
        <v>0.9999133</v>
      </c>
      <c r="AB6007">
        <v>36</v>
      </c>
      <c r="AC6007">
        <v>38.294600000000003</v>
      </c>
      <c r="AD6007">
        <v>-1.1574960000000001</v>
      </c>
      <c r="AE6007">
        <v>0.95202999999999305</v>
      </c>
      <c r="AF6007">
        <v>-0.506230791512292</v>
      </c>
      <c r="AG6007">
        <v>-1.1574960000000001</v>
      </c>
      <c r="AH6007">
        <v>38.2681401708723</v>
      </c>
      <c r="AI6007">
        <v>91.732345101279407</v>
      </c>
      <c r="AJ6007">
        <v>90.757894059405601</v>
      </c>
      <c r="AK6007">
        <v>38.288988217786802</v>
      </c>
      <c r="AL6007">
        <v>82.067348014099593</v>
      </c>
      <c r="AM6007">
        <v>86.710206188639006</v>
      </c>
      <c r="AN6007">
        <v>1.00000000117594</v>
      </c>
    </row>
    <row r="6008" spans="1:40" x14ac:dyDescent="0.25">
      <c r="A6008" t="str">
        <f>"20190312164623476"</f>
        <v>20190312164623476</v>
      </c>
      <c r="B6008" t="str">
        <f>"1552380383467585"</f>
        <v>1552380383467585</v>
      </c>
      <c r="C6008" t="s">
        <v>40</v>
      </c>
      <c r="D6008">
        <v>5.0067320000000004</v>
      </c>
      <c r="E6008">
        <v>0.47581079999999998</v>
      </c>
      <c r="F6008" t="s">
        <v>93</v>
      </c>
      <c r="G6008">
        <v>-213.83779999999999</v>
      </c>
      <c r="H6008" s="1">
        <v>-7.8875309999999999E-7</v>
      </c>
      <c r="I6008">
        <v>-61.035130000000002</v>
      </c>
      <c r="J6008">
        <v>-246.4984</v>
      </c>
      <c r="K6008">
        <v>1.10748</v>
      </c>
      <c r="L6008">
        <v>-61.906309999999998</v>
      </c>
      <c r="M6008">
        <v>0.99990769999999995</v>
      </c>
      <c r="N6008">
        <v>0</v>
      </c>
      <c r="O6008">
        <v>1.131937E-2</v>
      </c>
      <c r="P6008">
        <v>0.99043329999999996</v>
      </c>
      <c r="Q6008">
        <v>0.1303764</v>
      </c>
      <c r="R6008">
        <v>-4.5210269999999997E-2</v>
      </c>
      <c r="S6008">
        <v>3.0463559999999998</v>
      </c>
      <c r="T6008">
        <v>-0.102769</v>
      </c>
      <c r="U6008">
        <v>8.099365E-2</v>
      </c>
      <c r="V6008">
        <v>5.6601209999999999E-2</v>
      </c>
      <c r="W6008">
        <v>0.1377399</v>
      </c>
      <c r="X6008">
        <v>0.98884989999999995</v>
      </c>
      <c r="Y6008">
        <v>-1.5258030000000001E-2</v>
      </c>
      <c r="Z6008">
        <v>-1.244273E-4</v>
      </c>
      <c r="AA6008">
        <v>0.99988359999999998</v>
      </c>
      <c r="AB6008">
        <v>36</v>
      </c>
      <c r="AC6008">
        <v>32.660600000000002</v>
      </c>
      <c r="AD6008">
        <v>-1.1074807887531</v>
      </c>
      <c r="AE6008">
        <v>0.87117999999999496</v>
      </c>
      <c r="AF6008">
        <v>-0.50084087052346404</v>
      </c>
      <c r="AG6008">
        <v>-1.1074807887531</v>
      </c>
      <c r="AH6008">
        <v>32.6308764708835</v>
      </c>
      <c r="AI6008">
        <v>91.943624265230099</v>
      </c>
      <c r="AJ6008">
        <v>90.879345518264699</v>
      </c>
      <c r="AK6008">
        <v>32.653506006753702</v>
      </c>
      <c r="AL6008">
        <v>82.082915373365907</v>
      </c>
      <c r="AM6008">
        <v>86.723996588841501</v>
      </c>
      <c r="AN6008">
        <v>1.00000005087774</v>
      </c>
    </row>
    <row r="6009" spans="1:40" x14ac:dyDescent="0.25">
      <c r="A6009" t="str">
        <f>"20190312164623486"</f>
        <v>20190312164623486</v>
      </c>
      <c r="B6009" t="str">
        <f>"1552380383477346"</f>
        <v>1552380383477346</v>
      </c>
      <c r="C6009" t="s">
        <v>40</v>
      </c>
      <c r="D6009">
        <v>4.8665760000000002</v>
      </c>
      <c r="E6009">
        <v>0.47486440000000002</v>
      </c>
      <c r="F6009" t="s">
        <v>93</v>
      </c>
      <c r="G6009">
        <v>-215.01249999999999</v>
      </c>
      <c r="H6009" s="1">
        <v>-1.2712870000000001E-6</v>
      </c>
      <c r="I6009">
        <v>-60.954610000000002</v>
      </c>
      <c r="J6009">
        <v>-246.32230000000001</v>
      </c>
      <c r="K6009">
        <v>1.107467</v>
      </c>
      <c r="L6009">
        <v>-61.9045699999999</v>
      </c>
      <c r="M6009">
        <v>0.99991110000000005</v>
      </c>
      <c r="N6009">
        <v>0</v>
      </c>
      <c r="O6009">
        <v>1.099528E-2</v>
      </c>
      <c r="P6009">
        <v>0.99047070000000004</v>
      </c>
      <c r="Q6009">
        <v>0.13008889999999901</v>
      </c>
      <c r="R6009">
        <v>-4.5217599999999997E-2</v>
      </c>
      <c r="S6009">
        <v>3.0472869999999999</v>
      </c>
      <c r="T6009">
        <v>-0.1071848</v>
      </c>
      <c r="U6009">
        <v>9.2102050000000005E-2</v>
      </c>
      <c r="V6009">
        <v>5.6292969999999998E-2</v>
      </c>
      <c r="W6009">
        <v>0.13747200000000001</v>
      </c>
      <c r="X6009">
        <v>0.98890469999999997</v>
      </c>
      <c r="Y6009">
        <v>-1.9213000000000001E-2</v>
      </c>
      <c r="Z6009" s="1">
        <v>-4.881152E-5</v>
      </c>
      <c r="AA6009">
        <v>0.99981540000000002</v>
      </c>
      <c r="AB6009">
        <v>36</v>
      </c>
      <c r="AC6009">
        <v>31.309799999999999</v>
      </c>
      <c r="AD6009">
        <v>-1.1074682712870001</v>
      </c>
      <c r="AE6009">
        <v>0.94995999999999703</v>
      </c>
      <c r="AF6009">
        <v>-0.60487667749636298</v>
      </c>
      <c r="AG6009">
        <v>-1.1074682712870001</v>
      </c>
      <c r="AH6009">
        <v>31.279254209318399</v>
      </c>
      <c r="AI6009">
        <v>92.027379449286997</v>
      </c>
      <c r="AJ6009">
        <v>91.107844881152602</v>
      </c>
      <c r="AK6009">
        <v>31.304697820903002</v>
      </c>
      <c r="AL6009">
        <v>82.098411749957506</v>
      </c>
      <c r="AM6009">
        <v>86.741978735851603</v>
      </c>
      <c r="AN6009">
        <v>0.99999997746875502</v>
      </c>
    </row>
    <row r="6010" spans="1:40" x14ac:dyDescent="0.25">
      <c r="A6010" t="str">
        <f>"20190312164623499"</f>
        <v>20190312164623499</v>
      </c>
      <c r="B6010" t="str">
        <f>"1552380383487106"</f>
        <v>1552380383487106</v>
      </c>
      <c r="C6010" t="s">
        <v>40</v>
      </c>
      <c r="D6010">
        <v>5.1847640000000004</v>
      </c>
      <c r="E6010">
        <v>0.47434100000000001</v>
      </c>
      <c r="F6010" t="s">
        <v>93</v>
      </c>
      <c r="G6010">
        <v>-219.3081</v>
      </c>
      <c r="H6010" s="1">
        <v>-3.1295490000000001E-6</v>
      </c>
      <c r="I6010">
        <v>-61.01276</v>
      </c>
      <c r="J6010">
        <v>-246.12880000000001</v>
      </c>
      <c r="K6010">
        <v>1.107453</v>
      </c>
      <c r="L6010">
        <v>-61.902740000000001</v>
      </c>
      <c r="M6010">
        <v>0.99991490000000005</v>
      </c>
      <c r="N6010">
        <v>0</v>
      </c>
      <c r="O6010">
        <v>1.06321E-2</v>
      </c>
      <c r="P6010">
        <v>0.99047490000000005</v>
      </c>
      <c r="Q6010">
        <v>0.13004279999999999</v>
      </c>
      <c r="R6010">
        <v>-4.5261549999999998E-2</v>
      </c>
      <c r="S6010">
        <v>3.0498660000000002</v>
      </c>
      <c r="T6010">
        <v>-0.12503159999999999</v>
      </c>
      <c r="U6010">
        <v>0.1006775</v>
      </c>
      <c r="V6010">
        <v>5.5982440000000001E-2</v>
      </c>
      <c r="W6010">
        <v>0.13745460000000001</v>
      </c>
      <c r="X6010">
        <v>0.98892480000000005</v>
      </c>
      <c r="Y6010">
        <v>-2.2354180000000001E-2</v>
      </c>
      <c r="Z6010" s="1">
        <v>2.2339459999999999E-5</v>
      </c>
      <c r="AA6010">
        <v>0.99975009999999997</v>
      </c>
      <c r="AB6010">
        <v>36</v>
      </c>
      <c r="AC6010">
        <v>26.820699999999999</v>
      </c>
      <c r="AD6010">
        <v>-1.107456129549</v>
      </c>
      <c r="AE6010">
        <v>0.88998000000000099</v>
      </c>
      <c r="AF6010">
        <v>-0.60373297465924403</v>
      </c>
      <c r="AG6010">
        <v>-1.107456129549</v>
      </c>
      <c r="AH6010">
        <v>26.783032936931299</v>
      </c>
      <c r="AI6010">
        <v>92.367183335914206</v>
      </c>
      <c r="AJ6010">
        <v>91.2913210524557</v>
      </c>
      <c r="AK6010">
        <v>26.812717241717898</v>
      </c>
      <c r="AL6010">
        <v>82.099418671881295</v>
      </c>
      <c r="AM6010">
        <v>86.759978339077904</v>
      </c>
      <c r="AN6010">
        <v>1.00000003035227</v>
      </c>
    </row>
    <row r="6011" spans="1:40" x14ac:dyDescent="0.25">
      <c r="A6011" t="str">
        <f>"20190312164623511"</f>
        <v>20190312164623511</v>
      </c>
      <c r="B6011" t="str">
        <f>"1552380383507601"</f>
        <v>1552380383507601</v>
      </c>
      <c r="C6011" t="s">
        <v>40</v>
      </c>
      <c r="D6011">
        <v>5.1769429999999996</v>
      </c>
      <c r="E6011">
        <v>0.47328940000000003</v>
      </c>
      <c r="F6011" t="s">
        <v>93</v>
      </c>
      <c r="G6011">
        <v>-219.63820000000001</v>
      </c>
      <c r="H6011" s="1">
        <v>-3.2477709999999999E-6</v>
      </c>
      <c r="I6011">
        <v>-60.993380000000002</v>
      </c>
      <c r="J6011">
        <v>-245.94450000000001</v>
      </c>
      <c r="K6011">
        <v>1.107445</v>
      </c>
      <c r="L6011">
        <v>-61.901000000000003</v>
      </c>
      <c r="M6011">
        <v>0.99991839999999999</v>
      </c>
      <c r="N6011">
        <v>0</v>
      </c>
      <c r="O6011">
        <v>1.028401E-2</v>
      </c>
      <c r="P6011">
        <v>0.99047640000000003</v>
      </c>
      <c r="Q6011">
        <v>0.13004109999999999</v>
      </c>
      <c r="R6011">
        <v>-4.5234209999999997E-2</v>
      </c>
      <c r="S6011">
        <v>3.0504150000000001</v>
      </c>
      <c r="T6011">
        <v>-0.12752430000000001</v>
      </c>
      <c r="U6011">
        <v>0.1047058</v>
      </c>
      <c r="V6011">
        <v>5.5615539999999998E-2</v>
      </c>
      <c r="W6011">
        <v>0.13748339999999901</v>
      </c>
      <c r="X6011">
        <v>0.98894150000000003</v>
      </c>
      <c r="Y6011">
        <v>-2.401286E-2</v>
      </c>
      <c r="Z6011" s="1">
        <v>7.1966470000000001E-5</v>
      </c>
      <c r="AA6011">
        <v>0.99971160000000003</v>
      </c>
      <c r="AB6011">
        <v>36</v>
      </c>
      <c r="AC6011">
        <v>26.3063</v>
      </c>
      <c r="AD6011">
        <v>-1.1074482477709999</v>
      </c>
      <c r="AE6011">
        <v>0.90762000000000098</v>
      </c>
      <c r="AF6011">
        <v>-0.63590433169869498</v>
      </c>
      <c r="AG6011">
        <v>-1.1074482477709999</v>
      </c>
      <c r="AH6011">
        <v>26.267745122493999</v>
      </c>
      <c r="AI6011">
        <v>92.413454358428297</v>
      </c>
      <c r="AJ6011">
        <v>91.386777553696007</v>
      </c>
      <c r="AK6011">
        <v>26.2987689780505</v>
      </c>
      <c r="AL6011">
        <v>82.097752750268</v>
      </c>
      <c r="AM6011">
        <v>86.781222368926706</v>
      </c>
      <c r="AN6011">
        <v>1.00000003199365</v>
      </c>
    </row>
    <row r="6012" spans="1:40" x14ac:dyDescent="0.25">
      <c r="A6012" t="str">
        <f>"20190312164623522"</f>
        <v>20190312164623522</v>
      </c>
      <c r="B6012" t="str">
        <f>"1552380383517361"</f>
        <v>1552380383517361</v>
      </c>
      <c r="C6012" t="s">
        <v>40</v>
      </c>
      <c r="D6012">
        <v>4.9268409999999996</v>
      </c>
      <c r="E6012">
        <v>0.47325600000000001</v>
      </c>
      <c r="F6012" t="s">
        <v>92</v>
      </c>
      <c r="G6012">
        <v>-221.17750000000001</v>
      </c>
      <c r="H6012" s="1">
        <v>2.446704E-7</v>
      </c>
      <c r="I6012">
        <v>-60.977989999999998</v>
      </c>
      <c r="J6012">
        <v>-245.76320000000001</v>
      </c>
      <c r="K6012">
        <v>1.107437</v>
      </c>
      <c r="L6012">
        <v>-61.899439999999998</v>
      </c>
      <c r="M6012">
        <v>0.99992159999999997</v>
      </c>
      <c r="N6012">
        <v>0</v>
      </c>
      <c r="O6012">
        <v>9.9364889999999997E-3</v>
      </c>
      <c r="P6012">
        <v>0.99049940000000003</v>
      </c>
      <c r="Q6012">
        <v>0.12975429999999999</v>
      </c>
      <c r="R6012">
        <v>-4.554996E-2</v>
      </c>
      <c r="S6012">
        <v>3.0519560000000001</v>
      </c>
      <c r="T6012">
        <v>-0.13646629999999901</v>
      </c>
      <c r="U6012">
        <v>0.11373900000000001</v>
      </c>
      <c r="V6012">
        <v>5.5591519999999998E-2</v>
      </c>
      <c r="W6012">
        <v>0.13723489999999999</v>
      </c>
      <c r="X6012">
        <v>0.98897729999999995</v>
      </c>
      <c r="Y6012">
        <v>-2.729268E-2</v>
      </c>
      <c r="Z6012">
        <v>1.6575659999999999E-4</v>
      </c>
      <c r="AA6012">
        <v>0.9996275</v>
      </c>
      <c r="AB6012">
        <v>36</v>
      </c>
      <c r="AC6012">
        <v>24.585699999999999</v>
      </c>
      <c r="AD6012">
        <v>-1.1074367553296001</v>
      </c>
      <c r="AE6012">
        <v>0.92144999999999999</v>
      </c>
      <c r="AF6012">
        <v>-0.67573276813056105</v>
      </c>
      <c r="AG6012">
        <v>-1.1074367553296001</v>
      </c>
      <c r="AH6012">
        <v>24.5439137457826</v>
      </c>
      <c r="AI6012">
        <v>92.582491954489797</v>
      </c>
      <c r="AJ6012">
        <v>91.577045058568302</v>
      </c>
      <c r="AK6012">
        <v>24.578175947400901</v>
      </c>
      <c r="AL6012">
        <v>82.112126487329803</v>
      </c>
      <c r="AM6012">
        <v>86.782725839131601</v>
      </c>
      <c r="AN6012">
        <v>0.99999996739460395</v>
      </c>
    </row>
    <row r="6013" spans="1:40" x14ac:dyDescent="0.25">
      <c r="A6013" t="str">
        <f>"20190312164623533"</f>
        <v>20190312164623533</v>
      </c>
      <c r="B6013" t="str">
        <f>"1552380383527123"</f>
        <v>1552380383527123</v>
      </c>
      <c r="C6013" t="s">
        <v>40</v>
      </c>
      <c r="D6013">
        <v>5.0462730000000002</v>
      </c>
      <c r="E6013">
        <v>0.47321679999999999</v>
      </c>
      <c r="F6013" t="s">
        <v>92</v>
      </c>
      <c r="G6013">
        <v>-220.15809999999999</v>
      </c>
      <c r="H6013" s="1">
        <v>6.8784890000000004E-7</v>
      </c>
      <c r="I6013">
        <v>-60.951639999999998</v>
      </c>
      <c r="J6013">
        <v>-245.57919999999999</v>
      </c>
      <c r="K6013">
        <v>1.1074299999999999</v>
      </c>
      <c r="L6013">
        <v>-61.897860000000001</v>
      </c>
      <c r="M6013">
        <v>0.99992460000000005</v>
      </c>
      <c r="N6013">
        <v>0</v>
      </c>
      <c r="O6013">
        <v>9.5816189999999996E-3</v>
      </c>
      <c r="P6013">
        <v>0.99056549999999999</v>
      </c>
      <c r="Q6013">
        <v>0.12929660000000001</v>
      </c>
      <c r="R6013">
        <v>-4.5414690000000001E-2</v>
      </c>
      <c r="S6013">
        <v>3.0512540000000001</v>
      </c>
      <c r="T6013">
        <v>-0.13196830000000001</v>
      </c>
      <c r="U6013">
        <v>0.11294559999999999</v>
      </c>
      <c r="V6013">
        <v>5.5109329999999998E-2</v>
      </c>
      <c r="W6013">
        <v>0.1368202</v>
      </c>
      <c r="X6013">
        <v>0.98906179999999999</v>
      </c>
      <c r="Y6013">
        <v>-2.7397109999999999E-2</v>
      </c>
      <c r="Z6013">
        <v>1.7792630000000001E-4</v>
      </c>
      <c r="AA6013">
        <v>0.99962459999999997</v>
      </c>
      <c r="AB6013">
        <v>36</v>
      </c>
      <c r="AC6013">
        <v>25.421099999999999</v>
      </c>
      <c r="AD6013">
        <v>-1.1074293121511001</v>
      </c>
      <c r="AE6013">
        <v>0.94621999999998896</v>
      </c>
      <c r="AF6013">
        <v>-0.70126508461059001</v>
      </c>
      <c r="AG6013">
        <v>-1.1074293121511001</v>
      </c>
      <c r="AH6013">
        <v>25.380899126097901</v>
      </c>
      <c r="AI6013">
        <v>92.497415330785003</v>
      </c>
      <c r="AJ6013">
        <v>91.582659063368794</v>
      </c>
      <c r="AK6013">
        <v>25.414724331565399</v>
      </c>
      <c r="AL6013">
        <v>82.136113764373803</v>
      </c>
      <c r="AM6013">
        <v>86.8108459083696</v>
      </c>
      <c r="AN6013">
        <v>1.0000000248001599</v>
      </c>
    </row>
    <row r="6014" spans="1:40" x14ac:dyDescent="0.25">
      <c r="A6014" t="str">
        <f>"20190312164623544"</f>
        <v>20190312164623544</v>
      </c>
      <c r="B6014" t="str">
        <f>"1552380383536881"</f>
        <v>1552380383536881</v>
      </c>
      <c r="C6014" t="s">
        <v>40</v>
      </c>
      <c r="D6014">
        <v>4.9394200000000001</v>
      </c>
      <c r="E6014">
        <v>0.47323019999999999</v>
      </c>
      <c r="F6014" t="s">
        <v>93</v>
      </c>
      <c r="G6014">
        <v>-219.33879999999999</v>
      </c>
      <c r="H6014" s="1">
        <v>-3.1186629999999999E-6</v>
      </c>
      <c r="I6014">
        <v>-60.922339999999998</v>
      </c>
      <c r="J6014">
        <v>-245.40049999999999</v>
      </c>
      <c r="K6014">
        <v>1.107424</v>
      </c>
      <c r="L6014">
        <v>-61.8964199999999</v>
      </c>
      <c r="M6014">
        <v>0.99992760000000003</v>
      </c>
      <c r="N6014">
        <v>0</v>
      </c>
      <c r="O6014">
        <v>9.2336520000000002E-3</v>
      </c>
      <c r="P6014">
        <v>0.99061790000000005</v>
      </c>
      <c r="Q6014">
        <v>0.1289351</v>
      </c>
      <c r="R6014">
        <v>-4.5304070000000002E-2</v>
      </c>
      <c r="S6014">
        <v>3.0505979999999999</v>
      </c>
      <c r="T6014">
        <v>-0.12874539999999901</v>
      </c>
      <c r="U6014">
        <v>0.1134033</v>
      </c>
      <c r="V6014">
        <v>5.465797E-2</v>
      </c>
      <c r="W6014">
        <v>0.13650519999999999</v>
      </c>
      <c r="X6014">
        <v>0.98913030000000002</v>
      </c>
      <c r="Y6014">
        <v>-2.7902739999999999E-2</v>
      </c>
      <c r="Z6014">
        <v>1.9895549999999999E-4</v>
      </c>
      <c r="AA6014">
        <v>0.99961060000000002</v>
      </c>
      <c r="AB6014">
        <v>36</v>
      </c>
      <c r="AC6014">
        <v>26.061699999999998</v>
      </c>
      <c r="AD6014">
        <v>-1.107427118663</v>
      </c>
      <c r="AE6014">
        <v>0.97407999999998596</v>
      </c>
      <c r="AF6014">
        <v>-0.73206665391463499</v>
      </c>
      <c r="AG6014">
        <v>-1.107427118663</v>
      </c>
      <c r="AH6014">
        <v>26.022662152626701</v>
      </c>
      <c r="AI6014">
        <v>92.435861092641701</v>
      </c>
      <c r="AJ6014">
        <v>91.611413530170395</v>
      </c>
      <c r="AK6014">
        <v>26.056501336877002</v>
      </c>
      <c r="AL6014">
        <v>82.154332336286998</v>
      </c>
      <c r="AM6014">
        <v>86.837131275115993</v>
      </c>
      <c r="AN6014">
        <v>0.99999995684482401</v>
      </c>
    </row>
    <row r="6015" spans="1:40" x14ac:dyDescent="0.25">
      <c r="A6015" t="str">
        <f>"20190312164623555"</f>
        <v>20190312164623555</v>
      </c>
      <c r="B6015" t="str">
        <f>"1552380383547618"</f>
        <v>1552380383547618</v>
      </c>
      <c r="C6015" t="s">
        <v>40</v>
      </c>
      <c r="D6015">
        <v>5.104527</v>
      </c>
      <c r="E6015">
        <v>0.47323159999999997</v>
      </c>
      <c r="F6015" t="s">
        <v>93</v>
      </c>
      <c r="G6015">
        <v>-218.5985</v>
      </c>
      <c r="H6015" s="1">
        <v>-2.7953850000000002E-6</v>
      </c>
      <c r="I6015">
        <v>-60.900910000000003</v>
      </c>
      <c r="J6015">
        <v>-245.22909999999999</v>
      </c>
      <c r="K6015">
        <v>1.1074189999999999</v>
      </c>
      <c r="L6015">
        <v>-61.89508</v>
      </c>
      <c r="M6015">
        <v>0.99993019999999999</v>
      </c>
      <c r="N6015">
        <v>0</v>
      </c>
      <c r="O6015">
        <v>8.8966329999999993E-3</v>
      </c>
      <c r="P6015">
        <v>0.99067570000000005</v>
      </c>
      <c r="Q6015">
        <v>0.12856809999999999</v>
      </c>
      <c r="R6015">
        <v>-4.5078930000000003E-2</v>
      </c>
      <c r="S6015">
        <v>3.0500029999999998</v>
      </c>
      <c r="T6015">
        <v>-0.12602260000000001</v>
      </c>
      <c r="U6015">
        <v>0.1132813</v>
      </c>
      <c r="V6015">
        <v>5.410326E-2</v>
      </c>
      <c r="W6015">
        <v>0.13618910000000001</v>
      </c>
      <c r="X6015">
        <v>0.98920439999999998</v>
      </c>
      <c r="Y6015">
        <v>-2.8207070000000001E-2</v>
      </c>
      <c r="Z6015">
        <v>2.1498510000000001E-4</v>
      </c>
      <c r="AA6015">
        <v>0.99960210000000005</v>
      </c>
      <c r="AB6015">
        <v>36</v>
      </c>
      <c r="AC6015">
        <v>26.630599999999902</v>
      </c>
      <c r="AD6015">
        <v>-1.1074217953849901</v>
      </c>
      <c r="AE6015">
        <v>0.99417000000001099</v>
      </c>
      <c r="AF6015">
        <v>-0.755895484562224</v>
      </c>
      <c r="AG6015">
        <v>-1.1074217953849901</v>
      </c>
      <c r="AH6015">
        <v>26.5924693308244</v>
      </c>
      <c r="AI6015">
        <v>92.383696639215501</v>
      </c>
      <c r="AJ6015">
        <v>91.628203892850294</v>
      </c>
      <c r="AK6015">
        <v>26.6262499448817</v>
      </c>
      <c r="AL6015">
        <v>82.172614521764302</v>
      </c>
      <c r="AM6015">
        <v>86.869400310303703</v>
      </c>
      <c r="AN6015">
        <v>0.99999998934039802</v>
      </c>
    </row>
    <row r="6016" spans="1:40" x14ac:dyDescent="0.25">
      <c r="A6016" t="str">
        <f>"20190312164623567"</f>
        <v>20190312164623567</v>
      </c>
      <c r="B6016" t="str">
        <f>"1552380383557378"</f>
        <v>1552380383557378</v>
      </c>
      <c r="C6016" t="s">
        <v>40</v>
      </c>
      <c r="D6016">
        <v>5.1151799999999996</v>
      </c>
      <c r="E6016">
        <v>0.47336299999999998</v>
      </c>
      <c r="F6016" t="s">
        <v>93</v>
      </c>
      <c r="G6016">
        <v>-218.13919999999999</v>
      </c>
      <c r="H6016" s="1">
        <v>-2.5944679999999999E-6</v>
      </c>
      <c r="I6016">
        <v>-60.886279999999999</v>
      </c>
      <c r="J6016">
        <v>-245.03530000000001</v>
      </c>
      <c r="K6016">
        <v>1.107423</v>
      </c>
      <c r="L6016">
        <v>-61.893650000000001</v>
      </c>
      <c r="M6016">
        <v>0.99993290000000001</v>
      </c>
      <c r="N6016">
        <v>0</v>
      </c>
      <c r="O6016">
        <v>8.5122710000000001E-3</v>
      </c>
      <c r="P6016">
        <v>0.99070469999999999</v>
      </c>
      <c r="Q6016">
        <v>0.1283581</v>
      </c>
      <c r="R6016">
        <v>-4.503646E-2</v>
      </c>
      <c r="S6016">
        <v>3.0495760000000001</v>
      </c>
      <c r="T6016">
        <v>-0.12466530000000001</v>
      </c>
      <c r="U6016">
        <v>0.1135559</v>
      </c>
      <c r="V6016">
        <v>5.3684540000000003E-2</v>
      </c>
      <c r="W6016">
        <v>0.1360422</v>
      </c>
      <c r="X6016">
        <v>0.9892474</v>
      </c>
      <c r="Y6016">
        <v>-2.868602E-2</v>
      </c>
      <c r="Z6016">
        <v>2.381823E-4</v>
      </c>
      <c r="AA6016">
        <v>0.99958840000000004</v>
      </c>
      <c r="AB6016">
        <v>36</v>
      </c>
      <c r="AC6016">
        <v>26.896100000000001</v>
      </c>
      <c r="AD6016">
        <v>-1.107425594468</v>
      </c>
      <c r="AE6016">
        <v>1.0073699999999901</v>
      </c>
      <c r="AF6016">
        <v>-0.77706401799055702</v>
      </c>
      <c r="AG6016">
        <v>-1.107425594468</v>
      </c>
      <c r="AH6016">
        <v>26.8582313776894</v>
      </c>
      <c r="AI6016">
        <v>92.360110625012695</v>
      </c>
      <c r="AJ6016">
        <v>91.6572227532222</v>
      </c>
      <c r="AK6016">
        <v>26.8922816561339</v>
      </c>
      <c r="AL6016">
        <v>82.181110145158698</v>
      </c>
      <c r="AM6016">
        <v>86.893716008623301</v>
      </c>
      <c r="AN6016">
        <v>0.99999996421130499</v>
      </c>
    </row>
    <row r="6017" spans="1:40" x14ac:dyDescent="0.25">
      <c r="A6017" t="str">
        <f>"20190312164623576"</f>
        <v>20190312164623576</v>
      </c>
      <c r="B6017" t="str">
        <f>"1552380383567138"</f>
        <v>1552380383567138</v>
      </c>
      <c r="C6017" t="s">
        <v>40</v>
      </c>
      <c r="D6017">
        <v>5.1733060000000002</v>
      </c>
      <c r="E6017">
        <v>0.47316269999999999</v>
      </c>
      <c r="F6017" t="s">
        <v>93</v>
      </c>
      <c r="G6017">
        <v>-218.71100000000001</v>
      </c>
      <c r="H6017" s="1">
        <v>-2.8488539999999999E-6</v>
      </c>
      <c r="I6017">
        <v>-60.920569999999998</v>
      </c>
      <c r="J6017">
        <v>-244.87710000000001</v>
      </c>
      <c r="K6017">
        <v>1.107421</v>
      </c>
      <c r="L6017">
        <v>-61.892580000000002</v>
      </c>
      <c r="M6017">
        <v>0.99993529999999997</v>
      </c>
      <c r="N6017">
        <v>0</v>
      </c>
      <c r="O6017">
        <v>8.1920650000000001E-3</v>
      </c>
      <c r="P6017">
        <v>0.99075040000000003</v>
      </c>
      <c r="Q6017">
        <v>0.12806509999999999</v>
      </c>
      <c r="R6017">
        <v>-4.4872479999999999E-2</v>
      </c>
      <c r="S6017">
        <v>3.0498959999999999</v>
      </c>
      <c r="T6017">
        <v>-0.12830459999999999</v>
      </c>
      <c r="U6017">
        <v>0.1127319</v>
      </c>
      <c r="V6017">
        <v>5.3207270000000001E-2</v>
      </c>
      <c r="W6017">
        <v>0.13580980000000001</v>
      </c>
      <c r="X6017">
        <v>0.98930510000000005</v>
      </c>
      <c r="Y6017">
        <v>-2.8731219999999998E-2</v>
      </c>
      <c r="Z6017">
        <v>2.5951359999999999E-4</v>
      </c>
      <c r="AA6017">
        <v>0.99958709999999995</v>
      </c>
      <c r="AB6017">
        <v>36</v>
      </c>
      <c r="AC6017">
        <v>26.1661</v>
      </c>
      <c r="AD6017">
        <v>-1.107423848854</v>
      </c>
      <c r="AE6017">
        <v>0.97201000000000404</v>
      </c>
      <c r="AF6017">
        <v>-0.75626354353686698</v>
      </c>
      <c r="AG6017">
        <v>-1.107423848854</v>
      </c>
      <c r="AH6017">
        <v>26.126451125258502</v>
      </c>
      <c r="AI6017">
        <v>92.426132636865105</v>
      </c>
      <c r="AJ6017">
        <v>91.658036640213695</v>
      </c>
      <c r="AK6017">
        <v>26.160844224313799</v>
      </c>
      <c r="AL6017">
        <v>82.194550297791295</v>
      </c>
      <c r="AM6017">
        <v>86.921457562197702</v>
      </c>
      <c r="AN6017">
        <v>0.99999994812144999</v>
      </c>
    </row>
    <row r="6018" spans="1:40" x14ac:dyDescent="0.25">
      <c r="A6018" t="str">
        <f>"20190312164623586"</f>
        <v>20190312164623586</v>
      </c>
      <c r="B6018" t="str">
        <f>"1552380383576898"</f>
        <v>1552380383576898</v>
      </c>
      <c r="C6018" t="s">
        <v>40</v>
      </c>
      <c r="D6018">
        <v>5.0629210000000002</v>
      </c>
      <c r="E6018">
        <v>0.47337859999999998</v>
      </c>
      <c r="F6018" t="s">
        <v>93</v>
      </c>
      <c r="G6018">
        <v>-218.88560000000001</v>
      </c>
      <c r="H6018" s="1">
        <v>-2.9219489999999998E-6</v>
      </c>
      <c r="I6018">
        <v>-60.913640000000001</v>
      </c>
      <c r="J6018">
        <v>-244.70580000000001</v>
      </c>
      <c r="K6018">
        <v>1.1074200000000001</v>
      </c>
      <c r="L6018">
        <v>-61.891449999999999</v>
      </c>
      <c r="M6018">
        <v>0.99993739999999998</v>
      </c>
      <c r="N6018">
        <v>0</v>
      </c>
      <c r="O6018">
        <v>7.8440330000000003E-3</v>
      </c>
      <c r="P6018">
        <v>0.99076520000000001</v>
      </c>
      <c r="Q6018">
        <v>0.12799720000000001</v>
      </c>
      <c r="R6018">
        <v>-4.4732870000000001E-2</v>
      </c>
      <c r="S6018">
        <v>3.0500029999999998</v>
      </c>
      <c r="T6018">
        <v>-0.12995200000000001</v>
      </c>
      <c r="U6018">
        <v>0.1148682</v>
      </c>
      <c r="V6018">
        <v>5.2727349999999999E-2</v>
      </c>
      <c r="W6018">
        <v>0.13581029999999999</v>
      </c>
      <c r="X6018">
        <v>0.98933079999999995</v>
      </c>
      <c r="Y6018">
        <v>-2.977523E-2</v>
      </c>
      <c r="Z6018">
        <v>2.9986900000000003E-4</v>
      </c>
      <c r="AA6018">
        <v>0.99955660000000002</v>
      </c>
      <c r="AB6018">
        <v>36</v>
      </c>
      <c r="AC6018">
        <v>25.8202</v>
      </c>
      <c r="AD6018">
        <v>-1.1074229219489999</v>
      </c>
      <c r="AE6018">
        <v>0.97780999999999796</v>
      </c>
      <c r="AF6018">
        <v>-0.77381754213389198</v>
      </c>
      <c r="AG6018">
        <v>-1.1074229219489999</v>
      </c>
      <c r="AH6018">
        <v>25.779721051989998</v>
      </c>
      <c r="AI6018">
        <v>92.458644195736795</v>
      </c>
      <c r="AJ6018">
        <v>91.719303742045099</v>
      </c>
      <c r="AK6018">
        <v>25.8150962933511</v>
      </c>
      <c r="AL6018">
        <v>82.194521957738303</v>
      </c>
      <c r="AM6018">
        <v>86.949251869033304</v>
      </c>
      <c r="AN6018">
        <v>1.00000002142637</v>
      </c>
    </row>
    <row r="6019" spans="1:40" x14ac:dyDescent="0.25">
      <c r="A6019" t="str">
        <f>"20190312164623599"</f>
        <v>20190312164623599</v>
      </c>
      <c r="B6019" t="str">
        <f>"1552380383587634"</f>
        <v>1552380383587634</v>
      </c>
      <c r="C6019" t="s">
        <v>40</v>
      </c>
      <c r="D6019">
        <v>5.1555260000000001</v>
      </c>
      <c r="E6019">
        <v>0.47321790000000002</v>
      </c>
      <c r="F6019" t="s">
        <v>93</v>
      </c>
      <c r="G6019">
        <v>-219.14340000000001</v>
      </c>
      <c r="H6019" s="1">
        <v>-3.038899E-6</v>
      </c>
      <c r="I6019">
        <v>-60.937660000000001</v>
      </c>
      <c r="J6019">
        <v>-244.52699999999999</v>
      </c>
      <c r="K6019">
        <v>1.1074219999999999</v>
      </c>
      <c r="L6019">
        <v>-61.890349999999998</v>
      </c>
      <c r="M6019">
        <v>0.99993969999999999</v>
      </c>
      <c r="N6019">
        <v>0</v>
      </c>
      <c r="O6019">
        <v>7.4690599999999996E-3</v>
      </c>
      <c r="P6019">
        <v>0.99078860000000002</v>
      </c>
      <c r="Q6019">
        <v>0.12782789999999999</v>
      </c>
      <c r="R6019">
        <v>-4.4703619999999999E-2</v>
      </c>
      <c r="S6019">
        <v>3.0501559999999999</v>
      </c>
      <c r="T6019">
        <v>-0.1321396</v>
      </c>
      <c r="U6019">
        <v>0.1138</v>
      </c>
      <c r="V6019">
        <v>5.2331669999999997E-2</v>
      </c>
      <c r="W6019">
        <v>0.13572519999999999</v>
      </c>
      <c r="X6019">
        <v>0.98936349999999995</v>
      </c>
      <c r="Y6019">
        <v>-2.9797580000000001E-2</v>
      </c>
      <c r="Z6019">
        <v>3.21613E-4</v>
      </c>
      <c r="AA6019">
        <v>0.99955590000000005</v>
      </c>
      <c r="AB6019">
        <v>36</v>
      </c>
      <c r="AC6019">
        <v>25.383600000000001</v>
      </c>
      <c r="AD6019">
        <v>-1.1074250388989999</v>
      </c>
      <c r="AE6019">
        <v>0.95268999999999604</v>
      </c>
      <c r="AF6019">
        <v>-0.76161805016278294</v>
      </c>
      <c r="AG6019">
        <v>-1.1074250388989999</v>
      </c>
      <c r="AH6019">
        <v>25.3418408957432</v>
      </c>
      <c r="AI6019">
        <v>92.501075455077995</v>
      </c>
      <c r="AJ6019">
        <v>91.721436455380797</v>
      </c>
      <c r="AK6019">
        <v>25.377457560919598</v>
      </c>
      <c r="AL6019">
        <v>82.1994434991649</v>
      </c>
      <c r="AM6019">
        <v>86.972202620172595</v>
      </c>
      <c r="AN6019">
        <v>1.0000000343661299</v>
      </c>
    </row>
    <row r="6020" spans="1:40" x14ac:dyDescent="0.25">
      <c r="A6020" t="str">
        <f>"20190312164623611"</f>
        <v>20190312164623611</v>
      </c>
      <c r="B6020" t="str">
        <f>"1552380383607154"</f>
        <v>1552380383607154</v>
      </c>
      <c r="C6020" t="s">
        <v>40</v>
      </c>
      <c r="D6020">
        <v>5.2512059999999998</v>
      </c>
      <c r="E6020">
        <v>0.47304990000000002</v>
      </c>
      <c r="F6020" t="s">
        <v>93</v>
      </c>
      <c r="G6020">
        <v>-219.73519999999999</v>
      </c>
      <c r="H6020" s="1">
        <v>-3.2736880000000002E-6</v>
      </c>
      <c r="I6020">
        <v>-60.953319999999998</v>
      </c>
      <c r="J6020">
        <v>-244.33340000000001</v>
      </c>
      <c r="K6020">
        <v>1.1074200000000001</v>
      </c>
      <c r="L6020">
        <v>-61.889220000000002</v>
      </c>
      <c r="M6020">
        <v>0.99994190000000005</v>
      </c>
      <c r="N6020">
        <v>0</v>
      </c>
      <c r="O6020">
        <v>7.0595500000000004E-3</v>
      </c>
      <c r="P6020">
        <v>0.99083860000000001</v>
      </c>
      <c r="Q6020">
        <v>0.12752169999999999</v>
      </c>
      <c r="R6020">
        <v>-4.4465480000000002E-2</v>
      </c>
      <c r="S6020">
        <v>3.0506739999999999</v>
      </c>
      <c r="T6020">
        <v>-0.136270899999999</v>
      </c>
      <c r="U6020">
        <v>0.11529540000000001</v>
      </c>
      <c r="V6020">
        <v>5.169385E-2</v>
      </c>
      <c r="W6020">
        <v>0.135515</v>
      </c>
      <c r="X6020">
        <v>0.98942580000000002</v>
      </c>
      <c r="Y6020">
        <v>-3.0687240000000001E-2</v>
      </c>
      <c r="Z6020">
        <v>3.6972779999999998E-4</v>
      </c>
      <c r="AA6020">
        <v>0.99952890000000005</v>
      </c>
      <c r="AB6020">
        <v>36</v>
      </c>
      <c r="AC6020">
        <v>24.598199999999999</v>
      </c>
      <c r="AD6020">
        <v>-1.1074232736880001</v>
      </c>
      <c r="AE6020">
        <v>0.93589999999999596</v>
      </c>
      <c r="AF6020">
        <v>-0.76067914160681205</v>
      </c>
      <c r="AG6020">
        <v>-1.1074232736880001</v>
      </c>
      <c r="AH6020">
        <v>24.554498018549399</v>
      </c>
      <c r="AI6020">
        <v>92.581089117357394</v>
      </c>
      <c r="AJ6020">
        <v>91.774410935520095</v>
      </c>
      <c r="AK6020">
        <v>24.591225915080599</v>
      </c>
      <c r="AL6020">
        <v>82.211599045157399</v>
      </c>
      <c r="AM6020">
        <v>87.009226076576496</v>
      </c>
      <c r="AN6020">
        <v>0.99999999152923102</v>
      </c>
    </row>
    <row r="6021" spans="1:40" x14ac:dyDescent="0.25">
      <c r="A6021" t="str">
        <f>"20190312164623621"</f>
        <v>20190312164623621</v>
      </c>
      <c r="B6021" t="str">
        <f>"1552380383616913"</f>
        <v>1552380383616913</v>
      </c>
      <c r="C6021" t="s">
        <v>40</v>
      </c>
      <c r="D6021">
        <v>5.3003999999999998</v>
      </c>
      <c r="E6021">
        <v>0.47300330000000002</v>
      </c>
      <c r="F6021" t="s">
        <v>92</v>
      </c>
      <c r="G6021">
        <v>-220.61330000000001</v>
      </c>
      <c r="H6021" s="1">
        <v>4.8725419999999996E-7</v>
      </c>
      <c r="I6021">
        <v>-60.9754</v>
      </c>
      <c r="J6021">
        <v>-244.1533</v>
      </c>
      <c r="K6021">
        <v>1.1074170000000001</v>
      </c>
      <c r="L6021">
        <v>-61.888280000000002</v>
      </c>
      <c r="M6021">
        <v>0.99994369999999999</v>
      </c>
      <c r="N6021">
        <v>0</v>
      </c>
      <c r="O6021">
        <v>6.6643609999999997E-3</v>
      </c>
      <c r="P6021">
        <v>0.9908633</v>
      </c>
      <c r="Q6021">
        <v>0.12737760000000001</v>
      </c>
      <c r="R6021">
        <v>-4.4329840000000002E-2</v>
      </c>
      <c r="S6021">
        <v>3.0513309999999998</v>
      </c>
      <c r="T6021">
        <v>-0.14245759999999999</v>
      </c>
      <c r="U6021">
        <v>0.1175537</v>
      </c>
      <c r="V6021">
        <v>5.1172950000000002E-2</v>
      </c>
      <c r="W6021">
        <v>0.1354706</v>
      </c>
      <c r="X6021">
        <v>0.98945899999999998</v>
      </c>
      <c r="Y6021">
        <v>-3.1808990000000002E-2</v>
      </c>
      <c r="Z6021">
        <v>4.3100119999999999E-4</v>
      </c>
      <c r="AA6021">
        <v>0.99949390000000005</v>
      </c>
      <c r="AB6021">
        <v>36</v>
      </c>
      <c r="AC6021">
        <v>23.5399999999999</v>
      </c>
      <c r="AD6021">
        <v>-1.1074165127458</v>
      </c>
      <c r="AE6021">
        <v>0.91288000000000102</v>
      </c>
      <c r="AF6021">
        <v>-0.75430843565153105</v>
      </c>
      <c r="AG6021">
        <v>-1.1074165127458</v>
      </c>
      <c r="AH6021">
        <v>23.493644508567801</v>
      </c>
      <c r="AI6021">
        <v>92.697357385554</v>
      </c>
      <c r="AJ6021">
        <v>91.838958968567894</v>
      </c>
      <c r="AK6021">
        <v>23.531822811753301</v>
      </c>
      <c r="AL6021">
        <v>82.214166984077707</v>
      </c>
      <c r="AM6021">
        <v>87.039408284897405</v>
      </c>
      <c r="AN6021">
        <v>1.0000000334785299</v>
      </c>
    </row>
    <row r="6022" spans="1:40" x14ac:dyDescent="0.25">
      <c r="A6022" t="str">
        <f>"20190312164623633"</f>
        <v>20190312164623633</v>
      </c>
      <c r="B6022" t="str">
        <f>"1552380383627668"</f>
        <v>1552380383627668</v>
      </c>
      <c r="C6022" t="s">
        <v>40</v>
      </c>
      <c r="D6022">
        <v>5.1632249999999997</v>
      </c>
      <c r="E6022">
        <v>0.47286299999999998</v>
      </c>
      <c r="F6022" t="s">
        <v>92</v>
      </c>
      <c r="G6022">
        <v>-220.9734</v>
      </c>
      <c r="H6022" s="1">
        <v>3.2974009999999998E-7</v>
      </c>
      <c r="I6022">
        <v>-60.989109999999997</v>
      </c>
      <c r="J6022">
        <v>-243.9674</v>
      </c>
      <c r="K6022">
        <v>1.107413</v>
      </c>
      <c r="L6022">
        <v>-61.887360000000001</v>
      </c>
      <c r="M6022">
        <v>0.99994559999999999</v>
      </c>
      <c r="N6022">
        <v>0</v>
      </c>
      <c r="O6022">
        <v>6.2496879999999998E-3</v>
      </c>
      <c r="P6022">
        <v>0.99091850000000004</v>
      </c>
      <c r="Q6022">
        <v>0.1270569</v>
      </c>
      <c r="R6022">
        <v>-4.4016810000000003E-2</v>
      </c>
      <c r="S6022">
        <v>3.0516969999999999</v>
      </c>
      <c r="T6022">
        <v>-0.14579449999999999</v>
      </c>
      <c r="U6022">
        <v>0.1183777</v>
      </c>
      <c r="V6022">
        <v>5.04555E-2</v>
      </c>
      <c r="W6022">
        <v>0.1352556</v>
      </c>
      <c r="X6022">
        <v>0.98952519999999999</v>
      </c>
      <c r="Y6022">
        <v>-3.2485779999999999E-2</v>
      </c>
      <c r="Z6022">
        <v>4.76973E-4</v>
      </c>
      <c r="AA6022">
        <v>0.99947209999999997</v>
      </c>
      <c r="AB6022">
        <v>36</v>
      </c>
      <c r="AC6022">
        <v>22.994</v>
      </c>
      <c r="AD6022">
        <v>-1.1074126702598901</v>
      </c>
      <c r="AE6022">
        <v>0.89825000000000399</v>
      </c>
      <c r="AF6022">
        <v>-0.75277872751865305</v>
      </c>
      <c r="AG6022">
        <v>-1.1074126702598901</v>
      </c>
      <c r="AH6022">
        <v>22.946023226825201</v>
      </c>
      <c r="AI6022">
        <v>92.761560909118899</v>
      </c>
      <c r="AJ6022">
        <v>91.879000123604399</v>
      </c>
      <c r="AK6022">
        <v>22.9850608126422</v>
      </c>
      <c r="AL6022">
        <v>82.226599576145404</v>
      </c>
      <c r="AM6022">
        <v>87.081038737968598</v>
      </c>
      <c r="AN6022">
        <v>0.99999997812332397</v>
      </c>
    </row>
    <row r="6023" spans="1:40" x14ac:dyDescent="0.25">
      <c r="A6023" t="str">
        <f>"20190312164623644"</f>
        <v>20190312164623644</v>
      </c>
      <c r="B6023" t="str">
        <f>"1552380383637409"</f>
        <v>1552380383637409</v>
      </c>
      <c r="C6023" t="s">
        <v>40</v>
      </c>
      <c r="D6023">
        <v>4.8220830000000001</v>
      </c>
      <c r="E6023">
        <v>0.47291280000000002</v>
      </c>
      <c r="F6023" t="s">
        <v>92</v>
      </c>
      <c r="G6023">
        <v>-221.31970000000001</v>
      </c>
      <c r="H6023" s="1">
        <v>1.80351E-7</v>
      </c>
      <c r="I6023">
        <v>-60.992840000000001</v>
      </c>
      <c r="J6023">
        <v>-243.77770000000001</v>
      </c>
      <c r="K6023">
        <v>1.1074079999999999</v>
      </c>
      <c r="L6023">
        <v>-61.886539999999997</v>
      </c>
      <c r="M6023">
        <v>0.99994709999999998</v>
      </c>
      <c r="N6023">
        <v>0</v>
      </c>
      <c r="O6023">
        <v>5.8160620000000003E-3</v>
      </c>
      <c r="P6023">
        <v>0.99092990000000003</v>
      </c>
      <c r="Q6023">
        <v>0.12709239999999999</v>
      </c>
      <c r="R6023">
        <v>-4.3649359999999998E-2</v>
      </c>
      <c r="S6023">
        <v>3.0520019999999999</v>
      </c>
      <c r="T6023">
        <v>-0.1492348</v>
      </c>
      <c r="U6023">
        <v>0.1205444</v>
      </c>
      <c r="V6023">
        <v>4.9665809999999998E-2</v>
      </c>
      <c r="W6023">
        <v>0.1354021</v>
      </c>
      <c r="X6023">
        <v>0.98954520000000001</v>
      </c>
      <c r="Y6023">
        <v>-3.3620499999999998E-2</v>
      </c>
      <c r="Z6023">
        <v>5.3705539999999996E-4</v>
      </c>
      <c r="AA6023">
        <v>0.9994345</v>
      </c>
      <c r="AB6023">
        <v>36</v>
      </c>
      <c r="AC6023">
        <v>22.457999999999998</v>
      </c>
      <c r="AD6023">
        <v>-1.107407819649</v>
      </c>
      <c r="AE6023">
        <v>0.89370000000000205</v>
      </c>
      <c r="AF6023">
        <v>-0.76121509967981704</v>
      </c>
      <c r="AG6023">
        <v>-1.107407819649</v>
      </c>
      <c r="AH6023">
        <v>22.408418367594901</v>
      </c>
      <c r="AI6023">
        <v>92.827585881765302</v>
      </c>
      <c r="AJ6023">
        <v>91.945592362310606</v>
      </c>
      <c r="AK6023">
        <v>22.4486751111099</v>
      </c>
      <c r="AL6023">
        <v>82.218128467841893</v>
      </c>
      <c r="AM6023">
        <v>87.126704845624502</v>
      </c>
      <c r="AN6023">
        <v>1.0000000621052001</v>
      </c>
    </row>
    <row r="6024" spans="1:40" x14ac:dyDescent="0.25">
      <c r="A6024" t="str">
        <f>"20190312164623654"</f>
        <v>20190312164623654</v>
      </c>
      <c r="B6024" t="str">
        <f>"1552380383647169"</f>
        <v>1552380383647169</v>
      </c>
      <c r="C6024" t="s">
        <v>40</v>
      </c>
      <c r="D6024">
        <v>5.1864999999999997</v>
      </c>
      <c r="E6024">
        <v>0.47273969999999998</v>
      </c>
      <c r="F6024" t="s">
        <v>92</v>
      </c>
      <c r="G6024">
        <v>-220.83879999999999</v>
      </c>
      <c r="H6024" s="1">
        <v>3.9021029999999997E-7</v>
      </c>
      <c r="I6024">
        <v>-60.976750000000003</v>
      </c>
      <c r="J6024">
        <v>-243.61330000000001</v>
      </c>
      <c r="K6024">
        <v>1.107402</v>
      </c>
      <c r="L6024">
        <v>-61.885930000000002</v>
      </c>
      <c r="M6024">
        <v>0.99994850000000002</v>
      </c>
      <c r="N6024">
        <v>0</v>
      </c>
      <c r="O6024">
        <v>5.4282719999999996E-3</v>
      </c>
      <c r="P6024">
        <v>0.99093370000000003</v>
      </c>
      <c r="Q6024">
        <v>0.1272007</v>
      </c>
      <c r="R6024">
        <v>-4.3252890000000002E-2</v>
      </c>
      <c r="S6024">
        <v>3.051666</v>
      </c>
      <c r="T6024">
        <v>-0.1473236</v>
      </c>
      <c r="U6024">
        <v>0.12103269999999999</v>
      </c>
      <c r="V6024">
        <v>4.8891730000000001E-2</v>
      </c>
      <c r="W6024">
        <v>0.1356118</v>
      </c>
      <c r="X6024">
        <v>0.98955490000000002</v>
      </c>
      <c r="Y6024">
        <v>-3.417183E-2</v>
      </c>
      <c r="Z6024">
        <v>5.6223980000000002E-4</v>
      </c>
      <c r="AA6024">
        <v>0.99941579999999997</v>
      </c>
      <c r="AB6024">
        <v>36</v>
      </c>
      <c r="AC6024">
        <v>22.7745</v>
      </c>
      <c r="AD6024">
        <v>-1.1074016097896999</v>
      </c>
      <c r="AE6024">
        <v>0.90917999999999899</v>
      </c>
      <c r="AF6024">
        <v>-0.783685914711168</v>
      </c>
      <c r="AG6024">
        <v>-1.1074016097896999</v>
      </c>
      <c r="AH6024">
        <v>22.7254543554082</v>
      </c>
      <c r="AI6024">
        <v>92.788137154398598</v>
      </c>
      <c r="AJ6024">
        <v>91.975058807967002</v>
      </c>
      <c r="AK6024">
        <v>22.765912623877501</v>
      </c>
      <c r="AL6024">
        <v>82.206000661569604</v>
      </c>
      <c r="AM6024">
        <v>87.171441749398298</v>
      </c>
      <c r="AN6024">
        <v>0.99999993083781902</v>
      </c>
    </row>
    <row r="6025" spans="1:40" x14ac:dyDescent="0.25">
      <c r="A6025" t="str">
        <f>"20190312164623665"</f>
        <v>20190312164623665</v>
      </c>
      <c r="B6025" t="str">
        <f>"1552380383656929"</f>
        <v>1552380383656929</v>
      </c>
      <c r="C6025" t="s">
        <v>40</v>
      </c>
      <c r="D6025">
        <v>5.1314019999999996</v>
      </c>
      <c r="E6025">
        <v>0.47271229999999997</v>
      </c>
      <c r="F6025" t="s">
        <v>92</v>
      </c>
      <c r="G6025">
        <v>-220.4863</v>
      </c>
      <c r="H6025" s="1">
        <v>5.4756999999999997E-7</v>
      </c>
      <c r="I6025">
        <v>-60.94923</v>
      </c>
      <c r="J6025">
        <v>-243.43770000000001</v>
      </c>
      <c r="K6025">
        <v>1.107394</v>
      </c>
      <c r="L6025">
        <v>-61.885280000000002</v>
      </c>
      <c r="M6025">
        <v>0.99994959999999999</v>
      </c>
      <c r="N6025">
        <v>0</v>
      </c>
      <c r="O6025">
        <v>5.0073690000000002E-3</v>
      </c>
      <c r="P6025">
        <v>0.99097380000000002</v>
      </c>
      <c r="Q6025">
        <v>0.12699839999999901</v>
      </c>
      <c r="R6025">
        <v>-4.2924459999999998E-2</v>
      </c>
      <c r="S6025">
        <v>3.05159</v>
      </c>
      <c r="T6025">
        <v>-0.14612069999999999</v>
      </c>
      <c r="U6025">
        <v>0.1235962</v>
      </c>
      <c r="V6025">
        <v>4.81532E-2</v>
      </c>
      <c r="W6025">
        <v>0.13552210000000001</v>
      </c>
      <c r="X6025">
        <v>0.98960349999999997</v>
      </c>
      <c r="Y6025">
        <v>-3.5430290000000003E-2</v>
      </c>
      <c r="Z6025">
        <v>6.0789290000000005E-4</v>
      </c>
      <c r="AA6025">
        <v>0.99937189999999998</v>
      </c>
      <c r="AB6025">
        <v>36</v>
      </c>
      <c r="AC6025">
        <v>22.9514</v>
      </c>
      <c r="AD6025">
        <v>-1.10739345242999</v>
      </c>
      <c r="AE6025">
        <v>0.93604999999999405</v>
      </c>
      <c r="AF6025">
        <v>-0.81920383259982898</v>
      </c>
      <c r="AG6025">
        <v>-1.10739345242999</v>
      </c>
      <c r="AH6025">
        <v>22.902570601468199</v>
      </c>
      <c r="AI6025">
        <v>92.7664640287163</v>
      </c>
      <c r="AJ6025">
        <v>92.048543846175406</v>
      </c>
      <c r="AK6025">
        <v>22.9439568368898</v>
      </c>
      <c r="AL6025">
        <v>82.211188748959302</v>
      </c>
      <c r="AM6025">
        <v>87.214237078669896</v>
      </c>
      <c r="AN6025">
        <v>1.00000002873544</v>
      </c>
    </row>
    <row r="6026" spans="1:40" x14ac:dyDescent="0.25">
      <c r="A6026" t="str">
        <f>"20190312164623677"</f>
        <v>20190312164623677</v>
      </c>
      <c r="B6026" t="str">
        <f>"1552380383667666"</f>
        <v>1552380383667666</v>
      </c>
      <c r="C6026" t="s">
        <v>40</v>
      </c>
      <c r="D6026">
        <v>5.164167</v>
      </c>
      <c r="E6026">
        <v>0.47268779999999999</v>
      </c>
      <c r="F6026" t="s">
        <v>92</v>
      </c>
      <c r="G6026">
        <v>-220.61770000000001</v>
      </c>
      <c r="H6026" s="1">
        <v>4.906408E-7</v>
      </c>
      <c r="I6026">
        <v>-60.951700000000002</v>
      </c>
      <c r="J6026">
        <v>-243.25710000000001</v>
      </c>
      <c r="K6026">
        <v>1.1073900000000001</v>
      </c>
      <c r="L6026">
        <v>-61.884799999999998</v>
      </c>
      <c r="M6026">
        <v>0.99995069999999997</v>
      </c>
      <c r="N6026">
        <v>0</v>
      </c>
      <c r="O6026">
        <v>4.5560219999999998E-3</v>
      </c>
      <c r="P6026">
        <v>0.99097109999999999</v>
      </c>
      <c r="Q6026">
        <v>0.1270695</v>
      </c>
      <c r="R6026">
        <v>-4.277326E-2</v>
      </c>
      <c r="S6026">
        <v>3.0516969999999999</v>
      </c>
      <c r="T6026">
        <v>-0.14809050000000001</v>
      </c>
      <c r="U6026">
        <v>0.1248474</v>
      </c>
      <c r="V6026">
        <v>4.756295E-2</v>
      </c>
      <c r="W6026">
        <v>0.13571720000000001</v>
      </c>
      <c r="X6026">
        <v>0.98960530000000002</v>
      </c>
      <c r="Y6026">
        <v>-3.6286539999999999E-2</v>
      </c>
      <c r="Z6026">
        <v>6.5868630000000001E-4</v>
      </c>
      <c r="AA6026">
        <v>0.99934120000000004</v>
      </c>
      <c r="AB6026">
        <v>36</v>
      </c>
      <c r="AC6026">
        <v>22.639399999999899</v>
      </c>
      <c r="AD6026">
        <v>-1.1073895093592001</v>
      </c>
      <c r="AE6026">
        <v>0.93309999999999504</v>
      </c>
      <c r="AF6026">
        <v>-0.82796306672028397</v>
      </c>
      <c r="AG6026">
        <v>-1.1073895093592001</v>
      </c>
      <c r="AH6026">
        <v>22.589460407164601</v>
      </c>
      <c r="AI6026">
        <v>92.804649447258697</v>
      </c>
      <c r="AJ6026">
        <v>92.099101184346296</v>
      </c>
      <c r="AK6026">
        <v>22.6317378000928</v>
      </c>
      <c r="AL6026">
        <v>82.199906042798105</v>
      </c>
      <c r="AM6026">
        <v>87.248336461139601</v>
      </c>
      <c r="AN6026">
        <v>1.00000002118831</v>
      </c>
    </row>
    <row r="6027" spans="1:40" x14ac:dyDescent="0.25">
      <c r="A6027" t="str">
        <f>"20190312164623687"</f>
        <v>20190312164623687</v>
      </c>
      <c r="B6027" t="str">
        <f>"1552380383677426"</f>
        <v>1552380383677426</v>
      </c>
      <c r="C6027" t="s">
        <v>40</v>
      </c>
      <c r="D6027">
        <v>5.3119759999999996</v>
      </c>
      <c r="E6027">
        <v>0.4727306</v>
      </c>
      <c r="F6027" t="s">
        <v>92</v>
      </c>
      <c r="G6027">
        <v>-220.60599999999999</v>
      </c>
      <c r="H6027" s="1">
        <v>4.9574359999999995E-7</v>
      </c>
      <c r="I6027">
        <v>-60.95138</v>
      </c>
      <c r="J6027">
        <v>-243.08179999999999</v>
      </c>
      <c r="K6027">
        <v>1.1073839999999999</v>
      </c>
      <c r="L6027">
        <v>-61.884340000000002</v>
      </c>
      <c r="M6027">
        <v>0.99995149999999999</v>
      </c>
      <c r="N6027">
        <v>0</v>
      </c>
      <c r="O6027">
        <v>4.1126549999999998E-3</v>
      </c>
      <c r="P6027">
        <v>0.99095900000000003</v>
      </c>
      <c r="Q6027">
        <v>0.1273543</v>
      </c>
      <c r="R6027">
        <v>-4.2208089999999997E-2</v>
      </c>
      <c r="S6027">
        <v>3.0518800000000001</v>
      </c>
      <c r="T6027">
        <v>-0.14920349999999999</v>
      </c>
      <c r="U6027">
        <v>0.12576289999999901</v>
      </c>
      <c r="V6027">
        <v>4.6566610000000001E-2</v>
      </c>
      <c r="W6027">
        <v>0.13612439999999901</v>
      </c>
      <c r="X6027">
        <v>0.9895967</v>
      </c>
      <c r="Y6027">
        <v>-3.7024479999999999E-2</v>
      </c>
      <c r="Z6027">
        <v>7.0326079999999999E-4</v>
      </c>
      <c r="AA6027">
        <v>0.99931409999999998</v>
      </c>
      <c r="AB6027">
        <v>36</v>
      </c>
      <c r="AC6027">
        <v>22.4757999999999</v>
      </c>
      <c r="AD6027">
        <v>-1.1073835042564</v>
      </c>
      <c r="AE6027">
        <v>0.93295999999999402</v>
      </c>
      <c r="AF6027">
        <v>-0.83848125378571103</v>
      </c>
      <c r="AG6027">
        <v>-1.1073835042564</v>
      </c>
      <c r="AH6027">
        <v>22.4251028828856</v>
      </c>
      <c r="AI6027">
        <v>92.825079817035103</v>
      </c>
      <c r="AJ6027">
        <v>92.141308701916898</v>
      </c>
      <c r="AK6027">
        <v>22.4680793203703</v>
      </c>
      <c r="AL6027">
        <v>82.176356214501794</v>
      </c>
      <c r="AM6027">
        <v>87.305868597237307</v>
      </c>
      <c r="AN6027">
        <v>0.99999996504656996</v>
      </c>
    </row>
    <row r="6028" spans="1:40" x14ac:dyDescent="0.25">
      <c r="A6028" t="str">
        <f>"20190312164623699"</f>
        <v>20190312164623699</v>
      </c>
      <c r="B6028" t="str">
        <f>"1552380383696946"</f>
        <v>1552380383696946</v>
      </c>
      <c r="C6028" t="s">
        <v>40</v>
      </c>
      <c r="D6028">
        <v>5.1924000000000001</v>
      </c>
      <c r="E6028">
        <v>0.47269899999999998</v>
      </c>
      <c r="F6028" t="s">
        <v>93</v>
      </c>
      <c r="G6028">
        <v>-220.02520000000001</v>
      </c>
      <c r="H6028" s="1">
        <v>-3.3671189999999998E-6</v>
      </c>
      <c r="I6028">
        <v>-60.923690000000001</v>
      </c>
      <c r="J6028">
        <v>-242.8973</v>
      </c>
      <c r="K6028">
        <v>1.10738</v>
      </c>
      <c r="L6028">
        <v>-61.883999999999901</v>
      </c>
      <c r="M6028">
        <v>0.99995210000000001</v>
      </c>
      <c r="N6028">
        <v>0</v>
      </c>
      <c r="O6028">
        <v>3.6217200000000001E-3</v>
      </c>
      <c r="P6028">
        <v>0.99095370000000005</v>
      </c>
      <c r="Q6028">
        <v>0.12742600000000001</v>
      </c>
      <c r="R6028">
        <v>-4.2114789999999999E-2</v>
      </c>
      <c r="S6028">
        <v>3.0516200000000002</v>
      </c>
      <c r="T6028">
        <v>-0.14656649999999999</v>
      </c>
      <c r="U6028">
        <v>0.1271362</v>
      </c>
      <c r="V6028">
        <v>4.5995880000000003E-2</v>
      </c>
      <c r="W6028">
        <v>0.13633039999999999</v>
      </c>
      <c r="X6028">
        <v>0.98959509999999995</v>
      </c>
      <c r="Y6028">
        <v>-3.7967250000000001E-2</v>
      </c>
      <c r="Z6028">
        <v>7.370702E-4</v>
      </c>
      <c r="AA6028">
        <v>0.99927869999999996</v>
      </c>
      <c r="AB6028">
        <v>36</v>
      </c>
      <c r="AC6028">
        <v>22.8720999999999</v>
      </c>
      <c r="AD6028">
        <v>-1.1073833671189901</v>
      </c>
      <c r="AE6028">
        <v>0.960309999999992</v>
      </c>
      <c r="AF6028">
        <v>-0.87541544766936796</v>
      </c>
      <c r="AG6028">
        <v>-1.1073833671189901</v>
      </c>
      <c r="AH6028">
        <v>22.8220241772996</v>
      </c>
      <c r="AI6028">
        <v>92.775921665561199</v>
      </c>
      <c r="AJ6028">
        <v>92.196695251263705</v>
      </c>
      <c r="AK6028">
        <v>22.865638798796699</v>
      </c>
      <c r="AL6028">
        <v>82.164442731985503</v>
      </c>
      <c r="AM6028">
        <v>87.338836371386193</v>
      </c>
      <c r="AN6028">
        <v>1.00000003044257</v>
      </c>
    </row>
    <row r="6029" spans="1:40" x14ac:dyDescent="0.25">
      <c r="A6029" t="str">
        <f>"20190312164623711"</f>
        <v>20190312164623711</v>
      </c>
      <c r="B6029" t="str">
        <f>"1552380383707682"</f>
        <v>1552380383707682</v>
      </c>
      <c r="C6029" t="s">
        <v>40</v>
      </c>
      <c r="D6029">
        <v>4.9644320000000004</v>
      </c>
      <c r="E6029">
        <v>0.4727345</v>
      </c>
      <c r="F6029" t="s">
        <v>93</v>
      </c>
      <c r="G6029">
        <v>-219.52629999999999</v>
      </c>
      <c r="H6029" s="1">
        <v>-3.1941620000000001E-6</v>
      </c>
      <c r="I6029">
        <v>-60.905760000000001</v>
      </c>
      <c r="J6029">
        <v>-242.70490000000001</v>
      </c>
      <c r="K6029">
        <v>1.107375</v>
      </c>
      <c r="L6029">
        <v>-61.88373</v>
      </c>
      <c r="M6029">
        <v>0.99995250000000002</v>
      </c>
      <c r="N6029">
        <v>0</v>
      </c>
      <c r="O6029">
        <v>3.1026890000000001E-3</v>
      </c>
      <c r="P6029">
        <v>0.9909673</v>
      </c>
      <c r="Q6029">
        <v>0.1274527</v>
      </c>
      <c r="R6029">
        <v>-4.1709110000000001E-2</v>
      </c>
      <c r="S6029">
        <v>3.0514070000000002</v>
      </c>
      <c r="T6029">
        <v>-0.1445844</v>
      </c>
      <c r="U6029">
        <v>0.1277161</v>
      </c>
      <c r="V6029">
        <v>4.5085420000000001E-2</v>
      </c>
      <c r="W6029">
        <v>0.1364995</v>
      </c>
      <c r="X6029">
        <v>0.98961370000000004</v>
      </c>
      <c r="Y6029">
        <v>-3.8678049999999999E-2</v>
      </c>
      <c r="Z6029">
        <v>7.6855360000000004E-4</v>
      </c>
      <c r="AA6029">
        <v>0.99925140000000001</v>
      </c>
      <c r="AB6029">
        <v>36</v>
      </c>
      <c r="AC6029">
        <v>23.178599999999999</v>
      </c>
      <c r="AD6029">
        <v>-1.107378194162</v>
      </c>
      <c r="AE6029">
        <v>0.977970000000006</v>
      </c>
      <c r="AF6029">
        <v>-0.90398652054263995</v>
      </c>
      <c r="AG6029">
        <v>-1.107378194162</v>
      </c>
      <c r="AH6029">
        <v>23.128824343963899</v>
      </c>
      <c r="AI6029">
        <v>92.739066367093102</v>
      </c>
      <c r="AJ6029">
        <v>92.238257400856099</v>
      </c>
      <c r="AK6029">
        <v>23.1729582407634</v>
      </c>
      <c r="AL6029">
        <v>82.154662679640893</v>
      </c>
      <c r="AM6029">
        <v>87.391487926380407</v>
      </c>
      <c r="AN6029">
        <v>1.0000000419122499</v>
      </c>
    </row>
    <row r="6030" spans="1:40" x14ac:dyDescent="0.25">
      <c r="A6030" t="str">
        <f>"20190312164623722"</f>
        <v>20190312164623722</v>
      </c>
      <c r="B6030" t="str">
        <f>"1552380383717442"</f>
        <v>1552380383717442</v>
      </c>
      <c r="C6030" t="s">
        <v>40</v>
      </c>
      <c r="D6030">
        <v>5.0537640000000001</v>
      </c>
      <c r="E6030">
        <v>0.47277760000000002</v>
      </c>
      <c r="F6030" t="s">
        <v>93</v>
      </c>
      <c r="G6030">
        <v>-219.0788</v>
      </c>
      <c r="H6030" s="1">
        <v>-2.9977530000000001E-6</v>
      </c>
      <c r="I6030">
        <v>-60.887149999999998</v>
      </c>
      <c r="J6030">
        <v>-242.5223</v>
      </c>
      <c r="K6030">
        <v>1.10737</v>
      </c>
      <c r="L6030">
        <v>-61.88364</v>
      </c>
      <c r="M6030">
        <v>0.99995270000000003</v>
      </c>
      <c r="N6030">
        <v>0</v>
      </c>
      <c r="O6030">
        <v>2.5899170000000002E-3</v>
      </c>
      <c r="P6030">
        <v>0.99096439999999997</v>
      </c>
      <c r="Q6030">
        <v>0.1275993</v>
      </c>
      <c r="R6030">
        <v>-4.132864E-2</v>
      </c>
      <c r="S6030">
        <v>3.051132</v>
      </c>
      <c r="T6030">
        <v>-0.1430092</v>
      </c>
      <c r="U6030">
        <v>0.12869259999999999</v>
      </c>
      <c r="V6030">
        <v>4.4206330000000002E-2</v>
      </c>
      <c r="W6030">
        <v>0.1367862</v>
      </c>
      <c r="X6030">
        <v>0.98961370000000004</v>
      </c>
      <c r="Y6030">
        <v>-3.951284E-2</v>
      </c>
      <c r="Z6030">
        <v>8.0380719999999998E-4</v>
      </c>
      <c r="AA6030">
        <v>0.99921879999999996</v>
      </c>
      <c r="AB6030">
        <v>36</v>
      </c>
      <c r="AC6030">
        <v>23.4435</v>
      </c>
      <c r="AD6030">
        <v>-1.107372997753</v>
      </c>
      <c r="AE6030">
        <v>0.99649000000000099</v>
      </c>
      <c r="AF6030">
        <v>-0.93368776173568802</v>
      </c>
      <c r="AG6030">
        <v>-1.107372997753</v>
      </c>
      <c r="AH6030">
        <v>23.3938994405001</v>
      </c>
      <c r="AI6030">
        <v>92.707975760027693</v>
      </c>
      <c r="AJ6030">
        <v>92.285552691604906</v>
      </c>
      <c r="AK6030">
        <v>23.4386983176285</v>
      </c>
      <c r="AL6030">
        <v>82.138079873675494</v>
      </c>
      <c r="AM6030">
        <v>87.442281318595093</v>
      </c>
      <c r="AN6030">
        <v>0.99999996967509897</v>
      </c>
    </row>
    <row r="6031" spans="1:40" x14ac:dyDescent="0.25">
      <c r="A6031" t="str">
        <f>"20190312164623734"</f>
        <v>20190312164623734</v>
      </c>
      <c r="B6031" t="str">
        <f>"1552380383727202"</f>
        <v>1552380383727202</v>
      </c>
      <c r="C6031" t="s">
        <v>40</v>
      </c>
      <c r="D6031">
        <v>5.084136</v>
      </c>
      <c r="E6031">
        <v>0.472773</v>
      </c>
      <c r="F6031" t="s">
        <v>93</v>
      </c>
      <c r="G6031">
        <v>-218.5829</v>
      </c>
      <c r="H6031" s="1">
        <v>-2.7797280000000002E-6</v>
      </c>
      <c r="I6031">
        <v>-60.867310000000003</v>
      </c>
      <c r="J6031">
        <v>-242.33609999999999</v>
      </c>
      <c r="K6031">
        <v>1.107361</v>
      </c>
      <c r="L6031">
        <v>-61.88364</v>
      </c>
      <c r="M6031">
        <v>0.99995259999999997</v>
      </c>
      <c r="N6031">
        <v>0</v>
      </c>
      <c r="O6031">
        <v>2.056361E-3</v>
      </c>
      <c r="P6031">
        <v>0.99097990000000002</v>
      </c>
      <c r="Q6031">
        <v>0.1276235</v>
      </c>
      <c r="R6031">
        <v>-4.0884299999999998E-2</v>
      </c>
      <c r="S6031">
        <v>3.0509339999999998</v>
      </c>
      <c r="T6031">
        <v>-0.14112729999999901</v>
      </c>
      <c r="U6031">
        <v>0.12951660000000001</v>
      </c>
      <c r="V6031">
        <v>4.3242419999999997E-2</v>
      </c>
      <c r="W6031">
        <v>0.136954399999999</v>
      </c>
      <c r="X6031">
        <v>0.98963310000000004</v>
      </c>
      <c r="Y6031">
        <v>-4.0317730000000003E-2</v>
      </c>
      <c r="Z6031">
        <v>8.3654259999999903E-4</v>
      </c>
      <c r="AA6031">
        <v>0.99918660000000004</v>
      </c>
      <c r="AB6031">
        <v>36</v>
      </c>
      <c r="AC6031">
        <v>23.7532</v>
      </c>
      <c r="AD6031">
        <v>-1.107363779728</v>
      </c>
      <c r="AE6031">
        <v>1.01633</v>
      </c>
      <c r="AF6031">
        <v>-0.96538616450369696</v>
      </c>
      <c r="AG6031">
        <v>-1.107363779728</v>
      </c>
      <c r="AH6031">
        <v>23.7038164672364</v>
      </c>
      <c r="AI6031">
        <v>92.672512023194599</v>
      </c>
      <c r="AJ6031">
        <v>92.332198325571994</v>
      </c>
      <c r="AK6031">
        <v>23.749297675925</v>
      </c>
      <c r="AL6031">
        <v>82.128351751689607</v>
      </c>
      <c r="AM6031">
        <v>87.498029175745103</v>
      </c>
      <c r="AN6031">
        <v>1.00000004359121</v>
      </c>
    </row>
    <row r="6032" spans="1:40" x14ac:dyDescent="0.25">
      <c r="A6032" t="str">
        <f>"20190312164623745"</f>
        <v>20190312164623745</v>
      </c>
      <c r="B6032" t="str">
        <f>"1552380383736962"</f>
        <v>1552380383736962</v>
      </c>
      <c r="C6032" t="s">
        <v>40</v>
      </c>
      <c r="D6032">
        <v>4.9821619999999998</v>
      </c>
      <c r="E6032">
        <v>0.47278540000000002</v>
      </c>
      <c r="F6032" t="s">
        <v>93</v>
      </c>
      <c r="G6032">
        <v>-218.06360000000001</v>
      </c>
      <c r="H6032" s="1">
        <v>-2.55061E-6</v>
      </c>
      <c r="I6032">
        <v>-60.843359999999997</v>
      </c>
      <c r="J6032">
        <v>-242.13579999999999</v>
      </c>
      <c r="K6032">
        <v>1.107353</v>
      </c>
      <c r="L6032">
        <v>-61.883699999999997</v>
      </c>
      <c r="M6032">
        <v>0.99995210000000001</v>
      </c>
      <c r="N6032">
        <v>0</v>
      </c>
      <c r="O6032">
        <v>1.4694059999999999E-3</v>
      </c>
      <c r="P6032">
        <v>0.99098620000000004</v>
      </c>
      <c r="Q6032">
        <v>0.12773789999999999</v>
      </c>
      <c r="R6032">
        <v>-4.0370389999999999E-2</v>
      </c>
      <c r="S6032">
        <v>3.0506289999999998</v>
      </c>
      <c r="T6032">
        <v>-0.13917639999999901</v>
      </c>
      <c r="U6032">
        <v>0.1307373</v>
      </c>
      <c r="V6032">
        <v>4.2156899999999997E-2</v>
      </c>
      <c r="W6032">
        <v>0.1372246</v>
      </c>
      <c r="X6032">
        <v>0.98964240000000003</v>
      </c>
      <c r="Y6032">
        <v>-4.130702E-2</v>
      </c>
      <c r="Z6032">
        <v>8.7436299999999996E-4</v>
      </c>
      <c r="AA6032">
        <v>0.99914610000000004</v>
      </c>
      <c r="AB6032">
        <v>36</v>
      </c>
      <c r="AC6032">
        <v>24.072199999999899</v>
      </c>
      <c r="AD6032">
        <v>-1.1073555506099999</v>
      </c>
      <c r="AE6032">
        <v>1.04034</v>
      </c>
      <c r="AF6032">
        <v>-1.00284718542197</v>
      </c>
      <c r="AG6032">
        <v>-1.1073555506099999</v>
      </c>
      <c r="AH6032">
        <v>24.0229617936848</v>
      </c>
      <c r="AI6032">
        <v>92.636928168551293</v>
      </c>
      <c r="AJ6032">
        <v>92.390444990362298</v>
      </c>
      <c r="AK6032">
        <v>24.069371245082699</v>
      </c>
      <c r="AL6032">
        <v>82.1127220329126</v>
      </c>
      <c r="AM6032">
        <v>87.560782527067104</v>
      </c>
      <c r="AN6032">
        <v>0.99999993747026295</v>
      </c>
    </row>
    <row r="6033" spans="1:40" x14ac:dyDescent="0.25">
      <c r="A6033" t="str">
        <f>"20190312164623755"</f>
        <v>20190312164623755</v>
      </c>
      <c r="B6033" t="str">
        <f>"1552380383747699"</f>
        <v>1552380383747699</v>
      </c>
      <c r="C6033" t="s">
        <v>40</v>
      </c>
      <c r="D6033">
        <v>5.0736460000000001</v>
      </c>
      <c r="E6033">
        <v>0.47281859999999998</v>
      </c>
      <c r="F6033" t="s">
        <v>93</v>
      </c>
      <c r="G6033">
        <v>-217.52850000000001</v>
      </c>
      <c r="H6033" s="1">
        <v>-2.314162E-6</v>
      </c>
      <c r="I6033">
        <v>-60.817419999999998</v>
      </c>
      <c r="J6033">
        <v>-241.99359999999999</v>
      </c>
      <c r="K6033">
        <v>1.1073500000000001</v>
      </c>
      <c r="L6033">
        <v>-61.883879999999998</v>
      </c>
      <c r="M6033">
        <v>0.99995149999999999</v>
      </c>
      <c r="N6033">
        <v>0</v>
      </c>
      <c r="O6033">
        <v>1.041342E-3</v>
      </c>
      <c r="P6033">
        <v>0.99100129999999997</v>
      </c>
      <c r="Q6033">
        <v>0.12774839999999901</v>
      </c>
      <c r="R6033">
        <v>-3.9958420000000001E-2</v>
      </c>
      <c r="S6033">
        <v>3.0503999999999998</v>
      </c>
      <c r="T6033">
        <v>-0.13727139999999999</v>
      </c>
      <c r="U6033">
        <v>0.1321716</v>
      </c>
      <c r="V6033">
        <v>4.1327349999999999E-2</v>
      </c>
      <c r="W6033">
        <v>0.13734499999999999</v>
      </c>
      <c r="X6033">
        <v>0.98966069999999995</v>
      </c>
      <c r="Y6033">
        <v>-4.2206639999999997E-2</v>
      </c>
      <c r="Z6033">
        <v>9.019303E-4</v>
      </c>
      <c r="AA6033">
        <v>0.99910849999999995</v>
      </c>
      <c r="AB6033">
        <v>36</v>
      </c>
      <c r="AC6033">
        <v>24.4650999999999</v>
      </c>
      <c r="AD6033">
        <v>-1.1073523141619901</v>
      </c>
      <c r="AE6033">
        <v>1.06646</v>
      </c>
      <c r="AF6033">
        <v>-1.0388573965799699</v>
      </c>
      <c r="AG6033">
        <v>-1.1073523141619901</v>
      </c>
      <c r="AH6033">
        <v>24.416270675929201</v>
      </c>
      <c r="AI6033">
        <v>92.5944147576771</v>
      </c>
      <c r="AJ6033">
        <v>92.436337073206005</v>
      </c>
      <c r="AK6033">
        <v>24.463436544327699</v>
      </c>
      <c r="AL6033">
        <v>82.105757779020294</v>
      </c>
      <c r="AM6033">
        <v>87.608768558648094</v>
      </c>
      <c r="AN6033">
        <v>0.99999995000375397</v>
      </c>
    </row>
    <row r="6034" spans="1:40" x14ac:dyDescent="0.25">
      <c r="A6034" t="str">
        <f>"20190312164623766"</f>
        <v>20190312164623766</v>
      </c>
      <c r="B6034" t="str">
        <f>"1552380383757458"</f>
        <v>1552380383757458</v>
      </c>
      <c r="C6034" t="s">
        <v>40</v>
      </c>
      <c r="D6034">
        <v>5.0416089999999896</v>
      </c>
      <c r="E6034">
        <v>0.47260459999999899</v>
      </c>
      <c r="F6034" t="s">
        <v>93</v>
      </c>
      <c r="G6034">
        <v>-217.16630000000001</v>
      </c>
      <c r="H6034" s="1">
        <v>-2.154198E-6</v>
      </c>
      <c r="I6034">
        <v>-60.800269999999998</v>
      </c>
      <c r="J6034">
        <v>-241.8073</v>
      </c>
      <c r="K6034">
        <v>1.107345</v>
      </c>
      <c r="L6034">
        <v>-61.884160000000001</v>
      </c>
      <c r="M6034">
        <v>0.99995060000000002</v>
      </c>
      <c r="N6034">
        <v>0</v>
      </c>
      <c r="O6034">
        <v>4.7422209999999998E-4</v>
      </c>
      <c r="P6034">
        <v>0.99097559999999996</v>
      </c>
      <c r="Q6034">
        <v>0.12811529999999999</v>
      </c>
      <c r="R6034">
        <v>-3.942375E-2</v>
      </c>
      <c r="S6034">
        <v>3.0501399999999999</v>
      </c>
      <c r="T6034">
        <v>-0.13604260000000001</v>
      </c>
      <c r="U6034">
        <v>0.13311770000000001</v>
      </c>
      <c r="V6034">
        <v>4.0239700000000003E-2</v>
      </c>
      <c r="W6034">
        <v>0.13785549999999999</v>
      </c>
      <c r="X6034">
        <v>0.98963460000000003</v>
      </c>
      <c r="Y6034">
        <v>-4.308555E-2</v>
      </c>
      <c r="Z6034">
        <v>9.3878709999999999E-4</v>
      </c>
      <c r="AA6034">
        <v>0.99907089999999998</v>
      </c>
      <c r="AB6034">
        <v>36</v>
      </c>
      <c r="AC6034">
        <v>24.640999999999899</v>
      </c>
      <c r="AD6034">
        <v>-1.107347154198</v>
      </c>
      <c r="AE6034">
        <v>1.08388999999999</v>
      </c>
      <c r="AF6034">
        <v>-1.0700471731075301</v>
      </c>
      <c r="AG6034">
        <v>-1.107347154198</v>
      </c>
      <c r="AH6034">
        <v>24.591942930085299</v>
      </c>
      <c r="AI6034">
        <v>92.575788106310299</v>
      </c>
      <c r="AJ6034">
        <v>92.491488316917</v>
      </c>
      <c r="AK6034">
        <v>24.6401070563657</v>
      </c>
      <c r="AL6034">
        <v>82.076227837995901</v>
      </c>
      <c r="AM6034">
        <v>87.671569266681303</v>
      </c>
      <c r="AN6034">
        <v>1.0000000069267501</v>
      </c>
    </row>
    <row r="6035" spans="1:40" x14ac:dyDescent="0.25">
      <c r="A6035" t="str">
        <f>"20190312164623777"</f>
        <v>20190312164623777</v>
      </c>
      <c r="B6035" t="str">
        <f>"1552380383767218"</f>
        <v>1552380383767218</v>
      </c>
      <c r="C6035" t="s">
        <v>40</v>
      </c>
      <c r="D6035">
        <v>4.9129050000000003</v>
      </c>
      <c r="E6035">
        <v>0.4726012</v>
      </c>
      <c r="F6035" t="s">
        <v>93</v>
      </c>
      <c r="G6035">
        <v>-216.80609999999999</v>
      </c>
      <c r="H6035" s="1">
        <v>-1.9901359999999999E-6</v>
      </c>
      <c r="I6035">
        <v>-60.764479999999999</v>
      </c>
      <c r="J6035">
        <v>-241.63130000000001</v>
      </c>
      <c r="K6035">
        <v>1.107343</v>
      </c>
      <c r="L6035">
        <v>-61.88458</v>
      </c>
      <c r="M6035">
        <v>0.99994930000000004</v>
      </c>
      <c r="N6035">
        <v>0</v>
      </c>
      <c r="O6035" s="1">
        <v>-7.3866859999999898E-5</v>
      </c>
      <c r="P6035">
        <v>0.99096110000000004</v>
      </c>
      <c r="Q6035">
        <v>0.1283183</v>
      </c>
      <c r="R6035">
        <v>-3.912442E-2</v>
      </c>
      <c r="S6035">
        <v>3.0502470000000002</v>
      </c>
      <c r="T6035">
        <v>-0.13510069999999999</v>
      </c>
      <c r="U6035">
        <v>0.13659669999999999</v>
      </c>
      <c r="V6035">
        <v>3.9404420000000002E-2</v>
      </c>
      <c r="W6035">
        <v>0.13819699999999999</v>
      </c>
      <c r="X6035">
        <v>0.98962059999999996</v>
      </c>
      <c r="Y6035">
        <v>-4.4767260000000003E-2</v>
      </c>
      <c r="Z6035">
        <v>9.9369699999999998E-4</v>
      </c>
      <c r="AA6035">
        <v>0.99899700000000002</v>
      </c>
      <c r="AB6035">
        <v>36</v>
      </c>
      <c r="AC6035">
        <v>24.825199999999999</v>
      </c>
      <c r="AD6035">
        <v>-1.107344990136</v>
      </c>
      <c r="AE6035">
        <v>1.1201000000000001</v>
      </c>
      <c r="AF6035">
        <v>-1.11971052467455</v>
      </c>
      <c r="AG6035">
        <v>-1.107344990136</v>
      </c>
      <c r="AH6035">
        <v>24.7759215094393</v>
      </c>
      <c r="AI6035">
        <v>92.556491530380498</v>
      </c>
      <c r="AJ6035">
        <v>92.5876358680528</v>
      </c>
      <c r="AK6035">
        <v>24.825918940255701</v>
      </c>
      <c r="AL6035">
        <v>82.056472388790098</v>
      </c>
      <c r="AM6035">
        <v>87.719818146733203</v>
      </c>
      <c r="AN6035">
        <v>1.0000000255344399</v>
      </c>
    </row>
    <row r="6036" spans="1:40" x14ac:dyDescent="0.25">
      <c r="A6036" t="str">
        <f>"20190312164623787"</f>
        <v>20190312164623787</v>
      </c>
      <c r="B6036" t="str">
        <f>"1552380383776979"</f>
        <v>1552380383776979</v>
      </c>
      <c r="C6036" t="s">
        <v>40</v>
      </c>
      <c r="D6036">
        <v>5.0181680000000002</v>
      </c>
      <c r="E6036">
        <v>0.47227930000000001</v>
      </c>
      <c r="F6036" t="s">
        <v>93</v>
      </c>
      <c r="G6036">
        <v>-216.51349999999999</v>
      </c>
      <c r="H6036" s="1">
        <v>-1.8606780000000001E-6</v>
      </c>
      <c r="I6036">
        <v>-60.749630000000003</v>
      </c>
      <c r="J6036">
        <v>-241.45439999999999</v>
      </c>
      <c r="K6036">
        <v>1.107342</v>
      </c>
      <c r="L6036">
        <v>-61.885039999999996</v>
      </c>
      <c r="M6036">
        <v>0.99994769999999999</v>
      </c>
      <c r="N6036">
        <v>0</v>
      </c>
      <c r="O6036">
        <v>-6.2829100000000001E-4</v>
      </c>
      <c r="P6036">
        <v>0.99095489999999997</v>
      </c>
      <c r="Q6036">
        <v>0.12860759999999999</v>
      </c>
      <c r="R6036">
        <v>-3.8324990000000003E-2</v>
      </c>
      <c r="S6036">
        <v>3.050217</v>
      </c>
      <c r="T6036">
        <v>-0.13447200000000001</v>
      </c>
      <c r="U6036">
        <v>0.13781740000000001</v>
      </c>
      <c r="V6036">
        <v>3.8063090000000001E-2</v>
      </c>
      <c r="W6036">
        <v>0.13862669999999999</v>
      </c>
      <c r="X6036">
        <v>0.98961299999999996</v>
      </c>
      <c r="Y6036">
        <v>-4.571952E-2</v>
      </c>
      <c r="Z6036">
        <v>1.0344670000000001E-3</v>
      </c>
      <c r="AA6036">
        <v>0.9989538</v>
      </c>
      <c r="AB6036">
        <v>36</v>
      </c>
      <c r="AC6036">
        <v>24.940899999999999</v>
      </c>
      <c r="AD6036">
        <v>-1.1073438606779999</v>
      </c>
      <c r="AE6036">
        <v>1.13541</v>
      </c>
      <c r="AF6036">
        <v>-1.1488208108245299</v>
      </c>
      <c r="AG6036">
        <v>-1.1073438606779999</v>
      </c>
      <c r="AH6036">
        <v>24.8912164452878</v>
      </c>
      <c r="AI6036">
        <v>92.544551779119999</v>
      </c>
      <c r="AJ6036">
        <v>92.642534811744696</v>
      </c>
      <c r="AK6036">
        <v>24.942306545452698</v>
      </c>
      <c r="AL6036">
        <v>82.031613114124795</v>
      </c>
      <c r="AM6036">
        <v>87.797341047076699</v>
      </c>
      <c r="AN6036">
        <v>1.0000000252711101</v>
      </c>
    </row>
    <row r="6037" spans="1:40" x14ac:dyDescent="0.25">
      <c r="A6037" t="str">
        <f>"20190312164623800"</f>
        <v>20190312164623800</v>
      </c>
      <c r="B6037" t="str">
        <f>"1552380383797473"</f>
        <v>1552380383797473</v>
      </c>
      <c r="C6037" t="s">
        <v>40</v>
      </c>
      <c r="D6037">
        <v>4.9014040000000003</v>
      </c>
      <c r="E6037">
        <v>0.42591400000000001</v>
      </c>
      <c r="F6037" t="s">
        <v>93</v>
      </c>
      <c r="G6037">
        <v>-215.82570000000001</v>
      </c>
      <c r="H6037" s="1">
        <v>-1.548235E-6</v>
      </c>
      <c r="I6037">
        <v>-60.684359999999998</v>
      </c>
      <c r="J6037">
        <v>-241.27279999999999</v>
      </c>
      <c r="K6037">
        <v>1.1073519999999999</v>
      </c>
      <c r="L6037">
        <v>-61.885710000000003</v>
      </c>
      <c r="M6037">
        <v>0.99994559999999999</v>
      </c>
      <c r="N6037">
        <v>0</v>
      </c>
      <c r="O6037">
        <v>-1.20918E-3</v>
      </c>
      <c r="P6037">
        <v>0.99093399999999998</v>
      </c>
      <c r="Q6037">
        <v>0.128971</v>
      </c>
      <c r="R6037">
        <v>-3.763288E-2</v>
      </c>
      <c r="S6037">
        <v>3.0500340000000001</v>
      </c>
      <c r="T6037">
        <v>-0.13178319999999999</v>
      </c>
      <c r="U6037">
        <v>0.14288329999999999</v>
      </c>
      <c r="V6037">
        <v>3.6802050000000003E-2</v>
      </c>
      <c r="W6037">
        <v>0.1391377</v>
      </c>
      <c r="X6037">
        <v>0.98958900000000005</v>
      </c>
      <c r="Y6037">
        <v>-4.7957260000000002E-2</v>
      </c>
      <c r="Z6037">
        <v>1.0871940000000001E-3</v>
      </c>
      <c r="AA6037">
        <v>0.99884879999999998</v>
      </c>
      <c r="AB6037">
        <v>36</v>
      </c>
      <c r="AC6037">
        <v>25.447099999999899</v>
      </c>
      <c r="AD6037">
        <v>-1.1073535482350001</v>
      </c>
      <c r="AE6037">
        <v>1.2013499999999899</v>
      </c>
      <c r="AF6037">
        <v>-1.2297972904789101</v>
      </c>
      <c r="AG6037">
        <v>-1.1073535482350001</v>
      </c>
      <c r="AH6037">
        <v>25.397641784971398</v>
      </c>
      <c r="AI6037">
        <v>92.493633756341595</v>
      </c>
      <c r="AJ6037">
        <v>92.7721944551419</v>
      </c>
      <c r="AK6037">
        <v>25.451499788699799</v>
      </c>
      <c r="AL6037">
        <v>82.002048573436795</v>
      </c>
      <c r="AM6037">
        <v>87.870195752403802</v>
      </c>
      <c r="AN6037">
        <v>1.00000003968324</v>
      </c>
    </row>
    <row r="6038" spans="1:40" x14ac:dyDescent="0.25">
      <c r="A6038" t="str">
        <f>"20190312164623812"</f>
        <v>20190312164623812</v>
      </c>
      <c r="B6038" t="str">
        <f>"1552380383807237"</f>
        <v>1552380383807237</v>
      </c>
      <c r="C6038" t="s">
        <v>40</v>
      </c>
      <c r="D6038">
        <v>4.9055429999999998</v>
      </c>
      <c r="E6038">
        <v>0.41853639999999998</v>
      </c>
      <c r="F6038" t="s">
        <v>52</v>
      </c>
      <c r="G6038">
        <v>-195.7012</v>
      </c>
      <c r="H6038" s="1">
        <v>-8.9627559999999996E-6</v>
      </c>
      <c r="I6038">
        <v>-54.258929999999999</v>
      </c>
      <c r="J6038">
        <v>-241.0847</v>
      </c>
      <c r="K6038">
        <v>1.107359</v>
      </c>
      <c r="L6038">
        <v>-61.88644</v>
      </c>
      <c r="M6038">
        <v>0.99994309999999997</v>
      </c>
      <c r="N6038">
        <v>0</v>
      </c>
      <c r="O6038">
        <v>-1.81336E-3</v>
      </c>
      <c r="P6038">
        <v>0.99087720000000001</v>
      </c>
      <c r="Q6038">
        <v>0.12956619999999999</v>
      </c>
      <c r="R6038">
        <v>-3.7084150000000003E-2</v>
      </c>
      <c r="S6038">
        <v>3.0565340000000001</v>
      </c>
      <c r="T6038">
        <v>-7.4271799999999999E-2</v>
      </c>
      <c r="U6038">
        <v>0.51153559999999998</v>
      </c>
      <c r="V6038">
        <v>3.5661310000000002E-2</v>
      </c>
      <c r="W6038">
        <v>0.1398856</v>
      </c>
      <c r="X6038">
        <v>0.98952530000000005</v>
      </c>
      <c r="Y6038">
        <v>-0.16680239999999999</v>
      </c>
      <c r="Z6038">
        <v>2.0560660000000001E-3</v>
      </c>
      <c r="AA6038">
        <v>0.98598819999999998</v>
      </c>
      <c r="AB6038">
        <v>36</v>
      </c>
      <c r="AC6038">
        <v>45.383499999999998</v>
      </c>
      <c r="AD6038">
        <v>-1.107367962756</v>
      </c>
      <c r="AE6038">
        <v>7.6275099999999902</v>
      </c>
      <c r="AF6038">
        <v>-7.7053371156607602</v>
      </c>
      <c r="AG6038">
        <v>-1.107367962756</v>
      </c>
      <c r="AH6038">
        <v>45.343338670746697</v>
      </c>
      <c r="AI6038">
        <v>91.379225908815499</v>
      </c>
      <c r="AJ6038">
        <v>99.644323549895603</v>
      </c>
      <c r="AK6038">
        <v>46.006704355788798</v>
      </c>
      <c r="AL6038">
        <v>81.958773650430999</v>
      </c>
      <c r="AM6038">
        <v>87.936021788578401</v>
      </c>
      <c r="AN6038">
        <v>1.0000000147291801</v>
      </c>
    </row>
    <row r="6039" spans="1:40" x14ac:dyDescent="0.25">
      <c r="A6039" t="str">
        <f>"20190312164623822"</f>
        <v>20190312164623822</v>
      </c>
      <c r="B6039" t="str">
        <f>"1552380383816993"</f>
        <v>1552380383816993</v>
      </c>
      <c r="C6039" t="s">
        <v>40</v>
      </c>
      <c r="D6039">
        <v>4.9158850000000003</v>
      </c>
      <c r="E6039">
        <v>0.4140452</v>
      </c>
      <c r="F6039" t="s">
        <v>52</v>
      </c>
      <c r="G6039">
        <v>-207.7079</v>
      </c>
      <c r="H6039" s="1">
        <v>-2.6933090000000002E-6</v>
      </c>
      <c r="I6039">
        <v>-55.630099999999999</v>
      </c>
      <c r="J6039">
        <v>-240.89879999999999</v>
      </c>
      <c r="K6039">
        <v>1.1073660000000001</v>
      </c>
      <c r="L6039">
        <v>-61.887329999999999</v>
      </c>
      <c r="M6039">
        <v>0.99994019999999995</v>
      </c>
      <c r="N6039">
        <v>0</v>
      </c>
      <c r="O6039">
        <v>-2.4166579999999999E-3</v>
      </c>
      <c r="P6039">
        <v>0.99081870000000005</v>
      </c>
      <c r="Q6039">
        <v>0.130246</v>
      </c>
      <c r="R6039">
        <v>-3.6254149999999999E-2</v>
      </c>
      <c r="S6039">
        <v>3.062408</v>
      </c>
      <c r="T6039">
        <v>-0.1016034</v>
      </c>
      <c r="U6039">
        <v>0.57403559999999998</v>
      </c>
      <c r="V6039">
        <v>3.4239640000000002E-2</v>
      </c>
      <c r="W6039">
        <v>0.14071839999999999</v>
      </c>
      <c r="X6039">
        <v>0.98945740000000004</v>
      </c>
      <c r="Y6039">
        <v>-0.1865115</v>
      </c>
      <c r="Z6039">
        <v>3.1459439999999999E-3</v>
      </c>
      <c r="AA6039">
        <v>0.98244770000000003</v>
      </c>
      <c r="AB6039">
        <v>36</v>
      </c>
      <c r="AC6039">
        <v>33.190899999999999</v>
      </c>
      <c r="AD6039">
        <v>-1.1073686933089999</v>
      </c>
      <c r="AE6039">
        <v>6.2572299999999998</v>
      </c>
      <c r="AF6039">
        <v>-6.3306223814858598</v>
      </c>
      <c r="AG6039">
        <v>-1.1073686933089999</v>
      </c>
      <c r="AH6039">
        <v>33.140057457403003</v>
      </c>
      <c r="AI6039">
        <v>91.879849000358604</v>
      </c>
      <c r="AJ6039">
        <v>100.814709941109</v>
      </c>
      <c r="AK6039">
        <v>33.757465151279703</v>
      </c>
      <c r="AL6039">
        <v>81.910580787165202</v>
      </c>
      <c r="AM6039">
        <v>88.018101267713504</v>
      </c>
      <c r="AN6039">
        <v>0.99999998373032395</v>
      </c>
    </row>
    <row r="6040" spans="1:40" x14ac:dyDescent="0.25">
      <c r="A6040" t="str">
        <f>"20190312164623834"</f>
        <v>20190312164623834</v>
      </c>
      <c r="B6040" t="str">
        <f>"1552380383826754"</f>
        <v>1552380383826754</v>
      </c>
      <c r="C6040" t="s">
        <v>40</v>
      </c>
      <c r="D6040">
        <v>4.9713949999999896</v>
      </c>
      <c r="E6040">
        <v>0.41136709999999899</v>
      </c>
      <c r="F6040" t="s">
        <v>93</v>
      </c>
      <c r="G6040">
        <v>-216.2696</v>
      </c>
      <c r="H6040" s="1">
        <v>-2.267474E-6</v>
      </c>
      <c r="I6040">
        <v>-56.951469999999901</v>
      </c>
      <c r="J6040">
        <v>-240.71379999999999</v>
      </c>
      <c r="K6040">
        <v>1.1073770000000001</v>
      </c>
      <c r="L6040">
        <v>-61.888309999999997</v>
      </c>
      <c r="M6040">
        <v>0.99993690000000002</v>
      </c>
      <c r="N6040">
        <v>0</v>
      </c>
      <c r="O6040">
        <v>-3.0198120000000002E-3</v>
      </c>
      <c r="P6040">
        <v>0.99078659999999996</v>
      </c>
      <c r="Q6040">
        <v>0.1307036</v>
      </c>
      <c r="R6040">
        <v>-3.5473810000000001E-2</v>
      </c>
      <c r="S6040">
        <v>3.068451</v>
      </c>
      <c r="T6040">
        <v>-0.1379621</v>
      </c>
      <c r="U6040">
        <v>0.61492919999999995</v>
      </c>
      <c r="V6040">
        <v>3.2866739999999998E-2</v>
      </c>
      <c r="W6040">
        <v>0.14132739999999999</v>
      </c>
      <c r="X6040">
        <v>0.9894172</v>
      </c>
      <c r="Y6040">
        <v>-0.19926050000000001</v>
      </c>
      <c r="Z6040">
        <v>4.5676450000000004E-3</v>
      </c>
      <c r="AA6040">
        <v>0.97993589999999997</v>
      </c>
      <c r="AB6040">
        <v>36</v>
      </c>
      <c r="AC6040">
        <v>24.444199999999899</v>
      </c>
      <c r="AD6040">
        <v>-1.107379267474</v>
      </c>
      <c r="AE6040">
        <v>4.9368400000000001</v>
      </c>
      <c r="AF6040">
        <v>-5.0007778130710498</v>
      </c>
      <c r="AG6040">
        <v>-1.107379267474</v>
      </c>
      <c r="AH6040">
        <v>24.381102961657</v>
      </c>
      <c r="AI6040">
        <v>92.547598411536597</v>
      </c>
      <c r="AJ6040">
        <v>101.59110630785</v>
      </c>
      <c r="AK6040">
        <v>24.913294627661301</v>
      </c>
      <c r="AL6040">
        <v>81.875335772664897</v>
      </c>
      <c r="AM6040">
        <v>88.097432206612197</v>
      </c>
      <c r="AN6040">
        <v>1.00000002612241</v>
      </c>
    </row>
    <row r="6041" spans="1:40" x14ac:dyDescent="0.25">
      <c r="A6041" t="str">
        <f>"20190312164623844"</f>
        <v>20190312164623844</v>
      </c>
      <c r="B6041" t="str">
        <f>"1552380383837490"</f>
        <v>1552380383837490</v>
      </c>
      <c r="C6041" t="s">
        <v>40</v>
      </c>
      <c r="D6041">
        <v>4.9478099999999996</v>
      </c>
      <c r="E6041">
        <v>0.41015210000000002</v>
      </c>
      <c r="F6041" t="s">
        <v>93</v>
      </c>
      <c r="G6041">
        <v>-217.53540000000001</v>
      </c>
      <c r="H6041" s="1">
        <v>-2.790823E-6</v>
      </c>
      <c r="I6041">
        <v>-57.062309999999997</v>
      </c>
      <c r="J6041">
        <v>-240.54</v>
      </c>
      <c r="K6041">
        <v>1.1073850000000001</v>
      </c>
      <c r="L6041">
        <v>-61.889339999999997</v>
      </c>
      <c r="M6041">
        <v>0.99993350000000003</v>
      </c>
      <c r="N6041">
        <v>0</v>
      </c>
      <c r="O6041">
        <v>-3.5891360000000001E-3</v>
      </c>
      <c r="P6041">
        <v>0.99073739999999999</v>
      </c>
      <c r="Q6041">
        <v>0.1312614</v>
      </c>
      <c r="R6041">
        <v>-3.4787650000000003E-2</v>
      </c>
      <c r="S6041">
        <v>3.0701139999999998</v>
      </c>
      <c r="T6041">
        <v>-0.14667820000000001</v>
      </c>
      <c r="U6041">
        <v>0.63922119999999905</v>
      </c>
      <c r="V6041">
        <v>3.1620929999999998E-2</v>
      </c>
      <c r="W6041">
        <v>0.14202600000000001</v>
      </c>
      <c r="X6041">
        <v>0.98935770000000001</v>
      </c>
      <c r="Y6041">
        <v>-0.20711860000000001</v>
      </c>
      <c r="Z6041">
        <v>5.0620600000000002E-3</v>
      </c>
      <c r="AA6041">
        <v>0.97830269999999997</v>
      </c>
      <c r="AB6041">
        <v>36</v>
      </c>
      <c r="AC6041">
        <v>23.0045999999999</v>
      </c>
      <c r="AD6041">
        <v>-1.1073877908230001</v>
      </c>
      <c r="AE6041">
        <v>4.8270299999999997</v>
      </c>
      <c r="AF6041">
        <v>-4.8986977747763998</v>
      </c>
      <c r="AG6041">
        <v>-1.1073877908230001</v>
      </c>
      <c r="AH6041">
        <v>22.936218646006999</v>
      </c>
      <c r="AI6041">
        <v>92.703286025724296</v>
      </c>
      <c r="AJ6041">
        <v>102.05604490113799</v>
      </c>
      <c r="AK6041">
        <v>23.479643808740001</v>
      </c>
      <c r="AL6041">
        <v>81.834900558669901</v>
      </c>
      <c r="AM6041">
        <v>88.169388780576696</v>
      </c>
      <c r="AN6041">
        <v>0.99999996321967599</v>
      </c>
    </row>
    <row r="6042" spans="1:40" x14ac:dyDescent="0.25">
      <c r="A6042" t="str">
        <f>"20190312164623856"</f>
        <v>20190312164623856</v>
      </c>
      <c r="B6042" t="str">
        <f>"1552380383847250"</f>
        <v>1552380383847250</v>
      </c>
      <c r="C6042" t="s">
        <v>40</v>
      </c>
      <c r="D6042">
        <v>4.9012799999999999</v>
      </c>
      <c r="E6042">
        <v>0.40943610000000003</v>
      </c>
      <c r="F6042" t="s">
        <v>93</v>
      </c>
      <c r="G6042">
        <v>-218.8913</v>
      </c>
      <c r="H6042" s="1">
        <v>-3.3308630000000002E-6</v>
      </c>
      <c r="I6042">
        <v>-57.297139999999999</v>
      </c>
      <c r="J6042">
        <v>-240.36850000000001</v>
      </c>
      <c r="K6042">
        <v>1.1073949999999999</v>
      </c>
      <c r="L6042">
        <v>-61.890469999999901</v>
      </c>
      <c r="M6042">
        <v>0.99992990000000004</v>
      </c>
      <c r="N6042">
        <v>0</v>
      </c>
      <c r="O6042">
        <v>-4.1517530000000002E-3</v>
      </c>
      <c r="P6042">
        <v>0.99072939999999998</v>
      </c>
      <c r="Q6042">
        <v>0.13146869999999999</v>
      </c>
      <c r="R6042">
        <v>-3.4228059999999998E-2</v>
      </c>
      <c r="S6042">
        <v>3.0717469999999998</v>
      </c>
      <c r="T6042">
        <v>-0.15712770000000001</v>
      </c>
      <c r="U6042">
        <v>0.65158079999999996</v>
      </c>
      <c r="V6042">
        <v>3.050667E-2</v>
      </c>
      <c r="W6042">
        <v>0.1423729</v>
      </c>
      <c r="X6042">
        <v>0.98934290000000003</v>
      </c>
      <c r="Y6042">
        <v>-0.21129390000000001</v>
      </c>
      <c r="Z6042">
        <v>5.5512139999999996E-3</v>
      </c>
      <c r="AA6042">
        <v>0.97740680000000002</v>
      </c>
      <c r="AB6042">
        <v>36</v>
      </c>
      <c r="AC6042">
        <v>21.4772</v>
      </c>
      <c r="AD6042">
        <v>-1.107398330863</v>
      </c>
      <c r="AE6042">
        <v>4.5933299999999901</v>
      </c>
      <c r="AF6042">
        <v>-4.6705898316178498</v>
      </c>
      <c r="AG6042">
        <v>-1.107398330863</v>
      </c>
      <c r="AH6042">
        <v>21.4035289231572</v>
      </c>
      <c r="AI6042">
        <v>92.893810581593399</v>
      </c>
      <c r="AJ6042">
        <v>102.30987854924599</v>
      </c>
      <c r="AK6042">
        <v>21.9351724589262</v>
      </c>
      <c r="AL6042">
        <v>81.8148212052362</v>
      </c>
      <c r="AM6042">
        <v>88.233827951516403</v>
      </c>
      <c r="AN6042">
        <v>1.00000003667465</v>
      </c>
    </row>
    <row r="6043" spans="1:40" x14ac:dyDescent="0.25">
      <c r="A6043" t="str">
        <f>"20190312164623866"</f>
        <v>20190312164623866</v>
      </c>
      <c r="B6043" t="str">
        <f>"1552380383857009"</f>
        <v>1552380383857009</v>
      </c>
      <c r="C6043" t="s">
        <v>40</v>
      </c>
      <c r="D6043">
        <v>4.9351510000000003</v>
      </c>
      <c r="E6043">
        <v>0.40902620000000001</v>
      </c>
      <c r="F6043" t="s">
        <v>93</v>
      </c>
      <c r="G6043">
        <v>-219.65899999999999</v>
      </c>
      <c r="H6043" s="1">
        <v>-3.6340339999999999E-6</v>
      </c>
      <c r="I6043">
        <v>-57.444710000000001</v>
      </c>
      <c r="J6043">
        <v>-240.18729999999999</v>
      </c>
      <c r="K6043">
        <v>1.1073999999999999</v>
      </c>
      <c r="L6043">
        <v>-61.8917199999999</v>
      </c>
      <c r="M6043">
        <v>0.99992550000000002</v>
      </c>
      <c r="N6043">
        <v>0</v>
      </c>
      <c r="O6043">
        <v>-4.7464899999999999E-3</v>
      </c>
      <c r="P6043">
        <v>0.9907224</v>
      </c>
      <c r="Q6043">
        <v>0.13169</v>
      </c>
      <c r="R6043">
        <v>-3.3570240000000001E-2</v>
      </c>
      <c r="S6043">
        <v>3.0726619999999998</v>
      </c>
      <c r="T6043">
        <v>-0.16430439999999999</v>
      </c>
      <c r="U6043">
        <v>0.6596069</v>
      </c>
      <c r="V6043">
        <v>2.9262159999999999E-2</v>
      </c>
      <c r="W6043">
        <v>0.14274149999999999</v>
      </c>
      <c r="X6043">
        <v>0.98932730000000002</v>
      </c>
      <c r="Y6043">
        <v>-0.21422740000000001</v>
      </c>
      <c r="Z6043">
        <v>5.9100949999999998E-3</v>
      </c>
      <c r="AA6043">
        <v>0.97676589999999996</v>
      </c>
      <c r="AB6043">
        <v>36</v>
      </c>
      <c r="AC6043">
        <v>20.528299999999899</v>
      </c>
      <c r="AD6043">
        <v>-1.1074036340340001</v>
      </c>
      <c r="AE6043">
        <v>4.4470099999999899</v>
      </c>
      <c r="AF6043">
        <v>-4.5318066229020104</v>
      </c>
      <c r="AG6043">
        <v>-1.1074036340340001</v>
      </c>
      <c r="AH6043">
        <v>20.450115661410699</v>
      </c>
      <c r="AI6043">
        <v>93.026346059489398</v>
      </c>
      <c r="AJ6043">
        <v>102.49499309461601</v>
      </c>
      <c r="AK6043">
        <v>20.975481988291101</v>
      </c>
      <c r="AL6043">
        <v>81.793483407358707</v>
      </c>
      <c r="AM6043">
        <v>88.305808804787503</v>
      </c>
      <c r="AN6043">
        <v>0.99999995817770104</v>
      </c>
    </row>
    <row r="6044" spans="1:40" x14ac:dyDescent="0.25">
      <c r="A6044" t="str">
        <f>"20190312164623877"</f>
        <v>20190312164623877</v>
      </c>
      <c r="B6044" t="str">
        <f>"1552380383866770"</f>
        <v>1552380383866770</v>
      </c>
      <c r="C6044" t="s">
        <v>40</v>
      </c>
      <c r="D6044">
        <v>4.8852370000000001</v>
      </c>
      <c r="E6044">
        <v>0.40871970000000002</v>
      </c>
      <c r="F6044" t="s">
        <v>92</v>
      </c>
      <c r="G6044">
        <v>-222.2799</v>
      </c>
      <c r="H6044" s="1">
        <v>-6.3261440000000002E-7</v>
      </c>
      <c r="I6044">
        <v>-58.011159999999997</v>
      </c>
      <c r="J6044">
        <v>-240.0086</v>
      </c>
      <c r="K6044">
        <v>1.107413</v>
      </c>
      <c r="L6044">
        <v>-61.893129999999999</v>
      </c>
      <c r="M6044">
        <v>0.99992099999999995</v>
      </c>
      <c r="N6044">
        <v>0</v>
      </c>
      <c r="O6044">
        <v>-5.3336759999999999E-3</v>
      </c>
      <c r="P6044">
        <v>0.99072530000000003</v>
      </c>
      <c r="Q6044">
        <v>0.1318599</v>
      </c>
      <c r="R6044">
        <v>-3.2812250000000001E-2</v>
      </c>
      <c r="S6044">
        <v>3.075974</v>
      </c>
      <c r="T6044">
        <v>-0.19021869999999999</v>
      </c>
      <c r="U6044">
        <v>0.66656490000000002</v>
      </c>
      <c r="V6044">
        <v>2.7924239999999999E-2</v>
      </c>
      <c r="W6044">
        <v>0.14305580000000001</v>
      </c>
      <c r="X6044">
        <v>0.98932059999999999</v>
      </c>
      <c r="Y6044">
        <v>-0.2165899</v>
      </c>
      <c r="Z6044">
        <v>6.9398619999999998E-3</v>
      </c>
      <c r="AA6044">
        <v>0.97623800000000005</v>
      </c>
      <c r="AB6044">
        <v>36</v>
      </c>
      <c r="AC6044">
        <v>17.7287</v>
      </c>
      <c r="AD6044">
        <v>-1.1074136326144</v>
      </c>
      <c r="AE6044">
        <v>3.8819699999999999</v>
      </c>
      <c r="AF6044">
        <v>-3.9617293659921402</v>
      </c>
      <c r="AG6044">
        <v>-1.1074136326144</v>
      </c>
      <c r="AH6044">
        <v>17.642054754215</v>
      </c>
      <c r="AI6044">
        <v>93.504758166013403</v>
      </c>
      <c r="AJ6044">
        <v>102.65647721794301</v>
      </c>
      <c r="AK6044">
        <v>18.115290791863799</v>
      </c>
      <c r="AL6044">
        <v>81.775288857309306</v>
      </c>
      <c r="AM6044">
        <v>88.383217314857603</v>
      </c>
      <c r="AN6044">
        <v>0.99999998733878803</v>
      </c>
    </row>
    <row r="6045" spans="1:40" x14ac:dyDescent="0.25">
      <c r="A6045" t="str">
        <f>"20190312164623889"</f>
        <v>20190312164623889</v>
      </c>
      <c r="B6045" t="str">
        <f>"1552380383887266"</f>
        <v>1552380383887266</v>
      </c>
      <c r="C6045" t="s">
        <v>40</v>
      </c>
      <c r="D6045">
        <v>4.8907020000000001</v>
      </c>
      <c r="E6045">
        <v>0.4093292</v>
      </c>
      <c r="F6045" t="s">
        <v>92</v>
      </c>
      <c r="G6045">
        <v>-223.34559999999999</v>
      </c>
      <c r="H6045" s="1">
        <v>-1.0243009999999999E-6</v>
      </c>
      <c r="I6045">
        <v>-58.253239999999998</v>
      </c>
      <c r="J6045">
        <v>-239.8295</v>
      </c>
      <c r="K6045">
        <v>1.107426</v>
      </c>
      <c r="L6045">
        <v>-61.894559999999998</v>
      </c>
      <c r="M6045">
        <v>0.99991609999999997</v>
      </c>
      <c r="N6045">
        <v>0</v>
      </c>
      <c r="O6045">
        <v>-5.9217000000000002E-3</v>
      </c>
      <c r="P6045">
        <v>0.99073270000000002</v>
      </c>
      <c r="Q6045">
        <v>0.13197300000000001</v>
      </c>
      <c r="R6045">
        <v>-3.2128650000000002E-2</v>
      </c>
      <c r="S6045">
        <v>3.077591</v>
      </c>
      <c r="T6045">
        <v>-0.20453489999999999</v>
      </c>
      <c r="U6045">
        <v>0.67227169999999903</v>
      </c>
      <c r="V6045">
        <v>2.6659619999999998E-2</v>
      </c>
      <c r="W6045">
        <v>0.14331259999999901</v>
      </c>
      <c r="X6045">
        <v>0.98931829999999998</v>
      </c>
      <c r="Y6045">
        <v>-0.21871750000000001</v>
      </c>
      <c r="Z6045">
        <v>7.5642239999999996E-3</v>
      </c>
      <c r="AA6045">
        <v>0.97575889999999998</v>
      </c>
      <c r="AB6045">
        <v>36</v>
      </c>
      <c r="AC6045">
        <v>16.483899999999998</v>
      </c>
      <c r="AD6045">
        <v>-1.107427024301</v>
      </c>
      <c r="AE6045">
        <v>3.6413199999999901</v>
      </c>
      <c r="AF6045">
        <v>-3.7228541498950398</v>
      </c>
      <c r="AG6045">
        <v>-1.107427024301</v>
      </c>
      <c r="AH6045">
        <v>16.3915063734417</v>
      </c>
      <c r="AI6045">
        <v>93.769378330779801</v>
      </c>
      <c r="AJ6045">
        <v>102.795995556644</v>
      </c>
      <c r="AK6045">
        <v>16.8454005243604</v>
      </c>
      <c r="AL6045">
        <v>81.760421951770894</v>
      </c>
      <c r="AM6045">
        <v>88.456397566963304</v>
      </c>
      <c r="AN6045">
        <v>0.999999967686096</v>
      </c>
    </row>
    <row r="6046" spans="1:40" x14ac:dyDescent="0.25">
      <c r="A6046" t="str">
        <f>"20190312164623899"</f>
        <v>20190312164623899</v>
      </c>
      <c r="B6046" t="str">
        <f>"1552380383897025"</f>
        <v>1552380383897025</v>
      </c>
      <c r="C6046" t="s">
        <v>40</v>
      </c>
      <c r="D6046">
        <v>4.9018230000000003</v>
      </c>
      <c r="E6046">
        <v>0.40975869999999998</v>
      </c>
      <c r="F6046" t="s">
        <v>92</v>
      </c>
      <c r="G6046">
        <v>-222.40039999999999</v>
      </c>
      <c r="H6046" s="1">
        <v>-6.5171449999999896E-7</v>
      </c>
      <c r="I6046">
        <v>-58.1044699999999</v>
      </c>
      <c r="J6046">
        <v>-239.6472</v>
      </c>
      <c r="K6046">
        <v>1.10744</v>
      </c>
      <c r="L6046">
        <v>-61.896210000000004</v>
      </c>
      <c r="M6046">
        <v>0.99991079999999999</v>
      </c>
      <c r="N6046">
        <v>0</v>
      </c>
      <c r="O6046">
        <v>-6.5179060000000004E-3</v>
      </c>
      <c r="P6046">
        <v>0.99072749999999998</v>
      </c>
      <c r="Q6046">
        <v>0.1321852</v>
      </c>
      <c r="R6046">
        <v>-3.1403790000000001E-2</v>
      </c>
      <c r="S6046">
        <v>3.07579</v>
      </c>
      <c r="T6046">
        <v>-0.19543250000000001</v>
      </c>
      <c r="U6046">
        <v>0.66885380000000005</v>
      </c>
      <c r="V6046">
        <v>2.534552E-2</v>
      </c>
      <c r="W6046">
        <v>0.14366499999999999</v>
      </c>
      <c r="X6046">
        <v>0.98930169999999995</v>
      </c>
      <c r="Y6046">
        <v>-0.21842310000000001</v>
      </c>
      <c r="Z6046">
        <v>7.2614219999999896E-3</v>
      </c>
      <c r="AA6046">
        <v>0.97582720000000001</v>
      </c>
      <c r="AB6046">
        <v>36</v>
      </c>
      <c r="AC6046">
        <v>17.2468</v>
      </c>
      <c r="AD6046">
        <v>-1.1074406517144999</v>
      </c>
      <c r="AE6046">
        <v>3.7917399999999999</v>
      </c>
      <c r="AF6046">
        <v>-3.8887855163040399</v>
      </c>
      <c r="AG6046">
        <v>-1.1074406517144999</v>
      </c>
      <c r="AH6046">
        <v>17.1542500609192</v>
      </c>
      <c r="AI6046">
        <v>93.602603182248103</v>
      </c>
      <c r="AJ6046">
        <v>102.77279549699</v>
      </c>
      <c r="AK6046">
        <v>17.6243403491147</v>
      </c>
      <c r="AL6046">
        <v>81.740019570413693</v>
      </c>
      <c r="AM6046">
        <v>88.532425721610807</v>
      </c>
      <c r="AN6046">
        <v>0.99999994061597797</v>
      </c>
    </row>
    <row r="6047" spans="1:40" x14ac:dyDescent="0.25">
      <c r="A6047" t="str">
        <f>"20190312164623913"</f>
        <v>20190312164623913</v>
      </c>
      <c r="B6047" t="str">
        <f>"1552380383906787"</f>
        <v>1552380383906787</v>
      </c>
      <c r="C6047" t="s">
        <v>40</v>
      </c>
      <c r="D6047">
        <v>4.8872589999999896</v>
      </c>
      <c r="E6047">
        <v>0.41003990000000001</v>
      </c>
      <c r="F6047" t="s">
        <v>92</v>
      </c>
      <c r="G6047">
        <v>-221.84299999999999</v>
      </c>
      <c r="H6047" s="1">
        <v>-4.77447E-7</v>
      </c>
      <c r="I6047">
        <v>-58.032089999999997</v>
      </c>
      <c r="J6047">
        <v>-239.44800000000001</v>
      </c>
      <c r="K6047">
        <v>1.1074550000000001</v>
      </c>
      <c r="L6047">
        <v>-61.898069999999997</v>
      </c>
      <c r="M6047">
        <v>0.99990449999999997</v>
      </c>
      <c r="N6047">
        <v>0</v>
      </c>
      <c r="O6047">
        <v>-7.1685419999999904E-3</v>
      </c>
      <c r="P6047">
        <v>0.99077809999999999</v>
      </c>
      <c r="Q6047">
        <v>0.13200120000000001</v>
      </c>
      <c r="R6047">
        <v>-3.056915E-2</v>
      </c>
      <c r="S6047">
        <v>3.0747680000000002</v>
      </c>
      <c r="T6047">
        <v>-0.19125329999999999</v>
      </c>
      <c r="U6047">
        <v>0.66732789999999997</v>
      </c>
      <c r="V6047">
        <v>2.386599E-2</v>
      </c>
      <c r="W6047">
        <v>0.14363199999999901</v>
      </c>
      <c r="X6047">
        <v>0.98934330000000004</v>
      </c>
      <c r="Y6047">
        <v>-0.21867929999999999</v>
      </c>
      <c r="Z6047">
        <v>7.1569569999999898E-3</v>
      </c>
      <c r="AA6047">
        <v>0.97577049999999999</v>
      </c>
      <c r="AB6047">
        <v>36</v>
      </c>
      <c r="AC6047">
        <v>17.604999999999901</v>
      </c>
      <c r="AD6047">
        <v>-1.10745547744699</v>
      </c>
      <c r="AE6047">
        <v>3.8659799999999902</v>
      </c>
      <c r="AF6047">
        <v>-3.97707782369331</v>
      </c>
      <c r="AG6047">
        <v>-1.10745547744699</v>
      </c>
      <c r="AH6047">
        <v>17.510727667570801</v>
      </c>
      <c r="AI6047">
        <v>93.529172477125499</v>
      </c>
      <c r="AJ6047">
        <v>102.79607363770801</v>
      </c>
      <c r="AK6047">
        <v>17.990808461491401</v>
      </c>
      <c r="AL6047">
        <v>81.741930233274104</v>
      </c>
      <c r="AM6047">
        <v>88.618118352457103</v>
      </c>
      <c r="AN6047">
        <v>0.99999995107878303</v>
      </c>
    </row>
    <row r="6048" spans="1:40" x14ac:dyDescent="0.25">
      <c r="A6048" t="str">
        <f>"20190312164623924"</f>
        <v>20190312164623924</v>
      </c>
      <c r="B6048" t="str">
        <f>"1552380383917522"</f>
        <v>1552380383917522</v>
      </c>
      <c r="C6048" t="s">
        <v>40</v>
      </c>
      <c r="D6048">
        <v>4.8922670000000004</v>
      </c>
      <c r="E6048">
        <v>0.40993960000000002</v>
      </c>
      <c r="F6048" t="s">
        <v>92</v>
      </c>
      <c r="G6048">
        <v>-221.5856</v>
      </c>
      <c r="H6048" s="1">
        <v>-3.9418940000000001E-7</v>
      </c>
      <c r="I6048">
        <v>-58.018140000000002</v>
      </c>
      <c r="J6048">
        <v>-239.26339999999999</v>
      </c>
      <c r="K6048">
        <v>1.1074649999999999</v>
      </c>
      <c r="L6048">
        <v>-61.899929999999998</v>
      </c>
      <c r="M6048">
        <v>0.99989850000000002</v>
      </c>
      <c r="N6048">
        <v>0</v>
      </c>
      <c r="O6048">
        <v>-7.7692100000000004E-3</v>
      </c>
      <c r="P6048">
        <v>0.99077649999999995</v>
      </c>
      <c r="Q6048">
        <v>0.13217809999999999</v>
      </c>
      <c r="R6048">
        <v>-2.984858E-2</v>
      </c>
      <c r="S6048">
        <v>3.0739290000000001</v>
      </c>
      <c r="T6048">
        <v>-0.190581</v>
      </c>
      <c r="U6048">
        <v>0.66769409999999996</v>
      </c>
      <c r="V6048">
        <v>2.2551100000000001E-2</v>
      </c>
      <c r="W6048">
        <v>0.14394019999999999</v>
      </c>
      <c r="X6048">
        <v>0.98932940000000003</v>
      </c>
      <c r="Y6048">
        <v>-0.21943180000000001</v>
      </c>
      <c r="Z6048">
        <v>7.193489E-3</v>
      </c>
      <c r="AA6048">
        <v>0.9756013</v>
      </c>
      <c r="AB6048">
        <v>36</v>
      </c>
      <c r="AC6048">
        <v>17.677799999999898</v>
      </c>
      <c r="AD6048">
        <v>-1.1074653941893999</v>
      </c>
      <c r="AE6048">
        <v>3.8817900000000001</v>
      </c>
      <c r="AF6048">
        <v>-4.0040334925287802</v>
      </c>
      <c r="AG6048">
        <v>-1.1074653941893999</v>
      </c>
      <c r="AH6048">
        <v>17.581278990027499</v>
      </c>
      <c r="AI6048">
        <v>93.514605931694703</v>
      </c>
      <c r="AJ6048">
        <v>102.82994749713799</v>
      </c>
      <c r="AK6048">
        <v>18.065440341541699</v>
      </c>
      <c r="AL6048">
        <v>81.724086639358006</v>
      </c>
      <c r="AM6048">
        <v>88.694207265691801</v>
      </c>
      <c r="AN6048">
        <v>0.99999999749580504</v>
      </c>
    </row>
    <row r="6049" spans="1:40" x14ac:dyDescent="0.25">
      <c r="A6049" t="str">
        <f>"20190312164623935"</f>
        <v>20190312164623935</v>
      </c>
      <c r="B6049" t="str">
        <f>"1552380383927281"</f>
        <v>1552380383927281</v>
      </c>
      <c r="C6049" t="s">
        <v>40</v>
      </c>
      <c r="D6049">
        <v>4.1491689999999997</v>
      </c>
      <c r="E6049">
        <v>0.41035260000000001</v>
      </c>
      <c r="F6049" t="s">
        <v>92</v>
      </c>
      <c r="G6049">
        <v>-222.1523</v>
      </c>
      <c r="H6049" s="1">
        <v>-5.4218779999999997E-7</v>
      </c>
      <c r="I6049">
        <v>-58.162889999999997</v>
      </c>
      <c r="J6049">
        <v>-239.09289999999999</v>
      </c>
      <c r="K6049">
        <v>1.1074740000000001</v>
      </c>
      <c r="L6049">
        <v>-61.901760000000003</v>
      </c>
      <c r="M6049">
        <v>0.99989269999999997</v>
      </c>
      <c r="N6049">
        <v>0</v>
      </c>
      <c r="O6049">
        <v>-8.3208959999999995E-3</v>
      </c>
      <c r="P6049">
        <v>0.99081830000000004</v>
      </c>
      <c r="Q6049">
        <v>0.1320451</v>
      </c>
      <c r="R6049">
        <v>-2.9038959999999999E-2</v>
      </c>
      <c r="S6049">
        <v>3.0746920000000002</v>
      </c>
      <c r="T6049">
        <v>-0.19900010000000001</v>
      </c>
      <c r="U6049">
        <v>0.67150880000000002</v>
      </c>
      <c r="V6049">
        <v>2.1194069999999999E-2</v>
      </c>
      <c r="W6049">
        <v>0.143926</v>
      </c>
      <c r="X6049">
        <v>0.9893615</v>
      </c>
      <c r="Y6049">
        <v>-0.2210336</v>
      </c>
      <c r="Z6049">
        <v>7.5943E-3</v>
      </c>
      <c r="AA6049">
        <v>0.97523669999999996</v>
      </c>
      <c r="AB6049">
        <v>36</v>
      </c>
      <c r="AC6049">
        <v>16.9405999999999</v>
      </c>
      <c r="AD6049">
        <v>-1.1074745421878001</v>
      </c>
      <c r="AE6049">
        <v>3.7388699999999901</v>
      </c>
      <c r="AF6049">
        <v>-3.8639651356474598</v>
      </c>
      <c r="AG6049">
        <v>-1.1074745421878001</v>
      </c>
      <c r="AH6049">
        <v>16.840272110679201</v>
      </c>
      <c r="AI6049">
        <v>93.667518575068399</v>
      </c>
      <c r="AJ6049">
        <v>102.92271741182201</v>
      </c>
      <c r="AK6049">
        <v>17.3133327581033</v>
      </c>
      <c r="AL6049">
        <v>81.724909070111806</v>
      </c>
      <c r="AM6049">
        <v>88.772799365628501</v>
      </c>
      <c r="AN6049">
        <v>1.0000000298806999</v>
      </c>
    </row>
    <row r="6050" spans="1:40" x14ac:dyDescent="0.25">
      <c r="A6050" t="str">
        <f>"20190312164623945"</f>
        <v>20190312164623945</v>
      </c>
      <c r="B6050" t="str">
        <f>"1552380383937042"</f>
        <v>1552380383937042</v>
      </c>
      <c r="C6050" t="s">
        <v>40</v>
      </c>
      <c r="D6050">
        <v>4.9289110000000003</v>
      </c>
      <c r="E6050">
        <v>0.41028150000000002</v>
      </c>
      <c r="F6050" t="s">
        <v>92</v>
      </c>
      <c r="G6050">
        <v>-221.85210000000001</v>
      </c>
      <c r="H6050" s="1">
        <v>-4.4709379999999998E-7</v>
      </c>
      <c r="I6050">
        <v>-58.140059999999998</v>
      </c>
      <c r="J6050">
        <v>-238.9127</v>
      </c>
      <c r="K6050">
        <v>1.107486</v>
      </c>
      <c r="L6050">
        <v>-61.903779999999998</v>
      </c>
      <c r="M6050">
        <v>0.99988630000000001</v>
      </c>
      <c r="N6050">
        <v>0</v>
      </c>
      <c r="O6050">
        <v>-8.90145E-3</v>
      </c>
      <c r="P6050">
        <v>0.99083699999999997</v>
      </c>
      <c r="Q6050">
        <v>0.13202839999999999</v>
      </c>
      <c r="R6050">
        <v>-2.847773E-2</v>
      </c>
      <c r="S6050">
        <v>3.0737760000000001</v>
      </c>
      <c r="T6050">
        <v>-0.1974455</v>
      </c>
      <c r="U6050">
        <v>0.67065430000000004</v>
      </c>
      <c r="V6050">
        <v>2.0057180000000001E-2</v>
      </c>
      <c r="W6050">
        <v>0.1440303</v>
      </c>
      <c r="X6050">
        <v>0.98936999999999997</v>
      </c>
      <c r="Y6050">
        <v>-0.22140650000000001</v>
      </c>
      <c r="Z6050">
        <v>7.58616699999999E-3</v>
      </c>
      <c r="AA6050">
        <v>0.97515209999999997</v>
      </c>
      <c r="AB6050">
        <v>36</v>
      </c>
      <c r="AC6050">
        <v>17.060599999999901</v>
      </c>
      <c r="AD6050">
        <v>-1.1074864470938</v>
      </c>
      <c r="AE6050">
        <v>3.7637200000000002</v>
      </c>
      <c r="AF6050">
        <v>-3.8997754455020801</v>
      </c>
      <c r="AG6050">
        <v>-1.1074864470938</v>
      </c>
      <c r="AH6050">
        <v>16.958274284329701</v>
      </c>
      <c r="AI6050">
        <v>93.641698345301293</v>
      </c>
      <c r="AJ6050">
        <v>102.950750474251</v>
      </c>
      <c r="AK6050">
        <v>17.436107405564901</v>
      </c>
      <c r="AL6050">
        <v>81.718870012763105</v>
      </c>
      <c r="AM6050">
        <v>88.838620162769899</v>
      </c>
      <c r="AN6050">
        <v>1.00000000734382</v>
      </c>
    </row>
    <row r="6051" spans="1:40" x14ac:dyDescent="0.25">
      <c r="A6051" t="str">
        <f>"20190312164623956"</f>
        <v>20190312164623956</v>
      </c>
      <c r="B6051" t="str">
        <f>"1552380383946802"</f>
        <v>1552380383946802</v>
      </c>
      <c r="C6051" t="s">
        <v>40</v>
      </c>
      <c r="D6051">
        <v>4.9139140000000001</v>
      </c>
      <c r="E6051">
        <v>0.41020620000000002</v>
      </c>
      <c r="F6051" t="s">
        <v>92</v>
      </c>
      <c r="G6051">
        <v>-222.4554</v>
      </c>
      <c r="H6051" s="1">
        <v>-6.3261049999999996E-7</v>
      </c>
      <c r="I6051">
        <v>-58.29759</v>
      </c>
      <c r="J6051">
        <v>-238.7398</v>
      </c>
      <c r="K6051">
        <v>1.1074949999999999</v>
      </c>
      <c r="L6051">
        <v>-61.905850000000001</v>
      </c>
      <c r="M6051">
        <v>0.99987999999999999</v>
      </c>
      <c r="N6051">
        <v>0</v>
      </c>
      <c r="O6051">
        <v>-9.4541299999999998E-3</v>
      </c>
      <c r="P6051">
        <v>0.99081810000000003</v>
      </c>
      <c r="Q6051">
        <v>0.1323473</v>
      </c>
      <c r="R6051">
        <v>-2.7641909999999999E-2</v>
      </c>
      <c r="S6051">
        <v>3.0746920000000002</v>
      </c>
      <c r="T6051">
        <v>-0.2069095</v>
      </c>
      <c r="U6051">
        <v>0.67373660000000002</v>
      </c>
      <c r="V6051">
        <v>1.8674119999999999E-2</v>
      </c>
      <c r="W6051">
        <v>0.14445920000000001</v>
      </c>
      <c r="X6051">
        <v>0.98933450000000001</v>
      </c>
      <c r="Y6051">
        <v>-0.22276960000000001</v>
      </c>
      <c r="Z6051">
        <v>8.0278820000000001E-3</v>
      </c>
      <c r="AA6051">
        <v>0.97483810000000004</v>
      </c>
      <c r="AB6051">
        <v>36</v>
      </c>
      <c r="AC6051">
        <v>16.284400000000002</v>
      </c>
      <c r="AD6051">
        <v>-1.1074956326105001</v>
      </c>
      <c r="AE6051">
        <v>3.60826</v>
      </c>
      <c r="AF6051">
        <v>-3.7455515838586102</v>
      </c>
      <c r="AG6051">
        <v>-1.1074956326105001</v>
      </c>
      <c r="AH6051">
        <v>16.178229257008098</v>
      </c>
      <c r="AI6051">
        <v>93.815513702265406</v>
      </c>
      <c r="AJ6051">
        <v>103.03534327044601</v>
      </c>
      <c r="AK6051">
        <v>16.643040741880998</v>
      </c>
      <c r="AL6051">
        <v>81.694035812689407</v>
      </c>
      <c r="AM6051">
        <v>88.918645593094396</v>
      </c>
      <c r="AN6051">
        <v>0.99999996805633096</v>
      </c>
    </row>
    <row r="6052" spans="1:40" x14ac:dyDescent="0.25">
      <c r="A6052" t="str">
        <f>"20190312164623966"</f>
        <v>20190312164623966</v>
      </c>
      <c r="B6052" t="str">
        <f>"1552380383957538"</f>
        <v>1552380383957538</v>
      </c>
      <c r="C6052" t="s">
        <v>40</v>
      </c>
      <c r="D6052">
        <v>4.9204429999999997</v>
      </c>
      <c r="E6052">
        <v>0.41020600000000002</v>
      </c>
      <c r="F6052" t="s">
        <v>92</v>
      </c>
      <c r="G6052">
        <v>-222.78319999999999</v>
      </c>
      <c r="H6052" s="1">
        <v>-7.5277149999999997E-7</v>
      </c>
      <c r="I6052">
        <v>-58.3902</v>
      </c>
      <c r="J6052">
        <v>-238.56819999999999</v>
      </c>
      <c r="K6052">
        <v>1.1075159999999999</v>
      </c>
      <c r="L6052">
        <v>-61.90793</v>
      </c>
      <c r="M6052">
        <v>0.99987329999999996</v>
      </c>
      <c r="N6052">
        <v>0</v>
      </c>
      <c r="O6052">
        <v>-1.000118E-2</v>
      </c>
      <c r="P6052">
        <v>0.9907958</v>
      </c>
      <c r="Q6052">
        <v>0.1326281</v>
      </c>
      <c r="R6052">
        <v>-2.7088549999999999E-2</v>
      </c>
      <c r="S6052">
        <v>3.0752259999999998</v>
      </c>
      <c r="T6052">
        <v>-0.21344109999999999</v>
      </c>
      <c r="U6052">
        <v>0.67755129999999997</v>
      </c>
      <c r="V6052">
        <v>1.7578880000000002E-2</v>
      </c>
      <c r="W6052">
        <v>0.14484659999999999</v>
      </c>
      <c r="X6052">
        <v>0.98929800000000001</v>
      </c>
      <c r="Y6052">
        <v>-0.224384</v>
      </c>
      <c r="Z6052">
        <v>8.3710329999999999E-3</v>
      </c>
      <c r="AA6052">
        <v>0.97446480000000002</v>
      </c>
      <c r="AB6052">
        <v>36</v>
      </c>
      <c r="AC6052">
        <v>15.784999999999901</v>
      </c>
      <c r="AD6052">
        <v>-1.1075167527715</v>
      </c>
      <c r="AE6052">
        <v>3.5177299999999998</v>
      </c>
      <c r="AF6052">
        <v>-3.6582779019517901</v>
      </c>
      <c r="AG6052">
        <v>-1.1075167527715</v>
      </c>
      <c r="AH6052">
        <v>15.675510066904099</v>
      </c>
      <c r="AI6052">
        <v>93.935967045483096</v>
      </c>
      <c r="AJ6052">
        <v>103.136306241254</v>
      </c>
      <c r="AK6052">
        <v>16.134782503126299</v>
      </c>
      <c r="AL6052">
        <v>81.671604128308104</v>
      </c>
      <c r="AM6052">
        <v>88.982015884982701</v>
      </c>
      <c r="AN6052">
        <v>1.0000000436787999</v>
      </c>
    </row>
    <row r="6053" spans="1:40" x14ac:dyDescent="0.25">
      <c r="A6053" t="str">
        <f>"20190312164623979"</f>
        <v>20190312164623979</v>
      </c>
      <c r="B6053" t="str">
        <f>"1552380383967299"</f>
        <v>1552380383967299</v>
      </c>
      <c r="C6053" t="s">
        <v>40</v>
      </c>
      <c r="D6053">
        <v>4.8901149999999998</v>
      </c>
      <c r="E6053">
        <v>0.41027360000000002</v>
      </c>
      <c r="F6053" t="s">
        <v>92</v>
      </c>
      <c r="G6053">
        <v>-222.7373</v>
      </c>
      <c r="H6053" s="1">
        <v>-7.2855069999999999E-7</v>
      </c>
      <c r="I6053">
        <v>-58.410730000000001</v>
      </c>
      <c r="J6053">
        <v>-238.38730000000001</v>
      </c>
      <c r="K6053">
        <v>1.107529</v>
      </c>
      <c r="L6053">
        <v>-61.910310000000003</v>
      </c>
      <c r="M6053">
        <v>0.99986609999999998</v>
      </c>
      <c r="N6053">
        <v>0</v>
      </c>
      <c r="O6053">
        <v>-1.05725E-2</v>
      </c>
      <c r="P6053">
        <v>0.99079390000000001</v>
      </c>
      <c r="Q6053">
        <v>0.1327401</v>
      </c>
      <c r="R6053">
        <v>-2.6598429999999999E-2</v>
      </c>
      <c r="S6053">
        <v>3.075256</v>
      </c>
      <c r="T6053">
        <v>-0.215142</v>
      </c>
      <c r="U6053">
        <v>0.67935179999999995</v>
      </c>
      <c r="V6053">
        <v>1.6521549999999999E-2</v>
      </c>
      <c r="W6053">
        <v>0.1450622</v>
      </c>
      <c r="X6053">
        <v>0.98928459999999996</v>
      </c>
      <c r="Y6053">
        <v>-0.22547020000000001</v>
      </c>
      <c r="Z6053">
        <v>8.5139489999999998E-3</v>
      </c>
      <c r="AA6053">
        <v>0.97421290000000005</v>
      </c>
      <c r="AB6053">
        <v>36</v>
      </c>
      <c r="AC6053">
        <v>15.65</v>
      </c>
      <c r="AD6053">
        <v>-1.1075297285507</v>
      </c>
      <c r="AE6053">
        <v>3.4995799999999799</v>
      </c>
      <c r="AF6053">
        <v>-3.6474596146485601</v>
      </c>
      <c r="AG6053">
        <v>-1.1075297285507</v>
      </c>
      <c r="AH6053">
        <v>15.5380113026154</v>
      </c>
      <c r="AI6053">
        <v>93.969530445393502</v>
      </c>
      <c r="AJ6053">
        <v>103.210666701698</v>
      </c>
      <c r="AK6053">
        <v>15.998761795224</v>
      </c>
      <c r="AL6053">
        <v>81.659119029062893</v>
      </c>
      <c r="AM6053">
        <v>89.043220631405404</v>
      </c>
      <c r="AN6053">
        <v>1.0000000116401999</v>
      </c>
    </row>
    <row r="6054" spans="1:40" x14ac:dyDescent="0.25">
      <c r="A6054" t="str">
        <f>"20190312164623990"</f>
        <v>20190312164623990</v>
      </c>
      <c r="B6054" t="str">
        <f>"1552380383987794"</f>
        <v>1552380383987794</v>
      </c>
      <c r="C6054" t="s">
        <v>40</v>
      </c>
      <c r="D6054">
        <v>4.9118879999999896</v>
      </c>
      <c r="E6054">
        <v>0.4103753</v>
      </c>
      <c r="F6054" t="s">
        <v>92</v>
      </c>
      <c r="G6054">
        <v>-222.78</v>
      </c>
      <c r="H6054" s="1">
        <v>-7.3660769999999899E-7</v>
      </c>
      <c r="I6054">
        <v>-58.457070000000002</v>
      </c>
      <c r="J6054">
        <v>-238.2028</v>
      </c>
      <c r="K6054">
        <v>1.1075440000000001</v>
      </c>
      <c r="L6054">
        <v>-61.912750000000003</v>
      </c>
      <c r="M6054">
        <v>0.99985860000000004</v>
      </c>
      <c r="N6054">
        <v>0</v>
      </c>
      <c r="O6054">
        <v>-1.1153339999999999E-2</v>
      </c>
      <c r="P6054">
        <v>0.99079280000000003</v>
      </c>
      <c r="Q6054">
        <v>0.13290189999999999</v>
      </c>
      <c r="R6054">
        <v>-2.5827739999999998E-2</v>
      </c>
      <c r="S6054">
        <v>3.0753780000000002</v>
      </c>
      <c r="T6054">
        <v>-0.2182356</v>
      </c>
      <c r="U6054">
        <v>0.68045040000000001</v>
      </c>
      <c r="V6054">
        <v>1.5174190000000001E-2</v>
      </c>
      <c r="W6054">
        <v>0.14532729999999999</v>
      </c>
      <c r="X6054">
        <v>0.98926720000000001</v>
      </c>
      <c r="Y6054">
        <v>-0.2263404</v>
      </c>
      <c r="Z6054">
        <v>8.7065890000000007E-3</v>
      </c>
      <c r="AA6054">
        <v>0.97400929999999997</v>
      </c>
      <c r="AB6054">
        <v>36</v>
      </c>
      <c r="AC6054">
        <v>15.422799999999899</v>
      </c>
      <c r="AD6054">
        <v>-1.1075447366077</v>
      </c>
      <c r="AE6054">
        <v>3.4556800000000001</v>
      </c>
      <c r="AF6054">
        <v>-3.60976874606322</v>
      </c>
      <c r="AG6054">
        <v>-1.1075447366077</v>
      </c>
      <c r="AH6054">
        <v>15.308125154887099</v>
      </c>
      <c r="AI6054">
        <v>94.028049879191599</v>
      </c>
      <c r="AJ6054">
        <v>103.268381294441</v>
      </c>
      <c r="AK6054">
        <v>15.7669204824953</v>
      </c>
      <c r="AL6054">
        <v>81.643766604868802</v>
      </c>
      <c r="AM6054">
        <v>89.121219354224394</v>
      </c>
      <c r="AN6054">
        <v>0.99999993658164099</v>
      </c>
    </row>
    <row r="6055" spans="1:40" x14ac:dyDescent="0.25">
      <c r="A6055" t="str">
        <f>"20190312164624001"</f>
        <v>20190312164624001</v>
      </c>
      <c r="B6055" t="str">
        <f>"1552380383997554"</f>
        <v>1552380383997554</v>
      </c>
      <c r="C6055" t="s">
        <v>40</v>
      </c>
      <c r="D6055">
        <v>4.9466970000000003</v>
      </c>
      <c r="E6055">
        <v>0.41031099999999998</v>
      </c>
      <c r="F6055" t="s">
        <v>92</v>
      </c>
      <c r="G6055">
        <v>-222.99940000000001</v>
      </c>
      <c r="H6055" s="1">
        <v>-8.1233369999999904E-7</v>
      </c>
      <c r="I6055">
        <v>-58.540329999999997</v>
      </c>
      <c r="J6055">
        <v>-238.0256</v>
      </c>
      <c r="K6055">
        <v>1.107551</v>
      </c>
      <c r="L6055">
        <v>-61.91525</v>
      </c>
      <c r="M6055">
        <v>0.99985119999999905</v>
      </c>
      <c r="N6055">
        <v>0</v>
      </c>
      <c r="O6055">
        <v>-1.1704259999999999E-2</v>
      </c>
      <c r="P6055">
        <v>0.9908013</v>
      </c>
      <c r="Q6055">
        <v>0.13295209999999999</v>
      </c>
      <c r="R6055">
        <v>-2.522974E-2</v>
      </c>
      <c r="S6055">
        <v>3.0756990000000002</v>
      </c>
      <c r="T6055">
        <v>-0.2240598</v>
      </c>
      <c r="U6055">
        <v>0.68225100000000005</v>
      </c>
      <c r="V6055">
        <v>1.402846E-2</v>
      </c>
      <c r="W6055">
        <v>0.14546789999999901</v>
      </c>
      <c r="X6055">
        <v>0.98926349999999996</v>
      </c>
      <c r="Y6055">
        <v>-0.22736439999999999</v>
      </c>
      <c r="Z6055">
        <v>9.0133330000000001E-3</v>
      </c>
      <c r="AA6055">
        <v>0.97376810000000003</v>
      </c>
      <c r="AB6055">
        <v>36</v>
      </c>
      <c r="AC6055">
        <v>15.0261999999999</v>
      </c>
      <c r="AD6055">
        <v>-1.10755181233369</v>
      </c>
      <c r="AE6055">
        <v>3.3749199999999902</v>
      </c>
      <c r="AF6055">
        <v>-3.5323044940422101</v>
      </c>
      <c r="AG6055">
        <v>-1.10755181233369</v>
      </c>
      <c r="AH6055">
        <v>14.908559852713299</v>
      </c>
      <c r="AI6055">
        <v>94.134625709243096</v>
      </c>
      <c r="AJ6055">
        <v>103.329370303357</v>
      </c>
      <c r="AK6055">
        <v>15.361282594157601</v>
      </c>
      <c r="AL6055">
        <v>81.635624742102905</v>
      </c>
      <c r="AM6055">
        <v>89.187559553069406</v>
      </c>
      <c r="AN6055">
        <v>0.99999999002631501</v>
      </c>
    </row>
    <row r="6056" spans="1:40" x14ac:dyDescent="0.25">
      <c r="A6056" t="str">
        <f>"20190312164624014"</f>
        <v>20190312164624014</v>
      </c>
      <c r="B6056" t="str">
        <f>"1552380384007313"</f>
        <v>1552380384007313</v>
      </c>
      <c r="C6056" t="s">
        <v>40</v>
      </c>
      <c r="D6056">
        <v>4.9099709999999996</v>
      </c>
      <c r="E6056">
        <v>0.41032039999999997</v>
      </c>
      <c r="F6056" t="s">
        <v>92</v>
      </c>
      <c r="G6056">
        <v>-223.23419999999999</v>
      </c>
      <c r="H6056" s="1">
        <v>-8.9507079999999997E-7</v>
      </c>
      <c r="I6056">
        <v>-58.62171</v>
      </c>
      <c r="J6056">
        <v>-237.8288</v>
      </c>
      <c r="K6056">
        <v>1.1075649999999999</v>
      </c>
      <c r="L6056">
        <v>-61.918120000000002</v>
      </c>
      <c r="M6056">
        <v>0.99984260000000003</v>
      </c>
      <c r="N6056">
        <v>0</v>
      </c>
      <c r="O6056">
        <v>-1.231313E-2</v>
      </c>
      <c r="P6056">
        <v>0.99080599999999996</v>
      </c>
      <c r="Q6056">
        <v>0.13297690000000001</v>
      </c>
      <c r="R6056">
        <v>-2.4914909999999998E-2</v>
      </c>
      <c r="S6056">
        <v>3.0762019999999999</v>
      </c>
      <c r="T6056">
        <v>-0.23034070000000001</v>
      </c>
      <c r="U6056">
        <v>0.68496699999999999</v>
      </c>
      <c r="V6056">
        <v>1.310763E-2</v>
      </c>
      <c r="W6056">
        <v>0.1455882</v>
      </c>
      <c r="X6056">
        <v>0.98925850000000004</v>
      </c>
      <c r="Y6056">
        <v>-0.22870360000000001</v>
      </c>
      <c r="Z6056">
        <v>9.357453E-3</v>
      </c>
      <c r="AA6056">
        <v>0.97345110000000001</v>
      </c>
      <c r="AB6056">
        <v>36</v>
      </c>
      <c r="AC6056">
        <v>14.5946</v>
      </c>
      <c r="AD6056">
        <v>-1.1075658950707901</v>
      </c>
      <c r="AE6056">
        <v>3.2964099999999901</v>
      </c>
      <c r="AF6056">
        <v>-3.4569374271581301</v>
      </c>
      <c r="AG6056">
        <v>-1.1075658950707901</v>
      </c>
      <c r="AH6056">
        <v>14.4735920314737</v>
      </c>
      <c r="AI6056">
        <v>94.256657917151799</v>
      </c>
      <c r="AJ6056">
        <v>103.43311575616799</v>
      </c>
      <c r="AK6056">
        <v>14.921862647831601</v>
      </c>
      <c r="AL6056">
        <v>81.628658455235296</v>
      </c>
      <c r="AM6056">
        <v>89.240877957066203</v>
      </c>
      <c r="AN6056">
        <v>1.00000005688285</v>
      </c>
    </row>
    <row r="6057" spans="1:40" x14ac:dyDescent="0.25">
      <c r="A6057" t="str">
        <f>"20190312164624023"</f>
        <v>20190312164624023</v>
      </c>
      <c r="B6057" t="str">
        <f>"1552380384017075"</f>
        <v>1552380384017075</v>
      </c>
      <c r="C6057" t="s">
        <v>40</v>
      </c>
      <c r="D6057">
        <v>4.9281059999999997</v>
      </c>
      <c r="E6057">
        <v>0.41055740000000002</v>
      </c>
      <c r="F6057" t="s">
        <v>92</v>
      </c>
      <c r="G6057">
        <v>-223.09690000000001</v>
      </c>
      <c r="H6057" s="1">
        <v>-8.3366850000000004E-7</v>
      </c>
      <c r="I6057">
        <v>-58.63308</v>
      </c>
      <c r="J6057">
        <v>-237.65430000000001</v>
      </c>
      <c r="K6057">
        <v>1.107577</v>
      </c>
      <c r="L6057">
        <v>-61.920780000000001</v>
      </c>
      <c r="M6057">
        <v>0.99983500000000003</v>
      </c>
      <c r="N6057">
        <v>0</v>
      </c>
      <c r="O6057">
        <v>-1.2848109999999999E-2</v>
      </c>
      <c r="P6057">
        <v>0.99081140000000001</v>
      </c>
      <c r="Q6057">
        <v>0.13305040000000001</v>
      </c>
      <c r="R6057">
        <v>-2.4302020000000001E-2</v>
      </c>
      <c r="S6057">
        <v>3.0761259999999999</v>
      </c>
      <c r="T6057">
        <v>-0.2312688</v>
      </c>
      <c r="U6057">
        <v>0.68594359999999999</v>
      </c>
      <c r="V6057">
        <v>1.196234E-2</v>
      </c>
      <c r="W6057">
        <v>0.1457416</v>
      </c>
      <c r="X6057">
        <v>0.98925039999999997</v>
      </c>
      <c r="Y6057">
        <v>-0.2295151</v>
      </c>
      <c r="Z6057">
        <v>9.4647589999999997E-3</v>
      </c>
      <c r="AA6057">
        <v>0.97325910000000004</v>
      </c>
      <c r="AB6057">
        <v>36</v>
      </c>
      <c r="AC6057">
        <v>14.557399999999999</v>
      </c>
      <c r="AD6057">
        <v>-1.1075778336685</v>
      </c>
      <c r="AE6057">
        <v>3.2877000000000001</v>
      </c>
      <c r="AF6057">
        <v>-3.4554472730339199</v>
      </c>
      <c r="AG6057">
        <v>-1.1075778336685</v>
      </c>
      <c r="AH6057">
        <v>14.4344523507174</v>
      </c>
      <c r="AI6057">
        <v>94.267679690726695</v>
      </c>
      <c r="AJ6057">
        <v>103.462620685611</v>
      </c>
      <c r="AK6057">
        <v>14.8835566710206</v>
      </c>
      <c r="AL6057">
        <v>81.619774323153294</v>
      </c>
      <c r="AM6057">
        <v>89.307194426161303</v>
      </c>
      <c r="AN6057">
        <v>1.00000003272449</v>
      </c>
    </row>
    <row r="6058" spans="1:40" x14ac:dyDescent="0.25">
      <c r="A6058" t="str">
        <f>"20190312164624034"</f>
        <v>20190312164624034</v>
      </c>
      <c r="B6058" t="str">
        <f>"1552380384027811"</f>
        <v>1552380384027811</v>
      </c>
      <c r="C6058" t="s">
        <v>40</v>
      </c>
      <c r="D6058">
        <v>4.9312110000000002</v>
      </c>
      <c r="E6058">
        <v>0.41046840000000001</v>
      </c>
      <c r="F6058" t="s">
        <v>92</v>
      </c>
      <c r="G6058">
        <v>-222.7619</v>
      </c>
      <c r="H6058" s="1">
        <v>-6.9714690000000005E-7</v>
      </c>
      <c r="I6058">
        <v>-58.600409999999997</v>
      </c>
      <c r="J6058">
        <v>-237.48230000000001</v>
      </c>
      <c r="K6058">
        <v>1.1075980000000001</v>
      </c>
      <c r="L6058">
        <v>-61.923459999999999</v>
      </c>
      <c r="M6058">
        <v>0.99982729999999997</v>
      </c>
      <c r="N6058">
        <v>0</v>
      </c>
      <c r="O6058">
        <v>-1.3371589999999999E-2</v>
      </c>
      <c r="P6058">
        <v>0.99084570000000005</v>
      </c>
      <c r="Q6058">
        <v>0.13293740000000001</v>
      </c>
      <c r="R6058">
        <v>-2.3511509999999999E-2</v>
      </c>
      <c r="S6058">
        <v>3.075348</v>
      </c>
      <c r="T6058">
        <v>-0.2287189</v>
      </c>
      <c r="U6058">
        <v>0.68566890000000003</v>
      </c>
      <c r="V6058">
        <v>1.0649759999999999E-2</v>
      </c>
      <c r="W6058">
        <v>0.145703799999999</v>
      </c>
      <c r="X6058">
        <v>0.98927089999999995</v>
      </c>
      <c r="Y6058">
        <v>-0.2300053</v>
      </c>
      <c r="Z6058">
        <v>9.4195019999999997E-3</v>
      </c>
      <c r="AA6058">
        <v>0.9731438</v>
      </c>
      <c r="AB6058">
        <v>36</v>
      </c>
      <c r="AC6058">
        <v>14.7204</v>
      </c>
      <c r="AD6058">
        <v>-1.1075986971468901</v>
      </c>
      <c r="AE6058">
        <v>3.3230499999999998</v>
      </c>
      <c r="AF6058">
        <v>-3.50074622356582</v>
      </c>
      <c r="AG6058">
        <v>-1.1075986971468901</v>
      </c>
      <c r="AH6058">
        <v>14.5960182139584</v>
      </c>
      <c r="AI6058">
        <v>94.220258554660703</v>
      </c>
      <c r="AJ6058">
        <v>103.487203060228</v>
      </c>
      <c r="AK6058">
        <v>15.0507722957308</v>
      </c>
      <c r="AL6058">
        <v>81.621962893057599</v>
      </c>
      <c r="AM6058">
        <v>89.383219772465594</v>
      </c>
      <c r="AN6058">
        <v>0.99999996415465298</v>
      </c>
    </row>
    <row r="6059" spans="1:40" x14ac:dyDescent="0.25">
      <c r="A6059" t="str">
        <f>"20190312164624045"</f>
        <v>20190312164624045</v>
      </c>
      <c r="B6059" t="str">
        <f>"1552380384037570"</f>
        <v>1552380384037570</v>
      </c>
      <c r="C6059" t="s">
        <v>40</v>
      </c>
      <c r="D6059">
        <v>4.9328269999999996</v>
      </c>
      <c r="E6059">
        <v>0.41049239999999998</v>
      </c>
      <c r="F6059" t="s">
        <v>92</v>
      </c>
      <c r="G6059">
        <v>-222.7242</v>
      </c>
      <c r="H6059" s="1">
        <v>-6.7735060000000002E-7</v>
      </c>
      <c r="I6059">
        <v>-58.616889999999998</v>
      </c>
      <c r="J6059">
        <v>-237.31049999999999</v>
      </c>
      <c r="K6059">
        <v>1.10761</v>
      </c>
      <c r="L6059">
        <v>-61.926209999999998</v>
      </c>
      <c r="M6059">
        <v>0.99981929999999997</v>
      </c>
      <c r="N6059">
        <v>0</v>
      </c>
      <c r="O6059">
        <v>-1.389087E-2</v>
      </c>
      <c r="P6059">
        <v>0.99086660000000004</v>
      </c>
      <c r="Q6059">
        <v>0.13286819999999999</v>
      </c>
      <c r="R6059">
        <v>-2.3019830000000002E-2</v>
      </c>
      <c r="S6059">
        <v>3.075027</v>
      </c>
      <c r="T6059">
        <v>-0.23078199999999999</v>
      </c>
      <c r="U6059">
        <v>0.68896480000000004</v>
      </c>
      <c r="V6059">
        <v>9.6403640000000002E-3</v>
      </c>
      <c r="W6059">
        <v>0.14570520000000001</v>
      </c>
      <c r="X6059">
        <v>0.98928110000000002</v>
      </c>
      <c r="Y6059">
        <v>-0.2315084</v>
      </c>
      <c r="Z6059">
        <v>9.5982250000000002E-3</v>
      </c>
      <c r="AA6059">
        <v>0.97278549999999997</v>
      </c>
      <c r="AB6059">
        <v>36</v>
      </c>
      <c r="AC6059">
        <v>14.5862999999999</v>
      </c>
      <c r="AD6059">
        <v>-1.1076106773506</v>
      </c>
      <c r="AE6059">
        <v>3.3093199999999898</v>
      </c>
      <c r="AF6059">
        <v>-3.4924818716231001</v>
      </c>
      <c r="AG6059">
        <v>-1.1076106773506</v>
      </c>
      <c r="AH6059">
        <v>14.459624833198401</v>
      </c>
      <c r="AI6059">
        <v>94.258334697945202</v>
      </c>
      <c r="AJ6059">
        <v>103.57877491888701</v>
      </c>
      <c r="AK6059">
        <v>14.9166008645752</v>
      </c>
      <c r="AL6059">
        <v>81.621882271194593</v>
      </c>
      <c r="AM6059">
        <v>89.441680744625998</v>
      </c>
      <c r="AN6059">
        <v>1.0000000183711499</v>
      </c>
    </row>
    <row r="6060" spans="1:40" x14ac:dyDescent="0.25">
      <c r="A6060" t="str">
        <f>"20190312164624057"</f>
        <v>20190312164624057</v>
      </c>
      <c r="B6060" t="str">
        <f>"1552380384047330"</f>
        <v>1552380384047330</v>
      </c>
      <c r="C6060" t="s">
        <v>40</v>
      </c>
      <c r="D6060">
        <v>4.9694289999999999</v>
      </c>
      <c r="E6060">
        <v>0.41045130000000002</v>
      </c>
      <c r="F6060" t="s">
        <v>92</v>
      </c>
      <c r="G6060">
        <v>-222.6284</v>
      </c>
      <c r="H6060" s="1">
        <v>-6.3367869999999999E-7</v>
      </c>
      <c r="I6060">
        <v>-58.628529999999998</v>
      </c>
      <c r="J6060">
        <v>-237.13079999999999</v>
      </c>
      <c r="K6060">
        <v>1.107623</v>
      </c>
      <c r="L6060">
        <v>-61.929229999999997</v>
      </c>
      <c r="M6060">
        <v>0.99981059999999999</v>
      </c>
      <c r="N6060">
        <v>0</v>
      </c>
      <c r="O6060">
        <v>-1.4427509999999999E-2</v>
      </c>
      <c r="P6060">
        <v>0.9908766</v>
      </c>
      <c r="Q6060">
        <v>0.13285339999999901</v>
      </c>
      <c r="R6060">
        <v>-2.266255E-2</v>
      </c>
      <c r="S6060">
        <v>3.074783</v>
      </c>
      <c r="T6060">
        <v>-0.23196020000000001</v>
      </c>
      <c r="U6060">
        <v>0.69061280000000003</v>
      </c>
      <c r="V6060">
        <v>8.7481739999999992E-3</v>
      </c>
      <c r="W6060">
        <v>0.145758</v>
      </c>
      <c r="X6060">
        <v>0.98928159999999998</v>
      </c>
      <c r="Y6060">
        <v>-0.23253219999999999</v>
      </c>
      <c r="Z6060">
        <v>9.7253370000000006E-3</v>
      </c>
      <c r="AA6060">
        <v>0.97254010000000002</v>
      </c>
      <c r="AB6060">
        <v>36</v>
      </c>
      <c r="AC6060">
        <v>14.5023999999999</v>
      </c>
      <c r="AD6060">
        <v>-1.1076236336787</v>
      </c>
      <c r="AE6060">
        <v>3.3006999999999902</v>
      </c>
      <c r="AF6060">
        <v>-3.49025121539179</v>
      </c>
      <c r="AG6060">
        <v>-1.1076236336787</v>
      </c>
      <c r="AH6060">
        <v>14.3735512028674</v>
      </c>
      <c r="AI6060">
        <v>94.282529879608703</v>
      </c>
      <c r="AJ6060">
        <v>103.648656118677</v>
      </c>
      <c r="AK6060">
        <v>14.832655117742</v>
      </c>
      <c r="AL6060">
        <v>81.618824292651993</v>
      </c>
      <c r="AM6060">
        <v>89.493349129177602</v>
      </c>
      <c r="AN6060">
        <v>1.00000000460544</v>
      </c>
    </row>
    <row r="6061" spans="1:40" x14ac:dyDescent="0.25">
      <c r="A6061" t="str">
        <f>"20190312164624066"</f>
        <v>20190312164624066</v>
      </c>
      <c r="B6061" t="str">
        <f>"1552380384057090"</f>
        <v>1552380384057090</v>
      </c>
      <c r="C6061" t="s">
        <v>40</v>
      </c>
      <c r="D6061">
        <v>4.9495490000000002</v>
      </c>
      <c r="E6061">
        <v>0.4104218</v>
      </c>
      <c r="F6061" t="s">
        <v>92</v>
      </c>
      <c r="G6061">
        <v>-222.74619999999999</v>
      </c>
      <c r="H6061" s="1">
        <v>-6.7064309999999899E-7</v>
      </c>
      <c r="I6061">
        <v>-58.689979999999998</v>
      </c>
      <c r="J6061">
        <v>-236.95500000000001</v>
      </c>
      <c r="K6061">
        <v>1.1076330000000001</v>
      </c>
      <c r="L6061">
        <v>-61.932220000000001</v>
      </c>
      <c r="M6061">
        <v>0.99980230000000003</v>
      </c>
      <c r="N6061">
        <v>0</v>
      </c>
      <c r="O6061">
        <v>-1.494994E-2</v>
      </c>
      <c r="P6061">
        <v>0.99088069999999895</v>
      </c>
      <c r="Q6061">
        <v>0.13286400000000001</v>
      </c>
      <c r="R6061">
        <v>-2.2423559999999999E-2</v>
      </c>
      <c r="S6061">
        <v>3.0752109999999999</v>
      </c>
      <c r="T6061">
        <v>-0.2367938</v>
      </c>
      <c r="U6061">
        <v>0.69250489999999998</v>
      </c>
      <c r="V6061">
        <v>7.9883260000000005E-3</v>
      </c>
      <c r="W6061">
        <v>0.14583209999999999</v>
      </c>
      <c r="X6061">
        <v>0.98927710000000002</v>
      </c>
      <c r="Y6061">
        <v>-0.2335488</v>
      </c>
      <c r="Z6061">
        <v>1.0003730000000001E-2</v>
      </c>
      <c r="AA6061">
        <v>0.97229359999999998</v>
      </c>
      <c r="AB6061">
        <v>36</v>
      </c>
      <c r="AC6061">
        <v>14.2088</v>
      </c>
      <c r="AD6061">
        <v>-1.1076336706431</v>
      </c>
      <c r="AE6061">
        <v>3.2422399999999798</v>
      </c>
      <c r="AF6061">
        <v>-3.4344787235788101</v>
      </c>
      <c r="AG6061">
        <v>-1.1076336706431</v>
      </c>
      <c r="AH6061">
        <v>14.0774239657009</v>
      </c>
      <c r="AI6061">
        <v>94.371162355513306</v>
      </c>
      <c r="AJ6061">
        <v>103.710651430854</v>
      </c>
      <c r="AK6061">
        <v>14.5325965319742</v>
      </c>
      <c r="AL6061">
        <v>81.614532761602405</v>
      </c>
      <c r="AM6061">
        <v>89.537351650380003</v>
      </c>
      <c r="AN6061">
        <v>0.99999999766355097</v>
      </c>
    </row>
    <row r="6062" spans="1:40" x14ac:dyDescent="0.25">
      <c r="A6062" t="str">
        <f>"20190312164624079"</f>
        <v>20190312164624079</v>
      </c>
      <c r="B6062" t="str">
        <f>"1552380384067827"</f>
        <v>1552380384067827</v>
      </c>
      <c r="C6062" t="s">
        <v>40</v>
      </c>
      <c r="D6062">
        <v>4.9660960000000003</v>
      </c>
      <c r="E6062">
        <v>0.41040320000000002</v>
      </c>
      <c r="F6062" t="s">
        <v>92</v>
      </c>
      <c r="G6062">
        <v>-222.82740000000001</v>
      </c>
      <c r="H6062" s="1">
        <v>-6.9327339999999996E-7</v>
      </c>
      <c r="I6062">
        <v>-58.745100000000001</v>
      </c>
      <c r="J6062">
        <v>-236.77279999999999</v>
      </c>
      <c r="K6062">
        <v>1.1076469999999901</v>
      </c>
      <c r="L6062">
        <v>-61.935490000000001</v>
      </c>
      <c r="M6062">
        <v>0.99979340000000005</v>
      </c>
      <c r="N6062">
        <v>0</v>
      </c>
      <c r="O6062">
        <v>-1.5482320000000001E-2</v>
      </c>
      <c r="P6062">
        <v>0.99089179999999999</v>
      </c>
      <c r="Q6062">
        <v>0.13282539999999901</v>
      </c>
      <c r="R6062">
        <v>-2.2162399999999999E-2</v>
      </c>
      <c r="S6062">
        <v>3.0756230000000002</v>
      </c>
      <c r="T6062">
        <v>-0.24113570000000001</v>
      </c>
      <c r="U6062">
        <v>0.69384769999999996</v>
      </c>
      <c r="V6062">
        <v>7.1957230000000002E-3</v>
      </c>
      <c r="W6062">
        <v>0.14585290000000001</v>
      </c>
      <c r="X6062">
        <v>0.9892801</v>
      </c>
      <c r="Y6062">
        <v>-0.2344127</v>
      </c>
      <c r="Z6062">
        <v>1.025941E-2</v>
      </c>
      <c r="AA6062">
        <v>0.97208300000000003</v>
      </c>
      <c r="AB6062">
        <v>36</v>
      </c>
      <c r="AC6062">
        <v>13.9453999999999</v>
      </c>
      <c r="AD6062">
        <v>-1.1076476932733901</v>
      </c>
      <c r="AE6062">
        <v>3.1903899999999998</v>
      </c>
      <c r="AF6062">
        <v>-3.3856366843285199</v>
      </c>
      <c r="AG6062">
        <v>-1.1076476932733901</v>
      </c>
      <c r="AH6062">
        <v>13.811529864088699</v>
      </c>
      <c r="AI6062">
        <v>94.453846791772705</v>
      </c>
      <c r="AJ6062">
        <v>103.773391204595</v>
      </c>
      <c r="AK6062">
        <v>14.2635120625075</v>
      </c>
      <c r="AL6062">
        <v>81.613327993229603</v>
      </c>
      <c r="AM6062">
        <v>89.583255250145996</v>
      </c>
      <c r="AN6062">
        <v>0.99999998156195602</v>
      </c>
    </row>
    <row r="6063" spans="1:40" x14ac:dyDescent="0.25">
      <c r="A6063" t="str">
        <f>"20190312164624090"</f>
        <v>20190312164624090</v>
      </c>
      <c r="B6063" t="str">
        <f>"1552380384087346"</f>
        <v>1552380384087346</v>
      </c>
      <c r="C6063" t="s">
        <v>40</v>
      </c>
      <c r="D6063">
        <v>5.6427149999999999</v>
      </c>
      <c r="E6063">
        <v>0.41096250000000001</v>
      </c>
      <c r="F6063" t="s">
        <v>92</v>
      </c>
      <c r="G6063">
        <v>-222.6455</v>
      </c>
      <c r="H6063" s="1">
        <v>-6.1560539999999998E-7</v>
      </c>
      <c r="I6063">
        <v>-58.743340000000003</v>
      </c>
      <c r="J6063">
        <v>-236.59829999999999</v>
      </c>
      <c r="K6063">
        <v>1.107664</v>
      </c>
      <c r="L6063">
        <v>-61.938600000000001</v>
      </c>
      <c r="M6063">
        <v>0.99978460000000002</v>
      </c>
      <c r="N6063">
        <v>0</v>
      </c>
      <c r="O6063">
        <v>-1.598989E-2</v>
      </c>
      <c r="P6063">
        <v>0.9909211</v>
      </c>
      <c r="Q6063">
        <v>0.13262969999999999</v>
      </c>
      <c r="R6063">
        <v>-2.2019589999999999E-2</v>
      </c>
      <c r="S6063">
        <v>3.0754549999999998</v>
      </c>
      <c r="T6063">
        <v>-0.2411296</v>
      </c>
      <c r="U6063">
        <v>0.69491579999999997</v>
      </c>
      <c r="V6063">
        <v>6.5454919999999896E-3</v>
      </c>
      <c r="W6063">
        <v>0.1457128</v>
      </c>
      <c r="X6063">
        <v>0.98930530000000005</v>
      </c>
      <c r="Y6063">
        <v>-0.23523479999999999</v>
      </c>
      <c r="Z6063">
        <v>1.033037E-2</v>
      </c>
      <c r="AA6063">
        <v>0.97188370000000002</v>
      </c>
      <c r="AB6063">
        <v>36</v>
      </c>
      <c r="AC6063">
        <v>13.9527999999999</v>
      </c>
      <c r="AD6063">
        <v>-1.1076646156054</v>
      </c>
      <c r="AE6063">
        <v>3.19525999999999</v>
      </c>
      <c r="AF6063">
        <v>-3.3976290676974799</v>
      </c>
      <c r="AG6063">
        <v>-1.1076646156054</v>
      </c>
      <c r="AH6063">
        <v>13.8171797279815</v>
      </c>
      <c r="AI6063">
        <v>94.451312492647702</v>
      </c>
      <c r="AJ6063">
        <v>103.814876444162</v>
      </c>
      <c r="AK6063">
        <v>14.271834493773699</v>
      </c>
      <c r="AL6063">
        <v>81.621442140233498</v>
      </c>
      <c r="AM6063">
        <v>89.620922283233099</v>
      </c>
      <c r="AN6063">
        <v>1.00000002007872</v>
      </c>
    </row>
    <row r="6064" spans="1:40" x14ac:dyDescent="0.25">
      <c r="A6064" t="str">
        <f>"20190312164624101"</f>
        <v>20190312164624101</v>
      </c>
      <c r="B6064" t="str">
        <f>"1552380384097106"</f>
        <v>1552380384097106</v>
      </c>
      <c r="C6064" t="s">
        <v>40</v>
      </c>
      <c r="D6064">
        <v>5.0323520000000004</v>
      </c>
      <c r="E6064">
        <v>0.4707018</v>
      </c>
      <c r="F6064" t="s">
        <v>92</v>
      </c>
      <c r="G6064">
        <v>-222.4255</v>
      </c>
      <c r="H6064" s="1">
        <v>-5.1871119999999998E-7</v>
      </c>
      <c r="I6064">
        <v>-58.754840000000002</v>
      </c>
      <c r="J6064">
        <v>-236.40459999999999</v>
      </c>
      <c r="K6064">
        <v>1.10768</v>
      </c>
      <c r="L6064">
        <v>-61.942230000000002</v>
      </c>
      <c r="M6064">
        <v>0.99977510000000003</v>
      </c>
      <c r="N6064">
        <v>0</v>
      </c>
      <c r="O6064">
        <v>-1.6541739999999999E-2</v>
      </c>
      <c r="P6064">
        <v>0.99092049999999998</v>
      </c>
      <c r="Q6064">
        <v>0.13267309999999999</v>
      </c>
      <c r="R6064">
        <v>-2.1790899999999998E-2</v>
      </c>
      <c r="S6064">
        <v>3.0749970000000002</v>
      </c>
      <c r="T6064">
        <v>-0.24032519999999999</v>
      </c>
      <c r="U6064">
        <v>0.69076539999999997</v>
      </c>
      <c r="V6064">
        <v>5.7655479999999997E-3</v>
      </c>
      <c r="W6064">
        <v>0.14581089999999999</v>
      </c>
      <c r="X6064">
        <v>0.9892957</v>
      </c>
      <c r="Y6064">
        <v>-0.23455860000000001</v>
      </c>
      <c r="Z6064">
        <v>1.031551E-2</v>
      </c>
      <c r="AA6064">
        <v>0.97204729999999995</v>
      </c>
      <c r="AB6064">
        <v>36</v>
      </c>
      <c r="AC6064">
        <v>13.979099999999899</v>
      </c>
      <c r="AD6064">
        <v>-1.1076805187112</v>
      </c>
      <c r="AE6064">
        <v>3.1873900000000002</v>
      </c>
      <c r="AF6064">
        <v>-3.3979325262051501</v>
      </c>
      <c r="AG6064">
        <v>-1.1076805187112</v>
      </c>
      <c r="AH6064">
        <v>13.8418434301131</v>
      </c>
      <c r="AI6064">
        <v>94.443903214936398</v>
      </c>
      <c r="AJ6064">
        <v>103.792386125476</v>
      </c>
      <c r="AK6064">
        <v>14.2957871811223</v>
      </c>
      <c r="AL6064">
        <v>81.615760753791406</v>
      </c>
      <c r="AM6064">
        <v>89.666087877403797</v>
      </c>
      <c r="AN6064">
        <v>1.00000002107052</v>
      </c>
    </row>
    <row r="6065" spans="1:40" x14ac:dyDescent="0.25">
      <c r="A6065" t="str">
        <f>"20190312164624114"</f>
        <v>20190312164624114</v>
      </c>
      <c r="B6065" t="str">
        <f>"1552380384107842"</f>
        <v>1552380384107842</v>
      </c>
      <c r="C6065" t="s">
        <v>40</v>
      </c>
      <c r="D6065">
        <v>5.0507359999999997</v>
      </c>
      <c r="E6065">
        <v>0.47639009999999998</v>
      </c>
      <c r="F6065" t="s">
        <v>52</v>
      </c>
      <c r="G6065">
        <v>-202.94909999999999</v>
      </c>
      <c r="H6065" s="1">
        <v>-4.3512090000000004E-6</v>
      </c>
      <c r="I6065">
        <v>-59.701810000000002</v>
      </c>
      <c r="J6065">
        <v>-236.2149</v>
      </c>
      <c r="K6065">
        <v>1.1076969999999999</v>
      </c>
      <c r="L6065">
        <v>-61.945889999999999</v>
      </c>
      <c r="M6065">
        <v>0.99976529999999997</v>
      </c>
      <c r="N6065">
        <v>0</v>
      </c>
      <c r="O6065">
        <v>-1.7076640000000001E-2</v>
      </c>
      <c r="P6065">
        <v>0.99094300000000002</v>
      </c>
      <c r="Q6065">
        <v>0.132539299999999</v>
      </c>
      <c r="R6065">
        <v>-2.1570349999999999E-2</v>
      </c>
      <c r="S6065">
        <v>3.0454859999999999</v>
      </c>
      <c r="T6065">
        <v>-0.1008338</v>
      </c>
      <c r="U6065">
        <v>0.20394899999999999</v>
      </c>
      <c r="V6065">
        <v>5.0099599999999999E-3</v>
      </c>
      <c r="W6065">
        <v>0.14572829999999901</v>
      </c>
      <c r="X6065">
        <v>0.98931190000000002</v>
      </c>
      <c r="Y6065">
        <v>-8.3793179999999995E-2</v>
      </c>
      <c r="Z6065">
        <v>1.9499529999999999E-3</v>
      </c>
      <c r="AA6065">
        <v>0.99648119999999996</v>
      </c>
      <c r="AB6065">
        <v>36</v>
      </c>
      <c r="AC6065">
        <v>33.265799999999999</v>
      </c>
      <c r="AD6065">
        <v>-1.1077013512089999</v>
      </c>
      <c r="AE6065">
        <v>2.2440800000000101</v>
      </c>
      <c r="AF6065">
        <v>-2.8087710681176898</v>
      </c>
      <c r="AG6065">
        <v>-1.1077013512089999</v>
      </c>
      <c r="AH6065">
        <v>33.185994066931997</v>
      </c>
      <c r="AI6065">
        <v>91.9049362335777</v>
      </c>
      <c r="AJ6065">
        <v>94.837826974817702</v>
      </c>
      <c r="AK6065">
        <v>33.323061074982398</v>
      </c>
      <c r="AL6065">
        <v>81.620543766729</v>
      </c>
      <c r="AM6065">
        <v>89.709851756786193</v>
      </c>
      <c r="AN6065">
        <v>0.99999993630084805</v>
      </c>
    </row>
    <row r="6066" spans="1:40" x14ac:dyDescent="0.25">
      <c r="A6066" t="str">
        <f>"20190312164624125"</f>
        <v>20190312164624125</v>
      </c>
      <c r="B6066" t="str">
        <f>"1552380384117602"</f>
        <v>1552380384117602</v>
      </c>
      <c r="C6066" t="s">
        <v>40</v>
      </c>
      <c r="D6066">
        <v>5.1425429999999999</v>
      </c>
      <c r="E6066">
        <v>0.4804329</v>
      </c>
      <c r="F6066" t="s">
        <v>52</v>
      </c>
      <c r="G6066">
        <v>-209.16069999999999</v>
      </c>
      <c r="H6066" s="1">
        <v>-5.2378619999999999E-7</v>
      </c>
      <c r="I6066">
        <v>-60.518189999999997</v>
      </c>
      <c r="J6066">
        <v>-236.03200000000001</v>
      </c>
      <c r="K6066">
        <v>1.1077159999999999</v>
      </c>
      <c r="L6066">
        <v>-61.949460000000002</v>
      </c>
      <c r="M6066">
        <v>0.99975590000000003</v>
      </c>
      <c r="N6066">
        <v>0</v>
      </c>
      <c r="O6066">
        <v>-1.7585380000000001E-2</v>
      </c>
      <c r="P6066">
        <v>0.99095069999999996</v>
      </c>
      <c r="Q6066">
        <v>0.1324553</v>
      </c>
      <c r="R6066">
        <v>-2.173365E-2</v>
      </c>
      <c r="S6066">
        <v>3.0475919999999999</v>
      </c>
      <c r="T6066">
        <v>-0.12477969999999999</v>
      </c>
      <c r="U6066">
        <v>0.16082759999999999</v>
      </c>
      <c r="V6066">
        <v>4.6638069999999998E-3</v>
      </c>
      <c r="W6066">
        <v>0.14568919999999999</v>
      </c>
      <c r="X6066">
        <v>0.98931939999999996</v>
      </c>
      <c r="Y6066">
        <v>-7.0179749999999999E-2</v>
      </c>
      <c r="Z6066">
        <v>2.1544400000000001E-3</v>
      </c>
      <c r="AA6066">
        <v>0.99753199999999997</v>
      </c>
      <c r="AB6066">
        <v>36</v>
      </c>
      <c r="AC6066">
        <v>26.871300000000002</v>
      </c>
      <c r="AD6066">
        <v>-1.1077165237861999</v>
      </c>
      <c r="AE6066">
        <v>1.4312699999999901</v>
      </c>
      <c r="AF6066">
        <v>-1.90041262293673</v>
      </c>
      <c r="AG6066">
        <v>-1.1077165237861999</v>
      </c>
      <c r="AH6066">
        <v>26.7965647286963</v>
      </c>
      <c r="AI6066">
        <v>92.361221606566602</v>
      </c>
      <c r="AJ6066">
        <v>94.056625188788502</v>
      </c>
      <c r="AK6066">
        <v>26.886697180830801</v>
      </c>
      <c r="AL6066">
        <v>81.622808606918397</v>
      </c>
      <c r="AM6066">
        <v>89.729900699294006</v>
      </c>
      <c r="AN6066">
        <v>0.99999998465436601</v>
      </c>
    </row>
    <row r="6067" spans="1:40" x14ac:dyDescent="0.25">
      <c r="A6067" t="str">
        <f>"20190312164624136"</f>
        <v>20190312164624136</v>
      </c>
      <c r="B6067" t="str">
        <f>"1552380384127361"</f>
        <v>1552380384127361</v>
      </c>
      <c r="C6067" t="s">
        <v>40</v>
      </c>
      <c r="D6067">
        <v>5.2010680000000002</v>
      </c>
      <c r="E6067">
        <v>0.48338569999999997</v>
      </c>
      <c r="F6067" t="s">
        <v>93</v>
      </c>
      <c r="G6067">
        <v>-213.00659999999999</v>
      </c>
      <c r="H6067" s="1">
        <v>-4.1560700000000002E-7</v>
      </c>
      <c r="I6067">
        <v>-60.972749999999998</v>
      </c>
      <c r="J6067">
        <v>-235.8595</v>
      </c>
      <c r="K6067">
        <v>1.107734</v>
      </c>
      <c r="L6067">
        <v>-61.952969999999901</v>
      </c>
      <c r="M6067">
        <v>0.99974719999999995</v>
      </c>
      <c r="N6067">
        <v>0</v>
      </c>
      <c r="O6067">
        <v>-1.8056280000000001E-2</v>
      </c>
      <c r="P6067">
        <v>0.99092729999999996</v>
      </c>
      <c r="Q6067">
        <v>0.13265929999999901</v>
      </c>
      <c r="R6067">
        <v>-2.1560610000000001E-2</v>
      </c>
      <c r="S6067">
        <v>3.0498500000000002</v>
      </c>
      <c r="T6067">
        <v>-0.14672370000000001</v>
      </c>
      <c r="U6067">
        <v>0.12936400000000001</v>
      </c>
      <c r="V6067">
        <v>4.0205400000000004E-3</v>
      </c>
      <c r="W6067">
        <v>0.1459326</v>
      </c>
      <c r="X6067">
        <v>0.98928640000000001</v>
      </c>
      <c r="Y6067">
        <v>-6.0322679999999997E-2</v>
      </c>
      <c r="Z6067">
        <v>2.3174229999999999E-3</v>
      </c>
      <c r="AA6067">
        <v>0.99817619999999896</v>
      </c>
      <c r="AB6067">
        <v>36</v>
      </c>
      <c r="AC6067">
        <v>22.852900000000002</v>
      </c>
      <c r="AD6067">
        <v>-1.1077344156069999</v>
      </c>
      <c r="AE6067">
        <v>0.98021999999999498</v>
      </c>
      <c r="AF6067">
        <v>-1.3894768899734</v>
      </c>
      <c r="AG6067">
        <v>-1.1077344156069999</v>
      </c>
      <c r="AH6067">
        <v>22.7780525739837</v>
      </c>
      <c r="AI6067">
        <v>92.779037514833107</v>
      </c>
      <c r="AJ6067">
        <v>93.490756487812405</v>
      </c>
      <c r="AK6067">
        <v>22.847262431776301</v>
      </c>
      <c r="AL6067">
        <v>81.608712582119793</v>
      </c>
      <c r="AM6067">
        <v>89.767146596668297</v>
      </c>
      <c r="AN6067">
        <v>1.0000000348547999</v>
      </c>
    </row>
    <row r="6068" spans="1:40" x14ac:dyDescent="0.25">
      <c r="A6068" t="str">
        <f>"20190312164624146"</f>
        <v>20190312164624146</v>
      </c>
      <c r="B6068" t="str">
        <f>"1552380384137122"</f>
        <v>1552380384137122</v>
      </c>
      <c r="C6068" t="s">
        <v>40</v>
      </c>
      <c r="D6068">
        <v>5.0013940000000003</v>
      </c>
      <c r="E6068">
        <v>0.48454629999999999</v>
      </c>
      <c r="F6068" t="s">
        <v>93</v>
      </c>
      <c r="G6068">
        <v>-213.42429999999999</v>
      </c>
      <c r="H6068" s="1">
        <v>-6.4702980000000001E-7</v>
      </c>
      <c r="I6068">
        <v>-61.169020000000003</v>
      </c>
      <c r="J6068">
        <v>-235.6823</v>
      </c>
      <c r="K6068">
        <v>1.10775</v>
      </c>
      <c r="L6068">
        <v>-61.956600000000002</v>
      </c>
      <c r="M6068">
        <v>0.99973780000000001</v>
      </c>
      <c r="N6068">
        <v>0</v>
      </c>
      <c r="O6068">
        <v>-1.8535510000000002E-2</v>
      </c>
      <c r="P6068">
        <v>0.99091260000000003</v>
      </c>
      <c r="Q6068">
        <v>0.13274849999999999</v>
      </c>
      <c r="R6068">
        <v>-2.168846E-2</v>
      </c>
      <c r="S6068">
        <v>3.049957</v>
      </c>
      <c r="T6068">
        <v>-0.15059139999999999</v>
      </c>
      <c r="U6068">
        <v>0.10656740000000001</v>
      </c>
      <c r="V6068">
        <v>3.6688620000000002E-3</v>
      </c>
      <c r="W6068">
        <v>0.14606040000000001</v>
      </c>
      <c r="X6068">
        <v>0.98926879999999995</v>
      </c>
      <c r="Y6068">
        <v>-5.3351719999999998E-2</v>
      </c>
      <c r="Z6068">
        <v>2.2303869999999999E-3</v>
      </c>
      <c r="AA6068">
        <v>0.9985733</v>
      </c>
      <c r="AB6068">
        <v>36</v>
      </c>
      <c r="AC6068">
        <v>22.257999999999999</v>
      </c>
      <c r="AD6068">
        <v>-1.1077506470298</v>
      </c>
      <c r="AE6068">
        <v>0.78758000000000505</v>
      </c>
      <c r="AF6068">
        <v>-1.1970839748634501</v>
      </c>
      <c r="AG6068">
        <v>-1.1077506470298</v>
      </c>
      <c r="AH6068">
        <v>22.184694954841898</v>
      </c>
      <c r="AI6068">
        <v>92.854436140743303</v>
      </c>
      <c r="AJ6068">
        <v>93.088679255995899</v>
      </c>
      <c r="AK6068">
        <v>22.244568140969999</v>
      </c>
      <c r="AL6068">
        <v>81.601309984745399</v>
      </c>
      <c r="AM6068">
        <v>89.787510386996502</v>
      </c>
      <c r="AN6068">
        <v>0.99999992982498498</v>
      </c>
    </row>
    <row r="6069" spans="1:40" x14ac:dyDescent="0.25">
      <c r="A6069" t="str">
        <f>"20190312164624158"</f>
        <v>20190312164624158</v>
      </c>
      <c r="B6069" t="str">
        <f>"1552380384147859"</f>
        <v>1552380384147859</v>
      </c>
      <c r="C6069" t="s">
        <v>40</v>
      </c>
      <c r="D6069">
        <v>5.0409879999999996</v>
      </c>
      <c r="E6069">
        <v>0.4858711</v>
      </c>
      <c r="F6069" t="s">
        <v>93</v>
      </c>
      <c r="G6069">
        <v>-213.53649999999999</v>
      </c>
      <c r="H6069" s="1">
        <v>-7.1731259999999996E-7</v>
      </c>
      <c r="I6069">
        <v>-61.2523699999999</v>
      </c>
      <c r="J6069">
        <v>-235.51300000000001</v>
      </c>
      <c r="K6069">
        <v>1.1077680000000001</v>
      </c>
      <c r="L6069">
        <v>-61.960209999999996</v>
      </c>
      <c r="M6069">
        <v>0.99972910000000004</v>
      </c>
      <c r="N6069">
        <v>0</v>
      </c>
      <c r="O6069">
        <v>-1.8978430000000001E-2</v>
      </c>
      <c r="P6069">
        <v>0.99092170000000002</v>
      </c>
      <c r="Q6069">
        <v>0.13268559999999999</v>
      </c>
      <c r="R6069">
        <v>-2.1657800000000001E-2</v>
      </c>
      <c r="S6069">
        <v>3.0500790000000002</v>
      </c>
      <c r="T6069">
        <v>-0.15256710000000001</v>
      </c>
      <c r="U6069">
        <v>9.6984860000000006E-2</v>
      </c>
      <c r="V6069">
        <v>3.193258E-3</v>
      </c>
      <c r="W6069">
        <v>0.14603070000000001</v>
      </c>
      <c r="X6069">
        <v>0.98927489999999996</v>
      </c>
      <c r="Y6069">
        <v>-5.0659269999999999E-2</v>
      </c>
      <c r="Z6069">
        <v>2.2144930000000001E-3</v>
      </c>
      <c r="AA6069">
        <v>0.99871359999999998</v>
      </c>
      <c r="AB6069">
        <v>36</v>
      </c>
      <c r="AC6069">
        <v>21.976500000000001</v>
      </c>
      <c r="AD6069">
        <v>-1.1077687173126001</v>
      </c>
      <c r="AE6069">
        <v>0.70784000000000402</v>
      </c>
      <c r="AF6069">
        <v>-1.1219819743857</v>
      </c>
      <c r="AG6069">
        <v>-1.1077687173126001</v>
      </c>
      <c r="AH6069">
        <v>21.903510128603301</v>
      </c>
      <c r="AI6069">
        <v>92.891479265337196</v>
      </c>
      <c r="AJ6069">
        <v>92.932347122558994</v>
      </c>
      <c r="AK6069">
        <v>21.960185587461002</v>
      </c>
      <c r="AL6069">
        <v>81.603030664226793</v>
      </c>
      <c r="AM6069">
        <v>89.8150568958457</v>
      </c>
      <c r="AN6069">
        <v>0.99999999500457704</v>
      </c>
    </row>
    <row r="6070" spans="1:40" x14ac:dyDescent="0.25">
      <c r="A6070" t="str">
        <f>"20190312164624168"</f>
        <v>20190312164624168</v>
      </c>
      <c r="B6070" t="str">
        <f>"1552380384157618"</f>
        <v>1552380384157618</v>
      </c>
      <c r="C6070" t="s">
        <v>40</v>
      </c>
      <c r="D6070">
        <v>5.0062300000000004</v>
      </c>
      <c r="E6070">
        <v>0.48665700000000001</v>
      </c>
      <c r="F6070" t="s">
        <v>93</v>
      </c>
      <c r="G6070">
        <v>-214.0617</v>
      </c>
      <c r="H6070" s="1">
        <v>-9.6853729999999991E-7</v>
      </c>
      <c r="I6070">
        <v>-61.349809999999998</v>
      </c>
      <c r="J6070">
        <v>-235.34059999999999</v>
      </c>
      <c r="K6070">
        <v>1.107785</v>
      </c>
      <c r="L6070">
        <v>-61.963869999999901</v>
      </c>
      <c r="M6070">
        <v>0.99972000000000005</v>
      </c>
      <c r="N6070">
        <v>0</v>
      </c>
      <c r="O6070">
        <v>-1.9427170000000001E-2</v>
      </c>
      <c r="P6070">
        <v>0.99094720000000003</v>
      </c>
      <c r="Q6070">
        <v>0.132482399999999</v>
      </c>
      <c r="R6070">
        <v>-2.1725919999999999E-2</v>
      </c>
      <c r="S6070">
        <v>3.0504760000000002</v>
      </c>
      <c r="T6070">
        <v>-0.15752920000000001</v>
      </c>
      <c r="U6070">
        <v>8.6791989999999999E-2</v>
      </c>
      <c r="V6070">
        <v>2.809855E-3</v>
      </c>
      <c r="W6070">
        <v>0.1458614</v>
      </c>
      <c r="X6070">
        <v>0.98930099999999999</v>
      </c>
      <c r="Y6070">
        <v>-4.7766690000000001E-2</v>
      </c>
      <c r="Z6070">
        <v>2.234766E-3</v>
      </c>
      <c r="AA6070">
        <v>0.99885599999999997</v>
      </c>
      <c r="AB6070">
        <v>36</v>
      </c>
      <c r="AC6070">
        <v>21.2789</v>
      </c>
      <c r="AD6070">
        <v>-1.1077859685372999</v>
      </c>
      <c r="AE6070">
        <v>0.61405999999999406</v>
      </c>
      <c r="AF6070">
        <v>-1.0245959997903</v>
      </c>
      <c r="AG6070">
        <v>-1.1077859685372999</v>
      </c>
      <c r="AH6070">
        <v>21.205527871601799</v>
      </c>
      <c r="AI6070">
        <v>92.986959690388204</v>
      </c>
      <c r="AJ6070">
        <v>92.766231854465403</v>
      </c>
      <c r="AK6070">
        <v>21.2591485960317</v>
      </c>
      <c r="AL6070">
        <v>81.612835498123303</v>
      </c>
      <c r="AM6070">
        <v>89.837266514804597</v>
      </c>
      <c r="AN6070">
        <v>0.99999995594803903</v>
      </c>
    </row>
    <row r="6071" spans="1:40" x14ac:dyDescent="0.25">
      <c r="A6071" t="str">
        <f>"20190312164624180"</f>
        <v>20190312164624180</v>
      </c>
      <c r="B6071" t="str">
        <f>"1552380384167378"</f>
        <v>1552380384167378</v>
      </c>
      <c r="C6071" t="s">
        <v>40</v>
      </c>
      <c r="D6071">
        <v>5.1532070000000001</v>
      </c>
      <c r="E6071">
        <v>0.48766989999999999</v>
      </c>
      <c r="F6071" t="s">
        <v>93</v>
      </c>
      <c r="G6071">
        <v>-214.64930000000001</v>
      </c>
      <c r="H6071" s="1">
        <v>-1.238629E-6</v>
      </c>
      <c r="I6071">
        <v>-61.4174199999999</v>
      </c>
      <c r="J6071">
        <v>-235.16589999999999</v>
      </c>
      <c r="K6071">
        <v>1.1078049999999999</v>
      </c>
      <c r="L6071">
        <v>-61.967680000000001</v>
      </c>
      <c r="M6071">
        <v>0.99971109999999996</v>
      </c>
      <c r="N6071">
        <v>0</v>
      </c>
      <c r="O6071">
        <v>-1.9860800000000001E-2</v>
      </c>
      <c r="P6071">
        <v>0.99095639999999996</v>
      </c>
      <c r="Q6071">
        <v>0.13239579999999901</v>
      </c>
      <c r="R6071">
        <v>-2.1842879999999999E-2</v>
      </c>
      <c r="S6071">
        <v>3.0509949999999999</v>
      </c>
      <c r="T6071">
        <v>-0.1633463</v>
      </c>
      <c r="U6071">
        <v>8.0566410000000005E-2</v>
      </c>
      <c r="V6071">
        <v>2.4896200000000001E-3</v>
      </c>
      <c r="W6071">
        <v>0.14580379999999901</v>
      </c>
      <c r="X6071">
        <v>0.98931040000000003</v>
      </c>
      <c r="Y6071">
        <v>-4.6153409999999999E-2</v>
      </c>
      <c r="Z6071">
        <v>2.2968889999999999E-3</v>
      </c>
      <c r="AA6071">
        <v>0.99893169999999998</v>
      </c>
      <c r="AB6071">
        <v>36</v>
      </c>
      <c r="AC6071">
        <v>20.516599999999901</v>
      </c>
      <c r="AD6071">
        <v>-1.107806238629</v>
      </c>
      <c r="AE6071">
        <v>0.55026000000000796</v>
      </c>
      <c r="AF6071">
        <v>-0.95488289230756496</v>
      </c>
      <c r="AG6071">
        <v>-1.107806238629</v>
      </c>
      <c r="AH6071">
        <v>20.4420663298609</v>
      </c>
      <c r="AI6071">
        <v>93.098593929111303</v>
      </c>
      <c r="AJ6071">
        <v>92.674437026488704</v>
      </c>
      <c r="AK6071">
        <v>20.494319013687601</v>
      </c>
      <c r="AL6071">
        <v>81.616171828805506</v>
      </c>
      <c r="AM6071">
        <v>89.855814295012493</v>
      </c>
      <c r="AN6071">
        <v>1.00000000692517</v>
      </c>
    </row>
    <row r="6072" spans="1:40" x14ac:dyDescent="0.25">
      <c r="A6072" t="str">
        <f>"20190312164624191"</f>
        <v>20190312164624191</v>
      </c>
      <c r="B6072" t="str">
        <f>"1552380384187875"</f>
        <v>1552380384187875</v>
      </c>
      <c r="C6072" t="s">
        <v>40</v>
      </c>
      <c r="D6072">
        <v>5.0012470000000002</v>
      </c>
      <c r="E6072">
        <v>0.4885119</v>
      </c>
      <c r="F6072" t="s">
        <v>93</v>
      </c>
      <c r="G6072">
        <v>-214.68989999999999</v>
      </c>
      <c r="H6072" s="1">
        <v>-1.273523E-6</v>
      </c>
      <c r="I6072">
        <v>-61.483049999999999</v>
      </c>
      <c r="J6072">
        <v>-234.98599999999999</v>
      </c>
      <c r="K6072">
        <v>1.1078300000000001</v>
      </c>
      <c r="L6072">
        <v>-61.971679999999999</v>
      </c>
      <c r="M6072">
        <v>0.99970170000000003</v>
      </c>
      <c r="N6072">
        <v>0</v>
      </c>
      <c r="O6072">
        <v>-2.0301799999999998E-2</v>
      </c>
      <c r="P6072">
        <v>0.99101090000000003</v>
      </c>
      <c r="Q6072">
        <v>0.1319999</v>
      </c>
      <c r="R6072">
        <v>-2.1758980000000001E-2</v>
      </c>
      <c r="S6072">
        <v>3.0510410000000001</v>
      </c>
      <c r="T6072">
        <v>-0.1650701</v>
      </c>
      <c r="U6072">
        <v>7.2204589999999999E-2</v>
      </c>
      <c r="V6072">
        <v>1.9593269999999999E-3</v>
      </c>
      <c r="W6072">
        <v>0.1454387</v>
      </c>
      <c r="X6072">
        <v>0.9893653</v>
      </c>
      <c r="Y6072">
        <v>-4.3858260000000003E-2</v>
      </c>
      <c r="Z6072">
        <v>2.2829360000000002E-3</v>
      </c>
      <c r="AA6072">
        <v>0.99903520000000001</v>
      </c>
      <c r="AB6072">
        <v>36</v>
      </c>
      <c r="AC6072">
        <v>20.296099999999999</v>
      </c>
      <c r="AD6072">
        <v>-1.10783127352299</v>
      </c>
      <c r="AE6072">
        <v>0.488630000000007</v>
      </c>
      <c r="AF6072">
        <v>-0.89794088797809701</v>
      </c>
      <c r="AG6072">
        <v>-1.10783127352299</v>
      </c>
      <c r="AH6072">
        <v>20.221782222702799</v>
      </c>
      <c r="AI6072">
        <v>93.132679869256293</v>
      </c>
      <c r="AJ6072">
        <v>92.542528042206101</v>
      </c>
      <c r="AK6072">
        <v>20.2720019788702</v>
      </c>
      <c r="AL6072">
        <v>81.637315641448495</v>
      </c>
      <c r="AM6072">
        <v>89.886532283853001</v>
      </c>
      <c r="AN6072">
        <v>0.99999997563203602</v>
      </c>
    </row>
    <row r="6073" spans="1:40" x14ac:dyDescent="0.25">
      <c r="A6073" t="str">
        <f>"20190312164624202"</f>
        <v>20190312164624202</v>
      </c>
      <c r="B6073" t="str">
        <f>"1552380384197637"</f>
        <v>1552380384197637</v>
      </c>
      <c r="C6073" t="s">
        <v>40</v>
      </c>
      <c r="D6073">
        <v>5.0819970000000003</v>
      </c>
      <c r="E6073">
        <v>0.48916189999999998</v>
      </c>
      <c r="F6073" t="s">
        <v>93</v>
      </c>
      <c r="G6073">
        <v>-215.9555</v>
      </c>
      <c r="H6073" s="1">
        <v>-1.8363220000000001E-6</v>
      </c>
      <c r="I6073">
        <v>-61.557780000000001</v>
      </c>
      <c r="J6073">
        <v>-234.80240000000001</v>
      </c>
      <c r="K6073">
        <v>1.107853</v>
      </c>
      <c r="L6073">
        <v>-61.975830000000002</v>
      </c>
      <c r="M6073">
        <v>0.99969260000000004</v>
      </c>
      <c r="N6073">
        <v>0</v>
      </c>
      <c r="O6073">
        <v>-2.073115E-2</v>
      </c>
      <c r="P6073">
        <v>0.99108189999999996</v>
      </c>
      <c r="Q6073">
        <v>0.13147439999999999</v>
      </c>
      <c r="R6073">
        <v>-2.1709180000000002E-2</v>
      </c>
      <c r="S6073">
        <v>3.0523069999999999</v>
      </c>
      <c r="T6073">
        <v>-0.17768539999999999</v>
      </c>
      <c r="U6073">
        <v>6.6375729999999994E-2</v>
      </c>
      <c r="V6073">
        <v>1.472742E-3</v>
      </c>
      <c r="W6073">
        <v>0.14494089999999901</v>
      </c>
      <c r="X6073">
        <v>0.98943919999999996</v>
      </c>
      <c r="Y6073">
        <v>-4.2357680000000002E-2</v>
      </c>
      <c r="Z6073">
        <v>2.4374900000000001E-3</v>
      </c>
      <c r="AA6073">
        <v>0.99909959999999998</v>
      </c>
      <c r="AB6073">
        <v>36</v>
      </c>
      <c r="AC6073">
        <v>18.846900000000002</v>
      </c>
      <c r="AD6073">
        <v>-1.107854836322</v>
      </c>
      <c r="AE6073">
        <v>0.41804999999999298</v>
      </c>
      <c r="AF6073">
        <v>-0.80593081756223695</v>
      </c>
      <c r="AG6073">
        <v>-1.107854836322</v>
      </c>
      <c r="AH6073">
        <v>18.769359451067899</v>
      </c>
      <c r="AI6073">
        <v>93.374841530543307</v>
      </c>
      <c r="AJ6073">
        <v>92.458692689285598</v>
      </c>
      <c r="AK6073">
        <v>18.819291193465599</v>
      </c>
      <c r="AL6073">
        <v>81.6661429940023</v>
      </c>
      <c r="AM6073">
        <v>89.914717510085296</v>
      </c>
      <c r="AN6073">
        <v>0.99999998197922402</v>
      </c>
    </row>
    <row r="6074" spans="1:40" x14ac:dyDescent="0.25">
      <c r="A6074" t="str">
        <f>"20190312164624214"</f>
        <v>20190312164624214</v>
      </c>
      <c r="B6074" t="str">
        <f>"1552380384207394"</f>
        <v>1552380384207394</v>
      </c>
      <c r="C6074" t="s">
        <v>40</v>
      </c>
      <c r="D6074">
        <v>5.6235670000000004</v>
      </c>
      <c r="E6074">
        <v>0.48932750000000003</v>
      </c>
      <c r="F6074" t="s">
        <v>93</v>
      </c>
      <c r="G6074">
        <v>-215.69990000000001</v>
      </c>
      <c r="H6074" s="1">
        <v>-1.736045E-6</v>
      </c>
      <c r="I6074">
        <v>-61.592959999999998</v>
      </c>
      <c r="J6074">
        <v>-234.61750000000001</v>
      </c>
      <c r="K6074">
        <v>1.10788</v>
      </c>
      <c r="L6074">
        <v>-61.980040000000002</v>
      </c>
      <c r="M6074">
        <v>0.99968349999999995</v>
      </c>
      <c r="N6074">
        <v>0</v>
      </c>
      <c r="O6074">
        <v>-2.1151530000000002E-2</v>
      </c>
      <c r="P6074">
        <v>0.99112049999999996</v>
      </c>
      <c r="Q6074">
        <v>0.13116630000000001</v>
      </c>
      <c r="R6074">
        <v>-2.181309E-2</v>
      </c>
      <c r="S6074">
        <v>3.0518040000000002</v>
      </c>
      <c r="T6074">
        <v>-0.17699000000000001</v>
      </c>
      <c r="U6074">
        <v>6.115723E-2</v>
      </c>
      <c r="V6074">
        <v>1.149457E-3</v>
      </c>
      <c r="W6074">
        <v>0.1446588</v>
      </c>
      <c r="X6074">
        <v>0.9894809</v>
      </c>
      <c r="Y6074">
        <v>-4.107591E-2</v>
      </c>
      <c r="Z6074">
        <v>2.4156289999999999E-3</v>
      </c>
      <c r="AA6074">
        <v>0.99915310000000002</v>
      </c>
      <c r="AB6074">
        <v>36</v>
      </c>
      <c r="AC6074">
        <v>18.9176</v>
      </c>
      <c r="AD6074">
        <v>-1.107881736045</v>
      </c>
      <c r="AE6074">
        <v>0.38708000000000398</v>
      </c>
      <c r="AF6074">
        <v>-0.78447730401715499</v>
      </c>
      <c r="AG6074">
        <v>-1.107881736045</v>
      </c>
      <c r="AH6074">
        <v>18.840588585370199</v>
      </c>
      <c r="AI6074">
        <v>93.362377535504095</v>
      </c>
      <c r="AJ6074">
        <v>92.384282770347198</v>
      </c>
      <c r="AK6074">
        <v>18.8894305055701</v>
      </c>
      <c r="AL6074">
        <v>81.682478196422906</v>
      </c>
      <c r="AM6074">
        <v>89.933440852464798</v>
      </c>
      <c r="AN6074">
        <v>0.99999997056682199</v>
      </c>
    </row>
    <row r="6075" spans="1:40" x14ac:dyDescent="0.25">
      <c r="A6075" t="str">
        <f>"20190312164624224"</f>
        <v>20190312164624224</v>
      </c>
      <c r="B6075" t="str">
        <f>"1552380384217154"</f>
        <v>1552380384217154</v>
      </c>
      <c r="C6075" t="s">
        <v>40</v>
      </c>
      <c r="D6075">
        <v>4.9638790000000004</v>
      </c>
      <c r="E6075">
        <v>0.48950890000000002</v>
      </c>
      <c r="F6075" t="s">
        <v>93</v>
      </c>
      <c r="G6075">
        <v>-215.1422</v>
      </c>
      <c r="H6075" s="1">
        <v>-1.4989420000000001E-6</v>
      </c>
      <c r="I6075">
        <v>-61.601120000000002</v>
      </c>
      <c r="J6075">
        <v>-234.44739999999999</v>
      </c>
      <c r="K6075">
        <v>1.1079060000000001</v>
      </c>
      <c r="L6075">
        <v>-61.98404</v>
      </c>
      <c r="M6075">
        <v>0.99967530000000004</v>
      </c>
      <c r="N6075">
        <v>0</v>
      </c>
      <c r="O6075">
        <v>-2.1525409999999998E-2</v>
      </c>
      <c r="P6075">
        <v>0.99118170000000005</v>
      </c>
      <c r="Q6075">
        <v>0.1306995</v>
      </c>
      <c r="R6075">
        <v>-2.1837160000000001E-2</v>
      </c>
      <c r="S6075">
        <v>3.0511780000000002</v>
      </c>
      <c r="T6075">
        <v>-0.17357049999999999</v>
      </c>
      <c r="U6075">
        <v>5.9356689999999997E-2</v>
      </c>
      <c r="V6075">
        <v>7.9189470000000004E-4</v>
      </c>
      <c r="W6075">
        <v>0.1442148</v>
      </c>
      <c r="X6075">
        <v>0.98954609999999998</v>
      </c>
      <c r="Y6075">
        <v>-4.0868010000000003E-2</v>
      </c>
      <c r="Z6075">
        <v>2.3848739999999999E-3</v>
      </c>
      <c r="AA6075">
        <v>0.99916170000000004</v>
      </c>
      <c r="AB6075">
        <v>36</v>
      </c>
      <c r="AC6075">
        <v>19.3051999999999</v>
      </c>
      <c r="AD6075">
        <v>-1.1079074989419999</v>
      </c>
      <c r="AE6075">
        <v>0.38292000000000498</v>
      </c>
      <c r="AF6075">
        <v>-0.79580229979737005</v>
      </c>
      <c r="AG6075">
        <v>-1.1079074989419999</v>
      </c>
      <c r="AH6075">
        <v>19.2291764143792</v>
      </c>
      <c r="AI6075">
        <v>93.294691852905999</v>
      </c>
      <c r="AJ6075">
        <v>92.369841929673697</v>
      </c>
      <c r="AK6075">
        <v>19.2774994722317</v>
      </c>
      <c r="AL6075">
        <v>81.708187434300598</v>
      </c>
      <c r="AM6075">
        <v>89.954148458123299</v>
      </c>
      <c r="AN6075">
        <v>1.00000000983073</v>
      </c>
    </row>
    <row r="6076" spans="1:40" x14ac:dyDescent="0.25">
      <c r="A6076" t="str">
        <f>"20190312164624235"</f>
        <v>20190312164624235</v>
      </c>
      <c r="B6076" t="str">
        <f>"1552380384227890"</f>
        <v>1552380384227890</v>
      </c>
      <c r="C6076" t="s">
        <v>40</v>
      </c>
      <c r="D6076">
        <v>4.9168139999999996</v>
      </c>
      <c r="E6076">
        <v>0.48961949999999999</v>
      </c>
      <c r="F6076" t="s">
        <v>93</v>
      </c>
      <c r="G6076">
        <v>-214.59809999999999</v>
      </c>
      <c r="H6076" s="1">
        <v>-1.268462E-6</v>
      </c>
      <c r="I6076">
        <v>-61.61204</v>
      </c>
      <c r="J6076">
        <v>-234.26759999999999</v>
      </c>
      <c r="K6076">
        <v>1.107934</v>
      </c>
      <c r="L6076">
        <v>-61.988250000000001</v>
      </c>
      <c r="M6076">
        <v>0.99966670000000002</v>
      </c>
      <c r="N6076">
        <v>0</v>
      </c>
      <c r="O6076">
        <v>-2.1902100000000001E-2</v>
      </c>
      <c r="P6076">
        <v>0.9912086</v>
      </c>
      <c r="Q6076">
        <v>0.1305026</v>
      </c>
      <c r="R6076">
        <v>-2.1780270000000001E-2</v>
      </c>
      <c r="S6076">
        <v>3.0503849999999999</v>
      </c>
      <c r="T6076">
        <v>-0.1702602</v>
      </c>
      <c r="U6076">
        <v>5.7159420000000002E-2</v>
      </c>
      <c r="V6076">
        <v>3.5133119999999999E-4</v>
      </c>
      <c r="W6076">
        <v>0.14403929999999901</v>
      </c>
      <c r="X6076">
        <v>0.98957189999999995</v>
      </c>
      <c r="Y6076">
        <v>-4.053379E-2</v>
      </c>
      <c r="Z6076">
        <v>2.3517709999999999E-3</v>
      </c>
      <c r="AA6076">
        <v>0.99917540000000005</v>
      </c>
      <c r="AB6076">
        <v>36</v>
      </c>
      <c r="AC6076">
        <v>19.669499999999999</v>
      </c>
      <c r="AD6076">
        <v>-1.1079352684620001</v>
      </c>
      <c r="AE6076">
        <v>0.37620999999999999</v>
      </c>
      <c r="AF6076">
        <v>-0.80441203192090305</v>
      </c>
      <c r="AG6076">
        <v>-1.1079352684620001</v>
      </c>
      <c r="AH6076">
        <v>19.594393966790999</v>
      </c>
      <c r="AI6076">
        <v>93.2335389715671</v>
      </c>
      <c r="AJ6076">
        <v>92.350853421861203</v>
      </c>
      <c r="AK6076">
        <v>19.642170811853099</v>
      </c>
      <c r="AL6076">
        <v>81.718348808506306</v>
      </c>
      <c r="AM6076">
        <v>89.979658078280593</v>
      </c>
      <c r="AN6076">
        <v>0.999999994323856</v>
      </c>
    </row>
    <row r="6077" spans="1:40" x14ac:dyDescent="0.25">
      <c r="A6077" t="str">
        <f>"20190312164624246"</f>
        <v>20190312164624246</v>
      </c>
      <c r="B6077" t="str">
        <f>"1552380384237651"</f>
        <v>1552380384237651</v>
      </c>
      <c r="C6077" t="s">
        <v>40</v>
      </c>
      <c r="D6077">
        <v>4.9153779999999996</v>
      </c>
      <c r="E6077">
        <v>0.4895912</v>
      </c>
      <c r="F6077" t="s">
        <v>93</v>
      </c>
      <c r="G6077">
        <v>-214.26660000000001</v>
      </c>
      <c r="H6077" s="1">
        <v>-1.1280550000000001E-6</v>
      </c>
      <c r="I6077">
        <v>-61.618969999999997</v>
      </c>
      <c r="J6077">
        <v>-234.09569999999999</v>
      </c>
      <c r="K6077">
        <v>1.107961</v>
      </c>
      <c r="L6077">
        <v>-61.992339999999999</v>
      </c>
      <c r="M6077">
        <v>0.99965870000000001</v>
      </c>
      <c r="N6077">
        <v>0</v>
      </c>
      <c r="O6077">
        <v>-2.22528E-2</v>
      </c>
      <c r="P6077">
        <v>0.99124869999999998</v>
      </c>
      <c r="Q6077">
        <v>0.13020129999999999</v>
      </c>
      <c r="R6077">
        <v>-2.1766870000000001E-2</v>
      </c>
      <c r="S6077">
        <v>3.0500949999999998</v>
      </c>
      <c r="T6077">
        <v>-0.168956299999999</v>
      </c>
      <c r="U6077">
        <v>5.6304930000000003E-2</v>
      </c>
      <c r="V6077" s="1">
        <v>-2.0644630000000001E-5</v>
      </c>
      <c r="W6077">
        <v>0.143758</v>
      </c>
      <c r="X6077">
        <v>0.98961290000000002</v>
      </c>
      <c r="Y6077">
        <v>-4.0607089999999998E-2</v>
      </c>
      <c r="Z6077">
        <v>2.3554539999999999E-3</v>
      </c>
      <c r="AA6077">
        <v>0.99917239999999996</v>
      </c>
      <c r="AB6077">
        <v>36</v>
      </c>
      <c r="AC6077">
        <v>19.829099999999901</v>
      </c>
      <c r="AD6077">
        <v>-1.1079621280550001</v>
      </c>
      <c r="AE6077">
        <v>0.37337000000000797</v>
      </c>
      <c r="AF6077">
        <v>-0.81203750572557598</v>
      </c>
      <c r="AG6077">
        <v>-1.1079621280550001</v>
      </c>
      <c r="AH6077">
        <v>19.754227218195499</v>
      </c>
      <c r="AI6077">
        <v>93.207501486338998</v>
      </c>
      <c r="AJ6077">
        <v>92.353933736653204</v>
      </c>
      <c r="AK6077">
        <v>19.8019311678433</v>
      </c>
      <c r="AL6077">
        <v>81.734635892982197</v>
      </c>
      <c r="AM6077">
        <v>90.001195265510802</v>
      </c>
      <c r="AN6077">
        <v>1.0000000274183001</v>
      </c>
    </row>
    <row r="6078" spans="1:40" x14ac:dyDescent="0.25">
      <c r="A6078" t="str">
        <f>"20190312164624257"</f>
        <v>20190312164624257</v>
      </c>
      <c r="B6078" t="str">
        <f>"1552380384247410"</f>
        <v>1552380384247410</v>
      </c>
      <c r="C6078" t="s">
        <v>40</v>
      </c>
      <c r="D6078">
        <v>4.9438269999999997</v>
      </c>
      <c r="E6078">
        <v>0.48951729999999999</v>
      </c>
      <c r="F6078" t="s">
        <v>93</v>
      </c>
      <c r="G6078">
        <v>-213.85290000000001</v>
      </c>
      <c r="H6078" s="1">
        <v>-9.5055070000000005E-7</v>
      </c>
      <c r="I6078">
        <v>-61.618749999999999</v>
      </c>
      <c r="J6078">
        <v>-233.9255</v>
      </c>
      <c r="K6078">
        <v>1.107993</v>
      </c>
      <c r="L6078">
        <v>-61.996459999999999</v>
      </c>
      <c r="M6078">
        <v>0.99965139999999997</v>
      </c>
      <c r="N6078">
        <v>0</v>
      </c>
      <c r="O6078">
        <v>-2.257545E-2</v>
      </c>
      <c r="P6078">
        <v>0.99128289999999997</v>
      </c>
      <c r="Q6078">
        <v>0.1299728</v>
      </c>
      <c r="R6078">
        <v>-2.1580619999999998E-2</v>
      </c>
      <c r="S6078">
        <v>3.049652</v>
      </c>
      <c r="T6078">
        <v>-0.16691829999999999</v>
      </c>
      <c r="U6078">
        <v>5.6274409999999997E-2</v>
      </c>
      <c r="V6078">
        <v>-5.3779079999999996E-4</v>
      </c>
      <c r="W6078">
        <v>0.14354710000000001</v>
      </c>
      <c r="X6078">
        <v>0.9896433</v>
      </c>
      <c r="Y6078">
        <v>-4.0923590000000003E-2</v>
      </c>
      <c r="Z6078">
        <v>2.353721E-3</v>
      </c>
      <c r="AA6078">
        <v>0.99915949999999998</v>
      </c>
      <c r="AB6078">
        <v>36</v>
      </c>
      <c r="AC6078">
        <v>20.072599999999898</v>
      </c>
      <c r="AD6078">
        <v>-1.1079939505506999</v>
      </c>
      <c r="AE6078">
        <v>0.37770999999999999</v>
      </c>
      <c r="AF6078">
        <v>-0.82828131821808004</v>
      </c>
      <c r="AG6078">
        <v>-1.1079939505506999</v>
      </c>
      <c r="AH6078">
        <v>19.998043827899401</v>
      </c>
      <c r="AI6078">
        <v>93.168526020489395</v>
      </c>
      <c r="AJ6078">
        <v>92.371727715315899</v>
      </c>
      <c r="AK6078">
        <v>20.0458339182772</v>
      </c>
      <c r="AL6078">
        <v>81.746845657027094</v>
      </c>
      <c r="AM6078">
        <v>90.031135602158699</v>
      </c>
      <c r="AN6078">
        <v>0.99999996018612103</v>
      </c>
    </row>
    <row r="6079" spans="1:40" x14ac:dyDescent="0.25">
      <c r="A6079" t="str">
        <f>"20190312164624268"</f>
        <v>20190312164624268</v>
      </c>
      <c r="B6079" t="str">
        <f>"1552380384257171"</f>
        <v>1552380384257171</v>
      </c>
      <c r="C6079" t="s">
        <v>40</v>
      </c>
      <c r="D6079">
        <v>4.8437619999999999</v>
      </c>
      <c r="E6079">
        <v>0.48959330000000001</v>
      </c>
      <c r="F6079" t="s">
        <v>93</v>
      </c>
      <c r="G6079">
        <v>-214.0514</v>
      </c>
      <c r="H6079" s="1">
        <v>-1.0364970000000001E-6</v>
      </c>
      <c r="I6079">
        <v>-61.621749999999999</v>
      </c>
      <c r="J6079">
        <v>-233.74789999999999</v>
      </c>
      <c r="K6079">
        <v>1.1080209999999999</v>
      </c>
      <c r="L6079">
        <v>-62.000790000000002</v>
      </c>
      <c r="M6079">
        <v>0.99964359999999997</v>
      </c>
      <c r="N6079">
        <v>0</v>
      </c>
      <c r="O6079">
        <v>-2.2906050000000001E-2</v>
      </c>
      <c r="P6079">
        <v>0.99128459999999996</v>
      </c>
      <c r="Q6079">
        <v>0.12993350000000001</v>
      </c>
      <c r="R6079">
        <v>-2.173249E-2</v>
      </c>
      <c r="S6079">
        <v>3.0499269999999998</v>
      </c>
      <c r="T6079">
        <v>-0.17003550000000001</v>
      </c>
      <c r="U6079">
        <v>5.7495119999999997E-2</v>
      </c>
      <c r="V6079">
        <v>-7.2372240000000002E-4</v>
      </c>
      <c r="W6079">
        <v>0.14352490000000001</v>
      </c>
      <c r="X6079">
        <v>0.98964640000000004</v>
      </c>
      <c r="Y6079">
        <v>-4.164694E-2</v>
      </c>
      <c r="Z6079">
        <v>2.4359490000000002E-3</v>
      </c>
      <c r="AA6079">
        <v>0.99912939999999995</v>
      </c>
      <c r="AB6079">
        <v>36</v>
      </c>
      <c r="AC6079">
        <v>19.696499999999901</v>
      </c>
      <c r="AD6079">
        <v>-1.1080220364969999</v>
      </c>
      <c r="AE6079">
        <v>0.37904000000000299</v>
      </c>
      <c r="AF6079">
        <v>-0.82753411196844295</v>
      </c>
      <c r="AG6079">
        <v>-1.1080220364969999</v>
      </c>
      <c r="AH6079">
        <v>19.6205796955389</v>
      </c>
      <c r="AI6079">
        <v>93.229334542869907</v>
      </c>
      <c r="AJ6079">
        <v>92.4151237066623</v>
      </c>
      <c r="AK6079">
        <v>19.669257055843001</v>
      </c>
      <c r="AL6079">
        <v>81.748130921295697</v>
      </c>
      <c r="AM6079">
        <v>90.041900048004095</v>
      </c>
      <c r="AN6079">
        <v>0.99999995886353998</v>
      </c>
    </row>
    <row r="6080" spans="1:40" x14ac:dyDescent="0.25">
      <c r="A6080" t="str">
        <f>"20190312164624280"</f>
        <v>20190312164624280</v>
      </c>
      <c r="B6080" t="str">
        <f>"1552380384277666"</f>
        <v>1552380384277666</v>
      </c>
      <c r="C6080" t="s">
        <v>40</v>
      </c>
      <c r="D6080">
        <v>4.9432359999999997</v>
      </c>
      <c r="E6080">
        <v>0.48974570000000001</v>
      </c>
      <c r="F6080" t="s">
        <v>93</v>
      </c>
      <c r="G6080">
        <v>-213.6985</v>
      </c>
      <c r="H6080" s="1">
        <v>-8.8739929999999997E-7</v>
      </c>
      <c r="I6080">
        <v>-61.6303699999999</v>
      </c>
      <c r="J6080">
        <v>-233.56700000000001</v>
      </c>
      <c r="K6080">
        <v>1.1080570000000001</v>
      </c>
      <c r="L6080">
        <v>-62.005249999999997</v>
      </c>
      <c r="M6080">
        <v>0.99963639999999998</v>
      </c>
      <c r="N6080">
        <v>0</v>
      </c>
      <c r="O6080">
        <v>-2.3208820000000002E-2</v>
      </c>
      <c r="P6080">
        <v>0.99130779999999996</v>
      </c>
      <c r="Q6080">
        <v>0.12978000000000001</v>
      </c>
      <c r="R6080">
        <v>-2.1594769999999999E-2</v>
      </c>
      <c r="S6080">
        <v>3.0496829999999999</v>
      </c>
      <c r="T6080">
        <v>-0.16853950000000001</v>
      </c>
      <c r="U6080">
        <v>5.6335450000000002E-2</v>
      </c>
      <c r="V6080">
        <v>-1.173938E-3</v>
      </c>
      <c r="W6080">
        <v>0.1433866</v>
      </c>
      <c r="X6080">
        <v>0.98966600000000005</v>
      </c>
      <c r="Y6080">
        <v>-4.1572659999999997E-2</v>
      </c>
      <c r="Z6080">
        <v>2.4294170000000001E-3</v>
      </c>
      <c r="AA6080">
        <v>0.99913249999999998</v>
      </c>
      <c r="AB6080">
        <v>36</v>
      </c>
      <c r="AC6080">
        <v>19.868500000000001</v>
      </c>
      <c r="AD6080">
        <v>-1.1080578873992999</v>
      </c>
      <c r="AE6080">
        <v>0.37488000000000399</v>
      </c>
      <c r="AF6080">
        <v>-0.83335587208885298</v>
      </c>
      <c r="AG6080">
        <v>-1.1080578873992999</v>
      </c>
      <c r="AH6080">
        <v>19.7929069499916</v>
      </c>
      <c r="AI6080">
        <v>93.201390210897102</v>
      </c>
      <c r="AJ6080">
        <v>92.410943971388207</v>
      </c>
      <c r="AK6080">
        <v>19.8414072036839</v>
      </c>
      <c r="AL6080">
        <v>81.756137616068898</v>
      </c>
      <c r="AM6080">
        <v>90.067964001251895</v>
      </c>
      <c r="AN6080">
        <v>0.99999994337299203</v>
      </c>
    </row>
    <row r="6081" spans="1:40" x14ac:dyDescent="0.25">
      <c r="A6081" t="str">
        <f>"20190312164624291"</f>
        <v>20190312164624291</v>
      </c>
      <c r="B6081" t="str">
        <f>"1552380384287430"</f>
        <v>1552380384287430</v>
      </c>
      <c r="C6081" t="s">
        <v>40</v>
      </c>
      <c r="D6081">
        <v>5.1475589999999896</v>
      </c>
      <c r="E6081">
        <v>0.4897784</v>
      </c>
      <c r="F6081" t="s">
        <v>93</v>
      </c>
      <c r="G6081">
        <v>-213.33590000000001</v>
      </c>
      <c r="H6081" s="1">
        <v>-7.3321939999999999E-7</v>
      </c>
      <c r="I6081">
        <v>-61.635480000000001</v>
      </c>
      <c r="J6081">
        <v>-233.392</v>
      </c>
      <c r="K6081">
        <v>1.1080920000000001</v>
      </c>
      <c r="L6081">
        <v>-62.00958</v>
      </c>
      <c r="M6081">
        <v>0.99962949999999995</v>
      </c>
      <c r="N6081">
        <v>0</v>
      </c>
      <c r="O6081">
        <v>-2.3494669999999999E-2</v>
      </c>
      <c r="P6081">
        <v>0.99132900000000002</v>
      </c>
      <c r="Q6081">
        <v>0.12962169999999901</v>
      </c>
      <c r="R6081">
        <v>-2.156634E-2</v>
      </c>
      <c r="S6081">
        <v>3.0493929999999998</v>
      </c>
      <c r="T6081">
        <v>-0.1670152</v>
      </c>
      <c r="U6081">
        <v>5.57251E-2</v>
      </c>
      <c r="V6081">
        <v>-1.4972270000000001E-3</v>
      </c>
      <c r="W6081">
        <v>0.1432427</v>
      </c>
      <c r="X6081">
        <v>0.98968639999999997</v>
      </c>
      <c r="Y6081">
        <v>-4.1661410000000003E-2</v>
      </c>
      <c r="Z6081">
        <v>2.4257810000000001E-3</v>
      </c>
      <c r="AA6081">
        <v>0.99912880000000004</v>
      </c>
      <c r="AB6081">
        <v>36</v>
      </c>
      <c r="AC6081">
        <v>20.056099999999901</v>
      </c>
      <c r="AD6081">
        <v>-1.1080927332193999</v>
      </c>
      <c r="AE6081">
        <v>0.37410000000000498</v>
      </c>
      <c r="AF6081">
        <v>-0.84268125824875795</v>
      </c>
      <c r="AG6081">
        <v>-1.1080927332193999</v>
      </c>
      <c r="AH6081">
        <v>19.980801839357898</v>
      </c>
      <c r="AI6081">
        <v>93.171436915266895</v>
      </c>
      <c r="AJ6081">
        <v>92.414992358650693</v>
      </c>
      <c r="AK6081">
        <v>20.029239210516799</v>
      </c>
      <c r="AL6081">
        <v>81.7644684622813</v>
      </c>
      <c r="AM6081">
        <v>90.086678691986904</v>
      </c>
      <c r="AN6081">
        <v>0.99999994156846805</v>
      </c>
    </row>
    <row r="6082" spans="1:40" x14ac:dyDescent="0.25">
      <c r="A6082" t="str">
        <f>"20190312164624303"</f>
        <v>20190312164624303</v>
      </c>
      <c r="B6082" t="str">
        <f>"1552380384297186"</f>
        <v>1552380384297186</v>
      </c>
      <c r="C6082" t="s">
        <v>40</v>
      </c>
      <c r="D6082">
        <v>4.9376910000000001</v>
      </c>
      <c r="E6082">
        <v>0.4897705</v>
      </c>
      <c r="F6082" t="s">
        <v>93</v>
      </c>
      <c r="G6082">
        <v>-213.06209999999999</v>
      </c>
      <c r="H6082" s="1">
        <v>-6.1620369999999905E-7</v>
      </c>
      <c r="I6082">
        <v>-61.637180000000001</v>
      </c>
      <c r="J6082">
        <v>-233.19829999999999</v>
      </c>
      <c r="K6082">
        <v>1.108128</v>
      </c>
      <c r="L6082">
        <v>-62.014470000000003</v>
      </c>
      <c r="M6082">
        <v>0.99962249999999997</v>
      </c>
      <c r="N6082">
        <v>0</v>
      </c>
      <c r="O6082">
        <v>-2.37821E-2</v>
      </c>
      <c r="P6082">
        <v>0.99139279999999996</v>
      </c>
      <c r="Q6082">
        <v>0.12918250000000001</v>
      </c>
      <c r="R6082">
        <v>-2.1268080000000002E-2</v>
      </c>
      <c r="S6082">
        <v>3.049194</v>
      </c>
      <c r="T6082">
        <v>-0.16619790000000001</v>
      </c>
      <c r="U6082">
        <v>5.5847170000000002E-2</v>
      </c>
      <c r="V6082">
        <v>-2.0957509999999999E-3</v>
      </c>
      <c r="W6082">
        <v>0.1428189</v>
      </c>
      <c r="X6082">
        <v>0.98974660000000003</v>
      </c>
      <c r="Y6082">
        <v>-4.1989899999999997E-2</v>
      </c>
      <c r="Z6082">
        <v>2.438684E-3</v>
      </c>
      <c r="AA6082">
        <v>0.99911499999999998</v>
      </c>
      <c r="AB6082">
        <v>35</v>
      </c>
      <c r="AC6082">
        <v>20.136199999999999</v>
      </c>
      <c r="AD6082">
        <v>-1.1081286162037001</v>
      </c>
      <c r="AE6082">
        <v>0.37728999999998702</v>
      </c>
      <c r="AF6082">
        <v>-0.85352573447082603</v>
      </c>
      <c r="AG6082">
        <v>-1.1081286162037001</v>
      </c>
      <c r="AH6082">
        <v>20.060797632537199</v>
      </c>
      <c r="AI6082">
        <v>93.158868382238893</v>
      </c>
      <c r="AJ6082">
        <v>92.436291226902696</v>
      </c>
      <c r="AK6082">
        <v>20.109501656258502</v>
      </c>
      <c r="AL6082">
        <v>81.789002998584493</v>
      </c>
      <c r="AM6082">
        <v>90.121321465260706</v>
      </c>
      <c r="AN6082">
        <v>0.99999998129051104</v>
      </c>
    </row>
    <row r="6083" spans="1:40" x14ac:dyDescent="0.25">
      <c r="A6083" t="str">
        <f>"20190312164624314"</f>
        <v>20190312164624314</v>
      </c>
      <c r="B6083" t="str">
        <f>"1552380384306946"</f>
        <v>1552380384306946</v>
      </c>
      <c r="C6083" t="s">
        <v>40</v>
      </c>
      <c r="D6083">
        <v>4.9357600000000001</v>
      </c>
      <c r="E6083">
        <v>0.48968349999999999</v>
      </c>
      <c r="F6083" t="s">
        <v>93</v>
      </c>
      <c r="G6083">
        <v>-212.8237</v>
      </c>
      <c r="H6083" s="1">
        <v>-5.1338400000000001E-7</v>
      </c>
      <c r="I6083">
        <v>-61.635080000000002</v>
      </c>
      <c r="J6083">
        <v>-233.02629999999999</v>
      </c>
      <c r="K6083">
        <v>1.10816</v>
      </c>
      <c r="L6083">
        <v>-62.018770000000004</v>
      </c>
      <c r="M6083">
        <v>0.99961670000000002</v>
      </c>
      <c r="N6083">
        <v>0</v>
      </c>
      <c r="O6083">
        <v>-2.4023470000000002E-2</v>
      </c>
      <c r="P6083">
        <v>0.99141619999999997</v>
      </c>
      <c r="Q6083">
        <v>0.12903599999999901</v>
      </c>
      <c r="R6083">
        <v>-2.1075130000000001E-2</v>
      </c>
      <c r="S6083">
        <v>3.048889</v>
      </c>
      <c r="T6083">
        <v>-0.165822</v>
      </c>
      <c r="U6083">
        <v>5.6762699999999902E-2</v>
      </c>
      <c r="V6083">
        <v>-2.5389589999999999E-3</v>
      </c>
      <c r="W6083">
        <v>0.14268439999999999</v>
      </c>
      <c r="X6083">
        <v>0.98976500000000001</v>
      </c>
      <c r="Y6083">
        <v>-4.2532140000000003E-2</v>
      </c>
      <c r="Z6083">
        <v>2.4612639999999999E-3</v>
      </c>
      <c r="AA6083">
        <v>0.99909199999999998</v>
      </c>
      <c r="AB6083">
        <v>35</v>
      </c>
      <c r="AC6083">
        <v>20.202599999999901</v>
      </c>
      <c r="AD6083">
        <v>-1.108160513384</v>
      </c>
      <c r="AE6083">
        <v>0.38368999999999398</v>
      </c>
      <c r="AF6083">
        <v>-0.86635601202953205</v>
      </c>
      <c r="AG6083">
        <v>-1.108160513384</v>
      </c>
      <c r="AH6083">
        <v>20.1270139080966</v>
      </c>
      <c r="AI6083">
        <v>93.148520568852703</v>
      </c>
      <c r="AJ6083">
        <v>92.464743163186895</v>
      </c>
      <c r="AK6083">
        <v>20.176106693802801</v>
      </c>
      <c r="AL6083">
        <v>81.796789339162103</v>
      </c>
      <c r="AM6083">
        <v>90.146975611356794</v>
      </c>
      <c r="AN6083">
        <v>1.0000000197705801</v>
      </c>
    </row>
    <row r="6084" spans="1:40" x14ac:dyDescent="0.25">
      <c r="A6084" t="str">
        <f>"20190312164624325"</f>
        <v>20190312164624325</v>
      </c>
      <c r="B6084" t="str">
        <f>"1552380384317682"</f>
        <v>1552380384317682</v>
      </c>
      <c r="C6084" t="s">
        <v>40</v>
      </c>
      <c r="D6084">
        <v>4.7896799999999997</v>
      </c>
      <c r="E6084">
        <v>0.48970740000000001</v>
      </c>
      <c r="F6084" t="s">
        <v>93</v>
      </c>
      <c r="G6084">
        <v>-212.55279999999999</v>
      </c>
      <c r="H6084" s="1">
        <v>-3.96307E-7</v>
      </c>
      <c r="I6084">
        <v>-61.631979999999999</v>
      </c>
      <c r="J6084">
        <v>-232.84809999999999</v>
      </c>
      <c r="K6084">
        <v>1.108195</v>
      </c>
      <c r="L6084">
        <v>-62.023319999999998</v>
      </c>
      <c r="M6084">
        <v>0.99961080000000002</v>
      </c>
      <c r="N6084">
        <v>0</v>
      </c>
      <c r="O6084">
        <v>-2.4258740000000001E-2</v>
      </c>
      <c r="P6084">
        <v>0.99145760000000005</v>
      </c>
      <c r="Q6084">
        <v>0.12878819999999999</v>
      </c>
      <c r="R6084">
        <v>-2.0635730000000001E-2</v>
      </c>
      <c r="S6084">
        <v>3.0486759999999999</v>
      </c>
      <c r="T6084">
        <v>-0.165014299999999</v>
      </c>
      <c r="U6084">
        <v>5.758667E-2</v>
      </c>
      <c r="V6084">
        <v>-3.2243530000000001E-3</v>
      </c>
      <c r="W6084">
        <v>0.1424484</v>
      </c>
      <c r="X6084">
        <v>0.98979700000000004</v>
      </c>
      <c r="Y6084">
        <v>-4.3038380000000001E-2</v>
      </c>
      <c r="Z6084">
        <v>2.4758720000000001E-3</v>
      </c>
      <c r="AA6084">
        <v>0.99907029999999997</v>
      </c>
      <c r="AB6084">
        <v>35</v>
      </c>
      <c r="AC6084">
        <v>20.295300000000001</v>
      </c>
      <c r="AD6084">
        <v>-1.1081953963069999</v>
      </c>
      <c r="AE6084">
        <v>0.39133999999999203</v>
      </c>
      <c r="AF6084">
        <v>-0.88098421815889505</v>
      </c>
      <c r="AG6084">
        <v>-1.1081953963069999</v>
      </c>
      <c r="AH6084">
        <v>20.219568718237401</v>
      </c>
      <c r="AI6084">
        <v>93.134164336766005</v>
      </c>
      <c r="AJ6084">
        <v>92.494849052622598</v>
      </c>
      <c r="AK6084">
        <v>20.269069770972798</v>
      </c>
      <c r="AL6084">
        <v>81.810450710028107</v>
      </c>
      <c r="AM6084">
        <v>90.186645509208105</v>
      </c>
      <c r="AN6084">
        <v>1.0000000221619101</v>
      </c>
    </row>
    <row r="6085" spans="1:40" x14ac:dyDescent="0.25">
      <c r="A6085" t="str">
        <f>"20190312164624337"</f>
        <v>20190312164624337</v>
      </c>
      <c r="B6085" t="str">
        <f>"1552380384327442"</f>
        <v>1552380384327442</v>
      </c>
      <c r="C6085" t="s">
        <v>40</v>
      </c>
      <c r="D6085">
        <v>4.8961110000000003</v>
      </c>
      <c r="E6085">
        <v>0.48967759999999999</v>
      </c>
      <c r="F6085" t="s">
        <v>93</v>
      </c>
      <c r="G6085">
        <v>-212.36340000000001</v>
      </c>
      <c r="H6085" s="1">
        <v>-3.1502290000000001E-7</v>
      </c>
      <c r="I6085">
        <v>-61.631790000000002</v>
      </c>
      <c r="J6085">
        <v>-232.67230000000001</v>
      </c>
      <c r="K6085">
        <v>1.1082320000000001</v>
      </c>
      <c r="L6085">
        <v>-62.027799999999999</v>
      </c>
      <c r="M6085">
        <v>0.99960550000000004</v>
      </c>
      <c r="N6085">
        <v>0</v>
      </c>
      <c r="O6085">
        <v>-2.4471509999999998E-2</v>
      </c>
      <c r="P6085">
        <v>0.99147050000000003</v>
      </c>
      <c r="Q6085">
        <v>0.12877049999999901</v>
      </c>
      <c r="R6085">
        <v>-2.0116760000000001E-2</v>
      </c>
      <c r="S6085">
        <v>3.048508</v>
      </c>
      <c r="T6085">
        <v>-0.16492029999999999</v>
      </c>
      <c r="U6085">
        <v>5.825806E-2</v>
      </c>
      <c r="V6085">
        <v>-3.9653500000000003E-3</v>
      </c>
      <c r="W6085">
        <v>0.14244089999999901</v>
      </c>
      <c r="X6085">
        <v>0.98979539999999999</v>
      </c>
      <c r="Y6085">
        <v>-4.3471179999999998E-2</v>
      </c>
      <c r="Z6085">
        <v>2.4977950000000001E-3</v>
      </c>
      <c r="AA6085">
        <v>0.99905160000000004</v>
      </c>
      <c r="AB6085">
        <v>35</v>
      </c>
      <c r="AC6085">
        <v>20.308899999999898</v>
      </c>
      <c r="AD6085">
        <v>-1.1082323150229001</v>
      </c>
      <c r="AE6085">
        <v>0.39600999999999598</v>
      </c>
      <c r="AF6085">
        <v>-0.890278029666841</v>
      </c>
      <c r="AG6085">
        <v>-1.1082323150229001</v>
      </c>
      <c r="AH6085">
        <v>20.232899311238199</v>
      </c>
      <c r="AI6085">
        <v>93.132148789005996</v>
      </c>
      <c r="AJ6085">
        <v>92.519475381463806</v>
      </c>
      <c r="AK6085">
        <v>20.282775657509799</v>
      </c>
      <c r="AL6085">
        <v>81.810884952455297</v>
      </c>
      <c r="AM6085">
        <v>90.229538957044596</v>
      </c>
      <c r="AN6085">
        <v>1.0000000339272901</v>
      </c>
    </row>
    <row r="6086" spans="1:40" x14ac:dyDescent="0.25">
      <c r="A6086" t="str">
        <f>"20190312164624347"</f>
        <v>20190312164624347</v>
      </c>
      <c r="B6086" t="str">
        <f>"1552380384337203"</f>
        <v>1552380384337203</v>
      </c>
      <c r="C6086" t="s">
        <v>40</v>
      </c>
      <c r="D6086">
        <v>4.7607010000000001</v>
      </c>
      <c r="E6086">
        <v>0.48966270000000001</v>
      </c>
      <c r="F6086" t="s">
        <v>93</v>
      </c>
      <c r="G6086">
        <v>-212.09039999999999</v>
      </c>
      <c r="H6086" s="1">
        <v>-1.9576400000000001E-7</v>
      </c>
      <c r="I6086">
        <v>-61.62368</v>
      </c>
      <c r="J6086">
        <v>-232.49629999999999</v>
      </c>
      <c r="K6086">
        <v>1.1082639999999999</v>
      </c>
      <c r="L6086">
        <v>-62.032319999999999</v>
      </c>
      <c r="M6086">
        <v>0.99960039999999994</v>
      </c>
      <c r="N6086">
        <v>0</v>
      </c>
      <c r="O6086">
        <v>-2.467629E-2</v>
      </c>
      <c r="P6086">
        <v>0.99152960000000001</v>
      </c>
      <c r="Q6086">
        <v>0.12840499999999999</v>
      </c>
      <c r="R6086">
        <v>-1.9529649999999999E-2</v>
      </c>
      <c r="S6086">
        <v>3.0483250000000002</v>
      </c>
      <c r="T6086">
        <v>-0.16413699999999901</v>
      </c>
      <c r="U6086">
        <v>5.9844969999999997E-2</v>
      </c>
      <c r="V6086">
        <v>-4.7670029999999997E-3</v>
      </c>
      <c r="W6086">
        <v>0.14208589999999999</v>
      </c>
      <c r="X6086">
        <v>0.98984280000000002</v>
      </c>
      <c r="Y6086">
        <v>-4.4196489999999998E-2</v>
      </c>
      <c r="Z6086">
        <v>2.5166149999999998E-3</v>
      </c>
      <c r="AA6086">
        <v>0.99901969999999995</v>
      </c>
      <c r="AB6086">
        <v>35</v>
      </c>
      <c r="AC6086">
        <v>20.405899999999999</v>
      </c>
      <c r="AD6086">
        <v>-1.10826419576399</v>
      </c>
      <c r="AE6086">
        <v>0.40863999999999101</v>
      </c>
      <c r="AF6086">
        <v>-0.90942388755858306</v>
      </c>
      <c r="AG6086">
        <v>-1.10826419576399</v>
      </c>
      <c r="AH6086">
        <v>20.329658445710699</v>
      </c>
      <c r="AI6086">
        <v>93.117259386224802</v>
      </c>
      <c r="AJ6086">
        <v>92.561353183399703</v>
      </c>
      <c r="AK6086">
        <v>20.3801450891334</v>
      </c>
      <c r="AL6086">
        <v>81.831433254261</v>
      </c>
      <c r="AM6086">
        <v>90.275929714583896</v>
      </c>
      <c r="AN6086">
        <v>0.99999994800412395</v>
      </c>
    </row>
    <row r="6087" spans="1:40" x14ac:dyDescent="0.25">
      <c r="A6087" t="str">
        <f>"20190312164624358"</f>
        <v>20190312164624358</v>
      </c>
      <c r="B6087" t="str">
        <f>"1552380384347938"</f>
        <v>1552380384347938</v>
      </c>
      <c r="C6087" t="s">
        <v>40</v>
      </c>
      <c r="D6087">
        <v>4.8838309999999998</v>
      </c>
      <c r="E6087">
        <v>0.48971789999999998</v>
      </c>
      <c r="F6087" t="s">
        <v>93</v>
      </c>
      <c r="G6087">
        <v>-212.00290000000001</v>
      </c>
      <c r="H6087" s="1">
        <v>-1.56593299999999E-7</v>
      </c>
      <c r="I6087">
        <v>-61.617600000000003</v>
      </c>
      <c r="J6087">
        <v>-232.3272</v>
      </c>
      <c r="K6087">
        <v>1.1082920000000001</v>
      </c>
      <c r="L6087">
        <v>-62.036679999999997</v>
      </c>
      <c r="M6087">
        <v>0.99959580000000003</v>
      </c>
      <c r="N6087">
        <v>0</v>
      </c>
      <c r="O6087">
        <v>-2.4850959999999998E-2</v>
      </c>
      <c r="P6087">
        <v>0.99153159999999896</v>
      </c>
      <c r="Q6087">
        <v>0.1284489</v>
      </c>
      <c r="R6087">
        <v>-1.913368E-2</v>
      </c>
      <c r="S6087">
        <v>3.048203</v>
      </c>
      <c r="T6087">
        <v>-0.16484399999999999</v>
      </c>
      <c r="U6087">
        <v>6.167603E-2</v>
      </c>
      <c r="V6087">
        <v>-5.3460969999999898E-3</v>
      </c>
      <c r="W6087">
        <v>0.142138299999999</v>
      </c>
      <c r="X6087">
        <v>0.9898323</v>
      </c>
      <c r="Y6087">
        <v>-4.4969450000000001E-2</v>
      </c>
      <c r="Z6087">
        <v>2.55785E-3</v>
      </c>
      <c r="AA6087">
        <v>0.99898509999999996</v>
      </c>
      <c r="AB6087">
        <v>35</v>
      </c>
      <c r="AC6087">
        <v>20.324299999999901</v>
      </c>
      <c r="AD6087">
        <v>-1.1082921565932999</v>
      </c>
      <c r="AE6087">
        <v>0.41908000000000101</v>
      </c>
      <c r="AF6087">
        <v>-0.92133857849254697</v>
      </c>
      <c r="AG6087">
        <v>-1.1082921565932999</v>
      </c>
      <c r="AH6087">
        <v>20.247425027357501</v>
      </c>
      <c r="AI6087">
        <v>93.129865270744304</v>
      </c>
      <c r="AJ6087">
        <v>92.605389184693806</v>
      </c>
      <c r="AK6087">
        <v>20.298655042121599</v>
      </c>
      <c r="AL6087">
        <v>81.828400019785093</v>
      </c>
      <c r="AM6087">
        <v>90.309452234061396</v>
      </c>
      <c r="AN6087">
        <v>0.99999992960165396</v>
      </c>
    </row>
    <row r="6088" spans="1:40" x14ac:dyDescent="0.25">
      <c r="A6088" t="str">
        <f>"20190312164624369"</f>
        <v>20190312164624369</v>
      </c>
      <c r="B6088" t="str">
        <f>"1552380384357699"</f>
        <v>1552380384357699</v>
      </c>
      <c r="C6088" t="s">
        <v>40</v>
      </c>
      <c r="D6088">
        <v>4.8715760000000001</v>
      </c>
      <c r="E6088">
        <v>0.48975679999999999</v>
      </c>
      <c r="F6088" t="s">
        <v>93</v>
      </c>
      <c r="G6088">
        <v>-212.10470000000001</v>
      </c>
      <c r="H6088" s="1">
        <v>-2.0164789999999999E-7</v>
      </c>
      <c r="I6088">
        <v>-61.62283</v>
      </c>
      <c r="J6088">
        <v>-232.1525</v>
      </c>
      <c r="K6088">
        <v>1.10832</v>
      </c>
      <c r="L6088">
        <v>-62.041200000000003</v>
      </c>
      <c r="M6088">
        <v>0.99959129999999996</v>
      </c>
      <c r="N6088">
        <v>0</v>
      </c>
      <c r="O6088">
        <v>-2.5027529999999999E-2</v>
      </c>
      <c r="P6088">
        <v>0.99159660000000005</v>
      </c>
      <c r="Q6088">
        <v>0.12805349999999999</v>
      </c>
      <c r="R6088">
        <v>-1.840251E-2</v>
      </c>
      <c r="S6088">
        <v>3.0484619999999998</v>
      </c>
      <c r="T6088">
        <v>-0.16707049999999901</v>
      </c>
      <c r="U6088">
        <v>6.2377929999999998E-2</v>
      </c>
      <c r="V6088">
        <v>-6.2639929999999998E-3</v>
      </c>
      <c r="W6088">
        <v>0.14175179999999901</v>
      </c>
      <c r="X6088">
        <v>0.98988240000000005</v>
      </c>
      <c r="Y6088">
        <v>-4.5370470000000003E-2</v>
      </c>
      <c r="Z6088">
        <v>2.612769E-3</v>
      </c>
      <c r="AA6088">
        <v>0.99896680000000004</v>
      </c>
      <c r="AB6088">
        <v>35</v>
      </c>
      <c r="AC6088">
        <v>20.047799999999899</v>
      </c>
      <c r="AD6088">
        <v>-1.1083202016478999</v>
      </c>
      <c r="AE6088">
        <v>0.41836999999999502</v>
      </c>
      <c r="AF6088">
        <v>-0.91723160756923405</v>
      </c>
      <c r="AG6088">
        <v>-1.1083202016478999</v>
      </c>
      <c r="AH6088">
        <v>19.970039294252398</v>
      </c>
      <c r="AI6088">
        <v>93.173269685963703</v>
      </c>
      <c r="AJ6088">
        <v>92.6297690382832</v>
      </c>
      <c r="AK6088">
        <v>20.0217920502959</v>
      </c>
      <c r="AL6088">
        <v>81.850771840573401</v>
      </c>
      <c r="AM6088">
        <v>90.362563847317602</v>
      </c>
      <c r="AN6088">
        <v>0.99999998812065105</v>
      </c>
    </row>
    <row r="6089" spans="1:40" x14ac:dyDescent="0.25">
      <c r="A6089" t="str">
        <f>"20190312164624381"</f>
        <v>20190312164624381</v>
      </c>
      <c r="B6089" t="str">
        <f>"1552380384377218"</f>
        <v>1552380384377218</v>
      </c>
      <c r="C6089" t="s">
        <v>40</v>
      </c>
      <c r="D6089">
        <v>4.7521009999999997</v>
      </c>
      <c r="E6089">
        <v>0.48973499999999998</v>
      </c>
      <c r="F6089" t="s">
        <v>93</v>
      </c>
      <c r="G6089">
        <v>-212.3365</v>
      </c>
      <c r="H6089" s="1">
        <v>-3.0096119999999998E-7</v>
      </c>
      <c r="I6089">
        <v>-61.622399999999999</v>
      </c>
      <c r="J6089">
        <v>-231.97130000000001</v>
      </c>
      <c r="K6089">
        <v>1.1083459999999901</v>
      </c>
      <c r="L6089">
        <v>-62.045929999999998</v>
      </c>
      <c r="M6089">
        <v>0.99958720000000001</v>
      </c>
      <c r="N6089">
        <v>0</v>
      </c>
      <c r="O6089">
        <v>-2.5189570000000001E-2</v>
      </c>
      <c r="P6089">
        <v>0.99161969999999999</v>
      </c>
      <c r="Q6089">
        <v>0.12796630000000001</v>
      </c>
      <c r="R6089">
        <v>-1.7750829999999999E-2</v>
      </c>
      <c r="S6089">
        <v>3.0486599999999999</v>
      </c>
      <c r="T6089">
        <v>-0.1705129</v>
      </c>
      <c r="U6089">
        <v>6.4422610000000005E-2</v>
      </c>
      <c r="V6089">
        <v>-7.0858450000000003E-3</v>
      </c>
      <c r="W6089">
        <v>0.14167249999999901</v>
      </c>
      <c r="X6089">
        <v>0.98988830000000005</v>
      </c>
      <c r="Y6089">
        <v>-4.6194859999999997E-2</v>
      </c>
      <c r="Z6089">
        <v>2.6984209999999999E-3</v>
      </c>
      <c r="AA6089">
        <v>0.99892879999999995</v>
      </c>
      <c r="AB6089">
        <v>35</v>
      </c>
      <c r="AC6089">
        <v>19.634799999999998</v>
      </c>
      <c r="AD6089">
        <v>-1.10834630096119</v>
      </c>
      <c r="AE6089">
        <v>0.42353000000000601</v>
      </c>
      <c r="AF6089">
        <v>-0.91512040534062999</v>
      </c>
      <c r="AG6089">
        <v>-1.10834630096119</v>
      </c>
      <c r="AH6089">
        <v>19.5556162764791</v>
      </c>
      <c r="AI6089">
        <v>93.240322546685604</v>
      </c>
      <c r="AJ6089">
        <v>92.679246380654305</v>
      </c>
      <c r="AK6089">
        <v>19.608365684881001</v>
      </c>
      <c r="AL6089">
        <v>81.855362441832796</v>
      </c>
      <c r="AM6089">
        <v>90.410129181924901</v>
      </c>
      <c r="AN6089">
        <v>1.00000007646624</v>
      </c>
    </row>
    <row r="6090" spans="1:40" x14ac:dyDescent="0.25">
      <c r="A6090" t="str">
        <f>"20190312164624392"</f>
        <v>20190312164624392</v>
      </c>
      <c r="B6090" t="str">
        <f>"1552380384386978"</f>
        <v>1552380384386978</v>
      </c>
      <c r="C6090" t="s">
        <v>40</v>
      </c>
      <c r="D6090">
        <v>4.7657339999999904</v>
      </c>
      <c r="E6090">
        <v>0.4896491</v>
      </c>
      <c r="F6090" t="s">
        <v>93</v>
      </c>
      <c r="G6090">
        <v>-211.97890000000001</v>
      </c>
      <c r="H6090" s="1">
        <v>-1.4493110000000001E-7</v>
      </c>
      <c r="I6090">
        <v>-61.612549999999999</v>
      </c>
      <c r="J6090">
        <v>-231.7868</v>
      </c>
      <c r="K6090">
        <v>1.1083769999999999</v>
      </c>
      <c r="L6090">
        <v>-62.050719999999998</v>
      </c>
      <c r="M6090">
        <v>0.99958309999999995</v>
      </c>
      <c r="N6090">
        <v>0</v>
      </c>
      <c r="O6090">
        <v>-2.5348530000000001E-2</v>
      </c>
      <c r="P6090">
        <v>0.99166949999999998</v>
      </c>
      <c r="Q6090">
        <v>0.12764429999999999</v>
      </c>
      <c r="R6090">
        <v>-1.7289099999999901E-2</v>
      </c>
      <c r="S6090">
        <v>3.04834</v>
      </c>
      <c r="T6090">
        <v>-0.16899439999999999</v>
      </c>
      <c r="U6090">
        <v>6.607056E-2</v>
      </c>
      <c r="V6090">
        <v>-7.7158629999999999E-3</v>
      </c>
      <c r="W6090">
        <v>0.1413576</v>
      </c>
      <c r="X6090">
        <v>0.98992849999999999</v>
      </c>
      <c r="Y6090">
        <v>-4.689633E-2</v>
      </c>
      <c r="Z6090">
        <v>2.702926E-3</v>
      </c>
      <c r="AA6090">
        <v>0.99889609999999995</v>
      </c>
      <c r="AB6090">
        <v>35</v>
      </c>
      <c r="AC6090">
        <v>19.807899999999901</v>
      </c>
      <c r="AD6090">
        <v>-1.1083771449311</v>
      </c>
      <c r="AE6090">
        <v>0.438169999999999</v>
      </c>
      <c r="AF6090">
        <v>-0.93724512062977805</v>
      </c>
      <c r="AG6090">
        <v>-1.1083771449311</v>
      </c>
      <c r="AH6090">
        <v>19.728683515874099</v>
      </c>
      <c r="AI6090">
        <v>93.211939019074293</v>
      </c>
      <c r="AJ6090">
        <v>92.719889844774897</v>
      </c>
      <c r="AK6090">
        <v>19.782009038039401</v>
      </c>
      <c r="AL6090">
        <v>81.873587436613207</v>
      </c>
      <c r="AM6090">
        <v>90.446575114230299</v>
      </c>
      <c r="AN6090">
        <v>0.99999997036592203</v>
      </c>
    </row>
    <row r="6091" spans="1:40" x14ac:dyDescent="0.25">
      <c r="A6091" t="str">
        <f>"20190312164624403"</f>
        <v>20190312164624403</v>
      </c>
      <c r="B6091" t="str">
        <f>"1552380384397714"</f>
        <v>1552380384397714</v>
      </c>
      <c r="C6091" t="s">
        <v>40</v>
      </c>
      <c r="D6091">
        <v>4.7572049999999999</v>
      </c>
      <c r="E6091">
        <v>0.48936829999999998</v>
      </c>
      <c r="F6091" t="s">
        <v>93</v>
      </c>
      <c r="G6091">
        <v>-212.09909999999999</v>
      </c>
      <c r="H6091" s="1">
        <v>-1.9618970000000001E-7</v>
      </c>
      <c r="I6091">
        <v>-61.611350000000002</v>
      </c>
      <c r="J6091">
        <v>-231.61449999999999</v>
      </c>
      <c r="K6091">
        <v>1.108395</v>
      </c>
      <c r="L6091">
        <v>-62.055239999999998</v>
      </c>
      <c r="M6091">
        <v>0.99957940000000001</v>
      </c>
      <c r="N6091">
        <v>0</v>
      </c>
      <c r="O6091">
        <v>-2.5485250000000001E-2</v>
      </c>
      <c r="P6091">
        <v>0.99173520000000004</v>
      </c>
      <c r="Q6091">
        <v>0.12724730000000001</v>
      </c>
      <c r="R6091">
        <v>-1.6412969999999999E-2</v>
      </c>
      <c r="S6091">
        <v>3.0484770000000001</v>
      </c>
      <c r="T6091">
        <v>-0.17162289999999999</v>
      </c>
      <c r="U6091">
        <v>6.8023680000000003E-2</v>
      </c>
      <c r="V6091">
        <v>-8.7368869999999901E-3</v>
      </c>
      <c r="W6091">
        <v>0.1409677</v>
      </c>
      <c r="X6091">
        <v>0.98997559999999996</v>
      </c>
      <c r="Y6091">
        <v>-4.7666739999999999E-2</v>
      </c>
      <c r="Z6091">
        <v>2.774117E-3</v>
      </c>
      <c r="AA6091">
        <v>0.99885950000000001</v>
      </c>
      <c r="AB6091">
        <v>35</v>
      </c>
      <c r="AC6091">
        <v>19.5154</v>
      </c>
      <c r="AD6091">
        <v>-1.1083951961896901</v>
      </c>
      <c r="AE6091">
        <v>0.443890000000003</v>
      </c>
      <c r="AF6091">
        <v>-0.93812366578581297</v>
      </c>
      <c r="AG6091">
        <v>-1.1083951961896901</v>
      </c>
      <c r="AH6091">
        <v>19.4350855830609</v>
      </c>
      <c r="AI6091">
        <v>93.260290980669495</v>
      </c>
      <c r="AJ6091">
        <v>92.763498999402202</v>
      </c>
      <c r="AK6091">
        <v>19.4892577473885</v>
      </c>
      <c r="AL6091">
        <v>81.896152916161498</v>
      </c>
      <c r="AM6091">
        <v>90.505642518265603</v>
      </c>
      <c r="AN6091">
        <v>0.99999995711654899</v>
      </c>
    </row>
    <row r="6092" spans="1:40" x14ac:dyDescent="0.25">
      <c r="A6092" t="str">
        <f>"20190312164624414"</f>
        <v>20190312164624414</v>
      </c>
      <c r="B6092" t="str">
        <f>"1552380384407474"</f>
        <v>1552380384407474</v>
      </c>
      <c r="C6092" t="s">
        <v>40</v>
      </c>
      <c r="D6092">
        <v>4.9030889999999996</v>
      </c>
      <c r="E6092">
        <v>0.48910559999999997</v>
      </c>
      <c r="F6092" t="s">
        <v>93</v>
      </c>
      <c r="G6092">
        <v>-212.27590000000001</v>
      </c>
      <c r="H6092" s="1">
        <v>-2.671467E-7</v>
      </c>
      <c r="I6092">
        <v>-61.5929</v>
      </c>
      <c r="J6092">
        <v>-231.43889999999999</v>
      </c>
      <c r="K6092">
        <v>1.108417</v>
      </c>
      <c r="L6092">
        <v>-62.059840000000001</v>
      </c>
      <c r="M6092">
        <v>0.99957600000000002</v>
      </c>
      <c r="N6092">
        <v>0</v>
      </c>
      <c r="O6092">
        <v>-2.5616739999999999E-2</v>
      </c>
      <c r="P6092">
        <v>0.99175999999999997</v>
      </c>
      <c r="Q6092">
        <v>0.12719169999999999</v>
      </c>
      <c r="R6092">
        <v>-1.531156E-2</v>
      </c>
      <c r="S6092">
        <v>3.0486300000000002</v>
      </c>
      <c r="T6092">
        <v>-0.17473259999999999</v>
      </c>
      <c r="U6092">
        <v>7.2875980000000007E-2</v>
      </c>
      <c r="V6092">
        <v>-9.9765749999999997E-3</v>
      </c>
      <c r="W6092">
        <v>0.14091770000000001</v>
      </c>
      <c r="X6092">
        <v>0.98997100000000005</v>
      </c>
      <c r="Y6092">
        <v>-4.9378680000000001E-2</v>
      </c>
      <c r="Z6092">
        <v>2.8806560000000001E-3</v>
      </c>
      <c r="AA6092">
        <v>0.998776</v>
      </c>
      <c r="AB6092">
        <v>35</v>
      </c>
      <c r="AC6092">
        <v>19.162999999999901</v>
      </c>
      <c r="AD6092">
        <v>-1.1084172671467001</v>
      </c>
      <c r="AE6092">
        <v>0.46694000000000102</v>
      </c>
      <c r="AF6092">
        <v>-0.954535721577491</v>
      </c>
      <c r="AG6092">
        <v>-1.1084172671467001</v>
      </c>
      <c r="AH6092">
        <v>19.0809474363951</v>
      </c>
      <c r="AI6092">
        <v>93.320447804091998</v>
      </c>
      <c r="AJ6092">
        <v>92.863867971501804</v>
      </c>
      <c r="AK6092">
        <v>19.136935030258901</v>
      </c>
      <c r="AL6092">
        <v>81.899046577703601</v>
      </c>
      <c r="AM6092">
        <v>90.577386905059896</v>
      </c>
      <c r="AN6092">
        <v>0.999999955531509</v>
      </c>
    </row>
    <row r="6093" spans="1:40" x14ac:dyDescent="0.25">
      <c r="A6093" t="str">
        <f>"20190312164624425"</f>
        <v>20190312164624425</v>
      </c>
      <c r="B6093" t="str">
        <f>"1552380384417234"</f>
        <v>1552380384417234</v>
      </c>
      <c r="C6093" t="s">
        <v>40</v>
      </c>
      <c r="D6093">
        <v>4.7800949999999904</v>
      </c>
      <c r="E6093">
        <v>0.48910559999999997</v>
      </c>
      <c r="F6093" t="s">
        <v>93</v>
      </c>
      <c r="G6093">
        <v>-212.44569999999999</v>
      </c>
      <c r="H6093" s="1">
        <v>-3.3478269999999998E-7</v>
      </c>
      <c r="I6093">
        <v>-61.573309999999999</v>
      </c>
      <c r="J6093">
        <v>-231.27250000000001</v>
      </c>
      <c r="K6093">
        <v>1.1084369999999999</v>
      </c>
      <c r="L6093">
        <v>-62.064269999999901</v>
      </c>
      <c r="M6093">
        <v>0.99957300000000004</v>
      </c>
      <c r="N6093">
        <v>0</v>
      </c>
      <c r="O6093">
        <v>-2.573456E-2</v>
      </c>
      <c r="P6093">
        <v>0.9918228</v>
      </c>
      <c r="Q6093">
        <v>0.12681489999999901</v>
      </c>
      <c r="R6093">
        <v>-1.43497E-2</v>
      </c>
      <c r="S6093">
        <v>3.0489649999999999</v>
      </c>
      <c r="T6093">
        <v>-0.17793390000000001</v>
      </c>
      <c r="U6093">
        <v>7.8094479999999994E-2</v>
      </c>
      <c r="V6093">
        <v>-1.106336E-2</v>
      </c>
      <c r="W6093">
        <v>0.14054700000000001</v>
      </c>
      <c r="X6093">
        <v>0.99001220000000001</v>
      </c>
      <c r="Y6093">
        <v>-5.1194320000000001E-2</v>
      </c>
      <c r="Z6093">
        <v>2.9927640000000002E-3</v>
      </c>
      <c r="AA6093">
        <v>0.99868420000000002</v>
      </c>
      <c r="AB6093">
        <v>35</v>
      </c>
      <c r="AC6093">
        <v>18.826799999999999</v>
      </c>
      <c r="AD6093">
        <v>-1.1084373347826999</v>
      </c>
      <c r="AE6093">
        <v>0.49095999999999401</v>
      </c>
      <c r="AF6093">
        <v>-0.97197629626680004</v>
      </c>
      <c r="AG6093">
        <v>-1.1084373347826999</v>
      </c>
      <c r="AH6093">
        <v>18.743002548137699</v>
      </c>
      <c r="AI6093">
        <v>93.379926469456706</v>
      </c>
      <c r="AJ6093">
        <v>92.968590439880799</v>
      </c>
      <c r="AK6093">
        <v>18.800891355601799</v>
      </c>
      <c r="AL6093">
        <v>81.920500047697999</v>
      </c>
      <c r="AM6093">
        <v>90.640252161269501</v>
      </c>
      <c r="AN6093">
        <v>1.0000000066461601</v>
      </c>
    </row>
    <row r="6094" spans="1:40" x14ac:dyDescent="0.25">
      <c r="A6094" t="str">
        <f>"20190312164624436"</f>
        <v>20190312164624436</v>
      </c>
      <c r="B6094" t="str">
        <f>"1552380384426994"</f>
        <v>1552380384426994</v>
      </c>
      <c r="C6094" t="s">
        <v>40</v>
      </c>
      <c r="D6094">
        <v>4.638109</v>
      </c>
      <c r="E6094">
        <v>0.47130929999999999</v>
      </c>
      <c r="F6094" t="s">
        <v>93</v>
      </c>
      <c r="G6094">
        <v>-212.41249999999999</v>
      </c>
      <c r="H6094" s="1">
        <v>-3.183898E-7</v>
      </c>
      <c r="I6094">
        <v>-61.565260000000002</v>
      </c>
      <c r="J6094">
        <v>-231.0942</v>
      </c>
      <c r="K6094">
        <v>1.108463</v>
      </c>
      <c r="L6094">
        <v>-62.068969999999901</v>
      </c>
      <c r="M6094">
        <v>0.99956990000000001</v>
      </c>
      <c r="N6094">
        <v>0</v>
      </c>
      <c r="O6094">
        <v>-2.5851059999999999E-2</v>
      </c>
      <c r="P6094">
        <v>0.99189970000000005</v>
      </c>
      <c r="Q6094">
        <v>0.12633759999999999</v>
      </c>
      <c r="R6094">
        <v>-1.319996E-2</v>
      </c>
      <c r="S6094">
        <v>3.048813</v>
      </c>
      <c r="T6094">
        <v>-0.17918480000000001</v>
      </c>
      <c r="U6094">
        <v>8.0657960000000001E-2</v>
      </c>
      <c r="V6094">
        <v>-1.2337839999999999E-2</v>
      </c>
      <c r="W6094">
        <v>0.14007500000000001</v>
      </c>
      <c r="X6094">
        <v>0.99006400000000006</v>
      </c>
      <c r="Y6094">
        <v>-5.2147409999999998E-2</v>
      </c>
      <c r="Z6094">
        <v>3.0487069999999999E-3</v>
      </c>
      <c r="AA6094">
        <v>0.99863480000000004</v>
      </c>
      <c r="AB6094">
        <v>35</v>
      </c>
      <c r="AC6094">
        <v>18.681699999999999</v>
      </c>
      <c r="AD6094">
        <v>-1.1084633183898001</v>
      </c>
      <c r="AE6094">
        <v>0.50370999999999799</v>
      </c>
      <c r="AF6094">
        <v>-0.98307125188405997</v>
      </c>
      <c r="AG6094">
        <v>-1.1084633183898001</v>
      </c>
      <c r="AH6094">
        <v>18.5970087570084</v>
      </c>
      <c r="AI6094">
        <v>93.406299530010301</v>
      </c>
      <c r="AJ6094">
        <v>93.025941276772002</v>
      </c>
      <c r="AK6094">
        <v>18.655933499097401</v>
      </c>
      <c r="AL6094">
        <v>81.947813609776006</v>
      </c>
      <c r="AM6094">
        <v>90.713963512665202</v>
      </c>
      <c r="AN6094">
        <v>0.99999997600843205</v>
      </c>
    </row>
    <row r="6095" spans="1:40" x14ac:dyDescent="0.25">
      <c r="A6095" t="str">
        <f>"20190312164624446"</f>
        <v>20190312164624446</v>
      </c>
      <c r="B6095" t="str">
        <f>"1552380384437731"</f>
        <v>1552380384437731</v>
      </c>
      <c r="C6095" t="s">
        <v>40</v>
      </c>
      <c r="D6095">
        <v>4.7161369999999998</v>
      </c>
      <c r="E6095">
        <v>0.4711555</v>
      </c>
      <c r="F6095" t="s">
        <v>93</v>
      </c>
      <c r="G6095">
        <v>-218.51</v>
      </c>
      <c r="H6095" s="1">
        <v>-2.8144020000000002E-6</v>
      </c>
      <c r="I6095">
        <v>-61.11506</v>
      </c>
      <c r="J6095">
        <v>-230.9203</v>
      </c>
      <c r="K6095">
        <v>1.1084830000000001</v>
      </c>
      <c r="L6095">
        <v>-62.07358</v>
      </c>
      <c r="M6095">
        <v>0.99956690000000004</v>
      </c>
      <c r="N6095">
        <v>0</v>
      </c>
      <c r="O6095">
        <v>-2.5960299999999999E-2</v>
      </c>
      <c r="P6095">
        <v>0.99192740000000001</v>
      </c>
      <c r="Q6095">
        <v>0.12624009999999999</v>
      </c>
      <c r="R6095">
        <v>-1.196533E-2</v>
      </c>
      <c r="S6095">
        <v>3.0619350000000001</v>
      </c>
      <c r="T6095">
        <v>-0.26970650000000002</v>
      </c>
      <c r="U6095">
        <v>0.23208619999999999</v>
      </c>
      <c r="V6095">
        <v>-1.368727E-2</v>
      </c>
      <c r="W6095">
        <v>0.13998239999999901</v>
      </c>
      <c r="X6095">
        <v>0.99005940000000003</v>
      </c>
      <c r="Y6095">
        <v>-0.10095460000000001</v>
      </c>
      <c r="Z6095">
        <v>6.7109140000000001E-3</v>
      </c>
      <c r="AA6095">
        <v>0.99486839999999999</v>
      </c>
      <c r="AB6095">
        <v>35</v>
      </c>
      <c r="AC6095">
        <v>12.410299999999999</v>
      </c>
      <c r="AD6095">
        <v>-1.10848581440199</v>
      </c>
      <c r="AE6095">
        <v>0.95852000000000703</v>
      </c>
      <c r="AF6095">
        <v>-1.2703283289480201</v>
      </c>
      <c r="AG6095">
        <v>-1.10848581440199</v>
      </c>
      <c r="AH6095">
        <v>12.2838112701422</v>
      </c>
      <c r="AI6095">
        <v>95.129172891278202</v>
      </c>
      <c r="AJ6095">
        <v>95.904245435560398</v>
      </c>
      <c r="AK6095">
        <v>12.398971497044901</v>
      </c>
      <c r="AL6095">
        <v>81.953172305444198</v>
      </c>
      <c r="AM6095">
        <v>90.792046264077797</v>
      </c>
      <c r="AN6095">
        <v>1.0000000145990799</v>
      </c>
    </row>
    <row r="6096" spans="1:40" x14ac:dyDescent="0.25">
      <c r="A6096" t="str">
        <f>"20190312164624459"</f>
        <v>20190312164624459</v>
      </c>
      <c r="B6096" t="str">
        <f>"1552380384447491"</f>
        <v>1552380384447491</v>
      </c>
      <c r="C6096" t="s">
        <v>40</v>
      </c>
      <c r="D6096">
        <v>4.8094190000000001</v>
      </c>
      <c r="E6096">
        <v>0.47476459999999998</v>
      </c>
      <c r="F6096" t="s">
        <v>93</v>
      </c>
      <c r="G6096">
        <v>-218.67689999999999</v>
      </c>
      <c r="H6096" s="1">
        <v>-2.888518E-6</v>
      </c>
      <c r="I6096">
        <v>-61.124589999999998</v>
      </c>
      <c r="J6096">
        <v>-230.74119999999999</v>
      </c>
      <c r="K6096">
        <v>1.1085039999999999</v>
      </c>
      <c r="L6096">
        <v>-62.078339999999997</v>
      </c>
      <c r="M6096">
        <v>0.99956429999999996</v>
      </c>
      <c r="N6096">
        <v>0</v>
      </c>
      <c r="O6096">
        <v>-2.6060730000000001E-2</v>
      </c>
      <c r="P6096">
        <v>0.99196910000000005</v>
      </c>
      <c r="Q6096">
        <v>0.1260318</v>
      </c>
      <c r="R6096">
        <v>-1.065114E-2</v>
      </c>
      <c r="S6096">
        <v>3.062576</v>
      </c>
      <c r="T6096">
        <v>-0.2772771</v>
      </c>
      <c r="U6096">
        <v>0.23736570000000001</v>
      </c>
      <c r="V6096">
        <v>-1.5108699999999999E-2</v>
      </c>
      <c r="W6096">
        <v>0.13977800000000001</v>
      </c>
      <c r="X6096">
        <v>0.99006760000000005</v>
      </c>
      <c r="Y6096">
        <v>-0.1027087</v>
      </c>
      <c r="Z6096">
        <v>6.9848509999999898E-3</v>
      </c>
      <c r="AA6096">
        <v>0.99468699999999999</v>
      </c>
      <c r="AB6096">
        <v>35</v>
      </c>
      <c r="AC6096">
        <v>12.064299999999999</v>
      </c>
      <c r="AD6096">
        <v>-1.1085068885180001</v>
      </c>
      <c r="AE6096">
        <v>0.95374999999999899</v>
      </c>
      <c r="AF6096">
        <v>-1.2573117060627601</v>
      </c>
      <c r="AG6096">
        <v>-1.1085068885180001</v>
      </c>
      <c r="AH6096">
        <v>11.9352064205746</v>
      </c>
      <c r="AI6096">
        <v>95.277206106767593</v>
      </c>
      <c r="AJ6096">
        <v>96.013631324173502</v>
      </c>
      <c r="AK6096">
        <v>12.052334734391501</v>
      </c>
      <c r="AL6096">
        <v>81.964999787101902</v>
      </c>
      <c r="AM6096">
        <v>90.874281267096094</v>
      </c>
      <c r="AN6096">
        <v>1.0000000073347199</v>
      </c>
    </row>
    <row r="6097" spans="1:40" x14ac:dyDescent="0.25">
      <c r="A6097" t="str">
        <f>"20190312164624469"</f>
        <v>20190312164624469</v>
      </c>
      <c r="B6097" t="str">
        <f>"1552380384467011"</f>
        <v>1552380384467011</v>
      </c>
      <c r="C6097" t="s">
        <v>40</v>
      </c>
      <c r="D6097">
        <v>4.7028619999999997</v>
      </c>
      <c r="E6097">
        <v>0.47426459999999998</v>
      </c>
      <c r="F6097" t="s">
        <v>93</v>
      </c>
      <c r="G6097">
        <v>-218.01070000000001</v>
      </c>
      <c r="H6097" s="1">
        <v>-2.6220859999999999E-6</v>
      </c>
      <c r="I6097">
        <v>-61.197400000000002</v>
      </c>
      <c r="J6097">
        <v>-230.5685</v>
      </c>
      <c r="K6097">
        <v>1.108525</v>
      </c>
      <c r="L6097">
        <v>-62.082949999999997</v>
      </c>
      <c r="M6097">
        <v>0.99956179999999994</v>
      </c>
      <c r="N6097">
        <v>0</v>
      </c>
      <c r="O6097">
        <v>-2.61546E-2</v>
      </c>
      <c r="P6097">
        <v>0.99201569999999994</v>
      </c>
      <c r="Q6097">
        <v>0.12578419999999901</v>
      </c>
      <c r="R6097">
        <v>-9.1251909999999995E-3</v>
      </c>
      <c r="S6097">
        <v>3.060425</v>
      </c>
      <c r="T6097">
        <v>-0.26648379999999999</v>
      </c>
      <c r="U6097">
        <v>0.21176149999999999</v>
      </c>
      <c r="V6097">
        <v>-1.6734240000000001E-2</v>
      </c>
      <c r="W6097">
        <v>0.139534299999999</v>
      </c>
      <c r="X6097">
        <v>0.99007579999999995</v>
      </c>
      <c r="Y6097">
        <v>-9.4644439999999996E-2</v>
      </c>
      <c r="Z6097">
        <v>6.3788019999999898E-3</v>
      </c>
      <c r="AA6097">
        <v>0.99549069999999995</v>
      </c>
      <c r="AB6097">
        <v>35</v>
      </c>
      <c r="AC6097">
        <v>12.557799999999901</v>
      </c>
      <c r="AD6097">
        <v>-1.1085276220860001</v>
      </c>
      <c r="AE6097">
        <v>0.88554999999999495</v>
      </c>
      <c r="AF6097">
        <v>-1.2043843077771099</v>
      </c>
      <c r="AG6097">
        <v>-1.1085276220860001</v>
      </c>
      <c r="AH6097">
        <v>12.4339302965755</v>
      </c>
      <c r="AI6097">
        <v>95.071037116512102</v>
      </c>
      <c r="AJ6097">
        <v>95.532565234723407</v>
      </c>
      <c r="AK6097">
        <v>12.5412119697358</v>
      </c>
      <c r="AL6097">
        <v>81.979100679547003</v>
      </c>
      <c r="AM6097">
        <v>90.9683198382873</v>
      </c>
      <c r="AN6097">
        <v>0.99999997270525298</v>
      </c>
    </row>
    <row r="6098" spans="1:40" x14ac:dyDescent="0.25">
      <c r="A6098" t="str">
        <f>"20190312164624481"</f>
        <v>20190312164624481</v>
      </c>
      <c r="B6098" t="str">
        <f>"1552380384477746"</f>
        <v>1552380384477746</v>
      </c>
      <c r="C6098" t="s">
        <v>40</v>
      </c>
      <c r="D6098">
        <v>4.6611190000000002</v>
      </c>
      <c r="E6098">
        <v>0.47446250000000001</v>
      </c>
      <c r="F6098" t="s">
        <v>93</v>
      </c>
      <c r="G6098">
        <v>-217.68790000000001</v>
      </c>
      <c r="H6098" s="1">
        <v>-2.4730279999999998E-6</v>
      </c>
      <c r="I6098">
        <v>-61.157589999999999</v>
      </c>
      <c r="J6098">
        <v>-230.38239999999999</v>
      </c>
      <c r="K6098">
        <v>1.108549</v>
      </c>
      <c r="L6098">
        <v>-62.087890000000002</v>
      </c>
      <c r="M6098">
        <v>0.99955950000000005</v>
      </c>
      <c r="N6098">
        <v>0</v>
      </c>
      <c r="O6098">
        <v>-2.6242140000000001E-2</v>
      </c>
      <c r="P6098">
        <v>0.992058</v>
      </c>
      <c r="Q6098">
        <v>0.12553900000000001</v>
      </c>
      <c r="R6098">
        <v>-7.8146540000000007E-3</v>
      </c>
      <c r="S6098">
        <v>3.059555</v>
      </c>
      <c r="T6098">
        <v>-0.26331110000000002</v>
      </c>
      <c r="U6098">
        <v>0.2197876</v>
      </c>
      <c r="V6098">
        <v>-1.8139349999999999E-2</v>
      </c>
      <c r="W6098">
        <v>0.13929259999999999</v>
      </c>
      <c r="X6098">
        <v>0.99008510000000005</v>
      </c>
      <c r="Y6098">
        <v>-9.7349619999999998E-2</v>
      </c>
      <c r="Z6098">
        <v>6.4279169999999896E-3</v>
      </c>
      <c r="AA6098">
        <v>0.99522949999999999</v>
      </c>
      <c r="AB6098">
        <v>35</v>
      </c>
      <c r="AC6098">
        <v>12.6944999999999</v>
      </c>
      <c r="AD6098">
        <v>-1.1085514730279999</v>
      </c>
      <c r="AE6098">
        <v>0.93030000000000201</v>
      </c>
      <c r="AF6098">
        <v>-1.2536336302539</v>
      </c>
      <c r="AG6098">
        <v>-1.1085514730279999</v>
      </c>
      <c r="AH6098">
        <v>12.570366001554801</v>
      </c>
      <c r="AI6098">
        <v>95.014994428860604</v>
      </c>
      <c r="AJ6098">
        <v>95.695235547328707</v>
      </c>
      <c r="AK6098">
        <v>12.681269063477099</v>
      </c>
      <c r="AL6098">
        <v>81.993085741176102</v>
      </c>
      <c r="AM6098">
        <v>91.049598602296996</v>
      </c>
      <c r="AN6098">
        <v>0.999999984837596</v>
      </c>
    </row>
    <row r="6099" spans="1:40" x14ac:dyDescent="0.25">
      <c r="A6099" t="str">
        <f>"20190312164624493"</f>
        <v>20190312164624493</v>
      </c>
      <c r="B6099" t="str">
        <f>"1552380384487517"</f>
        <v>1552380384487517</v>
      </c>
      <c r="C6099" t="s">
        <v>40</v>
      </c>
      <c r="D6099">
        <v>4.6336360000000001</v>
      </c>
      <c r="E6099">
        <v>0.47477320000000001</v>
      </c>
      <c r="F6099" t="s">
        <v>93</v>
      </c>
      <c r="G6099">
        <v>-217.2724</v>
      </c>
      <c r="H6099" s="1">
        <v>-2.2892699999999999E-6</v>
      </c>
      <c r="I6099">
        <v>-61.136830000000003</v>
      </c>
      <c r="J6099">
        <v>-230.2063</v>
      </c>
      <c r="K6099">
        <v>1.1085689999999999</v>
      </c>
      <c r="L6099">
        <v>-62.092619999999997</v>
      </c>
      <c r="M6099">
        <v>0.99955740000000004</v>
      </c>
      <c r="N6099">
        <v>0</v>
      </c>
      <c r="O6099">
        <v>-2.6319430000000001E-2</v>
      </c>
      <c r="P6099">
        <v>0.99205670000000001</v>
      </c>
      <c r="Q6099">
        <v>0.1256264</v>
      </c>
      <c r="R6099">
        <v>-6.4381289999999999E-3</v>
      </c>
      <c r="S6099">
        <v>3.058487</v>
      </c>
      <c r="T6099">
        <v>-0.25861840000000003</v>
      </c>
      <c r="U6099">
        <v>0.2218628</v>
      </c>
      <c r="V6099">
        <v>-1.9598379999999999E-2</v>
      </c>
      <c r="W6099">
        <v>0.1393828</v>
      </c>
      <c r="X6099">
        <v>0.99004460000000005</v>
      </c>
      <c r="Y6099">
        <v>-9.8135840000000002E-2</v>
      </c>
      <c r="Z6099">
        <v>6.3554650000000002E-3</v>
      </c>
      <c r="AA6099">
        <v>0.9951527</v>
      </c>
      <c r="AB6099">
        <v>35</v>
      </c>
      <c r="AC6099">
        <v>12.9338999999999</v>
      </c>
      <c r="AD6099">
        <v>-1.1085712892699999</v>
      </c>
      <c r="AE6099">
        <v>0.95578999999999303</v>
      </c>
      <c r="AF6099">
        <v>-1.2865047349907299</v>
      </c>
      <c r="AG6099">
        <v>-1.1085712892699999</v>
      </c>
      <c r="AH6099">
        <v>12.810660630793601</v>
      </c>
      <c r="AI6099">
        <v>94.921142756365398</v>
      </c>
      <c r="AJ6099">
        <v>95.734675789645095</v>
      </c>
      <c r="AK6099">
        <v>12.9227338645471</v>
      </c>
      <c r="AL6099">
        <v>81.987866757167197</v>
      </c>
      <c r="AM6099">
        <v>91.134047718682694</v>
      </c>
      <c r="AN6099">
        <v>0.99999998571181203</v>
      </c>
    </row>
    <row r="6100" spans="1:40" x14ac:dyDescent="0.25">
      <c r="A6100" t="str">
        <f>"20190312164624504"</f>
        <v>20190312164624504</v>
      </c>
      <c r="B6100" t="str">
        <f>"1552380384497266"</f>
        <v>1552380384497266</v>
      </c>
      <c r="C6100" t="s">
        <v>40</v>
      </c>
      <c r="D6100">
        <v>4.7739960000000004</v>
      </c>
      <c r="E6100">
        <v>0.47515279999999999</v>
      </c>
      <c r="F6100" t="s">
        <v>93</v>
      </c>
      <c r="G6100">
        <v>-216.82329999999999</v>
      </c>
      <c r="H6100" s="1">
        <v>-2.0906529999999999E-6</v>
      </c>
      <c r="I6100">
        <v>-61.114510000000003</v>
      </c>
      <c r="J6100">
        <v>-230.02879999999999</v>
      </c>
      <c r="K6100">
        <v>1.108584</v>
      </c>
      <c r="L6100">
        <v>-62.097349999999999</v>
      </c>
      <c r="M6100">
        <v>0.99955559999999999</v>
      </c>
      <c r="N6100">
        <v>0</v>
      </c>
      <c r="O6100">
        <v>-2.6387420000000002E-2</v>
      </c>
      <c r="P6100">
        <v>0.99207000000000001</v>
      </c>
      <c r="Q6100">
        <v>0.12558639999999999</v>
      </c>
      <c r="R6100">
        <v>-5.0523640000000002E-3</v>
      </c>
      <c r="S6100">
        <v>3.0575410000000001</v>
      </c>
      <c r="T6100">
        <v>-0.25326880000000002</v>
      </c>
      <c r="U6100">
        <v>0.2234497</v>
      </c>
      <c r="V6100">
        <v>-2.1057699999999999E-2</v>
      </c>
      <c r="W6100">
        <v>0.13934449999999901</v>
      </c>
      <c r="X6100">
        <v>0.99002000000000001</v>
      </c>
      <c r="Y6100">
        <v>-9.8754990000000001E-2</v>
      </c>
      <c r="Z6100">
        <v>6.2574379999999997E-3</v>
      </c>
      <c r="AA6100">
        <v>0.99509210000000003</v>
      </c>
      <c r="AB6100">
        <v>35</v>
      </c>
      <c r="AC6100">
        <v>13.205500000000001</v>
      </c>
      <c r="AD6100">
        <v>-1.1085860906530001</v>
      </c>
      <c r="AE6100">
        <v>0.98284000000000205</v>
      </c>
      <c r="AF6100">
        <v>-1.32172685623666</v>
      </c>
      <c r="AG6100">
        <v>-1.1085860906530001</v>
      </c>
      <c r="AH6100">
        <v>13.0832685933261</v>
      </c>
      <c r="AI6100">
        <v>94.818869211358205</v>
      </c>
      <c r="AJ6100">
        <v>95.768689041281107</v>
      </c>
      <c r="AK6100">
        <v>13.196508708290899</v>
      </c>
      <c r="AL6100">
        <v>81.990082591266301</v>
      </c>
      <c r="AM6100">
        <v>91.218496028426102</v>
      </c>
      <c r="AN6100">
        <v>0.99999995840476896</v>
      </c>
    </row>
    <row r="6101" spans="1:40" x14ac:dyDescent="0.25">
      <c r="A6101" t="str">
        <f>"20190312164624514"</f>
        <v>20190312164624514</v>
      </c>
      <c r="B6101" t="str">
        <f>"1552380384507027"</f>
        <v>1552380384507027</v>
      </c>
      <c r="C6101" t="s">
        <v>40</v>
      </c>
      <c r="D6101">
        <v>4.7312459999999996</v>
      </c>
      <c r="E6101">
        <v>0.47551090000000001</v>
      </c>
      <c r="F6101" t="s">
        <v>93</v>
      </c>
      <c r="G6101">
        <v>-216.03729999999999</v>
      </c>
      <c r="H6101" s="1">
        <v>-1.7420859999999901E-6</v>
      </c>
      <c r="I6101">
        <v>-61.071669999999997</v>
      </c>
      <c r="J6101">
        <v>-229.8535</v>
      </c>
      <c r="K6101">
        <v>1.1086049999999901</v>
      </c>
      <c r="L6101">
        <v>-62.102049999999998</v>
      </c>
      <c r="M6101">
        <v>0.99955400000000005</v>
      </c>
      <c r="N6101">
        <v>0</v>
      </c>
      <c r="O6101">
        <v>-2.6443600000000001E-2</v>
      </c>
      <c r="P6101">
        <v>0.99206740000000004</v>
      </c>
      <c r="Q6101">
        <v>0.12565770000000001</v>
      </c>
      <c r="R6101">
        <v>-3.5497900000000002E-3</v>
      </c>
      <c r="S6101">
        <v>3.055771</v>
      </c>
      <c r="T6101">
        <v>-0.24211759999999999</v>
      </c>
      <c r="U6101">
        <v>0.223999</v>
      </c>
      <c r="V6101">
        <v>-2.2622380000000001E-2</v>
      </c>
      <c r="W6101">
        <v>0.13941719999999999</v>
      </c>
      <c r="X6101">
        <v>0.9899753</v>
      </c>
      <c r="Y6101">
        <v>-9.9065840000000002E-2</v>
      </c>
      <c r="Z6101">
        <v>6.0029319999999999E-3</v>
      </c>
      <c r="AA6101">
        <v>0.99506280000000003</v>
      </c>
      <c r="AB6101">
        <v>35</v>
      </c>
      <c r="AC6101">
        <v>13.8162</v>
      </c>
      <c r="AD6101">
        <v>-1.10860674208599</v>
      </c>
      <c r="AE6101">
        <v>1.0303800000000001</v>
      </c>
      <c r="AF6101">
        <v>-1.3865272189776301</v>
      </c>
      <c r="AG6101">
        <v>-1.10860674208599</v>
      </c>
      <c r="AH6101">
        <v>13.696422786557299</v>
      </c>
      <c r="AI6101">
        <v>94.604079345982299</v>
      </c>
      <c r="AJ6101">
        <v>95.780519415593005</v>
      </c>
      <c r="AK6101">
        <v>13.8109906880604</v>
      </c>
      <c r="AL6101">
        <v>81.985876553653895</v>
      </c>
      <c r="AM6101">
        <v>91.309064329611999</v>
      </c>
      <c r="AN6101">
        <v>1.00000001117139</v>
      </c>
    </row>
    <row r="6102" spans="1:40" x14ac:dyDescent="0.25">
      <c r="A6102" t="str">
        <f>"20190312164624526"</f>
        <v>20190312164624526</v>
      </c>
      <c r="B6102" t="str">
        <f>"1552380384517763"</f>
        <v>1552380384517763</v>
      </c>
      <c r="C6102" t="s">
        <v>40</v>
      </c>
      <c r="D6102">
        <v>4.8078659999999998</v>
      </c>
      <c r="E6102">
        <v>0.47632940000000001</v>
      </c>
      <c r="F6102" t="s">
        <v>93</v>
      </c>
      <c r="G6102">
        <v>-215.37020000000001</v>
      </c>
      <c r="H6102" s="1">
        <v>-1.4463569999999999E-6</v>
      </c>
      <c r="I6102">
        <v>-61.035789999999999</v>
      </c>
      <c r="J6102">
        <v>-229.673</v>
      </c>
      <c r="K6102">
        <v>1.1086259999999999</v>
      </c>
      <c r="L6102">
        <v>-62.106900000000003</v>
      </c>
      <c r="M6102">
        <v>0.99955269999999996</v>
      </c>
      <c r="N6102">
        <v>0</v>
      </c>
      <c r="O6102">
        <v>-2.649344E-2</v>
      </c>
      <c r="P6102">
        <v>0.99200840000000001</v>
      </c>
      <c r="Q6102">
        <v>0.1261593</v>
      </c>
      <c r="R6102">
        <v>-1.83343E-3</v>
      </c>
      <c r="S6102">
        <v>3.0544129999999998</v>
      </c>
      <c r="T6102">
        <v>-0.2337967</v>
      </c>
      <c r="U6102">
        <v>0.22485350000000001</v>
      </c>
      <c r="V6102">
        <v>-2.43927E-2</v>
      </c>
      <c r="W6102">
        <v>0.13991909999999999</v>
      </c>
      <c r="X6102">
        <v>0.98986240000000003</v>
      </c>
      <c r="Y6102">
        <v>-9.9449399999999993E-2</v>
      </c>
      <c r="Z6102">
        <v>5.8181860000000004E-3</v>
      </c>
      <c r="AA6102">
        <v>0.99502559999999995</v>
      </c>
      <c r="AB6102">
        <v>35</v>
      </c>
      <c r="AC6102">
        <v>14.3027999999999</v>
      </c>
      <c r="AD6102">
        <v>-1.1086274463570001</v>
      </c>
      <c r="AE6102">
        <v>1.07110999999999</v>
      </c>
      <c r="AF6102">
        <v>-1.44109103148368</v>
      </c>
      <c r="AG6102">
        <v>-1.1086274463570001</v>
      </c>
      <c r="AH6102">
        <v>14.1846524878386</v>
      </c>
      <c r="AI6102">
        <v>94.446177244863193</v>
      </c>
      <c r="AJ6102">
        <v>95.801065769848506</v>
      </c>
      <c r="AK6102">
        <v>14.300705030752299</v>
      </c>
      <c r="AL6102">
        <v>81.956834772062805</v>
      </c>
      <c r="AM6102">
        <v>91.411626469499495</v>
      </c>
      <c r="AN6102">
        <v>0.999999964645929</v>
      </c>
    </row>
    <row r="6103" spans="1:40" x14ac:dyDescent="0.25">
      <c r="A6103" t="str">
        <f>"20190312164624538"</f>
        <v>20190312164624538</v>
      </c>
      <c r="B6103" t="str">
        <f>"1552380384527522"</f>
        <v>1552380384527522</v>
      </c>
      <c r="C6103" t="s">
        <v>40</v>
      </c>
      <c r="D6103">
        <v>4.6720480000000002</v>
      </c>
      <c r="E6103">
        <v>0.47630260000000002</v>
      </c>
      <c r="F6103" t="s">
        <v>93</v>
      </c>
      <c r="G6103">
        <v>-215.03309999999999</v>
      </c>
      <c r="H6103" s="1">
        <v>-1.3022669999999999E-6</v>
      </c>
      <c r="I6103">
        <v>-61.037750000000003</v>
      </c>
      <c r="J6103">
        <v>-229.49950000000001</v>
      </c>
      <c r="K6103">
        <v>1.1086480000000001</v>
      </c>
      <c r="L6103">
        <v>-62.111539999999998</v>
      </c>
      <c r="M6103">
        <v>0.99955190000000005</v>
      </c>
      <c r="N6103">
        <v>0</v>
      </c>
      <c r="O6103">
        <v>-2.6528159999999999E-2</v>
      </c>
      <c r="P6103">
        <v>0.99193019999999998</v>
      </c>
      <c r="Q6103">
        <v>0.12678610000000001</v>
      </c>
      <c r="R6103">
        <v>-2.6362020000000001E-4</v>
      </c>
      <c r="S6103">
        <v>3.0539860000000001</v>
      </c>
      <c r="T6103">
        <v>-0.23126830000000001</v>
      </c>
      <c r="U6103">
        <v>0.22302250000000001</v>
      </c>
      <c r="V6103">
        <v>-2.600034E-2</v>
      </c>
      <c r="W6103">
        <v>0.1405457</v>
      </c>
      <c r="X6103">
        <v>0.98973270000000002</v>
      </c>
      <c r="Y6103">
        <v>-9.8909940000000002E-2</v>
      </c>
      <c r="Z6103">
        <v>5.7386210000000002E-3</v>
      </c>
      <c r="AA6103">
        <v>0.99507979999999996</v>
      </c>
      <c r="AB6103">
        <v>35</v>
      </c>
      <c r="AC6103">
        <v>14.4664</v>
      </c>
      <c r="AD6103">
        <v>-1.1086493022670001</v>
      </c>
      <c r="AE6103">
        <v>1.07379</v>
      </c>
      <c r="AF6103">
        <v>-1.4487538397522699</v>
      </c>
      <c r="AG6103">
        <v>-1.1086493022670001</v>
      </c>
      <c r="AH6103">
        <v>14.349007995377001</v>
      </c>
      <c r="AI6103">
        <v>94.395813544184605</v>
      </c>
      <c r="AJ6103">
        <v>95.765355582818799</v>
      </c>
      <c r="AK6103">
        <v>14.4645090277896</v>
      </c>
      <c r="AL6103">
        <v>81.920574935822899</v>
      </c>
      <c r="AM6103">
        <v>91.504817612669399</v>
      </c>
      <c r="AN6103">
        <v>0.99999996445894701</v>
      </c>
    </row>
    <row r="6104" spans="1:40" x14ac:dyDescent="0.25">
      <c r="A6104" t="str">
        <f>"20190312164624549"</f>
        <v>20190312164624549</v>
      </c>
      <c r="B6104" t="str">
        <f>"1552380384537282"</f>
        <v>1552380384537282</v>
      </c>
      <c r="C6104" t="s">
        <v>40</v>
      </c>
      <c r="D6104">
        <v>4.6938789999999999</v>
      </c>
      <c r="E6104">
        <v>0.47647329999999999</v>
      </c>
      <c r="F6104" t="s">
        <v>93</v>
      </c>
      <c r="G6104">
        <v>-214.73609999999999</v>
      </c>
      <c r="H6104" s="1">
        <v>-1.1683300000000001E-6</v>
      </c>
      <c r="I6104">
        <v>-61.013219999999997</v>
      </c>
      <c r="J6104">
        <v>-229.31549999999999</v>
      </c>
      <c r="K6104">
        <v>1.1086739999999999</v>
      </c>
      <c r="L6104">
        <v>-62.116459999999996</v>
      </c>
      <c r="M6104">
        <v>0.99955090000000002</v>
      </c>
      <c r="N6104">
        <v>0</v>
      </c>
      <c r="O6104">
        <v>-2.6560469999999999E-2</v>
      </c>
      <c r="P6104">
        <v>0.99191390000000002</v>
      </c>
      <c r="Q6104">
        <v>0.12690460000000001</v>
      </c>
      <c r="R6104">
        <v>1.4777939999999999E-3</v>
      </c>
      <c r="S6104">
        <v>3.0537719999999999</v>
      </c>
      <c r="T6104">
        <v>-0.22932159999999999</v>
      </c>
      <c r="U6104">
        <v>0.22717290000000001</v>
      </c>
      <c r="V6104">
        <v>-2.7779990000000001E-2</v>
      </c>
      <c r="W6104">
        <v>0.14066409999999999</v>
      </c>
      <c r="X6104">
        <v>0.98966750000000003</v>
      </c>
      <c r="Y6104">
        <v>-0.1002942</v>
      </c>
      <c r="Z6104">
        <v>5.7448229999999996E-3</v>
      </c>
      <c r="AA6104">
        <v>0.99494119999999997</v>
      </c>
      <c r="AB6104">
        <v>35</v>
      </c>
      <c r="AC6104">
        <v>14.5793999999999</v>
      </c>
      <c r="AD6104">
        <v>-1.10867516832999</v>
      </c>
      <c r="AE6104">
        <v>1.10323999999999</v>
      </c>
      <c r="AF6104">
        <v>-1.48160484205867</v>
      </c>
      <c r="AG6104">
        <v>-1.10867516832999</v>
      </c>
      <c r="AH6104">
        <v>14.461798278212299</v>
      </c>
      <c r="AI6104">
        <v>94.361114864128197</v>
      </c>
      <c r="AJ6104">
        <v>95.849518911370893</v>
      </c>
      <c r="AK6104">
        <v>14.579709289851699</v>
      </c>
      <c r="AL6104">
        <v>81.913722837587002</v>
      </c>
      <c r="AM6104">
        <v>91.607871672357803</v>
      </c>
      <c r="AN6104">
        <v>0.99999993871472803</v>
      </c>
    </row>
    <row r="6105" spans="1:40" x14ac:dyDescent="0.25">
      <c r="A6105" t="str">
        <f>"20190312164624560"</f>
        <v>20190312164624560</v>
      </c>
      <c r="B6105" t="str">
        <f>"1552380384547043"</f>
        <v>1552380384547043</v>
      </c>
      <c r="C6105" t="s">
        <v>40</v>
      </c>
      <c r="D6105">
        <v>4.665375</v>
      </c>
      <c r="E6105">
        <v>0.47671720000000001</v>
      </c>
      <c r="F6105" t="s">
        <v>93</v>
      </c>
      <c r="G6105">
        <v>-214.59739999999999</v>
      </c>
      <c r="H6105" s="1">
        <v>-1.1063859999999999E-6</v>
      </c>
      <c r="I6105">
        <v>-61.004069999999999</v>
      </c>
      <c r="J6105">
        <v>-229.1448</v>
      </c>
      <c r="K6105">
        <v>1.108695</v>
      </c>
      <c r="L6105">
        <v>-62.121029999999998</v>
      </c>
      <c r="M6105">
        <v>0.99955050000000001</v>
      </c>
      <c r="N6105">
        <v>0</v>
      </c>
      <c r="O6105">
        <v>-2.65723E-2</v>
      </c>
      <c r="P6105">
        <v>0.99190009999999995</v>
      </c>
      <c r="Q6105">
        <v>0.12698209999999999</v>
      </c>
      <c r="R6105">
        <v>3.1073490000000001E-3</v>
      </c>
      <c r="S6105">
        <v>3.0535429999999999</v>
      </c>
      <c r="T6105">
        <v>-0.23001550000000001</v>
      </c>
      <c r="U6105">
        <v>0.2307739</v>
      </c>
      <c r="V6105">
        <v>-2.9427060000000001E-2</v>
      </c>
      <c r="W6105">
        <v>0.14074159999999999</v>
      </c>
      <c r="X6105">
        <v>0.98960890000000001</v>
      </c>
      <c r="Y6105">
        <v>-0.1014727</v>
      </c>
      <c r="Z6105">
        <v>5.8074939999999999E-3</v>
      </c>
      <c r="AA6105">
        <v>0.99482139999999997</v>
      </c>
      <c r="AB6105">
        <v>35</v>
      </c>
      <c r="AC6105">
        <v>14.5474</v>
      </c>
      <c r="AD6105">
        <v>-1.1086961063859999</v>
      </c>
      <c r="AE6105">
        <v>1.11696</v>
      </c>
      <c r="AF6105">
        <v>-1.49453073620056</v>
      </c>
      <c r="AG6105">
        <v>-1.1086961063859999</v>
      </c>
      <c r="AH6105">
        <v>14.429259888809</v>
      </c>
      <c r="AI6105">
        <v>94.370493382261202</v>
      </c>
      <c r="AJ6105">
        <v>95.913404036031096</v>
      </c>
      <c r="AK6105">
        <v>14.5487583702719</v>
      </c>
      <c r="AL6105">
        <v>81.909237989506806</v>
      </c>
      <c r="AM6105">
        <v>91.703248275693994</v>
      </c>
      <c r="AN6105">
        <v>0.99999996239500599</v>
      </c>
    </row>
    <row r="6106" spans="1:40" x14ac:dyDescent="0.25">
      <c r="A6106" t="str">
        <f>"20190312164624571"</f>
        <v>20190312164624571</v>
      </c>
      <c r="B6106" t="str">
        <f>"1552380384567538"</f>
        <v>1552380384567538</v>
      </c>
      <c r="C6106" t="s">
        <v>40</v>
      </c>
      <c r="D6106">
        <v>4.7827640000000002</v>
      </c>
      <c r="E6106">
        <v>0.47709459999999998</v>
      </c>
      <c r="F6106" t="s">
        <v>93</v>
      </c>
      <c r="G6106">
        <v>-214.364</v>
      </c>
      <c r="H6106" s="1">
        <v>-1.0027740000000001E-6</v>
      </c>
      <c r="I6106">
        <v>-60.991039999999998</v>
      </c>
      <c r="J6106">
        <v>-228.97139999999999</v>
      </c>
      <c r="K6106">
        <v>1.108725</v>
      </c>
      <c r="L6106">
        <v>-62.125639999999997</v>
      </c>
      <c r="M6106">
        <v>0.99955020000000006</v>
      </c>
      <c r="N6106">
        <v>0</v>
      </c>
      <c r="O6106">
        <v>-2.657911E-2</v>
      </c>
      <c r="P6106">
        <v>0.99189329999999998</v>
      </c>
      <c r="Q6106">
        <v>0.12698019999999999</v>
      </c>
      <c r="R6106">
        <v>4.892001E-3</v>
      </c>
      <c r="S6106">
        <v>3.0531009999999998</v>
      </c>
      <c r="T6106">
        <v>-0.2290102</v>
      </c>
      <c r="U6106">
        <v>0.23339840000000001</v>
      </c>
      <c r="V6106">
        <v>-3.1224890000000002E-2</v>
      </c>
      <c r="W6106">
        <v>0.14073920000000001</v>
      </c>
      <c r="X6106">
        <v>0.98955420000000005</v>
      </c>
      <c r="Y6106">
        <v>-0.1023411</v>
      </c>
      <c r="Z6106">
        <v>5.8158230000000003E-3</v>
      </c>
      <c r="AA6106">
        <v>0.99473239999999996</v>
      </c>
      <c r="AB6106">
        <v>35</v>
      </c>
      <c r="AC6106">
        <v>14.607399999999901</v>
      </c>
      <c r="AD6106">
        <v>-1.108726002774</v>
      </c>
      <c r="AE6106">
        <v>1.1345999999999901</v>
      </c>
      <c r="AF6106">
        <v>-1.5138193282136201</v>
      </c>
      <c r="AG6106">
        <v>-1.108726002774</v>
      </c>
      <c r="AH6106">
        <v>14.4891067536253</v>
      </c>
      <c r="AI6106">
        <v>94.352224491100202</v>
      </c>
      <c r="AJ6106">
        <v>95.964612492687095</v>
      </c>
      <c r="AK6106">
        <v>14.610103929324101</v>
      </c>
      <c r="AL6106">
        <v>81.909377314006804</v>
      </c>
      <c r="AM6106">
        <v>91.807340101302103</v>
      </c>
      <c r="AN6106">
        <v>1.00000001545489</v>
      </c>
    </row>
    <row r="6107" spans="1:40" x14ac:dyDescent="0.25">
      <c r="A6107" t="str">
        <f>"20190312164624582"</f>
        <v>20190312164624582</v>
      </c>
      <c r="B6107" t="str">
        <f>"1552380384577302"</f>
        <v>1552380384577302</v>
      </c>
      <c r="C6107" t="s">
        <v>40</v>
      </c>
      <c r="D6107">
        <v>4.778708</v>
      </c>
      <c r="E6107">
        <v>0.47763519999999998</v>
      </c>
      <c r="F6107" t="s">
        <v>93</v>
      </c>
      <c r="G6107">
        <v>-214.01570000000001</v>
      </c>
      <c r="H6107" s="1">
        <v>-8.4828830000000001E-7</v>
      </c>
      <c r="I6107">
        <v>-60.971960000000003</v>
      </c>
      <c r="J6107">
        <v>-228.7962</v>
      </c>
      <c r="K6107">
        <v>1.1087480000000001</v>
      </c>
      <c r="L6107">
        <v>-62.130310000000001</v>
      </c>
      <c r="M6107">
        <v>0.99955070000000001</v>
      </c>
      <c r="N6107">
        <v>0</v>
      </c>
      <c r="O6107">
        <v>-2.6568979999999999E-2</v>
      </c>
      <c r="P6107">
        <v>0.99192919999999996</v>
      </c>
      <c r="Q6107">
        <v>0.12663150000000001</v>
      </c>
      <c r="R6107">
        <v>6.412297E-3</v>
      </c>
      <c r="S6107">
        <v>3.0523069999999999</v>
      </c>
      <c r="T6107">
        <v>-0.22628000000000001</v>
      </c>
      <c r="U6107">
        <v>0.23544309999999999</v>
      </c>
      <c r="V6107">
        <v>-3.2743040000000001E-2</v>
      </c>
      <c r="W6107">
        <v>0.14038979999999901</v>
      </c>
      <c r="X6107">
        <v>0.98955479999999996</v>
      </c>
      <c r="Y6107">
        <v>-0.1030196</v>
      </c>
      <c r="Z6107">
        <v>5.7723480000000001E-3</v>
      </c>
      <c r="AA6107">
        <v>0.99466259999999995</v>
      </c>
      <c r="AB6107">
        <v>35</v>
      </c>
      <c r="AC6107">
        <v>14.7804999999999</v>
      </c>
      <c r="AD6107">
        <v>-1.1087488482882999</v>
      </c>
      <c r="AE6107">
        <v>1.15834999999999</v>
      </c>
      <c r="AF6107">
        <v>-1.5420572032741899</v>
      </c>
      <c r="AG6107">
        <v>-1.1087488482882999</v>
      </c>
      <c r="AH6107">
        <v>14.662497736272501</v>
      </c>
      <c r="AI6107">
        <v>94.300733242502403</v>
      </c>
      <c r="AJ6107">
        <v>96.0037357983026</v>
      </c>
      <c r="AK6107">
        <v>14.784995917921201</v>
      </c>
      <c r="AL6107">
        <v>81.929597512160399</v>
      </c>
      <c r="AM6107">
        <v>91.895148994256999</v>
      </c>
      <c r="AN6107">
        <v>1.0000000524077499</v>
      </c>
    </row>
    <row r="6108" spans="1:40" x14ac:dyDescent="0.25">
      <c r="A6108" t="str">
        <f>"20190312164624593"</f>
        <v>20190312164624593</v>
      </c>
      <c r="B6108" t="str">
        <f>"1552380384587058"</f>
        <v>1552380384587058</v>
      </c>
      <c r="C6108" t="s">
        <v>40</v>
      </c>
      <c r="D6108">
        <v>4.6827519999999998</v>
      </c>
      <c r="E6108">
        <v>0.47775050000000002</v>
      </c>
      <c r="F6108" t="s">
        <v>93</v>
      </c>
      <c r="G6108">
        <v>-213.9873</v>
      </c>
      <c r="H6108" s="1">
        <v>-8.4004799999999995E-7</v>
      </c>
      <c r="I6108">
        <v>-60.986820000000002</v>
      </c>
      <c r="J6108">
        <v>-228.62180000000001</v>
      </c>
      <c r="K6108">
        <v>1.108773</v>
      </c>
      <c r="L6108">
        <v>-62.134920000000001</v>
      </c>
      <c r="M6108">
        <v>0.99955119999999997</v>
      </c>
      <c r="N6108">
        <v>0</v>
      </c>
      <c r="O6108">
        <v>-2.6545590000000001E-2</v>
      </c>
      <c r="P6108">
        <v>0.99194249999999995</v>
      </c>
      <c r="Q6108">
        <v>0.1264236</v>
      </c>
      <c r="R6108">
        <v>8.2266749999999993E-3</v>
      </c>
      <c r="S6108">
        <v>3.052063</v>
      </c>
      <c r="T6108">
        <v>-0.2285093</v>
      </c>
      <c r="U6108">
        <v>0.2356567</v>
      </c>
      <c r="V6108">
        <v>-3.4541790000000003E-2</v>
      </c>
      <c r="W6108">
        <v>0.14018120000000001</v>
      </c>
      <c r="X6108">
        <v>0.98952320000000005</v>
      </c>
      <c r="Y6108">
        <v>-0.10306460000000001</v>
      </c>
      <c r="Z6108">
        <v>5.8294419999999998E-3</v>
      </c>
      <c r="AA6108">
        <v>0.99465760000000003</v>
      </c>
      <c r="AB6108">
        <v>35</v>
      </c>
      <c r="AC6108">
        <v>14.634499999999999</v>
      </c>
      <c r="AD6108">
        <v>-1.1087738400480001</v>
      </c>
      <c r="AE6108">
        <v>1.1480999999999899</v>
      </c>
      <c r="AF6108">
        <v>-1.5274996326310599</v>
      </c>
      <c r="AG6108">
        <v>-1.1087738400480001</v>
      </c>
      <c r="AH6108">
        <v>14.5160460268607</v>
      </c>
      <c r="AI6108">
        <v>94.344029217796702</v>
      </c>
      <c r="AJ6108">
        <v>96.007033697690503</v>
      </c>
      <c r="AK6108">
        <v>14.638245346010599</v>
      </c>
      <c r="AL6108">
        <v>81.9416686311706</v>
      </c>
      <c r="AM6108">
        <v>91.999241154257206</v>
      </c>
      <c r="AN6108">
        <v>1.00000003371404</v>
      </c>
    </row>
    <row r="6109" spans="1:40" x14ac:dyDescent="0.25">
      <c r="A6109" t="str">
        <f>"20190312164624603"</f>
        <v>20190312164624603</v>
      </c>
      <c r="B6109" t="str">
        <f>"1552380384597795"</f>
        <v>1552380384597795</v>
      </c>
      <c r="C6109" t="s">
        <v>40</v>
      </c>
      <c r="D6109">
        <v>4.92997</v>
      </c>
      <c r="E6109">
        <v>0.47793629999999998</v>
      </c>
      <c r="F6109" t="s">
        <v>93</v>
      </c>
      <c r="G6109">
        <v>-213.86760000000001</v>
      </c>
      <c r="H6109" s="1">
        <v>-7.8529679999999996E-7</v>
      </c>
      <c r="I6109">
        <v>-60.974080000000001</v>
      </c>
      <c r="J6109">
        <v>-228.45490000000001</v>
      </c>
      <c r="K6109">
        <v>1.1088020000000001</v>
      </c>
      <c r="L6109">
        <v>-62.139339999999997</v>
      </c>
      <c r="M6109">
        <v>0.9995522</v>
      </c>
      <c r="N6109">
        <v>0</v>
      </c>
      <c r="O6109">
        <v>-2.6507389999999999E-2</v>
      </c>
      <c r="P6109">
        <v>0.9919654</v>
      </c>
      <c r="Q6109">
        <v>0.12616740000000001</v>
      </c>
      <c r="R6109">
        <v>9.3172380000000003E-3</v>
      </c>
      <c r="S6109">
        <v>3.05159</v>
      </c>
      <c r="T6109">
        <v>-0.22932530000000001</v>
      </c>
      <c r="U6109">
        <v>0.24008180000000001</v>
      </c>
      <c r="V6109">
        <v>-3.5602830000000002E-2</v>
      </c>
      <c r="W6109">
        <v>0.13992379999999999</v>
      </c>
      <c r="X6109">
        <v>0.98952200000000001</v>
      </c>
      <c r="Y6109">
        <v>-0.1044655</v>
      </c>
      <c r="Z6109">
        <v>5.9004019999999999E-3</v>
      </c>
      <c r="AA6109">
        <v>0.99451100000000003</v>
      </c>
      <c r="AB6109">
        <v>35</v>
      </c>
      <c r="AC6109">
        <v>14.587300000000001</v>
      </c>
      <c r="AD6109">
        <v>-1.1088027852968001</v>
      </c>
      <c r="AE6109">
        <v>1.16525999999999</v>
      </c>
      <c r="AF6109">
        <v>-1.5427021595643799</v>
      </c>
      <c r="AG6109">
        <v>-1.1088027852968001</v>
      </c>
      <c r="AH6109">
        <v>14.4682185900456</v>
      </c>
      <c r="AI6109">
        <v>94.357811292288304</v>
      </c>
      <c r="AJ6109">
        <v>96.0862786930998</v>
      </c>
      <c r="AK6109">
        <v>14.592420043952499</v>
      </c>
      <c r="AL6109">
        <v>81.956563172842706</v>
      </c>
      <c r="AM6109">
        <v>92.060603336623302</v>
      </c>
      <c r="AN6109">
        <v>1.0000000098972199</v>
      </c>
    </row>
    <row r="6110" spans="1:40" x14ac:dyDescent="0.25">
      <c r="A6110" t="str">
        <f>"20190312164624615"</f>
        <v>20190312164624615</v>
      </c>
      <c r="B6110" t="str">
        <f>"1552380384607554"</f>
        <v>1552380384607554</v>
      </c>
      <c r="C6110" t="s">
        <v>40</v>
      </c>
      <c r="D6110">
        <v>4.7480279999999997</v>
      </c>
      <c r="E6110">
        <v>0.47812090000000002</v>
      </c>
      <c r="F6110" t="s">
        <v>93</v>
      </c>
      <c r="G6110">
        <v>-213.5445</v>
      </c>
      <c r="H6110" s="1">
        <v>-6.4232389999999996E-7</v>
      </c>
      <c r="I6110">
        <v>-60.957599999999999</v>
      </c>
      <c r="J6110">
        <v>-228.28479999999999</v>
      </c>
      <c r="K6110">
        <v>1.108832</v>
      </c>
      <c r="L6110">
        <v>-62.143799999999999</v>
      </c>
      <c r="M6110">
        <v>0.99955369999999999</v>
      </c>
      <c r="N6110">
        <v>0</v>
      </c>
      <c r="O6110">
        <v>-2.6446600000000001E-2</v>
      </c>
      <c r="P6110">
        <v>0.99192170000000002</v>
      </c>
      <c r="Q6110">
        <v>0.12634419999999999</v>
      </c>
      <c r="R6110">
        <v>1.134137E-2</v>
      </c>
      <c r="S6110">
        <v>3.0509029999999999</v>
      </c>
      <c r="T6110">
        <v>-0.22687789999999999</v>
      </c>
      <c r="U6110">
        <v>0.2417908</v>
      </c>
      <c r="V6110">
        <v>-3.7574589999999998E-2</v>
      </c>
      <c r="W6110">
        <v>0.1400971</v>
      </c>
      <c r="X6110">
        <v>0.98942450000000004</v>
      </c>
      <c r="Y6110">
        <v>-0.10498250000000001</v>
      </c>
      <c r="Z6110">
        <v>5.8534479999999998E-3</v>
      </c>
      <c r="AA6110">
        <v>0.99445680000000003</v>
      </c>
      <c r="AB6110">
        <v>35</v>
      </c>
      <c r="AC6110">
        <v>14.7402999999999</v>
      </c>
      <c r="AD6110">
        <v>-1.1088326423238899</v>
      </c>
      <c r="AE6110">
        <v>1.1861999999999899</v>
      </c>
      <c r="AF6110">
        <v>-1.56684415030318</v>
      </c>
      <c r="AG6110">
        <v>-1.1088326423238899</v>
      </c>
      <c r="AH6110">
        <v>14.6215620922267</v>
      </c>
      <c r="AI6110">
        <v>94.312155829573598</v>
      </c>
      <c r="AJ6110">
        <v>96.116465164096297</v>
      </c>
      <c r="AK6110">
        <v>14.747019645910299</v>
      </c>
      <c r="AL6110">
        <v>81.9465345050358</v>
      </c>
      <c r="AM6110">
        <v>92.174831298299907</v>
      </c>
      <c r="AN6110">
        <v>0.99999994422116201</v>
      </c>
    </row>
    <row r="6111" spans="1:40" x14ac:dyDescent="0.25">
      <c r="A6111" t="str">
        <f>"20190312164624626"</f>
        <v>20190312164624626</v>
      </c>
      <c r="B6111" t="str">
        <f>"1552380384617314"</f>
        <v>1552380384617314</v>
      </c>
      <c r="C6111" t="s">
        <v>40</v>
      </c>
      <c r="D6111">
        <v>4.7304399999999998</v>
      </c>
      <c r="E6111">
        <v>0.47825879999999998</v>
      </c>
      <c r="F6111" t="s">
        <v>93</v>
      </c>
      <c r="G6111">
        <v>-213.12739999999999</v>
      </c>
      <c r="H6111" s="1">
        <v>-4.5332770000000002E-7</v>
      </c>
      <c r="I6111">
        <v>-60.91986</v>
      </c>
      <c r="J6111">
        <v>-228.1129</v>
      </c>
      <c r="K6111">
        <v>1.1088659999999999</v>
      </c>
      <c r="L6111">
        <v>-62.14828</v>
      </c>
      <c r="M6111">
        <v>0.99955590000000005</v>
      </c>
      <c r="N6111">
        <v>0</v>
      </c>
      <c r="O6111">
        <v>-2.6370379999999999E-2</v>
      </c>
      <c r="P6111">
        <v>0.99187179999999997</v>
      </c>
      <c r="Q6111">
        <v>0.12653510000000001</v>
      </c>
      <c r="R6111">
        <v>1.338555E-2</v>
      </c>
      <c r="S6111">
        <v>3.0500639999999999</v>
      </c>
      <c r="T6111">
        <v>-0.22312570000000001</v>
      </c>
      <c r="U6111">
        <v>0.24627689999999999</v>
      </c>
      <c r="V6111">
        <v>-3.9551700000000002E-2</v>
      </c>
      <c r="W6111">
        <v>0.14028460000000001</v>
      </c>
      <c r="X6111">
        <v>0.98932089999999995</v>
      </c>
      <c r="Y6111">
        <v>-0.1063896</v>
      </c>
      <c r="Z6111">
        <v>5.8039019999999997E-3</v>
      </c>
      <c r="AA6111">
        <v>0.99430759999999996</v>
      </c>
      <c r="AB6111">
        <v>35</v>
      </c>
      <c r="AC6111">
        <v>14.9855</v>
      </c>
      <c r="AD6111">
        <v>-1.1088664533277</v>
      </c>
      <c r="AE6111">
        <v>1.2284200000000001</v>
      </c>
      <c r="AF6111">
        <v>-1.6144235005359999</v>
      </c>
      <c r="AG6111">
        <v>-1.1088664533277</v>
      </c>
      <c r="AH6111">
        <v>14.8670310141539</v>
      </c>
      <c r="AI6111">
        <v>94.2407040258786</v>
      </c>
      <c r="AJ6111">
        <v>96.197513097985194</v>
      </c>
      <c r="AK6111">
        <v>14.995484627921</v>
      </c>
      <c r="AL6111">
        <v>81.935684641891896</v>
      </c>
      <c r="AM6111">
        <v>92.289387921366597</v>
      </c>
      <c r="AN6111">
        <v>0.99999997457342904</v>
      </c>
    </row>
    <row r="6112" spans="1:40" x14ac:dyDescent="0.25">
      <c r="A6112" t="str">
        <f>"20190312164624637"</f>
        <v>20190312164624637</v>
      </c>
      <c r="B6112" t="str">
        <f>"1552380384628051"</f>
        <v>1552380384628051</v>
      </c>
      <c r="C6112" t="s">
        <v>40</v>
      </c>
      <c r="D6112">
        <v>4.7396690000000001</v>
      </c>
      <c r="E6112">
        <v>0.47845120000000002</v>
      </c>
      <c r="F6112" t="s">
        <v>93</v>
      </c>
      <c r="G6112">
        <v>-212.90649999999999</v>
      </c>
      <c r="H6112" s="1">
        <v>-3.5188E-7</v>
      </c>
      <c r="I6112">
        <v>-60.894629999999999</v>
      </c>
      <c r="J6112">
        <v>-227.93719999999999</v>
      </c>
      <c r="K6112">
        <v>1.1089070000000001</v>
      </c>
      <c r="L6112">
        <v>-62.152830000000002</v>
      </c>
      <c r="M6112">
        <v>0.99955879999999997</v>
      </c>
      <c r="N6112">
        <v>0</v>
      </c>
      <c r="O6112">
        <v>-2.6257820000000001E-2</v>
      </c>
      <c r="P6112">
        <v>0.99182389999999998</v>
      </c>
      <c r="Q6112">
        <v>0.12674199999999999</v>
      </c>
      <c r="R6112">
        <v>1.489826E-2</v>
      </c>
      <c r="S6112">
        <v>3.0495760000000001</v>
      </c>
      <c r="T6112">
        <v>-0.2223791</v>
      </c>
      <c r="U6112">
        <v>0.25140380000000001</v>
      </c>
      <c r="V6112">
        <v>-4.0963810000000003E-2</v>
      </c>
      <c r="W6112">
        <v>0.1404871</v>
      </c>
      <c r="X6112">
        <v>0.98923470000000002</v>
      </c>
      <c r="Y6112">
        <v>-0.1079493</v>
      </c>
      <c r="Z6112">
        <v>5.833581E-3</v>
      </c>
      <c r="AA6112">
        <v>0.99413929999999995</v>
      </c>
      <c r="AB6112">
        <v>35</v>
      </c>
      <c r="AC6112">
        <v>15.0306999999999</v>
      </c>
      <c r="AD6112">
        <v>-1.1089073518799999</v>
      </c>
      <c r="AE6112">
        <v>1.25819999999999</v>
      </c>
      <c r="AF6112">
        <v>-1.64359384400632</v>
      </c>
      <c r="AG6112">
        <v>-1.1089073518799999</v>
      </c>
      <c r="AH6112">
        <v>14.911876294036</v>
      </c>
      <c r="AI6112">
        <v>94.227410274919393</v>
      </c>
      <c r="AJ6112">
        <v>96.2897785267579</v>
      </c>
      <c r="AK6112">
        <v>15.043109081826801</v>
      </c>
      <c r="AL6112">
        <v>81.923966203174203</v>
      </c>
      <c r="AM6112">
        <v>92.371240378078298</v>
      </c>
      <c r="AN6112">
        <v>0.99999997534010698</v>
      </c>
    </row>
    <row r="6113" spans="1:40" x14ac:dyDescent="0.25">
      <c r="A6113" t="str">
        <f>"20190312164624648"</f>
        <v>20190312164624648</v>
      </c>
      <c r="B6113" t="str">
        <f>"1552380384637811"</f>
        <v>1552380384637811</v>
      </c>
      <c r="C6113" t="s">
        <v>40</v>
      </c>
      <c r="D6113">
        <v>4.7511700000000001</v>
      </c>
      <c r="E6113">
        <v>0.47864679999999998</v>
      </c>
      <c r="F6113" t="s">
        <v>93</v>
      </c>
      <c r="G6113">
        <v>-212.80799999999999</v>
      </c>
      <c r="H6113" s="1">
        <v>-3.0845900000000002E-7</v>
      </c>
      <c r="I6113">
        <v>-60.8902199999999</v>
      </c>
      <c r="J6113">
        <v>-227.76169999999999</v>
      </c>
      <c r="K6113">
        <v>1.108948</v>
      </c>
      <c r="L6113">
        <v>-62.157380000000003</v>
      </c>
      <c r="M6113">
        <v>0.99956210000000001</v>
      </c>
      <c r="N6113">
        <v>0</v>
      </c>
      <c r="O6113">
        <v>-2.6135579999999999E-2</v>
      </c>
      <c r="P6113">
        <v>0.99171370000000003</v>
      </c>
      <c r="Q6113">
        <v>0.1273878</v>
      </c>
      <c r="R6113">
        <v>1.6631859999999998E-2</v>
      </c>
      <c r="S6113">
        <v>3.0494840000000001</v>
      </c>
      <c r="T6113">
        <v>-0.22351560000000001</v>
      </c>
      <c r="U6113">
        <v>0.25448609999999999</v>
      </c>
      <c r="V6113">
        <v>-4.2586739999999998E-2</v>
      </c>
      <c r="W6113">
        <v>0.141126799999999</v>
      </c>
      <c r="X6113">
        <v>0.98907509999999998</v>
      </c>
      <c r="Y6113">
        <v>-0.1088225</v>
      </c>
      <c r="Z6113">
        <v>5.8862200000000002E-3</v>
      </c>
      <c r="AA6113">
        <v>0.99404380000000003</v>
      </c>
      <c r="AB6113">
        <v>35</v>
      </c>
      <c r="AC6113">
        <v>14.9536999999999</v>
      </c>
      <c r="AD6113">
        <v>-1.1089483084589999</v>
      </c>
      <c r="AE6113">
        <v>1.2671600000000101</v>
      </c>
      <c r="AF6113">
        <v>-1.64858651105863</v>
      </c>
      <c r="AG6113">
        <v>-1.1089483084589999</v>
      </c>
      <c r="AH6113">
        <v>14.834468883169</v>
      </c>
      <c r="AI6113">
        <v>94.249122977419404</v>
      </c>
      <c r="AJ6113">
        <v>96.341382825449401</v>
      </c>
      <c r="AK6113">
        <v>14.966932580892699</v>
      </c>
      <c r="AL6113">
        <v>81.886945282375905</v>
      </c>
      <c r="AM6113">
        <v>92.465469268107697</v>
      </c>
      <c r="AN6113">
        <v>0.99999997877103797</v>
      </c>
    </row>
    <row r="6114" spans="1:40" x14ac:dyDescent="0.25">
      <c r="A6114" t="str">
        <f>"20190312164624660"</f>
        <v>20190312164624660</v>
      </c>
      <c r="B6114" t="str">
        <f>"1552380384657330"</f>
        <v>1552380384657330</v>
      </c>
      <c r="C6114" t="s">
        <v>40</v>
      </c>
      <c r="D6114">
        <v>4.7144490000000001</v>
      </c>
      <c r="E6114">
        <v>0.47870740000000001</v>
      </c>
      <c r="F6114" t="s">
        <v>93</v>
      </c>
      <c r="G6114">
        <v>-212.60480000000001</v>
      </c>
      <c r="H6114" s="1">
        <v>-2.1714460000000001E-7</v>
      </c>
      <c r="I6114">
        <v>-60.874809999999997</v>
      </c>
      <c r="J6114">
        <v>-227.58590000000001</v>
      </c>
      <c r="K6114">
        <v>1.108997</v>
      </c>
      <c r="L6114">
        <v>-62.161830000000002</v>
      </c>
      <c r="M6114">
        <v>0.99956659999999997</v>
      </c>
      <c r="N6114">
        <v>0</v>
      </c>
      <c r="O6114">
        <v>-2.5964839999999999E-2</v>
      </c>
      <c r="P6114">
        <v>0.99160979999999999</v>
      </c>
      <c r="Q6114">
        <v>0.12795290000000001</v>
      </c>
      <c r="R6114">
        <v>1.839911E-2</v>
      </c>
      <c r="S6114">
        <v>3.0493929999999998</v>
      </c>
      <c r="T6114">
        <v>-0.22310640000000001</v>
      </c>
      <c r="U6114">
        <v>0.25802609999999998</v>
      </c>
      <c r="V6114">
        <v>-4.4197519999999997E-2</v>
      </c>
      <c r="W6114">
        <v>0.14168420000000001</v>
      </c>
      <c r="X6114">
        <v>0.98892469999999999</v>
      </c>
      <c r="Y6114">
        <v>-0.1098002</v>
      </c>
      <c r="Z6114">
        <v>5.8985670000000004E-3</v>
      </c>
      <c r="AA6114">
        <v>0.99393620000000005</v>
      </c>
      <c r="AB6114">
        <v>35</v>
      </c>
      <c r="AC6114">
        <v>14.9810999999999</v>
      </c>
      <c r="AD6114">
        <v>-1.1089972171446001</v>
      </c>
      <c r="AE6114">
        <v>1.2870200000000001</v>
      </c>
      <c r="AF6114">
        <v>-1.66653972265501</v>
      </c>
      <c r="AG6114">
        <v>-1.1089972171446001</v>
      </c>
      <c r="AH6114">
        <v>14.8617831864631</v>
      </c>
      <c r="AI6114">
        <v>94.241060770482605</v>
      </c>
      <c r="AJ6114">
        <v>96.398186333659694</v>
      </c>
      <c r="AK6114">
        <v>14.9959937635443</v>
      </c>
      <c r="AL6114">
        <v>81.854684195009497</v>
      </c>
      <c r="AM6114">
        <v>92.558988905589203</v>
      </c>
      <c r="AN6114">
        <v>0.99999994778693801</v>
      </c>
    </row>
    <row r="6115" spans="1:40" x14ac:dyDescent="0.25">
      <c r="A6115" t="str">
        <f>"20190312164624671"</f>
        <v>20190312164624671</v>
      </c>
      <c r="B6115" t="str">
        <f>"1552380384667090"</f>
        <v>1552380384667090</v>
      </c>
      <c r="C6115" t="s">
        <v>40</v>
      </c>
      <c r="D6115">
        <v>4.7745620000000004</v>
      </c>
      <c r="E6115">
        <v>0.47882910000000001</v>
      </c>
      <c r="F6115" t="s">
        <v>93</v>
      </c>
      <c r="G6115">
        <v>-212.5103</v>
      </c>
      <c r="H6115" s="1">
        <v>-1.7329110000000001E-7</v>
      </c>
      <c r="I6115">
        <v>-60.862319999999997</v>
      </c>
      <c r="J6115">
        <v>-227.4101</v>
      </c>
      <c r="K6115">
        <v>1.1090409999999999</v>
      </c>
      <c r="L6115">
        <v>-62.166260000000001</v>
      </c>
      <c r="M6115">
        <v>0.99957110000000005</v>
      </c>
      <c r="N6115">
        <v>0</v>
      </c>
      <c r="O6115">
        <v>-2.57824E-2</v>
      </c>
      <c r="P6115">
        <v>0.99150729999999998</v>
      </c>
      <c r="Q6115">
        <v>0.1284959</v>
      </c>
      <c r="R6115">
        <v>2.0060310000000001E-2</v>
      </c>
      <c r="S6115">
        <v>3.0494379999999999</v>
      </c>
      <c r="T6115">
        <v>-0.22432279999999999</v>
      </c>
      <c r="U6115">
        <v>0.26284790000000002</v>
      </c>
      <c r="V6115">
        <v>-4.5691120000000002E-2</v>
      </c>
      <c r="W6115">
        <v>0.14222000000000001</v>
      </c>
      <c r="X6115">
        <v>0.98877999999999999</v>
      </c>
      <c r="Y6115">
        <v>-0.11117059999999999</v>
      </c>
      <c r="Z6115">
        <v>5.9670290000000004E-3</v>
      </c>
      <c r="AA6115">
        <v>0.99378339999999998</v>
      </c>
      <c r="AB6115">
        <v>35</v>
      </c>
      <c r="AC6115">
        <v>14.899800000000001</v>
      </c>
      <c r="AD6115">
        <v>-1.1090411732911001</v>
      </c>
      <c r="AE6115">
        <v>1.3039400000000001</v>
      </c>
      <c r="AF6115">
        <v>-1.6784675558027999</v>
      </c>
      <c r="AG6115">
        <v>-1.1090411732911001</v>
      </c>
      <c r="AH6115">
        <v>14.7799608182558</v>
      </c>
      <c r="AI6115">
        <v>94.263945498601004</v>
      </c>
      <c r="AJ6115">
        <v>96.478965404160803</v>
      </c>
      <c r="AK6115">
        <v>14.9162484374964</v>
      </c>
      <c r="AL6115">
        <v>81.823671882556695</v>
      </c>
      <c r="AM6115">
        <v>92.645732476417393</v>
      </c>
      <c r="AN6115">
        <v>1.0000000476234201</v>
      </c>
    </row>
    <row r="6116" spans="1:40" x14ac:dyDescent="0.25">
      <c r="A6116" t="str">
        <f>"20190312164624682"</f>
        <v>20190312164624682</v>
      </c>
      <c r="B6116" t="str">
        <f>"1552380384677831"</f>
        <v>1552380384677831</v>
      </c>
      <c r="C6116" t="s">
        <v>40</v>
      </c>
      <c r="D6116">
        <v>4.8126340000000001</v>
      </c>
      <c r="E6116">
        <v>0.47903560000000001</v>
      </c>
      <c r="F6116" t="s">
        <v>93</v>
      </c>
      <c r="G6116">
        <v>-212.2578</v>
      </c>
      <c r="H6116" s="1">
        <v>-5.9722769999999998E-8</v>
      </c>
      <c r="I6116">
        <v>-60.842610000000001</v>
      </c>
      <c r="J6116">
        <v>-227.2303</v>
      </c>
      <c r="K6116">
        <v>1.109092</v>
      </c>
      <c r="L6116">
        <v>-62.170679999999997</v>
      </c>
      <c r="M6116">
        <v>0.99957700000000005</v>
      </c>
      <c r="N6116">
        <v>0</v>
      </c>
      <c r="O6116">
        <v>-2.5554009999999999E-2</v>
      </c>
      <c r="P6116">
        <v>0.99135499999999999</v>
      </c>
      <c r="Q6116">
        <v>0.12936300000000001</v>
      </c>
      <c r="R6116">
        <v>2.191574E-2</v>
      </c>
      <c r="S6116">
        <v>3.0492249999999999</v>
      </c>
      <c r="T6116">
        <v>-0.2231815</v>
      </c>
      <c r="U6116">
        <v>0.26635740000000002</v>
      </c>
      <c r="V6116">
        <v>-4.7333930000000003E-2</v>
      </c>
      <c r="W6116">
        <v>0.1430785</v>
      </c>
      <c r="X6116">
        <v>0.98857879999999998</v>
      </c>
      <c r="Y6116">
        <v>-0.11208659999999999</v>
      </c>
      <c r="Z6116">
        <v>5.9536199999999997E-3</v>
      </c>
      <c r="AA6116">
        <v>0.99368060000000002</v>
      </c>
      <c r="AB6116">
        <v>35</v>
      </c>
      <c r="AC6116">
        <v>14.972499999999901</v>
      </c>
      <c r="AD6116">
        <v>-1.10909205972277</v>
      </c>
      <c r="AE6116">
        <v>1.3280700000000001</v>
      </c>
      <c r="AF6116">
        <v>-1.70101965065546</v>
      </c>
      <c r="AG6116">
        <v>-1.10909205972277</v>
      </c>
      <c r="AH6116">
        <v>14.852805592722399</v>
      </c>
      <c r="AI6116">
        <v>94.242846177534801</v>
      </c>
      <c r="AJ6116">
        <v>96.533342644666504</v>
      </c>
      <c r="AK6116">
        <v>14.990976853563</v>
      </c>
      <c r="AL6116">
        <v>81.773974837338997</v>
      </c>
      <c r="AM6116">
        <v>92.741273385234507</v>
      </c>
      <c r="AN6116">
        <v>1.0000000009504599</v>
      </c>
    </row>
    <row r="6117" spans="1:40" x14ac:dyDescent="0.25">
      <c r="A6117" t="str">
        <f>"20190312164624694"</f>
        <v>20190312164624694</v>
      </c>
      <c r="B6117" t="str">
        <f>"1552380384687590"</f>
        <v>1552380384687590</v>
      </c>
      <c r="C6117" t="s">
        <v>40</v>
      </c>
      <c r="D6117">
        <v>4.8437239999999999</v>
      </c>
      <c r="E6117">
        <v>0.47912250000000001</v>
      </c>
      <c r="F6117" t="s">
        <v>93</v>
      </c>
      <c r="G6117">
        <v>-212.00720000000001</v>
      </c>
      <c r="H6117" s="1">
        <v>5.3084589999999997E-8</v>
      </c>
      <c r="I6117">
        <v>-60.82255</v>
      </c>
      <c r="J6117">
        <v>-227.04939999999999</v>
      </c>
      <c r="K6117">
        <v>1.109148</v>
      </c>
      <c r="L6117">
        <v>-62.175080000000001</v>
      </c>
      <c r="M6117">
        <v>0.99958349999999996</v>
      </c>
      <c r="N6117">
        <v>0</v>
      </c>
      <c r="O6117">
        <v>-2.5300349999999999E-2</v>
      </c>
      <c r="P6117">
        <v>0.99122359999999998</v>
      </c>
      <c r="Q6117">
        <v>0.13002659999999999</v>
      </c>
      <c r="R6117">
        <v>2.3860360000000001E-2</v>
      </c>
      <c r="S6117">
        <v>3.0491790000000001</v>
      </c>
      <c r="T6117">
        <v>-0.2221514</v>
      </c>
      <c r="U6117">
        <v>0.27001950000000002</v>
      </c>
      <c r="V6117">
        <v>-4.9042189999999999E-2</v>
      </c>
      <c r="W6117">
        <v>0.14373250000000001</v>
      </c>
      <c r="X6117">
        <v>0.98840059999999996</v>
      </c>
      <c r="Y6117">
        <v>-0.1130216</v>
      </c>
      <c r="Z6117">
        <v>5.9415199999999996E-3</v>
      </c>
      <c r="AA6117">
        <v>0.99357470000000003</v>
      </c>
      <c r="AB6117">
        <v>35</v>
      </c>
      <c r="AC6117">
        <v>15.0421999999999</v>
      </c>
      <c r="AD6117">
        <v>-1.10914794691541</v>
      </c>
      <c r="AE6117">
        <v>1.35253</v>
      </c>
      <c r="AF6117">
        <v>-1.72341159283247</v>
      </c>
      <c r="AG6117">
        <v>-1.10914794691541</v>
      </c>
      <c r="AH6117">
        <v>14.9226778789084</v>
      </c>
      <c r="AI6117">
        <v>94.222803466027997</v>
      </c>
      <c r="AJ6117">
        <v>96.587871231643604</v>
      </c>
      <c r="AK6117">
        <v>15.0627577741965</v>
      </c>
      <c r="AL6117">
        <v>81.736111682032998</v>
      </c>
      <c r="AM6117">
        <v>92.840556735337699</v>
      </c>
      <c r="AN6117">
        <v>0.99999995701830202</v>
      </c>
    </row>
    <row r="6118" spans="1:40" x14ac:dyDescent="0.25">
      <c r="A6118" t="str">
        <f>"20190312164624704"</f>
        <v>20190312164624704</v>
      </c>
      <c r="B6118" t="str">
        <f>"1552380384697347"</f>
        <v>1552380384697347</v>
      </c>
      <c r="C6118" t="s">
        <v>40</v>
      </c>
      <c r="D6118">
        <v>4.8009789999999999</v>
      </c>
      <c r="E6118">
        <v>0.47910469999999999</v>
      </c>
      <c r="F6118" t="s">
        <v>93</v>
      </c>
      <c r="G6118">
        <v>-211.80260000000001</v>
      </c>
      <c r="H6118" s="1">
        <v>1.4657609999999999E-7</v>
      </c>
      <c r="I6118">
        <v>-60.801119999999997</v>
      </c>
      <c r="J6118">
        <v>-226.8818</v>
      </c>
      <c r="K6118">
        <v>1.1091949999999999</v>
      </c>
      <c r="L6118">
        <v>-62.179079999999999</v>
      </c>
      <c r="M6118">
        <v>0.99958999999999998</v>
      </c>
      <c r="N6118">
        <v>0</v>
      </c>
      <c r="O6118">
        <v>-2.5041040000000001E-2</v>
      </c>
      <c r="P6118">
        <v>0.99109320000000001</v>
      </c>
      <c r="Q6118">
        <v>0.13069430000000001</v>
      </c>
      <c r="R6118">
        <v>2.557224E-2</v>
      </c>
      <c r="S6118">
        <v>3.049026</v>
      </c>
      <c r="T6118">
        <v>-0.22180520000000001</v>
      </c>
      <c r="U6118">
        <v>0.27474979999999999</v>
      </c>
      <c r="V6118">
        <v>-5.051054E-2</v>
      </c>
      <c r="W6118">
        <v>0.144391299999999</v>
      </c>
      <c r="X6118">
        <v>0.98823059999999996</v>
      </c>
      <c r="Y6118">
        <v>-0.1142958</v>
      </c>
      <c r="Z6118">
        <v>5.9595669999999998E-3</v>
      </c>
      <c r="AA6118">
        <v>0.99342889999999995</v>
      </c>
      <c r="AB6118">
        <v>35</v>
      </c>
      <c r="AC6118">
        <v>15.079199999999901</v>
      </c>
      <c r="AD6118">
        <v>-1.1091948534239</v>
      </c>
      <c r="AE6118">
        <v>1.3779600000000001</v>
      </c>
      <c r="AF6118">
        <v>-1.7457952040146401</v>
      </c>
      <c r="AG6118">
        <v>-1.1091948534239</v>
      </c>
      <c r="AH6118">
        <v>14.959688624601201</v>
      </c>
      <c r="AI6118">
        <v>94.211989265758007</v>
      </c>
      <c r="AJ6118">
        <v>96.656307519483704</v>
      </c>
      <c r="AK6118">
        <v>15.10199979679</v>
      </c>
      <c r="AL6118">
        <v>81.697967185679005</v>
      </c>
      <c r="AM6118">
        <v>92.925961339568602</v>
      </c>
      <c r="AN6118">
        <v>0.99999994047156804</v>
      </c>
    </row>
    <row r="6119" spans="1:40" x14ac:dyDescent="0.25">
      <c r="A6119" t="str">
        <f>"20190312164624715"</f>
        <v>20190312164624715</v>
      </c>
      <c r="B6119" t="str">
        <f>"1552380384707107"</f>
        <v>1552380384707107</v>
      </c>
      <c r="C6119" t="s">
        <v>40</v>
      </c>
      <c r="D6119">
        <v>4.8281499999999999</v>
      </c>
      <c r="E6119">
        <v>0.47911429999999999</v>
      </c>
      <c r="F6119" t="s">
        <v>93</v>
      </c>
      <c r="G6119">
        <v>-211.673</v>
      </c>
      <c r="H6119" s="1">
        <v>2.0715190000000001E-7</v>
      </c>
      <c r="I6119">
        <v>-60.782380000000003</v>
      </c>
      <c r="J6119">
        <v>-226.7182</v>
      </c>
      <c r="K6119">
        <v>1.109245</v>
      </c>
      <c r="L6119">
        <v>-62.182920000000003</v>
      </c>
      <c r="M6119">
        <v>0.99959699999999996</v>
      </c>
      <c r="N6119">
        <v>0</v>
      </c>
      <c r="O6119">
        <v>-2.4758410000000002E-2</v>
      </c>
      <c r="P6119">
        <v>0.99097489999999999</v>
      </c>
      <c r="Q6119">
        <v>0.13122130000000001</v>
      </c>
      <c r="R6119">
        <v>2.7386819999999999E-2</v>
      </c>
      <c r="S6119">
        <v>3.0490569999999999</v>
      </c>
      <c r="T6119">
        <v>-0.22237129999999999</v>
      </c>
      <c r="U6119">
        <v>0.27999879999999999</v>
      </c>
      <c r="V6119">
        <v>-5.2057760000000002E-2</v>
      </c>
      <c r="W6119">
        <v>0.14490929999999999</v>
      </c>
      <c r="X6119">
        <v>0.98807449999999997</v>
      </c>
      <c r="Y6119">
        <v>-0.1157054</v>
      </c>
      <c r="Z6119">
        <v>6.0048979999999998E-3</v>
      </c>
      <c r="AA6119">
        <v>0.99326550000000002</v>
      </c>
      <c r="AB6119">
        <v>35</v>
      </c>
      <c r="AC6119">
        <v>15.0451999999999</v>
      </c>
      <c r="AD6119">
        <v>-1.1092447928481</v>
      </c>
      <c r="AE6119">
        <v>1.4005399999999899</v>
      </c>
      <c r="AF6119">
        <v>-1.7631401167229499</v>
      </c>
      <c r="AG6119">
        <v>-1.1092447928481</v>
      </c>
      <c r="AH6119">
        <v>14.9254746888247</v>
      </c>
      <c r="AI6119">
        <v>94.221102560191596</v>
      </c>
      <c r="AJ6119">
        <v>96.737104509036698</v>
      </c>
      <c r="AK6119">
        <v>15.0701321085253</v>
      </c>
      <c r="AL6119">
        <v>81.667972729986602</v>
      </c>
      <c r="AM6119">
        <v>93.0159008466118</v>
      </c>
      <c r="AN6119">
        <v>0.99999996657647805</v>
      </c>
    </row>
    <row r="6120" spans="1:40" x14ac:dyDescent="0.25">
      <c r="A6120" t="str">
        <f>"20190312164624727"</f>
        <v>20190312164624727</v>
      </c>
      <c r="B6120" t="str">
        <f>"1552380384717844"</f>
        <v>1552380384717844</v>
      </c>
      <c r="C6120" t="s">
        <v>40</v>
      </c>
      <c r="D6120">
        <v>4.7952690000000002</v>
      </c>
      <c r="E6120">
        <v>0.47913640000000002</v>
      </c>
      <c r="F6120" t="s">
        <v>93</v>
      </c>
      <c r="G6120">
        <v>-211.5797</v>
      </c>
      <c r="H6120" s="1">
        <v>2.516853E-7</v>
      </c>
      <c r="I6120">
        <v>-60.765540000000001</v>
      </c>
      <c r="J6120">
        <v>-226.5316</v>
      </c>
      <c r="K6120">
        <v>1.1092959999999901</v>
      </c>
      <c r="L6120">
        <v>-62.187260000000002</v>
      </c>
      <c r="M6120">
        <v>0.99960539999999998</v>
      </c>
      <c r="N6120">
        <v>0</v>
      </c>
      <c r="O6120">
        <v>-2.441801E-2</v>
      </c>
      <c r="P6120">
        <v>0.99080049999999997</v>
      </c>
      <c r="Q6120">
        <v>0.13209379999999901</v>
      </c>
      <c r="R6120">
        <v>2.942697E-2</v>
      </c>
      <c r="S6120">
        <v>3.049026</v>
      </c>
      <c r="T6120">
        <v>-0.22341130000000001</v>
      </c>
      <c r="U6120">
        <v>0.28546139999999998</v>
      </c>
      <c r="V6120">
        <v>-5.3774740000000001E-2</v>
      </c>
      <c r="W6120">
        <v>0.14577129999999999</v>
      </c>
      <c r="X6120">
        <v>0.98785579999999995</v>
      </c>
      <c r="Y6120">
        <v>-0.11712599999999999</v>
      </c>
      <c r="Z6120">
        <v>6.0594809999999898E-3</v>
      </c>
      <c r="AA6120">
        <v>0.99309860000000005</v>
      </c>
      <c r="AB6120">
        <v>35</v>
      </c>
      <c r="AC6120">
        <v>14.951899999999901</v>
      </c>
      <c r="AD6120">
        <v>-1.1092957483146999</v>
      </c>
      <c r="AE6120">
        <v>1.4217199999999901</v>
      </c>
      <c r="AF6120">
        <v>-1.77673480936099</v>
      </c>
      <c r="AG6120">
        <v>-1.1092957483146999</v>
      </c>
      <c r="AH6120">
        <v>14.831814887302199</v>
      </c>
      <c r="AI6120">
        <v>94.247029793619504</v>
      </c>
      <c r="AJ6120">
        <v>96.8310325483057</v>
      </c>
      <c r="AK6120">
        <v>14.9789871650664</v>
      </c>
      <c r="AL6120">
        <v>81.618054314457694</v>
      </c>
      <c r="AM6120">
        <v>93.115867431896802</v>
      </c>
      <c r="AN6120">
        <v>1.0000000380796901</v>
      </c>
    </row>
    <row r="6121" spans="1:40" x14ac:dyDescent="0.25">
      <c r="A6121" t="str">
        <f>"20190312164624738"</f>
        <v>20190312164624738</v>
      </c>
      <c r="B6121" t="str">
        <f>"1552380384727603"</f>
        <v>1552380384727603</v>
      </c>
      <c r="C6121" t="s">
        <v>40</v>
      </c>
      <c r="D6121">
        <v>4.8692719999999996</v>
      </c>
      <c r="E6121">
        <v>0.47911169999999997</v>
      </c>
      <c r="F6121" t="s">
        <v>93</v>
      </c>
      <c r="G6121">
        <v>-211.35740000000001</v>
      </c>
      <c r="H6121" s="1">
        <v>3.5438960000000002E-7</v>
      </c>
      <c r="I6121">
        <v>-60.737929999999999</v>
      </c>
      <c r="J6121">
        <v>-226.36510000000001</v>
      </c>
      <c r="K6121">
        <v>1.1093379999999999</v>
      </c>
      <c r="L6121">
        <v>-62.191009999999999</v>
      </c>
      <c r="M6121">
        <v>0.99961369999999905</v>
      </c>
      <c r="N6121">
        <v>0</v>
      </c>
      <c r="O6121">
        <v>-2.4075010000000001E-2</v>
      </c>
      <c r="P6121">
        <v>0.99069510000000005</v>
      </c>
      <c r="Q6121">
        <v>0.1324265</v>
      </c>
      <c r="R6121">
        <v>3.1414369999999997E-2</v>
      </c>
      <c r="S6121">
        <v>3.0489199999999999</v>
      </c>
      <c r="T6121">
        <v>-0.22288839999999999</v>
      </c>
      <c r="U6121">
        <v>0.29119869999999998</v>
      </c>
      <c r="V6121">
        <v>-5.5434799999999999E-2</v>
      </c>
      <c r="W6121">
        <v>0.1460939</v>
      </c>
      <c r="X6121">
        <v>0.98771629999999999</v>
      </c>
      <c r="Y6121">
        <v>-0.1186393</v>
      </c>
      <c r="Z6121">
        <v>6.0751399999999997E-3</v>
      </c>
      <c r="AA6121">
        <v>0.99291879999999999</v>
      </c>
      <c r="AB6121">
        <v>35</v>
      </c>
      <c r="AC6121">
        <v>15.0077</v>
      </c>
      <c r="AD6121">
        <v>-1.1093376456103901</v>
      </c>
      <c r="AE6121">
        <v>1.4530799999999899</v>
      </c>
      <c r="AF6121">
        <v>-1.8042375848252701</v>
      </c>
      <c r="AG6121">
        <v>-1.1093376456103901</v>
      </c>
      <c r="AH6121">
        <v>14.8877738036542</v>
      </c>
      <c r="AI6121">
        <v>94.2305842511864</v>
      </c>
      <c r="AJ6121">
        <v>96.909933554921693</v>
      </c>
      <c r="AK6121">
        <v>15.0376764196879</v>
      </c>
      <c r="AL6121">
        <v>81.599370077987999</v>
      </c>
      <c r="AM6121">
        <v>93.212310513401206</v>
      </c>
      <c r="AN6121">
        <v>0.99999996697696902</v>
      </c>
    </row>
    <row r="6122" spans="1:40" x14ac:dyDescent="0.25">
      <c r="A6122" t="str">
        <f>"20190312164624750"</f>
        <v>20190312164624750</v>
      </c>
      <c r="B6122" t="str">
        <f>"1552380384737363"</f>
        <v>1552380384737363</v>
      </c>
      <c r="C6122" t="s">
        <v>40</v>
      </c>
      <c r="D6122">
        <v>4.8821570000000003</v>
      </c>
      <c r="E6122">
        <v>0.4791628</v>
      </c>
      <c r="F6122" t="s">
        <v>93</v>
      </c>
      <c r="G6122">
        <v>-211.16130000000001</v>
      </c>
      <c r="H6122" s="1">
        <v>4.46403E-7</v>
      </c>
      <c r="I6122">
        <v>-60.70834</v>
      </c>
      <c r="J6122">
        <v>-226.18279999999999</v>
      </c>
      <c r="K6122">
        <v>1.1093869999999999</v>
      </c>
      <c r="L6122">
        <v>-62.195070000000001</v>
      </c>
      <c r="M6122">
        <v>0.99962289999999998</v>
      </c>
      <c r="N6122">
        <v>0</v>
      </c>
      <c r="O6122">
        <v>-2.3689399999999999E-2</v>
      </c>
      <c r="P6122">
        <v>0.99058710000000005</v>
      </c>
      <c r="Q6122">
        <v>0.13271749999999999</v>
      </c>
      <c r="R6122">
        <v>3.3518600000000003E-2</v>
      </c>
      <c r="S6122">
        <v>3.0484469999999999</v>
      </c>
      <c r="T6122">
        <v>-0.22242780000000001</v>
      </c>
      <c r="U6122">
        <v>0.29727170000000003</v>
      </c>
      <c r="V6122">
        <v>-5.7171159999999999E-2</v>
      </c>
      <c r="W6122">
        <v>0.14637510000000001</v>
      </c>
      <c r="X6122">
        <v>0.98757569999999995</v>
      </c>
      <c r="Y6122">
        <v>-0.1202288</v>
      </c>
      <c r="Z6122">
        <v>6.0927219999999897E-3</v>
      </c>
      <c r="AA6122">
        <v>0.99272749999999998</v>
      </c>
      <c r="AB6122">
        <v>35</v>
      </c>
      <c r="AC6122">
        <v>15.0214999999999</v>
      </c>
      <c r="AD6122">
        <v>-1.109386553597</v>
      </c>
      <c r="AE6122">
        <v>1.4867299999999899</v>
      </c>
      <c r="AF6122">
        <v>-1.8323003656504799</v>
      </c>
      <c r="AG6122">
        <v>-1.109386553597</v>
      </c>
      <c r="AH6122">
        <v>14.9015712963488</v>
      </c>
      <c r="AI6122">
        <v>94.225969940248504</v>
      </c>
      <c r="AJ6122">
        <v>97.009914382578401</v>
      </c>
      <c r="AK6122">
        <v>15.0547298300379</v>
      </c>
      <c r="AL6122">
        <v>81.583083594460504</v>
      </c>
      <c r="AM6122">
        <v>93.313178192110001</v>
      </c>
      <c r="AN6122">
        <v>0.99999998733312201</v>
      </c>
    </row>
    <row r="6123" spans="1:40" x14ac:dyDescent="0.25">
      <c r="A6123" t="str">
        <f>"20190312164624760"</f>
        <v>20190312164624760</v>
      </c>
      <c r="B6123" t="str">
        <f>"1552380384757859"</f>
        <v>1552380384757859</v>
      </c>
      <c r="C6123" t="s">
        <v>40</v>
      </c>
      <c r="D6123">
        <v>4.8785270000000001</v>
      </c>
      <c r="E6123">
        <v>0.47940290000000002</v>
      </c>
      <c r="F6123" t="s">
        <v>93</v>
      </c>
      <c r="G6123">
        <v>-210.9255</v>
      </c>
      <c r="H6123" s="1">
        <v>5.5550549999999996E-7</v>
      </c>
      <c r="I6123">
        <v>-60.678370000000001</v>
      </c>
      <c r="J6123">
        <v>-226.01490000000001</v>
      </c>
      <c r="K6123">
        <v>1.1094250000000001</v>
      </c>
      <c r="L6123">
        <v>-62.1986699999999</v>
      </c>
      <c r="M6123">
        <v>0.99963219999999997</v>
      </c>
      <c r="N6123">
        <v>0</v>
      </c>
      <c r="O6123">
        <v>-2.329937E-2</v>
      </c>
      <c r="P6123">
        <v>0.99042569999999996</v>
      </c>
      <c r="Q6123">
        <v>0.13335</v>
      </c>
      <c r="R6123">
        <v>3.5705849999999997E-2</v>
      </c>
      <c r="S6123">
        <v>3.0479430000000001</v>
      </c>
      <c r="T6123">
        <v>-0.22162129999999999</v>
      </c>
      <c r="U6123">
        <v>0.30297849999999998</v>
      </c>
      <c r="V6123">
        <v>-5.8982350000000003E-2</v>
      </c>
      <c r="W6123">
        <v>0.14699679999999901</v>
      </c>
      <c r="X6123">
        <v>0.9873769</v>
      </c>
      <c r="Y6123">
        <v>-0.121698</v>
      </c>
      <c r="Z6123">
        <v>6.0960809999999997E-3</v>
      </c>
      <c r="AA6123">
        <v>0.99254849999999994</v>
      </c>
      <c r="AB6123">
        <v>35</v>
      </c>
      <c r="AC6123">
        <v>15.089399999999999</v>
      </c>
      <c r="AD6123">
        <v>-1.1094244444945001</v>
      </c>
      <c r="AE6123">
        <v>1.52029999999999</v>
      </c>
      <c r="AF6123">
        <v>-1.8615328296375699</v>
      </c>
      <c r="AG6123">
        <v>-1.1094244444945001</v>
      </c>
      <c r="AH6123">
        <v>14.9697686854438</v>
      </c>
      <c r="AI6123">
        <v>94.206219318961004</v>
      </c>
      <c r="AJ6123">
        <v>97.088502778308793</v>
      </c>
      <c r="AK6123">
        <v>15.125809121153001</v>
      </c>
      <c r="AL6123">
        <v>81.547073904362193</v>
      </c>
      <c r="AM6123">
        <v>93.418581628946299</v>
      </c>
      <c r="AN6123">
        <v>1.0000000597376799</v>
      </c>
    </row>
    <row r="6124" spans="1:40" x14ac:dyDescent="0.25">
      <c r="A6124" t="str">
        <f>"20190312164624772"</f>
        <v>20190312164624772</v>
      </c>
      <c r="B6124" t="str">
        <f>"1552380384767618"</f>
        <v>1552380384767618</v>
      </c>
      <c r="C6124" t="s">
        <v>40</v>
      </c>
      <c r="D6124">
        <v>4.8923350000000001</v>
      </c>
      <c r="E6124">
        <v>0.47959249999999998</v>
      </c>
      <c r="F6124" t="s">
        <v>93</v>
      </c>
      <c r="G6124">
        <v>-210.73429999999999</v>
      </c>
      <c r="H6124" s="1">
        <v>6.4288719999999996E-7</v>
      </c>
      <c r="I6124">
        <v>-60.658259999999999</v>
      </c>
      <c r="J6124">
        <v>-225.8364</v>
      </c>
      <c r="K6124">
        <v>1.1094729999999999</v>
      </c>
      <c r="L6124">
        <v>-62.202480000000001</v>
      </c>
      <c r="M6124">
        <v>0.99964200000000003</v>
      </c>
      <c r="N6124">
        <v>0</v>
      </c>
      <c r="O6124">
        <v>-2.2875010000000001E-2</v>
      </c>
      <c r="P6124">
        <v>0.9903187</v>
      </c>
      <c r="Q6124">
        <v>0.133565299999999</v>
      </c>
      <c r="R6124">
        <v>3.781027E-2</v>
      </c>
      <c r="S6124">
        <v>3.0476990000000002</v>
      </c>
      <c r="T6124">
        <v>-0.22127379999999999</v>
      </c>
      <c r="U6124">
        <v>0.30722050000000001</v>
      </c>
      <c r="V6124">
        <v>-6.0678629999999997E-2</v>
      </c>
      <c r="W6124">
        <v>0.1472019</v>
      </c>
      <c r="X6124">
        <v>0.98724350000000005</v>
      </c>
      <c r="Y6124">
        <v>-0.122652</v>
      </c>
      <c r="Z6124">
        <v>6.0904130000000003E-3</v>
      </c>
      <c r="AA6124">
        <v>0.99243099999999995</v>
      </c>
      <c r="AB6124">
        <v>35</v>
      </c>
      <c r="AC6124">
        <v>15.1021</v>
      </c>
      <c r="AD6124">
        <v>-1.1094723571128</v>
      </c>
      <c r="AE6124">
        <v>1.5442199999999999</v>
      </c>
      <c r="AF6124">
        <v>-1.8792721914392201</v>
      </c>
      <c r="AG6124">
        <v>-1.1094723571128</v>
      </c>
      <c r="AH6124">
        <v>14.9827935481532</v>
      </c>
      <c r="AI6124">
        <v>94.202202703224998</v>
      </c>
      <c r="AJ6124">
        <v>97.149199411295399</v>
      </c>
      <c r="AK6124">
        <v>15.1408948014077</v>
      </c>
      <c r="AL6124">
        <v>81.535192892233596</v>
      </c>
      <c r="AM6124">
        <v>93.517127698946794</v>
      </c>
      <c r="AN6124">
        <v>1.0000000118972601</v>
      </c>
    </row>
    <row r="6125" spans="1:40" x14ac:dyDescent="0.25">
      <c r="A6125" t="str">
        <f>"20190312164624783"</f>
        <v>20190312164624783</v>
      </c>
      <c r="B6125" t="str">
        <f>"1552380384777378"</f>
        <v>1552380384777378</v>
      </c>
      <c r="C6125" t="s">
        <v>40</v>
      </c>
      <c r="D6125">
        <v>4.8362100000000003</v>
      </c>
      <c r="E6125">
        <v>0.47977219999999998</v>
      </c>
      <c r="F6125" t="s">
        <v>93</v>
      </c>
      <c r="G6125">
        <v>-210.59209999999999</v>
      </c>
      <c r="H6125" s="1">
        <v>7.0814240000000001E-7</v>
      </c>
      <c r="I6125">
        <v>-60.64235</v>
      </c>
      <c r="J6125">
        <v>-225.6645</v>
      </c>
      <c r="K6125">
        <v>1.1095079999999999</v>
      </c>
      <c r="L6125">
        <v>-62.206020000000002</v>
      </c>
      <c r="M6125">
        <v>0.99965159999999997</v>
      </c>
      <c r="N6125">
        <v>0</v>
      </c>
      <c r="O6125">
        <v>-2.2444760000000001E-2</v>
      </c>
      <c r="P6125">
        <v>0.99017040000000001</v>
      </c>
      <c r="Q6125">
        <v>0.13397919999999999</v>
      </c>
      <c r="R6125">
        <v>4.0151560000000003E-2</v>
      </c>
      <c r="S6125">
        <v>3.0473330000000001</v>
      </c>
      <c r="T6125">
        <v>-0.22178320000000001</v>
      </c>
      <c r="U6125">
        <v>0.3118591</v>
      </c>
      <c r="V6125">
        <v>-6.2602909999999998E-2</v>
      </c>
      <c r="W6125">
        <v>0.14760509999999999</v>
      </c>
      <c r="X6125">
        <v>0.98706309999999997</v>
      </c>
      <c r="Y6125">
        <v>-0.12372850000000001</v>
      </c>
      <c r="Z6125">
        <v>6.1124789999999997E-3</v>
      </c>
      <c r="AA6125">
        <v>0.99229730000000005</v>
      </c>
      <c r="AB6125">
        <v>35</v>
      </c>
      <c r="AC6125">
        <v>15.0724</v>
      </c>
      <c r="AD6125">
        <v>-1.1095072918576001</v>
      </c>
      <c r="AE6125">
        <v>1.5636699999999899</v>
      </c>
      <c r="AF6125">
        <v>-1.8914648938621299</v>
      </c>
      <c r="AG6125">
        <v>-1.1095072918576001</v>
      </c>
      <c r="AH6125">
        <v>14.953337789378899</v>
      </c>
      <c r="AI6125">
        <v>94.210030093844296</v>
      </c>
      <c r="AJ6125">
        <v>97.209123047120997</v>
      </c>
      <c r="AK6125">
        <v>15.113270887490399</v>
      </c>
      <c r="AL6125">
        <v>81.511835793183394</v>
      </c>
      <c r="AM6125">
        <v>93.6290330943024</v>
      </c>
      <c r="AN6125">
        <v>0.99999997663404305</v>
      </c>
    </row>
    <row r="6126" spans="1:40" x14ac:dyDescent="0.25">
      <c r="A6126" t="str">
        <f>"20190312164624794"</f>
        <v>20190312164624794</v>
      </c>
      <c r="B6126" t="str">
        <f>"1552380384787139"</f>
        <v>1552380384787139</v>
      </c>
      <c r="C6126" t="s">
        <v>40</v>
      </c>
      <c r="D6126">
        <v>4.8383399999999996</v>
      </c>
      <c r="E6126">
        <v>0.47992190000000001</v>
      </c>
      <c r="F6126" t="s">
        <v>93</v>
      </c>
      <c r="G6126">
        <v>-210.49860000000001</v>
      </c>
      <c r="H6126" s="1">
        <v>7.5226879999999999E-7</v>
      </c>
      <c r="I6126">
        <v>-60.627189999999999</v>
      </c>
      <c r="J6126">
        <v>-225.49080000000001</v>
      </c>
      <c r="K6126">
        <v>1.10954</v>
      </c>
      <c r="L6126">
        <v>-62.209530000000001</v>
      </c>
      <c r="M6126">
        <v>0.99966160000000004</v>
      </c>
      <c r="N6126">
        <v>0</v>
      </c>
      <c r="O6126">
        <v>-2.1998219999999999E-2</v>
      </c>
      <c r="P6126">
        <v>0.99004700000000001</v>
      </c>
      <c r="Q6126">
        <v>0.13419159999999999</v>
      </c>
      <c r="R6126">
        <v>4.242489E-2</v>
      </c>
      <c r="S6126">
        <v>3.0470579999999998</v>
      </c>
      <c r="T6126">
        <v>-0.22291620000000001</v>
      </c>
      <c r="U6126">
        <v>0.31719969999999997</v>
      </c>
      <c r="V6126">
        <v>-6.4443039999999993E-2</v>
      </c>
      <c r="W6126">
        <v>0.14780750000000001</v>
      </c>
      <c r="X6126">
        <v>0.98691439999999997</v>
      </c>
      <c r="Y6126">
        <v>-0.12500890000000001</v>
      </c>
      <c r="Z6126">
        <v>6.157732E-3</v>
      </c>
      <c r="AA6126">
        <v>0.99213649999999998</v>
      </c>
      <c r="AB6126">
        <v>35</v>
      </c>
      <c r="AC6126">
        <v>14.992199999999899</v>
      </c>
      <c r="AD6126">
        <v>-1.1095392477312001</v>
      </c>
      <c r="AE6126">
        <v>1.5823400000000001</v>
      </c>
      <c r="AF6126">
        <v>-1.9014905107104001</v>
      </c>
      <c r="AG6126">
        <v>-1.1095392477312001</v>
      </c>
      <c r="AH6126">
        <v>14.8731940713387</v>
      </c>
      <c r="AI6126">
        <v>94.232039504715104</v>
      </c>
      <c r="AJ6126">
        <v>97.285560845061099</v>
      </c>
      <c r="AK6126">
        <v>15.035246768453201</v>
      </c>
      <c r="AL6126">
        <v>81.500110696016407</v>
      </c>
      <c r="AM6126">
        <v>93.735967250609605</v>
      </c>
      <c r="AN6126">
        <v>0.99999999769402503</v>
      </c>
    </row>
    <row r="6127" spans="1:40" x14ac:dyDescent="0.25">
      <c r="A6127" t="str">
        <f>"20190312164624804"</f>
        <v>20190312164624804</v>
      </c>
      <c r="B6127" t="str">
        <f>"1552380384796899"</f>
        <v>1552380384796899</v>
      </c>
      <c r="C6127" t="s">
        <v>40</v>
      </c>
      <c r="D6127">
        <v>4.9782219999999997</v>
      </c>
      <c r="E6127">
        <v>0.48004970000000002</v>
      </c>
      <c r="F6127" t="s">
        <v>93</v>
      </c>
      <c r="G6127">
        <v>-210.4675</v>
      </c>
      <c r="H6127" s="1">
        <v>7.6823480000000004E-7</v>
      </c>
      <c r="I6127">
        <v>-60.617289999999997</v>
      </c>
      <c r="J6127">
        <v>-225.32169999999999</v>
      </c>
      <c r="K6127">
        <v>1.1095699999999999</v>
      </c>
      <c r="L6127">
        <v>-62.212829999999997</v>
      </c>
      <c r="M6127">
        <v>0.99967130000000004</v>
      </c>
      <c r="N6127">
        <v>0</v>
      </c>
      <c r="O6127">
        <v>-2.1552209999999999E-2</v>
      </c>
      <c r="P6127">
        <v>0.98996649999999997</v>
      </c>
      <c r="Q6127">
        <v>0.13407140000000001</v>
      </c>
      <c r="R6127">
        <v>4.4624560000000001E-2</v>
      </c>
      <c r="S6127">
        <v>3.0468289999999998</v>
      </c>
      <c r="T6127">
        <v>-0.22502269999999999</v>
      </c>
      <c r="U6127">
        <v>0.32290649999999999</v>
      </c>
      <c r="V6127">
        <v>-6.620943E-2</v>
      </c>
      <c r="W6127">
        <v>0.147677799999999</v>
      </c>
      <c r="X6127">
        <v>0.9868169</v>
      </c>
      <c r="Y6127">
        <v>-0.12640199999999999</v>
      </c>
      <c r="Z6127">
        <v>6.2340399999999997E-3</v>
      </c>
      <c r="AA6127">
        <v>0.99195949999999999</v>
      </c>
      <c r="AB6127">
        <v>35</v>
      </c>
      <c r="AC6127">
        <v>14.854199999999899</v>
      </c>
      <c r="AD6127">
        <v>-1.1095692317651999</v>
      </c>
      <c r="AE6127">
        <v>1.59553999999999</v>
      </c>
      <c r="AF6127">
        <v>-1.9048338662868001</v>
      </c>
      <c r="AG6127">
        <v>-1.1095692317651999</v>
      </c>
      <c r="AH6127">
        <v>14.735078895472199</v>
      </c>
      <c r="AI6127">
        <v>94.270909171968199</v>
      </c>
      <c r="AJ6127">
        <v>97.365893054550497</v>
      </c>
      <c r="AK6127">
        <v>14.899063258944301</v>
      </c>
      <c r="AL6127">
        <v>81.507624500840507</v>
      </c>
      <c r="AM6127">
        <v>93.838446553288406</v>
      </c>
      <c r="AN6127">
        <v>1.00000000767968</v>
      </c>
    </row>
    <row r="6128" spans="1:40" x14ac:dyDescent="0.25">
      <c r="A6128" t="str">
        <f>"20190312164624816"</f>
        <v>20190312164624816</v>
      </c>
      <c r="B6128" t="str">
        <f>"1552380384807635"</f>
        <v>1552380384807635</v>
      </c>
      <c r="C6128" t="s">
        <v>40</v>
      </c>
      <c r="D6128">
        <v>4.8870940000000003</v>
      </c>
      <c r="E6128">
        <v>0.48022799999999999</v>
      </c>
      <c r="F6128" t="s">
        <v>93</v>
      </c>
      <c r="G6128">
        <v>-210.37360000000001</v>
      </c>
      <c r="H6128" s="1">
        <v>8.1253440000000001E-7</v>
      </c>
      <c r="I6128">
        <v>-60.602319999999999</v>
      </c>
      <c r="J6128">
        <v>-225.15289999999999</v>
      </c>
      <c r="K6128">
        <v>1.1095950000000001</v>
      </c>
      <c r="L6128">
        <v>-62.216059999999999</v>
      </c>
      <c r="M6128">
        <v>0.99968109999999999</v>
      </c>
      <c r="N6128">
        <v>0</v>
      </c>
      <c r="O6128">
        <v>-2.109625E-2</v>
      </c>
      <c r="P6128">
        <v>0.98989970000000005</v>
      </c>
      <c r="Q6128">
        <v>0.13385920000000001</v>
      </c>
      <c r="R6128">
        <v>4.6699060000000001E-2</v>
      </c>
      <c r="S6128">
        <v>3.0462189999999998</v>
      </c>
      <c r="T6128">
        <v>-0.22611419999999999</v>
      </c>
      <c r="U6128">
        <v>0.32818599999999998</v>
      </c>
      <c r="V6128">
        <v>-6.7839239999999995E-2</v>
      </c>
      <c r="W6128">
        <v>0.14745759999999999</v>
      </c>
      <c r="X6128">
        <v>0.98673920000000004</v>
      </c>
      <c r="Y6128">
        <v>-0.127664</v>
      </c>
      <c r="Z6128">
        <v>6.2777950000000001E-3</v>
      </c>
      <c r="AA6128">
        <v>0.99179759999999995</v>
      </c>
      <c r="AB6128">
        <v>35</v>
      </c>
      <c r="AC6128">
        <v>14.7792999999999</v>
      </c>
      <c r="AD6128">
        <v>-1.1095941874655999</v>
      </c>
      <c r="AE6128">
        <v>1.61374</v>
      </c>
      <c r="AF6128">
        <v>-1.9145342321921199</v>
      </c>
      <c r="AG6128">
        <v>-1.1095941874655999</v>
      </c>
      <c r="AH6128">
        <v>14.6603017665777</v>
      </c>
      <c r="AI6128">
        <v>94.291986738142498</v>
      </c>
      <c r="AJ6128">
        <v>97.440326878128602</v>
      </c>
      <c r="AK6128">
        <v>14.8263646412131</v>
      </c>
      <c r="AL6128">
        <v>81.520381283517196</v>
      </c>
      <c r="AM6128">
        <v>93.932949441435497</v>
      </c>
      <c r="AN6128">
        <v>1.00000007754908</v>
      </c>
    </row>
    <row r="6129" spans="1:40" x14ac:dyDescent="0.25">
      <c r="A6129" t="str">
        <f>"20190312164624827"</f>
        <v>20190312164624827</v>
      </c>
      <c r="B6129" t="str">
        <f>"1552380384817395"</f>
        <v>1552380384817395</v>
      </c>
      <c r="C6129" t="s">
        <v>40</v>
      </c>
      <c r="D6129">
        <v>4.886171</v>
      </c>
      <c r="E6129">
        <v>0.48043799999999998</v>
      </c>
      <c r="F6129" t="s">
        <v>93</v>
      </c>
      <c r="G6129">
        <v>-210.42449999999999</v>
      </c>
      <c r="H6129" s="1">
        <v>7.8977880000000001E-7</v>
      </c>
      <c r="I6129">
        <v>-60.605759999999997</v>
      </c>
      <c r="J6129">
        <v>-224.97880000000001</v>
      </c>
      <c r="K6129">
        <v>1.1096189999999999</v>
      </c>
      <c r="L6129">
        <v>-62.219329999999999</v>
      </c>
      <c r="M6129">
        <v>0.99969090000000005</v>
      </c>
      <c r="N6129">
        <v>0</v>
      </c>
      <c r="O6129">
        <v>-2.0620759999999998E-2</v>
      </c>
      <c r="P6129">
        <v>0.98981419999999998</v>
      </c>
      <c r="Q6129">
        <v>0.1335837</v>
      </c>
      <c r="R6129">
        <v>4.9229090000000003E-2</v>
      </c>
      <c r="S6129">
        <v>3.0459290000000001</v>
      </c>
      <c r="T6129">
        <v>-0.22947000000000001</v>
      </c>
      <c r="U6129">
        <v>0.33300780000000002</v>
      </c>
      <c r="V6129">
        <v>-6.9904830000000001E-2</v>
      </c>
      <c r="W6129">
        <v>0.1471722</v>
      </c>
      <c r="X6129">
        <v>0.98663749999999995</v>
      </c>
      <c r="Y6129">
        <v>-0.1287402</v>
      </c>
      <c r="Z6129">
        <v>6.375454E-3</v>
      </c>
      <c r="AA6129">
        <v>0.99165789999999998</v>
      </c>
      <c r="AB6129">
        <v>35</v>
      </c>
      <c r="AC6129">
        <v>14.5543</v>
      </c>
      <c r="AD6129">
        <v>-1.1096182102212</v>
      </c>
      <c r="AE6129">
        <v>1.6135700000000099</v>
      </c>
      <c r="AF6129">
        <v>-1.90245273626816</v>
      </c>
      <c r="AG6129">
        <v>-1.1096182102212</v>
      </c>
      <c r="AH6129">
        <v>14.4350432355316</v>
      </c>
      <c r="AI6129">
        <v>94.358128480770404</v>
      </c>
      <c r="AJ6129">
        <v>97.507971745489996</v>
      </c>
      <c r="AK6129">
        <v>14.602090679004</v>
      </c>
      <c r="AL6129">
        <v>81.536912778827599</v>
      </c>
      <c r="AM6129">
        <v>94.052724319096697</v>
      </c>
      <c r="AN6129">
        <v>0.99999994905820799</v>
      </c>
    </row>
    <row r="6130" spans="1:40" x14ac:dyDescent="0.25">
      <c r="A6130" t="str">
        <f>"20190312164624838"</f>
        <v>20190312164624838</v>
      </c>
      <c r="B6130" t="str">
        <f>"1552380384827155"</f>
        <v>1552380384827155</v>
      </c>
      <c r="C6130" t="s">
        <v>40</v>
      </c>
      <c r="D6130">
        <v>5.0082190000000004</v>
      </c>
      <c r="E6130">
        <v>0.48058489999999998</v>
      </c>
      <c r="F6130" t="s">
        <v>93</v>
      </c>
      <c r="G6130">
        <v>-210.47620000000001</v>
      </c>
      <c r="H6130" s="1">
        <v>7.6776829999999997E-7</v>
      </c>
      <c r="I6130">
        <v>-60.605130000000003</v>
      </c>
      <c r="J6130">
        <v>-224.80789999999999</v>
      </c>
      <c r="K6130">
        <v>1.1096330000000001</v>
      </c>
      <c r="L6130">
        <v>-62.222410000000004</v>
      </c>
      <c r="M6130">
        <v>0.99970060000000005</v>
      </c>
      <c r="N6130">
        <v>0</v>
      </c>
      <c r="O6130">
        <v>-2.0145340000000001E-2</v>
      </c>
      <c r="P6130">
        <v>0.98975469999999999</v>
      </c>
      <c r="Q6130">
        <v>0.13321250000000001</v>
      </c>
      <c r="R6130">
        <v>5.1381179999999999E-2</v>
      </c>
      <c r="S6130">
        <v>3.0454560000000002</v>
      </c>
      <c r="T6130">
        <v>-0.2330122</v>
      </c>
      <c r="U6130">
        <v>0.3389587</v>
      </c>
      <c r="V6130">
        <v>-7.1591180000000004E-2</v>
      </c>
      <c r="W6130">
        <v>0.14679349999999999</v>
      </c>
      <c r="X6130">
        <v>0.98657300000000003</v>
      </c>
      <c r="Y6130">
        <v>-0.13018370000000001</v>
      </c>
      <c r="Z6130">
        <v>6.4926469999999998E-3</v>
      </c>
      <c r="AA6130">
        <v>0.99146860000000003</v>
      </c>
      <c r="AB6130">
        <v>35</v>
      </c>
      <c r="AC6130">
        <v>14.3316999999999</v>
      </c>
      <c r="AD6130">
        <v>-1.1096322322317</v>
      </c>
      <c r="AE6130">
        <v>1.6172799999999901</v>
      </c>
      <c r="AF6130">
        <v>-1.89448261637107</v>
      </c>
      <c r="AG6130">
        <v>-1.1096322322317</v>
      </c>
      <c r="AH6130">
        <v>14.212082228846899</v>
      </c>
      <c r="AI6130">
        <v>94.425420239870604</v>
      </c>
      <c r="AJ6130">
        <v>97.592814613170404</v>
      </c>
      <c r="AK6130">
        <v>14.380668598992401</v>
      </c>
      <c r="AL6130">
        <v>81.558849002931595</v>
      </c>
      <c r="AM6130">
        <v>94.150423039277698</v>
      </c>
      <c r="AN6130">
        <v>0.99999995651252005</v>
      </c>
    </row>
    <row r="6131" spans="1:40" x14ac:dyDescent="0.25">
      <c r="A6131" t="str">
        <f>"20190312164624849"</f>
        <v>20190312164624849</v>
      </c>
      <c r="B6131" t="str">
        <f>"1552380384836915"</f>
        <v>1552380384836915</v>
      </c>
      <c r="C6131" t="s">
        <v>40</v>
      </c>
      <c r="D6131">
        <v>5.009779</v>
      </c>
      <c r="E6131">
        <v>0.48077690000000001</v>
      </c>
      <c r="F6131" t="s">
        <v>93</v>
      </c>
      <c r="G6131">
        <v>-210.43219999999999</v>
      </c>
      <c r="H6131" s="1">
        <v>7.8834729999999999E-7</v>
      </c>
      <c r="I6131">
        <v>-60.598669999999998</v>
      </c>
      <c r="J6131">
        <v>-224.63749999999999</v>
      </c>
      <c r="K6131">
        <v>1.109648</v>
      </c>
      <c r="L6131">
        <v>-62.225430000000003</v>
      </c>
      <c r="M6131">
        <v>0.99971010000000005</v>
      </c>
      <c r="N6131">
        <v>0</v>
      </c>
      <c r="O6131">
        <v>-1.966994E-2</v>
      </c>
      <c r="P6131">
        <v>0.98965049999999999</v>
      </c>
      <c r="Q6131">
        <v>0.13308039999999999</v>
      </c>
      <c r="R6131">
        <v>5.3681310000000003E-2</v>
      </c>
      <c r="S6131">
        <v>3.0448300000000001</v>
      </c>
      <c r="T6131">
        <v>-0.23502419999999999</v>
      </c>
      <c r="U6131">
        <v>0.3439026</v>
      </c>
      <c r="V6131">
        <v>-7.3424959999999997E-2</v>
      </c>
      <c r="W6131">
        <v>0.14665239999999999</v>
      </c>
      <c r="X6131">
        <v>0.98645930000000004</v>
      </c>
      <c r="Y6131">
        <v>-0.13131489999999901</v>
      </c>
      <c r="Z6131">
        <v>6.5562069999999997E-3</v>
      </c>
      <c r="AA6131">
        <v>0.99131899999999995</v>
      </c>
      <c r="AB6131">
        <v>35</v>
      </c>
      <c r="AC6131">
        <v>14.2052999999999</v>
      </c>
      <c r="AD6131">
        <v>-1.1096472116527001</v>
      </c>
      <c r="AE6131">
        <v>1.62676</v>
      </c>
      <c r="AF6131">
        <v>-1.8944791587245799</v>
      </c>
      <c r="AG6131">
        <v>-1.1096472116527001</v>
      </c>
      <c r="AH6131">
        <v>14.0857119894685</v>
      </c>
      <c r="AI6131">
        <v>94.4643238236836</v>
      </c>
      <c r="AJ6131">
        <v>97.660114591424502</v>
      </c>
      <c r="AK6131">
        <v>14.255793575505599</v>
      </c>
      <c r="AL6131">
        <v>81.567022689285494</v>
      </c>
      <c r="AM6131">
        <v>94.256837439481302</v>
      </c>
      <c r="AN6131">
        <v>1.00000005086662</v>
      </c>
    </row>
    <row r="6132" spans="1:40" x14ac:dyDescent="0.25">
      <c r="A6132" t="str">
        <f>"20190312164624861"</f>
        <v>20190312164624861</v>
      </c>
      <c r="B6132" t="str">
        <f>"1552380384857414"</f>
        <v>1552380384857414</v>
      </c>
      <c r="C6132" t="s">
        <v>40</v>
      </c>
      <c r="D6132">
        <v>5.2216269999999998</v>
      </c>
      <c r="E6132">
        <v>0.48112090000000002</v>
      </c>
      <c r="F6132" t="s">
        <v>93</v>
      </c>
      <c r="G6132">
        <v>-210.3374</v>
      </c>
      <c r="H6132" s="1">
        <v>8.3247229999999997E-7</v>
      </c>
      <c r="I6132">
        <v>-60.585680000000004</v>
      </c>
      <c r="J6132">
        <v>-224.45609999999999</v>
      </c>
      <c r="K6132">
        <v>1.1096629999999901</v>
      </c>
      <c r="L6132">
        <v>-62.228520000000003</v>
      </c>
      <c r="M6132">
        <v>0.99972000000000005</v>
      </c>
      <c r="N6132">
        <v>0</v>
      </c>
      <c r="O6132">
        <v>-1.9158459999999999E-2</v>
      </c>
      <c r="P6132">
        <v>0.98958020000000002</v>
      </c>
      <c r="Q6132">
        <v>0.13258439999999999</v>
      </c>
      <c r="R6132">
        <v>5.6148679999999999E-2</v>
      </c>
      <c r="S6132">
        <v>3.0442200000000001</v>
      </c>
      <c r="T6132">
        <v>-0.23622290000000001</v>
      </c>
      <c r="U6132">
        <v>0.34906009999999998</v>
      </c>
      <c r="V6132">
        <v>-7.538868E-2</v>
      </c>
      <c r="W6132">
        <v>0.14614820000000001</v>
      </c>
      <c r="X6132">
        <v>0.98638590000000004</v>
      </c>
      <c r="Y6132">
        <v>-0.1324813</v>
      </c>
      <c r="Z6132">
        <v>6.5957519999999999E-3</v>
      </c>
      <c r="AA6132">
        <v>0.99116360000000003</v>
      </c>
      <c r="AB6132">
        <v>35</v>
      </c>
      <c r="AC6132">
        <v>14.118699999999899</v>
      </c>
      <c r="AD6132">
        <v>-1.1096621675277001</v>
      </c>
      <c r="AE6132">
        <v>1.6428399999999901</v>
      </c>
      <c r="AF6132">
        <v>-1.90146819788848</v>
      </c>
      <c r="AG6132">
        <v>-1.1096621675277001</v>
      </c>
      <c r="AH6132">
        <v>13.999309408293801</v>
      </c>
      <c r="AI6132">
        <v>94.491035862492595</v>
      </c>
      <c r="AJ6132">
        <v>97.734913855567399</v>
      </c>
      <c r="AK6132">
        <v>14.1713653309329</v>
      </c>
      <c r="AL6132">
        <v>81.596224989105593</v>
      </c>
      <c r="AM6132">
        <v>94.370573382898598</v>
      </c>
      <c r="AN6132">
        <v>0.99999994657709401</v>
      </c>
    </row>
    <row r="6133" spans="1:40" x14ac:dyDescent="0.25">
      <c r="A6133" t="str">
        <f>"20190312164624873"</f>
        <v>20190312164624873</v>
      </c>
      <c r="B6133" t="str">
        <f>"1552380384867171"</f>
        <v>1552380384867171</v>
      </c>
      <c r="C6133" t="s">
        <v>40</v>
      </c>
      <c r="D6133">
        <v>5.0733079999999999</v>
      </c>
      <c r="E6133">
        <v>0.48131760000000001</v>
      </c>
      <c r="F6133" t="s">
        <v>93</v>
      </c>
      <c r="G6133">
        <v>-210.2544</v>
      </c>
      <c r="H6133" s="1">
        <v>8.7021990000000003E-7</v>
      </c>
      <c r="I6133">
        <v>-60.577660000000002</v>
      </c>
      <c r="J6133">
        <v>-224.28190000000001</v>
      </c>
      <c r="K6133">
        <v>1.109683</v>
      </c>
      <c r="L6133">
        <v>-62.231409999999997</v>
      </c>
      <c r="M6133">
        <v>0.99972950000000005</v>
      </c>
      <c r="N6133">
        <v>0</v>
      </c>
      <c r="O6133">
        <v>-1.8666680000000001E-2</v>
      </c>
      <c r="P6133">
        <v>0.98946670000000003</v>
      </c>
      <c r="Q6133">
        <v>0.13249920000000001</v>
      </c>
      <c r="R6133">
        <v>5.830867E-2</v>
      </c>
      <c r="S6133">
        <v>3.0433810000000001</v>
      </c>
      <c r="T6133">
        <v>-0.23779690000000001</v>
      </c>
      <c r="U6133">
        <v>0.35375980000000001</v>
      </c>
      <c r="V6133">
        <v>-7.7064069999999998E-2</v>
      </c>
      <c r="W6133">
        <v>0.14605570000000001</v>
      </c>
      <c r="X6133">
        <v>0.98627019999999999</v>
      </c>
      <c r="Y6133">
        <v>-0.13352720000000001</v>
      </c>
      <c r="Z6133">
        <v>6.6432110000000004E-3</v>
      </c>
      <c r="AA6133">
        <v>0.99102290000000004</v>
      </c>
      <c r="AB6133">
        <v>35</v>
      </c>
      <c r="AC6133">
        <v>14.0275</v>
      </c>
      <c r="AD6133">
        <v>-1.1096821297801001</v>
      </c>
      <c r="AE6133">
        <v>1.6537500000000001</v>
      </c>
      <c r="AF6133">
        <v>-1.90358449824902</v>
      </c>
      <c r="AG6133">
        <v>-1.1096821297801001</v>
      </c>
      <c r="AH6133">
        <v>13.9083369834742</v>
      </c>
      <c r="AI6133">
        <v>94.519743725906906</v>
      </c>
      <c r="AJ6133">
        <v>97.793446435364999</v>
      </c>
      <c r="AK6133">
        <v>14.081792003044299</v>
      </c>
      <c r="AL6133">
        <v>81.601582981406395</v>
      </c>
      <c r="AM6133">
        <v>94.467835243580296</v>
      </c>
      <c r="AN6133">
        <v>1.0000000228977399</v>
      </c>
    </row>
    <row r="6134" spans="1:40" x14ac:dyDescent="0.25">
      <c r="A6134" t="str">
        <f>"20190312164624883"</f>
        <v>20190312164624883</v>
      </c>
      <c r="B6134" t="str">
        <f>"1552380384876930"</f>
        <v>1552380384876930</v>
      </c>
      <c r="C6134" t="s">
        <v>40</v>
      </c>
      <c r="D6134">
        <v>5.0946499999999997</v>
      </c>
      <c r="E6134">
        <v>0.48148299999999999</v>
      </c>
      <c r="F6134" t="s">
        <v>93</v>
      </c>
      <c r="G6134">
        <v>-210.05799999999999</v>
      </c>
      <c r="H6134" s="1">
        <v>9.6051200000000007E-7</v>
      </c>
      <c r="I6134">
        <v>-60.554879999999997</v>
      </c>
      <c r="J6134">
        <v>-224.1086</v>
      </c>
      <c r="K6134">
        <v>1.109691</v>
      </c>
      <c r="L6134">
        <v>-62.234189999999998</v>
      </c>
      <c r="M6134">
        <v>0.99973849999999997</v>
      </c>
      <c r="N6134">
        <v>0</v>
      </c>
      <c r="O6134">
        <v>-1.817589E-2</v>
      </c>
      <c r="P6134">
        <v>0.98933919999999997</v>
      </c>
      <c r="Q6134">
        <v>0.13246849999999999</v>
      </c>
      <c r="R6134">
        <v>6.0500070000000003E-2</v>
      </c>
      <c r="S6134">
        <v>3.0426030000000002</v>
      </c>
      <c r="T6134">
        <v>-0.23737059999999999</v>
      </c>
      <c r="U6134">
        <v>0.35861209999999999</v>
      </c>
      <c r="V6134">
        <v>-7.8771110000000005E-2</v>
      </c>
      <c r="W6134">
        <v>0.14601700000000001</v>
      </c>
      <c r="X6134">
        <v>0.98614100000000005</v>
      </c>
      <c r="Y6134">
        <v>-0.13462850000000001</v>
      </c>
      <c r="Z6134">
        <v>6.637039E-3</v>
      </c>
      <c r="AA6134">
        <v>0.99087389999999997</v>
      </c>
      <c r="AB6134">
        <v>35</v>
      </c>
      <c r="AC6134">
        <v>14.050599999999999</v>
      </c>
      <c r="AD6134">
        <v>-1.109690039488</v>
      </c>
      <c r="AE6134">
        <v>1.6793100000000001</v>
      </c>
      <c r="AF6134">
        <v>-1.92261578029296</v>
      </c>
      <c r="AG6134">
        <v>-1.109690039488</v>
      </c>
      <c r="AH6134">
        <v>13.9320745261717</v>
      </c>
      <c r="AI6134">
        <v>94.511420268855403</v>
      </c>
      <c r="AJ6134">
        <v>97.857148534667004</v>
      </c>
      <c r="AK6134">
        <v>14.1078192512228</v>
      </c>
      <c r="AL6134">
        <v>81.603823842058304</v>
      </c>
      <c r="AM6134">
        <v>94.566983596025494</v>
      </c>
      <c r="AN6134">
        <v>0.99999996197031504</v>
      </c>
    </row>
    <row r="6135" spans="1:40" x14ac:dyDescent="0.25">
      <c r="A6135" t="str">
        <f>"20190312164624894"</f>
        <v>20190312164624894</v>
      </c>
      <c r="B6135" t="str">
        <f>"1552380384887667"</f>
        <v>1552380384887667</v>
      </c>
      <c r="C6135" t="s">
        <v>40</v>
      </c>
      <c r="D6135">
        <v>5.0378629999999998</v>
      </c>
      <c r="E6135">
        <v>0.48165829999999998</v>
      </c>
      <c r="F6135" t="s">
        <v>52</v>
      </c>
      <c r="G6135">
        <v>-209.93430000000001</v>
      </c>
      <c r="H6135" s="1">
        <v>-4.8792220000000002E-8</v>
      </c>
      <c r="I6135">
        <v>-60.539319999999996</v>
      </c>
      <c r="J6135">
        <v>-223.93799999999999</v>
      </c>
      <c r="K6135">
        <v>1.1096999999999999</v>
      </c>
      <c r="L6135">
        <v>-62.236849999999997</v>
      </c>
      <c r="M6135">
        <v>0.99974700000000005</v>
      </c>
      <c r="N6135">
        <v>0</v>
      </c>
      <c r="O6135">
        <v>-1.76924E-2</v>
      </c>
      <c r="P6135">
        <v>0.98923919999999999</v>
      </c>
      <c r="Q6135">
        <v>0.13230829999999999</v>
      </c>
      <c r="R6135">
        <v>6.2453969999999998E-2</v>
      </c>
      <c r="S6135">
        <v>3.0419619999999998</v>
      </c>
      <c r="T6135">
        <v>-0.23815239999999999</v>
      </c>
      <c r="U6135">
        <v>0.36373899999999998</v>
      </c>
      <c r="V6135">
        <v>-8.0248100000000003E-2</v>
      </c>
      <c r="W6135">
        <v>0.14585000000000001</v>
      </c>
      <c r="X6135">
        <v>0.98604669999999905</v>
      </c>
      <c r="Y6135">
        <v>-0.13581509999999999</v>
      </c>
      <c r="Z6135">
        <v>6.668106E-3</v>
      </c>
      <c r="AA6135">
        <v>0.99071169999999997</v>
      </c>
      <c r="AB6135">
        <v>35</v>
      </c>
      <c r="AC6135">
        <v>14.003699999999901</v>
      </c>
      <c r="AD6135">
        <v>-1.10970004879222</v>
      </c>
      <c r="AE6135">
        <v>1.69753</v>
      </c>
      <c r="AF6135">
        <v>-1.9330841812542201</v>
      </c>
      <c r="AG6135">
        <v>-1.10970004879222</v>
      </c>
      <c r="AH6135">
        <v>13.8855397517541</v>
      </c>
      <c r="AI6135">
        <v>94.5257717653989</v>
      </c>
      <c r="AJ6135">
        <v>97.925528545567502</v>
      </c>
      <c r="AK6135">
        <v>14.063301989492</v>
      </c>
      <c r="AL6135">
        <v>81.6134964179669</v>
      </c>
      <c r="AM6135">
        <v>94.652686886644005</v>
      </c>
      <c r="AN6135">
        <v>1.00000003731724</v>
      </c>
    </row>
    <row r="6136" spans="1:40" x14ac:dyDescent="0.25">
      <c r="A6136" t="str">
        <f>"20190312164624905"</f>
        <v>20190312164624905</v>
      </c>
      <c r="B6136" t="str">
        <f>"1552380384897428"</f>
        <v>1552380384897428</v>
      </c>
      <c r="C6136" t="s">
        <v>40</v>
      </c>
      <c r="D6136">
        <v>5.0853630000000001</v>
      </c>
      <c r="E6136">
        <v>0.48192829999999898</v>
      </c>
      <c r="F6136" t="s">
        <v>52</v>
      </c>
      <c r="G6136">
        <v>-209.8553</v>
      </c>
      <c r="H6136" s="1">
        <v>-8.4127309999999996E-8</v>
      </c>
      <c r="I6136">
        <v>-60.531590000000001</v>
      </c>
      <c r="J6136">
        <v>-223.7697</v>
      </c>
      <c r="K6136">
        <v>1.1097109999999999</v>
      </c>
      <c r="L6136">
        <v>-62.239409999999999</v>
      </c>
      <c r="M6136">
        <v>0.99975550000000002</v>
      </c>
      <c r="N6136">
        <v>0</v>
      </c>
      <c r="O6136">
        <v>-1.7215479999999998E-2</v>
      </c>
      <c r="P6136">
        <v>0.98905310000000002</v>
      </c>
      <c r="Q6136">
        <v>0.13275629999999999</v>
      </c>
      <c r="R6136">
        <v>6.4421350000000002E-2</v>
      </c>
      <c r="S6136">
        <v>3.041458</v>
      </c>
      <c r="T6136">
        <v>-0.2396636</v>
      </c>
      <c r="U6136">
        <v>0.36828610000000001</v>
      </c>
      <c r="V6136">
        <v>-8.1743940000000001E-2</v>
      </c>
      <c r="W6136">
        <v>0.14629059999999999</v>
      </c>
      <c r="X6136">
        <v>0.98585849999999997</v>
      </c>
      <c r="Y6136">
        <v>-0.1368142</v>
      </c>
      <c r="Z6136">
        <v>6.7125539999999999E-3</v>
      </c>
      <c r="AA6136">
        <v>0.99057399999999995</v>
      </c>
      <c r="AB6136">
        <v>35</v>
      </c>
      <c r="AC6136">
        <v>13.914400000000001</v>
      </c>
      <c r="AD6136">
        <v>-1.1097110841273099</v>
      </c>
      <c r="AE6136">
        <v>1.7078199999999899</v>
      </c>
      <c r="AF6136">
        <v>-1.9350080477229199</v>
      </c>
      <c r="AG6136">
        <v>-1.1097110841273099</v>
      </c>
      <c r="AH6136">
        <v>13.7964836247503</v>
      </c>
      <c r="AI6136">
        <v>94.554262842558401</v>
      </c>
      <c r="AJ6136">
        <v>97.983867111048696</v>
      </c>
      <c r="AK6136">
        <v>13.975645789837101</v>
      </c>
      <c r="AL6136">
        <v>81.587977851057602</v>
      </c>
      <c r="AM6136">
        <v>94.739923004689004</v>
      </c>
      <c r="AN6136">
        <v>0.99999999669866602</v>
      </c>
    </row>
    <row r="6137" spans="1:40" x14ac:dyDescent="0.25">
      <c r="A6137" t="str">
        <f>"20190312164624916"</f>
        <v>20190312164624916</v>
      </c>
      <c r="B6137" t="str">
        <f>"1552380384907187"</f>
        <v>1552380384907187</v>
      </c>
      <c r="C6137" t="s">
        <v>40</v>
      </c>
      <c r="D6137">
        <v>4.9850130000000004</v>
      </c>
      <c r="E6137">
        <v>0.48212050000000001</v>
      </c>
      <c r="F6137" t="s">
        <v>52</v>
      </c>
      <c r="G6137">
        <v>-209.67570000000001</v>
      </c>
      <c r="H6137" s="1">
        <v>-1.9605029999999999E-7</v>
      </c>
      <c r="I6137">
        <v>-60.515189999999997</v>
      </c>
      <c r="J6137">
        <v>-223.59889999999999</v>
      </c>
      <c r="K6137">
        <v>1.1097170000000001</v>
      </c>
      <c r="L6137">
        <v>-62.241880000000002</v>
      </c>
      <c r="M6137">
        <v>0.99976370000000003</v>
      </c>
      <c r="N6137">
        <v>0</v>
      </c>
      <c r="O6137">
        <v>-1.673237E-2</v>
      </c>
      <c r="P6137">
        <v>0.98889050000000001</v>
      </c>
      <c r="Q6137">
        <v>0.1329979</v>
      </c>
      <c r="R6137">
        <v>6.6388269999999999E-2</v>
      </c>
      <c r="S6137">
        <v>3.0410919999999999</v>
      </c>
      <c r="T6137">
        <v>-0.23944470000000001</v>
      </c>
      <c r="U6137">
        <v>0.37203979999999998</v>
      </c>
      <c r="V6137">
        <v>-8.3233000000000001E-2</v>
      </c>
      <c r="W6137">
        <v>0.14652509999999999</v>
      </c>
      <c r="X6137">
        <v>0.98569910000000005</v>
      </c>
      <c r="Y6137">
        <v>-0.1375547</v>
      </c>
      <c r="Z6137">
        <v>6.6978890000000003E-3</v>
      </c>
      <c r="AA6137">
        <v>0.99047149999999995</v>
      </c>
      <c r="AB6137">
        <v>35</v>
      </c>
      <c r="AC6137">
        <v>13.9231999999999</v>
      </c>
      <c r="AD6137">
        <v>-1.1097171960503001</v>
      </c>
      <c r="AE6137">
        <v>1.7266899999999901</v>
      </c>
      <c r="AF6137">
        <v>-1.9472561620675899</v>
      </c>
      <c r="AG6137">
        <v>-1.1097171960503001</v>
      </c>
      <c r="AH6137">
        <v>13.8059815883451</v>
      </c>
      <c r="AI6137">
        <v>94.550673626960503</v>
      </c>
      <c r="AJ6137">
        <v>98.028290432918595</v>
      </c>
      <c r="AK6137">
        <v>13.9867225050633</v>
      </c>
      <c r="AL6137">
        <v>81.574395885701605</v>
      </c>
      <c r="AM6137">
        <v>94.826638718311202</v>
      </c>
      <c r="AN6137">
        <v>1.0000000264799001</v>
      </c>
    </row>
    <row r="6138" spans="1:40" x14ac:dyDescent="0.25">
      <c r="A6138" t="str">
        <f>"20190312164624927"</f>
        <v>20190312164624927</v>
      </c>
      <c r="B6138" t="str">
        <f>"1552380384916947"</f>
        <v>1552380384916947</v>
      </c>
      <c r="C6138" t="s">
        <v>40</v>
      </c>
      <c r="D6138">
        <v>4.9856910000000001</v>
      </c>
      <c r="E6138">
        <v>0.48232390000000003</v>
      </c>
      <c r="F6138" t="s">
        <v>52</v>
      </c>
      <c r="G6138">
        <v>-209.57259999999999</v>
      </c>
      <c r="H6138" s="1">
        <v>-2.6015940000000002E-7</v>
      </c>
      <c r="I6138">
        <v>-60.504939999999998</v>
      </c>
      <c r="J6138">
        <v>-223.42529999999999</v>
      </c>
      <c r="K6138">
        <v>1.109723</v>
      </c>
      <c r="L6138">
        <v>-62.24438</v>
      </c>
      <c r="M6138">
        <v>0.99977169999999904</v>
      </c>
      <c r="N6138">
        <v>0</v>
      </c>
      <c r="O6138">
        <v>-1.6241769999999999E-2</v>
      </c>
      <c r="P6138">
        <v>0.98877159999999997</v>
      </c>
      <c r="Q6138">
        <v>0.13298589999999999</v>
      </c>
      <c r="R6138">
        <v>6.8158789999999997E-2</v>
      </c>
      <c r="S6138">
        <v>3.0408019999999998</v>
      </c>
      <c r="T6138">
        <v>-0.2405785</v>
      </c>
      <c r="U6138">
        <v>0.37655640000000001</v>
      </c>
      <c r="V6138">
        <v>-8.4518670000000004E-2</v>
      </c>
      <c r="W6138">
        <v>0.1465072</v>
      </c>
      <c r="X6138">
        <v>0.98559240000000004</v>
      </c>
      <c r="Y6138">
        <v>-0.13852329999999999</v>
      </c>
      <c r="Z6138">
        <v>6.7290249999999996E-3</v>
      </c>
      <c r="AA6138">
        <v>0.99033629999999995</v>
      </c>
      <c r="AB6138">
        <v>35</v>
      </c>
      <c r="AC6138">
        <v>13.8527</v>
      </c>
      <c r="AD6138">
        <v>-1.1097232601594</v>
      </c>
      <c r="AE6138">
        <v>1.7394400000000001</v>
      </c>
      <c r="AF6138">
        <v>-1.9518928831695599</v>
      </c>
      <c r="AG6138">
        <v>-1.1097232601594</v>
      </c>
      <c r="AH6138">
        <v>13.7358377007528</v>
      </c>
      <c r="AI6138">
        <v>94.573170165000604</v>
      </c>
      <c r="AJ6138">
        <v>98.087708461911404</v>
      </c>
      <c r="AK6138">
        <v>13.9181395625611</v>
      </c>
      <c r="AL6138">
        <v>81.5754330557901</v>
      </c>
      <c r="AM6138">
        <v>94.901361660338196</v>
      </c>
      <c r="AN6138">
        <v>1.00000007208408</v>
      </c>
    </row>
    <row r="6139" spans="1:40" x14ac:dyDescent="0.25">
      <c r="A6139" t="str">
        <f>"20190312164624939"</f>
        <v>20190312164624939</v>
      </c>
      <c r="B6139" t="str">
        <f>"1552380384927683"</f>
        <v>1552380384927683</v>
      </c>
      <c r="C6139" t="s">
        <v>40</v>
      </c>
      <c r="D6139">
        <v>5.0658289999999999</v>
      </c>
      <c r="E6139">
        <v>0.48255120000000001</v>
      </c>
      <c r="F6139" t="s">
        <v>52</v>
      </c>
      <c r="G6139">
        <v>-209.529</v>
      </c>
      <c r="H6139" s="1">
        <v>-2.88175599999999E-7</v>
      </c>
      <c r="I6139">
        <v>-60.507350000000002</v>
      </c>
      <c r="J6139">
        <v>-223.25</v>
      </c>
      <c r="K6139">
        <v>1.1097250000000001</v>
      </c>
      <c r="L6139">
        <v>-62.246699999999997</v>
      </c>
      <c r="M6139">
        <v>0.99977959999999999</v>
      </c>
      <c r="N6139">
        <v>0</v>
      </c>
      <c r="O6139">
        <v>-1.5747489999999999E-2</v>
      </c>
      <c r="P6139">
        <v>0.98863190000000001</v>
      </c>
      <c r="Q6139">
        <v>0.13290859999999999</v>
      </c>
      <c r="R6139">
        <v>7.0301290000000002E-2</v>
      </c>
      <c r="S6139">
        <v>3.040527</v>
      </c>
      <c r="T6139">
        <v>-0.24280889999999999</v>
      </c>
      <c r="U6139">
        <v>0.38006590000000001</v>
      </c>
      <c r="V6139">
        <v>-8.6172040000000005E-2</v>
      </c>
      <c r="W6139">
        <v>0.14642269999999999</v>
      </c>
      <c r="X6139">
        <v>0.9854617</v>
      </c>
      <c r="Y6139">
        <v>-0.1391609</v>
      </c>
      <c r="Z6139">
        <v>6.7773919999999897E-3</v>
      </c>
      <c r="AA6139">
        <v>0.99024659999999998</v>
      </c>
      <c r="AB6139">
        <v>35</v>
      </c>
      <c r="AC6139">
        <v>13.720999999999901</v>
      </c>
      <c r="AD6139">
        <v>-1.1097252881755999</v>
      </c>
      <c r="AE6139">
        <v>1.73934999999999</v>
      </c>
      <c r="AF6139">
        <v>-1.9427196208256901</v>
      </c>
      <c r="AG6139">
        <v>-1.1097252881755999</v>
      </c>
      <c r="AH6139">
        <v>13.6043236187615</v>
      </c>
      <c r="AI6139">
        <v>94.616748619197196</v>
      </c>
      <c r="AJ6139">
        <v>98.126985426842694</v>
      </c>
      <c r="AK6139">
        <v>13.787068972930699</v>
      </c>
      <c r="AL6139">
        <v>81.580326674410301</v>
      </c>
      <c r="AM6139">
        <v>94.997421571406406</v>
      </c>
      <c r="AN6139">
        <v>0.99999999485997004</v>
      </c>
    </row>
    <row r="6140" spans="1:40" x14ac:dyDescent="0.25">
      <c r="A6140" t="str">
        <f>"20190312164624951"</f>
        <v>20190312164624951</v>
      </c>
      <c r="B6140" t="str">
        <f>"1552380384947202"</f>
        <v>1552380384947202</v>
      </c>
      <c r="C6140" t="s">
        <v>40</v>
      </c>
      <c r="D6140">
        <v>5.1552129999999998</v>
      </c>
      <c r="E6140">
        <v>0.48298140000000001</v>
      </c>
      <c r="F6140" t="s">
        <v>52</v>
      </c>
      <c r="G6140">
        <v>-209.39410000000001</v>
      </c>
      <c r="H6140" s="1">
        <v>-3.7198430000000001E-7</v>
      </c>
      <c r="I6140">
        <v>-60.493630000000003</v>
      </c>
      <c r="J6140">
        <v>-223.0735</v>
      </c>
      <c r="K6140">
        <v>1.1097300000000001</v>
      </c>
      <c r="L6140">
        <v>-62.249049999999997</v>
      </c>
      <c r="M6140">
        <v>0.99978739999999999</v>
      </c>
      <c r="N6140">
        <v>0</v>
      </c>
      <c r="O6140">
        <v>-1.524999E-2</v>
      </c>
      <c r="P6140">
        <v>0.9885062</v>
      </c>
      <c r="Q6140">
        <v>0.132962</v>
      </c>
      <c r="R6140">
        <v>7.1951269999999998E-2</v>
      </c>
      <c r="S6140">
        <v>3.0398860000000001</v>
      </c>
      <c r="T6140">
        <v>-0.24346719999999999</v>
      </c>
      <c r="U6140">
        <v>0.38461299999999998</v>
      </c>
      <c r="V6140">
        <v>-8.7329660000000003E-2</v>
      </c>
      <c r="W6140">
        <v>0.14647079999999901</v>
      </c>
      <c r="X6140">
        <v>0.98535260000000002</v>
      </c>
      <c r="Y6140">
        <v>-0.14014769999999999</v>
      </c>
      <c r="Z6140">
        <v>6.7961530000000001E-3</v>
      </c>
      <c r="AA6140">
        <v>0.99010730000000002</v>
      </c>
      <c r="AB6140">
        <v>35</v>
      </c>
      <c r="AC6140">
        <v>13.6793999999999</v>
      </c>
      <c r="AD6140">
        <v>-1.1097303719842999</v>
      </c>
      <c r="AE6140">
        <v>1.75541999999999</v>
      </c>
      <c r="AF6140">
        <v>-1.95121346733342</v>
      </c>
      <c r="AG6140">
        <v>-1.1097303719842999</v>
      </c>
      <c r="AH6140">
        <v>13.563220931548599</v>
      </c>
      <c r="AI6140">
        <v>94.630014136006295</v>
      </c>
      <c r="AJ6140">
        <v>98.186439919250404</v>
      </c>
      <c r="AK6140">
        <v>13.747716084194</v>
      </c>
      <c r="AL6140">
        <v>81.577540377173193</v>
      </c>
      <c r="AM6140">
        <v>95.064767045849607</v>
      </c>
      <c r="AN6140">
        <v>0.99999995554755605</v>
      </c>
    </row>
    <row r="6141" spans="1:40" x14ac:dyDescent="0.25">
      <c r="A6141" t="str">
        <f>"20190312164624961"</f>
        <v>20190312164624961</v>
      </c>
      <c r="B6141" t="str">
        <f>"1552380384956964"</f>
        <v>1552380384956964</v>
      </c>
      <c r="C6141" t="s">
        <v>40</v>
      </c>
      <c r="D6141">
        <v>4.9160190000000004</v>
      </c>
      <c r="E6141">
        <v>0.48318480000000003</v>
      </c>
      <c r="F6141" t="s">
        <v>52</v>
      </c>
      <c r="G6141">
        <v>-209.12880000000001</v>
      </c>
      <c r="H6141" s="1">
        <v>-5.3850099999999898E-7</v>
      </c>
      <c r="I6141">
        <v>-60.478250000000003</v>
      </c>
      <c r="J6141">
        <v>-222.89420000000001</v>
      </c>
      <c r="K6141">
        <v>1.1097330000000001</v>
      </c>
      <c r="L6141">
        <v>-62.251280000000001</v>
      </c>
      <c r="M6141">
        <v>0.99979490000000004</v>
      </c>
      <c r="N6141">
        <v>0</v>
      </c>
      <c r="O6141">
        <v>-1.4745360000000001E-2</v>
      </c>
      <c r="P6141">
        <v>0.98836539999999995</v>
      </c>
      <c r="Q6141">
        <v>0.1328742</v>
      </c>
      <c r="R6141">
        <v>7.4016860000000004E-2</v>
      </c>
      <c r="S6141">
        <v>3.0393219999999999</v>
      </c>
      <c r="T6141">
        <v>-0.24187139999999999</v>
      </c>
      <c r="U6141">
        <v>0.38595580000000002</v>
      </c>
      <c r="V6141">
        <v>-8.8895879999999997E-2</v>
      </c>
      <c r="W6141">
        <v>0.14637649999999999</v>
      </c>
      <c r="X6141">
        <v>0.98522659999999995</v>
      </c>
      <c r="Y6141">
        <v>-0.1401094</v>
      </c>
      <c r="Z6141">
        <v>6.7113279999999999E-3</v>
      </c>
      <c r="AA6141">
        <v>0.99011329999999997</v>
      </c>
      <c r="AB6141">
        <v>35</v>
      </c>
      <c r="AC6141">
        <v>13.7654</v>
      </c>
      <c r="AD6141">
        <v>-1.1097335385009901</v>
      </c>
      <c r="AE6141">
        <v>1.7730299999999899</v>
      </c>
      <c r="AF6141">
        <v>-1.96328102458654</v>
      </c>
      <c r="AG6141">
        <v>-1.1097335385009901</v>
      </c>
      <c r="AH6141">
        <v>13.650487279267701</v>
      </c>
      <c r="AI6141">
        <v>94.600578417496294</v>
      </c>
      <c r="AJ6141">
        <v>98.184438753939403</v>
      </c>
      <c r="AK6141">
        <v>13.8355261507983</v>
      </c>
      <c r="AL6141">
        <v>81.583002659222501</v>
      </c>
      <c r="AM6141">
        <v>95.155772050568203</v>
      </c>
      <c r="AN6141">
        <v>1.0000000052903899</v>
      </c>
    </row>
    <row r="6142" spans="1:40" x14ac:dyDescent="0.25">
      <c r="A6142" t="str">
        <f>"20190312164624973"</f>
        <v>20190312164624973</v>
      </c>
      <c r="B6142" t="str">
        <f>"1552380384967699"</f>
        <v>1552380384967699</v>
      </c>
      <c r="C6142" t="s">
        <v>40</v>
      </c>
      <c r="D6142">
        <v>5.1189019999999896</v>
      </c>
      <c r="E6142">
        <v>0.4833615</v>
      </c>
      <c r="F6142" t="s">
        <v>52</v>
      </c>
      <c r="G6142">
        <v>-208.93809999999999</v>
      </c>
      <c r="H6142" s="1">
        <v>-6.5690859999999997E-7</v>
      </c>
      <c r="I6142">
        <v>-60.458269999999999</v>
      </c>
      <c r="J6142">
        <v>-222.72309999999999</v>
      </c>
      <c r="K6142">
        <v>1.1097319999999999</v>
      </c>
      <c r="L6142">
        <v>-62.253360000000001</v>
      </c>
      <c r="M6142">
        <v>0.99980190000000002</v>
      </c>
      <c r="N6142">
        <v>0</v>
      </c>
      <c r="O6142">
        <v>-1.426469E-2</v>
      </c>
      <c r="P6142">
        <v>0.98823930000000004</v>
      </c>
      <c r="Q6142">
        <v>0.13290969999999999</v>
      </c>
      <c r="R6142">
        <v>7.5618270000000001E-2</v>
      </c>
      <c r="S6142">
        <v>3.0385589999999998</v>
      </c>
      <c r="T6142">
        <v>-0.24161550000000001</v>
      </c>
      <c r="U6142">
        <v>0.39038089999999998</v>
      </c>
      <c r="V6142">
        <v>-9.0021039999999997E-2</v>
      </c>
      <c r="W6142">
        <v>0.14640710000000001</v>
      </c>
      <c r="X6142">
        <v>0.98511990000000005</v>
      </c>
      <c r="Y6142">
        <v>-0.1410825</v>
      </c>
      <c r="Z6142">
        <v>6.7057540000000004E-3</v>
      </c>
      <c r="AA6142">
        <v>0.98997520000000006</v>
      </c>
      <c r="AB6142">
        <v>35</v>
      </c>
      <c r="AC6142">
        <v>13.784999999999901</v>
      </c>
      <c r="AD6142">
        <v>-1.1097326569085999</v>
      </c>
      <c r="AE6142">
        <v>1.7950900000000001</v>
      </c>
      <c r="AF6142">
        <v>-1.9789538294386999</v>
      </c>
      <c r="AG6142">
        <v>-1.1097326569085999</v>
      </c>
      <c r="AH6142">
        <v>13.6708685584509</v>
      </c>
      <c r="AI6142">
        <v>94.593142822043603</v>
      </c>
      <c r="AJ6142">
        <v>98.236750213289895</v>
      </c>
      <c r="AK6142">
        <v>13.857864625233599</v>
      </c>
      <c r="AL6142">
        <v>81.581230455834799</v>
      </c>
      <c r="AM6142">
        <v>95.221232910635607</v>
      </c>
      <c r="AN6142">
        <v>1.00000002197455</v>
      </c>
    </row>
    <row r="6143" spans="1:40" x14ac:dyDescent="0.25">
      <c r="A6143" t="str">
        <f>"20190312164624984"</f>
        <v>20190312164624984</v>
      </c>
      <c r="B6143" t="str">
        <f>"1552380384977459"</f>
        <v>1552380384977459</v>
      </c>
      <c r="C6143" t="s">
        <v>40</v>
      </c>
      <c r="D6143">
        <v>5.22905</v>
      </c>
      <c r="E6143">
        <v>0.4835391</v>
      </c>
      <c r="F6143" t="s">
        <v>52</v>
      </c>
      <c r="G6143">
        <v>-208.73400000000001</v>
      </c>
      <c r="H6143" s="1">
        <v>-7.8434819999999999E-7</v>
      </c>
      <c r="I6143">
        <v>-60.44144</v>
      </c>
      <c r="J6143">
        <v>-222.548</v>
      </c>
      <c r="K6143">
        <v>1.1097379999999999</v>
      </c>
      <c r="L6143">
        <v>-62.2553699999999</v>
      </c>
      <c r="M6143">
        <v>0.99980899999999995</v>
      </c>
      <c r="N6143">
        <v>0</v>
      </c>
      <c r="O6143">
        <v>-1.3773179999999999E-2</v>
      </c>
      <c r="P6143">
        <v>0.98812820000000001</v>
      </c>
      <c r="Q6143">
        <v>0.132794</v>
      </c>
      <c r="R6143">
        <v>7.7257030000000004E-2</v>
      </c>
      <c r="S6143">
        <v>3.0380099999999999</v>
      </c>
      <c r="T6143">
        <v>-0.2410002</v>
      </c>
      <c r="U6143">
        <v>0.3934937</v>
      </c>
      <c r="V6143">
        <v>-9.1173480000000001E-2</v>
      </c>
      <c r="W6143">
        <v>0.14628640000000001</v>
      </c>
      <c r="X6143">
        <v>0.98503180000000001</v>
      </c>
      <c r="Y6143">
        <v>-0.14161840000000001</v>
      </c>
      <c r="Z6143">
        <v>6.6718389999999997E-3</v>
      </c>
      <c r="AA6143">
        <v>0.98989890000000003</v>
      </c>
      <c r="AB6143">
        <v>35</v>
      </c>
      <c r="AC6143">
        <v>13.813999999999901</v>
      </c>
      <c r="AD6143">
        <v>-1.1097387843481901</v>
      </c>
      <c r="AE6143">
        <v>1.8139299999999901</v>
      </c>
      <c r="AF6143">
        <v>-1.9914050010264801</v>
      </c>
      <c r="AG6143">
        <v>-1.1097387843481901</v>
      </c>
      <c r="AH6143">
        <v>13.7007826862252</v>
      </c>
      <c r="AI6143">
        <v>94.582797905963005</v>
      </c>
      <c r="AJ6143">
        <v>98.270011422945601</v>
      </c>
      <c r="AK6143">
        <v>13.8891562113315</v>
      </c>
      <c r="AL6143">
        <v>81.588220974310801</v>
      </c>
      <c r="AM6143">
        <v>95.288168326618205</v>
      </c>
      <c r="AN6143">
        <v>0.99999998064575402</v>
      </c>
    </row>
    <row r="6144" spans="1:40" x14ac:dyDescent="0.25">
      <c r="A6144" t="str">
        <f>"20190312164624996"</f>
        <v>20190312164624996</v>
      </c>
      <c r="B6144" t="str">
        <f>"1552380384987219"</f>
        <v>1552380384987219</v>
      </c>
      <c r="C6144" t="s">
        <v>40</v>
      </c>
      <c r="D6144">
        <v>5.1902790000000003</v>
      </c>
      <c r="E6144">
        <v>0.48374329999999999</v>
      </c>
      <c r="F6144" t="s">
        <v>52</v>
      </c>
      <c r="G6144">
        <v>-208.5582</v>
      </c>
      <c r="H6144" s="1">
        <v>-8.9424209999999999E-7</v>
      </c>
      <c r="I6144">
        <v>-60.428100000000001</v>
      </c>
      <c r="J6144">
        <v>-222.38050000000001</v>
      </c>
      <c r="K6144">
        <v>1.1097399999999999</v>
      </c>
      <c r="L6144">
        <v>-62.25723</v>
      </c>
      <c r="M6144">
        <v>0.99981529999999996</v>
      </c>
      <c r="N6144">
        <v>0</v>
      </c>
      <c r="O6144">
        <v>-1.3302899999999999E-2</v>
      </c>
      <c r="P6144">
        <v>0.98796079999999997</v>
      </c>
      <c r="Q6144">
        <v>0.132956399999999</v>
      </c>
      <c r="R6144">
        <v>7.9097959999999995E-2</v>
      </c>
      <c r="S6144">
        <v>3.0374150000000002</v>
      </c>
      <c r="T6144">
        <v>-0.24094119999999999</v>
      </c>
      <c r="U6144">
        <v>0.39672849999999998</v>
      </c>
      <c r="V6144">
        <v>-9.2548850000000002E-2</v>
      </c>
      <c r="W6144">
        <v>0.1464425</v>
      </c>
      <c r="X6144">
        <v>0.98488030000000004</v>
      </c>
      <c r="Y6144">
        <v>-0.142213899999999</v>
      </c>
      <c r="Z6144">
        <v>6.657428E-3</v>
      </c>
      <c r="AA6144">
        <v>0.98981359999999996</v>
      </c>
      <c r="AB6144">
        <v>35</v>
      </c>
      <c r="AC6144">
        <v>13.8223</v>
      </c>
      <c r="AD6144">
        <v>-1.1097408942421001</v>
      </c>
      <c r="AE6144">
        <v>1.8291299999999999</v>
      </c>
      <c r="AF6144">
        <v>-2.0001913690865698</v>
      </c>
      <c r="AG6144">
        <v>-1.1097408942421001</v>
      </c>
      <c r="AH6144">
        <v>13.709890132047001</v>
      </c>
      <c r="AI6144">
        <v>94.579421236621798</v>
      </c>
      <c r="AJ6144">
        <v>98.300551192817196</v>
      </c>
      <c r="AK6144">
        <v>13.8994020662085</v>
      </c>
      <c r="AL6144">
        <v>81.579179478779693</v>
      </c>
      <c r="AM6144">
        <v>95.368299750716105</v>
      </c>
      <c r="AN6144">
        <v>0.99999995038532996</v>
      </c>
    </row>
    <row r="6145" spans="1:40" x14ac:dyDescent="0.25">
      <c r="A6145" t="str">
        <f>"20190312164625005"</f>
        <v>20190312164625005</v>
      </c>
      <c r="B6145" t="str">
        <f>"1552380384996979"</f>
        <v>1552380384996979</v>
      </c>
      <c r="C6145" t="s">
        <v>40</v>
      </c>
      <c r="D6145">
        <v>5.2257769999999999</v>
      </c>
      <c r="E6145">
        <v>0.48392210000000002</v>
      </c>
      <c r="F6145" t="s">
        <v>52</v>
      </c>
      <c r="G6145">
        <v>-208.42339999999999</v>
      </c>
      <c r="H6145" s="1">
        <v>-9.7833060000000006E-7</v>
      </c>
      <c r="I6145">
        <v>-60.416730000000001</v>
      </c>
      <c r="J6145">
        <v>-222.21850000000001</v>
      </c>
      <c r="K6145">
        <v>1.109737</v>
      </c>
      <c r="L6145">
        <v>-62.258969999999998</v>
      </c>
      <c r="M6145">
        <v>0.99982119999999997</v>
      </c>
      <c r="N6145">
        <v>0</v>
      </c>
      <c r="O6145">
        <v>-1.284824E-2</v>
      </c>
      <c r="P6145">
        <v>0.98783750000000003</v>
      </c>
      <c r="Q6145">
        <v>0.13282079999999999</v>
      </c>
      <c r="R6145">
        <v>8.0846180000000004E-2</v>
      </c>
      <c r="S6145">
        <v>3.0369869999999999</v>
      </c>
      <c r="T6145">
        <v>-0.2414734</v>
      </c>
      <c r="U6145">
        <v>0.40048220000000001</v>
      </c>
      <c r="V6145">
        <v>-9.3846470000000001E-2</v>
      </c>
      <c r="W6145">
        <v>0.1463015</v>
      </c>
      <c r="X6145">
        <v>0.9847785</v>
      </c>
      <c r="Y6145">
        <v>-0.14298129999999901</v>
      </c>
      <c r="Z6145">
        <v>6.6668589999999998E-3</v>
      </c>
      <c r="AA6145">
        <v>0.98970290000000005</v>
      </c>
      <c r="AB6145">
        <v>35</v>
      </c>
      <c r="AC6145">
        <v>13.7951</v>
      </c>
      <c r="AD6145">
        <v>-1.1097379783306001</v>
      </c>
      <c r="AE6145">
        <v>1.8422399999999901</v>
      </c>
      <c r="AF6145">
        <v>-2.0065900076142098</v>
      </c>
      <c r="AG6145">
        <v>-1.1097379783306001</v>
      </c>
      <c r="AH6145">
        <v>13.6832921513434</v>
      </c>
      <c r="AI6145">
        <v>94.587781406087998</v>
      </c>
      <c r="AJ6145">
        <v>98.342691193605404</v>
      </c>
      <c r="AK6145">
        <v>13.8740911752166</v>
      </c>
      <c r="AL6145">
        <v>81.587346490140405</v>
      </c>
      <c r="AM6145">
        <v>95.443678588797994</v>
      </c>
      <c r="AN6145">
        <v>0.99999999144798002</v>
      </c>
    </row>
    <row r="6146" spans="1:40" x14ac:dyDescent="0.25">
      <c r="A6146" t="str">
        <f>"20190312164625017"</f>
        <v>20190312164625017</v>
      </c>
      <c r="B6146" t="str">
        <f>"1552380385007715"</f>
        <v>1552380385007715</v>
      </c>
      <c r="C6146" t="s">
        <v>40</v>
      </c>
      <c r="D6146">
        <v>5.0748569999999997</v>
      </c>
      <c r="E6146">
        <v>0.4841106</v>
      </c>
      <c r="F6146" t="s">
        <v>52</v>
      </c>
      <c r="G6146">
        <v>-208.32400000000001</v>
      </c>
      <c r="H6146" s="1">
        <v>-1.0404790000000001E-6</v>
      </c>
      <c r="I6146">
        <v>-60.40936</v>
      </c>
      <c r="J6146">
        <v>-222.0454</v>
      </c>
      <c r="K6146">
        <v>1.109739</v>
      </c>
      <c r="L6146">
        <v>-62.260739999999998</v>
      </c>
      <c r="M6146">
        <v>0.99982740000000003</v>
      </c>
      <c r="N6146">
        <v>0</v>
      </c>
      <c r="O6146">
        <v>-1.236259E-2</v>
      </c>
      <c r="P6146">
        <v>0.98764470000000004</v>
      </c>
      <c r="Q6146">
        <v>0.1330857</v>
      </c>
      <c r="R6146">
        <v>8.2743349999999993E-2</v>
      </c>
      <c r="S6146">
        <v>3.0364529999999998</v>
      </c>
      <c r="T6146">
        <v>-0.24251790000000001</v>
      </c>
      <c r="U6146">
        <v>0.40420529999999999</v>
      </c>
      <c r="V6146">
        <v>-9.526221E-2</v>
      </c>
      <c r="W6146">
        <v>0.14656040000000001</v>
      </c>
      <c r="X6146">
        <v>0.98460409999999998</v>
      </c>
      <c r="Y6146">
        <v>-0.14371059999999999</v>
      </c>
      <c r="Z6146">
        <v>6.6866159999999899E-3</v>
      </c>
      <c r="AA6146">
        <v>0.98959710000000001</v>
      </c>
      <c r="AB6146">
        <v>35</v>
      </c>
      <c r="AC6146">
        <v>13.7213999999999</v>
      </c>
      <c r="AD6146">
        <v>-1.1097400404790001</v>
      </c>
      <c r="AE6146">
        <v>1.85138</v>
      </c>
      <c r="AF6146">
        <v>-2.0079873940265802</v>
      </c>
      <c r="AG6146">
        <v>-1.1097400404790001</v>
      </c>
      <c r="AH6146">
        <v>13.610029356195099</v>
      </c>
      <c r="AI6146">
        <v>94.611789894615299</v>
      </c>
      <c r="AJ6146">
        <v>98.392720317427504</v>
      </c>
      <c r="AK6146">
        <v>13.802044609712899</v>
      </c>
      <c r="AL6146">
        <v>81.572351357853407</v>
      </c>
      <c r="AM6146">
        <v>95.526268481058494</v>
      </c>
      <c r="AN6146">
        <v>1.0000000366195201</v>
      </c>
    </row>
    <row r="6147" spans="1:40" x14ac:dyDescent="0.25">
      <c r="A6147" t="str">
        <f>"20190312164625028"</f>
        <v>20190312164625028</v>
      </c>
      <c r="B6147" t="str">
        <f>"1552380385017475"</f>
        <v>1552380385017475</v>
      </c>
      <c r="C6147" t="s">
        <v>40</v>
      </c>
      <c r="D6147">
        <v>5.2939870000000004</v>
      </c>
      <c r="E6147">
        <v>0.48429149999999999</v>
      </c>
      <c r="F6147" t="s">
        <v>52</v>
      </c>
      <c r="G6147">
        <v>-208.10239999999999</v>
      </c>
      <c r="H6147" s="1">
        <v>-1.178053E-6</v>
      </c>
      <c r="I6147">
        <v>-60.386110000000002</v>
      </c>
      <c r="J6147">
        <v>-221.87389999999999</v>
      </c>
      <c r="K6147">
        <v>1.1097399999999999</v>
      </c>
      <c r="L6147">
        <v>-62.262419999999999</v>
      </c>
      <c r="M6147">
        <v>0.99983319999999998</v>
      </c>
      <c r="N6147">
        <v>0</v>
      </c>
      <c r="O6147">
        <v>-1.188147E-2</v>
      </c>
      <c r="P6147">
        <v>0.98746610000000001</v>
      </c>
      <c r="Q6147">
        <v>0.1334457</v>
      </c>
      <c r="R6147">
        <v>8.4281709999999996E-2</v>
      </c>
      <c r="S6147">
        <v>3.035873</v>
      </c>
      <c r="T6147">
        <v>-0.2416295</v>
      </c>
      <c r="U6147">
        <v>0.4081726</v>
      </c>
      <c r="V6147">
        <v>-9.6325140000000004E-2</v>
      </c>
      <c r="W6147">
        <v>0.1469152</v>
      </c>
      <c r="X6147">
        <v>0.98444779999999998</v>
      </c>
      <c r="Y6147">
        <v>-0.14453199999999999</v>
      </c>
      <c r="Z6147">
        <v>6.6572979999999999E-3</v>
      </c>
      <c r="AA6147">
        <v>0.98947779999999996</v>
      </c>
      <c r="AB6147">
        <v>35</v>
      </c>
      <c r="AC6147">
        <v>13.7715</v>
      </c>
      <c r="AD6147">
        <v>-1.109741178053</v>
      </c>
      <c r="AE6147">
        <v>1.8763099999999999</v>
      </c>
      <c r="AF6147">
        <v>-2.0268970872265002</v>
      </c>
      <c r="AG6147">
        <v>-1.109741178053</v>
      </c>
      <c r="AH6147">
        <v>13.661139911911899</v>
      </c>
      <c r="AI6147">
        <v>94.594063254882499</v>
      </c>
      <c r="AJ6147">
        <v>98.439381190926696</v>
      </c>
      <c r="AK6147">
        <v>13.855200502962999</v>
      </c>
      <c r="AL6147">
        <v>81.551800386765905</v>
      </c>
      <c r="AM6147">
        <v>95.588423690701902</v>
      </c>
      <c r="AN6147">
        <v>1.0000000397559401</v>
      </c>
    </row>
    <row r="6148" spans="1:40" x14ac:dyDescent="0.25">
      <c r="A6148" t="str">
        <f>"20190312164625039"</f>
        <v>20190312164625039</v>
      </c>
      <c r="B6148" t="str">
        <f>"1552380385027235"</f>
        <v>1552380385027235</v>
      </c>
      <c r="C6148" t="s">
        <v>40</v>
      </c>
      <c r="D6148">
        <v>5.5324229999999996</v>
      </c>
      <c r="E6148">
        <v>0.48447089999999998</v>
      </c>
      <c r="F6148" t="s">
        <v>52</v>
      </c>
      <c r="G6148">
        <v>-207.8553</v>
      </c>
      <c r="H6148" s="1">
        <v>-1.3399559999999999E-6</v>
      </c>
      <c r="I6148">
        <v>-60.364400000000003</v>
      </c>
      <c r="J6148">
        <v>-221.70500000000001</v>
      </c>
      <c r="K6148">
        <v>1.109748</v>
      </c>
      <c r="L6148">
        <v>-62.263950000000001</v>
      </c>
      <c r="M6148">
        <v>0.99983869999999997</v>
      </c>
      <c r="N6148">
        <v>0</v>
      </c>
      <c r="O6148">
        <v>-1.140739E-2</v>
      </c>
      <c r="P6148">
        <v>0.98725070000000004</v>
      </c>
      <c r="Q6148">
        <v>0.13374469999999999</v>
      </c>
      <c r="R6148">
        <v>8.6305409999999999E-2</v>
      </c>
      <c r="S6148">
        <v>3.0354770000000002</v>
      </c>
      <c r="T6148">
        <v>-0.24029339999999999</v>
      </c>
      <c r="U6148">
        <v>0.41098020000000002</v>
      </c>
      <c r="V6148">
        <v>-9.7878699999999999E-2</v>
      </c>
      <c r="W6148">
        <v>0.14720710000000001</v>
      </c>
      <c r="X6148">
        <v>0.98425090000000004</v>
      </c>
      <c r="Y6148">
        <v>-0.14498420000000001</v>
      </c>
      <c r="Z6148">
        <v>6.6015179999999998E-3</v>
      </c>
      <c r="AA6148">
        <v>0.98941199999999996</v>
      </c>
      <c r="AB6148">
        <v>35</v>
      </c>
      <c r="AC6148">
        <v>13.8497</v>
      </c>
      <c r="AD6148">
        <v>-1.1097493399559999</v>
      </c>
      <c r="AE6148">
        <v>1.8995499999999901</v>
      </c>
      <c r="AF6148">
        <v>-2.0445458776620899</v>
      </c>
      <c r="AG6148">
        <v>-1.1097493399559999</v>
      </c>
      <c r="AH6148">
        <v>13.7405354530108</v>
      </c>
      <c r="AI6148">
        <v>94.567381538967595</v>
      </c>
      <c r="AJ6148">
        <v>98.463324978460705</v>
      </c>
      <c r="AK6148">
        <v>13.9360692441895</v>
      </c>
      <c r="AL6148">
        <v>81.534891589838907</v>
      </c>
      <c r="AM6148">
        <v>95.679099559220703</v>
      </c>
      <c r="AN6148">
        <v>1.00000000217745</v>
      </c>
    </row>
    <row r="6149" spans="1:40" x14ac:dyDescent="0.25">
      <c r="A6149" t="str">
        <f>"20190312164625051"</f>
        <v>20190312164625051</v>
      </c>
      <c r="B6149" t="str">
        <f>"1552380385047730"</f>
        <v>1552380385047730</v>
      </c>
      <c r="C6149" t="s">
        <v>40</v>
      </c>
      <c r="D6149">
        <v>4.99953</v>
      </c>
      <c r="E6149">
        <v>0.48482120000000001</v>
      </c>
      <c r="F6149" t="s">
        <v>52</v>
      </c>
      <c r="G6149">
        <v>-207.62270000000001</v>
      </c>
      <c r="H6149" s="1">
        <v>-1.4949690000000001E-6</v>
      </c>
      <c r="I6149">
        <v>-60.337380000000003</v>
      </c>
      <c r="J6149">
        <v>-221.5264</v>
      </c>
      <c r="K6149">
        <v>1.10975</v>
      </c>
      <c r="L6149">
        <v>-62.265500000000003</v>
      </c>
      <c r="M6149">
        <v>0.99984439999999997</v>
      </c>
      <c r="N6149">
        <v>0</v>
      </c>
      <c r="O6149">
        <v>-1.090649E-2</v>
      </c>
      <c r="P6149">
        <v>0.98702970000000001</v>
      </c>
      <c r="Q6149">
        <v>0.1343771</v>
      </c>
      <c r="R6149">
        <v>8.7838230000000003E-2</v>
      </c>
      <c r="S6149">
        <v>3.0348510000000002</v>
      </c>
      <c r="T6149">
        <v>-0.2391604</v>
      </c>
      <c r="U6149">
        <v>0.4151917</v>
      </c>
      <c r="V6149">
        <v>-9.8916400000000002E-2</v>
      </c>
      <c r="W6149">
        <v>0.14783389999999999</v>
      </c>
      <c r="X6149">
        <v>0.98405319999999996</v>
      </c>
      <c r="Y6149">
        <v>-0.14586689999999999</v>
      </c>
      <c r="Z6149">
        <v>6.5665380000000002E-3</v>
      </c>
      <c r="AA6149">
        <v>0.98928240000000001</v>
      </c>
      <c r="AB6149">
        <v>34</v>
      </c>
      <c r="AC6149">
        <v>13.903699999999899</v>
      </c>
      <c r="AD6149">
        <v>-1.1097514949689999</v>
      </c>
      <c r="AE6149">
        <v>1.9281200000000001</v>
      </c>
      <c r="AF6149">
        <v>-2.0667421722122699</v>
      </c>
      <c r="AG6149">
        <v>-1.1097514949689999</v>
      </c>
      <c r="AH6149">
        <v>13.795611731149901</v>
      </c>
      <c r="AI6149">
        <v>94.548561224299405</v>
      </c>
      <c r="AJ6149">
        <v>98.520206318262893</v>
      </c>
      <c r="AK6149">
        <v>13.9936369333932</v>
      </c>
      <c r="AL6149">
        <v>81.498581376469602</v>
      </c>
      <c r="AM6149">
        <v>95.740054253684704</v>
      </c>
      <c r="AN6149">
        <v>1.0000000083042</v>
      </c>
    </row>
    <row r="6150" spans="1:40" x14ac:dyDescent="0.25">
      <c r="A6150" t="str">
        <f>"20190312164625062"</f>
        <v>20190312164625062</v>
      </c>
      <c r="B6150" t="str">
        <f>"1552380385057494"</f>
        <v>1552380385057494</v>
      </c>
      <c r="C6150" t="s">
        <v>40</v>
      </c>
      <c r="D6150">
        <v>5.2884279999999997</v>
      </c>
      <c r="E6150">
        <v>0.48498570000000002</v>
      </c>
      <c r="F6150" t="s">
        <v>52</v>
      </c>
      <c r="G6150">
        <v>-207.2877</v>
      </c>
      <c r="H6150" s="1">
        <v>-1.7150049999999901E-6</v>
      </c>
      <c r="I6150">
        <v>-60.310609999999997</v>
      </c>
      <c r="J6150">
        <v>-221.35390000000001</v>
      </c>
      <c r="K6150">
        <v>1.1097539999999999</v>
      </c>
      <c r="L6150">
        <v>-62.266939999999998</v>
      </c>
      <c r="M6150">
        <v>0.99984949999999995</v>
      </c>
      <c r="N6150">
        <v>0</v>
      </c>
      <c r="O6150">
        <v>-1.0422399999999899E-2</v>
      </c>
      <c r="P6150">
        <v>0.98679209999999995</v>
      </c>
      <c r="Q6150">
        <v>0.134993899999999</v>
      </c>
      <c r="R6150">
        <v>8.9543150000000002E-2</v>
      </c>
      <c r="S6150">
        <v>3.0345460000000002</v>
      </c>
      <c r="T6150">
        <v>-0.23651040000000001</v>
      </c>
      <c r="U6150">
        <v>0.416626</v>
      </c>
      <c r="V6150">
        <v>-0.100143</v>
      </c>
      <c r="W6150">
        <v>0.1484441</v>
      </c>
      <c r="X6150">
        <v>0.98383719999999997</v>
      </c>
      <c r="Y6150">
        <v>-0.1458721</v>
      </c>
      <c r="Z6150">
        <v>6.4571250000000002E-3</v>
      </c>
      <c r="AA6150">
        <v>0.98928240000000001</v>
      </c>
      <c r="AB6150">
        <v>34</v>
      </c>
      <c r="AC6150">
        <v>14.0662</v>
      </c>
      <c r="AD6150">
        <v>-1.1097557150049999</v>
      </c>
      <c r="AE6150">
        <v>1.9563299999999999</v>
      </c>
      <c r="AF6150">
        <v>-2.0900786631555399</v>
      </c>
      <c r="AG6150">
        <v>-1.1097557150049999</v>
      </c>
      <c r="AH6150">
        <v>13.9598009950153</v>
      </c>
      <c r="AI6150">
        <v>94.495359801879701</v>
      </c>
      <c r="AJ6150">
        <v>98.515144448479504</v>
      </c>
      <c r="AK6150">
        <v>14.1589558366991</v>
      </c>
      <c r="AL6150">
        <v>81.463228967940395</v>
      </c>
      <c r="AM6150">
        <v>95.812015949356095</v>
      </c>
      <c r="AN6150">
        <v>0.999999953688823</v>
      </c>
    </row>
    <row r="6151" spans="1:40" x14ac:dyDescent="0.25">
      <c r="A6151" t="str">
        <f>"20190312164625074"</f>
        <v>20190312164625074</v>
      </c>
      <c r="B6151" t="str">
        <f>"1552380385067250"</f>
        <v>1552380385067250</v>
      </c>
      <c r="C6151" t="s">
        <v>40</v>
      </c>
      <c r="D6151">
        <v>5.5919800000000004</v>
      </c>
      <c r="E6151">
        <v>0.48516540000000002</v>
      </c>
      <c r="F6151" t="s">
        <v>52</v>
      </c>
      <c r="G6151">
        <v>-206.97200000000001</v>
      </c>
      <c r="H6151" s="1">
        <v>-1.925574E-6</v>
      </c>
      <c r="I6151">
        <v>-60.273380000000003</v>
      </c>
      <c r="J6151">
        <v>-221.1807</v>
      </c>
      <c r="K6151">
        <v>1.1097570000000001</v>
      </c>
      <c r="L6151">
        <v>-62.268250000000002</v>
      </c>
      <c r="M6151">
        <v>0.99985429999999997</v>
      </c>
      <c r="N6151">
        <v>0</v>
      </c>
      <c r="O6151">
        <v>-9.9360479999999994E-3</v>
      </c>
      <c r="P6151">
        <v>0.98656259999999996</v>
      </c>
      <c r="Q6151">
        <v>0.1355847</v>
      </c>
      <c r="R6151">
        <v>9.1164330000000002E-2</v>
      </c>
      <c r="S6151">
        <v>3.034027</v>
      </c>
      <c r="T6151">
        <v>-0.23411560000000001</v>
      </c>
      <c r="U6151">
        <v>0.42056270000000001</v>
      </c>
      <c r="V6151">
        <v>-0.10128330000000001</v>
      </c>
      <c r="W6151">
        <v>0.14902879999999999</v>
      </c>
      <c r="X6151">
        <v>0.98363210000000001</v>
      </c>
      <c r="Y6151">
        <v>-0.1466817</v>
      </c>
      <c r="Z6151">
        <v>6.386185E-3</v>
      </c>
      <c r="AA6151">
        <v>0.98916309999999996</v>
      </c>
      <c r="AB6151">
        <v>34</v>
      </c>
      <c r="AC6151">
        <v>14.208699999999901</v>
      </c>
      <c r="AD6151">
        <v>-1.1097589255739999</v>
      </c>
      <c r="AE6151">
        <v>1.9948699999999899</v>
      </c>
      <c r="AF6151">
        <v>-2.1232613566573701</v>
      </c>
      <c r="AG6151">
        <v>-1.1097589255739999</v>
      </c>
      <c r="AH6151">
        <v>14.103801665042701</v>
      </c>
      <c r="AI6151">
        <v>94.449123802278294</v>
      </c>
      <c r="AJ6151">
        <v>98.561320251194203</v>
      </c>
      <c r="AK6151">
        <v>14.305838845325599</v>
      </c>
      <c r="AL6151">
        <v>81.4293516901988</v>
      </c>
      <c r="AM6151">
        <v>95.878951975521701</v>
      </c>
      <c r="AN6151">
        <v>0.99999999911936999</v>
      </c>
    </row>
    <row r="6152" spans="1:40" x14ac:dyDescent="0.25">
      <c r="A6152" t="str">
        <f>"20190312164625083"</f>
        <v>20190312164625083</v>
      </c>
      <c r="B6152" t="str">
        <f>"1552380385077011"</f>
        <v>1552380385077011</v>
      </c>
      <c r="C6152" t="s">
        <v>40</v>
      </c>
      <c r="D6152">
        <v>5.2192999999999996</v>
      </c>
      <c r="E6152">
        <v>0.4853478</v>
      </c>
      <c r="F6152" t="s">
        <v>52</v>
      </c>
      <c r="G6152">
        <v>-206.66569999999999</v>
      </c>
      <c r="H6152" s="1">
        <v>-2.1296590000000001E-6</v>
      </c>
      <c r="I6152">
        <v>-60.238250000000001</v>
      </c>
      <c r="J6152">
        <v>-221.01349999999999</v>
      </c>
      <c r="K6152">
        <v>1.1097629999999901</v>
      </c>
      <c r="L6152">
        <v>-62.269469999999998</v>
      </c>
      <c r="M6152">
        <v>0.99985900000000005</v>
      </c>
      <c r="N6152">
        <v>0</v>
      </c>
      <c r="O6152">
        <v>-9.4669799999999998E-3</v>
      </c>
      <c r="P6152">
        <v>0.98640139999999998</v>
      </c>
      <c r="Q6152">
        <v>0.1355672</v>
      </c>
      <c r="R6152">
        <v>9.2918920000000002E-2</v>
      </c>
      <c r="S6152">
        <v>3.0335390000000002</v>
      </c>
      <c r="T6152">
        <v>-0.23193230000000001</v>
      </c>
      <c r="U6152">
        <v>0.4242554</v>
      </c>
      <c r="V6152">
        <v>-0.1025739</v>
      </c>
      <c r="W6152">
        <v>0.14900620000000001</v>
      </c>
      <c r="X6152">
        <v>0.98350179999999998</v>
      </c>
      <c r="Y6152">
        <v>-0.14742810000000001</v>
      </c>
      <c r="Z6152">
        <v>6.3199819999999896E-3</v>
      </c>
      <c r="AA6152">
        <v>0.98905259999999995</v>
      </c>
      <c r="AB6152">
        <v>34</v>
      </c>
      <c r="AC6152">
        <v>14.347799999999999</v>
      </c>
      <c r="AD6152">
        <v>-1.1097651296590001</v>
      </c>
      <c r="AE6152">
        <v>2.03121999999999</v>
      </c>
      <c r="AF6152">
        <v>-2.1543370152806798</v>
      </c>
      <c r="AG6152">
        <v>-1.1097651296590001</v>
      </c>
      <c r="AH6152">
        <v>14.2443812057926</v>
      </c>
      <c r="AI6152">
        <v>94.404962624664293</v>
      </c>
      <c r="AJ6152">
        <v>98.6003023999655</v>
      </c>
      <c r="AK6152">
        <v>14.4490533445742</v>
      </c>
      <c r="AL6152">
        <v>81.430661390133295</v>
      </c>
      <c r="AM6152">
        <v>95.954112769899794</v>
      </c>
      <c r="AN6152">
        <v>1.00000002160144</v>
      </c>
    </row>
    <row r="6153" spans="1:40" x14ac:dyDescent="0.25">
      <c r="A6153" t="str">
        <f>"20190312164625095"</f>
        <v>20190312164625095</v>
      </c>
      <c r="B6153" t="str">
        <f>"1552380385087747"</f>
        <v>1552380385087747</v>
      </c>
      <c r="C6153" t="s">
        <v>40</v>
      </c>
      <c r="D6153">
        <v>5.1029220000000004</v>
      </c>
      <c r="E6153">
        <v>0.48552269999999997</v>
      </c>
      <c r="F6153" t="s">
        <v>52</v>
      </c>
      <c r="G6153">
        <v>-206.48159999999999</v>
      </c>
      <c r="H6153" s="1">
        <v>-2.2524030000000001E-6</v>
      </c>
      <c r="I6153">
        <v>-60.216749999999998</v>
      </c>
      <c r="J6153">
        <v>-220.8442</v>
      </c>
      <c r="K6153">
        <v>1.109766</v>
      </c>
      <c r="L6153">
        <v>-62.270600000000002</v>
      </c>
      <c r="M6153">
        <v>0.99986339999999996</v>
      </c>
      <c r="N6153">
        <v>0</v>
      </c>
      <c r="O6153">
        <v>-8.9917139999999996E-3</v>
      </c>
      <c r="P6153">
        <v>0.9862088</v>
      </c>
      <c r="Q6153">
        <v>0.13575119999999999</v>
      </c>
      <c r="R6153">
        <v>9.4677049999999999E-2</v>
      </c>
      <c r="S6153">
        <v>3.0328369999999998</v>
      </c>
      <c r="T6153">
        <v>-0.23160929999999999</v>
      </c>
      <c r="U6153">
        <v>0.4284058</v>
      </c>
      <c r="V6153">
        <v>-0.1038616</v>
      </c>
      <c r="W6153">
        <v>0.14918439999999999</v>
      </c>
      <c r="X6153">
        <v>0.98333959999999998</v>
      </c>
      <c r="Y6153">
        <v>-0.14831659999999999</v>
      </c>
      <c r="Z6153">
        <v>6.3096879999999999E-3</v>
      </c>
      <c r="AA6153">
        <v>0.98891980000000002</v>
      </c>
      <c r="AB6153">
        <v>34</v>
      </c>
      <c r="AC6153">
        <v>14.3626</v>
      </c>
      <c r="AD6153">
        <v>-1.1097682524029999</v>
      </c>
      <c r="AE6153">
        <v>2.0538500000000002</v>
      </c>
      <c r="AF6153">
        <v>-2.1702264423584499</v>
      </c>
      <c r="AG6153">
        <v>-1.1097682524029999</v>
      </c>
      <c r="AH6153">
        <v>14.260118305850201</v>
      </c>
      <c r="AI6153">
        <v>94.399517136428997</v>
      </c>
      <c r="AJ6153">
        <v>98.653360323593205</v>
      </c>
      <c r="AK6153">
        <v>14.466943093895001</v>
      </c>
      <c r="AL6153">
        <v>81.420335625510603</v>
      </c>
      <c r="AM6153">
        <v>96.029299956765001</v>
      </c>
      <c r="AN6153">
        <v>0.99999999304303999</v>
      </c>
    </row>
    <row r="6154" spans="1:40" x14ac:dyDescent="0.25">
      <c r="A6154" t="str">
        <f>"20190312164625106"</f>
        <v>20190312164625106</v>
      </c>
      <c r="B6154" t="str">
        <f>"1552380385097507"</f>
        <v>1552380385097507</v>
      </c>
      <c r="C6154" t="s">
        <v>40</v>
      </c>
      <c r="D6154">
        <v>5.9036179999999998</v>
      </c>
      <c r="E6154">
        <v>0.48569899999999999</v>
      </c>
      <c r="F6154" t="s">
        <v>52</v>
      </c>
      <c r="G6154">
        <v>-206.2594</v>
      </c>
      <c r="H6154" s="1">
        <v>-2.4002860000000002E-6</v>
      </c>
      <c r="I6154">
        <v>-60.191630000000004</v>
      </c>
      <c r="J6154">
        <v>-220.67230000000001</v>
      </c>
      <c r="K6154">
        <v>1.109764</v>
      </c>
      <c r="L6154">
        <v>-62.271729999999998</v>
      </c>
      <c r="M6154">
        <v>0.99986770000000003</v>
      </c>
      <c r="N6154">
        <v>0</v>
      </c>
      <c r="O6154">
        <v>-8.5091779999999992E-3</v>
      </c>
      <c r="P6154">
        <v>0.98601139999999998</v>
      </c>
      <c r="Q6154">
        <v>0.135877</v>
      </c>
      <c r="R6154">
        <v>9.6537520000000002E-2</v>
      </c>
      <c r="S6154">
        <v>3.0321959999999999</v>
      </c>
      <c r="T6154">
        <v>-0.23072229999999999</v>
      </c>
      <c r="U6154">
        <v>0.43222050000000001</v>
      </c>
      <c r="V6154">
        <v>-0.10524559999999999</v>
      </c>
      <c r="W6154">
        <v>0.1493042</v>
      </c>
      <c r="X6154">
        <v>0.98317429999999995</v>
      </c>
      <c r="Y6154">
        <v>-0.14909029999999901</v>
      </c>
      <c r="Z6154">
        <v>6.2791089999999997E-3</v>
      </c>
      <c r="AA6154">
        <v>0.9888036</v>
      </c>
      <c r="AB6154">
        <v>34</v>
      </c>
      <c r="AC6154">
        <v>14.4129</v>
      </c>
      <c r="AD6154">
        <v>-1.1097664002859999</v>
      </c>
      <c r="AE6154">
        <v>2.0800999999999998</v>
      </c>
      <c r="AF6154">
        <v>-2.1899596711121498</v>
      </c>
      <c r="AG6154">
        <v>-1.1097664002859999</v>
      </c>
      <c r="AH6154">
        <v>14.311558590699599</v>
      </c>
      <c r="AI6154">
        <v>94.383216686322001</v>
      </c>
      <c r="AJ6154">
        <v>98.699935319516698</v>
      </c>
      <c r="AK6154">
        <v>14.5206134209037</v>
      </c>
      <c r="AL6154">
        <v>81.413394271897204</v>
      </c>
      <c r="AM6154">
        <v>96.110058694817994</v>
      </c>
      <c r="AN6154">
        <v>1.0000000423187401</v>
      </c>
    </row>
    <row r="6155" spans="1:40" x14ac:dyDescent="0.25">
      <c r="A6155" t="str">
        <f>"20190312164625118"</f>
        <v>20190312164625118</v>
      </c>
      <c r="B6155" t="str">
        <f>"1552380385107267"</f>
        <v>1552380385107267</v>
      </c>
      <c r="C6155" t="s">
        <v>40</v>
      </c>
      <c r="D6155">
        <v>5.0290419999999996</v>
      </c>
      <c r="E6155">
        <v>0.48587409999999998</v>
      </c>
      <c r="F6155" t="s">
        <v>52</v>
      </c>
      <c r="G6155">
        <v>-206.04560000000001</v>
      </c>
      <c r="H6155" s="1">
        <v>-2.5429249999999999E-6</v>
      </c>
      <c r="I6155">
        <v>-60.166310000000003</v>
      </c>
      <c r="J6155">
        <v>-220.5018</v>
      </c>
      <c r="K6155">
        <v>1.109764</v>
      </c>
      <c r="L6155">
        <v>-62.272669999999998</v>
      </c>
      <c r="M6155">
        <v>0.99987159999999997</v>
      </c>
      <c r="N6155">
        <v>0</v>
      </c>
      <c r="O6155">
        <v>-8.0291400000000006E-3</v>
      </c>
      <c r="P6155">
        <v>0.98585310000000004</v>
      </c>
      <c r="Q6155">
        <v>0.13574269999999999</v>
      </c>
      <c r="R6155">
        <v>9.8324850000000005E-2</v>
      </c>
      <c r="S6155">
        <v>3.031555</v>
      </c>
      <c r="T6155">
        <v>-0.2300121</v>
      </c>
      <c r="U6155">
        <v>0.4363708</v>
      </c>
      <c r="V6155">
        <v>-0.10655770000000001</v>
      </c>
      <c r="W6155">
        <v>0.14916460000000001</v>
      </c>
      <c r="X6155">
        <v>0.98305410000000004</v>
      </c>
      <c r="Y6155">
        <v>-0.14997279999999999</v>
      </c>
      <c r="Z6155">
        <v>6.2576000000000003E-3</v>
      </c>
      <c r="AA6155">
        <v>0.9886703</v>
      </c>
      <c r="AB6155">
        <v>34</v>
      </c>
      <c r="AC6155">
        <v>14.4561999999999</v>
      </c>
      <c r="AD6155">
        <v>-1.1097665429250001</v>
      </c>
      <c r="AE6155">
        <v>2.10636</v>
      </c>
      <c r="AF6155">
        <v>-2.2096229547961501</v>
      </c>
      <c r="AG6155">
        <v>-1.1097665429250001</v>
      </c>
      <c r="AH6155">
        <v>14.355975489371501</v>
      </c>
      <c r="AI6155">
        <v>94.369123434215595</v>
      </c>
      <c r="AJ6155">
        <v>98.750105233356507</v>
      </c>
      <c r="AK6155">
        <v>14.5673624116925</v>
      </c>
      <c r="AL6155">
        <v>81.421482913807196</v>
      </c>
      <c r="AM6155">
        <v>96.186396522009304</v>
      </c>
      <c r="AN6155">
        <v>0.99999999242463</v>
      </c>
    </row>
    <row r="6156" spans="1:40" x14ac:dyDescent="0.25">
      <c r="A6156" t="str">
        <f>"20190312164625129"</f>
        <v>20190312164625129</v>
      </c>
      <c r="B6156" t="str">
        <f>"1552380385117027"</f>
        <v>1552380385117027</v>
      </c>
      <c r="C6156" t="s">
        <v>40</v>
      </c>
      <c r="D6156">
        <v>5.3092800000000002</v>
      </c>
      <c r="E6156">
        <v>0.48604029999999998</v>
      </c>
      <c r="F6156" t="s">
        <v>52</v>
      </c>
      <c r="G6156">
        <v>-205.89510000000001</v>
      </c>
      <c r="H6156" s="1">
        <v>-2.642404E-6</v>
      </c>
      <c r="I6156">
        <v>-60.152030000000003</v>
      </c>
      <c r="J6156">
        <v>-220.3304</v>
      </c>
      <c r="K6156">
        <v>1.1097629999999901</v>
      </c>
      <c r="L6156">
        <v>-62.273620000000001</v>
      </c>
      <c r="M6156">
        <v>0.99987539999999997</v>
      </c>
      <c r="N6156">
        <v>0</v>
      </c>
      <c r="O6156">
        <v>-7.5463569999999897E-3</v>
      </c>
      <c r="P6156">
        <v>0.98568029999999995</v>
      </c>
      <c r="Q6156">
        <v>0.13560520000000001</v>
      </c>
      <c r="R6156">
        <v>0.10022780000000001</v>
      </c>
      <c r="S6156">
        <v>3.0308839999999999</v>
      </c>
      <c r="T6156">
        <v>-0.23027600000000001</v>
      </c>
      <c r="U6156">
        <v>0.44003300000000001</v>
      </c>
      <c r="V6156">
        <v>-0.107984</v>
      </c>
      <c r="W6156">
        <v>0.1490213</v>
      </c>
      <c r="X6156">
        <v>0.98292020000000002</v>
      </c>
      <c r="Y6156">
        <v>-0.15069469999999999</v>
      </c>
      <c r="Z6156">
        <v>6.2563849999999997E-3</v>
      </c>
      <c r="AA6156">
        <v>0.98856060000000001</v>
      </c>
      <c r="AB6156">
        <v>34</v>
      </c>
      <c r="AC6156">
        <v>14.4352999999999</v>
      </c>
      <c r="AD6156">
        <v>-1.1097656424040001</v>
      </c>
      <c r="AE6156">
        <v>2.1215899999999901</v>
      </c>
      <c r="AF6156">
        <v>-2.2176441288414099</v>
      </c>
      <c r="AG6156">
        <v>-1.1097656424040001</v>
      </c>
      <c r="AH6156">
        <v>14.3359386450418</v>
      </c>
      <c r="AI6156">
        <v>94.374693983087397</v>
      </c>
      <c r="AJ6156">
        <v>98.793456593257204</v>
      </c>
      <c r="AK6156">
        <v>14.5488371390172</v>
      </c>
      <c r="AL6156">
        <v>81.429786319238005</v>
      </c>
      <c r="AM6156">
        <v>96.269395138435797</v>
      </c>
      <c r="AN6156">
        <v>1.0000000058388601</v>
      </c>
    </row>
    <row r="6157" spans="1:40" x14ac:dyDescent="0.25">
      <c r="A6157" t="str">
        <f>"20190312164625140"</f>
        <v>20190312164625140</v>
      </c>
      <c r="B6157" t="str">
        <f>"1552380385137075"</f>
        <v>1552380385137075</v>
      </c>
      <c r="C6157" t="s">
        <v>40</v>
      </c>
      <c r="D6157">
        <v>5.3132489999999999</v>
      </c>
      <c r="E6157">
        <v>0.48632890000000001</v>
      </c>
      <c r="F6157" t="s">
        <v>52</v>
      </c>
      <c r="G6157">
        <v>-205.74459999999999</v>
      </c>
      <c r="H6157" s="1">
        <v>-2.7427859999999998E-6</v>
      </c>
      <c r="I6157">
        <v>-60.134300000000003</v>
      </c>
      <c r="J6157">
        <v>-220.14060000000001</v>
      </c>
      <c r="K6157">
        <v>1.1097589999999999</v>
      </c>
      <c r="L6157">
        <v>-62.274479999999997</v>
      </c>
      <c r="M6157">
        <v>0.99987939999999997</v>
      </c>
      <c r="N6157">
        <v>0</v>
      </c>
      <c r="O6157">
        <v>-7.0060879999999997E-3</v>
      </c>
      <c r="P6157">
        <v>0.98552660000000003</v>
      </c>
      <c r="Q6157">
        <v>0.13526179999999999</v>
      </c>
      <c r="R6157">
        <v>0.1021847</v>
      </c>
      <c r="S6157">
        <v>3.030106</v>
      </c>
      <c r="T6157">
        <v>-0.23054649999999999</v>
      </c>
      <c r="U6157">
        <v>0.44442749999999998</v>
      </c>
      <c r="V6157">
        <v>-0.109407</v>
      </c>
      <c r="W6157">
        <v>0.1486719</v>
      </c>
      <c r="X6157">
        <v>0.98281569999999996</v>
      </c>
      <c r="Y6157">
        <v>-0.15159819999999999</v>
      </c>
      <c r="Z6157">
        <v>6.2579480000000002E-3</v>
      </c>
      <c r="AA6157">
        <v>0.98842240000000003</v>
      </c>
      <c r="AB6157">
        <v>34</v>
      </c>
      <c r="AC6157">
        <v>14.396000000000001</v>
      </c>
      <c r="AD6157">
        <v>-1.109761742786</v>
      </c>
      <c r="AE6157">
        <v>2.14018</v>
      </c>
      <c r="AF6157">
        <v>-2.2280427498607298</v>
      </c>
      <c r="AG6157">
        <v>-1.109761742786</v>
      </c>
      <c r="AH6157">
        <v>14.2975237633876</v>
      </c>
      <c r="AI6157">
        <v>94.385629806067598</v>
      </c>
      <c r="AJ6157">
        <v>98.8574001869695</v>
      </c>
      <c r="AK6157">
        <v>14.512578385166201</v>
      </c>
      <c r="AL6157">
        <v>81.450030613661596</v>
      </c>
      <c r="AM6157">
        <v>96.352011451885602</v>
      </c>
      <c r="AN6157">
        <v>0.99999996283254899</v>
      </c>
    </row>
    <row r="6158" spans="1:40" x14ac:dyDescent="0.25">
      <c r="A6158" t="str">
        <f>"20190312164625152"</f>
        <v>20190312164625152</v>
      </c>
      <c r="B6158" t="str">
        <f>"1552380385147811"</f>
        <v>1552380385147811</v>
      </c>
      <c r="C6158" t="s">
        <v>40</v>
      </c>
      <c r="D6158">
        <v>5.1083460000000001</v>
      </c>
      <c r="E6158">
        <v>0.48647210000000002</v>
      </c>
      <c r="F6158" t="s">
        <v>52</v>
      </c>
      <c r="G6158">
        <v>-205.59729999999999</v>
      </c>
      <c r="H6158" s="1">
        <v>-2.8390089999999999E-6</v>
      </c>
      <c r="I6158">
        <v>-60.124450000000003</v>
      </c>
      <c r="J6158">
        <v>-219.9692</v>
      </c>
      <c r="K6158">
        <v>1.1097619999999999</v>
      </c>
      <c r="L6158">
        <v>-62.275239999999997</v>
      </c>
      <c r="M6158">
        <v>0.99988270000000001</v>
      </c>
      <c r="N6158">
        <v>0</v>
      </c>
      <c r="O6158">
        <v>-6.5161159999999997E-3</v>
      </c>
      <c r="P6158">
        <v>0.9853497</v>
      </c>
      <c r="Q6158">
        <v>0.13522300000000001</v>
      </c>
      <c r="R6158">
        <v>0.1039267</v>
      </c>
      <c r="S6158">
        <v>3.0293269999999999</v>
      </c>
      <c r="T6158">
        <v>-0.2311609</v>
      </c>
      <c r="U6158">
        <v>0.44784550000000001</v>
      </c>
      <c r="V6158">
        <v>-0.1106664</v>
      </c>
      <c r="W6158">
        <v>0.14862709999999901</v>
      </c>
      <c r="X6158">
        <v>0.98268149999999999</v>
      </c>
      <c r="Y6158">
        <v>-0.15223889999999901</v>
      </c>
      <c r="Z6158">
        <v>6.2627890000000004E-3</v>
      </c>
      <c r="AA6158">
        <v>0.98832390000000003</v>
      </c>
      <c r="AB6158">
        <v>34</v>
      </c>
      <c r="AC6158">
        <v>14.3719</v>
      </c>
      <c r="AD6158">
        <v>-1.109764839009</v>
      </c>
      <c r="AE6158">
        <v>2.1507900000000002</v>
      </c>
      <c r="AF6158">
        <v>-2.2313889258683499</v>
      </c>
      <c r="AG6158">
        <v>-1.109764839009</v>
      </c>
      <c r="AH6158">
        <v>14.2743313642973</v>
      </c>
      <c r="AI6158">
        <v>94.392414681220203</v>
      </c>
      <c r="AJ6158">
        <v>98.884673934650394</v>
      </c>
      <c r="AK6158">
        <v>14.490245354518599</v>
      </c>
      <c r="AL6158">
        <v>81.452626611733606</v>
      </c>
      <c r="AM6158">
        <v>96.425392507035397</v>
      </c>
      <c r="AN6158">
        <v>0.99999999869280998</v>
      </c>
    </row>
    <row r="6159" spans="1:40" x14ac:dyDescent="0.25">
      <c r="A6159" t="str">
        <f>"20190312164625163"</f>
        <v>20190312164625163</v>
      </c>
      <c r="B6159" t="str">
        <f>"1552380385157571"</f>
        <v>1552380385157571</v>
      </c>
      <c r="C6159" t="s">
        <v>40</v>
      </c>
      <c r="D6159">
        <v>5.2826449999999996</v>
      </c>
      <c r="E6159">
        <v>0.48655369999999998</v>
      </c>
      <c r="F6159" t="s">
        <v>52</v>
      </c>
      <c r="G6159">
        <v>-205.4109</v>
      </c>
      <c r="H6159" s="1">
        <v>-2.963659E-6</v>
      </c>
      <c r="I6159">
        <v>-60.101329999999997</v>
      </c>
      <c r="J6159">
        <v>-219.8048</v>
      </c>
      <c r="K6159">
        <v>1.1097669999999999</v>
      </c>
      <c r="L6159">
        <v>-62.275849999999998</v>
      </c>
      <c r="M6159">
        <v>0.99988569999999999</v>
      </c>
      <c r="N6159">
        <v>0</v>
      </c>
      <c r="O6159">
        <v>-6.0413819999999997E-3</v>
      </c>
      <c r="P6159">
        <v>0.98517529999999998</v>
      </c>
      <c r="Q6159">
        <v>0.13507379999999999</v>
      </c>
      <c r="R6159">
        <v>0.105759199999999</v>
      </c>
      <c r="S6159">
        <v>3.0285799999999998</v>
      </c>
      <c r="T6159">
        <v>-0.23086499999999999</v>
      </c>
      <c r="U6159">
        <v>0.45223999999999998</v>
      </c>
      <c r="V6159">
        <v>-0.1120316</v>
      </c>
      <c r="W6159">
        <v>0.14847099999999999</v>
      </c>
      <c r="X6159">
        <v>0.98255040000000005</v>
      </c>
      <c r="Y6159">
        <v>-0.1532076</v>
      </c>
      <c r="Z6159">
        <v>6.2563779999999999E-3</v>
      </c>
      <c r="AA6159">
        <v>0.9881742</v>
      </c>
      <c r="AB6159">
        <v>34</v>
      </c>
      <c r="AC6159">
        <v>14.3939</v>
      </c>
      <c r="AD6159">
        <v>-1.1097699636589999</v>
      </c>
      <c r="AE6159">
        <v>2.17451999999999</v>
      </c>
      <c r="AF6159">
        <v>-2.2483806353240001</v>
      </c>
      <c r="AG6159">
        <v>-1.1097699636589999</v>
      </c>
      <c r="AH6159">
        <v>14.29740564466</v>
      </c>
      <c r="AI6159">
        <v>94.3847479533121</v>
      </c>
      <c r="AJ6159">
        <v>98.937025145571198</v>
      </c>
      <c r="AK6159">
        <v>14.515598954968899</v>
      </c>
      <c r="AL6159">
        <v>81.461670864252994</v>
      </c>
      <c r="AM6159">
        <v>96.504842551948997</v>
      </c>
      <c r="AN6159">
        <v>1.0000000028898599</v>
      </c>
    </row>
    <row r="6160" spans="1:40" x14ac:dyDescent="0.25">
      <c r="A6160" t="str">
        <f>"20190312164625175"</f>
        <v>20190312164625175</v>
      </c>
      <c r="B6160" t="str">
        <f>"1552380385167330"</f>
        <v>1552380385167330</v>
      </c>
      <c r="C6160" t="s">
        <v>40</v>
      </c>
      <c r="D6160">
        <v>5.2704620000000002</v>
      </c>
      <c r="E6160">
        <v>0.4866472</v>
      </c>
      <c r="F6160" t="s">
        <v>52</v>
      </c>
      <c r="G6160">
        <v>-205.23330000000001</v>
      </c>
      <c r="H6160" s="1">
        <v>-3.0833850000000002E-6</v>
      </c>
      <c r="I6160">
        <v>-60.075659999999999</v>
      </c>
      <c r="J6160">
        <v>-219.6258</v>
      </c>
      <c r="K6160">
        <v>1.1097709999999901</v>
      </c>
      <c r="L6160">
        <v>-62.276429999999998</v>
      </c>
      <c r="M6160">
        <v>0.99988869999999996</v>
      </c>
      <c r="N6160">
        <v>0</v>
      </c>
      <c r="O6160">
        <v>-5.5173799999999997E-3</v>
      </c>
      <c r="P6160">
        <v>0.98495109999999997</v>
      </c>
      <c r="Q6160">
        <v>0.1352941</v>
      </c>
      <c r="R6160">
        <v>0.1075503</v>
      </c>
      <c r="S6160">
        <v>3.027679</v>
      </c>
      <c r="T6160">
        <v>-0.23058799999999999</v>
      </c>
      <c r="U6160">
        <v>0.45715329999999899</v>
      </c>
      <c r="V6160">
        <v>-0.1133083</v>
      </c>
      <c r="W6160">
        <v>0.14868319999999999</v>
      </c>
      <c r="X6160">
        <v>0.98237189999999996</v>
      </c>
      <c r="Y6160">
        <v>-0.1543002</v>
      </c>
      <c r="Z6160">
        <v>6.2516530000000002E-3</v>
      </c>
      <c r="AA6160">
        <v>0.9880042</v>
      </c>
      <c r="AB6160">
        <v>34</v>
      </c>
      <c r="AC6160">
        <v>14.392499999999901</v>
      </c>
      <c r="AD6160">
        <v>-1.1097740833849901</v>
      </c>
      <c r="AE6160">
        <v>2.2007699999999999</v>
      </c>
      <c r="AF6160">
        <v>-2.2669823692637801</v>
      </c>
      <c r="AG6160">
        <v>-1.1097740833849901</v>
      </c>
      <c r="AH6160">
        <v>14.297074511264899</v>
      </c>
      <c r="AI6160">
        <v>94.383987416023302</v>
      </c>
      <c r="AJ6160">
        <v>99.009961873716605</v>
      </c>
      <c r="AK6160">
        <v>14.5181661086849</v>
      </c>
      <c r="AL6160">
        <v>81.449376278196496</v>
      </c>
      <c r="AM6160">
        <v>96.579509734549902</v>
      </c>
      <c r="AN6160">
        <v>1.0000000073603601</v>
      </c>
    </row>
    <row r="6161" spans="1:40" x14ac:dyDescent="0.25">
      <c r="A6161" t="str">
        <f>"20190312164625184"</f>
        <v>20190312164625184</v>
      </c>
      <c r="B6161" t="str">
        <f>"1552380385177091"</f>
        <v>1552380385177091</v>
      </c>
      <c r="C6161" t="s">
        <v>40</v>
      </c>
      <c r="D6161">
        <v>5.2863049999999996</v>
      </c>
      <c r="E6161">
        <v>0.4866666</v>
      </c>
      <c r="F6161" t="s">
        <v>52</v>
      </c>
      <c r="G6161">
        <v>-205.06280000000001</v>
      </c>
      <c r="H6161" s="1">
        <v>-3.1921439999999998E-6</v>
      </c>
      <c r="I6161">
        <v>-60.054209999999998</v>
      </c>
      <c r="J6161">
        <v>-219.46549999999999</v>
      </c>
      <c r="K6161">
        <v>1.1097779999999999</v>
      </c>
      <c r="L6161">
        <v>-62.276890000000002</v>
      </c>
      <c r="M6161">
        <v>0.99989130000000004</v>
      </c>
      <c r="N6161">
        <v>0</v>
      </c>
      <c r="O6161">
        <v>-5.0424770000000001E-3</v>
      </c>
      <c r="P6161">
        <v>0.98474280000000003</v>
      </c>
      <c r="Q6161">
        <v>0.13545289999999999</v>
      </c>
      <c r="R6161">
        <v>0.1092455</v>
      </c>
      <c r="S6161">
        <v>3.0270839999999999</v>
      </c>
      <c r="T6161">
        <v>-0.23067979999999999</v>
      </c>
      <c r="U6161">
        <v>0.46191409999999999</v>
      </c>
      <c r="V6161">
        <v>-0.1145381</v>
      </c>
      <c r="W6161">
        <v>0.14883460000000001</v>
      </c>
      <c r="X6161">
        <v>0.98220629999999998</v>
      </c>
      <c r="Y6161">
        <v>-0.15537629999999999</v>
      </c>
      <c r="Z6161">
        <v>6.2593839999999998E-3</v>
      </c>
      <c r="AA6161">
        <v>0.98783549999999998</v>
      </c>
      <c r="AB6161">
        <v>34</v>
      </c>
      <c r="AC6161">
        <v>14.4026999999999</v>
      </c>
      <c r="AD6161">
        <v>-1.109781192144</v>
      </c>
      <c r="AE6161">
        <v>2.22268</v>
      </c>
      <c r="AF6161">
        <v>-2.2820500202090601</v>
      </c>
      <c r="AG6161">
        <v>-1.109781192144</v>
      </c>
      <c r="AH6161">
        <v>14.3083316737556</v>
      </c>
      <c r="AI6161">
        <v>94.379951427014802</v>
      </c>
      <c r="AJ6161">
        <v>99.0618386476458</v>
      </c>
      <c r="AK6161">
        <v>14.531611124557701</v>
      </c>
      <c r="AL6161">
        <v>81.440603729336601</v>
      </c>
      <c r="AM6161">
        <v>96.651395860571299</v>
      </c>
      <c r="AN6161">
        <v>0.99999996513422895</v>
      </c>
    </row>
    <row r="6162" spans="1:40" x14ac:dyDescent="0.25">
      <c r="A6162" t="str">
        <f>"20190312164625195"</f>
        <v>20190312164625195</v>
      </c>
      <c r="B6162" t="str">
        <f>"1552380385187827"</f>
        <v>1552380385187827</v>
      </c>
      <c r="C6162" t="s">
        <v>40</v>
      </c>
      <c r="D6162">
        <v>5.4787330000000001</v>
      </c>
      <c r="E6162">
        <v>0.48669889999999999</v>
      </c>
      <c r="F6162" t="s">
        <v>52</v>
      </c>
      <c r="G6162">
        <v>-204.80719999999999</v>
      </c>
      <c r="H6162" s="1">
        <v>-3.3347020000000001E-6</v>
      </c>
      <c r="I6162">
        <v>-60.01643</v>
      </c>
      <c r="J6162">
        <v>-219.3038</v>
      </c>
      <c r="K6162">
        <v>1.1097889999999999</v>
      </c>
      <c r="L6162">
        <v>-62.277189999999997</v>
      </c>
      <c r="M6162">
        <v>0.99989349999999999</v>
      </c>
      <c r="N6162">
        <v>0</v>
      </c>
      <c r="O6162">
        <v>-4.5504769999999998E-3</v>
      </c>
      <c r="P6162">
        <v>0.98453109999999999</v>
      </c>
      <c r="Q6162">
        <v>0.13546420000000001</v>
      </c>
      <c r="R6162">
        <v>0.1111205</v>
      </c>
      <c r="S6162">
        <v>3.0262150000000001</v>
      </c>
      <c r="T6162">
        <v>-0.2291156</v>
      </c>
      <c r="U6162">
        <v>0.4666748</v>
      </c>
      <c r="V6162">
        <v>-0.1159322</v>
      </c>
      <c r="W6162">
        <v>0.14883640000000001</v>
      </c>
      <c r="X6162">
        <v>0.98204250000000004</v>
      </c>
      <c r="Y6162">
        <v>-0.15645519999999999</v>
      </c>
      <c r="Z6162">
        <v>6.2216440000000001E-3</v>
      </c>
      <c r="AA6162">
        <v>0.98766549999999997</v>
      </c>
      <c r="AB6162">
        <v>34</v>
      </c>
      <c r="AC6162">
        <v>14.496600000000001</v>
      </c>
      <c r="AD6162">
        <v>-1.109792334702</v>
      </c>
      <c r="AE6162">
        <v>2.2607599999999901</v>
      </c>
      <c r="AF6162">
        <v>-2.31347268219811</v>
      </c>
      <c r="AG6162">
        <v>-1.109792334702</v>
      </c>
      <c r="AH6162">
        <v>14.403749304486</v>
      </c>
      <c r="AI6162">
        <v>94.350330851659393</v>
      </c>
      <c r="AJ6162">
        <v>99.124687156983796</v>
      </c>
      <c r="AK6162">
        <v>14.6305088395422</v>
      </c>
      <c r="AL6162">
        <v>81.440499825522494</v>
      </c>
      <c r="AM6162">
        <v>96.732727244030599</v>
      </c>
      <c r="AN6162">
        <v>1.0000000103840201</v>
      </c>
    </row>
    <row r="6163" spans="1:40" x14ac:dyDescent="0.25">
      <c r="A6163" t="str">
        <f>"20190312164625206"</f>
        <v>20190312164625206</v>
      </c>
      <c r="B6163" t="str">
        <f>"1552380385197589"</f>
        <v>1552380385197589</v>
      </c>
      <c r="C6163" t="s">
        <v>40</v>
      </c>
      <c r="D6163">
        <v>5.2834700000000003</v>
      </c>
      <c r="E6163">
        <v>0.48673870000000002</v>
      </c>
      <c r="F6163" t="s">
        <v>52</v>
      </c>
      <c r="G6163">
        <v>-204.58760000000001</v>
      </c>
      <c r="H6163" s="1">
        <v>-3.454167E-6</v>
      </c>
      <c r="I6163">
        <v>-59.982320000000001</v>
      </c>
      <c r="J6163">
        <v>-219.13669999999999</v>
      </c>
      <c r="K6163">
        <v>1.1098110000000001</v>
      </c>
      <c r="L6163">
        <v>-62.277500000000003</v>
      </c>
      <c r="M6163">
        <v>0.9998958</v>
      </c>
      <c r="N6163">
        <v>0</v>
      </c>
      <c r="O6163">
        <v>-4.0361570000000003E-3</v>
      </c>
      <c r="P6163">
        <v>0.98431239999999998</v>
      </c>
      <c r="Q6163">
        <v>0.13546129999999901</v>
      </c>
      <c r="R6163">
        <v>0.1130475</v>
      </c>
      <c r="S6163">
        <v>3.025299</v>
      </c>
      <c r="T6163">
        <v>-0.22814670000000001</v>
      </c>
      <c r="U6163">
        <v>0.4717712</v>
      </c>
      <c r="V6163">
        <v>-0.1173568</v>
      </c>
      <c r="W6163">
        <v>0.14882419999999999</v>
      </c>
      <c r="X6163">
        <v>0.9818751</v>
      </c>
      <c r="Y6163">
        <v>-0.1576187</v>
      </c>
      <c r="Z6163">
        <v>6.2015019999999898E-3</v>
      </c>
      <c r="AA6163">
        <v>0.98748060000000004</v>
      </c>
      <c r="AB6163">
        <v>34</v>
      </c>
      <c r="AC6163">
        <v>14.5490999999999</v>
      </c>
      <c r="AD6163">
        <v>-1.1098144541670001</v>
      </c>
      <c r="AE6163">
        <v>2.2951800000000002</v>
      </c>
      <c r="AF6163">
        <v>-2.34060076678466</v>
      </c>
      <c r="AG6163">
        <v>-1.1098144541670001</v>
      </c>
      <c r="AH6163">
        <v>14.457634477280401</v>
      </c>
      <c r="AI6163">
        <v>94.333397640134606</v>
      </c>
      <c r="AJ6163">
        <v>99.196041477230196</v>
      </c>
      <c r="AK6163">
        <v>14.6878621572643</v>
      </c>
      <c r="AL6163">
        <v>81.441206500835406</v>
      </c>
      <c r="AM6163">
        <v>96.815837967758995</v>
      </c>
      <c r="AN6163">
        <v>0.99999998650594402</v>
      </c>
    </row>
    <row r="6164" spans="1:40" x14ac:dyDescent="0.25">
      <c r="A6164" t="str">
        <f>"20190312164625218"</f>
        <v>20190312164625218</v>
      </c>
      <c r="B6164" t="str">
        <f>"1552380385207346"</f>
        <v>1552380385207346</v>
      </c>
      <c r="C6164" t="s">
        <v>40</v>
      </c>
      <c r="D6164">
        <v>5.2804099999999998</v>
      </c>
      <c r="E6164">
        <v>0.48677789999999999</v>
      </c>
      <c r="F6164" t="s">
        <v>52</v>
      </c>
      <c r="G6164">
        <v>-204.36429999999999</v>
      </c>
      <c r="H6164" s="1">
        <v>-3.5756379999999999E-6</v>
      </c>
      <c r="I6164">
        <v>-59.947619999999901</v>
      </c>
      <c r="J6164">
        <v>-218.96530000000001</v>
      </c>
      <c r="K6164">
        <v>1.109831</v>
      </c>
      <c r="L6164">
        <v>-62.277619999999999</v>
      </c>
      <c r="M6164">
        <v>0.99989799999999995</v>
      </c>
      <c r="N6164">
        <v>0</v>
      </c>
      <c r="O6164">
        <v>-3.4853969999999999E-3</v>
      </c>
      <c r="P6164">
        <v>0.98409869999999999</v>
      </c>
      <c r="Q6164">
        <v>0.1353433</v>
      </c>
      <c r="R6164">
        <v>0.1150322</v>
      </c>
      <c r="S6164">
        <v>3.0243069999999999</v>
      </c>
      <c r="T6164">
        <v>-0.22720860000000001</v>
      </c>
      <c r="U6164">
        <v>0.47698970000000002</v>
      </c>
      <c r="V6164">
        <v>-0.1188052</v>
      </c>
      <c r="W6164">
        <v>0.14869450000000001</v>
      </c>
      <c r="X6164">
        <v>0.98172060000000005</v>
      </c>
      <c r="Y6164">
        <v>-0.15878879999999901</v>
      </c>
      <c r="Z6164">
        <v>6.1797989999999997E-3</v>
      </c>
      <c r="AA6164">
        <v>0.98729319999999998</v>
      </c>
      <c r="AB6164">
        <v>34</v>
      </c>
      <c r="AC6164">
        <v>14.601000000000001</v>
      </c>
      <c r="AD6164">
        <v>-1.1098345756379999</v>
      </c>
      <c r="AE6164">
        <v>2.33</v>
      </c>
      <c r="AF6164">
        <v>-2.3675418618152899</v>
      </c>
      <c r="AG6164">
        <v>-1.1098345756379999</v>
      </c>
      <c r="AH6164">
        <v>14.511031839692</v>
      </c>
      <c r="AI6164">
        <v>94.316731442918794</v>
      </c>
      <c r="AJ6164">
        <v>99.266424385788895</v>
      </c>
      <c r="AK6164">
        <v>14.7447289668303</v>
      </c>
      <c r="AL6164">
        <v>81.4487217804095</v>
      </c>
      <c r="AM6164">
        <v>96.900227417323805</v>
      </c>
      <c r="AN6164">
        <v>1.0000000331708201</v>
      </c>
    </row>
    <row r="6165" spans="1:40" x14ac:dyDescent="0.25">
      <c r="A6165" t="str">
        <f>"20190312164625229"</f>
        <v>20190312164625229</v>
      </c>
      <c r="B6165" t="str">
        <f>"1552380385217107"</f>
        <v>1552380385217107</v>
      </c>
      <c r="C6165" t="s">
        <v>40</v>
      </c>
      <c r="D6165">
        <v>5.2842890000000002</v>
      </c>
      <c r="E6165">
        <v>0.48684169999999999</v>
      </c>
      <c r="F6165" t="s">
        <v>52</v>
      </c>
      <c r="G6165">
        <v>-204.1617</v>
      </c>
      <c r="H6165" s="1">
        <v>-3.6858389999999999E-6</v>
      </c>
      <c r="I6165">
        <v>-59.916170000000001</v>
      </c>
      <c r="J6165">
        <v>-218.79470000000001</v>
      </c>
      <c r="K6165">
        <v>1.1098539999999999</v>
      </c>
      <c r="L6165">
        <v>-62.277709999999999</v>
      </c>
      <c r="M6165">
        <v>0.99989969999999995</v>
      </c>
      <c r="N6165">
        <v>0</v>
      </c>
      <c r="O6165">
        <v>-2.9306850000000001E-3</v>
      </c>
      <c r="P6165">
        <v>0.98388240000000005</v>
      </c>
      <c r="Q6165">
        <v>0.13537539999999901</v>
      </c>
      <c r="R6165">
        <v>0.1168295</v>
      </c>
      <c r="S6165">
        <v>3.023285</v>
      </c>
      <c r="T6165">
        <v>-0.226657</v>
      </c>
      <c r="U6165">
        <v>0.48226930000000001</v>
      </c>
      <c r="V6165">
        <v>-0.120064</v>
      </c>
      <c r="W6165">
        <v>0.14871429999999999</v>
      </c>
      <c r="X6165">
        <v>0.9815644</v>
      </c>
      <c r="Y6165">
        <v>-0.15997449999999999</v>
      </c>
      <c r="Z6165">
        <v>6.168883E-3</v>
      </c>
      <c r="AA6165">
        <v>0.98710189999999998</v>
      </c>
      <c r="AB6165">
        <v>34</v>
      </c>
      <c r="AC6165">
        <v>14.632999999999999</v>
      </c>
      <c r="AD6165">
        <v>-1.1098576858389999</v>
      </c>
      <c r="AE6165">
        <v>2.3615400000000002</v>
      </c>
      <c r="AF6165">
        <v>-2.39101317533237</v>
      </c>
      <c r="AG6165">
        <v>-1.1098576858389999</v>
      </c>
      <c r="AH6165">
        <v>14.5444701742659</v>
      </c>
      <c r="AI6165">
        <v>94.306086228244098</v>
      </c>
      <c r="AJ6165">
        <v>99.335540699796894</v>
      </c>
      <c r="AK6165">
        <v>14.7814187660569</v>
      </c>
      <c r="AL6165">
        <v>81.447574190380806</v>
      </c>
      <c r="AM6165">
        <v>96.973721412241702</v>
      </c>
      <c r="AN6165">
        <v>0.99999998923392497</v>
      </c>
    </row>
    <row r="6166" spans="1:40" x14ac:dyDescent="0.25">
      <c r="A6166" t="str">
        <f>"20190312164625241"</f>
        <v>20190312164625241</v>
      </c>
      <c r="B6166" t="str">
        <f>"1552380385237183"</f>
        <v>1552380385237183</v>
      </c>
      <c r="C6166" t="s">
        <v>40</v>
      </c>
      <c r="D6166">
        <v>5.3041460000000002</v>
      </c>
      <c r="E6166">
        <v>0.48696529999999999</v>
      </c>
      <c r="F6166" t="s">
        <v>52</v>
      </c>
      <c r="G6166">
        <v>-203.9357</v>
      </c>
      <c r="H6166" s="1">
        <v>-3.808114E-6</v>
      </c>
      <c r="I6166">
        <v>-59.884079999999997</v>
      </c>
      <c r="J6166">
        <v>-218.6198</v>
      </c>
      <c r="K6166">
        <v>1.1098809999999999</v>
      </c>
      <c r="L6166">
        <v>-62.277650000000001</v>
      </c>
      <c r="M6166">
        <v>0.99990120000000005</v>
      </c>
      <c r="N6166">
        <v>0</v>
      </c>
      <c r="O6166">
        <v>-2.3266379999999998E-3</v>
      </c>
      <c r="P6166">
        <v>0.98360970000000003</v>
      </c>
      <c r="Q6166">
        <v>0.13535749999999999</v>
      </c>
      <c r="R6166">
        <v>0.1191233</v>
      </c>
      <c r="S6166">
        <v>3.0224000000000002</v>
      </c>
      <c r="T6166">
        <v>-0.2257507</v>
      </c>
      <c r="U6166">
        <v>0.48687740000000002</v>
      </c>
      <c r="V6166">
        <v>-0.1217733</v>
      </c>
      <c r="W6166">
        <v>0.1486808</v>
      </c>
      <c r="X6166">
        <v>0.98135890000000003</v>
      </c>
      <c r="Y6166">
        <v>-0.16089289999999901</v>
      </c>
      <c r="Z6166">
        <v>6.1345790000000002E-3</v>
      </c>
      <c r="AA6166">
        <v>0.98695279999999996</v>
      </c>
      <c r="AB6166">
        <v>34</v>
      </c>
      <c r="AC6166">
        <v>14.684100000000001</v>
      </c>
      <c r="AD6166">
        <v>-1.10988480811399</v>
      </c>
      <c r="AE6166">
        <v>2.3935699999999902</v>
      </c>
      <c r="AF6166">
        <v>-2.4142956091493901</v>
      </c>
      <c r="AG6166">
        <v>-1.10988480811399</v>
      </c>
      <c r="AH6166">
        <v>14.597255657423901</v>
      </c>
      <c r="AI6166">
        <v>94.289991092337203</v>
      </c>
      <c r="AJ6166">
        <v>99.391348885656001</v>
      </c>
      <c r="AK6166">
        <v>14.837133830488799</v>
      </c>
      <c r="AL6166">
        <v>81.449515302517796</v>
      </c>
      <c r="AM6166">
        <v>97.073470858858997</v>
      </c>
      <c r="AN6166">
        <v>1.00000000374537</v>
      </c>
    </row>
    <row r="6167" spans="1:40" x14ac:dyDescent="0.25">
      <c r="A6167" t="str">
        <f>"20190312164625253"</f>
        <v>20190312164625253</v>
      </c>
      <c r="B6167" t="str">
        <f>"1552380385246943"</f>
        <v>1552380385246943</v>
      </c>
      <c r="C6167" t="s">
        <v>40</v>
      </c>
      <c r="D6167">
        <v>5.5753769999999996</v>
      </c>
      <c r="E6167">
        <v>0.48703350000000001</v>
      </c>
      <c r="F6167" t="s">
        <v>52</v>
      </c>
      <c r="G6167">
        <v>-203.88329999999999</v>
      </c>
      <c r="H6167" s="1">
        <v>-3.8367320000000001E-6</v>
      </c>
      <c r="I6167">
        <v>-59.875459999999997</v>
      </c>
      <c r="J6167">
        <v>-218.4359</v>
      </c>
      <c r="K6167">
        <v>1.1099139999999901</v>
      </c>
      <c r="L6167">
        <v>-62.277500000000003</v>
      </c>
      <c r="M6167">
        <v>0.99990270000000003</v>
      </c>
      <c r="N6167">
        <v>0</v>
      </c>
      <c r="O6167">
        <v>-1.6778489999999999E-3</v>
      </c>
      <c r="P6167">
        <v>0.98330839999999997</v>
      </c>
      <c r="Q6167">
        <v>0.1356598</v>
      </c>
      <c r="R6167">
        <v>0.121249499999999</v>
      </c>
      <c r="S6167">
        <v>3.0216219999999998</v>
      </c>
      <c r="T6167">
        <v>-0.22757469999999999</v>
      </c>
      <c r="U6167">
        <v>0.49255369999999998</v>
      </c>
      <c r="V6167">
        <v>-0.1232737</v>
      </c>
      <c r="W6167">
        <v>0.1489666</v>
      </c>
      <c r="X6167">
        <v>0.98112820000000001</v>
      </c>
      <c r="Y6167">
        <v>-0.16209029999999999</v>
      </c>
      <c r="Z6167">
        <v>6.1809019999999899E-3</v>
      </c>
      <c r="AA6167">
        <v>0.98675659999999998</v>
      </c>
      <c r="AB6167">
        <v>34</v>
      </c>
      <c r="AC6167">
        <v>14.5526</v>
      </c>
      <c r="AD6167">
        <v>-1.109917836732</v>
      </c>
      <c r="AE6167">
        <v>2.40204</v>
      </c>
      <c r="AF6167">
        <v>-2.4127930052075302</v>
      </c>
      <c r="AG6167">
        <v>-1.109917836732</v>
      </c>
      <c r="AH6167">
        <v>14.466628107903301</v>
      </c>
      <c r="AI6167">
        <v>94.327741246801693</v>
      </c>
      <c r="AJ6167">
        <v>99.468828039054699</v>
      </c>
      <c r="AK6167">
        <v>14.7083927232941</v>
      </c>
      <c r="AL6167">
        <v>81.4329557158661</v>
      </c>
      <c r="AM6167">
        <v>97.161391904880304</v>
      </c>
      <c r="AN6167">
        <v>0.99999999893124403</v>
      </c>
    </row>
    <row r="6168" spans="1:40" x14ac:dyDescent="0.25">
      <c r="A6168" t="str">
        <f>"20190312164625263"</f>
        <v>20190312164625263</v>
      </c>
      <c r="B6168" t="str">
        <f>"1552380385257680"</f>
        <v>1552380385257680</v>
      </c>
      <c r="C6168" t="s">
        <v>40</v>
      </c>
      <c r="D6168">
        <v>5.2833329999999998</v>
      </c>
      <c r="E6168">
        <v>0.48709930000000001</v>
      </c>
      <c r="F6168" t="s">
        <v>52</v>
      </c>
      <c r="G6168">
        <v>-203.60169999999999</v>
      </c>
      <c r="H6168" s="1">
        <v>-3.9899009999999999E-6</v>
      </c>
      <c r="I6168">
        <v>-59.831819999999901</v>
      </c>
      <c r="J6168">
        <v>-218.27019999999999</v>
      </c>
      <c r="K6168">
        <v>1.109947</v>
      </c>
      <c r="L6168">
        <v>-62.277160000000002</v>
      </c>
      <c r="M6168">
        <v>0.9999034</v>
      </c>
      <c r="N6168">
        <v>0</v>
      </c>
      <c r="O6168">
        <v>-1.0687590000000001E-3</v>
      </c>
      <c r="P6168">
        <v>0.98296539999999999</v>
      </c>
      <c r="Q6168">
        <v>0.13600699999999999</v>
      </c>
      <c r="R6168">
        <v>0.1236178</v>
      </c>
      <c r="S6168">
        <v>3.0207060000000001</v>
      </c>
      <c r="T6168">
        <v>-0.2260134</v>
      </c>
      <c r="U6168">
        <v>0.49801640000000003</v>
      </c>
      <c r="V6168">
        <v>-0.12505479999999999</v>
      </c>
      <c r="W6168">
        <v>0.14929519999999999</v>
      </c>
      <c r="X6168">
        <v>0.98085279999999997</v>
      </c>
      <c r="Y6168">
        <v>-0.163278799999999</v>
      </c>
      <c r="Z6168">
        <v>6.1384530000000003E-3</v>
      </c>
      <c r="AA6168">
        <v>0.98656089999999996</v>
      </c>
      <c r="AB6168">
        <v>34</v>
      </c>
      <c r="AC6168">
        <v>14.6684999999999</v>
      </c>
      <c r="AD6168">
        <v>-1.1099509899010001</v>
      </c>
      <c r="AE6168">
        <v>2.4453399999999998</v>
      </c>
      <c r="AF6168">
        <v>-2.4473828882166799</v>
      </c>
      <c r="AG6168">
        <v>-1.1099509899010001</v>
      </c>
      <c r="AH6168">
        <v>14.5846272787467</v>
      </c>
      <c r="AI6168">
        <v>94.292274683939894</v>
      </c>
      <c r="AJ6168">
        <v>99.525805745343703</v>
      </c>
      <c r="AK6168">
        <v>14.8301391450479</v>
      </c>
      <c r="AL6168">
        <v>81.413915304773397</v>
      </c>
      <c r="AM6168">
        <v>97.265782436142999</v>
      </c>
      <c r="AN6168">
        <v>0.99999998750695995</v>
      </c>
    </row>
    <row r="6169" spans="1:40" x14ac:dyDescent="0.25">
      <c r="A6169" t="str">
        <f>"20190312164625274"</f>
        <v>20190312164625274</v>
      </c>
      <c r="B6169" t="str">
        <f>"1552380385267440"</f>
        <v>1552380385267440</v>
      </c>
      <c r="C6169" t="s">
        <v>40</v>
      </c>
      <c r="D6169">
        <v>5.3323660000000004</v>
      </c>
      <c r="E6169">
        <v>0.4871511</v>
      </c>
      <c r="F6169" t="s">
        <v>52</v>
      </c>
      <c r="G6169">
        <v>-203.3288</v>
      </c>
      <c r="H6169" s="1">
        <v>-4.1400430000000003E-6</v>
      </c>
      <c r="I6169">
        <v>-59.781660000000002</v>
      </c>
      <c r="J6169">
        <v>-218.1103</v>
      </c>
      <c r="K6169">
        <v>1.109979</v>
      </c>
      <c r="L6169">
        <v>-62.276789999999998</v>
      </c>
      <c r="M6169">
        <v>0.99990389999999996</v>
      </c>
      <c r="N6169">
        <v>0</v>
      </c>
      <c r="O6169">
        <v>-4.578618E-4</v>
      </c>
      <c r="P6169">
        <v>0.98269470000000003</v>
      </c>
      <c r="Q6169">
        <v>0.1363712</v>
      </c>
      <c r="R6169">
        <v>0.125356</v>
      </c>
      <c r="S6169">
        <v>3.0196079999999998</v>
      </c>
      <c r="T6169">
        <v>-0.22431770000000001</v>
      </c>
      <c r="U6169">
        <v>0.50433349999999999</v>
      </c>
      <c r="V6169">
        <v>-0.12620509999999999</v>
      </c>
      <c r="W6169">
        <v>0.14964359999999999</v>
      </c>
      <c r="X6169">
        <v>0.98065239999999998</v>
      </c>
      <c r="Y6169">
        <v>-0.16474639999999999</v>
      </c>
      <c r="Z6169">
        <v>6.1027159999999898E-3</v>
      </c>
      <c r="AA6169">
        <v>0.98631709999999995</v>
      </c>
      <c r="AB6169">
        <v>34</v>
      </c>
      <c r="AC6169">
        <v>14.7814999999999</v>
      </c>
      <c r="AD6169">
        <v>-1.109983140043</v>
      </c>
      <c r="AE6169">
        <v>2.4951300000000098</v>
      </c>
      <c r="AF6169">
        <v>-2.4882559236517698</v>
      </c>
      <c r="AG6169">
        <v>-1.109983140043</v>
      </c>
      <c r="AH6169">
        <v>14.6997616041599</v>
      </c>
      <c r="AI6169">
        <v>94.257883505384996</v>
      </c>
      <c r="AJ6169">
        <v>99.607492673788798</v>
      </c>
      <c r="AK6169">
        <v>14.9501328198749</v>
      </c>
      <c r="AL6169">
        <v>81.393727048170206</v>
      </c>
      <c r="AM6169">
        <v>97.333373800575501</v>
      </c>
      <c r="AN6169">
        <v>1.00000003195636</v>
      </c>
    </row>
    <row r="6170" spans="1:40" x14ac:dyDescent="0.25">
      <c r="A6170" t="str">
        <f>"20190312164625285"</f>
        <v>20190312164625285</v>
      </c>
      <c r="B6170" t="str">
        <f>"1552380385277199"</f>
        <v>1552380385277199</v>
      </c>
      <c r="C6170" t="s">
        <v>40</v>
      </c>
      <c r="D6170">
        <v>5.3396150000000002</v>
      </c>
      <c r="E6170">
        <v>0.48722779999999999</v>
      </c>
      <c r="F6170" t="s">
        <v>52</v>
      </c>
      <c r="G6170">
        <v>-203.04849999999999</v>
      </c>
      <c r="H6170" s="1">
        <v>-4.2929510000000004E-6</v>
      </c>
      <c r="I6170">
        <v>-59.736139999999999</v>
      </c>
      <c r="J6170">
        <v>-217.9392</v>
      </c>
      <c r="K6170">
        <v>1.1100159999999999</v>
      </c>
      <c r="L6170">
        <v>-62.276249999999997</v>
      </c>
      <c r="M6170">
        <v>0.99990389999999996</v>
      </c>
      <c r="N6170">
        <v>0</v>
      </c>
      <c r="O6170">
        <v>2.1854320000000001E-4</v>
      </c>
      <c r="P6170">
        <v>0.98221199999999997</v>
      </c>
      <c r="Q6170">
        <v>0.13708879999999901</v>
      </c>
      <c r="R6170">
        <v>0.12832069999999901</v>
      </c>
      <c r="S6170">
        <v>3.0187840000000001</v>
      </c>
      <c r="T6170">
        <v>-0.22247059999999999</v>
      </c>
      <c r="U6170">
        <v>0.50921629999999996</v>
      </c>
      <c r="V6170">
        <v>-0.12852069999999999</v>
      </c>
      <c r="W6170">
        <v>0.15033759999999999</v>
      </c>
      <c r="X6170">
        <v>0.98024540000000004</v>
      </c>
      <c r="Y6170">
        <v>-0.16568099999999999</v>
      </c>
      <c r="Z6170">
        <v>6.0381380000000002E-3</v>
      </c>
      <c r="AA6170">
        <v>0.98616090000000001</v>
      </c>
      <c r="AB6170">
        <v>34</v>
      </c>
      <c r="AC6170">
        <v>14.890700000000001</v>
      </c>
      <c r="AD6170">
        <v>-1.1100202929509999</v>
      </c>
      <c r="AE6170">
        <v>2.5401099999999901</v>
      </c>
      <c r="AF6170">
        <v>-2.5232305234363901</v>
      </c>
      <c r="AG6170">
        <v>-1.1100202929509999</v>
      </c>
      <c r="AH6170">
        <v>14.8112774618491</v>
      </c>
      <c r="AI6170">
        <v>94.225327582748406</v>
      </c>
      <c r="AJ6170">
        <v>99.668020924514494</v>
      </c>
      <c r="AK6170">
        <v>15.065615731759699</v>
      </c>
      <c r="AL6170">
        <v>81.353508564343898</v>
      </c>
      <c r="AM6170">
        <v>97.469486291615894</v>
      </c>
      <c r="AN6170">
        <v>1.0000000042617001</v>
      </c>
    </row>
    <row r="6171" spans="1:40" x14ac:dyDescent="0.25">
      <c r="A6171" t="str">
        <f>"20190312164625296"</f>
        <v>20190312164625296</v>
      </c>
      <c r="B6171" t="str">
        <f>"1552380385286959"</f>
        <v>1552380385286959</v>
      </c>
      <c r="C6171" t="s">
        <v>40</v>
      </c>
      <c r="D6171">
        <v>5.4649470000000004</v>
      </c>
      <c r="E6171">
        <v>0.48731600000000003</v>
      </c>
      <c r="F6171" t="s">
        <v>52</v>
      </c>
      <c r="G6171">
        <v>-202.68530000000001</v>
      </c>
      <c r="H6171" s="1">
        <v>-4.4945119999999901E-6</v>
      </c>
      <c r="I6171">
        <v>-59.661740000000002</v>
      </c>
      <c r="J6171">
        <v>-217.76830000000001</v>
      </c>
      <c r="K6171">
        <v>1.1100620000000001</v>
      </c>
      <c r="L6171">
        <v>-62.275509999999997</v>
      </c>
      <c r="M6171">
        <v>0.9999036</v>
      </c>
      <c r="N6171">
        <v>0</v>
      </c>
      <c r="O6171">
        <v>9.3518089999999996E-4</v>
      </c>
      <c r="P6171">
        <v>0.98180259999999997</v>
      </c>
      <c r="Q6171">
        <v>0.13756499999999999</v>
      </c>
      <c r="R6171">
        <v>0.13091910000000001</v>
      </c>
      <c r="S6171">
        <v>3.0174099999999999</v>
      </c>
      <c r="T6171">
        <v>-0.21957550000000001</v>
      </c>
      <c r="U6171">
        <v>0.51718140000000001</v>
      </c>
      <c r="V6171">
        <v>-0.13043289999999999</v>
      </c>
      <c r="W6171">
        <v>0.1507897</v>
      </c>
      <c r="X6171">
        <v>0.97992330000000005</v>
      </c>
      <c r="Y6171">
        <v>-0.1675856</v>
      </c>
      <c r="Z6171">
        <v>5.9781280000000001E-3</v>
      </c>
      <c r="AA6171">
        <v>0.98583940000000003</v>
      </c>
      <c r="AB6171">
        <v>34</v>
      </c>
      <c r="AC6171">
        <v>15.082999999999901</v>
      </c>
      <c r="AD6171">
        <v>-1.110066494512</v>
      </c>
      <c r="AE6171">
        <v>2.6137699999999899</v>
      </c>
      <c r="AF6171">
        <v>-2.58606302340571</v>
      </c>
      <c r="AG6171">
        <v>-1.110066494512</v>
      </c>
      <c r="AH6171">
        <v>15.0065242409751</v>
      </c>
      <c r="AI6171">
        <v>94.169357977138603</v>
      </c>
      <c r="AJ6171">
        <v>99.777702675782606</v>
      </c>
      <c r="AK6171">
        <v>15.2681282211749</v>
      </c>
      <c r="AL6171">
        <v>81.3273061859759</v>
      </c>
      <c r="AM6171">
        <v>97.581800980135796</v>
      </c>
      <c r="AN6171">
        <v>0.999999974455694</v>
      </c>
    </row>
    <row r="6172" spans="1:40" x14ac:dyDescent="0.25">
      <c r="A6172" t="str">
        <f>"20190312164625307"</f>
        <v>20190312164625307</v>
      </c>
      <c r="B6172" t="str">
        <f>"1552380385297696"</f>
        <v>1552380385297696</v>
      </c>
      <c r="C6172" t="s">
        <v>40</v>
      </c>
      <c r="D6172">
        <v>5.4022899999999998</v>
      </c>
      <c r="E6172">
        <v>0.4873943</v>
      </c>
      <c r="F6172" t="s">
        <v>52</v>
      </c>
      <c r="G6172">
        <v>-202.37370000000001</v>
      </c>
      <c r="H6172" s="1">
        <v>-4.6667279999999996E-6</v>
      </c>
      <c r="I6172">
        <v>-59.601260000000003</v>
      </c>
      <c r="J6172">
        <v>-217.602</v>
      </c>
      <c r="K6172">
        <v>1.110109</v>
      </c>
      <c r="L6172">
        <v>-62.274720000000002</v>
      </c>
      <c r="M6172">
        <v>0.99990259999999997</v>
      </c>
      <c r="N6172">
        <v>0</v>
      </c>
      <c r="O6172">
        <v>1.6485460000000001E-3</v>
      </c>
      <c r="P6172">
        <v>0.98129120000000003</v>
      </c>
      <c r="Q6172">
        <v>0.13843349999999999</v>
      </c>
      <c r="R6172">
        <v>0.1338058</v>
      </c>
      <c r="S6172">
        <v>3.0162049999999998</v>
      </c>
      <c r="T6172">
        <v>-0.21749080000000001</v>
      </c>
      <c r="U6172">
        <v>0.52395630000000004</v>
      </c>
      <c r="V6172">
        <v>-0.13263849999999999</v>
      </c>
      <c r="W6172">
        <v>0.151632399999999</v>
      </c>
      <c r="X6172">
        <v>0.97949710000000001</v>
      </c>
      <c r="Y6172">
        <v>-0.1691039</v>
      </c>
      <c r="Z6172">
        <v>5.9259909999999898E-3</v>
      </c>
      <c r="AA6172">
        <v>0.98558040000000002</v>
      </c>
      <c r="AB6172">
        <v>34</v>
      </c>
      <c r="AC6172">
        <v>15.2282999999999</v>
      </c>
      <c r="AD6172">
        <v>-1.110113666728</v>
      </c>
      <c r="AE6172">
        <v>2.6734599999999902</v>
      </c>
      <c r="AF6172">
        <v>-2.6347665491323</v>
      </c>
      <c r="AG6172">
        <v>-1.110113666728</v>
      </c>
      <c r="AH6172">
        <v>15.154561651027301</v>
      </c>
      <c r="AI6172">
        <v>94.127887828920507</v>
      </c>
      <c r="AJ6172">
        <v>99.862836643408997</v>
      </c>
      <c r="AK6172">
        <v>15.421902799469001</v>
      </c>
      <c r="AL6172">
        <v>81.278461284236499</v>
      </c>
      <c r="AM6172">
        <v>97.711792906769503</v>
      </c>
      <c r="AN6172">
        <v>0.99999996266020896</v>
      </c>
    </row>
    <row r="6173" spans="1:40" x14ac:dyDescent="0.25">
      <c r="A6173" t="str">
        <f>"20190312164625318"</f>
        <v>20190312164625318</v>
      </c>
      <c r="B6173" t="str">
        <f>"1552380385307456"</f>
        <v>1552380385307456</v>
      </c>
      <c r="C6173" t="s">
        <v>40</v>
      </c>
      <c r="D6173">
        <v>5.2897179999999997</v>
      </c>
      <c r="E6173">
        <v>0.48749720000000002</v>
      </c>
      <c r="F6173" t="s">
        <v>52</v>
      </c>
      <c r="G6173">
        <v>-201.96729999999999</v>
      </c>
      <c r="H6173" s="1">
        <v>-4.8925589999999999E-6</v>
      </c>
      <c r="I6173">
        <v>-59.516570000000002</v>
      </c>
      <c r="J6173">
        <v>-217.4358</v>
      </c>
      <c r="K6173">
        <v>1.1101639999999999</v>
      </c>
      <c r="L6173">
        <v>-62.273679999999999</v>
      </c>
      <c r="M6173">
        <v>0.99990109999999999</v>
      </c>
      <c r="N6173">
        <v>0</v>
      </c>
      <c r="O6173">
        <v>2.4195089999999998E-3</v>
      </c>
      <c r="P6173">
        <v>0.98073299999999997</v>
      </c>
      <c r="Q6173">
        <v>0.13934879999999999</v>
      </c>
      <c r="R6173">
        <v>0.13691220000000001</v>
      </c>
      <c r="S6173">
        <v>3.0148769999999998</v>
      </c>
      <c r="T6173">
        <v>-0.2140657</v>
      </c>
      <c r="U6173">
        <v>0.53186040000000001</v>
      </c>
      <c r="V6173">
        <v>-0.13501089999999999</v>
      </c>
      <c r="W6173">
        <v>0.1525175</v>
      </c>
      <c r="X6173">
        <v>0.97903549999999995</v>
      </c>
      <c r="Y6173">
        <v>-0.17093449999999999</v>
      </c>
      <c r="Z6173">
        <v>5.8442719999999898E-3</v>
      </c>
      <c r="AA6173">
        <v>0.9852651</v>
      </c>
      <c r="AB6173">
        <v>34</v>
      </c>
      <c r="AC6173">
        <v>15.468500000000001</v>
      </c>
      <c r="AD6173">
        <v>-1.1101688925590001</v>
      </c>
      <c r="AE6173">
        <v>2.7571100000000102</v>
      </c>
      <c r="AF6173">
        <v>-2.7061622402549501</v>
      </c>
      <c r="AG6173">
        <v>-1.1101688925590001</v>
      </c>
      <c r="AH6173">
        <v>15.398253805824799</v>
      </c>
      <c r="AI6173">
        <v>94.061687399864695</v>
      </c>
      <c r="AJ6173">
        <v>99.967643236061207</v>
      </c>
      <c r="AK6173">
        <v>15.673608688147899</v>
      </c>
      <c r="AL6173">
        <v>81.227152518230696</v>
      </c>
      <c r="AM6173">
        <v>97.851677726673103</v>
      </c>
      <c r="AN6173">
        <v>1.00000002059265</v>
      </c>
    </row>
    <row r="6174" spans="1:40" x14ac:dyDescent="0.25">
      <c r="A6174" t="str">
        <f>"20190312164625330"</f>
        <v>20190312164625330</v>
      </c>
      <c r="B6174" t="str">
        <f>"1552380385327541"</f>
        <v>1552380385327541</v>
      </c>
      <c r="C6174" t="s">
        <v>40</v>
      </c>
      <c r="D6174">
        <v>5.4325419999999998</v>
      </c>
      <c r="E6174">
        <v>0.48763289999999998</v>
      </c>
      <c r="F6174" t="s">
        <v>52</v>
      </c>
      <c r="G6174">
        <v>-201.6164</v>
      </c>
      <c r="H6174" s="1">
        <v>-5.088958E-6</v>
      </c>
      <c r="I6174">
        <v>-59.437220000000003</v>
      </c>
      <c r="J6174">
        <v>-217.25980000000001</v>
      </c>
      <c r="K6174">
        <v>1.110222</v>
      </c>
      <c r="L6174">
        <v>-62.272550000000003</v>
      </c>
      <c r="M6174">
        <v>0.99989879999999998</v>
      </c>
      <c r="N6174">
        <v>0</v>
      </c>
      <c r="O6174">
        <v>3.2516789999999999E-3</v>
      </c>
      <c r="P6174">
        <v>0.98017719999999997</v>
      </c>
      <c r="Q6174">
        <v>0.14024729999999999</v>
      </c>
      <c r="R6174">
        <v>0.139940799999999</v>
      </c>
      <c r="S6174">
        <v>3.0135800000000001</v>
      </c>
      <c r="T6174">
        <v>-0.21148629999999999</v>
      </c>
      <c r="U6174">
        <v>0.54034419999999905</v>
      </c>
      <c r="V6174">
        <v>-0.1372486</v>
      </c>
      <c r="W6174">
        <v>0.15338460000000001</v>
      </c>
      <c r="X6174">
        <v>0.97858880000000004</v>
      </c>
      <c r="Y6174">
        <v>-0.17288249999999999</v>
      </c>
      <c r="Z6174">
        <v>5.7849210000000002E-3</v>
      </c>
      <c r="AA6174">
        <v>0.98492539999999995</v>
      </c>
      <c r="AB6174">
        <v>34</v>
      </c>
      <c r="AC6174">
        <v>15.6434</v>
      </c>
      <c r="AD6174">
        <v>-1.1102270889579999</v>
      </c>
      <c r="AE6174">
        <v>2.8353299999999999</v>
      </c>
      <c r="AF6174">
        <v>-2.7709298894510002</v>
      </c>
      <c r="AG6174">
        <v>-1.1102270889579999</v>
      </c>
      <c r="AH6174">
        <v>15.576575856809599</v>
      </c>
      <c r="AI6174">
        <v>94.014079149770495</v>
      </c>
      <c r="AJ6174">
        <v>100.08687641225799</v>
      </c>
      <c r="AK6174">
        <v>15.860024339964101</v>
      </c>
      <c r="AL6174">
        <v>81.176879880352203</v>
      </c>
      <c r="AM6174">
        <v>97.983745828497405</v>
      </c>
      <c r="AN6174">
        <v>1.0000000266022699</v>
      </c>
    </row>
    <row r="6175" spans="1:40" x14ac:dyDescent="0.25">
      <c r="A6175" t="str">
        <f>"20190312164625341"</f>
        <v>20190312164625341</v>
      </c>
      <c r="B6175" t="str">
        <f>"1552380385337304"</f>
        <v>1552380385337304</v>
      </c>
      <c r="C6175" t="s">
        <v>40</v>
      </c>
      <c r="D6175">
        <v>5.4484949999999897</v>
      </c>
      <c r="E6175">
        <v>0.48770219999999997</v>
      </c>
      <c r="F6175" t="s">
        <v>52</v>
      </c>
      <c r="G6175">
        <v>-201.1199</v>
      </c>
      <c r="H6175" s="1">
        <v>-5.3650390000000003E-6</v>
      </c>
      <c r="I6175">
        <v>-59.333109999999998</v>
      </c>
      <c r="J6175">
        <v>-217.08799999999999</v>
      </c>
      <c r="K6175">
        <v>1.1102890000000001</v>
      </c>
      <c r="L6175">
        <v>-62.271180000000001</v>
      </c>
      <c r="M6175">
        <v>0.9998956</v>
      </c>
      <c r="N6175">
        <v>0</v>
      </c>
      <c r="O6175">
        <v>4.1275959999999999E-3</v>
      </c>
      <c r="P6175">
        <v>0.97955979999999998</v>
      </c>
      <c r="Q6175">
        <v>0.1409357</v>
      </c>
      <c r="R6175">
        <v>0.14352690000000001</v>
      </c>
      <c r="S6175">
        <v>3.0119929999999999</v>
      </c>
      <c r="T6175">
        <v>-0.20718800000000001</v>
      </c>
      <c r="U6175">
        <v>0.54855350000000003</v>
      </c>
      <c r="V6175">
        <v>-0.1400026</v>
      </c>
      <c r="W6175">
        <v>0.15403710000000001</v>
      </c>
      <c r="X6175">
        <v>0.97809599999999997</v>
      </c>
      <c r="Y6175">
        <v>-0.17472299999999999</v>
      </c>
      <c r="Z6175">
        <v>5.6722200000000004E-3</v>
      </c>
      <c r="AA6175">
        <v>0.98460130000000001</v>
      </c>
      <c r="AB6175">
        <v>34</v>
      </c>
      <c r="AC6175">
        <v>15.9680999999999</v>
      </c>
      <c r="AD6175">
        <v>-1.11029436503899</v>
      </c>
      <c r="AE6175">
        <v>2.93807000000001</v>
      </c>
      <c r="AF6175">
        <v>-2.8587601166065499</v>
      </c>
      <c r="AG6175">
        <v>-1.11029436503899</v>
      </c>
      <c r="AH6175">
        <v>15.9057110391943</v>
      </c>
      <c r="AI6175">
        <v>93.930267011050603</v>
      </c>
      <c r="AJ6175">
        <v>100.189081719789</v>
      </c>
      <c r="AK6175">
        <v>16.198669903534899</v>
      </c>
      <c r="AL6175">
        <v>81.139044247566005</v>
      </c>
      <c r="AM6175">
        <v>98.145865782525902</v>
      </c>
      <c r="AN6175">
        <v>0.99999997069958402</v>
      </c>
    </row>
    <row r="6176" spans="1:40" x14ac:dyDescent="0.25">
      <c r="A6176" t="str">
        <f>"20190312164625353"</f>
        <v>20190312164625353</v>
      </c>
      <c r="B6176" t="str">
        <f>"1552380385347060"</f>
        <v>1552380385347060</v>
      </c>
      <c r="C6176" t="s">
        <v>40</v>
      </c>
      <c r="D6176">
        <v>5.3529390000000001</v>
      </c>
      <c r="E6176">
        <v>0.48778270000000001</v>
      </c>
      <c r="F6176" t="s">
        <v>52</v>
      </c>
      <c r="G6176">
        <v>-200.7424</v>
      </c>
      <c r="H6176" s="1">
        <v>-5.5787499999999997E-6</v>
      </c>
      <c r="I6176">
        <v>-59.236609999999999</v>
      </c>
      <c r="J6176">
        <v>-216.90950000000001</v>
      </c>
      <c r="K6176">
        <v>1.110357</v>
      </c>
      <c r="L6176">
        <v>-62.269559999999998</v>
      </c>
      <c r="M6176">
        <v>0.99989119999999998</v>
      </c>
      <c r="N6176">
        <v>0</v>
      </c>
      <c r="O6176">
        <v>5.0648739999999996E-3</v>
      </c>
      <c r="P6176">
        <v>0.97895480000000001</v>
      </c>
      <c r="Q6176">
        <v>0.14152200000000001</v>
      </c>
      <c r="R6176">
        <v>0.14703459999999999</v>
      </c>
      <c r="S6176">
        <v>3.0101469999999999</v>
      </c>
      <c r="T6176">
        <v>-0.20446829999999999</v>
      </c>
      <c r="U6176">
        <v>0.5588379</v>
      </c>
      <c r="V6176">
        <v>-0.14262059999999999</v>
      </c>
      <c r="W6176">
        <v>0.15458649999999999</v>
      </c>
      <c r="X6176">
        <v>0.97763100000000003</v>
      </c>
      <c r="Y6176">
        <v>-0.1771665</v>
      </c>
      <c r="Z6176">
        <v>5.6187349999999997E-3</v>
      </c>
      <c r="AA6176">
        <v>0.98416479999999995</v>
      </c>
      <c r="AB6176">
        <v>34</v>
      </c>
      <c r="AC6176">
        <v>16.167100000000001</v>
      </c>
      <c r="AD6176">
        <v>-1.11036257875</v>
      </c>
      <c r="AE6176">
        <v>3.03295</v>
      </c>
      <c r="AF6176">
        <v>-2.9376332002565801</v>
      </c>
      <c r="AG6176">
        <v>-1.11036257875</v>
      </c>
      <c r="AH6176">
        <v>16.108853498645701</v>
      </c>
      <c r="AI6176">
        <v>93.879310785572201</v>
      </c>
      <c r="AJ6176">
        <v>100.334972149827</v>
      </c>
      <c r="AK6176">
        <v>16.412122194169999</v>
      </c>
      <c r="AL6176">
        <v>81.107184567631705</v>
      </c>
      <c r="AM6176">
        <v>98.299980549861104</v>
      </c>
      <c r="AN6176">
        <v>0.99999999684380503</v>
      </c>
    </row>
    <row r="6177" spans="1:40" x14ac:dyDescent="0.25">
      <c r="A6177" t="str">
        <f>"20190312164625364"</f>
        <v>20190312164625364</v>
      </c>
      <c r="B6177" t="str">
        <f>"1552380385357797"</f>
        <v>1552380385357797</v>
      </c>
      <c r="C6177" t="s">
        <v>40</v>
      </c>
      <c r="D6177">
        <v>5.1389189999999996</v>
      </c>
      <c r="E6177">
        <v>0.48784260000000002</v>
      </c>
      <c r="F6177" t="s">
        <v>52</v>
      </c>
      <c r="G6177">
        <v>-200.38220000000001</v>
      </c>
      <c r="H6177" s="1">
        <v>-5.7567960000000004E-6</v>
      </c>
      <c r="I6177">
        <v>-59.146610000000003</v>
      </c>
      <c r="J6177">
        <v>-216.7423</v>
      </c>
      <c r="K6177">
        <v>1.11042</v>
      </c>
      <c r="L6177">
        <v>-62.267910000000001</v>
      </c>
      <c r="M6177">
        <v>0.9998861</v>
      </c>
      <c r="N6177">
        <v>0</v>
      </c>
      <c r="O6177">
        <v>5.9840500000000003E-3</v>
      </c>
      <c r="P6177">
        <v>0.97827640000000005</v>
      </c>
      <c r="Q6177">
        <v>0.14220639999999901</v>
      </c>
      <c r="R6177">
        <v>0.1508409</v>
      </c>
      <c r="S6177">
        <v>3.0083470000000001</v>
      </c>
      <c r="T6177">
        <v>-0.20211209999999999</v>
      </c>
      <c r="U6177">
        <v>0.56845089999999998</v>
      </c>
      <c r="V6177">
        <v>-0.14555589999999999</v>
      </c>
      <c r="W6177">
        <v>0.15523229999999999</v>
      </c>
      <c r="X6177">
        <v>0.97709590000000002</v>
      </c>
      <c r="Y6177">
        <v>-0.17941099999999999</v>
      </c>
      <c r="Z6177">
        <v>5.569297E-3</v>
      </c>
      <c r="AA6177">
        <v>0.98375840000000003</v>
      </c>
      <c r="AB6177">
        <v>34</v>
      </c>
      <c r="AC6177">
        <v>16.3600999999999</v>
      </c>
      <c r="AD6177">
        <v>-1.1104257567960001</v>
      </c>
      <c r="AE6177">
        <v>3.1213000000000002</v>
      </c>
      <c r="AF6177">
        <v>-3.00995554803416</v>
      </c>
      <c r="AG6177">
        <v>-1.1104257567960001</v>
      </c>
      <c r="AH6177">
        <v>16.306005293322901</v>
      </c>
      <c r="AI6177">
        <v>93.831252480616797</v>
      </c>
      <c r="AJ6177">
        <v>100.458604637706</v>
      </c>
      <c r="AK6177">
        <v>16.618624684021601</v>
      </c>
      <c r="AL6177">
        <v>81.069730796363302</v>
      </c>
      <c r="AM6177">
        <v>98.472921761100096</v>
      </c>
      <c r="AN6177">
        <v>0.99999999239245496</v>
      </c>
    </row>
    <row r="6178" spans="1:40" x14ac:dyDescent="0.25">
      <c r="A6178" t="str">
        <f>"20190312164625376"</f>
        <v>20190312164625376</v>
      </c>
      <c r="B6178" t="str">
        <f>"1552380385367557"</f>
        <v>1552380385367557</v>
      </c>
      <c r="C6178" t="s">
        <v>40</v>
      </c>
      <c r="D6178">
        <v>5.2224120000000003</v>
      </c>
      <c r="E6178">
        <v>0.48791610000000002</v>
      </c>
      <c r="F6178" t="s">
        <v>52</v>
      </c>
      <c r="G6178">
        <v>-199.99809999999999</v>
      </c>
      <c r="H6178" s="1">
        <v>-5.9185249999999901E-6</v>
      </c>
      <c r="I6178">
        <v>-59.041989999999998</v>
      </c>
      <c r="J6178">
        <v>-216.57249999999999</v>
      </c>
      <c r="K6178">
        <v>1.110487</v>
      </c>
      <c r="L6178">
        <v>-62.265990000000002</v>
      </c>
      <c r="M6178">
        <v>0.99987969999999904</v>
      </c>
      <c r="N6178">
        <v>0</v>
      </c>
      <c r="O6178">
        <v>6.9605789999999997E-3</v>
      </c>
      <c r="P6178">
        <v>0.97761370000000003</v>
      </c>
      <c r="Q6178">
        <v>0.142575799999999</v>
      </c>
      <c r="R6178">
        <v>0.1547376</v>
      </c>
      <c r="S6178">
        <v>3.0063019999999998</v>
      </c>
      <c r="T6178">
        <v>-0.19936909999999999</v>
      </c>
      <c r="U6178">
        <v>0.57919309999999902</v>
      </c>
      <c r="V6178">
        <v>-0.14852650000000001</v>
      </c>
      <c r="W6178">
        <v>0.15556159999999999</v>
      </c>
      <c r="X6178">
        <v>0.97659640000000003</v>
      </c>
      <c r="Y6178">
        <v>-0.18196999999999999</v>
      </c>
      <c r="Z6178">
        <v>5.5156220000000004E-3</v>
      </c>
      <c r="AA6178">
        <v>0.98328859999999996</v>
      </c>
      <c r="AB6178">
        <v>34</v>
      </c>
      <c r="AC6178">
        <v>16.574399999999901</v>
      </c>
      <c r="AD6178">
        <v>-1.1104929185250001</v>
      </c>
      <c r="AE6178">
        <v>3.22399999999999</v>
      </c>
      <c r="AF6178">
        <v>-3.0951555731186802</v>
      </c>
      <c r="AG6178">
        <v>-1.1104929185250001</v>
      </c>
      <c r="AH6178">
        <v>16.5249642875165</v>
      </c>
      <c r="AI6178">
        <v>93.779028099610201</v>
      </c>
      <c r="AJ6178">
        <v>100.60868459259</v>
      </c>
      <c r="AK6178">
        <v>16.8489651684487</v>
      </c>
      <c r="AL6178">
        <v>81.050631621281298</v>
      </c>
      <c r="AM6178">
        <v>98.647610649701093</v>
      </c>
      <c r="AN6178">
        <v>1.00000003054488</v>
      </c>
    </row>
    <row r="6179" spans="1:40" x14ac:dyDescent="0.25">
      <c r="A6179" t="str">
        <f>"20190312164625386"</f>
        <v>20190312164625386</v>
      </c>
      <c r="B6179" t="str">
        <f>"1552380385377318"</f>
        <v>1552380385377318</v>
      </c>
      <c r="C6179" t="s">
        <v>40</v>
      </c>
      <c r="D6179">
        <v>5.2857729999999998</v>
      </c>
      <c r="E6179">
        <v>0.48799490000000001</v>
      </c>
      <c r="F6179" t="s">
        <v>52</v>
      </c>
      <c r="G6179">
        <v>-199.7782</v>
      </c>
      <c r="H6179" s="1">
        <v>-7.7646009999999996E-6</v>
      </c>
      <c r="I6179">
        <v>-58.965220000000002</v>
      </c>
      <c r="J6179">
        <v>-216.40440000000001</v>
      </c>
      <c r="K6179">
        <v>1.110554</v>
      </c>
      <c r="L6179">
        <v>-62.263919999999999</v>
      </c>
      <c r="M6179">
        <v>0.99987239999999999</v>
      </c>
      <c r="N6179">
        <v>0</v>
      </c>
      <c r="O6179">
        <v>7.9557529999999994E-3</v>
      </c>
      <c r="P6179">
        <v>0.97684680000000002</v>
      </c>
      <c r="Q6179">
        <v>0.1432899</v>
      </c>
      <c r="R6179">
        <v>0.15886700000000001</v>
      </c>
      <c r="S6179">
        <v>3.0042270000000002</v>
      </c>
      <c r="T6179">
        <v>-0.19864960000000001</v>
      </c>
      <c r="U6179">
        <v>0.59045409999999998</v>
      </c>
      <c r="V6179">
        <v>-0.15171470000000001</v>
      </c>
      <c r="W6179">
        <v>0.15623229999999999</v>
      </c>
      <c r="X6179">
        <v>0.97599910000000001</v>
      </c>
      <c r="Y6179">
        <v>-0.184667</v>
      </c>
      <c r="Z6179">
        <v>5.5206739999999997E-3</v>
      </c>
      <c r="AA6179">
        <v>0.98278560000000004</v>
      </c>
      <c r="AB6179">
        <v>34</v>
      </c>
      <c r="AC6179">
        <v>16.626200000000001</v>
      </c>
      <c r="AD6179">
        <v>-1.110561764601</v>
      </c>
      <c r="AE6179">
        <v>3.2987000000000002</v>
      </c>
      <c r="AF6179">
        <v>-3.1527749960834299</v>
      </c>
      <c r="AG6179">
        <v>-1.110561764601</v>
      </c>
      <c r="AH6179">
        <v>16.580743526143699</v>
      </c>
      <c r="AI6179">
        <v>93.7646378951504</v>
      </c>
      <c r="AJ6179">
        <v>100.766083741157</v>
      </c>
      <c r="AK6179">
        <v>16.914325097049499</v>
      </c>
      <c r="AL6179">
        <v>81.0117279658906</v>
      </c>
      <c r="AM6179">
        <v>98.835659544938295</v>
      </c>
      <c r="AN6179">
        <v>1.00000006248009</v>
      </c>
    </row>
    <row r="6180" spans="1:40" x14ac:dyDescent="0.25">
      <c r="A6180" t="str">
        <f>"20190312164625396"</f>
        <v>20190312164625396</v>
      </c>
      <c r="B6180" t="str">
        <f>"1552380385387077"</f>
        <v>1552380385387077</v>
      </c>
      <c r="C6180" t="s">
        <v>40</v>
      </c>
      <c r="D6180">
        <v>5.2810360000000003</v>
      </c>
      <c r="E6180">
        <v>0.48807060000000002</v>
      </c>
      <c r="F6180" t="s">
        <v>52</v>
      </c>
      <c r="G6180">
        <v>-199.39859999999999</v>
      </c>
      <c r="H6180" s="1">
        <v>-7.7617349999999996E-6</v>
      </c>
      <c r="I6180">
        <v>-58.851739999999999</v>
      </c>
      <c r="J6180">
        <v>-216.24270000000001</v>
      </c>
      <c r="K6180">
        <v>1.1106229999999999</v>
      </c>
      <c r="L6180">
        <v>-62.261659999999999</v>
      </c>
      <c r="M6180">
        <v>0.99986370000000002</v>
      </c>
      <c r="N6180">
        <v>0</v>
      </c>
      <c r="O6180">
        <v>8.9712319999999905E-3</v>
      </c>
      <c r="P6180">
        <v>0.9760953</v>
      </c>
      <c r="Q6180">
        <v>0.14374899999999999</v>
      </c>
      <c r="R6180">
        <v>0.16301689999999999</v>
      </c>
      <c r="S6180">
        <v>3.0019070000000001</v>
      </c>
      <c r="T6180">
        <v>-0.19603909999999999</v>
      </c>
      <c r="U6180">
        <v>0.60232540000000001</v>
      </c>
      <c r="V6180">
        <v>-0.15490399999999999</v>
      </c>
      <c r="W6180">
        <v>0.1566477</v>
      </c>
      <c r="X6180">
        <v>0.9754313</v>
      </c>
      <c r="Y6180">
        <v>-0.18755640000000001</v>
      </c>
      <c r="Z6180">
        <v>5.478073E-3</v>
      </c>
      <c r="AA6180">
        <v>0.98223850000000001</v>
      </c>
      <c r="AB6180">
        <v>34</v>
      </c>
      <c r="AC6180">
        <v>16.844100000000001</v>
      </c>
      <c r="AD6180">
        <v>-1.110630761735</v>
      </c>
      <c r="AE6180">
        <v>3.4099200000000001</v>
      </c>
      <c r="AF6180">
        <v>-3.2451031040809002</v>
      </c>
      <c r="AG6180">
        <v>-1.110630761735</v>
      </c>
      <c r="AH6180">
        <v>16.8038368473538</v>
      </c>
      <c r="AI6180">
        <v>93.712995105544493</v>
      </c>
      <c r="AJ6180">
        <v>100.930225183055</v>
      </c>
      <c r="AK6180">
        <v>17.150309840860398</v>
      </c>
      <c r="AL6180">
        <v>80.9876299064167</v>
      </c>
      <c r="AM6180">
        <v>99.0235413203945</v>
      </c>
      <c r="AN6180">
        <v>0.99999998607548901</v>
      </c>
    </row>
    <row r="6181" spans="1:40" x14ac:dyDescent="0.25">
      <c r="A6181" t="str">
        <f>"20190312164625408"</f>
        <v>20190312164625408</v>
      </c>
      <c r="B6181" t="str">
        <f>"1552380385397812"</f>
        <v>1552380385397812</v>
      </c>
      <c r="C6181" t="s">
        <v>40</v>
      </c>
      <c r="D6181">
        <v>5.2800900000000004</v>
      </c>
      <c r="E6181">
        <v>0.48814869999999999</v>
      </c>
      <c r="F6181" t="s">
        <v>52</v>
      </c>
      <c r="G6181">
        <v>-199.1</v>
      </c>
      <c r="H6181" s="1">
        <v>-7.7632310000000003E-6</v>
      </c>
      <c r="I6181">
        <v>-58.75179</v>
      </c>
      <c r="J6181">
        <v>-216.07640000000001</v>
      </c>
      <c r="K6181">
        <v>1.1106910000000001</v>
      </c>
      <c r="L6181">
        <v>-62.259279999999997</v>
      </c>
      <c r="M6181">
        <v>0.99985369999999996</v>
      </c>
      <c r="N6181">
        <v>0</v>
      </c>
      <c r="O6181">
        <v>1.0031730000000001E-2</v>
      </c>
      <c r="P6181">
        <v>0.97526500000000005</v>
      </c>
      <c r="Q6181">
        <v>0.14440629999999999</v>
      </c>
      <c r="R6181">
        <v>0.16734779999999999</v>
      </c>
      <c r="S6181">
        <v>2.9995270000000001</v>
      </c>
      <c r="T6181">
        <v>-0.19433120000000001</v>
      </c>
      <c r="U6181">
        <v>0.61413569999999995</v>
      </c>
      <c r="V6181">
        <v>-0.1582337</v>
      </c>
      <c r="W6181">
        <v>0.1572585</v>
      </c>
      <c r="X6181">
        <v>0.97479839999999995</v>
      </c>
      <c r="Y6181">
        <v>-0.19038150000000001</v>
      </c>
      <c r="Z6181">
        <v>5.4551469999999996E-3</v>
      </c>
      <c r="AA6181">
        <v>0.98169499999999998</v>
      </c>
      <c r="AB6181">
        <v>34</v>
      </c>
      <c r="AC6181">
        <v>16.976400000000002</v>
      </c>
      <c r="AD6181">
        <v>-1.1106987632309999</v>
      </c>
      <c r="AE6181">
        <v>3.5074900000000002</v>
      </c>
      <c r="AF6181">
        <v>-3.32335104036824</v>
      </c>
      <c r="AG6181">
        <v>-1.1106987632309999</v>
      </c>
      <c r="AH6181">
        <v>16.941186154066699</v>
      </c>
      <c r="AI6181">
        <v>93.681097857167998</v>
      </c>
      <c r="AJ6181">
        <v>101.098770463349</v>
      </c>
      <c r="AK6181">
        <v>17.299771738</v>
      </c>
      <c r="AL6181">
        <v>80.952194860313199</v>
      </c>
      <c r="AM6181">
        <v>99.2200913825546</v>
      </c>
      <c r="AN6181">
        <v>1.0000000301402401</v>
      </c>
    </row>
    <row r="6182" spans="1:40" x14ac:dyDescent="0.25">
      <c r="A6182" t="str">
        <f>"20190312164625419"</f>
        <v>20190312164625419</v>
      </c>
      <c r="B6182" t="str">
        <f>"1552380385407573"</f>
        <v>1552380385407573</v>
      </c>
      <c r="C6182" t="s">
        <v>40</v>
      </c>
      <c r="D6182">
        <v>5.2711680000000003</v>
      </c>
      <c r="E6182">
        <v>0.48822690000000002</v>
      </c>
      <c r="F6182" t="s">
        <v>52</v>
      </c>
      <c r="G6182">
        <v>-198.73439999999999</v>
      </c>
      <c r="H6182" s="1">
        <v>-7.7635969999999998E-6</v>
      </c>
      <c r="I6182">
        <v>-58.633580000000002</v>
      </c>
      <c r="J6182">
        <v>-215.90899999999999</v>
      </c>
      <c r="K6182">
        <v>1.1107629999999999</v>
      </c>
      <c r="L6182">
        <v>-62.256500000000003</v>
      </c>
      <c r="M6182">
        <v>0.9998416</v>
      </c>
      <c r="N6182">
        <v>0</v>
      </c>
      <c r="O6182">
        <v>1.1170370000000001E-2</v>
      </c>
      <c r="P6182">
        <v>0.97441440000000001</v>
      </c>
      <c r="Q6182">
        <v>0.14481260000000001</v>
      </c>
      <c r="R6182">
        <v>0.17188999999999999</v>
      </c>
      <c r="S6182">
        <v>2.9970089999999998</v>
      </c>
      <c r="T6182">
        <v>-0.19194890000000001</v>
      </c>
      <c r="U6182">
        <v>0.62658689999999995</v>
      </c>
      <c r="V6182">
        <v>-0.1617007</v>
      </c>
      <c r="W6182">
        <v>0.15761549999999999</v>
      </c>
      <c r="X6182">
        <v>0.97417160000000003</v>
      </c>
      <c r="Y6182">
        <v>-0.19334080000000001</v>
      </c>
      <c r="Z6182">
        <v>5.4122140000000003E-3</v>
      </c>
      <c r="AA6182">
        <v>0.98111669999999995</v>
      </c>
      <c r="AB6182">
        <v>34</v>
      </c>
      <c r="AC6182">
        <v>17.174600000000002</v>
      </c>
      <c r="AD6182">
        <v>-1.1107707635970001</v>
      </c>
      <c r="AE6182">
        <v>3.6229200000000001</v>
      </c>
      <c r="AF6182">
        <v>-3.4171442940957402</v>
      </c>
      <c r="AG6182">
        <v>-1.1107707635970001</v>
      </c>
      <c r="AH6182">
        <v>17.145339900118898</v>
      </c>
      <c r="AI6182">
        <v>93.635456255710096</v>
      </c>
      <c r="AJ6182">
        <v>101.271613687832</v>
      </c>
      <c r="AK6182">
        <v>17.517801434727499</v>
      </c>
      <c r="AL6182">
        <v>80.931481995047605</v>
      </c>
      <c r="AM6182">
        <v>99.424478783861105</v>
      </c>
      <c r="AN6182">
        <v>1.0000000342336399</v>
      </c>
    </row>
    <row r="6183" spans="1:40" x14ac:dyDescent="0.25">
      <c r="A6183" t="str">
        <f>"20190312164625430"</f>
        <v>20190312164625430</v>
      </c>
      <c r="B6183" t="str">
        <f>"1552380385427854"</f>
        <v>1552380385427854</v>
      </c>
      <c r="C6183" t="s">
        <v>40</v>
      </c>
      <c r="D6183">
        <v>5.3191620000000004</v>
      </c>
      <c r="E6183">
        <v>0.48839830000000001</v>
      </c>
      <c r="F6183" t="s">
        <v>52</v>
      </c>
      <c r="G6183">
        <v>-198.51050000000001</v>
      </c>
      <c r="H6183" s="1">
        <v>-7.7712439999999998E-6</v>
      </c>
      <c r="I6183">
        <v>-58.540039999999998</v>
      </c>
      <c r="J6183">
        <v>-215.73759999999999</v>
      </c>
      <c r="K6183">
        <v>1.11084</v>
      </c>
      <c r="L6183">
        <v>-62.253570000000003</v>
      </c>
      <c r="M6183">
        <v>0.99982760000000004</v>
      </c>
      <c r="N6183">
        <v>0</v>
      </c>
      <c r="O6183">
        <v>1.2353609999999999E-2</v>
      </c>
      <c r="P6183">
        <v>0.97350930000000002</v>
      </c>
      <c r="Q6183">
        <v>0.1451276</v>
      </c>
      <c r="R6183">
        <v>0.1766858</v>
      </c>
      <c r="S6183">
        <v>2.994354</v>
      </c>
      <c r="T6183">
        <v>-0.19116820000000001</v>
      </c>
      <c r="U6183">
        <v>0.63961789999999996</v>
      </c>
      <c r="V6183">
        <v>-0.1653799</v>
      </c>
      <c r="W6183">
        <v>0.15787770000000001</v>
      </c>
      <c r="X6183">
        <v>0.97351120000000002</v>
      </c>
      <c r="Y6183">
        <v>-0.196439</v>
      </c>
      <c r="Z6183">
        <v>5.4156419999999896E-3</v>
      </c>
      <c r="AA6183">
        <v>0.98050110000000001</v>
      </c>
      <c r="AB6183">
        <v>34</v>
      </c>
      <c r="AC6183">
        <v>17.227099999999901</v>
      </c>
      <c r="AD6183">
        <v>-1.1108477712439999</v>
      </c>
      <c r="AE6183">
        <v>3.7135299999999898</v>
      </c>
      <c r="AF6183">
        <v>-3.4865558696524102</v>
      </c>
      <c r="AG6183">
        <v>-1.1108477712439999</v>
      </c>
      <c r="AH6183">
        <v>17.203309965384701</v>
      </c>
      <c r="AI6183">
        <v>93.621141880024496</v>
      </c>
      <c r="AJ6183">
        <v>101.456827916999</v>
      </c>
      <c r="AK6183">
        <v>17.588175811271299</v>
      </c>
      <c r="AL6183">
        <v>80.916267957574206</v>
      </c>
      <c r="AM6183">
        <v>99.641352362033402</v>
      </c>
      <c r="AN6183">
        <v>0.99999996800336899</v>
      </c>
    </row>
    <row r="6184" spans="1:40" x14ac:dyDescent="0.25">
      <c r="A6184" t="str">
        <f>"20190312164625442"</f>
        <v>20190312164625442</v>
      </c>
      <c r="B6184" t="str">
        <f>"1552380385437616"</f>
        <v>1552380385437616</v>
      </c>
      <c r="C6184" t="s">
        <v>40</v>
      </c>
      <c r="D6184">
        <v>5.3687569999999996</v>
      </c>
      <c r="E6184">
        <v>0.48849690000000001</v>
      </c>
      <c r="F6184" t="s">
        <v>52</v>
      </c>
      <c r="G6184">
        <v>-198.20779999999999</v>
      </c>
      <c r="H6184" s="1">
        <v>-7.7756870000000002E-6</v>
      </c>
      <c r="I6184">
        <v>-58.430399999999999</v>
      </c>
      <c r="J6184">
        <v>-215.5599</v>
      </c>
      <c r="K6184">
        <v>1.110916</v>
      </c>
      <c r="L6184">
        <v>-62.25018</v>
      </c>
      <c r="M6184">
        <v>0.9998108</v>
      </c>
      <c r="N6184">
        <v>0</v>
      </c>
      <c r="O6184">
        <v>1.364691E-2</v>
      </c>
      <c r="P6184">
        <v>0.97254309999999999</v>
      </c>
      <c r="Q6184">
        <v>0.14544209999999999</v>
      </c>
      <c r="R6184">
        <v>0.18167810000000001</v>
      </c>
      <c r="S6184">
        <v>2.991501</v>
      </c>
      <c r="T6184">
        <v>-0.1895695</v>
      </c>
      <c r="U6184">
        <v>0.65243530000000005</v>
      </c>
      <c r="V6184">
        <v>-0.16915289999999999</v>
      </c>
      <c r="W6184">
        <v>0.1581362</v>
      </c>
      <c r="X6184">
        <v>0.97282080000000004</v>
      </c>
      <c r="Y6184">
        <v>-0.19937740000000001</v>
      </c>
      <c r="Z6184">
        <v>5.3841089999999998E-3</v>
      </c>
      <c r="AA6184">
        <v>0.979908</v>
      </c>
      <c r="AB6184">
        <v>34</v>
      </c>
      <c r="AC6184">
        <v>17.3521</v>
      </c>
      <c r="AD6184">
        <v>-1.1109237756870001</v>
      </c>
      <c r="AE6184">
        <v>3.8197800000000002</v>
      </c>
      <c r="AF6184">
        <v>-3.5686475564861899</v>
      </c>
      <c r="AG6184">
        <v>-1.1109237756870001</v>
      </c>
      <c r="AH6184">
        <v>17.334847688946098</v>
      </c>
      <c r="AI6184">
        <v>93.591735034913896</v>
      </c>
      <c r="AJ6184">
        <v>101.63270914757599</v>
      </c>
      <c r="AK6184">
        <v>17.7331988489602</v>
      </c>
      <c r="AL6184">
        <v>80.901269191672696</v>
      </c>
      <c r="AM6184">
        <v>99.863901764070704</v>
      </c>
      <c r="AN6184">
        <v>1.0000000351207401</v>
      </c>
    </row>
    <row r="6185" spans="1:40" x14ac:dyDescent="0.25">
      <c r="A6185" t="str">
        <f>"20190312164625454"</f>
        <v>20190312164625454</v>
      </c>
      <c r="B6185" t="str">
        <f>"1552380385447374"</f>
        <v>1552380385447374</v>
      </c>
      <c r="C6185" t="s">
        <v>40</v>
      </c>
      <c r="D6185">
        <v>5.3325139999999998</v>
      </c>
      <c r="E6185">
        <v>0.48861719999999997</v>
      </c>
      <c r="F6185" t="s">
        <v>52</v>
      </c>
      <c r="G6185">
        <v>-197.9434</v>
      </c>
      <c r="H6185" s="1">
        <v>-7.7840289999999997E-6</v>
      </c>
      <c r="I6185">
        <v>-58.321899999999999</v>
      </c>
      <c r="J6185">
        <v>-215.38740000000001</v>
      </c>
      <c r="K6185">
        <v>1.1109869999999999</v>
      </c>
      <c r="L6185">
        <v>-62.246639999999999</v>
      </c>
      <c r="M6185">
        <v>0.99979240000000003</v>
      </c>
      <c r="N6185">
        <v>0</v>
      </c>
      <c r="O6185">
        <v>1.493426E-2</v>
      </c>
      <c r="P6185">
        <v>0.97152519999999998</v>
      </c>
      <c r="Q6185">
        <v>0.1457195</v>
      </c>
      <c r="R6185">
        <v>0.18682869999999999</v>
      </c>
      <c r="S6185">
        <v>2.9884029999999999</v>
      </c>
      <c r="T6185">
        <v>-0.18845339999999999</v>
      </c>
      <c r="U6185">
        <v>0.66638180000000002</v>
      </c>
      <c r="V6185">
        <v>-0.17309160000000001</v>
      </c>
      <c r="W6185">
        <v>0.15835560000000001</v>
      </c>
      <c r="X6185">
        <v>0.97209199999999996</v>
      </c>
      <c r="Y6185">
        <v>-0.2026869</v>
      </c>
      <c r="Z6185">
        <v>5.3781640000000004E-3</v>
      </c>
      <c r="AA6185">
        <v>0.97922889999999996</v>
      </c>
      <c r="AB6185">
        <v>34</v>
      </c>
      <c r="AC6185">
        <v>17.443999999999999</v>
      </c>
      <c r="AD6185">
        <v>-1.110994784029</v>
      </c>
      <c r="AE6185">
        <v>3.9247399999999999</v>
      </c>
      <c r="AF6185">
        <v>-3.6496730241918001</v>
      </c>
      <c r="AG6185">
        <v>-1.110994784029</v>
      </c>
      <c r="AH6185">
        <v>17.433364889430099</v>
      </c>
      <c r="AI6185">
        <v>93.569248575134495</v>
      </c>
      <c r="AJ6185">
        <v>101.824099187884</v>
      </c>
      <c r="AK6185">
        <v>17.845913648834799</v>
      </c>
      <c r="AL6185">
        <v>80.888538010418401</v>
      </c>
      <c r="AM6185">
        <v>100.096323297376</v>
      </c>
      <c r="AN6185">
        <v>1.0000000272529499</v>
      </c>
    </row>
    <row r="6186" spans="1:40" x14ac:dyDescent="0.25">
      <c r="A6186" t="str">
        <f>"20190312164625463"</f>
        <v>20190312164625463</v>
      </c>
      <c r="B6186" t="str">
        <f>"1552380385457134"</f>
        <v>1552380385457134</v>
      </c>
      <c r="C6186" t="s">
        <v>40</v>
      </c>
      <c r="D6186">
        <v>5.3354839999999903</v>
      </c>
      <c r="E6186">
        <v>0.4887243</v>
      </c>
      <c r="F6186" t="s">
        <v>52</v>
      </c>
      <c r="G6186">
        <v>-197.71119999999999</v>
      </c>
      <c r="H6186" s="1">
        <v>-7.7944169999999993E-6</v>
      </c>
      <c r="I6186">
        <v>-58.2179</v>
      </c>
      <c r="J6186">
        <v>-215.22290000000001</v>
      </c>
      <c r="K6186">
        <v>1.1110549999999999</v>
      </c>
      <c r="L6186">
        <v>-62.243070000000003</v>
      </c>
      <c r="M6186">
        <v>0.99977260000000001</v>
      </c>
      <c r="N6186">
        <v>0</v>
      </c>
      <c r="O6186">
        <v>1.6199620000000001E-2</v>
      </c>
      <c r="P6186">
        <v>0.97051290000000001</v>
      </c>
      <c r="Q6186">
        <v>0.14585989999999999</v>
      </c>
      <c r="R6186">
        <v>0.1919111</v>
      </c>
      <c r="S6186">
        <v>2.985214</v>
      </c>
      <c r="T6186">
        <v>-0.18762889999999999</v>
      </c>
      <c r="U6186">
        <v>0.68038940000000003</v>
      </c>
      <c r="V6186">
        <v>-0.17698329999999901</v>
      </c>
      <c r="W6186">
        <v>0.158439</v>
      </c>
      <c r="X6186">
        <v>0.97137739999999995</v>
      </c>
      <c r="Y6186">
        <v>-0.2060399</v>
      </c>
      <c r="Z6186">
        <v>5.3830919999999999E-3</v>
      </c>
      <c r="AA6186">
        <v>0.97852879999999998</v>
      </c>
      <c r="AB6186">
        <v>34</v>
      </c>
      <c r="AC6186">
        <v>17.511700000000001</v>
      </c>
      <c r="AD6186">
        <v>-1.111062794417</v>
      </c>
      <c r="AE6186">
        <v>4.0251699999999904</v>
      </c>
      <c r="AF6186">
        <v>-3.7266825768664802</v>
      </c>
      <c r="AG6186">
        <v>-1.111062794417</v>
      </c>
      <c r="AH6186">
        <v>17.5076735847306</v>
      </c>
      <c r="AI6186">
        <v>93.551841334904495</v>
      </c>
      <c r="AJ6186">
        <v>102.01663059617501</v>
      </c>
      <c r="AK6186">
        <v>17.934359701738199</v>
      </c>
      <c r="AL6186">
        <v>80.883698463287999</v>
      </c>
      <c r="AM6186">
        <v>100.325926667201</v>
      </c>
      <c r="AN6186">
        <v>1.0000000292153199</v>
      </c>
    </row>
    <row r="6187" spans="1:40" x14ac:dyDescent="0.25">
      <c r="A6187" t="str">
        <f>"20190312164625475"</f>
        <v>20190312164625475</v>
      </c>
      <c r="B6187" t="str">
        <f>"1552380385467870"</f>
        <v>1552380385467870</v>
      </c>
      <c r="C6187" t="s">
        <v>40</v>
      </c>
      <c r="D6187">
        <v>5.5368830000000004</v>
      </c>
      <c r="E6187">
        <v>0.48883759999999998</v>
      </c>
      <c r="F6187" t="s">
        <v>52</v>
      </c>
      <c r="G6187">
        <v>-197.51480000000001</v>
      </c>
      <c r="H6187" s="1">
        <v>-7.8069440000000001E-6</v>
      </c>
      <c r="I6187">
        <v>-58.119259999999997</v>
      </c>
      <c r="J6187">
        <v>-215.06010000000001</v>
      </c>
      <c r="K6187">
        <v>1.1111260000000001</v>
      </c>
      <c r="L6187">
        <v>-62.239229999999999</v>
      </c>
      <c r="M6187">
        <v>0.99975069999999999</v>
      </c>
      <c r="N6187">
        <v>0</v>
      </c>
      <c r="O6187">
        <v>1.7495119999999999E-2</v>
      </c>
      <c r="P6187">
        <v>0.96951730000000003</v>
      </c>
      <c r="Q6187">
        <v>0.14590500000000001</v>
      </c>
      <c r="R6187">
        <v>0.19684479999999999</v>
      </c>
      <c r="S6187">
        <v>2.9819490000000002</v>
      </c>
      <c r="T6187">
        <v>-0.18709709999999999</v>
      </c>
      <c r="U6187">
        <v>0.69442749999999998</v>
      </c>
      <c r="V6187">
        <v>-0.18069750000000001</v>
      </c>
      <c r="W6187">
        <v>0.15842809999999999</v>
      </c>
      <c r="X6187">
        <v>0.97069510000000003</v>
      </c>
      <c r="Y6187">
        <v>-0.20937510000000001</v>
      </c>
      <c r="Z6187">
        <v>5.3938889999999998E-3</v>
      </c>
      <c r="AA6187">
        <v>0.97782049999999998</v>
      </c>
      <c r="AB6187">
        <v>34</v>
      </c>
      <c r="AC6187">
        <v>17.545299999999902</v>
      </c>
      <c r="AD6187">
        <v>-1.111133806944</v>
      </c>
      <c r="AE6187">
        <v>4.1199700000000004</v>
      </c>
      <c r="AF6187">
        <v>-3.7979166532923601</v>
      </c>
      <c r="AG6187">
        <v>-1.111133806944</v>
      </c>
      <c r="AH6187">
        <v>17.548000021514099</v>
      </c>
      <c r="AI6187">
        <v>93.541337075932304</v>
      </c>
      <c r="AJ6187">
        <v>102.212179447708</v>
      </c>
      <c r="AK6187">
        <v>17.988637913898501</v>
      </c>
      <c r="AL6187">
        <v>80.884330829537703</v>
      </c>
      <c r="AM6187">
        <v>100.545063430974</v>
      </c>
      <c r="AN6187">
        <v>1.00000001326993</v>
      </c>
    </row>
    <row r="6188" spans="1:40" x14ac:dyDescent="0.25">
      <c r="A6188" t="str">
        <f>"20190312164625486"</f>
        <v>20190312164625486</v>
      </c>
      <c r="B6188" t="str">
        <f>"1552380385477630"</f>
        <v>1552380385477630</v>
      </c>
      <c r="C6188" t="s">
        <v>40</v>
      </c>
      <c r="D6188">
        <v>5.3173130000000004</v>
      </c>
      <c r="E6188">
        <v>0.4889559</v>
      </c>
      <c r="F6188" t="s">
        <v>52</v>
      </c>
      <c r="G6188">
        <v>-197.34540000000001</v>
      </c>
      <c r="H6188" s="1">
        <v>-7.819782E-6</v>
      </c>
      <c r="I6188">
        <v>-58.028419999999997</v>
      </c>
      <c r="J6188">
        <v>-214.89340000000001</v>
      </c>
      <c r="K6188">
        <v>1.111194</v>
      </c>
      <c r="L6188">
        <v>-62.235140000000001</v>
      </c>
      <c r="M6188">
        <v>0.99972609999999995</v>
      </c>
      <c r="N6188">
        <v>0</v>
      </c>
      <c r="O6188">
        <v>1.8848139999999999E-2</v>
      </c>
      <c r="P6188">
        <v>0.96844680000000005</v>
      </c>
      <c r="Q6188">
        <v>0.14582629999999999</v>
      </c>
      <c r="R6188">
        <v>0.20210349999999999</v>
      </c>
      <c r="S6188">
        <v>2.9786830000000002</v>
      </c>
      <c r="T6188">
        <v>-0.18683469999999999</v>
      </c>
      <c r="U6188">
        <v>0.70803830000000001</v>
      </c>
      <c r="V6188">
        <v>-0.1846845</v>
      </c>
      <c r="W6188">
        <v>0.1582887</v>
      </c>
      <c r="X6188">
        <v>0.96996720000000003</v>
      </c>
      <c r="Y6188">
        <v>-0.21251829999999999</v>
      </c>
      <c r="Z6188">
        <v>5.4029169999999897E-3</v>
      </c>
      <c r="AA6188">
        <v>0.97714219999999896</v>
      </c>
      <c r="AB6188">
        <v>34</v>
      </c>
      <c r="AC6188">
        <v>17.547999999999998</v>
      </c>
      <c r="AD6188">
        <v>-1.1112018197819999</v>
      </c>
      <c r="AE6188">
        <v>4.2067199999999998</v>
      </c>
      <c r="AF6188">
        <v>-3.86055452496799</v>
      </c>
      <c r="AG6188">
        <v>-1.1112018197819999</v>
      </c>
      <c r="AH6188">
        <v>17.557600998828701</v>
      </c>
      <c r="AI6188">
        <v>93.537086536878405</v>
      </c>
      <c r="AJ6188">
        <v>102.400826715593</v>
      </c>
      <c r="AK6188">
        <v>18.011329866464798</v>
      </c>
      <c r="AL6188">
        <v>80.892420021961101</v>
      </c>
      <c r="AM6188">
        <v>100.78024173322299</v>
      </c>
      <c r="AN6188">
        <v>1.00000002308188</v>
      </c>
    </row>
    <row r="6189" spans="1:40" x14ac:dyDescent="0.25">
      <c r="A6189" t="str">
        <f>"20190312164625498"</f>
        <v>20190312164625498</v>
      </c>
      <c r="B6189" t="str">
        <f>"1552380385487389"</f>
        <v>1552380385487389</v>
      </c>
      <c r="C6189" t="s">
        <v>40</v>
      </c>
      <c r="D6189">
        <v>5.2897540000000003</v>
      </c>
      <c r="E6189">
        <v>0.48908269999999998</v>
      </c>
      <c r="F6189" t="s">
        <v>52</v>
      </c>
      <c r="G6189">
        <v>-197.20679999999999</v>
      </c>
      <c r="H6189" s="1">
        <v>-7.8362999999999998E-6</v>
      </c>
      <c r="I6189">
        <v>-57.936919999999901</v>
      </c>
      <c r="J6189">
        <v>-214.7226</v>
      </c>
      <c r="K6189">
        <v>1.1112660000000001</v>
      </c>
      <c r="L6189">
        <v>-62.230530000000002</v>
      </c>
      <c r="M6189">
        <v>0.99969770000000002</v>
      </c>
      <c r="N6189">
        <v>0</v>
      </c>
      <c r="O6189">
        <v>2.029744E-2</v>
      </c>
      <c r="P6189">
        <v>0.96727540000000001</v>
      </c>
      <c r="Q6189">
        <v>0.1459742</v>
      </c>
      <c r="R6189">
        <v>0.20753260000000001</v>
      </c>
      <c r="S6189">
        <v>2.9750209999999999</v>
      </c>
      <c r="T6189">
        <v>-0.18691250000000001</v>
      </c>
      <c r="U6189">
        <v>0.72299190000000002</v>
      </c>
      <c r="V6189">
        <v>-0.18875549999999999</v>
      </c>
      <c r="W6189">
        <v>0.1583716</v>
      </c>
      <c r="X6189">
        <v>0.96916959999999996</v>
      </c>
      <c r="Y6189">
        <v>-0.2160096</v>
      </c>
      <c r="Z6189">
        <v>5.4269549999999998E-3</v>
      </c>
      <c r="AA6189">
        <v>0.97637620000000003</v>
      </c>
      <c r="AB6189">
        <v>34</v>
      </c>
      <c r="AC6189">
        <v>17.515799999999999</v>
      </c>
      <c r="AD6189">
        <v>-1.1112738362999901</v>
      </c>
      <c r="AE6189">
        <v>4.2936100000000001</v>
      </c>
      <c r="AF6189">
        <v>-3.9222722941310799</v>
      </c>
      <c r="AG6189">
        <v>-1.1112738362999901</v>
      </c>
      <c r="AH6189">
        <v>17.532776552543801</v>
      </c>
      <c r="AI6189">
        <v>93.539450241458098</v>
      </c>
      <c r="AJ6189">
        <v>102.61006022458901</v>
      </c>
      <c r="AK6189">
        <v>18.000483413785901</v>
      </c>
      <c r="AL6189">
        <v>80.887608925458807</v>
      </c>
      <c r="AM6189">
        <v>101.020962781097</v>
      </c>
      <c r="AN6189">
        <v>0.99999995801548403</v>
      </c>
    </row>
    <row r="6190" spans="1:40" x14ac:dyDescent="0.25">
      <c r="A6190" t="str">
        <f>"20190312164625509"</f>
        <v>20190312164625509</v>
      </c>
      <c r="B6190" t="str">
        <f>"1552380385497150"</f>
        <v>1552380385497150</v>
      </c>
      <c r="C6190" t="s">
        <v>40</v>
      </c>
      <c r="D6190">
        <v>5.3776419999999998</v>
      </c>
      <c r="E6190">
        <v>0.48920629999999998</v>
      </c>
      <c r="F6190" t="s">
        <v>52</v>
      </c>
      <c r="G6190">
        <v>-197.0172</v>
      </c>
      <c r="H6190" s="1">
        <v>-7.8520409999999992E-6</v>
      </c>
      <c r="I6190">
        <v>-57.831339999999997</v>
      </c>
      <c r="J6190">
        <v>-214.55260000000001</v>
      </c>
      <c r="K6190">
        <v>1.111335</v>
      </c>
      <c r="L6190">
        <v>-62.225859999999997</v>
      </c>
      <c r="M6190">
        <v>0.99966699999999997</v>
      </c>
      <c r="N6190">
        <v>0</v>
      </c>
      <c r="O6190">
        <v>2.1758650000000001E-2</v>
      </c>
      <c r="P6190">
        <v>0.96612010000000004</v>
      </c>
      <c r="Q6190">
        <v>0.14626349999999999</v>
      </c>
      <c r="R6190">
        <v>0.2126478</v>
      </c>
      <c r="S6190">
        <v>2.9712369999999999</v>
      </c>
      <c r="T6190">
        <v>-0.1864885</v>
      </c>
      <c r="U6190">
        <v>0.73825069999999904</v>
      </c>
      <c r="V6190">
        <v>-0.19250429999999999</v>
      </c>
      <c r="W6190">
        <v>0.15859670000000001</v>
      </c>
      <c r="X6190">
        <v>0.96839520000000001</v>
      </c>
      <c r="Y6190">
        <v>-0.21959210000000001</v>
      </c>
      <c r="Z6190">
        <v>5.4386149999999999E-3</v>
      </c>
      <c r="AA6190">
        <v>0.97557660000000002</v>
      </c>
      <c r="AB6190">
        <v>34</v>
      </c>
      <c r="AC6190">
        <v>17.535399999999999</v>
      </c>
      <c r="AD6190">
        <v>-1.111342852041</v>
      </c>
      <c r="AE6190">
        <v>4.3945199999999902</v>
      </c>
      <c r="AF6190">
        <v>-3.9967909863231399</v>
      </c>
      <c r="AG6190">
        <v>-1.111342852041</v>
      </c>
      <c r="AH6190">
        <v>17.5605093362025</v>
      </c>
      <c r="AI6190">
        <v>93.531150197487506</v>
      </c>
      <c r="AJ6190">
        <v>102.82215429004501</v>
      </c>
      <c r="AK6190">
        <v>18.0438607085621</v>
      </c>
      <c r="AL6190">
        <v>80.874547320876701</v>
      </c>
      <c r="AM6190">
        <v>101.24308583894</v>
      </c>
      <c r="AN6190">
        <v>1.0000000410762</v>
      </c>
    </row>
    <row r="6191" spans="1:40" x14ac:dyDescent="0.25">
      <c r="A6191" t="str">
        <f>"20190312164625519"</f>
        <v>20190312164625519</v>
      </c>
      <c r="B6191" t="str">
        <f>"1552380385507886"</f>
        <v>1552380385507886</v>
      </c>
      <c r="C6191" t="s">
        <v>40</v>
      </c>
      <c r="D6191">
        <v>5.3163729999999996</v>
      </c>
      <c r="E6191">
        <v>0.48933680000000002</v>
      </c>
      <c r="F6191" t="s">
        <v>52</v>
      </c>
      <c r="G6191">
        <v>-196.78059999999999</v>
      </c>
      <c r="H6191" s="1">
        <v>-7.8648219999999998E-6</v>
      </c>
      <c r="I6191">
        <v>-57.719090000000001</v>
      </c>
      <c r="J6191">
        <v>-214.3905</v>
      </c>
      <c r="K6191">
        <v>1.111408</v>
      </c>
      <c r="L6191">
        <v>-62.2209199999999</v>
      </c>
      <c r="M6191">
        <v>0.99963389999999996</v>
      </c>
      <c r="N6191">
        <v>0</v>
      </c>
      <c r="O6191">
        <v>2.3226219999999999E-2</v>
      </c>
      <c r="P6191">
        <v>0.96484270000000005</v>
      </c>
      <c r="Q6191">
        <v>0.1465989</v>
      </c>
      <c r="R6191">
        <v>0.21814529999999999</v>
      </c>
      <c r="S6191">
        <v>2.9676670000000001</v>
      </c>
      <c r="T6191">
        <v>-0.18557760000000001</v>
      </c>
      <c r="U6191">
        <v>0.75256350000000005</v>
      </c>
      <c r="V6191">
        <v>-0.19663449999999999</v>
      </c>
      <c r="W6191">
        <v>0.15886410000000001</v>
      </c>
      <c r="X6191">
        <v>0.96752110000000002</v>
      </c>
      <c r="Y6191">
        <v>-0.22285930000000001</v>
      </c>
      <c r="Z6191">
        <v>5.4256449999999998E-3</v>
      </c>
      <c r="AA6191">
        <v>0.97483549999999997</v>
      </c>
      <c r="AB6191">
        <v>34</v>
      </c>
      <c r="AC6191">
        <v>17.6099</v>
      </c>
      <c r="AD6191">
        <v>-1.1114158648220001</v>
      </c>
      <c r="AE6191">
        <v>4.5018299999999902</v>
      </c>
      <c r="AF6191">
        <v>-4.0763234836200297</v>
      </c>
      <c r="AG6191">
        <v>-1.1114158648220001</v>
      </c>
      <c r="AH6191">
        <v>17.643750577961701</v>
      </c>
      <c r="AI6191">
        <v>93.5121409355297</v>
      </c>
      <c r="AJ6191">
        <v>103.00907214834101</v>
      </c>
      <c r="AK6191">
        <v>18.142590576458801</v>
      </c>
      <c r="AL6191">
        <v>80.859029354312796</v>
      </c>
      <c r="AM6191">
        <v>101.488063884955</v>
      </c>
      <c r="AN6191">
        <v>1.00000000390213</v>
      </c>
    </row>
    <row r="6192" spans="1:40" x14ac:dyDescent="0.25">
      <c r="A6192" t="str">
        <f>"20190312164625531"</f>
        <v>20190312164625531</v>
      </c>
      <c r="B6192" t="str">
        <f>"1552380385527074"</f>
        <v>1552380385527074</v>
      </c>
      <c r="C6192" t="s">
        <v>40</v>
      </c>
      <c r="D6192">
        <v>5.3468489999999997</v>
      </c>
      <c r="E6192">
        <v>0.50209280000000001</v>
      </c>
      <c r="F6192" t="s">
        <v>52</v>
      </c>
      <c r="G6192">
        <v>-196.5463</v>
      </c>
      <c r="H6192" s="1">
        <v>-7.8805610000000004E-6</v>
      </c>
      <c r="I6192">
        <v>-57.59919</v>
      </c>
      <c r="J6192">
        <v>-214.2148</v>
      </c>
      <c r="K6192">
        <v>1.1114850000000001</v>
      </c>
      <c r="L6192">
        <v>-62.215420000000002</v>
      </c>
      <c r="M6192">
        <v>0.99959520000000002</v>
      </c>
      <c r="N6192">
        <v>0</v>
      </c>
      <c r="O6192">
        <v>2.4837060000000001E-2</v>
      </c>
      <c r="P6192">
        <v>0.96347870000000002</v>
      </c>
      <c r="Q6192">
        <v>0.14701339999999999</v>
      </c>
      <c r="R6192">
        <v>0.22382170000000001</v>
      </c>
      <c r="S6192">
        <v>2.9638059999999999</v>
      </c>
      <c r="T6192">
        <v>-0.1845994</v>
      </c>
      <c r="U6192">
        <v>0.76763919999999997</v>
      </c>
      <c r="V6192">
        <v>-0.2008134</v>
      </c>
      <c r="W6192">
        <v>0.1592044</v>
      </c>
      <c r="X6192">
        <v>0.96660639999999998</v>
      </c>
      <c r="Y6192">
        <v>-0.22624250000000001</v>
      </c>
      <c r="Z6192">
        <v>5.4056779999999997E-3</v>
      </c>
      <c r="AA6192">
        <v>0.97405600000000003</v>
      </c>
      <c r="AB6192">
        <v>34</v>
      </c>
      <c r="AC6192">
        <v>17.668499999999899</v>
      </c>
      <c r="AD6192">
        <v>-1.111492880561</v>
      </c>
      <c r="AE6192">
        <v>4.6162299999999901</v>
      </c>
      <c r="AF6192">
        <v>-4.16051694800551</v>
      </c>
      <c r="AG6192">
        <v>-1.111492880561</v>
      </c>
      <c r="AH6192">
        <v>17.712097562194799</v>
      </c>
      <c r="AI6192">
        <v>93.495886758070696</v>
      </c>
      <c r="AJ6192">
        <v>103.218953444267</v>
      </c>
      <c r="AK6192">
        <v>18.228102417719899</v>
      </c>
      <c r="AL6192">
        <v>80.839280196440995</v>
      </c>
      <c r="AM6192">
        <v>101.736305254223</v>
      </c>
      <c r="AN6192">
        <v>0.99999999755993996</v>
      </c>
    </row>
    <row r="6193" spans="1:40" x14ac:dyDescent="0.25">
      <c r="A6193" t="str">
        <f>"20190312164625543"</f>
        <v>20190312164625543</v>
      </c>
      <c r="B6193" t="str">
        <f>"1552380385537809"</f>
        <v>1552380385537809</v>
      </c>
      <c r="C6193" t="s">
        <v>40</v>
      </c>
      <c r="D6193">
        <v>5.4284420000000004</v>
      </c>
      <c r="E6193">
        <v>0.50209280000000001</v>
      </c>
      <c r="F6193" t="s">
        <v>52</v>
      </c>
      <c r="G6193">
        <v>-200.43559999999999</v>
      </c>
      <c r="H6193" s="1">
        <v>-5.7522730000000003E-6</v>
      </c>
      <c r="I6193">
        <v>-59.046340000000001</v>
      </c>
      <c r="J6193">
        <v>-214.03739999999999</v>
      </c>
      <c r="K6193">
        <v>1.1115649999999999</v>
      </c>
      <c r="L6193">
        <v>-62.209470000000003</v>
      </c>
      <c r="M6193">
        <v>0.99955190000000005</v>
      </c>
      <c r="N6193">
        <v>0</v>
      </c>
      <c r="O6193">
        <v>2.6524140000000002E-2</v>
      </c>
      <c r="P6193">
        <v>0.96201519999999996</v>
      </c>
      <c r="Q6193">
        <v>0.147563</v>
      </c>
      <c r="R6193">
        <v>0.22967899999999999</v>
      </c>
      <c r="S6193">
        <v>2.990723</v>
      </c>
      <c r="T6193">
        <v>-0.2412446</v>
      </c>
      <c r="U6193">
        <v>0.68783570000000005</v>
      </c>
      <c r="V6193">
        <v>-0.2051065</v>
      </c>
      <c r="W6193">
        <v>0.1596766</v>
      </c>
      <c r="X6193">
        <v>0.9656266</v>
      </c>
      <c r="Y6193">
        <v>-0.1976803</v>
      </c>
      <c r="Z6193">
        <v>5.7507399999999998E-3</v>
      </c>
      <c r="AA6193">
        <v>0.98024960000000005</v>
      </c>
      <c r="AB6193">
        <v>34</v>
      </c>
      <c r="AC6193">
        <v>13.6017999999999</v>
      </c>
      <c r="AD6193">
        <v>-1.1115707522729901</v>
      </c>
      <c r="AE6193">
        <v>3.16312999999999</v>
      </c>
      <c r="AF6193">
        <v>-2.7835697476553101</v>
      </c>
      <c r="AG6193">
        <v>-1.1115707522729901</v>
      </c>
      <c r="AH6193">
        <v>13.594785906994399</v>
      </c>
      <c r="AI6193">
        <v>94.579764160238696</v>
      </c>
      <c r="AJ6193">
        <v>101.57153030204699</v>
      </c>
      <c r="AK6193">
        <v>13.9212806140234</v>
      </c>
      <c r="AL6193">
        <v>80.811874675061503</v>
      </c>
      <c r="AM6193">
        <v>101.99183787055399</v>
      </c>
      <c r="AN6193">
        <v>1.00000001177868</v>
      </c>
    </row>
    <row r="6194" spans="1:40" x14ac:dyDescent="0.25">
      <c r="A6194" t="str">
        <f>"20190312164625555"</f>
        <v>20190312164625555</v>
      </c>
      <c r="B6194" t="str">
        <f>"1552380385547570"</f>
        <v>1552380385547570</v>
      </c>
      <c r="C6194" t="s">
        <v>40</v>
      </c>
      <c r="D6194">
        <v>5.3332050000000004</v>
      </c>
      <c r="E6194">
        <v>0.48029430000000001</v>
      </c>
      <c r="F6194" t="s">
        <v>52</v>
      </c>
      <c r="G6194">
        <v>-200.17679999999999</v>
      </c>
      <c r="H6194" s="1">
        <v>-5.8672979999999899E-6</v>
      </c>
      <c r="I6194">
        <v>-58.936810000000001</v>
      </c>
      <c r="J6194">
        <v>-213.87119999999999</v>
      </c>
      <c r="K6194">
        <v>1.111642</v>
      </c>
      <c r="L6194">
        <v>-62.203580000000002</v>
      </c>
      <c r="M6194">
        <v>0.99950740000000005</v>
      </c>
      <c r="N6194">
        <v>0</v>
      </c>
      <c r="O6194">
        <v>2.8147510000000001E-2</v>
      </c>
      <c r="P6194">
        <v>0.96052749999999998</v>
      </c>
      <c r="Q6194">
        <v>0.14808180000000001</v>
      </c>
      <c r="R6194">
        <v>0.23549709999999999</v>
      </c>
      <c r="S6194">
        <v>2.9868320000000002</v>
      </c>
      <c r="T6194">
        <v>-0.23953379999999999</v>
      </c>
      <c r="U6194">
        <v>0.70523069999999999</v>
      </c>
      <c r="V6194">
        <v>-0.20942479999999999</v>
      </c>
      <c r="W6194">
        <v>0.16011719999999999</v>
      </c>
      <c r="X6194">
        <v>0.96462619999999999</v>
      </c>
      <c r="Y6194">
        <v>-0.2017795</v>
      </c>
      <c r="Z6194">
        <v>5.7475340000000003E-3</v>
      </c>
      <c r="AA6194">
        <v>0.97941409999999995</v>
      </c>
      <c r="AB6194">
        <v>34</v>
      </c>
      <c r="AC6194">
        <v>13.6944</v>
      </c>
      <c r="AD6194">
        <v>-1.1116478672979999</v>
      </c>
      <c r="AE6194">
        <v>3.2667700000000002</v>
      </c>
      <c r="AF6194">
        <v>-2.8621305924837599</v>
      </c>
      <c r="AG6194">
        <v>-1.1116478672979999</v>
      </c>
      <c r="AH6194">
        <v>13.695546249815701</v>
      </c>
      <c r="AI6194">
        <v>94.542728492586804</v>
      </c>
      <c r="AJ6194">
        <v>101.803936027737</v>
      </c>
      <c r="AK6194">
        <v>14.035509951196699</v>
      </c>
      <c r="AL6194">
        <v>80.786300870740803</v>
      </c>
      <c r="AM6194">
        <v>102.249087967726</v>
      </c>
      <c r="AN6194">
        <v>0.99999998515865995</v>
      </c>
    </row>
    <row r="6195" spans="1:40" x14ac:dyDescent="0.25">
      <c r="A6195" t="str">
        <f>"20190312164625567"</f>
        <v>20190312164625567</v>
      </c>
      <c r="B6195" t="str">
        <f>"1552380385557331"</f>
        <v>1552380385557331</v>
      </c>
      <c r="C6195" t="s">
        <v>40</v>
      </c>
      <c r="D6195">
        <v>5.0839990000000004</v>
      </c>
      <c r="E6195">
        <v>0.48029430000000001</v>
      </c>
      <c r="F6195" t="s">
        <v>52</v>
      </c>
      <c r="G6195">
        <v>-190.3965</v>
      </c>
      <c r="H6195" s="1">
        <v>-8.1296979999999905E-6</v>
      </c>
      <c r="I6195">
        <v>-55.092649999999999</v>
      </c>
      <c r="J6195">
        <v>-213.69159999999999</v>
      </c>
      <c r="K6195">
        <v>1.111726</v>
      </c>
      <c r="L6195">
        <v>-62.196930000000002</v>
      </c>
      <c r="M6195">
        <v>0.99945499999999998</v>
      </c>
      <c r="N6195">
        <v>0</v>
      </c>
      <c r="O6195">
        <v>2.9944430000000001E-2</v>
      </c>
      <c r="P6195">
        <v>0.9589548</v>
      </c>
      <c r="Q6195">
        <v>0.14833250000000001</v>
      </c>
      <c r="R6195">
        <v>0.24166750000000001</v>
      </c>
      <c r="S6195">
        <v>2.9272459999999998</v>
      </c>
      <c r="T6195">
        <v>-0.13862049999999901</v>
      </c>
      <c r="U6195">
        <v>0.88671880000000003</v>
      </c>
      <c r="V6195">
        <v>-0.2139354</v>
      </c>
      <c r="W6195">
        <v>0.16028329999999999</v>
      </c>
      <c r="X6195">
        <v>0.96360829999999997</v>
      </c>
      <c r="Y6195">
        <v>-0.26088220000000001</v>
      </c>
      <c r="Z6195">
        <v>4.6537269999999999E-3</v>
      </c>
      <c r="AA6195">
        <v>0.96535939999999998</v>
      </c>
      <c r="AB6195">
        <v>34</v>
      </c>
      <c r="AC6195">
        <v>23.295099999999898</v>
      </c>
      <c r="AD6195">
        <v>-1.1117341296979999</v>
      </c>
      <c r="AE6195">
        <v>7.1042800000000002</v>
      </c>
      <c r="AF6195">
        <v>-6.3901521304392404</v>
      </c>
      <c r="AG6195">
        <v>-1.1117341296979999</v>
      </c>
      <c r="AH6195">
        <v>23.448544378022302</v>
      </c>
      <c r="AI6195">
        <v>92.619082062469701</v>
      </c>
      <c r="AJ6195">
        <v>105.24396167165</v>
      </c>
      <c r="AK6195">
        <v>24.329081989943099</v>
      </c>
      <c r="AL6195">
        <v>80.776659877935899</v>
      </c>
      <c r="AM6195">
        <v>102.51748750046001</v>
      </c>
      <c r="AN6195">
        <v>1.00000002373046</v>
      </c>
    </row>
    <row r="6196" spans="1:40" x14ac:dyDescent="0.25">
      <c r="A6196" t="str">
        <f>"20190312164625577"</f>
        <v>20190312164625577</v>
      </c>
      <c r="B6196" t="str">
        <f>"1552380385567090"</f>
        <v>1552380385567090</v>
      </c>
      <c r="C6196" t="s">
        <v>40</v>
      </c>
      <c r="D6196">
        <v>5.0659039999999997</v>
      </c>
      <c r="E6196">
        <v>0.43193280000000001</v>
      </c>
      <c r="F6196" t="s">
        <v>52</v>
      </c>
      <c r="G6196">
        <v>-190.15539999999999</v>
      </c>
      <c r="H6196" s="1">
        <v>-8.1732849999999906E-6</v>
      </c>
      <c r="I6196">
        <v>-54.906509999999997</v>
      </c>
      <c r="J6196">
        <v>-213.5258</v>
      </c>
      <c r="K6196">
        <v>1.111809</v>
      </c>
      <c r="L6196">
        <v>-62.190370000000001</v>
      </c>
      <c r="M6196">
        <v>0.9994016</v>
      </c>
      <c r="N6196">
        <v>0</v>
      </c>
      <c r="O6196">
        <v>3.1676290000000003E-2</v>
      </c>
      <c r="P6196">
        <v>0.95737430000000001</v>
      </c>
      <c r="Q6196">
        <v>0.14868319999999999</v>
      </c>
      <c r="R6196">
        <v>0.24764459999999999</v>
      </c>
      <c r="S6196">
        <v>2.9216769999999999</v>
      </c>
      <c r="T6196">
        <v>-0.1380055</v>
      </c>
      <c r="U6196">
        <v>0.90499879999999999</v>
      </c>
      <c r="V6196">
        <v>-0.21832080000000001</v>
      </c>
      <c r="W6196">
        <v>0.1605492</v>
      </c>
      <c r="X6196">
        <v>0.96257979999999999</v>
      </c>
      <c r="Y6196">
        <v>-0.26523730000000001</v>
      </c>
      <c r="Z6196">
        <v>4.6581909999999999E-3</v>
      </c>
      <c r="AA6196">
        <v>0.96417189999999997</v>
      </c>
      <c r="AB6196">
        <v>34</v>
      </c>
      <c r="AC6196">
        <v>23.3704</v>
      </c>
      <c r="AD6196">
        <v>-1.111817173285</v>
      </c>
      <c r="AE6196">
        <v>7.28385999999999</v>
      </c>
      <c r="AF6196">
        <v>-6.5263819597553496</v>
      </c>
      <c r="AG6196">
        <v>-1.111817173285</v>
      </c>
      <c r="AH6196">
        <v>23.540856087399099</v>
      </c>
      <c r="AI6196">
        <v>92.605880737997495</v>
      </c>
      <c r="AJ6196">
        <v>105.495309752927</v>
      </c>
      <c r="AK6196">
        <v>24.454073367009201</v>
      </c>
      <c r="AL6196">
        <v>80.761224301139407</v>
      </c>
      <c r="AM6196">
        <v>102.77894445840001</v>
      </c>
      <c r="AN6196">
        <v>0.99999994435065798</v>
      </c>
    </row>
    <row r="6197" spans="1:40" x14ac:dyDescent="0.25">
      <c r="A6197" t="str">
        <f>"20190312164625590"</f>
        <v>20190312164625590</v>
      </c>
      <c r="B6197" t="str">
        <f>"1552380385577827"</f>
        <v>1552380385577827</v>
      </c>
      <c r="C6197" t="s">
        <v>40</v>
      </c>
      <c r="D6197">
        <v>5.3159869999999998</v>
      </c>
      <c r="E6197">
        <v>0.42719380000000001</v>
      </c>
      <c r="F6197" t="s">
        <v>52</v>
      </c>
      <c r="G6197">
        <v>-179.95779999999999</v>
      </c>
      <c r="H6197">
        <v>2.64351E-2</v>
      </c>
      <c r="I6197">
        <v>-46.749960000000002</v>
      </c>
      <c r="J6197">
        <v>-213.3477</v>
      </c>
      <c r="K6197">
        <v>1.111899</v>
      </c>
      <c r="L6197">
        <v>-62.183109999999999</v>
      </c>
      <c r="M6197">
        <v>0.99933989999999995</v>
      </c>
      <c r="N6197">
        <v>0</v>
      </c>
      <c r="O6197">
        <v>3.3563820000000001E-2</v>
      </c>
      <c r="P6197">
        <v>0.95570169999999999</v>
      </c>
      <c r="Q6197">
        <v>0.14905160000000001</v>
      </c>
      <c r="R6197">
        <v>0.2538069</v>
      </c>
      <c r="S6197">
        <v>2.8130190000000002</v>
      </c>
      <c r="T6197">
        <v>-9.0954900000000005E-2</v>
      </c>
      <c r="U6197">
        <v>1.2939149999999999</v>
      </c>
      <c r="V6197">
        <v>-0.22275049999999999</v>
      </c>
      <c r="W6197">
        <v>0.160826</v>
      </c>
      <c r="X6197">
        <v>0.96151819999999999</v>
      </c>
      <c r="Y6197">
        <v>-0.38700289999999998</v>
      </c>
      <c r="Z6197">
        <v>4.924243E-3</v>
      </c>
      <c r="AA6197">
        <v>0.92206529999999998</v>
      </c>
      <c r="AB6197">
        <v>34</v>
      </c>
      <c r="AC6197">
        <v>33.389899999999997</v>
      </c>
      <c r="AD6197">
        <v>-1.0854638999999999</v>
      </c>
      <c r="AE6197">
        <v>15.433149999999999</v>
      </c>
      <c r="AF6197">
        <v>-14.2912074495925</v>
      </c>
      <c r="AG6197">
        <v>-1.0854638999999999</v>
      </c>
      <c r="AH6197">
        <v>33.859644729404202</v>
      </c>
      <c r="AI6197">
        <v>91.6917261430834</v>
      </c>
      <c r="AJ6197">
        <v>112.883245663569</v>
      </c>
      <c r="AK6197">
        <v>36.7680892003781</v>
      </c>
      <c r="AL6197">
        <v>80.745156716004402</v>
      </c>
      <c r="AM6197">
        <v>103.043357832144</v>
      </c>
      <c r="AN6197">
        <v>1.0000000182287401</v>
      </c>
    </row>
    <row r="6198" spans="1:40" x14ac:dyDescent="0.25">
      <c r="A6198" t="str">
        <f>"20190312164625601"</f>
        <v>20190312164625601</v>
      </c>
      <c r="B6198" t="str">
        <f>"1552380385597345"</f>
        <v>1552380385597345</v>
      </c>
      <c r="C6198" t="s">
        <v>40</v>
      </c>
      <c r="D6198">
        <v>5.2964779999999996</v>
      </c>
      <c r="E6198">
        <v>0.42306690000000002</v>
      </c>
      <c r="F6198" t="s">
        <v>52</v>
      </c>
      <c r="G6198">
        <v>-183.5829</v>
      </c>
      <c r="H6198" s="1">
        <v>-3.6292100000000002E-6</v>
      </c>
      <c r="I6198">
        <v>-47.827739999999999</v>
      </c>
      <c r="J6198">
        <v>-213.1678</v>
      </c>
      <c r="K6198">
        <v>1.112004</v>
      </c>
      <c r="L6198">
        <v>-62.175139999999999</v>
      </c>
      <c r="M6198">
        <v>0.9992704</v>
      </c>
      <c r="N6198">
        <v>0</v>
      </c>
      <c r="O6198">
        <v>3.5571310000000002E-2</v>
      </c>
      <c r="P6198">
        <v>0.95394800000000002</v>
      </c>
      <c r="Q6198">
        <v>0.149040899999999</v>
      </c>
      <c r="R6198">
        <v>0.26032670000000002</v>
      </c>
      <c r="S6198">
        <v>2.797104</v>
      </c>
      <c r="T6198">
        <v>-0.10448979999999999</v>
      </c>
      <c r="U6198">
        <v>1.34903</v>
      </c>
      <c r="V6198">
        <v>-0.22742989999999999</v>
      </c>
      <c r="W6198">
        <v>0.16071679999999999</v>
      </c>
      <c r="X6198">
        <v>0.96044039999999997</v>
      </c>
      <c r="Y6198">
        <v>-0.40188629999999997</v>
      </c>
      <c r="Z6198">
        <v>5.8558899999999999E-3</v>
      </c>
      <c r="AA6198">
        <v>0.91567080000000001</v>
      </c>
      <c r="AB6198">
        <v>34</v>
      </c>
      <c r="AC6198">
        <v>29.584900000000001</v>
      </c>
      <c r="AD6198">
        <v>-1.1120076292100001</v>
      </c>
      <c r="AE6198">
        <v>14.347399999999899</v>
      </c>
      <c r="AF6198">
        <v>-13.2706641844541</v>
      </c>
      <c r="AG6198">
        <v>-1.1120076292100001</v>
      </c>
      <c r="AH6198">
        <v>30.042216655107001</v>
      </c>
      <c r="AI6198">
        <v>91.939211568667901</v>
      </c>
      <c r="AJ6198">
        <v>113.832670653815</v>
      </c>
      <c r="AK6198">
        <v>32.861556116781301</v>
      </c>
      <c r="AL6198">
        <v>80.751495758940095</v>
      </c>
      <c r="AM6198">
        <v>103.322112101741</v>
      </c>
      <c r="AN6198">
        <v>1.0000000055842</v>
      </c>
    </row>
    <row r="6199" spans="1:40" x14ac:dyDescent="0.25">
      <c r="A6199" t="str">
        <f>"20190312164625610"</f>
        <v>20190312164625610</v>
      </c>
      <c r="B6199" t="str">
        <f>"1552380385597345"</f>
        <v>1552380385597345</v>
      </c>
      <c r="C6199" t="s">
        <v>40</v>
      </c>
      <c r="D6199">
        <v>5.2964779999999996</v>
      </c>
      <c r="E6199">
        <v>0.42306690000000002</v>
      </c>
      <c r="F6199" t="s">
        <v>52</v>
      </c>
      <c r="G6199">
        <v>-186.56450000000001</v>
      </c>
      <c r="H6199" s="1">
        <v>-3.7276769999999999E-6</v>
      </c>
      <c r="I6199">
        <v>-48.781460000000003</v>
      </c>
      <c r="J6199">
        <v>-213.0436</v>
      </c>
      <c r="K6199">
        <v>1.1120719999999999</v>
      </c>
      <c r="L6199">
        <v>-62.169589999999999</v>
      </c>
      <c r="M6199">
        <v>0.99921979999999999</v>
      </c>
      <c r="N6199">
        <v>0</v>
      </c>
      <c r="O6199">
        <v>3.6965829999999998E-2</v>
      </c>
      <c r="P6199">
        <v>0.95236670000000001</v>
      </c>
      <c r="Q6199">
        <v>0.14898249999999999</v>
      </c>
      <c r="R6199">
        <v>0.2660863</v>
      </c>
      <c r="S6199">
        <v>2.7809300000000001</v>
      </c>
      <c r="T6199">
        <v>-0.1162417</v>
      </c>
      <c r="U6199">
        <v>1.400085</v>
      </c>
      <c r="V6199">
        <v>-0.2319264</v>
      </c>
      <c r="W6199">
        <v>0.1605751</v>
      </c>
      <c r="X6199">
        <v>0.95938820000000002</v>
      </c>
      <c r="Y6199">
        <v>-0.41609299999999999</v>
      </c>
      <c r="Z6199">
        <v>6.7484519999999899E-3</v>
      </c>
      <c r="AA6199">
        <v>0.90929700000000002</v>
      </c>
      <c r="AB6199">
        <v>34</v>
      </c>
      <c r="AC6199">
        <v>26.479099999999899</v>
      </c>
      <c r="AD6199">
        <v>-1.1120757276769999</v>
      </c>
      <c r="AE6199">
        <v>13.38813</v>
      </c>
      <c r="AF6199">
        <v>-12.3826668738352</v>
      </c>
      <c r="AG6199">
        <v>-1.1120757276769999</v>
      </c>
      <c r="AH6199">
        <v>26.9181370081062</v>
      </c>
      <c r="AI6199">
        <v>92.149446176246599</v>
      </c>
      <c r="AJ6199">
        <v>114.702999159859</v>
      </c>
      <c r="AK6199">
        <v>29.650518567465902</v>
      </c>
      <c r="AL6199">
        <v>80.759721054682601</v>
      </c>
      <c r="AM6199">
        <v>103.590180839327</v>
      </c>
      <c r="AN6199">
        <v>0.99999996802810398</v>
      </c>
    </row>
    <row r="6200" spans="1:40" x14ac:dyDescent="0.25">
      <c r="A6200" t="str">
        <f>"20190312164625620"</f>
        <v>20190312164625620</v>
      </c>
      <c r="B6200" t="str">
        <f>"1552380385617842"</f>
        <v>1552380385617842</v>
      </c>
      <c r="C6200" t="s">
        <v>40</v>
      </c>
      <c r="D6200">
        <v>5.1892009999999997</v>
      </c>
      <c r="E6200">
        <v>0.42132740000000002</v>
      </c>
      <c r="F6200" t="s">
        <v>41</v>
      </c>
      <c r="G6200">
        <v>-212.05709999999999</v>
      </c>
      <c r="H6200">
        <v>1.070586</v>
      </c>
      <c r="I6200">
        <v>-61.665689999999998</v>
      </c>
      <c r="J6200">
        <v>-212.87639999999999</v>
      </c>
      <c r="K6200">
        <v>1.112168</v>
      </c>
      <c r="L6200">
        <v>-62.161529999999999</v>
      </c>
      <c r="M6200">
        <v>0.99914519999999996</v>
      </c>
      <c r="N6200">
        <v>0</v>
      </c>
      <c r="O6200">
        <v>3.8927410000000003E-2</v>
      </c>
      <c r="P6200">
        <v>0.95045769999999996</v>
      </c>
      <c r="Q6200">
        <v>0.14898429999999999</v>
      </c>
      <c r="R6200">
        <v>0.2728257</v>
      </c>
      <c r="S6200">
        <v>2.7724760000000002</v>
      </c>
      <c r="T6200">
        <v>-0.1165987</v>
      </c>
      <c r="U6200">
        <v>1.4166259999999999</v>
      </c>
      <c r="V6200">
        <v>-0.23688310000000001</v>
      </c>
      <c r="W6200">
        <v>0.16047349999999999</v>
      </c>
      <c r="X6200">
        <v>0.95819339999999997</v>
      </c>
      <c r="Y6200">
        <v>-0.4197264</v>
      </c>
      <c r="Z6200">
        <v>6.77364E-3</v>
      </c>
      <c r="AA6200">
        <v>0.90762540000000003</v>
      </c>
      <c r="AB6200">
        <v>34</v>
      </c>
      <c r="AC6200">
        <v>0.81929999999999803</v>
      </c>
      <c r="AD6200">
        <v>-4.1582000000000001E-2</v>
      </c>
      <c r="AE6200">
        <v>0.495840000000001</v>
      </c>
      <c r="AF6200">
        <v>-0.462695449645671</v>
      </c>
      <c r="AG6200">
        <v>-4.1582000000000001E-2</v>
      </c>
      <c r="AH6200">
        <v>0.83640561099894895</v>
      </c>
      <c r="AI6200">
        <v>92.490930585914796</v>
      </c>
      <c r="AJ6200">
        <v>118.951151720971</v>
      </c>
      <c r="AK6200">
        <v>0.95676041303836101</v>
      </c>
      <c r="AL6200">
        <v>80.765618802588307</v>
      </c>
      <c r="AM6200">
        <v>103.88614999489999</v>
      </c>
      <c r="AN6200">
        <v>0.99999996953570902</v>
      </c>
    </row>
    <row r="6201" spans="1:40" x14ac:dyDescent="0.25">
      <c r="A6201" t="str">
        <f>"20190312164625633"</f>
        <v>20190312164625633</v>
      </c>
      <c r="B6201" t="str">
        <f>"1552380385627299"</f>
        <v>1552380385627299</v>
      </c>
      <c r="C6201" t="s">
        <v>40</v>
      </c>
      <c r="D6201">
        <v>5.1481960000000004</v>
      </c>
      <c r="E6201">
        <v>0.42075240000000003</v>
      </c>
      <c r="F6201" t="s">
        <v>41</v>
      </c>
      <c r="G6201">
        <v>-211.97030000000001</v>
      </c>
      <c r="H6201">
        <v>1.065248</v>
      </c>
      <c r="I6201">
        <v>-61.685859999999998</v>
      </c>
      <c r="J6201">
        <v>-212.70339999999999</v>
      </c>
      <c r="K6201">
        <v>1.112271</v>
      </c>
      <c r="L6201">
        <v>-62.152949999999997</v>
      </c>
      <c r="M6201">
        <v>0.99906269999999997</v>
      </c>
      <c r="N6201">
        <v>0</v>
      </c>
      <c r="O6201">
        <v>4.0991220000000002E-2</v>
      </c>
      <c r="P6201">
        <v>0.94862239999999998</v>
      </c>
      <c r="Q6201">
        <v>0.148928799999999</v>
      </c>
      <c r="R6201">
        <v>0.27917019999999998</v>
      </c>
      <c r="S6201">
        <v>2.7623899999999999</v>
      </c>
      <c r="T6201">
        <v>-0.14304749999999999</v>
      </c>
      <c r="U6201">
        <v>1.450623</v>
      </c>
      <c r="V6201">
        <v>-0.24135029999999999</v>
      </c>
      <c r="W6201">
        <v>0.16031529999999899</v>
      </c>
      <c r="X6201">
        <v>0.95710450000000002</v>
      </c>
      <c r="Y6201">
        <v>-0.4278362</v>
      </c>
      <c r="Z6201">
        <v>8.4108329999999995E-3</v>
      </c>
      <c r="AA6201">
        <v>0.90381710000000004</v>
      </c>
      <c r="AB6201">
        <v>34</v>
      </c>
      <c r="AC6201">
        <v>0.73309999999997899</v>
      </c>
      <c r="AD6201">
        <v>-4.7023000000000002E-2</v>
      </c>
      <c r="AE6201">
        <v>0.46708999999999801</v>
      </c>
      <c r="AF6201">
        <v>-0.43536973091964298</v>
      </c>
      <c r="AG6201">
        <v>-4.7023000000000002E-2</v>
      </c>
      <c r="AH6201">
        <v>0.74943904806824502</v>
      </c>
      <c r="AI6201">
        <v>93.105474451426602</v>
      </c>
      <c r="AJ6201">
        <v>120.15348082244201</v>
      </c>
      <c r="AK6201">
        <v>0.86799588242081005</v>
      </c>
      <c r="AL6201">
        <v>80.7748021099124</v>
      </c>
      <c r="AM6201">
        <v>104.153047472555</v>
      </c>
      <c r="AN6201">
        <v>0.99999999332221501</v>
      </c>
    </row>
    <row r="6202" spans="1:40" x14ac:dyDescent="0.25">
      <c r="A6202" t="str">
        <f>"20190312164625643"</f>
        <v>20190312164625643</v>
      </c>
      <c r="B6202" t="str">
        <f>"1552380385637059"</f>
        <v>1552380385637059</v>
      </c>
      <c r="C6202" t="s">
        <v>40</v>
      </c>
      <c r="D6202">
        <v>5.1761739999999996</v>
      </c>
      <c r="E6202">
        <v>0.4198867</v>
      </c>
      <c r="F6202" t="s">
        <v>41</v>
      </c>
      <c r="G6202">
        <v>-211.7612</v>
      </c>
      <c r="H6202">
        <v>1.050017</v>
      </c>
      <c r="I6202">
        <v>-61.648859999999999</v>
      </c>
      <c r="J6202">
        <v>-212.5205</v>
      </c>
      <c r="K6202">
        <v>1.1123749999999999</v>
      </c>
      <c r="L6202">
        <v>-62.1434</v>
      </c>
      <c r="M6202">
        <v>0.9989673</v>
      </c>
      <c r="N6202">
        <v>0</v>
      </c>
      <c r="O6202">
        <v>4.324894E-2</v>
      </c>
      <c r="P6202">
        <v>0.94655520000000004</v>
      </c>
      <c r="Q6202">
        <v>0.149173</v>
      </c>
      <c r="R6202">
        <v>0.28597329999999999</v>
      </c>
      <c r="S6202">
        <v>2.757034</v>
      </c>
      <c r="T6202">
        <v>-0.1821642</v>
      </c>
      <c r="U6202">
        <v>1.4748540000000001</v>
      </c>
      <c r="V6202">
        <v>-0.24611060000000001</v>
      </c>
      <c r="W6202">
        <v>0.16044659999999999</v>
      </c>
      <c r="X6202">
        <v>0.95586939999999998</v>
      </c>
      <c r="Y6202">
        <v>-0.4324556</v>
      </c>
      <c r="Z6202">
        <v>1.070895E-2</v>
      </c>
      <c r="AA6202">
        <v>0.9015917</v>
      </c>
      <c r="AB6202">
        <v>34</v>
      </c>
      <c r="AC6202">
        <v>0.75929999999999598</v>
      </c>
      <c r="AD6202">
        <v>-6.23579999999999E-2</v>
      </c>
      <c r="AE6202">
        <v>0.49453999999999998</v>
      </c>
      <c r="AF6202">
        <v>-0.45906109912094401</v>
      </c>
      <c r="AG6202">
        <v>-6.23579999999999E-2</v>
      </c>
      <c r="AH6202">
        <v>0.77630346286988705</v>
      </c>
      <c r="AI6202">
        <v>93.955271608320103</v>
      </c>
      <c r="AJ6202">
        <v>120.59762191558001</v>
      </c>
      <c r="AK6202">
        <v>0.90403134865662005</v>
      </c>
      <c r="AL6202">
        <v>80.767179871712898</v>
      </c>
      <c r="AM6202">
        <v>104.438516456591</v>
      </c>
      <c r="AN6202">
        <v>0.99999992437013696</v>
      </c>
    </row>
    <row r="6203" spans="1:40" x14ac:dyDescent="0.25">
      <c r="A6203" t="str">
        <f>"20190312164625655"</f>
        <v>20190312164625655</v>
      </c>
      <c r="B6203" t="str">
        <f>"1552380385647795"</f>
        <v>1552380385647795</v>
      </c>
      <c r="C6203" t="s">
        <v>40</v>
      </c>
      <c r="D6203">
        <v>5.1233440000000003</v>
      </c>
      <c r="E6203">
        <v>0.41976599999999997</v>
      </c>
      <c r="F6203" t="s">
        <v>52</v>
      </c>
      <c r="G6203">
        <v>-195.881</v>
      </c>
      <c r="H6203" s="1">
        <v>-9.4223460000000004E-6</v>
      </c>
      <c r="I6203">
        <v>-53.044289999999997</v>
      </c>
      <c r="J6203">
        <v>-212.36590000000001</v>
      </c>
      <c r="K6203">
        <v>1.1124689999999999</v>
      </c>
      <c r="L6203">
        <v>-62.134920000000001</v>
      </c>
      <c r="M6203">
        <v>0.99888010000000005</v>
      </c>
      <c r="N6203">
        <v>0</v>
      </c>
      <c r="O6203">
        <v>4.5217529999999999E-2</v>
      </c>
      <c r="P6203">
        <v>0.94460520000000003</v>
      </c>
      <c r="Q6203">
        <v>0.14909259999999999</v>
      </c>
      <c r="R6203">
        <v>0.29239080000000001</v>
      </c>
      <c r="S6203">
        <v>2.7448269999999999</v>
      </c>
      <c r="T6203">
        <v>-0.1834973</v>
      </c>
      <c r="U6203">
        <v>1.500977</v>
      </c>
      <c r="V6203">
        <v>-0.25075500000000001</v>
      </c>
      <c r="W6203">
        <v>0.16026119999999999</v>
      </c>
      <c r="X6203">
        <v>0.95469280000000001</v>
      </c>
      <c r="Y6203">
        <v>-0.43894699999999998</v>
      </c>
      <c r="Z6203">
        <v>1.088712E-2</v>
      </c>
      <c r="AA6203">
        <v>0.898446999999999</v>
      </c>
      <c r="AB6203">
        <v>34</v>
      </c>
      <c r="AC6203">
        <v>16.4849</v>
      </c>
      <c r="AD6203">
        <v>-1.112478422346</v>
      </c>
      <c r="AE6203">
        <v>9.0906299999999902</v>
      </c>
      <c r="AF6203">
        <v>-8.3068420220482206</v>
      </c>
      <c r="AG6203">
        <v>-1.112478422346</v>
      </c>
      <c r="AH6203">
        <v>16.820390803644599</v>
      </c>
      <c r="AI6203">
        <v>93.393737782954204</v>
      </c>
      <c r="AJ6203">
        <v>116.28271506282999</v>
      </c>
      <c r="AK6203">
        <v>18.7927320900071</v>
      </c>
      <c r="AL6203">
        <v>80.7779427776631</v>
      </c>
      <c r="AM6203">
        <v>104.71662106161</v>
      </c>
      <c r="AN6203">
        <v>1.00000003231113</v>
      </c>
    </row>
    <row r="6204" spans="1:40" x14ac:dyDescent="0.25">
      <c r="A6204" t="str">
        <f>"20190312164625665"</f>
        <v>20190312164625665</v>
      </c>
      <c r="B6204" t="str">
        <f>"1552380385657556"</f>
        <v>1552380385657556</v>
      </c>
      <c r="C6204" t="s">
        <v>40</v>
      </c>
      <c r="D6204">
        <v>5.1205990000000003</v>
      </c>
      <c r="E6204">
        <v>0.4192533</v>
      </c>
      <c r="F6204" t="s">
        <v>41</v>
      </c>
      <c r="G6204">
        <v>-211.46369999999999</v>
      </c>
      <c r="H6204">
        <v>1.0430969999999999</v>
      </c>
      <c r="I6204">
        <v>-61.633899999999997</v>
      </c>
      <c r="J6204">
        <v>-212.20249999999999</v>
      </c>
      <c r="K6204">
        <v>1.1125640000000001</v>
      </c>
      <c r="L6204">
        <v>-62.1256699999999</v>
      </c>
      <c r="M6204">
        <v>0.99878180000000005</v>
      </c>
      <c r="N6204">
        <v>0</v>
      </c>
      <c r="O6204">
        <v>4.7339840000000001E-2</v>
      </c>
      <c r="P6204">
        <v>0.94257519999999995</v>
      </c>
      <c r="Q6204">
        <v>0.14930969999999999</v>
      </c>
      <c r="R6204">
        <v>0.29876209999999997</v>
      </c>
      <c r="S6204">
        <v>2.7382970000000002</v>
      </c>
      <c r="T6204">
        <v>-0.2105573</v>
      </c>
      <c r="U6204">
        <v>1.5211490000000001</v>
      </c>
      <c r="V6204">
        <v>-0.25522030000000001</v>
      </c>
      <c r="W6204">
        <v>0.16036900000000001</v>
      </c>
      <c r="X6204">
        <v>0.95349059999999997</v>
      </c>
      <c r="Y6204">
        <v>-0.4427934</v>
      </c>
      <c r="Z6204">
        <v>1.2481239999999999E-2</v>
      </c>
      <c r="AA6204">
        <v>0.89653680000000002</v>
      </c>
      <c r="AB6204">
        <v>34</v>
      </c>
      <c r="AC6204">
        <v>0.73879999999999701</v>
      </c>
      <c r="AD6204">
        <v>-6.9466999999999904E-2</v>
      </c>
      <c r="AE6204">
        <v>0.49176999999999499</v>
      </c>
      <c r="AF6204">
        <v>-0.453462313359144</v>
      </c>
      <c r="AG6204">
        <v>-6.9466999999999904E-2</v>
      </c>
      <c r="AH6204">
        <v>0.75661862930122403</v>
      </c>
      <c r="AI6204">
        <v>94.502856551611501</v>
      </c>
      <c r="AJ6204">
        <v>120.935414077768</v>
      </c>
      <c r="AK6204">
        <v>0.88483076570137997</v>
      </c>
      <c r="AL6204">
        <v>80.771684787851001</v>
      </c>
      <c r="AM6204">
        <v>104.985044318916</v>
      </c>
      <c r="AN6204">
        <v>0.99999997099072402</v>
      </c>
    </row>
    <row r="6205" spans="1:40" x14ac:dyDescent="0.25">
      <c r="A6205" t="str">
        <f>"20190312164625677"</f>
        <v>20190312164625677</v>
      </c>
      <c r="B6205" t="str">
        <f>"1552380385667315"</f>
        <v>1552380385667315</v>
      </c>
      <c r="C6205" t="s">
        <v>40</v>
      </c>
      <c r="D6205">
        <v>5.1102129999999999</v>
      </c>
      <c r="E6205">
        <v>0.41873870000000002</v>
      </c>
      <c r="F6205" t="s">
        <v>52</v>
      </c>
      <c r="G6205">
        <v>-197.55869999999999</v>
      </c>
      <c r="H6205" s="1">
        <v>-9.314771E-6</v>
      </c>
      <c r="I6205">
        <v>-53.837609999999998</v>
      </c>
      <c r="J6205">
        <v>-212.04390000000001</v>
      </c>
      <c r="K6205">
        <v>1.1126609999999999</v>
      </c>
      <c r="L6205">
        <v>-62.116149999999998</v>
      </c>
      <c r="M6205">
        <v>0.99867790000000001</v>
      </c>
      <c r="N6205">
        <v>0</v>
      </c>
      <c r="O6205">
        <v>4.9479960000000003E-2</v>
      </c>
      <c r="P6205">
        <v>0.94059099999999995</v>
      </c>
      <c r="Q6205">
        <v>0.1494114</v>
      </c>
      <c r="R6205">
        <v>0.30490149999999999</v>
      </c>
      <c r="S6205">
        <v>2.7264710000000001</v>
      </c>
      <c r="T6205">
        <v>-0.20714579999999999</v>
      </c>
      <c r="U6205">
        <v>1.543121</v>
      </c>
      <c r="V6205">
        <v>-0.25944010000000001</v>
      </c>
      <c r="W6205">
        <v>0.16036239999999999</v>
      </c>
      <c r="X6205">
        <v>0.95235219999999998</v>
      </c>
      <c r="Y6205">
        <v>-0.44802530000000002</v>
      </c>
      <c r="Z6205">
        <v>1.2338180000000001E-2</v>
      </c>
      <c r="AA6205">
        <v>0.8939357</v>
      </c>
      <c r="AB6205">
        <v>34</v>
      </c>
      <c r="AC6205">
        <v>14.485200000000001</v>
      </c>
      <c r="AD6205">
        <v>-1.112670314771</v>
      </c>
      <c r="AE6205">
        <v>8.2785399999999996</v>
      </c>
      <c r="AF6205">
        <v>-7.5181626807577997</v>
      </c>
      <c r="AG6205">
        <v>-1.112670314771</v>
      </c>
      <c r="AH6205">
        <v>14.8112398114967</v>
      </c>
      <c r="AI6205">
        <v>93.832378566740005</v>
      </c>
      <c r="AJ6205">
        <v>116.912279802173</v>
      </c>
      <c r="AK6205">
        <v>16.647331019637299</v>
      </c>
      <c r="AL6205">
        <v>80.7720680644385</v>
      </c>
      <c r="AM6205">
        <v>105.238748400055</v>
      </c>
      <c r="AN6205">
        <v>0.99999998883330399</v>
      </c>
    </row>
    <row r="6206" spans="1:40" x14ac:dyDescent="0.25">
      <c r="A6206" t="str">
        <f>"20190312164625686"</f>
        <v>20190312164625686</v>
      </c>
      <c r="B6206" t="str">
        <f>"1552380385677076"</f>
        <v>1552380385677076</v>
      </c>
      <c r="C6206" t="s">
        <v>40</v>
      </c>
      <c r="D6206">
        <v>5.2190890000000003</v>
      </c>
      <c r="E6206">
        <v>0.4191685</v>
      </c>
      <c r="F6206" t="s">
        <v>41</v>
      </c>
      <c r="G6206">
        <v>-211.16820000000001</v>
      </c>
      <c r="H6206">
        <v>1.041482</v>
      </c>
      <c r="I6206">
        <v>-61.611719999999998</v>
      </c>
      <c r="J6206">
        <v>-211.8844</v>
      </c>
      <c r="K6206">
        <v>1.11276</v>
      </c>
      <c r="L6206">
        <v>-62.106380000000001</v>
      </c>
      <c r="M6206">
        <v>0.99856750000000005</v>
      </c>
      <c r="N6206">
        <v>0</v>
      </c>
      <c r="O6206">
        <v>5.1658870000000003E-2</v>
      </c>
      <c r="P6206">
        <v>0.93860880000000002</v>
      </c>
      <c r="Q6206">
        <v>0.14940519999999999</v>
      </c>
      <c r="R6206">
        <v>0.31095270000000003</v>
      </c>
      <c r="S6206">
        <v>2.7172239999999999</v>
      </c>
      <c r="T6206">
        <v>-0.2208743</v>
      </c>
      <c r="U6206">
        <v>1.5651550000000001</v>
      </c>
      <c r="V6206">
        <v>-0.26353959999999998</v>
      </c>
      <c r="W6206">
        <v>0.16024749999999999</v>
      </c>
      <c r="X6206">
        <v>0.95124529999999996</v>
      </c>
      <c r="Y6206">
        <v>-0.45270919999999998</v>
      </c>
      <c r="Z6206">
        <v>1.3181770000000001E-2</v>
      </c>
      <c r="AA6206">
        <v>0.89156080000000004</v>
      </c>
      <c r="AB6206">
        <v>34</v>
      </c>
      <c r="AC6206">
        <v>0.71619999999998596</v>
      </c>
      <c r="AD6206">
        <v>-7.1277999999999897E-2</v>
      </c>
      <c r="AE6206">
        <v>0.49466000000000299</v>
      </c>
      <c r="AF6206">
        <v>-0.453953577571787</v>
      </c>
      <c r="AG6206">
        <v>-7.1277999999999897E-2</v>
      </c>
      <c r="AH6206">
        <v>0.73586500143976796</v>
      </c>
      <c r="AI6206">
        <v>94.712712246358095</v>
      </c>
      <c r="AJ6206">
        <v>121.67034887331801</v>
      </c>
      <c r="AK6206">
        <v>0.86755501509597299</v>
      </c>
      <c r="AL6206">
        <v>80.7787377200207</v>
      </c>
      <c r="AM6206">
        <v>105.485229343996</v>
      </c>
      <c r="AN6206">
        <v>1.00000000139825</v>
      </c>
    </row>
    <row r="6207" spans="1:40" x14ac:dyDescent="0.25">
      <c r="A6207" t="str">
        <f>"20190312164625699"</f>
        <v>20190312164625699</v>
      </c>
      <c r="B6207" t="str">
        <f>"1552380385687811"</f>
        <v>1552380385687811</v>
      </c>
      <c r="C6207" t="s">
        <v>40</v>
      </c>
      <c r="D6207">
        <v>5.0714319999999997</v>
      </c>
      <c r="E6207">
        <v>0.41900850000000001</v>
      </c>
      <c r="F6207" t="s">
        <v>52</v>
      </c>
      <c r="G6207">
        <v>-198.12209999999999</v>
      </c>
      <c r="H6207" s="1">
        <v>-9.2930299999999994E-6</v>
      </c>
      <c r="I6207">
        <v>-54.080100000000002</v>
      </c>
      <c r="J6207">
        <v>-211.71539999999999</v>
      </c>
      <c r="K6207">
        <v>1.112868</v>
      </c>
      <c r="L6207">
        <v>-62.095370000000003</v>
      </c>
      <c r="M6207">
        <v>0.99843990000000005</v>
      </c>
      <c r="N6207">
        <v>0</v>
      </c>
      <c r="O6207">
        <v>5.406942E-2</v>
      </c>
      <c r="P6207">
        <v>0.93649539999999998</v>
      </c>
      <c r="Q6207">
        <v>0.14954909999999999</v>
      </c>
      <c r="R6207">
        <v>0.31719340000000001</v>
      </c>
      <c r="S6207">
        <v>2.7078700000000002</v>
      </c>
      <c r="T6207">
        <v>-0.2189487</v>
      </c>
      <c r="U6207">
        <v>1.5792539999999999</v>
      </c>
      <c r="V6207">
        <v>-0.26762509999999901</v>
      </c>
      <c r="W6207">
        <v>0.16027529999999901</v>
      </c>
      <c r="X6207">
        <v>0.95009929999999998</v>
      </c>
      <c r="Y6207">
        <v>-0.45537250000000001</v>
      </c>
      <c r="Z6207">
        <v>1.3011160000000001E-2</v>
      </c>
      <c r="AA6207">
        <v>0.89020589999999999</v>
      </c>
      <c r="AB6207">
        <v>34</v>
      </c>
      <c r="AC6207">
        <v>13.593299999999999</v>
      </c>
      <c r="AD6207">
        <v>-1.1128772930299999</v>
      </c>
      <c r="AE6207">
        <v>8.0152699999999903</v>
      </c>
      <c r="AF6207">
        <v>-7.2325191221819196</v>
      </c>
      <c r="AG6207">
        <v>-1.1128772930299999</v>
      </c>
      <c r="AH6207">
        <v>13.9375173692576</v>
      </c>
      <c r="AI6207">
        <v>94.053962661388994</v>
      </c>
      <c r="AJ6207">
        <v>117.425904243131</v>
      </c>
      <c r="AK6207">
        <v>15.7417349469626</v>
      </c>
      <c r="AL6207">
        <v>80.777124239947497</v>
      </c>
      <c r="AM6207">
        <v>105.731529560083</v>
      </c>
      <c r="AN6207">
        <v>1.0000000229002901</v>
      </c>
    </row>
    <row r="6208" spans="1:40" x14ac:dyDescent="0.25">
      <c r="A6208" t="str">
        <f>"20190312164625710"</f>
        <v>20190312164625710</v>
      </c>
      <c r="B6208" t="str">
        <f>"1552380385707331"</f>
        <v>1552380385707331</v>
      </c>
      <c r="C6208" t="s">
        <v>40</v>
      </c>
      <c r="D6208">
        <v>5.0045989999999998</v>
      </c>
      <c r="E6208">
        <v>0.4194059</v>
      </c>
      <c r="F6208" t="s">
        <v>41</v>
      </c>
      <c r="G6208">
        <v>-210.87129999999999</v>
      </c>
      <c r="H6208">
        <v>1.042116</v>
      </c>
      <c r="I6208">
        <v>-61.595199999999998</v>
      </c>
      <c r="J6208">
        <v>-211.55330000000001</v>
      </c>
      <c r="K6208">
        <v>1.1129709999999999</v>
      </c>
      <c r="L6208">
        <v>-62.084629999999997</v>
      </c>
      <c r="M6208">
        <v>0.99831049999999999</v>
      </c>
      <c r="N6208">
        <v>0</v>
      </c>
      <c r="O6208">
        <v>5.6403689999999999E-2</v>
      </c>
      <c r="P6208">
        <v>0.93440460000000003</v>
      </c>
      <c r="Q6208">
        <v>0.14938779999999999</v>
      </c>
      <c r="R6208">
        <v>0.32337500000000002</v>
      </c>
      <c r="S6208">
        <v>2.698029</v>
      </c>
      <c r="T6208">
        <v>-0.22614500000000001</v>
      </c>
      <c r="U6208">
        <v>1.598816</v>
      </c>
      <c r="V6208">
        <v>-0.27172550000000001</v>
      </c>
      <c r="W6208">
        <v>0.1599981</v>
      </c>
      <c r="X6208">
        <v>0.94898150000000003</v>
      </c>
      <c r="Y6208">
        <v>-0.45942050000000001</v>
      </c>
      <c r="Z6208">
        <v>1.3434720000000001E-2</v>
      </c>
      <c r="AA6208">
        <v>0.8881173</v>
      </c>
      <c r="AB6208">
        <v>34</v>
      </c>
      <c r="AC6208">
        <v>0.68200000000001604</v>
      </c>
      <c r="AD6208">
        <v>-7.0854999999999793E-2</v>
      </c>
      <c r="AE6208">
        <v>0.48943000000000503</v>
      </c>
      <c r="AF6208">
        <v>-0.44699499292233102</v>
      </c>
      <c r="AG6208">
        <v>-7.0854999999999793E-2</v>
      </c>
      <c r="AH6208">
        <v>0.70351022299448396</v>
      </c>
      <c r="AI6208">
        <v>94.858943778509797</v>
      </c>
      <c r="AJ6208">
        <v>122.430983316202</v>
      </c>
      <c r="AK6208">
        <v>0.83651155914331699</v>
      </c>
      <c r="AL6208">
        <v>80.793214185350493</v>
      </c>
      <c r="AM6208">
        <v>105.97820834256</v>
      </c>
      <c r="AN6208">
        <v>1.00000001334805</v>
      </c>
    </row>
    <row r="6209" spans="1:40" x14ac:dyDescent="0.25">
      <c r="A6209" t="str">
        <f>"20190312164625720"</f>
        <v>20190312164625720</v>
      </c>
      <c r="B6209" t="str">
        <f>"1552380385717091"</f>
        <v>1552380385717091</v>
      </c>
      <c r="C6209" t="s">
        <v>40</v>
      </c>
      <c r="D6209">
        <v>5.105728</v>
      </c>
      <c r="E6209">
        <v>0.4199505</v>
      </c>
      <c r="F6209" t="s">
        <v>41</v>
      </c>
      <c r="G6209">
        <v>-210.59389999999999</v>
      </c>
      <c r="H6209">
        <v>1.034475</v>
      </c>
      <c r="I6209">
        <v>-61.508960000000002</v>
      </c>
      <c r="J6209">
        <v>-211.381</v>
      </c>
      <c r="K6209">
        <v>1.1130799999999901</v>
      </c>
      <c r="L6209">
        <v>-62.072420000000001</v>
      </c>
      <c r="M6209">
        <v>0.99816099999999996</v>
      </c>
      <c r="N6209">
        <v>0</v>
      </c>
      <c r="O6209">
        <v>5.8992849999999999E-2</v>
      </c>
      <c r="P6209">
        <v>0.93214430000000004</v>
      </c>
      <c r="Q6209">
        <v>0.1499645</v>
      </c>
      <c r="R6209">
        <v>0.32957229999999998</v>
      </c>
      <c r="S6209">
        <v>2.6876370000000001</v>
      </c>
      <c r="T6209">
        <v>-0.21989320000000001</v>
      </c>
      <c r="U6209">
        <v>1.612671</v>
      </c>
      <c r="V6209">
        <v>-0.27562530000000002</v>
      </c>
      <c r="W6209">
        <v>0.1604537</v>
      </c>
      <c r="X6209">
        <v>0.94777909999999999</v>
      </c>
      <c r="Y6209">
        <v>-0.46204800000000001</v>
      </c>
      <c r="Z6209">
        <v>1.2997409999999999E-2</v>
      </c>
      <c r="AA6209">
        <v>0.88675969999999904</v>
      </c>
      <c r="AB6209">
        <v>34</v>
      </c>
      <c r="AC6209">
        <v>0.78709999999998004</v>
      </c>
      <c r="AD6209">
        <v>-7.86049999999998E-2</v>
      </c>
      <c r="AE6209">
        <v>0.56345999999999896</v>
      </c>
      <c r="AF6209">
        <v>-0.51266017820129495</v>
      </c>
      <c r="AG6209">
        <v>-7.86049999999998E-2</v>
      </c>
      <c r="AH6209">
        <v>0.81360727312116699</v>
      </c>
      <c r="AI6209">
        <v>94.672935663520207</v>
      </c>
      <c r="AJ6209">
        <v>122.21534349269901</v>
      </c>
      <c r="AK6209">
        <v>0.96486061128747702</v>
      </c>
      <c r="AL6209">
        <v>80.766768055604103</v>
      </c>
      <c r="AM6209">
        <v>106.215051574231</v>
      </c>
      <c r="AN6209">
        <v>0.99999995912029405</v>
      </c>
    </row>
    <row r="6210" spans="1:40" x14ac:dyDescent="0.25">
      <c r="A6210" t="str">
        <f>"20190312164625733"</f>
        <v>20190312164625733</v>
      </c>
      <c r="B6210" t="str">
        <f>"1552380385727832"</f>
        <v>1552380385727832</v>
      </c>
      <c r="C6210" t="s">
        <v>40</v>
      </c>
      <c r="D6210">
        <v>5.0211610000000002</v>
      </c>
      <c r="E6210">
        <v>0.42039480000000001</v>
      </c>
      <c r="F6210" t="s">
        <v>41</v>
      </c>
      <c r="G6210">
        <v>-210.57339999999999</v>
      </c>
      <c r="H6210">
        <v>1.0481720000000001</v>
      </c>
      <c r="I6210">
        <v>-61.582189999999997</v>
      </c>
      <c r="J6210">
        <v>-211.2079</v>
      </c>
      <c r="K6210">
        <v>1.113189</v>
      </c>
      <c r="L6210">
        <v>-62.05988</v>
      </c>
      <c r="M6210">
        <v>0.99800120000000003</v>
      </c>
      <c r="N6210">
        <v>0</v>
      </c>
      <c r="O6210">
        <v>6.1632819999999998E-2</v>
      </c>
      <c r="P6210">
        <v>0.92987280000000005</v>
      </c>
      <c r="Q6210">
        <v>0.15029429999999999</v>
      </c>
      <c r="R6210">
        <v>0.33577980000000002</v>
      </c>
      <c r="S6210">
        <v>2.678207</v>
      </c>
      <c r="T6210">
        <v>-0.21524850000000001</v>
      </c>
      <c r="U6210">
        <v>1.625793</v>
      </c>
      <c r="V6210">
        <v>-0.2794933</v>
      </c>
      <c r="W6210">
        <v>0.1606612</v>
      </c>
      <c r="X6210">
        <v>0.94661050000000002</v>
      </c>
      <c r="Y6210">
        <v>-0.46429949999999998</v>
      </c>
      <c r="Z6210">
        <v>1.263703E-2</v>
      </c>
      <c r="AA6210">
        <v>0.88558809999999999</v>
      </c>
      <c r="AB6210">
        <v>34</v>
      </c>
      <c r="AC6210">
        <v>0.63450000000000195</v>
      </c>
      <c r="AD6210">
        <v>-6.5017000000000102E-2</v>
      </c>
      <c r="AE6210">
        <v>0.477690000000002</v>
      </c>
      <c r="AF6210">
        <v>-0.43475827592698102</v>
      </c>
      <c r="AG6210">
        <v>-6.5017000000000102E-2</v>
      </c>
      <c r="AH6210">
        <v>0.65832593822233898</v>
      </c>
      <c r="AI6210">
        <v>94.711202019009804</v>
      </c>
      <c r="AJ6210">
        <v>123.440761995918</v>
      </c>
      <c r="AK6210">
        <v>0.79160281057631698</v>
      </c>
      <c r="AL6210">
        <v>80.754723129509102</v>
      </c>
      <c r="AM6210">
        <v>106.449600186968</v>
      </c>
      <c r="AN6210">
        <v>0.99999998232028897</v>
      </c>
    </row>
    <row r="6211" spans="1:40" x14ac:dyDescent="0.25">
      <c r="A6211" t="str">
        <f>"20190312164625744"</f>
        <v>20190312164625744</v>
      </c>
      <c r="B6211" t="str">
        <f>"1552380385737587"</f>
        <v>1552380385737587</v>
      </c>
      <c r="C6211" t="s">
        <v>40</v>
      </c>
      <c r="D6211">
        <v>4.9783770000000001</v>
      </c>
      <c r="E6211">
        <v>0.42098099999999999</v>
      </c>
      <c r="F6211" t="s">
        <v>41</v>
      </c>
      <c r="G6211">
        <v>-210.2954</v>
      </c>
      <c r="H6211">
        <v>1.0398780000000001</v>
      </c>
      <c r="I6211">
        <v>-61.499299999999998</v>
      </c>
      <c r="J6211">
        <v>-211.03380000000001</v>
      </c>
      <c r="K6211">
        <v>1.113297</v>
      </c>
      <c r="L6211">
        <v>-62.046660000000003</v>
      </c>
      <c r="M6211">
        <v>0.99782899999999997</v>
      </c>
      <c r="N6211">
        <v>0</v>
      </c>
      <c r="O6211">
        <v>6.4358700000000005E-2</v>
      </c>
      <c r="P6211">
        <v>0.92761470000000001</v>
      </c>
      <c r="Q6211">
        <v>0.1507165</v>
      </c>
      <c r="R6211">
        <v>0.3417829</v>
      </c>
      <c r="S6211">
        <v>2.6688230000000002</v>
      </c>
      <c r="T6211">
        <v>-0.21440290000000001</v>
      </c>
      <c r="U6211">
        <v>1.639618</v>
      </c>
      <c r="V6211">
        <v>-0.28308220000000001</v>
      </c>
      <c r="W6211">
        <v>0.16096429999999901</v>
      </c>
      <c r="X6211">
        <v>0.94549190000000005</v>
      </c>
      <c r="Y6211">
        <v>-0.46660420000000002</v>
      </c>
      <c r="Z6211">
        <v>1.249566E-2</v>
      </c>
      <c r="AA6211">
        <v>0.884378</v>
      </c>
      <c r="AB6211">
        <v>33</v>
      </c>
      <c r="AC6211">
        <v>0.73840000000001205</v>
      </c>
      <c r="AD6211">
        <v>-7.3418999999999901E-2</v>
      </c>
      <c r="AE6211">
        <v>0.54735999999999696</v>
      </c>
      <c r="AF6211">
        <v>-0.495536214871583</v>
      </c>
      <c r="AG6211">
        <v>-7.3418999999999901E-2</v>
      </c>
      <c r="AH6211">
        <v>0.76720466383240304</v>
      </c>
      <c r="AI6211">
        <v>94.595933947867493</v>
      </c>
      <c r="AJ6211">
        <v>122.8583499946</v>
      </c>
      <c r="AK6211">
        <v>0.91626933050083403</v>
      </c>
      <c r="AL6211">
        <v>80.737127802391001</v>
      </c>
      <c r="AM6211">
        <v>106.667807130913</v>
      </c>
      <c r="AN6211">
        <v>0.99999998539847001</v>
      </c>
    </row>
    <row r="6212" spans="1:40" x14ac:dyDescent="0.25">
      <c r="A6212" t="str">
        <f>"20190312164625756"</f>
        <v>20190312164625756</v>
      </c>
      <c r="B6212" t="str">
        <f>"1552380385747347"</f>
        <v>1552380385747347</v>
      </c>
      <c r="C6212" t="s">
        <v>40</v>
      </c>
      <c r="D6212">
        <v>5.0263749999999998</v>
      </c>
      <c r="E6212">
        <v>0.4215719</v>
      </c>
      <c r="F6212" t="s">
        <v>41</v>
      </c>
      <c r="G6212">
        <v>-210.27170000000001</v>
      </c>
      <c r="H6212">
        <v>1.0525180000000001</v>
      </c>
      <c r="I6212">
        <v>-61.57358</v>
      </c>
      <c r="J6212">
        <v>-210.8723</v>
      </c>
      <c r="K6212">
        <v>1.1133919999999999</v>
      </c>
      <c r="L6212">
        <v>-62.033869999999901</v>
      </c>
      <c r="M6212">
        <v>0.99765839999999995</v>
      </c>
      <c r="N6212">
        <v>0</v>
      </c>
      <c r="O6212">
        <v>6.6949510000000004E-2</v>
      </c>
      <c r="P6212">
        <v>0.92531229999999998</v>
      </c>
      <c r="Q6212">
        <v>0.15105450000000001</v>
      </c>
      <c r="R6212">
        <v>0.34782160000000001</v>
      </c>
      <c r="S6212">
        <v>2.6600489999999999</v>
      </c>
      <c r="T6212">
        <v>-0.21215120000000001</v>
      </c>
      <c r="U6212">
        <v>1.6515500000000001</v>
      </c>
      <c r="V6212">
        <v>-0.28684179999999998</v>
      </c>
      <c r="W6212">
        <v>0.1611851</v>
      </c>
      <c r="X6212">
        <v>0.94432050000000001</v>
      </c>
      <c r="Y6212">
        <v>-0.46849560000000001</v>
      </c>
      <c r="Z6212">
        <v>1.226785E-2</v>
      </c>
      <c r="AA6212">
        <v>0.88338069999999902</v>
      </c>
      <c r="AB6212">
        <v>33</v>
      </c>
      <c r="AC6212">
        <v>0.60059999999998503</v>
      </c>
      <c r="AD6212">
        <v>-6.0873999999999803E-2</v>
      </c>
      <c r="AE6212">
        <v>0.46028999999998599</v>
      </c>
      <c r="AF6212">
        <v>-0.41634876169669999</v>
      </c>
      <c r="AG6212">
        <v>-6.0873999999999803E-2</v>
      </c>
      <c r="AH6212">
        <v>0.62601996389152903</v>
      </c>
      <c r="AI6212">
        <v>94.629017966703003</v>
      </c>
      <c r="AJ6212">
        <v>123.626792582603</v>
      </c>
      <c r="AK6212">
        <v>0.75428968601799595</v>
      </c>
      <c r="AL6212">
        <v>80.724309939615694</v>
      </c>
      <c r="AM6212">
        <v>106.896405816146</v>
      </c>
      <c r="AN6212">
        <v>1.0000000307047401</v>
      </c>
    </row>
    <row r="6213" spans="1:40" x14ac:dyDescent="0.25">
      <c r="A6213" t="str">
        <f>"20190312164625766"</f>
        <v>20190312164625766</v>
      </c>
      <c r="B6213" t="str">
        <f>"1552380385757108"</f>
        <v>1552380385757108</v>
      </c>
      <c r="C6213" t="s">
        <v>40</v>
      </c>
      <c r="D6213">
        <v>4.9671979999999998</v>
      </c>
      <c r="E6213">
        <v>0.42212959999999999</v>
      </c>
      <c r="F6213" t="s">
        <v>41</v>
      </c>
      <c r="G6213">
        <v>-209.99799999999999</v>
      </c>
      <c r="H6213">
        <v>1.0432060000000001</v>
      </c>
      <c r="I6213">
        <v>-61.485379999999999</v>
      </c>
      <c r="J6213">
        <v>-210.7071</v>
      </c>
      <c r="K6213">
        <v>1.1134949999999999</v>
      </c>
      <c r="L6213">
        <v>-62.020479999999999</v>
      </c>
      <c r="M6213">
        <v>0.99747439999999998</v>
      </c>
      <c r="N6213">
        <v>0</v>
      </c>
      <c r="O6213">
        <v>6.963751E-2</v>
      </c>
      <c r="P6213">
        <v>0.92305669999999995</v>
      </c>
      <c r="Q6213">
        <v>0.15143429999999999</v>
      </c>
      <c r="R6213">
        <v>0.35360180000000002</v>
      </c>
      <c r="S6213">
        <v>2.6515810000000002</v>
      </c>
      <c r="T6213">
        <v>-0.21286830000000001</v>
      </c>
      <c r="U6213">
        <v>1.6635439999999999</v>
      </c>
      <c r="V6213">
        <v>-0.29025649999999997</v>
      </c>
      <c r="W6213">
        <v>0.16145000000000001</v>
      </c>
      <c r="X6213">
        <v>0.94323120000000005</v>
      </c>
      <c r="Y6213">
        <v>-0.47024569999999999</v>
      </c>
      <c r="Z6213">
        <v>1.219811E-2</v>
      </c>
      <c r="AA6213">
        <v>0.88245130000000005</v>
      </c>
      <c r="AB6213">
        <v>33</v>
      </c>
      <c r="AC6213">
        <v>0.70910000000000595</v>
      </c>
      <c r="AD6213">
        <v>-7.0289000000000199E-2</v>
      </c>
      <c r="AE6213">
        <v>0.53509999999999902</v>
      </c>
      <c r="AF6213">
        <v>-0.48140209013857799</v>
      </c>
      <c r="AG6213">
        <v>-7.0289000000000199E-2</v>
      </c>
      <c r="AH6213">
        <v>0.74001201583573795</v>
      </c>
      <c r="AI6213">
        <v>94.552229589396404</v>
      </c>
      <c r="AJ6213">
        <v>123.04532264984999</v>
      </c>
      <c r="AK6213">
        <v>0.88561069296393702</v>
      </c>
      <c r="AL6213">
        <v>80.708930737354095</v>
      </c>
      <c r="AM6213">
        <v>107.10447776034999</v>
      </c>
      <c r="AN6213">
        <v>1.0000000174728401</v>
      </c>
    </row>
    <row r="6214" spans="1:40" x14ac:dyDescent="0.25">
      <c r="A6214" t="str">
        <f>"20190312164625778"</f>
        <v>20190312164625778</v>
      </c>
      <c r="B6214" t="str">
        <f>"1552380385767843"</f>
        <v>1552380385767843</v>
      </c>
      <c r="C6214" t="s">
        <v>40</v>
      </c>
      <c r="D6214">
        <v>4.9812409999999998</v>
      </c>
      <c r="E6214">
        <v>0.42242750000000001</v>
      </c>
      <c r="F6214" t="s">
        <v>41</v>
      </c>
      <c r="G6214">
        <v>-209.9426</v>
      </c>
      <c r="H6214">
        <v>1.0521240000000001</v>
      </c>
      <c r="I6214">
        <v>-61.536029999999997</v>
      </c>
      <c r="J6214">
        <v>-210.5454</v>
      </c>
      <c r="K6214">
        <v>1.113588</v>
      </c>
      <c r="L6214">
        <v>-62.006619999999998</v>
      </c>
      <c r="M6214">
        <v>0.99728119999999998</v>
      </c>
      <c r="N6214">
        <v>0</v>
      </c>
      <c r="O6214">
        <v>7.2349499999999997E-2</v>
      </c>
      <c r="P6214">
        <v>0.92081069999999998</v>
      </c>
      <c r="Q6214">
        <v>0.1511566</v>
      </c>
      <c r="R6214">
        <v>0.35952620000000002</v>
      </c>
      <c r="S6214">
        <v>2.6432190000000002</v>
      </c>
      <c r="T6214">
        <v>-0.2121972</v>
      </c>
      <c r="U6214">
        <v>1.6750179999999999</v>
      </c>
      <c r="V6214">
        <v>-0.29378890000000002</v>
      </c>
      <c r="W6214">
        <v>0.1610589</v>
      </c>
      <c r="X6214">
        <v>0.94220389999999998</v>
      </c>
      <c r="Y6214">
        <v>-0.47184710000000002</v>
      </c>
      <c r="Z6214">
        <v>1.204158E-2</v>
      </c>
      <c r="AA6214">
        <v>0.8815982</v>
      </c>
      <c r="AB6214">
        <v>33</v>
      </c>
      <c r="AC6214">
        <v>0.602800000000002</v>
      </c>
      <c r="AD6214">
        <v>-6.1463999999999901E-2</v>
      </c>
      <c r="AE6214">
        <v>0.47058999999999401</v>
      </c>
      <c r="AF6214">
        <v>-0.42300742181394202</v>
      </c>
      <c r="AG6214">
        <v>-6.1463999999999901E-2</v>
      </c>
      <c r="AH6214">
        <v>0.63119287760200504</v>
      </c>
      <c r="AI6214">
        <v>94.624695440269207</v>
      </c>
      <c r="AJ6214">
        <v>123.828863039551</v>
      </c>
      <c r="AK6214">
        <v>0.762310665635198</v>
      </c>
      <c r="AL6214">
        <v>80.731636459716796</v>
      </c>
      <c r="AM6214">
        <v>107.318017478326</v>
      </c>
      <c r="AN6214">
        <v>1.0000000381038101</v>
      </c>
    </row>
    <row r="6215" spans="1:40" x14ac:dyDescent="0.25">
      <c r="A6215" t="str">
        <f>"20190312164625788"</f>
        <v>20190312164625788</v>
      </c>
      <c r="B6215" t="str">
        <f>"1552380385777604"</f>
        <v>1552380385777604</v>
      </c>
      <c r="C6215" t="s">
        <v>40</v>
      </c>
      <c r="D6215">
        <v>5.0405850000000001</v>
      </c>
      <c r="E6215">
        <v>0.42315009999999997</v>
      </c>
      <c r="F6215" t="s">
        <v>41</v>
      </c>
      <c r="G6215">
        <v>-209.70230000000001</v>
      </c>
      <c r="H6215">
        <v>1.045668</v>
      </c>
      <c r="I6215">
        <v>-61.466059999999999</v>
      </c>
      <c r="J6215">
        <v>-210.38470000000001</v>
      </c>
      <c r="K6215">
        <v>1.11368</v>
      </c>
      <c r="L6215">
        <v>-61.992710000000002</v>
      </c>
      <c r="M6215">
        <v>0.99708059999999998</v>
      </c>
      <c r="N6215">
        <v>0</v>
      </c>
      <c r="O6215">
        <v>7.5062420000000005E-2</v>
      </c>
      <c r="P6215">
        <v>0.91868709999999998</v>
      </c>
      <c r="Q6215">
        <v>0.1506345</v>
      </c>
      <c r="R6215">
        <v>0.36513469999999998</v>
      </c>
      <c r="S6215">
        <v>2.6334840000000002</v>
      </c>
      <c r="T6215">
        <v>-0.2121458</v>
      </c>
      <c r="U6215">
        <v>1.6887509999999999</v>
      </c>
      <c r="V6215">
        <v>-0.29700029999999999</v>
      </c>
      <c r="W6215">
        <v>0.16042779999999901</v>
      </c>
      <c r="X6215">
        <v>0.94130429999999998</v>
      </c>
      <c r="Y6215">
        <v>-0.47418460000000001</v>
      </c>
      <c r="Z6215">
        <v>1.1949929999999999E-2</v>
      </c>
      <c r="AA6215">
        <v>0.88034439999999903</v>
      </c>
      <c r="AB6215">
        <v>33</v>
      </c>
      <c r="AC6215">
        <v>0.68240000000000101</v>
      </c>
      <c r="AD6215">
        <v>-6.8011999999999906E-2</v>
      </c>
      <c r="AE6215">
        <v>0.52664999999999595</v>
      </c>
      <c r="AF6215">
        <v>-0.471004156990112</v>
      </c>
      <c r="AG6215">
        <v>-6.8011999999999906E-2</v>
      </c>
      <c r="AH6215">
        <v>0.715555364393614</v>
      </c>
      <c r="AI6215">
        <v>94.539314601038498</v>
      </c>
      <c r="AJ6215">
        <v>123.354343592254</v>
      </c>
      <c r="AK6215">
        <v>0.85935442487860803</v>
      </c>
      <c r="AL6215">
        <v>80.7682720708396</v>
      </c>
      <c r="AM6215">
        <v>107.511525844536</v>
      </c>
      <c r="AN6215">
        <v>1.0000000212057001</v>
      </c>
    </row>
    <row r="6216" spans="1:40" x14ac:dyDescent="0.25">
      <c r="A6216" t="str">
        <f>"20190312164625800"</f>
        <v>20190312164625800</v>
      </c>
      <c r="B6216" t="str">
        <f>"1552380385787364"</f>
        <v>1552380385787364</v>
      </c>
      <c r="C6216" t="s">
        <v>40</v>
      </c>
      <c r="D6216">
        <v>4.8867900000000004</v>
      </c>
      <c r="E6216">
        <v>0.42390529999999998</v>
      </c>
      <c r="F6216" t="s">
        <v>41</v>
      </c>
      <c r="G6216">
        <v>-209.62039999999999</v>
      </c>
      <c r="H6216">
        <v>1.0524020000000001</v>
      </c>
      <c r="I6216">
        <v>-61.498260000000002</v>
      </c>
      <c r="J6216">
        <v>-210.22309999999999</v>
      </c>
      <c r="K6216">
        <v>1.113766</v>
      </c>
      <c r="L6216">
        <v>-61.977809999999998</v>
      </c>
      <c r="M6216">
        <v>0.99686390000000002</v>
      </c>
      <c r="N6216">
        <v>0</v>
      </c>
      <c r="O6216">
        <v>7.7885579999999996E-2</v>
      </c>
      <c r="P6216">
        <v>0.91649939999999996</v>
      </c>
      <c r="Q6216">
        <v>0.15001339999999999</v>
      </c>
      <c r="R6216">
        <v>0.37084349999999999</v>
      </c>
      <c r="S6216">
        <v>2.625</v>
      </c>
      <c r="T6216">
        <v>-0.21045720000000001</v>
      </c>
      <c r="U6216">
        <v>1.698456</v>
      </c>
      <c r="V6216">
        <v>-0.30021740000000002</v>
      </c>
      <c r="W6216">
        <v>0.159697799999999</v>
      </c>
      <c r="X6216">
        <v>0.9404074</v>
      </c>
      <c r="Y6216">
        <v>-0.475298</v>
      </c>
      <c r="Z6216">
        <v>1.1713650000000001E-2</v>
      </c>
      <c r="AA6216">
        <v>0.8797469</v>
      </c>
      <c r="AB6216">
        <v>33</v>
      </c>
      <c r="AC6216">
        <v>0.60269999999999802</v>
      </c>
      <c r="AD6216">
        <v>-6.1363999999999898E-2</v>
      </c>
      <c r="AE6216">
        <v>0.47955000000000297</v>
      </c>
      <c r="AF6216">
        <v>-0.42842722427852198</v>
      </c>
      <c r="AG6216">
        <v>-6.1363999999999898E-2</v>
      </c>
      <c r="AH6216">
        <v>0.63419683868000498</v>
      </c>
      <c r="AI6216">
        <v>94.584057522938494</v>
      </c>
      <c r="AJ6216">
        <v>124.040717311414</v>
      </c>
      <c r="AK6216">
        <v>0.76780274627713596</v>
      </c>
      <c r="AL6216">
        <v>80.810643885847398</v>
      </c>
      <c r="AM6216">
        <v>107.70525921923701</v>
      </c>
      <c r="AN6216">
        <v>0.99999997628117898</v>
      </c>
    </row>
    <row r="6217" spans="1:40" x14ac:dyDescent="0.25">
      <c r="A6217" t="str">
        <f>"20190312164625810"</f>
        <v>20190312164625810</v>
      </c>
      <c r="B6217" t="str">
        <f>"1552380385807860"</f>
        <v>1552380385807860</v>
      </c>
      <c r="C6217" t="s">
        <v>40</v>
      </c>
      <c r="D6217">
        <v>4.8366020000000001</v>
      </c>
      <c r="E6217">
        <v>0.42511379999999999</v>
      </c>
      <c r="F6217" t="s">
        <v>41</v>
      </c>
      <c r="G6217">
        <v>-209.40700000000001</v>
      </c>
      <c r="H6217">
        <v>1.04836</v>
      </c>
      <c r="I6217">
        <v>-61.444850000000002</v>
      </c>
      <c r="J6217">
        <v>-210.0547</v>
      </c>
      <c r="K6217">
        <v>1.1138570000000001</v>
      </c>
      <c r="L6217">
        <v>-61.962130000000002</v>
      </c>
      <c r="M6217">
        <v>0.99662799999999996</v>
      </c>
      <c r="N6217">
        <v>0</v>
      </c>
      <c r="O6217">
        <v>8.0846550000000003E-2</v>
      </c>
      <c r="P6217">
        <v>0.91431739999999995</v>
      </c>
      <c r="Q6217">
        <v>0.14912890000000001</v>
      </c>
      <c r="R6217">
        <v>0.3765425</v>
      </c>
      <c r="S6217">
        <v>2.6163180000000001</v>
      </c>
      <c r="T6217">
        <v>-0.2096788</v>
      </c>
      <c r="U6217">
        <v>1.7085269999999999</v>
      </c>
      <c r="V6217">
        <v>-0.30329869999999998</v>
      </c>
      <c r="W6217">
        <v>0.1587035</v>
      </c>
      <c r="X6217">
        <v>0.93958660000000005</v>
      </c>
      <c r="Y6217">
        <v>-0.4764022</v>
      </c>
      <c r="Z6217">
        <v>1.151919E-2</v>
      </c>
      <c r="AA6217">
        <v>0.87915200000000004</v>
      </c>
      <c r="AB6217">
        <v>33</v>
      </c>
      <c r="AC6217">
        <v>0.64769999999998595</v>
      </c>
      <c r="AD6217">
        <v>-6.5496999999999903E-2</v>
      </c>
      <c r="AE6217">
        <v>0.51727999999999896</v>
      </c>
      <c r="AF6217">
        <v>-0.46034278557555602</v>
      </c>
      <c r="AG6217">
        <v>-6.5496999999999903E-2</v>
      </c>
      <c r="AH6217">
        <v>0.68313862528037705</v>
      </c>
      <c r="AI6217">
        <v>94.545968444669299</v>
      </c>
      <c r="AJ6217">
        <v>123.974626552827</v>
      </c>
      <c r="AK6217">
        <v>0.82636778651543896</v>
      </c>
      <c r="AL6217">
        <v>80.868348712205602</v>
      </c>
      <c r="AM6217">
        <v>107.890087456101</v>
      </c>
      <c r="AN6217">
        <v>0.99999994061674802</v>
      </c>
    </row>
    <row r="6218" spans="1:40" x14ac:dyDescent="0.25">
      <c r="A6218" t="str">
        <f>"20190312164625821"</f>
        <v>20190312164625821</v>
      </c>
      <c r="B6218" t="str">
        <f>"1552380385817623"</f>
        <v>1552380385817623</v>
      </c>
      <c r="C6218" t="s">
        <v>40</v>
      </c>
      <c r="D6218">
        <v>5.0772519999999997</v>
      </c>
      <c r="E6218">
        <v>0.4256606</v>
      </c>
      <c r="F6218" t="s">
        <v>41</v>
      </c>
      <c r="G6218">
        <v>-209.13239999999999</v>
      </c>
      <c r="H6218">
        <v>1.040395</v>
      </c>
      <c r="I6218">
        <v>-61.35595</v>
      </c>
      <c r="J6218">
        <v>-209.89099999999999</v>
      </c>
      <c r="K6218">
        <v>1.113942</v>
      </c>
      <c r="L6218">
        <v>-61.946080000000002</v>
      </c>
      <c r="M6218">
        <v>0.99638409999999999</v>
      </c>
      <c r="N6218">
        <v>0</v>
      </c>
      <c r="O6218">
        <v>8.3798830000000005E-2</v>
      </c>
      <c r="P6218">
        <v>0.91208549999999999</v>
      </c>
      <c r="Q6218">
        <v>0.1484608</v>
      </c>
      <c r="R6218">
        <v>0.3821775</v>
      </c>
      <c r="S6218">
        <v>2.6087189999999998</v>
      </c>
      <c r="T6218">
        <v>-0.2077928</v>
      </c>
      <c r="U6218">
        <v>1.7150570000000001</v>
      </c>
      <c r="V6218">
        <v>-0.30633529999999998</v>
      </c>
      <c r="W6218">
        <v>0.15792809999999999</v>
      </c>
      <c r="X6218">
        <v>0.93873180000000001</v>
      </c>
      <c r="Y6218">
        <v>-0.47652820000000001</v>
      </c>
      <c r="Z6218">
        <v>1.1230489999999999E-2</v>
      </c>
      <c r="AA6218">
        <v>0.87908739999999996</v>
      </c>
      <c r="AB6218">
        <v>33</v>
      </c>
      <c r="AC6218">
        <v>0.75860000000000105</v>
      </c>
      <c r="AD6218">
        <v>-7.3546999999999793E-2</v>
      </c>
      <c r="AE6218">
        <v>0.59013000000000204</v>
      </c>
      <c r="AF6218">
        <v>-0.52142452722626598</v>
      </c>
      <c r="AG6218">
        <v>-7.3546999999999793E-2</v>
      </c>
      <c r="AH6218">
        <v>0.800699572389166</v>
      </c>
      <c r="AI6218">
        <v>94.401451637039699</v>
      </c>
      <c r="AJ6218">
        <v>123.07262544093599</v>
      </c>
      <c r="AK6218">
        <v>0.95833840788435898</v>
      </c>
      <c r="AL6218">
        <v>80.9133438243298</v>
      </c>
      <c r="AM6218">
        <v>108.07300016934001</v>
      </c>
      <c r="AN6218">
        <v>0.99999999656347005</v>
      </c>
    </row>
    <row r="6219" spans="1:40" x14ac:dyDescent="0.25">
      <c r="A6219" t="str">
        <f>"20190312164625834"</f>
        <v>20190312164625834</v>
      </c>
      <c r="B6219" t="str">
        <f>"1552380385827383"</f>
        <v>1552380385827383</v>
      </c>
      <c r="C6219" t="s">
        <v>40</v>
      </c>
      <c r="D6219">
        <v>5.0155289999999999</v>
      </c>
      <c r="E6219">
        <v>0.4261895</v>
      </c>
      <c r="F6219" t="s">
        <v>41</v>
      </c>
      <c r="G6219">
        <v>-209.1104</v>
      </c>
      <c r="H6219">
        <v>1.0517430000000001</v>
      </c>
      <c r="I6219">
        <v>-61.427900000000001</v>
      </c>
      <c r="J6219">
        <v>-209.7209</v>
      </c>
      <c r="K6219">
        <v>1.1140300000000001</v>
      </c>
      <c r="L6219">
        <v>-61.929020000000001</v>
      </c>
      <c r="M6219">
        <v>0.99611810000000001</v>
      </c>
      <c r="N6219">
        <v>0</v>
      </c>
      <c r="O6219">
        <v>8.6903569999999999E-2</v>
      </c>
      <c r="P6219">
        <v>0.90982660000000004</v>
      </c>
      <c r="Q6219">
        <v>0.1481661</v>
      </c>
      <c r="R6219">
        <v>0.38763720000000002</v>
      </c>
      <c r="S6219">
        <v>2.5996090000000001</v>
      </c>
      <c r="T6219">
        <v>-0.2071326</v>
      </c>
      <c r="U6219">
        <v>1.72613499999999</v>
      </c>
      <c r="V6219">
        <v>-0.30906790000000001</v>
      </c>
      <c r="W6219">
        <v>0.15752829999999901</v>
      </c>
      <c r="X6219">
        <v>0.93790289999999998</v>
      </c>
      <c r="Y6219">
        <v>-0.47781400000000002</v>
      </c>
      <c r="Z6219">
        <v>1.1041270000000001E-2</v>
      </c>
      <c r="AA6219">
        <v>0.87839159999999905</v>
      </c>
      <c r="AB6219">
        <v>33</v>
      </c>
      <c r="AC6219">
        <v>0.61050000000000104</v>
      </c>
      <c r="AD6219">
        <v>-6.2286999999999697E-2</v>
      </c>
      <c r="AE6219">
        <v>0.50111999999999302</v>
      </c>
      <c r="AF6219">
        <v>-0.44340632246766898</v>
      </c>
      <c r="AG6219">
        <v>-6.2286999999999697E-2</v>
      </c>
      <c r="AH6219">
        <v>0.64771504957143999</v>
      </c>
      <c r="AI6219">
        <v>94.537011593957502</v>
      </c>
      <c r="AJ6219">
        <v>124.394373057424</v>
      </c>
      <c r="AK6219">
        <v>0.78741578763359599</v>
      </c>
      <c r="AL6219">
        <v>80.936540995844894</v>
      </c>
      <c r="AM6219">
        <v>108.238643840523</v>
      </c>
      <c r="AN6219">
        <v>0.99999999096985404</v>
      </c>
    </row>
    <row r="6220" spans="1:40" x14ac:dyDescent="0.25">
      <c r="A6220" t="str">
        <f>"20190312164625844"</f>
        <v>20190312164625844</v>
      </c>
      <c r="B6220" t="str">
        <f>"1552380385837140"</f>
        <v>1552380385837140</v>
      </c>
      <c r="C6220" t="s">
        <v>40</v>
      </c>
      <c r="D6220">
        <v>4.7869619999999999</v>
      </c>
      <c r="E6220">
        <v>0.42677120000000002</v>
      </c>
      <c r="F6220" t="s">
        <v>41</v>
      </c>
      <c r="G6220">
        <v>-208.83690000000001</v>
      </c>
      <c r="H6220">
        <v>1.043752</v>
      </c>
      <c r="I6220">
        <v>-61.33643</v>
      </c>
      <c r="J6220">
        <v>-209.55690000000001</v>
      </c>
      <c r="K6220">
        <v>1.1141110000000001</v>
      </c>
      <c r="L6220">
        <v>-61.911990000000003</v>
      </c>
      <c r="M6220">
        <v>0.99584819999999996</v>
      </c>
      <c r="N6220">
        <v>0</v>
      </c>
      <c r="O6220">
        <v>8.9942419999999995E-2</v>
      </c>
      <c r="P6220">
        <v>0.90757089999999996</v>
      </c>
      <c r="Q6220">
        <v>0.14788380000000001</v>
      </c>
      <c r="R6220">
        <v>0.39299580000000001</v>
      </c>
      <c r="S6220">
        <v>2.590881</v>
      </c>
      <c r="T6220">
        <v>-0.20597960000000001</v>
      </c>
      <c r="U6220">
        <v>1.736847</v>
      </c>
      <c r="V6220">
        <v>-0.31176670000000001</v>
      </c>
      <c r="W6220">
        <v>0.15714410000000001</v>
      </c>
      <c r="X6220">
        <v>0.93707379999999996</v>
      </c>
      <c r="Y6220">
        <v>-0.47901870000000002</v>
      </c>
      <c r="Z6220">
        <v>1.082749E-2</v>
      </c>
      <c r="AA6220">
        <v>0.87773789999999996</v>
      </c>
      <c r="AB6220">
        <v>33</v>
      </c>
      <c r="AC6220">
        <v>0.71999999999999797</v>
      </c>
      <c r="AD6220">
        <v>-7.0359000000000005E-2</v>
      </c>
      <c r="AE6220">
        <v>0.57555999999999496</v>
      </c>
      <c r="AF6220">
        <v>-0.50551659541228</v>
      </c>
      <c r="AG6220">
        <v>-7.0359000000000005E-2</v>
      </c>
      <c r="AH6220">
        <v>0.76440000455031298</v>
      </c>
      <c r="AI6220">
        <v>94.390249168289898</v>
      </c>
      <c r="AJ6220">
        <v>123.47764824169801</v>
      </c>
      <c r="AK6220">
        <v>0.91913262594401501</v>
      </c>
      <c r="AL6220">
        <v>80.9588319731984</v>
      </c>
      <c r="AM6220">
        <v>108.402407708469</v>
      </c>
      <c r="AN6220">
        <v>1.00000002502006</v>
      </c>
    </row>
    <row r="6221" spans="1:40" x14ac:dyDescent="0.25">
      <c r="A6221" t="str">
        <f>"20190312164625855"</f>
        <v>20190312164625855</v>
      </c>
      <c r="B6221" t="str">
        <f>"1552380385846901"</f>
        <v>1552380385846901</v>
      </c>
      <c r="C6221" t="s">
        <v>40</v>
      </c>
      <c r="D6221">
        <v>4.7245739999999996</v>
      </c>
      <c r="E6221">
        <v>0.42730940000000001</v>
      </c>
      <c r="F6221" t="s">
        <v>41</v>
      </c>
      <c r="G6221">
        <v>-208.8141</v>
      </c>
      <c r="H6221">
        <v>1.055231</v>
      </c>
      <c r="I6221">
        <v>-61.409500000000001</v>
      </c>
      <c r="J6221">
        <v>-209.3964</v>
      </c>
      <c r="K6221">
        <v>1.1141909999999999</v>
      </c>
      <c r="L6221">
        <v>-61.894739999999999</v>
      </c>
      <c r="M6221">
        <v>0.99557050000000002</v>
      </c>
      <c r="N6221">
        <v>0</v>
      </c>
      <c r="O6221">
        <v>9.2964430000000001E-2</v>
      </c>
      <c r="P6221">
        <v>0.90538750000000001</v>
      </c>
      <c r="Q6221">
        <v>0.14743689999999901</v>
      </c>
      <c r="R6221">
        <v>0.39816580000000001</v>
      </c>
      <c r="S6221">
        <v>2.582382</v>
      </c>
      <c r="T6221">
        <v>-0.20470369999999999</v>
      </c>
      <c r="U6221">
        <v>1.747009</v>
      </c>
      <c r="V6221">
        <v>-0.3142894</v>
      </c>
      <c r="W6221">
        <v>0.15660060000000001</v>
      </c>
      <c r="X6221">
        <v>0.93632170000000003</v>
      </c>
      <c r="Y6221">
        <v>-0.48007689999999997</v>
      </c>
      <c r="Z6221">
        <v>1.060432E-2</v>
      </c>
      <c r="AA6221">
        <v>0.87716229999999995</v>
      </c>
      <c r="AB6221">
        <v>33</v>
      </c>
      <c r="AC6221">
        <v>0.58230000000000304</v>
      </c>
      <c r="AD6221">
        <v>-5.8959999999999901E-2</v>
      </c>
      <c r="AE6221">
        <v>0.485240000000004</v>
      </c>
      <c r="AF6221">
        <v>-0.42641958740503</v>
      </c>
      <c r="AG6221">
        <v>-5.8959999999999901E-2</v>
      </c>
      <c r="AH6221">
        <v>0.62113405624181495</v>
      </c>
      <c r="AI6221">
        <v>94.474648773896604</v>
      </c>
      <c r="AJ6221">
        <v>124.470291680136</v>
      </c>
      <c r="AK6221">
        <v>0.75572313842179495</v>
      </c>
      <c r="AL6221">
        <v>80.990361935347707</v>
      </c>
      <c r="AM6221">
        <v>108.555043509819</v>
      </c>
      <c r="AN6221">
        <v>0.999999950381803</v>
      </c>
    </row>
    <row r="6222" spans="1:40" x14ac:dyDescent="0.25">
      <c r="A6222" t="str">
        <f>"20190312164625865"</f>
        <v>20190312164625865</v>
      </c>
      <c r="B6222" t="str">
        <f>"1552380385857636"</f>
        <v>1552380385857636</v>
      </c>
      <c r="C6222" t="s">
        <v>40</v>
      </c>
      <c r="D6222">
        <v>4.7345660000000001</v>
      </c>
      <c r="E6222">
        <v>0.42774760000000001</v>
      </c>
      <c r="F6222" t="s">
        <v>41</v>
      </c>
      <c r="G6222">
        <v>-208.5427</v>
      </c>
      <c r="H6222">
        <v>1.0465770000000001</v>
      </c>
      <c r="I6222">
        <v>-61.312109999999997</v>
      </c>
      <c r="J6222">
        <v>-209.24160000000001</v>
      </c>
      <c r="K6222">
        <v>1.1142650000000001</v>
      </c>
      <c r="L6222">
        <v>-61.877749999999999</v>
      </c>
      <c r="M6222">
        <v>0.99529100000000004</v>
      </c>
      <c r="N6222">
        <v>0</v>
      </c>
      <c r="O6222">
        <v>9.5908160000000006E-2</v>
      </c>
      <c r="P6222">
        <v>0.90329150000000002</v>
      </c>
      <c r="Q6222">
        <v>0.14723889999999901</v>
      </c>
      <c r="R6222">
        <v>0.40297060000000001</v>
      </c>
      <c r="S6222">
        <v>2.5739899999999998</v>
      </c>
      <c r="T6222">
        <v>-0.2038691</v>
      </c>
      <c r="U6222">
        <v>1.7569889999999999</v>
      </c>
      <c r="V6222">
        <v>-0.31652259999999999</v>
      </c>
      <c r="W6222">
        <v>0.15631289999999901</v>
      </c>
      <c r="X6222">
        <v>0.93561729999999999</v>
      </c>
      <c r="Y6222">
        <v>-0.48114249999999997</v>
      </c>
      <c r="Z6222">
        <v>1.041069E-2</v>
      </c>
      <c r="AA6222">
        <v>0.87658060000000004</v>
      </c>
      <c r="AB6222">
        <v>33</v>
      </c>
      <c r="AC6222">
        <v>0.69890000000000896</v>
      </c>
      <c r="AD6222">
        <v>-6.7687999999999901E-2</v>
      </c>
      <c r="AE6222">
        <v>0.56564000000000103</v>
      </c>
      <c r="AF6222">
        <v>-0.49319994546320101</v>
      </c>
      <c r="AG6222">
        <v>-6.7687999999999901E-2</v>
      </c>
      <c r="AH6222">
        <v>0.74570612039648099</v>
      </c>
      <c r="AI6222">
        <v>94.329574465629904</v>
      </c>
      <c r="AJ6222">
        <v>123.480111249666</v>
      </c>
      <c r="AK6222">
        <v>0.89660775679539795</v>
      </c>
      <c r="AL6222">
        <v>81.0070519668852</v>
      </c>
      <c r="AM6222">
        <v>108.69085776273199</v>
      </c>
      <c r="AN6222">
        <v>1.0000000055382201</v>
      </c>
    </row>
    <row r="6223" spans="1:40" x14ac:dyDescent="0.25">
      <c r="A6223" t="str">
        <f>"20190312164625878"</f>
        <v>20190312164625878</v>
      </c>
      <c r="B6223" t="str">
        <f>"1552380385867395"</f>
        <v>1552380385867395</v>
      </c>
      <c r="C6223" t="s">
        <v>40</v>
      </c>
      <c r="D6223">
        <v>4.845116</v>
      </c>
      <c r="E6223">
        <v>0.42822890000000002</v>
      </c>
      <c r="F6223" t="s">
        <v>41</v>
      </c>
      <c r="G6223">
        <v>-208.5198</v>
      </c>
      <c r="H6223">
        <v>1.0563880000000001</v>
      </c>
      <c r="I6223">
        <v>-61.380879999999998</v>
      </c>
      <c r="J6223">
        <v>-209.07419999999999</v>
      </c>
      <c r="K6223">
        <v>1.1143430000000001</v>
      </c>
      <c r="L6223">
        <v>-61.858580000000003</v>
      </c>
      <c r="M6223">
        <v>0.99497270000000004</v>
      </c>
      <c r="N6223">
        <v>0</v>
      </c>
      <c r="O6223">
        <v>9.9155460000000001E-2</v>
      </c>
      <c r="P6223">
        <v>0.90123989999999998</v>
      </c>
      <c r="Q6223">
        <v>0.14684810000000001</v>
      </c>
      <c r="R6223">
        <v>0.40767910000000002</v>
      </c>
      <c r="S6223">
        <v>2.5664669999999998</v>
      </c>
      <c r="T6223">
        <v>-0.20579140000000001</v>
      </c>
      <c r="U6223">
        <v>1.7669680000000001</v>
      </c>
      <c r="V6223">
        <v>-0.31837459999999901</v>
      </c>
      <c r="W6223">
        <v>0.15583529999999901</v>
      </c>
      <c r="X6223">
        <v>0.93506840000000002</v>
      </c>
      <c r="Y6223">
        <v>-0.48178379999999998</v>
      </c>
      <c r="Z6223">
        <v>1.0316479999999999E-2</v>
      </c>
      <c r="AA6223">
        <v>0.87622939999999905</v>
      </c>
      <c r="AB6223">
        <v>33</v>
      </c>
      <c r="AC6223">
        <v>0.55439999999998602</v>
      </c>
      <c r="AD6223">
        <v>-5.7955000000000201E-2</v>
      </c>
      <c r="AE6223">
        <v>0.47769999999999802</v>
      </c>
      <c r="AF6223">
        <v>-0.41774825140487298</v>
      </c>
      <c r="AG6223">
        <v>-5.7955000000000201E-2</v>
      </c>
      <c r="AH6223">
        <v>0.59530509371233098</v>
      </c>
      <c r="AI6223">
        <v>94.556267685745894</v>
      </c>
      <c r="AJ6223">
        <v>125.058800839583</v>
      </c>
      <c r="AK6223">
        <v>0.72956188097835595</v>
      </c>
      <c r="AL6223">
        <v>81.034755609481394</v>
      </c>
      <c r="AM6223">
        <v>108.802819682679</v>
      </c>
      <c r="AN6223">
        <v>0.99999996966490401</v>
      </c>
    </row>
    <row r="6224" spans="1:40" x14ac:dyDescent="0.25">
      <c r="A6224" t="str">
        <f>"20190312164625888"</f>
        <v>20190312164625888</v>
      </c>
      <c r="B6224" t="str">
        <f>"1552380385877157"</f>
        <v>1552380385877157</v>
      </c>
      <c r="C6224" t="s">
        <v>40</v>
      </c>
      <c r="D6224">
        <v>4.6083920000000003</v>
      </c>
      <c r="E6224">
        <v>0.42874879999999999</v>
      </c>
      <c r="F6224" t="s">
        <v>41</v>
      </c>
      <c r="G6224">
        <v>-208.2491</v>
      </c>
      <c r="H6224">
        <v>1.0475859999999999</v>
      </c>
      <c r="I6224">
        <v>-61.285809999999998</v>
      </c>
      <c r="J6224">
        <v>-208.91059999999999</v>
      </c>
      <c r="K6224">
        <v>1.114422</v>
      </c>
      <c r="L6224">
        <v>-61.839599999999997</v>
      </c>
      <c r="M6224">
        <v>0.99464929999999996</v>
      </c>
      <c r="N6224">
        <v>0</v>
      </c>
      <c r="O6224">
        <v>0.1023476</v>
      </c>
      <c r="P6224">
        <v>0.89917709999999995</v>
      </c>
      <c r="Q6224">
        <v>0.14640410000000001</v>
      </c>
      <c r="R6224">
        <v>0.41236689999999998</v>
      </c>
      <c r="S6224">
        <v>2.558853</v>
      </c>
      <c r="T6224">
        <v>-0.2070254</v>
      </c>
      <c r="U6224">
        <v>1.7765200000000001</v>
      </c>
      <c r="V6224">
        <v>-0.32026389999999999</v>
      </c>
      <c r="W6224">
        <v>0.15530439999999901</v>
      </c>
      <c r="X6224">
        <v>0.93451139999999999</v>
      </c>
      <c r="Y6224">
        <v>-0.48239520000000002</v>
      </c>
      <c r="Z6224">
        <v>1.0188060000000001E-2</v>
      </c>
      <c r="AA6224">
        <v>0.87589450000000002</v>
      </c>
      <c r="AB6224">
        <v>33</v>
      </c>
      <c r="AC6224">
        <v>0.66149999999998899</v>
      </c>
      <c r="AD6224">
        <v>-6.6835999999999895E-2</v>
      </c>
      <c r="AE6224">
        <v>0.55378999999999901</v>
      </c>
      <c r="AF6224">
        <v>-0.48028899734733699</v>
      </c>
      <c r="AG6224">
        <v>-6.6835999999999895E-2</v>
      </c>
      <c r="AH6224">
        <v>0.71044618769401202</v>
      </c>
      <c r="AI6224">
        <v>94.456469143577607</v>
      </c>
      <c r="AJ6224">
        <v>124.06020859844401</v>
      </c>
      <c r="AK6224">
        <v>0.86016182051859602</v>
      </c>
      <c r="AL6224">
        <v>81.065549029948997</v>
      </c>
      <c r="AM6224">
        <v>108.916962929875</v>
      </c>
      <c r="AN6224">
        <v>0.99999998951626401</v>
      </c>
    </row>
    <row r="6225" spans="1:40" x14ac:dyDescent="0.25">
      <c r="A6225" t="str">
        <f>"20190312164625899"</f>
        <v>20190312164625899</v>
      </c>
      <c r="B6225" t="str">
        <f>"1552380385897652"</f>
        <v>1552380385897652</v>
      </c>
      <c r="C6225" t="s">
        <v>40</v>
      </c>
      <c r="D6225">
        <v>4.6106059999999998</v>
      </c>
      <c r="E6225">
        <v>0.42976239999999999</v>
      </c>
      <c r="F6225" t="s">
        <v>41</v>
      </c>
      <c r="G6225">
        <v>-207.97919999999999</v>
      </c>
      <c r="H6225">
        <v>1.03898</v>
      </c>
      <c r="I6225">
        <v>-61.18768</v>
      </c>
      <c r="J6225">
        <v>-208.74789999999999</v>
      </c>
      <c r="K6225">
        <v>1.1144940000000001</v>
      </c>
      <c r="L6225">
        <v>-61.819699999999997</v>
      </c>
      <c r="M6225">
        <v>0.99430879999999999</v>
      </c>
      <c r="N6225">
        <v>0</v>
      </c>
      <c r="O6225">
        <v>0.1056035</v>
      </c>
      <c r="P6225">
        <v>0.89692000000000005</v>
      </c>
      <c r="Q6225">
        <v>0.1460987</v>
      </c>
      <c r="R6225">
        <v>0.41736060000000003</v>
      </c>
      <c r="S6225">
        <v>2.5510100000000002</v>
      </c>
      <c r="T6225">
        <v>-0.20662420000000001</v>
      </c>
      <c r="U6225">
        <v>1.7858889999999901</v>
      </c>
      <c r="V6225">
        <v>-0.32242459999999901</v>
      </c>
      <c r="W6225">
        <v>0.1549073</v>
      </c>
      <c r="X6225">
        <v>0.9338341</v>
      </c>
      <c r="Y6225">
        <v>-0.48295890000000002</v>
      </c>
      <c r="Z6225">
        <v>9.9727960000000008E-3</v>
      </c>
      <c r="AA6225">
        <v>0.87558619999999898</v>
      </c>
      <c r="AB6225">
        <v>33</v>
      </c>
      <c r="AC6225">
        <v>0.76869999999999505</v>
      </c>
      <c r="AD6225">
        <v>-7.5513999999999998E-2</v>
      </c>
      <c r="AE6225">
        <v>0.63201999999999003</v>
      </c>
      <c r="AF6225">
        <v>-0.54416652331013904</v>
      </c>
      <c r="AG6225">
        <v>-7.5513999999999998E-2</v>
      </c>
      <c r="AH6225">
        <v>0.82639263526183204</v>
      </c>
      <c r="AI6225">
        <v>94.364237690488295</v>
      </c>
      <c r="AJ6225">
        <v>123.364273851513</v>
      </c>
      <c r="AK6225">
        <v>0.99234286257444304</v>
      </c>
      <c r="AL6225">
        <v>81.088580094107598</v>
      </c>
      <c r="AM6225">
        <v>109.048241183944</v>
      </c>
      <c r="AN6225">
        <v>1.0000000103006299</v>
      </c>
    </row>
    <row r="6226" spans="1:40" x14ac:dyDescent="0.25">
      <c r="A6226" t="str">
        <f>"20190312164625912"</f>
        <v>20190312164625912</v>
      </c>
      <c r="B6226" t="str">
        <f>"1552380385907414"</f>
        <v>1552380385907414</v>
      </c>
      <c r="C6226" t="s">
        <v>40</v>
      </c>
      <c r="D6226">
        <v>4.8128449999999896</v>
      </c>
      <c r="E6226">
        <v>0.43025049999999998</v>
      </c>
      <c r="F6226" t="s">
        <v>41</v>
      </c>
      <c r="G6226">
        <v>-207.95480000000001</v>
      </c>
      <c r="H6226">
        <v>1.0512490000000001</v>
      </c>
      <c r="I6226">
        <v>-61.261009999999999</v>
      </c>
      <c r="J6226">
        <v>-208.5737</v>
      </c>
      <c r="K6226">
        <v>1.114574</v>
      </c>
      <c r="L6226">
        <v>-61.798160000000003</v>
      </c>
      <c r="M6226">
        <v>0.99392979999999997</v>
      </c>
      <c r="N6226">
        <v>0</v>
      </c>
      <c r="O6226">
        <v>0.1091111</v>
      </c>
      <c r="P6226">
        <v>0.89497680000000002</v>
      </c>
      <c r="Q6226">
        <v>0.1453159</v>
      </c>
      <c r="R6226">
        <v>0.42178169999999998</v>
      </c>
      <c r="S6226">
        <v>2.5437159999999999</v>
      </c>
      <c r="T6226">
        <v>-0.2028652</v>
      </c>
      <c r="U6226">
        <v>1.792511</v>
      </c>
      <c r="V6226">
        <v>-0.32374740000000002</v>
      </c>
      <c r="W6226">
        <v>0.15404470000000001</v>
      </c>
      <c r="X6226">
        <v>0.93351910000000005</v>
      </c>
      <c r="Y6226">
        <v>-0.48260979999999998</v>
      </c>
      <c r="Z6226">
        <v>9.549854E-3</v>
      </c>
      <c r="AA6226">
        <v>0.87578339999999999</v>
      </c>
      <c r="AB6226">
        <v>33</v>
      </c>
      <c r="AC6226">
        <v>0.61889999999999601</v>
      </c>
      <c r="AD6226">
        <v>-6.3325000000000006E-2</v>
      </c>
      <c r="AE6226">
        <v>0.53714999999999602</v>
      </c>
      <c r="AF6226">
        <v>-0.46363831149963203</v>
      </c>
      <c r="AG6226">
        <v>-6.3325000000000006E-2</v>
      </c>
      <c r="AH6226">
        <v>0.66981938168831801</v>
      </c>
      <c r="AI6226">
        <v>94.444942041346295</v>
      </c>
      <c r="AJ6226">
        <v>124.69036545220899</v>
      </c>
      <c r="AK6226">
        <v>0.81708539553742499</v>
      </c>
      <c r="AL6226">
        <v>81.138604063318795</v>
      </c>
      <c r="AM6226">
        <v>109.12670894430801</v>
      </c>
      <c r="AN6226">
        <v>1.0000000293348199</v>
      </c>
    </row>
    <row r="6227" spans="1:40" x14ac:dyDescent="0.25">
      <c r="A6227" t="str">
        <f>"20190312164625923"</f>
        <v>20190312164625923</v>
      </c>
      <c r="B6227" t="str">
        <f>"1552380385917171"</f>
        <v>1552380385917171</v>
      </c>
      <c r="C6227" t="s">
        <v>40</v>
      </c>
      <c r="D6227">
        <v>4.7727879999999896</v>
      </c>
      <c r="E6227">
        <v>0.43070530000000001</v>
      </c>
      <c r="F6227" t="s">
        <v>41</v>
      </c>
      <c r="G6227">
        <v>-207.684</v>
      </c>
      <c r="H6227">
        <v>1.0426580000000001</v>
      </c>
      <c r="I6227">
        <v>-61.166409999999999</v>
      </c>
      <c r="J6227">
        <v>-208.40809999999999</v>
      </c>
      <c r="K6227">
        <v>1.1146499999999999</v>
      </c>
      <c r="L6227">
        <v>-61.776859999999999</v>
      </c>
      <c r="M6227">
        <v>0.99355179999999998</v>
      </c>
      <c r="N6227">
        <v>0</v>
      </c>
      <c r="O6227">
        <v>0.1125007</v>
      </c>
      <c r="P6227">
        <v>0.89277150000000005</v>
      </c>
      <c r="Q6227">
        <v>0.14453829999999901</v>
      </c>
      <c r="R6227">
        <v>0.42669390000000001</v>
      </c>
      <c r="S6227">
        <v>2.5364990000000001</v>
      </c>
      <c r="T6227">
        <v>-0.2050399</v>
      </c>
      <c r="U6227">
        <v>1.8011170000000001</v>
      </c>
      <c r="V6227">
        <v>-0.32570149999999998</v>
      </c>
      <c r="W6227">
        <v>0.1531796</v>
      </c>
      <c r="X6227">
        <v>0.93298150000000002</v>
      </c>
      <c r="Y6227">
        <v>-0.48276350000000001</v>
      </c>
      <c r="Z6227">
        <v>9.4313720000000004E-3</v>
      </c>
      <c r="AA6227">
        <v>0.87570000000000003</v>
      </c>
      <c r="AB6227">
        <v>33</v>
      </c>
      <c r="AC6227">
        <v>0.72409999999996399</v>
      </c>
      <c r="AD6227">
        <v>-7.1991999999999806E-2</v>
      </c>
      <c r="AE6227">
        <v>0.61045000000000005</v>
      </c>
      <c r="AF6227">
        <v>-0.52208732483978404</v>
      </c>
      <c r="AG6227">
        <v>-7.1991999999999806E-2</v>
      </c>
      <c r="AH6227">
        <v>0.78365700187932996</v>
      </c>
      <c r="AI6227">
        <v>94.371959001454201</v>
      </c>
      <c r="AJ6227">
        <v>123.672313697565</v>
      </c>
      <c r="AK6227">
        <v>0.94439203693003604</v>
      </c>
      <c r="AL6227">
        <v>81.188765460028606</v>
      </c>
      <c r="AM6227">
        <v>109.243966441704</v>
      </c>
      <c r="AN6227">
        <v>0.99999996815032899</v>
      </c>
    </row>
    <row r="6228" spans="1:40" x14ac:dyDescent="0.25">
      <c r="A6228" t="str">
        <f>"20190312164625934"</f>
        <v>20190312164625934</v>
      </c>
      <c r="B6228" t="str">
        <f>"1552380385926932"</f>
        <v>1552380385926932</v>
      </c>
      <c r="C6228" t="s">
        <v>40</v>
      </c>
      <c r="D6228">
        <v>4.5455059999999996</v>
      </c>
      <c r="E6228">
        <v>0.43117499999999997</v>
      </c>
      <c r="F6228" t="s">
        <v>41</v>
      </c>
      <c r="G6228">
        <v>-207.6591</v>
      </c>
      <c r="H6228">
        <v>1.053572</v>
      </c>
      <c r="I6228">
        <v>-61.240099999999998</v>
      </c>
      <c r="J6228">
        <v>-208.24090000000001</v>
      </c>
      <c r="K6228">
        <v>1.1147199999999999</v>
      </c>
      <c r="L6228">
        <v>-61.754759999999997</v>
      </c>
      <c r="M6228">
        <v>0.99315319999999996</v>
      </c>
      <c r="N6228">
        <v>0</v>
      </c>
      <c r="O6228">
        <v>0.11596620000000001</v>
      </c>
      <c r="P6228">
        <v>0.89077929999999905</v>
      </c>
      <c r="Q6228">
        <v>0.14373949999999999</v>
      </c>
      <c r="R6228">
        <v>0.43110500000000002</v>
      </c>
      <c r="S6228">
        <v>2.5279240000000001</v>
      </c>
      <c r="T6228">
        <v>-0.2061315</v>
      </c>
      <c r="U6228">
        <v>1.8114319999999999</v>
      </c>
      <c r="V6228">
        <v>-0.32706740000000001</v>
      </c>
      <c r="W6228">
        <v>0.15230170000000001</v>
      </c>
      <c r="X6228">
        <v>0.93264729999999996</v>
      </c>
      <c r="Y6228">
        <v>-0.48347180000000001</v>
      </c>
      <c r="Z6228">
        <v>9.2765539999999994E-3</v>
      </c>
      <c r="AA6228">
        <v>0.87531080000000006</v>
      </c>
      <c r="AB6228">
        <v>33</v>
      </c>
      <c r="AC6228">
        <v>0.58180000000001497</v>
      </c>
      <c r="AD6228">
        <v>-6.1148000000000202E-2</v>
      </c>
      <c r="AE6228">
        <v>0.51465999999999901</v>
      </c>
      <c r="AF6228">
        <v>-0.44097838886521901</v>
      </c>
      <c r="AG6228">
        <v>-6.1148000000000202E-2</v>
      </c>
      <c r="AH6228">
        <v>0.63363633412337905</v>
      </c>
      <c r="AI6228">
        <v>94.528888639590804</v>
      </c>
      <c r="AJ6228">
        <v>124.83593702786099</v>
      </c>
      <c r="AK6228">
        <v>0.77440042695719002</v>
      </c>
      <c r="AL6228">
        <v>81.239662383498498</v>
      </c>
      <c r="AM6228">
        <v>109.32511161573299</v>
      </c>
      <c r="AN6228">
        <v>0.999999939081468</v>
      </c>
    </row>
    <row r="6229" spans="1:40" x14ac:dyDescent="0.25">
      <c r="A6229" t="str">
        <f>"20190312164625944"</f>
        <v>20190312164625944</v>
      </c>
      <c r="B6229" t="str">
        <f>"1552380385937668"</f>
        <v>1552380385937668</v>
      </c>
      <c r="C6229" t="s">
        <v>40</v>
      </c>
      <c r="D6229">
        <v>4.7743070000000003</v>
      </c>
      <c r="E6229">
        <v>0.43167810000000001</v>
      </c>
      <c r="F6229" t="s">
        <v>41</v>
      </c>
      <c r="G6229">
        <v>-207.39019999999999</v>
      </c>
      <c r="H6229">
        <v>1.0444610000000001</v>
      </c>
      <c r="I6229">
        <v>-61.14058</v>
      </c>
      <c r="J6229">
        <v>-208.09270000000001</v>
      </c>
      <c r="K6229">
        <v>1.1147849999999999</v>
      </c>
      <c r="L6229">
        <v>-61.734740000000002</v>
      </c>
      <c r="M6229">
        <v>0.99278549999999999</v>
      </c>
      <c r="N6229">
        <v>0</v>
      </c>
      <c r="O6229">
        <v>0.11907230000000001</v>
      </c>
      <c r="P6229">
        <v>0.88900089999999998</v>
      </c>
      <c r="Q6229">
        <v>0.1428615</v>
      </c>
      <c r="R6229">
        <v>0.43504939999999998</v>
      </c>
      <c r="S6229">
        <v>2.5204469999999999</v>
      </c>
      <c r="T6229">
        <v>-0.20817269999999999</v>
      </c>
      <c r="U6229">
        <v>1.820343</v>
      </c>
      <c r="V6229">
        <v>-0.32828269999999998</v>
      </c>
      <c r="W6229">
        <v>0.15135479999999901</v>
      </c>
      <c r="X6229">
        <v>0.93237449999999999</v>
      </c>
      <c r="Y6229">
        <v>-0.48398859999999999</v>
      </c>
      <c r="Z6229">
        <v>9.1776099999999992E-3</v>
      </c>
      <c r="AA6229">
        <v>0.87502619999999898</v>
      </c>
      <c r="AB6229">
        <v>33</v>
      </c>
      <c r="AC6229">
        <v>0.702500000000014</v>
      </c>
      <c r="AD6229">
        <v>-7.0323999999999998E-2</v>
      </c>
      <c r="AE6229">
        <v>0.59415999999999503</v>
      </c>
      <c r="AF6229">
        <v>-0.50333495614474899</v>
      </c>
      <c r="AG6229">
        <v>-7.0323999999999998E-2</v>
      </c>
      <c r="AH6229">
        <v>0.76379405074110596</v>
      </c>
      <c r="AI6229">
        <v>94.396233462466398</v>
      </c>
      <c r="AJ6229">
        <v>123.384603731244</v>
      </c>
      <c r="AK6229">
        <v>0.91742732409752403</v>
      </c>
      <c r="AL6229">
        <v>81.294552704835397</v>
      </c>
      <c r="AM6229">
        <v>109.396818473164</v>
      </c>
      <c r="AN6229">
        <v>1.00000000742628</v>
      </c>
    </row>
    <row r="6230" spans="1:40" x14ac:dyDescent="0.25">
      <c r="A6230" t="str">
        <f>"20190312164625956"</f>
        <v>20190312164625956</v>
      </c>
      <c r="B6230" t="str">
        <f>"1552380385947428"</f>
        <v>1552380385947428</v>
      </c>
      <c r="C6230" t="s">
        <v>40</v>
      </c>
      <c r="D6230">
        <v>4.613156</v>
      </c>
      <c r="E6230">
        <v>0.43224800000000002</v>
      </c>
      <c r="F6230" t="s">
        <v>41</v>
      </c>
      <c r="G6230">
        <v>-207.3672</v>
      </c>
      <c r="H6230">
        <v>1.0539540000000001</v>
      </c>
      <c r="I6230">
        <v>-61.207439999999998</v>
      </c>
      <c r="J6230">
        <v>-207.92599999999999</v>
      </c>
      <c r="K6230">
        <v>1.114862</v>
      </c>
      <c r="L6230">
        <v>-61.711489999999998</v>
      </c>
      <c r="M6230">
        <v>0.99235269999999998</v>
      </c>
      <c r="N6230">
        <v>0</v>
      </c>
      <c r="O6230">
        <v>0.1226262</v>
      </c>
      <c r="P6230">
        <v>0.88696319999999995</v>
      </c>
      <c r="Q6230">
        <v>0.14228060000000001</v>
      </c>
      <c r="R6230">
        <v>0.43937759999999998</v>
      </c>
      <c r="S6230">
        <v>2.5139619999999998</v>
      </c>
      <c r="T6230">
        <v>-0.21078620000000001</v>
      </c>
      <c r="U6230">
        <v>1.82782</v>
      </c>
      <c r="V6230">
        <v>-0.3295014</v>
      </c>
      <c r="W6230">
        <v>0.15069540000000001</v>
      </c>
      <c r="X6230">
        <v>0.93205139999999997</v>
      </c>
      <c r="Y6230">
        <v>-0.48361969999999999</v>
      </c>
      <c r="Z6230">
        <v>9.0316779999999996E-3</v>
      </c>
      <c r="AA6230">
        <v>0.875231599999999</v>
      </c>
      <c r="AB6230">
        <v>33</v>
      </c>
      <c r="AC6230">
        <v>0.55879999999998997</v>
      </c>
      <c r="AD6230">
        <v>-6.09079999999999E-2</v>
      </c>
      <c r="AE6230">
        <v>0.504049999999999</v>
      </c>
      <c r="AF6230">
        <v>-0.42890519717692899</v>
      </c>
      <c r="AG6230">
        <v>-6.09079999999999E-2</v>
      </c>
      <c r="AH6230">
        <v>0.61238621655233105</v>
      </c>
      <c r="AI6230">
        <v>94.657385247335498</v>
      </c>
      <c r="AJ6230">
        <v>125.006764191686</v>
      </c>
      <c r="AK6230">
        <v>0.75012421028297604</v>
      </c>
      <c r="AL6230">
        <v>81.332772240729298</v>
      </c>
      <c r="AM6230">
        <v>109.46966152380401</v>
      </c>
      <c r="AN6230">
        <v>1.0000000442125301</v>
      </c>
    </row>
    <row r="6231" spans="1:40" x14ac:dyDescent="0.25">
      <c r="A6231" t="str">
        <f>"20190312164625966"</f>
        <v>20190312164625966</v>
      </c>
      <c r="B6231" t="str">
        <f>"1552380385957187"</f>
        <v>1552380385957187</v>
      </c>
      <c r="C6231" t="s">
        <v>40</v>
      </c>
      <c r="D6231">
        <v>4.8784109999999998</v>
      </c>
      <c r="E6231">
        <v>0.43271229999999999</v>
      </c>
      <c r="F6231" t="s">
        <v>41</v>
      </c>
      <c r="G6231">
        <v>-207.0993</v>
      </c>
      <c r="H6231">
        <v>1.0455299999999901</v>
      </c>
      <c r="I6231">
        <v>-61.105899999999998</v>
      </c>
      <c r="J6231">
        <v>-207.76400000000001</v>
      </c>
      <c r="K6231">
        <v>1.114941</v>
      </c>
      <c r="L6231">
        <v>-61.688450000000003</v>
      </c>
      <c r="M6231">
        <v>0.99191589999999996</v>
      </c>
      <c r="N6231">
        <v>0</v>
      </c>
      <c r="O6231">
        <v>0.126109</v>
      </c>
      <c r="P6231">
        <v>0.88507659999999999</v>
      </c>
      <c r="Q6231">
        <v>0.14142199999999999</v>
      </c>
      <c r="R6231">
        <v>0.44344040000000001</v>
      </c>
      <c r="S6231">
        <v>2.5066220000000001</v>
      </c>
      <c r="T6231">
        <v>-0.21020810000000001</v>
      </c>
      <c r="U6231">
        <v>1.8358460000000001</v>
      </c>
      <c r="V6231">
        <v>-0.33050550000000001</v>
      </c>
      <c r="W6231">
        <v>0.1497629</v>
      </c>
      <c r="X6231">
        <v>0.93184610000000001</v>
      </c>
      <c r="Y6231">
        <v>-0.48360389999999998</v>
      </c>
      <c r="Z6231">
        <v>8.7667040000000002E-3</v>
      </c>
      <c r="AA6231">
        <v>0.87524310000000005</v>
      </c>
      <c r="AB6231">
        <v>33</v>
      </c>
      <c r="AC6231">
        <v>0.66470000000000995</v>
      </c>
      <c r="AD6231">
        <v>-6.9411000000000098E-2</v>
      </c>
      <c r="AE6231">
        <v>0.58255000000000401</v>
      </c>
      <c r="AF6231">
        <v>-0.49103680512926901</v>
      </c>
      <c r="AG6231">
        <v>-6.9411000000000098E-2</v>
      </c>
      <c r="AH6231">
        <v>0.72837221820059195</v>
      </c>
      <c r="AI6231">
        <v>94.5179480212595</v>
      </c>
      <c r="AJ6231">
        <v>123.986132207681</v>
      </c>
      <c r="AK6231">
        <v>0.88117031223198306</v>
      </c>
      <c r="AL6231">
        <v>81.386813330209804</v>
      </c>
      <c r="AM6231">
        <v>109.52848658563499</v>
      </c>
      <c r="AN6231">
        <v>0.99999998291593395</v>
      </c>
    </row>
    <row r="6232" spans="1:40" x14ac:dyDescent="0.25">
      <c r="A6232" t="str">
        <f>"20190312164625978"</f>
        <v>20190312164625978</v>
      </c>
      <c r="B6232" t="str">
        <f>"1552380385966950"</f>
        <v>1552380385966950</v>
      </c>
      <c r="C6232" t="s">
        <v>40</v>
      </c>
      <c r="D6232">
        <v>4.8417329999999996</v>
      </c>
      <c r="E6232">
        <v>0.43322310000000003</v>
      </c>
      <c r="F6232" t="s">
        <v>41</v>
      </c>
      <c r="G6232">
        <v>-207.0641</v>
      </c>
      <c r="H6232">
        <v>1.0559149999999999</v>
      </c>
      <c r="I6232">
        <v>-61.171990000000001</v>
      </c>
      <c r="J6232">
        <v>-207.6019</v>
      </c>
      <c r="K6232">
        <v>1.115022</v>
      </c>
      <c r="L6232">
        <v>-61.664430000000003</v>
      </c>
      <c r="M6232">
        <v>0.99145490000000003</v>
      </c>
      <c r="N6232">
        <v>0</v>
      </c>
      <c r="O6232">
        <v>0.12968250000000001</v>
      </c>
      <c r="P6232">
        <v>0.88311019999999896</v>
      </c>
      <c r="Q6232">
        <v>0.1410894</v>
      </c>
      <c r="R6232">
        <v>0.44744830000000002</v>
      </c>
      <c r="S6232">
        <v>2.4993590000000001</v>
      </c>
      <c r="T6232">
        <v>-0.2107723</v>
      </c>
      <c r="U6232">
        <v>1.8439030000000001</v>
      </c>
      <c r="V6232">
        <v>-0.33139299999999999</v>
      </c>
      <c r="W6232">
        <v>0.14935419999999999</v>
      </c>
      <c r="X6232">
        <v>0.93159650000000005</v>
      </c>
      <c r="Y6232">
        <v>-0.48349500000000001</v>
      </c>
      <c r="Z6232">
        <v>8.5384139999999994E-3</v>
      </c>
      <c r="AA6232">
        <v>0.87530549999999996</v>
      </c>
      <c r="AB6232">
        <v>33</v>
      </c>
      <c r="AC6232">
        <v>0.53780000000000405</v>
      </c>
      <c r="AD6232">
        <v>-5.9107E-2</v>
      </c>
      <c r="AE6232">
        <v>0.49244000000000199</v>
      </c>
      <c r="AF6232">
        <v>-0.41579862870200701</v>
      </c>
      <c r="AG6232">
        <v>-5.9107E-2</v>
      </c>
      <c r="AH6232">
        <v>0.59322717756319798</v>
      </c>
      <c r="AI6232">
        <v>94.664454022691601</v>
      </c>
      <c r="AJ6232">
        <v>125.026982918453</v>
      </c>
      <c r="AK6232">
        <v>0.726842913757208</v>
      </c>
      <c r="AL6232">
        <v>81.410496788372896</v>
      </c>
      <c r="AM6232">
        <v>109.58178981541199</v>
      </c>
      <c r="AN6232">
        <v>1.00000001815944</v>
      </c>
    </row>
    <row r="6233" spans="1:40" x14ac:dyDescent="0.25">
      <c r="A6233" t="str">
        <f>"20190312164625992"</f>
        <v>20190312164625992</v>
      </c>
      <c r="B6233" t="str">
        <f>"1552380385987444"</f>
        <v>1552380385987444</v>
      </c>
      <c r="C6233" t="s">
        <v>40</v>
      </c>
      <c r="D6233">
        <v>4.7177910000000001</v>
      </c>
      <c r="E6233">
        <v>0.43399720000000003</v>
      </c>
      <c r="F6233" t="s">
        <v>41</v>
      </c>
      <c r="G6233">
        <v>-206.80709999999999</v>
      </c>
      <c r="H6233">
        <v>1.0481240000000001</v>
      </c>
      <c r="I6233">
        <v>-61.074150000000003</v>
      </c>
      <c r="J6233">
        <v>-207.42310000000001</v>
      </c>
      <c r="K6233">
        <v>1.1151169999999999</v>
      </c>
      <c r="L6233">
        <v>-61.637569999999997</v>
      </c>
      <c r="M6233">
        <v>0.99092720000000001</v>
      </c>
      <c r="N6233">
        <v>0</v>
      </c>
      <c r="O6233">
        <v>0.13365439999999901</v>
      </c>
      <c r="P6233">
        <v>0.88099819999999995</v>
      </c>
      <c r="Q6233">
        <v>0.1405932</v>
      </c>
      <c r="R6233">
        <v>0.45174769999999997</v>
      </c>
      <c r="S6233">
        <v>2.492432</v>
      </c>
      <c r="T6233">
        <v>-0.20982029999999999</v>
      </c>
      <c r="U6233">
        <v>1.8516239999999999</v>
      </c>
      <c r="V6233">
        <v>-0.3322196</v>
      </c>
      <c r="W6233">
        <v>0.14877509999999999</v>
      </c>
      <c r="X6233">
        <v>0.93139470000000002</v>
      </c>
      <c r="Y6233">
        <v>-0.48291590000000001</v>
      </c>
      <c r="Z6233">
        <v>8.2015950000000008E-3</v>
      </c>
      <c r="AA6233">
        <v>0.87562839999999997</v>
      </c>
      <c r="AB6233">
        <v>33</v>
      </c>
      <c r="AC6233">
        <v>0.61600000000001298</v>
      </c>
      <c r="AD6233">
        <v>-6.6992999999999803E-2</v>
      </c>
      <c r="AE6233">
        <v>0.56341999999999304</v>
      </c>
      <c r="AF6233">
        <v>-0.47297863802024698</v>
      </c>
      <c r="AG6233">
        <v>-6.6992999999999803E-2</v>
      </c>
      <c r="AH6233">
        <v>0.68139500421423504</v>
      </c>
      <c r="AI6233">
        <v>94.6175717346688</v>
      </c>
      <c r="AJ6233">
        <v>124.76578404022101</v>
      </c>
      <c r="AK6233">
        <v>0.83216344899340899</v>
      </c>
      <c r="AL6233">
        <v>81.444051425764798</v>
      </c>
      <c r="AM6233">
        <v>109.63083227761</v>
      </c>
      <c r="AN6233">
        <v>0.99999999009613005</v>
      </c>
    </row>
    <row r="6234" spans="1:40" x14ac:dyDescent="0.25">
      <c r="A6234" t="str">
        <f>"20190312164626003"</f>
        <v>20190312164626003</v>
      </c>
      <c r="B6234" t="str">
        <f>"1552380385997204"</f>
        <v>1552380385997204</v>
      </c>
      <c r="C6234" t="s">
        <v>40</v>
      </c>
      <c r="D6234">
        <v>4.5120100000000001</v>
      </c>
      <c r="E6234">
        <v>0.4344015</v>
      </c>
      <c r="F6234" t="s">
        <v>41</v>
      </c>
      <c r="G6234">
        <v>-206.53890000000001</v>
      </c>
      <c r="H6234">
        <v>1.040035</v>
      </c>
      <c r="I6234">
        <v>-60.976649999999999</v>
      </c>
      <c r="J6234">
        <v>-207.2424</v>
      </c>
      <c r="K6234">
        <v>1.115221</v>
      </c>
      <c r="L6234">
        <v>-61.609380000000002</v>
      </c>
      <c r="M6234">
        <v>0.99036299999999999</v>
      </c>
      <c r="N6234">
        <v>0</v>
      </c>
      <c r="O6234">
        <v>0.1377717</v>
      </c>
      <c r="P6234">
        <v>0.87884269999999998</v>
      </c>
      <c r="Q6234">
        <v>0.14046310000000001</v>
      </c>
      <c r="R6234">
        <v>0.4559667</v>
      </c>
      <c r="S6234">
        <v>2.4861149999999999</v>
      </c>
      <c r="T6234">
        <v>-0.21110789999999999</v>
      </c>
      <c r="U6234">
        <v>1.8581240000000001</v>
      </c>
      <c r="V6234">
        <v>-0.33284859999999999</v>
      </c>
      <c r="W6234">
        <v>0.14855960000000001</v>
      </c>
      <c r="X6234">
        <v>0.93120449999999999</v>
      </c>
      <c r="Y6234">
        <v>-0.48181370000000001</v>
      </c>
      <c r="Z6234">
        <v>7.9201180000000003E-3</v>
      </c>
      <c r="AA6234">
        <v>0.87623790000000001</v>
      </c>
      <c r="AB6234">
        <v>33</v>
      </c>
      <c r="AC6234">
        <v>0.70349999999999102</v>
      </c>
      <c r="AD6234">
        <v>-7.5185999999999906E-2</v>
      </c>
      <c r="AE6234">
        <v>0.63273000000000201</v>
      </c>
      <c r="AF6234">
        <v>-0.52643890032332696</v>
      </c>
      <c r="AG6234">
        <v>-7.5185999999999906E-2</v>
      </c>
      <c r="AH6234">
        <v>0.77905192791389999</v>
      </c>
      <c r="AI6234">
        <v>94.571888946310395</v>
      </c>
      <c r="AJ6234">
        <v>124.04858628546999</v>
      </c>
      <c r="AK6234">
        <v>0.94324586230526297</v>
      </c>
      <c r="AL6234">
        <v>81.4565373592973</v>
      </c>
      <c r="AM6234">
        <v>109.668859755551</v>
      </c>
      <c r="AN6234">
        <v>0.99999998304718396</v>
      </c>
    </row>
    <row r="6235" spans="1:40" x14ac:dyDescent="0.25">
      <c r="A6235" t="str">
        <f>"20190312164626013"</f>
        <v>20190312164626013</v>
      </c>
      <c r="B6235" t="str">
        <f>"1552380386006964"</f>
        <v>1552380386006964</v>
      </c>
      <c r="C6235" t="s">
        <v>40</v>
      </c>
      <c r="D6235">
        <v>4.5099839999999896</v>
      </c>
      <c r="E6235">
        <v>0.43495729999999999</v>
      </c>
      <c r="F6235" t="s">
        <v>41</v>
      </c>
      <c r="G6235">
        <v>-206.5094</v>
      </c>
      <c r="H6235">
        <v>1.052762</v>
      </c>
      <c r="I6235">
        <v>-61.057070000000003</v>
      </c>
      <c r="J6235">
        <v>-207.10400000000001</v>
      </c>
      <c r="K6235">
        <v>1.115299</v>
      </c>
      <c r="L6235">
        <v>-61.587310000000002</v>
      </c>
      <c r="M6235">
        <v>0.98991390000000001</v>
      </c>
      <c r="N6235">
        <v>0</v>
      </c>
      <c r="O6235">
        <v>0.14096120000000001</v>
      </c>
      <c r="P6235">
        <v>0.87731190000000003</v>
      </c>
      <c r="Q6235">
        <v>0.13971120000000001</v>
      </c>
      <c r="R6235">
        <v>0.4591346</v>
      </c>
      <c r="S6235">
        <v>2.4784389999999998</v>
      </c>
      <c r="T6235">
        <v>-0.21121180000000001</v>
      </c>
      <c r="U6235">
        <v>1.867432</v>
      </c>
      <c r="V6235">
        <v>-0.33321070000000003</v>
      </c>
      <c r="W6235">
        <v>0.14774519999999999</v>
      </c>
      <c r="X6235">
        <v>0.93120460000000005</v>
      </c>
      <c r="Y6235">
        <v>-0.48239870000000001</v>
      </c>
      <c r="Z6235">
        <v>7.72462699999999E-3</v>
      </c>
      <c r="AA6235">
        <v>0.87591770000000002</v>
      </c>
      <c r="AB6235">
        <v>33</v>
      </c>
      <c r="AC6235">
        <v>0.59460000000001401</v>
      </c>
      <c r="AD6235">
        <v>-6.2536999999999995E-2</v>
      </c>
      <c r="AE6235">
        <v>0.53023999999999905</v>
      </c>
      <c r="AF6235">
        <v>-0.438419198151561</v>
      </c>
      <c r="AG6235">
        <v>-6.2536999999999995E-2</v>
      </c>
      <c r="AH6235">
        <v>0.65934981271389104</v>
      </c>
      <c r="AI6235">
        <v>94.515869561989803</v>
      </c>
      <c r="AJ6235">
        <v>123.62098819131199</v>
      </c>
      <c r="AK6235">
        <v>0.79426975594107896</v>
      </c>
      <c r="AL6235">
        <v>81.503719961624498</v>
      </c>
      <c r="AM6235">
        <v>109.688610887796</v>
      </c>
      <c r="AN6235">
        <v>1.0000000108893401</v>
      </c>
    </row>
    <row r="6236" spans="1:40" x14ac:dyDescent="0.25">
      <c r="A6236" t="str">
        <f>"20190312164626024"</f>
        <v>20190312164626024</v>
      </c>
      <c r="B6236" t="str">
        <f>"1552380386017700"</f>
        <v>1552380386017700</v>
      </c>
      <c r="C6236" t="s">
        <v>40</v>
      </c>
      <c r="D6236">
        <v>4.6761369999999998</v>
      </c>
      <c r="E6236">
        <v>0.43543300000000001</v>
      </c>
      <c r="F6236" t="s">
        <v>41</v>
      </c>
      <c r="G6236">
        <v>-206.24860000000001</v>
      </c>
      <c r="H6236">
        <v>1.0411999999999999</v>
      </c>
      <c r="I6236">
        <v>-60.94014</v>
      </c>
      <c r="J6236">
        <v>-206.94049999999999</v>
      </c>
      <c r="K6236">
        <v>1.1153930000000001</v>
      </c>
      <c r="L6236">
        <v>-61.560519999999997</v>
      </c>
      <c r="M6236">
        <v>0.98936069999999998</v>
      </c>
      <c r="N6236">
        <v>0</v>
      </c>
      <c r="O6236">
        <v>0.1447908</v>
      </c>
      <c r="P6236">
        <v>0.87563369999999996</v>
      </c>
      <c r="Q6236">
        <v>0.13906830000000001</v>
      </c>
      <c r="R6236">
        <v>0.46252120000000002</v>
      </c>
      <c r="S6236">
        <v>2.473938</v>
      </c>
      <c r="T6236">
        <v>-0.214312</v>
      </c>
      <c r="U6236">
        <v>1.8720699999999999</v>
      </c>
      <c r="V6236">
        <v>-0.3332157</v>
      </c>
      <c r="W6236">
        <v>0.14703540000000001</v>
      </c>
      <c r="X6236">
        <v>0.93131509999999995</v>
      </c>
      <c r="Y6236">
        <v>-0.4808096</v>
      </c>
      <c r="Z6236">
        <v>7.4996530000000002E-3</v>
      </c>
      <c r="AA6236">
        <v>0.87679300000000004</v>
      </c>
      <c r="AB6236">
        <v>33</v>
      </c>
      <c r="AC6236">
        <v>0.69189999999997498</v>
      </c>
      <c r="AD6236">
        <v>-7.4193000000000106E-2</v>
      </c>
      <c r="AE6236">
        <v>0.62037999999999704</v>
      </c>
      <c r="AF6236">
        <v>-0.51039717674373597</v>
      </c>
      <c r="AG6236">
        <v>-7.4193000000000106E-2</v>
      </c>
      <c r="AH6236">
        <v>0.76953677366029405</v>
      </c>
      <c r="AI6236">
        <v>94.593645801878793</v>
      </c>
      <c r="AJ6236">
        <v>123.554426018339</v>
      </c>
      <c r="AK6236">
        <v>0.92638907878518895</v>
      </c>
      <c r="AL6236">
        <v>81.5448371728327</v>
      </c>
      <c r="AM6236">
        <v>109.68672711698601</v>
      </c>
      <c r="AN6236">
        <v>0.99999996353382903</v>
      </c>
    </row>
    <row r="6237" spans="1:40" x14ac:dyDescent="0.25">
      <c r="A6237" t="str">
        <f>"20190312164626035"</f>
        <v>20190312164626035</v>
      </c>
      <c r="B6237" t="str">
        <f>"1552380386027460"</f>
        <v>1552380386027460</v>
      </c>
      <c r="C6237" t="s">
        <v>40</v>
      </c>
      <c r="D6237">
        <v>4.7622450000000001</v>
      </c>
      <c r="E6237">
        <v>0.43588399999999999</v>
      </c>
      <c r="F6237" t="s">
        <v>41</v>
      </c>
      <c r="G6237">
        <v>-206.22130000000001</v>
      </c>
      <c r="H6237">
        <v>1.0528569999999999</v>
      </c>
      <c r="I6237">
        <v>-61.013249999999999</v>
      </c>
      <c r="J6237">
        <v>-206.78809999999999</v>
      </c>
      <c r="K6237">
        <v>1.115486</v>
      </c>
      <c r="L6237">
        <v>-61.534910000000004</v>
      </c>
      <c r="M6237">
        <v>0.98882250000000005</v>
      </c>
      <c r="N6237">
        <v>0</v>
      </c>
      <c r="O6237">
        <v>0.148422</v>
      </c>
      <c r="P6237">
        <v>0.87372590000000006</v>
      </c>
      <c r="Q6237">
        <v>0.13859679999999999</v>
      </c>
      <c r="R6237">
        <v>0.46625549999999999</v>
      </c>
      <c r="S6237">
        <v>2.4680019999999998</v>
      </c>
      <c r="T6237">
        <v>-0.2145975</v>
      </c>
      <c r="U6237">
        <v>1.8783259999999999</v>
      </c>
      <c r="V6237">
        <v>-0.3337888</v>
      </c>
      <c r="W6237">
        <v>0.14648829999999999</v>
      </c>
      <c r="X6237">
        <v>0.93119609999999997</v>
      </c>
      <c r="Y6237">
        <v>-0.4800218</v>
      </c>
      <c r="Z6237">
        <v>7.2186200000000002E-3</v>
      </c>
      <c r="AA6237">
        <v>0.87722679999999997</v>
      </c>
      <c r="AB6237">
        <v>33</v>
      </c>
      <c r="AC6237">
        <v>0.56679999999997199</v>
      </c>
      <c r="AD6237">
        <v>-6.2629000000000004E-2</v>
      </c>
      <c r="AE6237">
        <v>0.52165999999999701</v>
      </c>
      <c r="AF6237">
        <v>-0.42891178201721197</v>
      </c>
      <c r="AG6237">
        <v>-6.2629000000000004E-2</v>
      </c>
      <c r="AH6237">
        <v>0.63376525476891898</v>
      </c>
      <c r="AI6237">
        <v>94.678665307807904</v>
      </c>
      <c r="AJ6237">
        <v>124.08886807711799</v>
      </c>
      <c r="AK6237">
        <v>0.76781905846787402</v>
      </c>
      <c r="AL6237">
        <v>81.576526982563806</v>
      </c>
      <c r="AM6237">
        <v>109.720303107882</v>
      </c>
      <c r="AN6237">
        <v>0.99999998084876895</v>
      </c>
    </row>
    <row r="6238" spans="1:40" x14ac:dyDescent="0.25">
      <c r="A6238" t="str">
        <f>"20190312164626045"</f>
        <v>20190312164626045</v>
      </c>
      <c r="B6238" t="str">
        <f>"1552380386037220"</f>
        <v>1552380386037220</v>
      </c>
      <c r="C6238" t="s">
        <v>40</v>
      </c>
      <c r="D6238">
        <v>4.570824</v>
      </c>
      <c r="E6238">
        <v>0.43631039999999999</v>
      </c>
      <c r="F6238" t="s">
        <v>41</v>
      </c>
      <c r="G6238">
        <v>-205.95949999999999</v>
      </c>
      <c r="H6238">
        <v>1.04325</v>
      </c>
      <c r="I6238">
        <v>-60.900089999999999</v>
      </c>
      <c r="J6238">
        <v>-206.63300000000001</v>
      </c>
      <c r="K6238">
        <v>1.11558</v>
      </c>
      <c r="L6238">
        <v>-61.508330000000001</v>
      </c>
      <c r="M6238">
        <v>0.9882531</v>
      </c>
      <c r="N6238">
        <v>0</v>
      </c>
      <c r="O6238">
        <v>0.1521651</v>
      </c>
      <c r="P6238">
        <v>0.87203869999999895</v>
      </c>
      <c r="Q6238">
        <v>0.13783609999999999</v>
      </c>
      <c r="R6238">
        <v>0.46962720000000002</v>
      </c>
      <c r="S6238">
        <v>2.4613649999999998</v>
      </c>
      <c r="T6238">
        <v>-0.2145696</v>
      </c>
      <c r="U6238">
        <v>1.8856200000000001</v>
      </c>
      <c r="V6238">
        <v>-0.3338643</v>
      </c>
      <c r="W6238">
        <v>0.14565999999999901</v>
      </c>
      <c r="X6238">
        <v>0.93129899999999999</v>
      </c>
      <c r="Y6238">
        <v>-0.47949000000000003</v>
      </c>
      <c r="Z6238">
        <v>6.9287209999999997E-3</v>
      </c>
      <c r="AA6238">
        <v>0.87751999999999997</v>
      </c>
      <c r="AB6238">
        <v>33</v>
      </c>
      <c r="AC6238">
        <v>0.67349999999999</v>
      </c>
      <c r="AD6238">
        <v>-7.2329999999999894E-2</v>
      </c>
      <c r="AE6238">
        <v>0.608240000000002</v>
      </c>
      <c r="AF6238">
        <v>-0.495514395926338</v>
      </c>
      <c r="AG6238">
        <v>-7.2329999999999894E-2</v>
      </c>
      <c r="AH6238">
        <v>0.75343164037911403</v>
      </c>
      <c r="AI6238">
        <v>94.585802341495906</v>
      </c>
      <c r="AJ6238">
        <v>123.331985553347</v>
      </c>
      <c r="AK6238">
        <v>0.90466865878873404</v>
      </c>
      <c r="AL6238">
        <v>81.624499955242698</v>
      </c>
      <c r="AM6238">
        <v>109.722408294757</v>
      </c>
      <c r="AN6238">
        <v>1.0000000169077401</v>
      </c>
    </row>
    <row r="6239" spans="1:40" x14ac:dyDescent="0.25">
      <c r="A6239" t="str">
        <f>"20190312164626056"</f>
        <v>20190312164626056</v>
      </c>
      <c r="B6239" t="str">
        <f>"1552380386046980"</f>
        <v>1552380386046980</v>
      </c>
      <c r="C6239" t="s">
        <v>40</v>
      </c>
      <c r="D6239">
        <v>4.5652100000000004</v>
      </c>
      <c r="E6239">
        <v>0.43674059999999998</v>
      </c>
      <c r="F6239" t="s">
        <v>41</v>
      </c>
      <c r="G6239">
        <v>-205.9323</v>
      </c>
      <c r="H6239">
        <v>1.0540959999999999</v>
      </c>
      <c r="I6239">
        <v>-60.968400000000003</v>
      </c>
      <c r="J6239">
        <v>-206.47219999999999</v>
      </c>
      <c r="K6239">
        <v>1.115683</v>
      </c>
      <c r="L6239">
        <v>-61.479889999999997</v>
      </c>
      <c r="M6239">
        <v>0.98763310000000004</v>
      </c>
      <c r="N6239">
        <v>0</v>
      </c>
      <c r="O6239">
        <v>0.15613759999999999</v>
      </c>
      <c r="P6239">
        <v>0.87017679999999997</v>
      </c>
      <c r="Q6239">
        <v>0.13709260000000001</v>
      </c>
      <c r="R6239">
        <v>0.47328439999999999</v>
      </c>
      <c r="S6239">
        <v>2.4554140000000002</v>
      </c>
      <c r="T6239">
        <v>-0.2154462</v>
      </c>
      <c r="U6239">
        <v>1.8918759999999999</v>
      </c>
      <c r="V6239">
        <v>-0.33403769999999999</v>
      </c>
      <c r="W6239">
        <v>0.14484089999999999</v>
      </c>
      <c r="X6239">
        <v>0.93136450000000004</v>
      </c>
      <c r="Y6239">
        <v>-0.47839759999999998</v>
      </c>
      <c r="Z6239">
        <v>6.6266729999999996E-3</v>
      </c>
      <c r="AA6239">
        <v>0.87811839999999997</v>
      </c>
      <c r="AB6239">
        <v>33</v>
      </c>
      <c r="AC6239">
        <v>0.53989999999998795</v>
      </c>
      <c r="AD6239">
        <v>-6.1587000000000003E-2</v>
      </c>
      <c r="AE6239">
        <v>0.511490000000002</v>
      </c>
      <c r="AF6239">
        <v>-0.41804155477245297</v>
      </c>
      <c r="AG6239">
        <v>-6.1587000000000003E-2</v>
      </c>
      <c r="AH6239">
        <v>0.60897183372397801</v>
      </c>
      <c r="AI6239">
        <v>94.766163926931796</v>
      </c>
      <c r="AJ6239">
        <v>124.468472317075</v>
      </c>
      <c r="AK6239">
        <v>0.74121413529068303</v>
      </c>
      <c r="AL6239">
        <v>81.671933422632506</v>
      </c>
      <c r="AM6239">
        <v>109.730580293976</v>
      </c>
      <c r="AN6239">
        <v>0.99999995159717303</v>
      </c>
    </row>
    <row r="6240" spans="1:40" x14ac:dyDescent="0.25">
      <c r="A6240" t="str">
        <f>"20190312164626067"</f>
        <v>20190312164626067</v>
      </c>
      <c r="B6240" t="str">
        <f>"1552380386057716"</f>
        <v>1552380386057716</v>
      </c>
      <c r="C6240" t="s">
        <v>40</v>
      </c>
      <c r="D6240">
        <v>4.9015459999999997</v>
      </c>
      <c r="E6240">
        <v>0.43715280000000001</v>
      </c>
      <c r="F6240" t="s">
        <v>41</v>
      </c>
      <c r="G6240">
        <v>-205.67070000000001</v>
      </c>
      <c r="H6240">
        <v>1.0448759999999999</v>
      </c>
      <c r="I6240">
        <v>-60.858620000000002</v>
      </c>
      <c r="J6240">
        <v>-206.31039999999999</v>
      </c>
      <c r="K6240">
        <v>1.115785</v>
      </c>
      <c r="L6240">
        <v>-61.450839999999999</v>
      </c>
      <c r="M6240">
        <v>0.9869869</v>
      </c>
      <c r="N6240">
        <v>0</v>
      </c>
      <c r="O6240">
        <v>0.16017020000000001</v>
      </c>
      <c r="P6240">
        <v>0.86831039999999904</v>
      </c>
      <c r="Q6240">
        <v>0.13645689999999999</v>
      </c>
      <c r="R6240">
        <v>0.47688209999999998</v>
      </c>
      <c r="S6240">
        <v>2.4488829999999999</v>
      </c>
      <c r="T6240">
        <v>-0.21633859999999999</v>
      </c>
      <c r="U6240">
        <v>1.8988339999999999</v>
      </c>
      <c r="V6240">
        <v>-0.3340998</v>
      </c>
      <c r="W6240">
        <v>0.14413029999999999</v>
      </c>
      <c r="X6240">
        <v>0.93145250000000002</v>
      </c>
      <c r="Y6240">
        <v>-0.47750799999999999</v>
      </c>
      <c r="Z6240">
        <v>6.3261410000000004E-3</v>
      </c>
      <c r="AA6240">
        <v>0.87860469999999902</v>
      </c>
      <c r="AB6240">
        <v>33</v>
      </c>
      <c r="AC6240">
        <v>0.63969999999997595</v>
      </c>
      <c r="AD6240">
        <v>-7.0909000000000097E-2</v>
      </c>
      <c r="AE6240">
        <v>0.59222000000000397</v>
      </c>
      <c r="AF6240">
        <v>-0.47893246960895203</v>
      </c>
      <c r="AG6240">
        <v>-7.0909000000000097E-2</v>
      </c>
      <c r="AH6240">
        <v>0.72153105681579499</v>
      </c>
      <c r="AI6240">
        <v>94.680911616962703</v>
      </c>
      <c r="AJ6240">
        <v>123.57511300906501</v>
      </c>
      <c r="AK6240">
        <v>0.86891395585319497</v>
      </c>
      <c r="AL6240">
        <v>81.713079875238606</v>
      </c>
      <c r="AM6240">
        <v>109.732244670466</v>
      </c>
      <c r="AN6240">
        <v>0.99999998974718995</v>
      </c>
    </row>
    <row r="6241" spans="1:40" x14ac:dyDescent="0.25">
      <c r="A6241" t="str">
        <f>"20190312164626079"</f>
        <v>20190312164626079</v>
      </c>
      <c r="B6241" t="str">
        <f>"1552380386067475"</f>
        <v>1552380386067475</v>
      </c>
      <c r="C6241" t="s">
        <v>40</v>
      </c>
      <c r="D6241">
        <v>4.5914299999999999</v>
      </c>
      <c r="E6241">
        <v>0.43747750000000002</v>
      </c>
      <c r="F6241" t="s">
        <v>41</v>
      </c>
      <c r="G6241">
        <v>-205.60210000000001</v>
      </c>
      <c r="H6241">
        <v>1.0528979999999999</v>
      </c>
      <c r="I6241">
        <v>-60.898310000000002</v>
      </c>
      <c r="J6241">
        <v>-206.154</v>
      </c>
      <c r="K6241">
        <v>1.1158920000000001</v>
      </c>
      <c r="L6241">
        <v>-61.421599999999998</v>
      </c>
      <c r="M6241">
        <v>0.98632540000000002</v>
      </c>
      <c r="N6241">
        <v>0</v>
      </c>
      <c r="O6241">
        <v>0.16419300000000001</v>
      </c>
      <c r="P6241">
        <v>0.86636019999999903</v>
      </c>
      <c r="Q6241">
        <v>0.1358114</v>
      </c>
      <c r="R6241">
        <v>0.4805989</v>
      </c>
      <c r="S6241">
        <v>2.4422450000000002</v>
      </c>
      <c r="T6241">
        <v>-0.2168571</v>
      </c>
      <c r="U6241">
        <v>1.906067</v>
      </c>
      <c r="V6241">
        <v>-0.33430589999999999</v>
      </c>
      <c r="W6241">
        <v>0.14340549999999999</v>
      </c>
      <c r="X6241">
        <v>0.93149040000000005</v>
      </c>
      <c r="Y6241">
        <v>-0.47670820000000003</v>
      </c>
      <c r="Z6241">
        <v>6.0163889999999996E-3</v>
      </c>
      <c r="AA6241">
        <v>0.87904099999999996</v>
      </c>
      <c r="AB6241">
        <v>33</v>
      </c>
      <c r="AC6241">
        <v>0.55190000000001704</v>
      </c>
      <c r="AD6241">
        <v>-6.2994000000000203E-2</v>
      </c>
      <c r="AE6241">
        <v>0.52329000000000203</v>
      </c>
      <c r="AF6241">
        <v>-0.42265964779009202</v>
      </c>
      <c r="AG6241">
        <v>-6.2994000000000203E-2</v>
      </c>
      <c r="AH6241">
        <v>0.62604256954041804</v>
      </c>
      <c r="AI6241">
        <v>94.767199987378802</v>
      </c>
      <c r="AJ6241">
        <v>124.02443700948599</v>
      </c>
      <c r="AK6241">
        <v>0.75798332487121001</v>
      </c>
      <c r="AL6241">
        <v>81.755043628330498</v>
      </c>
      <c r="AM6241">
        <v>109.742735208472</v>
      </c>
      <c r="AN6241">
        <v>0.99999996874860897</v>
      </c>
    </row>
    <row r="6242" spans="1:40" x14ac:dyDescent="0.25">
      <c r="A6242" t="str">
        <f>"20190312164626089"</f>
        <v>20190312164626089</v>
      </c>
      <c r="B6242" t="str">
        <f>"1552380386086996"</f>
        <v>1552380386086996</v>
      </c>
      <c r="C6242" t="s">
        <v>40</v>
      </c>
      <c r="D6242">
        <v>4.5501149999999999</v>
      </c>
      <c r="E6242">
        <v>0.43831599999999998</v>
      </c>
      <c r="F6242" t="s">
        <v>41</v>
      </c>
      <c r="G6242">
        <v>-205.38249999999999</v>
      </c>
      <c r="H6242">
        <v>1.046279</v>
      </c>
      <c r="I6242">
        <v>-60.815119999999901</v>
      </c>
      <c r="J6242">
        <v>-206.00030000000001</v>
      </c>
      <c r="K6242">
        <v>1.115996</v>
      </c>
      <c r="L6242">
        <v>-61.39264</v>
      </c>
      <c r="M6242">
        <v>0.98565559999999997</v>
      </c>
      <c r="N6242">
        <v>0</v>
      </c>
      <c r="O6242">
        <v>0.1681665</v>
      </c>
      <c r="P6242">
        <v>0.86451359999999999</v>
      </c>
      <c r="Q6242">
        <v>0.13524159999999999</v>
      </c>
      <c r="R6242">
        <v>0.48407230000000001</v>
      </c>
      <c r="S6242">
        <v>2.4352420000000001</v>
      </c>
      <c r="T6242">
        <v>-0.2197268</v>
      </c>
      <c r="U6242">
        <v>1.9143680000000001</v>
      </c>
      <c r="V6242">
        <v>-0.33430409999999999</v>
      </c>
      <c r="W6242">
        <v>0.14276129999999901</v>
      </c>
      <c r="X6242">
        <v>0.93159000000000003</v>
      </c>
      <c r="Y6242">
        <v>-0.47623700000000002</v>
      </c>
      <c r="Z6242">
        <v>5.7830420000000004E-3</v>
      </c>
      <c r="AA6242">
        <v>0.87929799999999902</v>
      </c>
      <c r="AB6242">
        <v>33</v>
      </c>
      <c r="AC6242">
        <v>0.617800000000016</v>
      </c>
      <c r="AD6242">
        <v>-6.9716999999999807E-2</v>
      </c>
      <c r="AE6242">
        <v>0.57752000000000603</v>
      </c>
      <c r="AF6242">
        <v>-0.462248425512226</v>
      </c>
      <c r="AG6242">
        <v>-6.9716999999999807E-2</v>
      </c>
      <c r="AH6242">
        <v>0.70136286357431998</v>
      </c>
      <c r="AI6242">
        <v>94.744526371952801</v>
      </c>
      <c r="AJ6242">
        <v>123.3877468898</v>
      </c>
      <c r="AK6242">
        <v>0.84287836214883405</v>
      </c>
      <c r="AL6242">
        <v>81.792337343602995</v>
      </c>
      <c r="AM6242">
        <v>109.74068948958799</v>
      </c>
      <c r="AN6242">
        <v>0.99999997407724905</v>
      </c>
    </row>
    <row r="6243" spans="1:40" x14ac:dyDescent="0.25">
      <c r="A6243" t="str">
        <f>"20190312164626100"</f>
        <v>20190312164626100</v>
      </c>
      <c r="B6243" t="str">
        <f>"1552380386097732"</f>
        <v>1552380386097732</v>
      </c>
      <c r="C6243" t="s">
        <v>40</v>
      </c>
      <c r="D6243">
        <v>4.6466329999999996</v>
      </c>
      <c r="E6243">
        <v>0.43831599999999998</v>
      </c>
      <c r="F6243" t="s">
        <v>41</v>
      </c>
      <c r="G6243">
        <v>-205.1232</v>
      </c>
      <c r="H6243">
        <v>1.0356799999999999</v>
      </c>
      <c r="I6243">
        <v>-60.700470000000003</v>
      </c>
      <c r="J6243">
        <v>-205.83619999999999</v>
      </c>
      <c r="K6243">
        <v>1.11612</v>
      </c>
      <c r="L6243">
        <v>-61.360439999999997</v>
      </c>
      <c r="M6243">
        <v>0.9848983</v>
      </c>
      <c r="N6243">
        <v>0</v>
      </c>
      <c r="O6243">
        <v>0.17254529999999901</v>
      </c>
      <c r="P6243">
        <v>0.86233510000000002</v>
      </c>
      <c r="Q6243">
        <v>0.1347496</v>
      </c>
      <c r="R6243">
        <v>0.48807879999999998</v>
      </c>
      <c r="S6243">
        <v>2.4308010000000002</v>
      </c>
      <c r="T6243">
        <v>-0.2225763</v>
      </c>
      <c r="U6243">
        <v>1.9183650000000001</v>
      </c>
      <c r="V6243">
        <v>-0.334509</v>
      </c>
      <c r="W6243">
        <v>0.14218129999999901</v>
      </c>
      <c r="X6243">
        <v>0.93160520000000002</v>
      </c>
      <c r="Y6243">
        <v>-0.4739971</v>
      </c>
      <c r="Z6243">
        <v>5.4357959999999997E-3</v>
      </c>
      <c r="AA6243">
        <v>0.8805096</v>
      </c>
      <c r="AB6243">
        <v>33</v>
      </c>
      <c r="AC6243">
        <v>0.71299999999999297</v>
      </c>
      <c r="AD6243">
        <v>-8.0439999999999998E-2</v>
      </c>
      <c r="AE6243">
        <v>0.65997000000000805</v>
      </c>
      <c r="AF6243">
        <v>-0.52344396451909603</v>
      </c>
      <c r="AG6243">
        <v>-8.0439999999999998E-2</v>
      </c>
      <c r="AH6243">
        <v>0.81063338859569001</v>
      </c>
      <c r="AI6243">
        <v>94.765284758080995</v>
      </c>
      <c r="AJ6243">
        <v>122.85122788742299</v>
      </c>
      <c r="AK6243">
        <v>0.96829265632741401</v>
      </c>
      <c r="AL6243">
        <v>81.825911773591699</v>
      </c>
      <c r="AM6243">
        <v>109.751555687777</v>
      </c>
      <c r="AN6243">
        <v>1.00000002090886</v>
      </c>
    </row>
    <row r="6244" spans="1:40" x14ac:dyDescent="0.25">
      <c r="A6244" t="str">
        <f>"20190312164626113"</f>
        <v>20190312164626113</v>
      </c>
      <c r="B6244" t="str">
        <f>"1552380386107495"</f>
        <v>1552380386107495</v>
      </c>
      <c r="C6244" t="s">
        <v>40</v>
      </c>
      <c r="D6244">
        <v>4.5658250000000002</v>
      </c>
      <c r="E6244">
        <v>0.46007330000000002</v>
      </c>
      <c r="F6244" t="s">
        <v>41</v>
      </c>
      <c r="G6244">
        <v>-205.09479999999999</v>
      </c>
      <c r="H6244">
        <v>1.0476019999999999</v>
      </c>
      <c r="I6244">
        <v>-60.769710000000003</v>
      </c>
      <c r="J6244">
        <v>-205.66990000000001</v>
      </c>
      <c r="K6244">
        <v>1.1162430000000001</v>
      </c>
      <c r="L6244">
        <v>-61.327300000000001</v>
      </c>
      <c r="M6244">
        <v>0.98410180000000003</v>
      </c>
      <c r="N6244">
        <v>0</v>
      </c>
      <c r="O6244">
        <v>0.17703060000000001</v>
      </c>
      <c r="P6244">
        <v>0.86010959999999903</v>
      </c>
      <c r="Q6244">
        <v>0.13458899999999999</v>
      </c>
      <c r="R6244">
        <v>0.49203419999999998</v>
      </c>
      <c r="S6244">
        <v>2.4216000000000002</v>
      </c>
      <c r="T6244">
        <v>-0.22381999999999999</v>
      </c>
      <c r="U6244">
        <v>1.9299010000000001</v>
      </c>
      <c r="V6244">
        <v>-0.33458019999999999</v>
      </c>
      <c r="W6244">
        <v>0.14193259999999999</v>
      </c>
      <c r="X6244">
        <v>0.93161760000000005</v>
      </c>
      <c r="Y6244">
        <v>-0.4741842</v>
      </c>
      <c r="Z6244">
        <v>5.1358280000000003E-3</v>
      </c>
      <c r="AA6244">
        <v>0.88041069999999999</v>
      </c>
      <c r="AB6244">
        <v>33</v>
      </c>
      <c r="AC6244">
        <v>0.57510000000002004</v>
      </c>
      <c r="AD6244">
        <v>-6.8640999999999897E-2</v>
      </c>
      <c r="AE6244">
        <v>0.55759000000000403</v>
      </c>
      <c r="AF6244">
        <v>-0.44370248472597001</v>
      </c>
      <c r="AG6244">
        <v>-6.8640999999999897E-2</v>
      </c>
      <c r="AH6244">
        <v>0.65988963733889705</v>
      </c>
      <c r="AI6244">
        <v>94.9335602015869</v>
      </c>
      <c r="AJ6244">
        <v>123.916449378775</v>
      </c>
      <c r="AK6244">
        <v>0.79814648736949401</v>
      </c>
      <c r="AL6244">
        <v>81.840307570352095</v>
      </c>
      <c r="AM6244">
        <v>109.755191853865</v>
      </c>
      <c r="AN6244">
        <v>1.0000000629022701</v>
      </c>
    </row>
    <row r="6245" spans="1:40" x14ac:dyDescent="0.25">
      <c r="A6245" t="str">
        <f>"20190312164626124"</f>
        <v>20190312164626124</v>
      </c>
      <c r="B6245" t="str">
        <f>"1552380386117252"</f>
        <v>1552380386117252</v>
      </c>
      <c r="C6245" t="s">
        <v>40</v>
      </c>
      <c r="D6245">
        <v>4.5716320000000001</v>
      </c>
      <c r="E6245">
        <v>0.45892939999999999</v>
      </c>
      <c r="F6245" t="s">
        <v>41</v>
      </c>
      <c r="G6245">
        <v>-204.81200000000001</v>
      </c>
      <c r="H6245">
        <v>1.0216209999999999</v>
      </c>
      <c r="I6245">
        <v>-60.713019999999901</v>
      </c>
      <c r="J6245">
        <v>-205.50489999999999</v>
      </c>
      <c r="K6245">
        <v>1.116368</v>
      </c>
      <c r="L6245">
        <v>-61.293489999999998</v>
      </c>
      <c r="M6245">
        <v>0.98327279999999995</v>
      </c>
      <c r="N6245">
        <v>0</v>
      </c>
      <c r="O6245">
        <v>0.1815766</v>
      </c>
      <c r="P6245">
        <v>0.85780699999999999</v>
      </c>
      <c r="Q6245">
        <v>0.13440469999999999</v>
      </c>
      <c r="R6245">
        <v>0.4960871</v>
      </c>
      <c r="S6245">
        <v>2.5051269999999999</v>
      </c>
      <c r="T6245">
        <v>-0.27627350000000001</v>
      </c>
      <c r="U6245">
        <v>1.793579</v>
      </c>
      <c r="V6245">
        <v>-0.33470670000000002</v>
      </c>
      <c r="W6245">
        <v>0.14166019999999999</v>
      </c>
      <c r="X6245">
        <v>0.93161360000000004</v>
      </c>
      <c r="Y6245">
        <v>-0.42386049999999997</v>
      </c>
      <c r="Z6245">
        <v>3.322452E-3</v>
      </c>
      <c r="AA6245">
        <v>0.90572140000000001</v>
      </c>
      <c r="AB6245">
        <v>33</v>
      </c>
      <c r="AC6245">
        <v>0.69289999999997998</v>
      </c>
      <c r="AD6245">
        <v>-9.4747000000000095E-2</v>
      </c>
      <c r="AE6245">
        <v>0.58047000000001203</v>
      </c>
      <c r="AF6245">
        <v>-0.44015545859843203</v>
      </c>
      <c r="AG6245">
        <v>-9.4747000000000095E-2</v>
      </c>
      <c r="AH6245">
        <v>0.77823944262192901</v>
      </c>
      <c r="AI6245">
        <v>96.049089195288701</v>
      </c>
      <c r="AJ6245">
        <v>119.49156499127599</v>
      </c>
      <c r="AK6245">
        <v>0.89909423966316604</v>
      </c>
      <c r="AL6245">
        <v>81.856074089619298</v>
      </c>
      <c r="AM6245">
        <v>109.76216094162299</v>
      </c>
      <c r="AN6245">
        <v>1.00000004349694</v>
      </c>
    </row>
    <row r="6246" spans="1:40" x14ac:dyDescent="0.25">
      <c r="A6246" t="str">
        <f>"20190312164626135"</f>
        <v>20190312164626135</v>
      </c>
      <c r="B6246" t="str">
        <f>"1552380386127013"</f>
        <v>1552380386127013</v>
      </c>
      <c r="C6246" t="s">
        <v>40</v>
      </c>
      <c r="D6246">
        <v>4.5455870000000003</v>
      </c>
      <c r="E6246">
        <v>0.45835199999999998</v>
      </c>
      <c r="F6246" t="s">
        <v>52</v>
      </c>
      <c r="G6246">
        <v>-195.36609999999999</v>
      </c>
      <c r="H6246" s="1">
        <v>-9.0546529999999997E-6</v>
      </c>
      <c r="I6246">
        <v>-53.914099999999998</v>
      </c>
      <c r="J6246">
        <v>-205.3486</v>
      </c>
      <c r="K6246">
        <v>1.1164860000000001</v>
      </c>
      <c r="L6246">
        <v>-61.260559999999998</v>
      </c>
      <c r="M6246">
        <v>0.98245190000000004</v>
      </c>
      <c r="N6246">
        <v>0</v>
      </c>
      <c r="O6246">
        <v>0.18596579999999999</v>
      </c>
      <c r="P6246">
        <v>0.85552700000000004</v>
      </c>
      <c r="Q6246">
        <v>0.13452990000000001</v>
      </c>
      <c r="R6246">
        <v>0.49997520000000001</v>
      </c>
      <c r="S6246">
        <v>2.4915159999999998</v>
      </c>
      <c r="T6246">
        <v>-0.27433940000000001</v>
      </c>
      <c r="U6246">
        <v>1.8134159999999999</v>
      </c>
      <c r="V6246">
        <v>-0.33482240000000002</v>
      </c>
      <c r="W6246">
        <v>0.1417013</v>
      </c>
      <c r="X6246">
        <v>0.9315658</v>
      </c>
      <c r="Y6246">
        <v>-0.42690090000000003</v>
      </c>
      <c r="Z6246">
        <v>3.0463339999999999E-3</v>
      </c>
      <c r="AA6246">
        <v>0.90429329999999997</v>
      </c>
      <c r="AB6246">
        <v>33</v>
      </c>
      <c r="AC6246">
        <v>9.9825000000000106</v>
      </c>
      <c r="AD6246">
        <v>-1.1164950546529999</v>
      </c>
      <c r="AE6246">
        <v>7.3464600000000004</v>
      </c>
      <c r="AF6246">
        <v>-5.3185321337120097</v>
      </c>
      <c r="AG6246">
        <v>-1.1164950546529999</v>
      </c>
      <c r="AH6246">
        <v>11.0847144789265</v>
      </c>
      <c r="AI6246">
        <v>95.188893207362597</v>
      </c>
      <c r="AJ6246">
        <v>115.632053612481</v>
      </c>
      <c r="AK6246">
        <v>12.345211231231101</v>
      </c>
      <c r="AL6246">
        <v>81.853695444179493</v>
      </c>
      <c r="AM6246">
        <v>109.769398681092</v>
      </c>
      <c r="AN6246">
        <v>1.00000006884654</v>
      </c>
    </row>
    <row r="6247" spans="1:40" x14ac:dyDescent="0.25">
      <c r="A6247" t="str">
        <f>"20190312164626145"</f>
        <v>20190312164626145</v>
      </c>
      <c r="B6247" t="str">
        <f>"1552380386137748"</f>
        <v>1552380386137748</v>
      </c>
      <c r="C6247" t="s">
        <v>40</v>
      </c>
      <c r="D6247">
        <v>4.5862360000000004</v>
      </c>
      <c r="E6247">
        <v>0.45901540000000002</v>
      </c>
      <c r="F6247" t="s">
        <v>41</v>
      </c>
      <c r="G6247">
        <v>-204.52869999999999</v>
      </c>
      <c r="H6247">
        <v>1.0297769999999999</v>
      </c>
      <c r="I6247">
        <v>-60.655999999999999</v>
      </c>
      <c r="J6247">
        <v>-205.1936</v>
      </c>
      <c r="K6247">
        <v>1.1166049999999901</v>
      </c>
      <c r="L6247">
        <v>-61.22739</v>
      </c>
      <c r="M6247">
        <v>0.98160749999999997</v>
      </c>
      <c r="N6247">
        <v>0</v>
      </c>
      <c r="O6247">
        <v>0.19037109999999999</v>
      </c>
      <c r="P6247">
        <v>0.85335989999999995</v>
      </c>
      <c r="Q6247">
        <v>0.13481870000000001</v>
      </c>
      <c r="R6247">
        <v>0.50358800000000004</v>
      </c>
      <c r="S6247">
        <v>2.4792019999999999</v>
      </c>
      <c r="T6247">
        <v>-0.262212</v>
      </c>
      <c r="U6247">
        <v>1.8285830000000001</v>
      </c>
      <c r="V6247">
        <v>-0.33463799999999999</v>
      </c>
      <c r="W6247">
        <v>0.14191219999999999</v>
      </c>
      <c r="X6247">
        <v>0.93159990000000004</v>
      </c>
      <c r="Y6247">
        <v>-0.42865900000000001</v>
      </c>
      <c r="Z6247">
        <v>2.6077930000000002E-3</v>
      </c>
      <c r="AA6247">
        <v>0.9034626</v>
      </c>
      <c r="AB6247">
        <v>33</v>
      </c>
      <c r="AC6247">
        <v>0.66490000000001703</v>
      </c>
      <c r="AD6247">
        <v>-8.6827999999999905E-2</v>
      </c>
      <c r="AE6247">
        <v>0.57138999999999296</v>
      </c>
      <c r="AF6247">
        <v>-0.43012841582449302</v>
      </c>
      <c r="AG6247">
        <v>-8.6827999999999905E-2</v>
      </c>
      <c r="AH6247">
        <v>0.754127890268941</v>
      </c>
      <c r="AI6247">
        <v>95.711311227546105</v>
      </c>
      <c r="AJ6247">
        <v>119.698937259351</v>
      </c>
      <c r="AK6247">
        <v>0.87250124960665398</v>
      </c>
      <c r="AL6247">
        <v>81.841487992578394</v>
      </c>
      <c r="AM6247">
        <v>109.758686792444</v>
      </c>
      <c r="AN6247">
        <v>1.00000001861642</v>
      </c>
    </row>
    <row r="6248" spans="1:40" x14ac:dyDescent="0.25">
      <c r="A6248" t="str">
        <f>"20190312164626157"</f>
        <v>20190312164626157</v>
      </c>
      <c r="B6248" t="str">
        <f>"1552380386147508"</f>
        <v>1552380386147508</v>
      </c>
      <c r="C6248" t="s">
        <v>40</v>
      </c>
      <c r="D6248">
        <v>4.5640650000000003</v>
      </c>
      <c r="E6248">
        <v>0.45925450000000001</v>
      </c>
      <c r="F6248" t="s">
        <v>52</v>
      </c>
      <c r="G6248">
        <v>-194.73650000000001</v>
      </c>
      <c r="H6248" s="1">
        <v>-9.1526770000000001E-6</v>
      </c>
      <c r="I6248">
        <v>-53.471530000000001</v>
      </c>
      <c r="J6248">
        <v>-205.03710000000001</v>
      </c>
      <c r="K6248">
        <v>1.11673</v>
      </c>
      <c r="L6248">
        <v>-61.192689999999999</v>
      </c>
      <c r="M6248">
        <v>0.98071160000000002</v>
      </c>
      <c r="N6248">
        <v>0</v>
      </c>
      <c r="O6248">
        <v>0.19493250000000001</v>
      </c>
      <c r="P6248">
        <v>0.85090279999999996</v>
      </c>
      <c r="Q6248">
        <v>0.13499</v>
      </c>
      <c r="R6248">
        <v>0.5076832</v>
      </c>
      <c r="S6248">
        <v>2.4742890000000002</v>
      </c>
      <c r="T6248">
        <v>-0.26420640000000001</v>
      </c>
      <c r="U6248">
        <v>1.8351440000000001</v>
      </c>
      <c r="V6248">
        <v>-0.33483560000000001</v>
      </c>
      <c r="W6248">
        <v>0.1419967</v>
      </c>
      <c r="X6248">
        <v>0.93151600000000001</v>
      </c>
      <c r="Y6248">
        <v>-0.42687259999999999</v>
      </c>
      <c r="Z6248">
        <v>2.132555E-3</v>
      </c>
      <c r="AA6248">
        <v>0.90430929999999998</v>
      </c>
      <c r="AB6248">
        <v>33</v>
      </c>
      <c r="AC6248">
        <v>10.300599999999999</v>
      </c>
      <c r="AD6248">
        <v>-1.1167391526770001</v>
      </c>
      <c r="AE6248">
        <v>7.7211599999999896</v>
      </c>
      <c r="AF6248">
        <v>-5.5233174895841302</v>
      </c>
      <c r="AG6248">
        <v>-1.1167391526770001</v>
      </c>
      <c r="AH6248">
        <v>11.521514594590201</v>
      </c>
      <c r="AI6248">
        <v>94.995079913409199</v>
      </c>
      <c r="AJ6248">
        <v>115.61266856732099</v>
      </c>
      <c r="AK6248">
        <v>12.825733545463301</v>
      </c>
      <c r="AL6248">
        <v>81.8365968162136</v>
      </c>
      <c r="AM6248">
        <v>109.771092671989</v>
      </c>
      <c r="AN6248">
        <v>1.0000000000471201</v>
      </c>
    </row>
    <row r="6249" spans="1:40" x14ac:dyDescent="0.25">
      <c r="A6249" t="str">
        <f>"20190312164626168"</f>
        <v>20190312164626168</v>
      </c>
      <c r="B6249" t="str">
        <f>"1552380386157268"</f>
        <v>1552380386157268</v>
      </c>
      <c r="C6249" t="s">
        <v>40</v>
      </c>
      <c r="D6249">
        <v>4.6196780000000004</v>
      </c>
      <c r="E6249">
        <v>0.4595186</v>
      </c>
      <c r="F6249" t="s">
        <v>41</v>
      </c>
      <c r="G6249">
        <v>-204.23670000000001</v>
      </c>
      <c r="H6249">
        <v>1.0317459999999901</v>
      </c>
      <c r="I6249">
        <v>-60.593670000000003</v>
      </c>
      <c r="J6249">
        <v>-204.87960000000001</v>
      </c>
      <c r="K6249">
        <v>1.116859</v>
      </c>
      <c r="L6249">
        <v>-61.157470000000004</v>
      </c>
      <c r="M6249">
        <v>0.97978149999999997</v>
      </c>
      <c r="N6249">
        <v>0</v>
      </c>
      <c r="O6249">
        <v>0.19955319999999999</v>
      </c>
      <c r="P6249">
        <v>0.84838860000000005</v>
      </c>
      <c r="Q6249">
        <v>0.1355461</v>
      </c>
      <c r="R6249">
        <v>0.51172659999999903</v>
      </c>
      <c r="S6249">
        <v>2.4661559999999998</v>
      </c>
      <c r="T6249">
        <v>-0.26182850000000002</v>
      </c>
      <c r="U6249">
        <v>1.8454280000000001</v>
      </c>
      <c r="V6249">
        <v>-0.3349492</v>
      </c>
      <c r="W6249">
        <v>0.14246589999999901</v>
      </c>
      <c r="X6249">
        <v>0.93140350000000005</v>
      </c>
      <c r="Y6249">
        <v>-0.42648999999999998</v>
      </c>
      <c r="Z6249">
        <v>1.685342E-3</v>
      </c>
      <c r="AA6249">
        <v>0.90449069999999998</v>
      </c>
      <c r="AB6249">
        <v>33</v>
      </c>
      <c r="AC6249">
        <v>0.64289999999999703</v>
      </c>
      <c r="AD6249">
        <v>-8.5113000000000202E-2</v>
      </c>
      <c r="AE6249">
        <v>0.56379999999999997</v>
      </c>
      <c r="AF6249">
        <v>-0.419990872189902</v>
      </c>
      <c r="AG6249">
        <v>-8.5113000000000202E-2</v>
      </c>
      <c r="AH6249">
        <v>0.73520240557793004</v>
      </c>
      <c r="AI6249">
        <v>95.740216631813595</v>
      </c>
      <c r="AJ6249">
        <v>119.737549616937</v>
      </c>
      <c r="AK6249">
        <v>0.85097540073694899</v>
      </c>
      <c r="AL6249">
        <v>81.809437433085193</v>
      </c>
      <c r="AM6249">
        <v>109.779483748771</v>
      </c>
      <c r="AN6249">
        <v>0.99999998952784996</v>
      </c>
    </row>
    <row r="6250" spans="1:40" x14ac:dyDescent="0.25">
      <c r="A6250" t="str">
        <f>"20190312164626180"</f>
        <v>20190312164626180</v>
      </c>
      <c r="B6250" t="str">
        <f>"1552380386177764"</f>
        <v>1552380386177764</v>
      </c>
      <c r="C6250" t="s">
        <v>40</v>
      </c>
      <c r="D6250">
        <v>4.5433309999999896</v>
      </c>
      <c r="E6250">
        <v>0.45890930000000002</v>
      </c>
      <c r="F6250" t="s">
        <v>52</v>
      </c>
      <c r="G6250">
        <v>-194.47980000000001</v>
      </c>
      <c r="H6250" s="1">
        <v>-9.1862789999999997E-6</v>
      </c>
      <c r="I6250">
        <v>-53.308570000000003</v>
      </c>
      <c r="J6250">
        <v>-204.71510000000001</v>
      </c>
      <c r="K6250">
        <v>1.116989</v>
      </c>
      <c r="L6250">
        <v>-61.119109999999999</v>
      </c>
      <c r="M6250">
        <v>0.97875429999999997</v>
      </c>
      <c r="N6250">
        <v>0</v>
      </c>
      <c r="O6250">
        <v>0.20453070000000001</v>
      </c>
      <c r="P6250">
        <v>0.8456437</v>
      </c>
      <c r="Q6250">
        <v>0.13597279999999901</v>
      </c>
      <c r="R6250">
        <v>0.51613770000000003</v>
      </c>
      <c r="S6250">
        <v>2.458939</v>
      </c>
      <c r="T6250">
        <v>-0.26407370000000002</v>
      </c>
      <c r="U6250">
        <v>1.855804</v>
      </c>
      <c r="V6250">
        <v>-0.33513359999999998</v>
      </c>
      <c r="W6250">
        <v>0.14280100000000001</v>
      </c>
      <c r="X6250">
        <v>0.9312859</v>
      </c>
      <c r="Y6250">
        <v>-0.42560910000000002</v>
      </c>
      <c r="Z6250">
        <v>1.2109860000000001E-3</v>
      </c>
      <c r="AA6250">
        <v>0.90490630000000005</v>
      </c>
      <c r="AB6250">
        <v>33</v>
      </c>
      <c r="AC6250">
        <v>10.235299999999899</v>
      </c>
      <c r="AD6250">
        <v>-1.1169981862789999</v>
      </c>
      <c r="AE6250">
        <v>7.8105399999999996</v>
      </c>
      <c r="AF6250">
        <v>-5.51026714522557</v>
      </c>
      <c r="AG6250">
        <v>-1.1169981862789999</v>
      </c>
      <c r="AH6250">
        <v>11.529760637387501</v>
      </c>
      <c r="AI6250">
        <v>94.995531129397705</v>
      </c>
      <c r="AJ6250">
        <v>115.543922461297</v>
      </c>
      <c r="AK6250">
        <v>12.8275527406966</v>
      </c>
      <c r="AL6250">
        <v>81.790039711815197</v>
      </c>
      <c r="AM6250">
        <v>109.791832453119</v>
      </c>
      <c r="AN6250">
        <v>1.0000000414943799</v>
      </c>
    </row>
    <row r="6251" spans="1:40" x14ac:dyDescent="0.25">
      <c r="A6251" t="str">
        <f>"20190312164626192"</f>
        <v>20190312164626192</v>
      </c>
      <c r="B6251" t="str">
        <f>"1552380386187525"</f>
        <v>1552380386187525</v>
      </c>
      <c r="C6251" t="s">
        <v>40</v>
      </c>
      <c r="D6251">
        <v>4.5307789999999999</v>
      </c>
      <c r="E6251">
        <v>0.4587561</v>
      </c>
      <c r="F6251" t="s">
        <v>41</v>
      </c>
      <c r="G6251">
        <v>-203.90129999999999</v>
      </c>
      <c r="H6251">
        <v>1.0294000000000001</v>
      </c>
      <c r="I6251">
        <v>-60.496189999999999</v>
      </c>
      <c r="J6251">
        <v>-204.55119999999999</v>
      </c>
      <c r="K6251">
        <v>1.1171180000000001</v>
      </c>
      <c r="L6251">
        <v>-61.080410000000001</v>
      </c>
      <c r="M6251">
        <v>0.9776958</v>
      </c>
      <c r="N6251">
        <v>0</v>
      </c>
      <c r="O6251">
        <v>0.20953089999999999</v>
      </c>
      <c r="P6251">
        <v>0.84270669999999903</v>
      </c>
      <c r="Q6251">
        <v>0.1364426</v>
      </c>
      <c r="R6251">
        <v>0.5207965</v>
      </c>
      <c r="S6251">
        <v>2.446701</v>
      </c>
      <c r="T6251">
        <v>-0.26334200000000002</v>
      </c>
      <c r="U6251">
        <v>1.8730770000000001</v>
      </c>
      <c r="V6251">
        <v>-0.3355843</v>
      </c>
      <c r="W6251">
        <v>0.1431714</v>
      </c>
      <c r="X6251">
        <v>0.93106670000000002</v>
      </c>
      <c r="Y6251">
        <v>-0.42721320000000002</v>
      </c>
      <c r="Z6251">
        <v>8.3821830000000005E-4</v>
      </c>
      <c r="AA6251">
        <v>0.90415049999999997</v>
      </c>
      <c r="AB6251">
        <v>33</v>
      </c>
      <c r="AC6251">
        <v>0.64990000000000203</v>
      </c>
      <c r="AD6251">
        <v>-8.7717999999999893E-2</v>
      </c>
      <c r="AE6251">
        <v>0.58421999999999397</v>
      </c>
      <c r="AF6251">
        <v>-0.430720792721978</v>
      </c>
      <c r="AG6251">
        <v>-8.7717999999999893E-2</v>
      </c>
      <c r="AH6251">
        <v>0.75033539936451898</v>
      </c>
      <c r="AI6251">
        <v>95.789313638766401</v>
      </c>
      <c r="AJ6251">
        <v>119.857447831675</v>
      </c>
      <c r="AK6251">
        <v>0.86960799234285002</v>
      </c>
      <c r="AL6251">
        <v>81.768596980032399</v>
      </c>
      <c r="AM6251">
        <v>109.820680054801</v>
      </c>
      <c r="AN6251">
        <v>1.0000000360166601</v>
      </c>
    </row>
    <row r="6252" spans="1:40" x14ac:dyDescent="0.25">
      <c r="A6252" t="str">
        <f>"20190312164626202"</f>
        <v>20190312164626202</v>
      </c>
      <c r="B6252" t="str">
        <f>"1552380386197284"</f>
        <v>1552380386197284</v>
      </c>
      <c r="C6252" t="s">
        <v>40</v>
      </c>
      <c r="D6252">
        <v>4.5637759999999998</v>
      </c>
      <c r="E6252">
        <v>0.45910590000000001</v>
      </c>
      <c r="F6252" t="s">
        <v>41</v>
      </c>
      <c r="G6252">
        <v>-203.7054</v>
      </c>
      <c r="H6252">
        <v>1.0255240000000001</v>
      </c>
      <c r="I6252">
        <v>-60.424799999999998</v>
      </c>
      <c r="J6252">
        <v>-204.39940000000001</v>
      </c>
      <c r="K6252">
        <v>1.1172409999999999</v>
      </c>
      <c r="L6252">
        <v>-61.043489999999998</v>
      </c>
      <c r="M6252">
        <v>0.97666909999999896</v>
      </c>
      <c r="N6252">
        <v>0</v>
      </c>
      <c r="O6252">
        <v>0.21426419999999999</v>
      </c>
      <c r="P6252">
        <v>0.84005580000000002</v>
      </c>
      <c r="Q6252">
        <v>0.136601799999999</v>
      </c>
      <c r="R6252">
        <v>0.52502040000000005</v>
      </c>
      <c r="S6252">
        <v>2.4359440000000001</v>
      </c>
      <c r="T6252">
        <v>-0.26378600000000002</v>
      </c>
      <c r="U6252">
        <v>1.8879090000000001</v>
      </c>
      <c r="V6252">
        <v>-0.3358004</v>
      </c>
      <c r="W6252">
        <v>0.1432456</v>
      </c>
      <c r="X6252">
        <v>0.93097730000000001</v>
      </c>
      <c r="Y6252">
        <v>-0.42821749999999997</v>
      </c>
      <c r="Z6252">
        <v>4.64024E-4</v>
      </c>
      <c r="AA6252">
        <v>0.90367560000000002</v>
      </c>
      <c r="AB6252">
        <v>33</v>
      </c>
      <c r="AC6252">
        <v>0.69400000000001605</v>
      </c>
      <c r="AD6252">
        <v>-9.1717000000000007E-2</v>
      </c>
      <c r="AE6252">
        <v>0.61869000000000696</v>
      </c>
      <c r="AF6252">
        <v>-0.45121254998029803</v>
      </c>
      <c r="AG6252">
        <v>-9.1717000000000007E-2</v>
      </c>
      <c r="AH6252">
        <v>0.80264498375796101</v>
      </c>
      <c r="AI6252">
        <v>95.6883649381694</v>
      </c>
      <c r="AJ6252">
        <v>119.342825409592</v>
      </c>
      <c r="AK6252">
        <v>0.92533439539473605</v>
      </c>
      <c r="AL6252">
        <v>81.764300824151107</v>
      </c>
      <c r="AM6252">
        <v>109.834204479251</v>
      </c>
      <c r="AN6252">
        <v>0.99999997183740397</v>
      </c>
    </row>
    <row r="6253" spans="1:40" x14ac:dyDescent="0.25">
      <c r="A6253" t="str">
        <f>"20190312164626214"</f>
        <v>20190312164626214</v>
      </c>
      <c r="B6253" t="str">
        <f>"1552380386207043"</f>
        <v>1552380386207043</v>
      </c>
      <c r="C6253" t="s">
        <v>40</v>
      </c>
      <c r="D6253">
        <v>4.6144860000000003</v>
      </c>
      <c r="E6253">
        <v>0.45898460000000002</v>
      </c>
      <c r="F6253" t="s">
        <v>52</v>
      </c>
      <c r="G6253">
        <v>-194.16290000000001</v>
      </c>
      <c r="H6253" s="1">
        <v>-9.2519739999999994E-6</v>
      </c>
      <c r="I6253">
        <v>-53.04081</v>
      </c>
      <c r="J6253">
        <v>-204.23410000000001</v>
      </c>
      <c r="K6253">
        <v>1.11737</v>
      </c>
      <c r="L6253">
        <v>-61.002409999999998</v>
      </c>
      <c r="M6253">
        <v>0.97550780000000004</v>
      </c>
      <c r="N6253">
        <v>0</v>
      </c>
      <c r="O6253">
        <v>0.2194894</v>
      </c>
      <c r="P6253">
        <v>0.83689539999999996</v>
      </c>
      <c r="Q6253">
        <v>0.13709959999999999</v>
      </c>
      <c r="R6253">
        <v>0.52991489999999997</v>
      </c>
      <c r="S6253">
        <v>2.4279790000000001</v>
      </c>
      <c r="T6253">
        <v>-0.264997599999999</v>
      </c>
      <c r="U6253">
        <v>1.8981319999999999</v>
      </c>
      <c r="V6253">
        <v>-0.3363254</v>
      </c>
      <c r="W6253">
        <v>0.1436434</v>
      </c>
      <c r="X6253">
        <v>0.93072650000000001</v>
      </c>
      <c r="Y6253">
        <v>-0.42719550000000001</v>
      </c>
      <c r="Z6253" s="1">
        <v>-5.4560600000000001E-5</v>
      </c>
      <c r="AA6253">
        <v>0.9041593</v>
      </c>
      <c r="AB6253">
        <v>33</v>
      </c>
      <c r="AC6253">
        <v>10.071199999999999</v>
      </c>
      <c r="AD6253">
        <v>-1.117379251974</v>
      </c>
      <c r="AE6253">
        <v>7.96159999999999</v>
      </c>
      <c r="AF6253">
        <v>-5.5148847152605898</v>
      </c>
      <c r="AG6253">
        <v>-1.117379251974</v>
      </c>
      <c r="AH6253">
        <v>11.4862181812922</v>
      </c>
      <c r="AI6253">
        <v>95.011771468024094</v>
      </c>
      <c r="AJ6253">
        <v>115.64708668390701</v>
      </c>
      <c r="AK6253">
        <v>12.790453390072001</v>
      </c>
      <c r="AL6253">
        <v>81.741270702448105</v>
      </c>
      <c r="AM6253">
        <v>109.867723624123</v>
      </c>
      <c r="AN6253">
        <v>1.00000000942548</v>
      </c>
    </row>
    <row r="6254" spans="1:40" x14ac:dyDescent="0.25">
      <c r="A6254" t="str">
        <f>"20190312164626224"</f>
        <v>20190312164626224</v>
      </c>
      <c r="B6254" t="str">
        <f>"1552380386217781"</f>
        <v>1552380386217781</v>
      </c>
      <c r="C6254" t="s">
        <v>40</v>
      </c>
      <c r="D6254">
        <v>4.5820639999999999</v>
      </c>
      <c r="E6254">
        <v>0.45841080000000001</v>
      </c>
      <c r="F6254" t="s">
        <v>41</v>
      </c>
      <c r="G6254">
        <v>-203.4246</v>
      </c>
      <c r="H6254">
        <v>1.0293159999999999</v>
      </c>
      <c r="I6254">
        <v>-60.361530000000002</v>
      </c>
      <c r="J6254">
        <v>-204.0831</v>
      </c>
      <c r="K6254">
        <v>1.1174900000000001</v>
      </c>
      <c r="L6254">
        <v>-60.964109999999998</v>
      </c>
      <c r="M6254">
        <v>0.97440700000000002</v>
      </c>
      <c r="N6254">
        <v>0</v>
      </c>
      <c r="O6254">
        <v>0.22432460000000001</v>
      </c>
      <c r="P6254">
        <v>0.83391439999999994</v>
      </c>
      <c r="Q6254">
        <v>0.13722309999999999</v>
      </c>
      <c r="R6254">
        <v>0.53456190000000003</v>
      </c>
      <c r="S6254">
        <v>2.4162599999999999</v>
      </c>
      <c r="T6254">
        <v>-0.26284580000000002</v>
      </c>
      <c r="U6254">
        <v>1.9132690000000001</v>
      </c>
      <c r="V6254">
        <v>-0.33693669999999998</v>
      </c>
      <c r="W6254">
        <v>0.14367449999999901</v>
      </c>
      <c r="X6254">
        <v>0.93050060000000001</v>
      </c>
      <c r="Y6254">
        <v>-0.4283516</v>
      </c>
      <c r="Z6254">
        <v>-4.3110739999999999E-4</v>
      </c>
      <c r="AA6254">
        <v>0.90361210000000003</v>
      </c>
      <c r="AB6254">
        <v>33</v>
      </c>
      <c r="AC6254">
        <v>0.65850000000000297</v>
      </c>
      <c r="AD6254">
        <v>-8.8173999999999905E-2</v>
      </c>
      <c r="AE6254">
        <v>0.60257999999999601</v>
      </c>
      <c r="AF6254">
        <v>-0.43523927248210498</v>
      </c>
      <c r="AG6254">
        <v>-8.8173999999999905E-2</v>
      </c>
      <c r="AH6254">
        <v>0.76939394939615402</v>
      </c>
      <c r="AI6254">
        <v>95.696291556305098</v>
      </c>
      <c r="AJ6254">
        <v>119.496452734442</v>
      </c>
      <c r="AK6254">
        <v>0.88835518119396595</v>
      </c>
      <c r="AL6254">
        <v>81.739470332716195</v>
      </c>
      <c r="AM6254">
        <v>109.905454011671</v>
      </c>
      <c r="AN6254">
        <v>1.0000000341787401</v>
      </c>
    </row>
    <row r="6255" spans="1:40" x14ac:dyDescent="0.25">
      <c r="A6255" t="str">
        <f>"20190312164626236"</f>
        <v>20190312164626236</v>
      </c>
      <c r="B6255" t="str">
        <f>"1552380386227540"</f>
        <v>1552380386227540</v>
      </c>
      <c r="C6255" t="s">
        <v>40</v>
      </c>
      <c r="D6255">
        <v>4.511412</v>
      </c>
      <c r="E6255">
        <v>0.45776080000000002</v>
      </c>
      <c r="F6255" t="s">
        <v>52</v>
      </c>
      <c r="G6255">
        <v>-193.81270000000001</v>
      </c>
      <c r="H6255" s="1">
        <v>-9.3362810000000004E-6</v>
      </c>
      <c r="I6255">
        <v>-52.712719999999997</v>
      </c>
      <c r="J6255">
        <v>-203.9325</v>
      </c>
      <c r="K6255">
        <v>1.117602</v>
      </c>
      <c r="L6255">
        <v>-60.924840000000003</v>
      </c>
      <c r="M6255">
        <v>0.97326330000000005</v>
      </c>
      <c r="N6255">
        <v>0</v>
      </c>
      <c r="O6255">
        <v>0.22923450000000001</v>
      </c>
      <c r="P6255">
        <v>0.83078759999999996</v>
      </c>
      <c r="Q6255">
        <v>0.13758580000000001</v>
      </c>
      <c r="R6255">
        <v>0.53931640000000003</v>
      </c>
      <c r="S6255">
        <v>2.4029690000000001</v>
      </c>
      <c r="T6255">
        <v>-0.26146039999999998</v>
      </c>
      <c r="U6255">
        <v>1.9305730000000001</v>
      </c>
      <c r="V6255">
        <v>-0.33762300000000001</v>
      </c>
      <c r="W6255">
        <v>0.14394399999999999</v>
      </c>
      <c r="X6255">
        <v>0.93021010000000004</v>
      </c>
      <c r="Y6255">
        <v>-0.43020809999999998</v>
      </c>
      <c r="Z6255">
        <v>-7.7735070000000002E-4</v>
      </c>
      <c r="AA6255">
        <v>0.90272949999999996</v>
      </c>
      <c r="AB6255">
        <v>33</v>
      </c>
      <c r="AC6255">
        <v>10.1197999999999</v>
      </c>
      <c r="AD6255">
        <v>-1.1176113362809901</v>
      </c>
      <c r="AE6255">
        <v>8.2121200000000005</v>
      </c>
      <c r="AF6255">
        <v>-5.6319270664535104</v>
      </c>
      <c r="AG6255">
        <v>-1.1176113362809901</v>
      </c>
      <c r="AH6255">
        <v>11.6473105399087</v>
      </c>
      <c r="AI6255">
        <v>94.937269589069899</v>
      </c>
      <c r="AJ6255">
        <v>115.805570756552</v>
      </c>
      <c r="AK6255">
        <v>12.9856651887343</v>
      </c>
      <c r="AL6255">
        <v>81.723866625912706</v>
      </c>
      <c r="AM6255">
        <v>109.948542480903</v>
      </c>
      <c r="AN6255">
        <v>0.99999999770350401</v>
      </c>
    </row>
    <row r="6256" spans="1:40" x14ac:dyDescent="0.25">
      <c r="A6256" t="str">
        <f>"20190312164626246"</f>
        <v>20190312164626246</v>
      </c>
      <c r="B6256" t="str">
        <f>"1552380386237300"</f>
        <v>1552380386237300</v>
      </c>
      <c r="C6256" t="s">
        <v>40</v>
      </c>
      <c r="D6256">
        <v>4.5036160000000001</v>
      </c>
      <c r="E6256">
        <v>0.45728029999999997</v>
      </c>
      <c r="F6256" t="s">
        <v>41</v>
      </c>
      <c r="G6256">
        <v>-203.14940000000001</v>
      </c>
      <c r="H6256">
        <v>1.033828</v>
      </c>
      <c r="I6256">
        <v>-60.28593</v>
      </c>
      <c r="J6256">
        <v>-203.78720000000001</v>
      </c>
      <c r="K6256">
        <v>1.11771</v>
      </c>
      <c r="L6256">
        <v>-60.88644</v>
      </c>
      <c r="M6256">
        <v>0.97212589999999999</v>
      </c>
      <c r="N6256">
        <v>0</v>
      </c>
      <c r="O6256">
        <v>0.2340093</v>
      </c>
      <c r="P6256">
        <v>0.82756679999999905</v>
      </c>
      <c r="Q6256">
        <v>0.138102</v>
      </c>
      <c r="R6256">
        <v>0.54411489999999996</v>
      </c>
      <c r="S6256">
        <v>2.388474</v>
      </c>
      <c r="T6256">
        <v>-0.25550589999999901</v>
      </c>
      <c r="U6256">
        <v>1.9484859999999999</v>
      </c>
      <c r="V6256">
        <v>-0.33851160000000002</v>
      </c>
      <c r="W6256">
        <v>0.14436389999999999</v>
      </c>
      <c r="X6256">
        <v>0.92982200000000004</v>
      </c>
      <c r="Y6256">
        <v>-0.43256289999999997</v>
      </c>
      <c r="Z6256">
        <v>-1.06577E-3</v>
      </c>
      <c r="AA6256">
        <v>0.90160309999999999</v>
      </c>
      <c r="AB6256">
        <v>33</v>
      </c>
      <c r="AC6256">
        <v>0.63779999999999804</v>
      </c>
      <c r="AD6256">
        <v>-8.3881999999999998E-2</v>
      </c>
      <c r="AE6256">
        <v>0.60050999999999199</v>
      </c>
      <c r="AF6256">
        <v>-0.43061774423024701</v>
      </c>
      <c r="AG6256">
        <v>-8.3881999999999998E-2</v>
      </c>
      <c r="AH6256">
        <v>0.75371631320201105</v>
      </c>
      <c r="AI6256">
        <v>95.519474087311295</v>
      </c>
      <c r="AJ6256">
        <v>119.74045183958501</v>
      </c>
      <c r="AK6256">
        <v>0.87209868269409696</v>
      </c>
      <c r="AL6256">
        <v>81.699554171190897</v>
      </c>
      <c r="AM6256">
        <v>110.004574217927</v>
      </c>
      <c r="AN6256">
        <v>0.99999999532088402</v>
      </c>
    </row>
    <row r="6257" spans="1:40" x14ac:dyDescent="0.25">
      <c r="A6257" t="str">
        <f>"20190312164626257"</f>
        <v>20190312164626257</v>
      </c>
      <c r="B6257" t="str">
        <f>"1552380386247060"</f>
        <v>1552380386247060</v>
      </c>
      <c r="C6257" t="s">
        <v>40</v>
      </c>
      <c r="D6257">
        <v>4.5181239999999896</v>
      </c>
      <c r="E6257">
        <v>0.4568258</v>
      </c>
      <c r="F6257" t="s">
        <v>52</v>
      </c>
      <c r="G6257">
        <v>-193.1721</v>
      </c>
      <c r="H6257" s="1">
        <v>-9.495033E-6</v>
      </c>
      <c r="I6257">
        <v>-52.100090000000002</v>
      </c>
      <c r="J6257">
        <v>-203.62629999999999</v>
      </c>
      <c r="K6257">
        <v>1.1178300000000001</v>
      </c>
      <c r="L6257">
        <v>-60.842529999999996</v>
      </c>
      <c r="M6257">
        <v>0.97081130000000004</v>
      </c>
      <c r="N6257">
        <v>0</v>
      </c>
      <c r="O6257">
        <v>0.23940339999999999</v>
      </c>
      <c r="P6257">
        <v>0.82415729999999998</v>
      </c>
      <c r="Q6257">
        <v>0.1383412</v>
      </c>
      <c r="R6257">
        <v>0.54920539999999995</v>
      </c>
      <c r="S6257">
        <v>2.3745419999999999</v>
      </c>
      <c r="T6257">
        <v>-0.2500269</v>
      </c>
      <c r="U6257">
        <v>1.965454</v>
      </c>
      <c r="V6257">
        <v>-0.33913789999999999</v>
      </c>
      <c r="W6257">
        <v>0.14450879999999999</v>
      </c>
      <c r="X6257">
        <v>0.92957129999999999</v>
      </c>
      <c r="Y6257">
        <v>-0.43401780000000001</v>
      </c>
      <c r="Z6257">
        <v>-1.437327E-3</v>
      </c>
      <c r="AA6257">
        <v>0.90090320000000002</v>
      </c>
      <c r="AB6257">
        <v>33</v>
      </c>
      <c r="AC6257">
        <v>10.454199999999901</v>
      </c>
      <c r="AD6257">
        <v>-1.117839495033</v>
      </c>
      <c r="AE6257">
        <v>8.7424400000000002</v>
      </c>
      <c r="AF6257">
        <v>-5.9451213050415204</v>
      </c>
      <c r="AG6257">
        <v>-1.117839495033</v>
      </c>
      <c r="AH6257">
        <v>12.1614947595323</v>
      </c>
      <c r="AI6257">
        <v>94.720631257162296</v>
      </c>
      <c r="AJ6257">
        <v>116.051600324361</v>
      </c>
      <c r="AK6257">
        <v>13.5829299951978</v>
      </c>
      <c r="AL6257">
        <v>81.691164535031703</v>
      </c>
      <c r="AM6257">
        <v>110.04361718115599</v>
      </c>
      <c r="AN6257">
        <v>1.00000005513876</v>
      </c>
    </row>
    <row r="6258" spans="1:40" x14ac:dyDescent="0.25">
      <c r="A6258" t="str">
        <f>"20190312164626269"</f>
        <v>20190312164626269</v>
      </c>
      <c r="B6258" t="str">
        <f>"1552380386257796"</f>
        <v>1552380386257796</v>
      </c>
      <c r="C6258" t="s">
        <v>40</v>
      </c>
      <c r="D6258">
        <v>4.6073370000000002</v>
      </c>
      <c r="E6258">
        <v>0.45674599999999999</v>
      </c>
      <c r="F6258" t="s">
        <v>41</v>
      </c>
      <c r="G6258">
        <v>-202.8732</v>
      </c>
      <c r="H6258">
        <v>1.0394730000000001</v>
      </c>
      <c r="I6258">
        <v>-60.209699999999998</v>
      </c>
      <c r="J6258">
        <v>-203.46979999999999</v>
      </c>
      <c r="K6258">
        <v>1.117942</v>
      </c>
      <c r="L6258">
        <v>-60.799410000000002</v>
      </c>
      <c r="M6258">
        <v>0.96949510000000005</v>
      </c>
      <c r="N6258">
        <v>0</v>
      </c>
      <c r="O6258">
        <v>0.2446777</v>
      </c>
      <c r="P6258">
        <v>0.82074269999999905</v>
      </c>
      <c r="Q6258">
        <v>0.1390779</v>
      </c>
      <c r="R6258">
        <v>0.55411089999999996</v>
      </c>
      <c r="S6258">
        <v>2.3597410000000001</v>
      </c>
      <c r="T6258">
        <v>-0.2455196</v>
      </c>
      <c r="U6258">
        <v>1.9831240000000001</v>
      </c>
      <c r="V6258">
        <v>-0.33971669999999998</v>
      </c>
      <c r="W6258">
        <v>0.14515330000000001</v>
      </c>
      <c r="X6258">
        <v>0.92925939999999996</v>
      </c>
      <c r="Y6258">
        <v>-0.43588779999999999</v>
      </c>
      <c r="Z6258">
        <v>-1.7706620000000001E-3</v>
      </c>
      <c r="AA6258">
        <v>0.89999929999999995</v>
      </c>
      <c r="AB6258">
        <v>33</v>
      </c>
      <c r="AC6258">
        <v>0.59659999999999502</v>
      </c>
      <c r="AD6258">
        <v>-7.8469000000000094E-2</v>
      </c>
      <c r="AE6258">
        <v>0.58970999999999596</v>
      </c>
      <c r="AF6258">
        <v>-0.42209797363143298</v>
      </c>
      <c r="AG6258">
        <v>-7.8469000000000094E-2</v>
      </c>
      <c r="AH6258">
        <v>0.71649685656923401</v>
      </c>
      <c r="AI6258">
        <v>95.390509434660004</v>
      </c>
      <c r="AJ6258">
        <v>120.50291313705701</v>
      </c>
      <c r="AK6258">
        <v>0.83527949141491298</v>
      </c>
      <c r="AL6258">
        <v>81.653843236015703</v>
      </c>
      <c r="AM6258">
        <v>110.08129529056001</v>
      </c>
      <c r="AN6258">
        <v>0.99999997462406898</v>
      </c>
    </row>
    <row r="6259" spans="1:40" x14ac:dyDescent="0.25">
      <c r="A6259" t="str">
        <f>"20190312164626280"</f>
        <v>20190312164626280</v>
      </c>
      <c r="B6259" t="str">
        <f>"1552380386277316"</f>
        <v>1552380386277316</v>
      </c>
      <c r="C6259" t="s">
        <v>40</v>
      </c>
      <c r="D6259">
        <v>4.3744389999999997</v>
      </c>
      <c r="E6259">
        <v>0.4566018</v>
      </c>
      <c r="F6259" t="s">
        <v>41</v>
      </c>
      <c r="G6259">
        <v>-202.6258</v>
      </c>
      <c r="H6259">
        <v>1.0313410000000001</v>
      </c>
      <c r="I6259">
        <v>-60.080759999999998</v>
      </c>
      <c r="J6259">
        <v>-203.31620000000001</v>
      </c>
      <c r="K6259">
        <v>1.11805</v>
      </c>
      <c r="L6259">
        <v>-60.755400000000002</v>
      </c>
      <c r="M6259">
        <v>0.96814230000000001</v>
      </c>
      <c r="N6259">
        <v>0</v>
      </c>
      <c r="O6259">
        <v>0.24997620000000001</v>
      </c>
      <c r="P6259">
        <v>0.81738859999999902</v>
      </c>
      <c r="Q6259">
        <v>0.139877799999999</v>
      </c>
      <c r="R6259">
        <v>0.55884730000000005</v>
      </c>
      <c r="S6259">
        <v>2.3470149999999999</v>
      </c>
      <c r="T6259">
        <v>-0.24079919999999999</v>
      </c>
      <c r="U6259">
        <v>1.998138</v>
      </c>
      <c r="V6259">
        <v>-0.34009909999999999</v>
      </c>
      <c r="W6259">
        <v>0.14587130000000001</v>
      </c>
      <c r="X6259">
        <v>0.92900709999999997</v>
      </c>
      <c r="Y6259">
        <v>-0.43674740000000001</v>
      </c>
      <c r="Z6259">
        <v>-2.1363139999999998E-3</v>
      </c>
      <c r="AA6259">
        <v>0.89958169999999904</v>
      </c>
      <c r="AB6259">
        <v>33</v>
      </c>
      <c r="AC6259">
        <v>0.690400000000011</v>
      </c>
      <c r="AD6259">
        <v>-8.6708999999999897E-2</v>
      </c>
      <c r="AE6259">
        <v>0.67464000000000302</v>
      </c>
      <c r="AF6259">
        <v>-0.47676804085963198</v>
      </c>
      <c r="AG6259">
        <v>-8.6708999999999897E-2</v>
      </c>
      <c r="AH6259">
        <v>0.830437643641043</v>
      </c>
      <c r="AI6259">
        <v>95.174100455105304</v>
      </c>
      <c r="AJ6259">
        <v>119.860848960464</v>
      </c>
      <c r="AK6259">
        <v>0.96148473489817898</v>
      </c>
      <c r="AL6259">
        <v>81.612262618676695</v>
      </c>
      <c r="AM6259">
        <v>110.107112787929</v>
      </c>
      <c r="AN6259">
        <v>1.00000001291745</v>
      </c>
    </row>
    <row r="6260" spans="1:40" x14ac:dyDescent="0.25">
      <c r="A6260" t="str">
        <f>"20190312164626291"</f>
        <v>20190312164626291</v>
      </c>
      <c r="B6260" t="str">
        <f>"1552380386287076"</f>
        <v>1552380386287076</v>
      </c>
      <c r="C6260" t="s">
        <v>40</v>
      </c>
      <c r="D6260">
        <v>4.7014180000000003</v>
      </c>
      <c r="E6260">
        <v>0.45662950000000002</v>
      </c>
      <c r="F6260" t="s">
        <v>41</v>
      </c>
      <c r="G6260">
        <v>-202.5729</v>
      </c>
      <c r="H6260">
        <v>1.043439</v>
      </c>
      <c r="I6260">
        <v>-60.114249999999998</v>
      </c>
      <c r="J6260">
        <v>-203.15639999999999</v>
      </c>
      <c r="K6260">
        <v>1.118161</v>
      </c>
      <c r="L6260">
        <v>-60.709169999999901</v>
      </c>
      <c r="M6260">
        <v>0.96669389999999999</v>
      </c>
      <c r="N6260">
        <v>0</v>
      </c>
      <c r="O6260">
        <v>0.25551829999999998</v>
      </c>
      <c r="P6260">
        <v>0.81380699999999995</v>
      </c>
      <c r="Q6260">
        <v>0.14045460000000001</v>
      </c>
      <c r="R6260">
        <v>0.56390660000000004</v>
      </c>
      <c r="S6260">
        <v>2.3340450000000001</v>
      </c>
      <c r="T6260">
        <v>-0.234262</v>
      </c>
      <c r="U6260">
        <v>2.0129999999999999</v>
      </c>
      <c r="V6260">
        <v>-0.34061950000000002</v>
      </c>
      <c r="W6260">
        <v>0.14635999999999999</v>
      </c>
      <c r="X6260">
        <v>0.92873950000000005</v>
      </c>
      <c r="Y6260">
        <v>-0.43739339999999999</v>
      </c>
      <c r="Z6260">
        <v>-2.4967990000000001E-3</v>
      </c>
      <c r="AA6260">
        <v>0.89926679999999903</v>
      </c>
      <c r="AB6260">
        <v>33</v>
      </c>
      <c r="AC6260">
        <v>0.58349999999998603</v>
      </c>
      <c r="AD6260">
        <v>-7.47219999999999E-2</v>
      </c>
      <c r="AE6260">
        <v>0.59491999999999401</v>
      </c>
      <c r="AF6260">
        <v>-0.42265764701358599</v>
      </c>
      <c r="AG6260">
        <v>-7.47219999999999E-2</v>
      </c>
      <c r="AH6260">
        <v>0.71044286617171304</v>
      </c>
      <c r="AI6260">
        <v>95.164936769906504</v>
      </c>
      <c r="AJ6260">
        <v>120.749318419631</v>
      </c>
      <c r="AK6260">
        <v>0.83003128251731595</v>
      </c>
      <c r="AL6260">
        <v>81.583958084731705</v>
      </c>
      <c r="AM6260">
        <v>110.14074530586601</v>
      </c>
      <c r="AN6260">
        <v>0.99999997612024905</v>
      </c>
    </row>
    <row r="6261" spans="1:40" x14ac:dyDescent="0.25">
      <c r="A6261" t="str">
        <f>"20190312164626302"</f>
        <v>20190312164626302</v>
      </c>
      <c r="B6261" t="str">
        <f>"1552380386297816"</f>
        <v>1552380386297816</v>
      </c>
      <c r="C6261" t="s">
        <v>40</v>
      </c>
      <c r="D6261">
        <v>4.6517369999999998</v>
      </c>
      <c r="E6261">
        <v>0.45693879999999998</v>
      </c>
      <c r="F6261" t="s">
        <v>41</v>
      </c>
      <c r="G6261">
        <v>-202.35050000000001</v>
      </c>
      <c r="H6261">
        <v>1.0388310000000001</v>
      </c>
      <c r="I6261">
        <v>-60.005240000000001</v>
      </c>
      <c r="J6261">
        <v>-203.00030000000001</v>
      </c>
      <c r="K6261">
        <v>1.1182669999999999</v>
      </c>
      <c r="L6261">
        <v>-60.662719999999901</v>
      </c>
      <c r="M6261">
        <v>0.96522470000000005</v>
      </c>
      <c r="N6261">
        <v>0</v>
      </c>
      <c r="O6261">
        <v>0.26101249999999998</v>
      </c>
      <c r="P6261">
        <v>0.81031160000000002</v>
      </c>
      <c r="Q6261">
        <v>0.14084279999999999</v>
      </c>
      <c r="R6261">
        <v>0.56882200000000005</v>
      </c>
      <c r="S6261">
        <v>2.3208769999999999</v>
      </c>
      <c r="T6261">
        <v>-0.22847509999999999</v>
      </c>
      <c r="U6261">
        <v>2.0275270000000001</v>
      </c>
      <c r="V6261">
        <v>-0.34102389999999999</v>
      </c>
      <c r="W6261">
        <v>0.14666940000000001</v>
      </c>
      <c r="X6261">
        <v>0.92854230000000004</v>
      </c>
      <c r="Y6261">
        <v>-0.43803510000000001</v>
      </c>
      <c r="Z6261">
        <v>-2.8406210000000002E-3</v>
      </c>
      <c r="AA6261">
        <v>0.89895340000000001</v>
      </c>
      <c r="AB6261">
        <v>33</v>
      </c>
      <c r="AC6261">
        <v>0.64979999999999905</v>
      </c>
      <c r="AD6261">
        <v>-7.9435999999999798E-2</v>
      </c>
      <c r="AE6261">
        <v>0.65747999999999196</v>
      </c>
      <c r="AF6261">
        <v>-0.46165072756023701</v>
      </c>
      <c r="AG6261">
        <v>-7.9435999999999798E-2</v>
      </c>
      <c r="AH6261">
        <v>0.79304278811014595</v>
      </c>
      <c r="AI6261">
        <v>94.947579182615399</v>
      </c>
      <c r="AJ6261">
        <v>120.204792213319</v>
      </c>
      <c r="AK6261">
        <v>0.92105826966941096</v>
      </c>
      <c r="AL6261">
        <v>81.5660376501136</v>
      </c>
      <c r="AM6261">
        <v>110.16666965939901</v>
      </c>
      <c r="AN6261">
        <v>1.0000000080784299</v>
      </c>
    </row>
    <row r="6262" spans="1:40" x14ac:dyDescent="0.25">
      <c r="A6262" t="str">
        <f>"20190312164626315"</f>
        <v>20190312164626315</v>
      </c>
      <c r="B6262" t="str">
        <f>"1552380386307575"</f>
        <v>1552380386307575</v>
      </c>
      <c r="C6262" t="s">
        <v>40</v>
      </c>
      <c r="D6262">
        <v>4.8012389999999998</v>
      </c>
      <c r="E6262">
        <v>0.45735779999999898</v>
      </c>
      <c r="F6262" t="s">
        <v>41</v>
      </c>
      <c r="G6262">
        <v>-202.24510000000001</v>
      </c>
      <c r="H6262">
        <v>1.0445139999999999</v>
      </c>
      <c r="I6262">
        <v>-59.995800000000003</v>
      </c>
      <c r="J6262">
        <v>-202.8398</v>
      </c>
      <c r="K6262">
        <v>1.1183700000000001</v>
      </c>
      <c r="L6262">
        <v>-60.613979999999998</v>
      </c>
      <c r="M6262">
        <v>0.96366169999999995</v>
      </c>
      <c r="N6262">
        <v>0</v>
      </c>
      <c r="O6262">
        <v>0.26672390000000001</v>
      </c>
      <c r="P6262">
        <v>0.80682640000000005</v>
      </c>
      <c r="Q6262">
        <v>0.14135539999999999</v>
      </c>
      <c r="R6262">
        <v>0.57362880000000005</v>
      </c>
      <c r="S6262">
        <v>2.3095699999999999</v>
      </c>
      <c r="T6262">
        <v>-0.2255547</v>
      </c>
      <c r="U6262">
        <v>2.0398559999999999</v>
      </c>
      <c r="V6262">
        <v>-0.3411187</v>
      </c>
      <c r="W6262">
        <v>0.14711089999999999</v>
      </c>
      <c r="X6262">
        <v>0.92843770000000003</v>
      </c>
      <c r="Y6262">
        <v>-0.4376178</v>
      </c>
      <c r="Z6262">
        <v>-3.2658560000000001E-3</v>
      </c>
      <c r="AA6262">
        <v>0.89915509999999998</v>
      </c>
      <c r="AB6262">
        <v>33</v>
      </c>
      <c r="AC6262">
        <v>0.59469999999998802</v>
      </c>
      <c r="AD6262">
        <v>-7.3856000000000102E-2</v>
      </c>
      <c r="AE6262">
        <v>0.61818000000000195</v>
      </c>
      <c r="AF6262">
        <v>-0.43392581015235998</v>
      </c>
      <c r="AG6262">
        <v>-7.3856000000000102E-2</v>
      </c>
      <c r="AH6262">
        <v>0.73262111490184001</v>
      </c>
      <c r="AI6262">
        <v>94.957311764639201</v>
      </c>
      <c r="AJ6262">
        <v>120.637930436971</v>
      </c>
      <c r="AK6262">
        <v>0.85468123616492098</v>
      </c>
      <c r="AL6262">
        <v>81.540464721216097</v>
      </c>
      <c r="AM6262">
        <v>110.17391326326</v>
      </c>
      <c r="AN6262">
        <v>1.00000007358489</v>
      </c>
    </row>
    <row r="6263" spans="1:40" x14ac:dyDescent="0.25">
      <c r="A6263" t="str">
        <f>"20190312164626325"</f>
        <v>20190312164626325</v>
      </c>
      <c r="B6263" t="str">
        <f>"1552380386317332"</f>
        <v>1552380386317332</v>
      </c>
      <c r="C6263" t="s">
        <v>40</v>
      </c>
      <c r="D6263">
        <v>4.6987420000000002</v>
      </c>
      <c r="E6263">
        <v>0.45735779999999898</v>
      </c>
      <c r="F6263" t="s">
        <v>41</v>
      </c>
      <c r="G6263">
        <v>-202.07429999999999</v>
      </c>
      <c r="H6263">
        <v>1.044632</v>
      </c>
      <c r="I6263">
        <v>-59.93074</v>
      </c>
      <c r="J6263">
        <v>-202.69820000000001</v>
      </c>
      <c r="K6263">
        <v>1.118458</v>
      </c>
      <c r="L6263">
        <v>-60.570189999999997</v>
      </c>
      <c r="M6263">
        <v>0.96223990000000004</v>
      </c>
      <c r="N6263">
        <v>0</v>
      </c>
      <c r="O6263">
        <v>0.27180789999999999</v>
      </c>
      <c r="P6263">
        <v>0.803670199999999</v>
      </c>
      <c r="Q6263">
        <v>0.14167650000000001</v>
      </c>
      <c r="R6263">
        <v>0.57796380000000003</v>
      </c>
      <c r="S6263">
        <v>2.2986300000000002</v>
      </c>
      <c r="T6263">
        <v>-0.22141669999999999</v>
      </c>
      <c r="U6263">
        <v>2.051361</v>
      </c>
      <c r="V6263">
        <v>-0.34127150000000001</v>
      </c>
      <c r="W6263">
        <v>0.14736840000000001</v>
      </c>
      <c r="X6263">
        <v>0.92834070000000002</v>
      </c>
      <c r="Y6263">
        <v>-0.43752960000000002</v>
      </c>
      <c r="Z6263">
        <v>-3.5986830000000001E-3</v>
      </c>
      <c r="AA6263">
        <v>0.89919680000000002</v>
      </c>
      <c r="AB6263">
        <v>33</v>
      </c>
      <c r="AC6263">
        <v>0.62390000000001999</v>
      </c>
      <c r="AD6263">
        <v>-7.3825999999999906E-2</v>
      </c>
      <c r="AE6263">
        <v>0.63945000000000296</v>
      </c>
      <c r="AF6263">
        <v>-0.44274786782880599</v>
      </c>
      <c r="AG6263">
        <v>-7.3825999999999906E-2</v>
      </c>
      <c r="AH6263">
        <v>0.76898109715816099</v>
      </c>
      <c r="AI6263">
        <v>94.756054850077007</v>
      </c>
      <c r="AJ6263">
        <v>119.931577621233</v>
      </c>
      <c r="AK6263">
        <v>0.89039759687991205</v>
      </c>
      <c r="AL6263">
        <v>81.525548442615403</v>
      </c>
      <c r="AM6263">
        <v>110.184159509715</v>
      </c>
      <c r="AN6263">
        <v>1.0000000686536401</v>
      </c>
    </row>
    <row r="6264" spans="1:40" x14ac:dyDescent="0.25">
      <c r="A6264" t="str">
        <f>"20190312164626335"</f>
        <v>20190312164626335</v>
      </c>
      <c r="B6264" t="str">
        <f>"1552380386327092"</f>
        <v>1552380386327092</v>
      </c>
      <c r="C6264" t="s">
        <v>40</v>
      </c>
      <c r="D6264">
        <v>4.7747010000000003</v>
      </c>
      <c r="E6264">
        <v>0.50096470000000004</v>
      </c>
      <c r="F6264" t="s">
        <v>52</v>
      </c>
      <c r="G6264">
        <v>-191.0831</v>
      </c>
      <c r="H6264" s="1">
        <v>-1.29735E-6</v>
      </c>
      <c r="I6264">
        <v>-50.089689999999997</v>
      </c>
      <c r="J6264">
        <v>-202.5479</v>
      </c>
      <c r="K6264">
        <v>1.1185480000000001</v>
      </c>
      <c r="L6264">
        <v>-60.522519999999901</v>
      </c>
      <c r="M6264">
        <v>0.96067840000000004</v>
      </c>
      <c r="N6264">
        <v>0</v>
      </c>
      <c r="O6264">
        <v>0.2772752</v>
      </c>
      <c r="P6264">
        <v>0.80030519999999905</v>
      </c>
      <c r="Q6264">
        <v>0.1416055</v>
      </c>
      <c r="R6264">
        <v>0.58263149999999997</v>
      </c>
      <c r="S6264">
        <v>2.2873990000000002</v>
      </c>
      <c r="T6264">
        <v>-0.2202624</v>
      </c>
      <c r="U6264">
        <v>2.063965</v>
      </c>
      <c r="V6264">
        <v>-0.3414258</v>
      </c>
      <c r="W6264">
        <v>0.147233</v>
      </c>
      <c r="X6264">
        <v>0.92830539999999995</v>
      </c>
      <c r="Y6264">
        <v>-0.437361</v>
      </c>
      <c r="Z6264">
        <v>-4.0027559999999997E-3</v>
      </c>
      <c r="AA6264">
        <v>0.899277199999999</v>
      </c>
      <c r="AB6264">
        <v>33</v>
      </c>
      <c r="AC6264">
        <v>11.464799999999901</v>
      </c>
      <c r="AD6264">
        <v>-1.11854929735</v>
      </c>
      <c r="AE6264">
        <v>10.4328299999999</v>
      </c>
      <c r="AF6264">
        <v>-6.8089732477964597</v>
      </c>
      <c r="AG6264">
        <v>-1.11854929735</v>
      </c>
      <c r="AH6264">
        <v>13.836204982486899</v>
      </c>
      <c r="AI6264">
        <v>94.148675472541299</v>
      </c>
      <c r="AJ6264">
        <v>116.202388140689</v>
      </c>
      <c r="AK6264">
        <v>15.4613659660848</v>
      </c>
      <c r="AL6264">
        <v>81.533391471242297</v>
      </c>
      <c r="AM6264">
        <v>110.19325429627899</v>
      </c>
      <c r="AN6264">
        <v>1.0000000244318901</v>
      </c>
    </row>
    <row r="6265" spans="1:40" x14ac:dyDescent="0.25">
      <c r="A6265" t="str">
        <f>"20190312164626346"</f>
        <v>20190312164626346</v>
      </c>
      <c r="B6265" t="str">
        <f>"1552380386337828"</f>
        <v>1552380386337828</v>
      </c>
      <c r="C6265" t="s">
        <v>40</v>
      </c>
      <c r="D6265">
        <v>4.7328020000000004</v>
      </c>
      <c r="E6265">
        <v>0.50792669999999995</v>
      </c>
      <c r="F6265" t="s">
        <v>52</v>
      </c>
      <c r="G6265">
        <v>-190.8356</v>
      </c>
      <c r="H6265" s="1">
        <v>-9.2842089999999996E-6</v>
      </c>
      <c r="I6265">
        <v>-52.037970000000001</v>
      </c>
      <c r="J6265">
        <v>-202.40010000000001</v>
      </c>
      <c r="K6265">
        <v>1.118636</v>
      </c>
      <c r="L6265">
        <v>-60.475070000000002</v>
      </c>
      <c r="M6265">
        <v>0.95910099999999998</v>
      </c>
      <c r="N6265">
        <v>0</v>
      </c>
      <c r="O6265">
        <v>0.28268199999999999</v>
      </c>
      <c r="P6265">
        <v>0.79720239999999998</v>
      </c>
      <c r="Q6265">
        <v>0.1415061</v>
      </c>
      <c r="R6265">
        <v>0.58689380000000002</v>
      </c>
      <c r="S6265">
        <v>2.4817200000000001</v>
      </c>
      <c r="T6265">
        <v>-0.2370111</v>
      </c>
      <c r="U6265">
        <v>1.7977909999999999</v>
      </c>
      <c r="V6265">
        <v>-0.3411768</v>
      </c>
      <c r="W6265">
        <v>0.14708209999999999</v>
      </c>
      <c r="X6265">
        <v>0.92842080000000005</v>
      </c>
      <c r="Y6265">
        <v>-0.33360980000000001</v>
      </c>
      <c r="Z6265">
        <v>-9.1116300000000008E-3</v>
      </c>
      <c r="AA6265">
        <v>0.94266719999999904</v>
      </c>
      <c r="AB6265">
        <v>33</v>
      </c>
      <c r="AC6265">
        <v>11.564500000000001</v>
      </c>
      <c r="AD6265">
        <v>-1.118645284209</v>
      </c>
      <c r="AE6265">
        <v>8.4370999999999903</v>
      </c>
      <c r="AF6265">
        <v>-4.7942004056780201</v>
      </c>
      <c r="AG6265">
        <v>-1.118645284209</v>
      </c>
      <c r="AH6265">
        <v>13.3961921432069</v>
      </c>
      <c r="AI6265">
        <v>94.495437040195696</v>
      </c>
      <c r="AJ6265">
        <v>109.69116340985499</v>
      </c>
      <c r="AK6265">
        <v>14.272129789887799</v>
      </c>
      <c r="AL6265">
        <v>81.542132082315405</v>
      </c>
      <c r="AM6265">
        <v>110.177409887838</v>
      </c>
      <c r="AN6265">
        <v>0.99999996743564401</v>
      </c>
    </row>
    <row r="6266" spans="1:40" x14ac:dyDescent="0.25">
      <c r="A6266" t="str">
        <f>"20190312164626358"</f>
        <v>20190312164626358</v>
      </c>
      <c r="B6266" t="str">
        <f>"1552380386347588"</f>
        <v>1552380386347588</v>
      </c>
      <c r="C6266" t="s">
        <v>40</v>
      </c>
      <c r="D6266">
        <v>4.7425139999999999</v>
      </c>
      <c r="E6266">
        <v>0.51226349999999998</v>
      </c>
      <c r="F6266" t="s">
        <v>52</v>
      </c>
      <c r="G6266">
        <v>-189.36959999999999</v>
      </c>
      <c r="H6266" s="1">
        <v>-1.020697E-5</v>
      </c>
      <c r="I6266">
        <v>-51.285609999999998</v>
      </c>
      <c r="J6266">
        <v>-202.24690000000001</v>
      </c>
      <c r="K6266">
        <v>1.118727</v>
      </c>
      <c r="L6266">
        <v>-60.424259999999997</v>
      </c>
      <c r="M6266">
        <v>0.95740210000000003</v>
      </c>
      <c r="N6266">
        <v>0</v>
      </c>
      <c r="O6266">
        <v>0.28838259999999899</v>
      </c>
      <c r="P6266">
        <v>0.79404300000000005</v>
      </c>
      <c r="Q6266">
        <v>0.1412747</v>
      </c>
      <c r="R6266">
        <v>0.59121679999999999</v>
      </c>
      <c r="S6266">
        <v>2.5021969999999998</v>
      </c>
      <c r="T6266">
        <v>-0.21480940000000001</v>
      </c>
      <c r="U6266">
        <v>1.764618</v>
      </c>
      <c r="V6266">
        <v>-0.34071410000000002</v>
      </c>
      <c r="W6266">
        <v>0.1468052</v>
      </c>
      <c r="X6266">
        <v>0.92863459999999998</v>
      </c>
      <c r="Y6266">
        <v>-0.3160577</v>
      </c>
      <c r="Z6266">
        <v>-9.3271910000000003E-3</v>
      </c>
      <c r="AA6266">
        <v>0.94869409999999998</v>
      </c>
      <c r="AB6266">
        <v>33</v>
      </c>
      <c r="AC6266">
        <v>12.8773</v>
      </c>
      <c r="AD6266">
        <v>-1.1187372069699999</v>
      </c>
      <c r="AE6266">
        <v>9.1386499999999895</v>
      </c>
      <c r="AF6266">
        <v>-5.0111653641190603</v>
      </c>
      <c r="AG6266">
        <v>-1.1187372069699999</v>
      </c>
      <c r="AH6266">
        <v>14.891056932563799</v>
      </c>
      <c r="AI6266">
        <v>94.072837460764205</v>
      </c>
      <c r="AJ6266">
        <v>108.599208647349</v>
      </c>
      <c r="AK6266">
        <v>15.7514103436379</v>
      </c>
      <c r="AL6266">
        <v>81.558172031450695</v>
      </c>
      <c r="AM6266">
        <v>110.147981966966</v>
      </c>
      <c r="AN6266">
        <v>1.0000000425015001</v>
      </c>
    </row>
    <row r="6267" spans="1:40" x14ac:dyDescent="0.25">
      <c r="A6267" t="str">
        <f>"20190312164626370"</f>
        <v>20190312164626370</v>
      </c>
      <c r="B6267" t="str">
        <f>"1552380386367109"</f>
        <v>1552380386367109</v>
      </c>
      <c r="C6267" t="s">
        <v>40</v>
      </c>
      <c r="D6267">
        <v>4.5645350000000002</v>
      </c>
      <c r="E6267">
        <v>0.5157775</v>
      </c>
      <c r="F6267" t="s">
        <v>52</v>
      </c>
      <c r="G6267">
        <v>-188.6421</v>
      </c>
      <c r="H6267" s="1">
        <v>-1.023842E-5</v>
      </c>
      <c r="I6267">
        <v>-50.947319999999998</v>
      </c>
      <c r="J6267">
        <v>-202.09559999999999</v>
      </c>
      <c r="K6267">
        <v>1.118817</v>
      </c>
      <c r="L6267">
        <v>-60.373779999999996</v>
      </c>
      <c r="M6267">
        <v>0.95568359999999997</v>
      </c>
      <c r="N6267">
        <v>0</v>
      </c>
      <c r="O6267">
        <v>0.29402630000000002</v>
      </c>
      <c r="P6267">
        <v>0.79087869999999905</v>
      </c>
      <c r="Q6267">
        <v>0.14105970000000001</v>
      </c>
      <c r="R6267">
        <v>0.59549419999999897</v>
      </c>
      <c r="S6267">
        <v>2.5120239999999998</v>
      </c>
      <c r="T6267">
        <v>-0.20656679999999999</v>
      </c>
      <c r="U6267">
        <v>1.7498469999999999</v>
      </c>
      <c r="V6267">
        <v>-0.34026499999999998</v>
      </c>
      <c r="W6267">
        <v>0.146545799999999</v>
      </c>
      <c r="X6267">
        <v>0.9288402</v>
      </c>
      <c r="Y6267">
        <v>-0.30498439999999999</v>
      </c>
      <c r="Z6267">
        <v>-9.7552100000000003E-3</v>
      </c>
      <c r="AA6267">
        <v>0.95230740000000003</v>
      </c>
      <c r="AB6267">
        <v>33</v>
      </c>
      <c r="AC6267">
        <v>13.453499999999901</v>
      </c>
      <c r="AD6267">
        <v>-1.11882723842</v>
      </c>
      <c r="AE6267">
        <v>9.4264600000000005</v>
      </c>
      <c r="AF6267">
        <v>-5.0302459527200698</v>
      </c>
      <c r="AG6267">
        <v>-1.11882723842</v>
      </c>
      <c r="AH6267">
        <v>15.5584446504438</v>
      </c>
      <c r="AI6267">
        <v>93.9142998389014</v>
      </c>
      <c r="AJ6267">
        <v>107.916689585707</v>
      </c>
      <c r="AK6267">
        <v>16.389641505390301</v>
      </c>
      <c r="AL6267">
        <v>81.5731969458093</v>
      </c>
      <c r="AM6267">
        <v>110.11945953464701</v>
      </c>
      <c r="AN6267">
        <v>1.0000000294293301</v>
      </c>
    </row>
    <row r="6268" spans="1:40" x14ac:dyDescent="0.25">
      <c r="A6268" t="str">
        <f>"20190312164626382"</f>
        <v>20190312164626382</v>
      </c>
      <c r="B6268" t="str">
        <f>"1552380386377844"</f>
        <v>1552380386377844</v>
      </c>
      <c r="C6268" t="s">
        <v>40</v>
      </c>
      <c r="D6268">
        <v>4.6927409999999998</v>
      </c>
      <c r="E6268">
        <v>0.51645429999999903</v>
      </c>
      <c r="F6268" t="s">
        <v>52</v>
      </c>
      <c r="G6268">
        <v>-188.1284</v>
      </c>
      <c r="H6268" s="1">
        <v>-1.0256719999999999E-5</v>
      </c>
      <c r="I6268">
        <v>-50.718910000000001</v>
      </c>
      <c r="J6268">
        <v>-201.92930000000001</v>
      </c>
      <c r="K6268">
        <v>1.118916</v>
      </c>
      <c r="L6268">
        <v>-60.316249999999997</v>
      </c>
      <c r="M6268">
        <v>0.95371649999999997</v>
      </c>
      <c r="N6268">
        <v>0</v>
      </c>
      <c r="O6268">
        <v>0.30034420000000001</v>
      </c>
      <c r="P6268">
        <v>0.7875472</v>
      </c>
      <c r="Q6268">
        <v>0.14105000000000001</v>
      </c>
      <c r="R6268">
        <v>0.59989519999999996</v>
      </c>
      <c r="S6268">
        <v>2.5184479999999998</v>
      </c>
      <c r="T6268">
        <v>-0.20173650000000001</v>
      </c>
      <c r="U6268">
        <v>1.740875</v>
      </c>
      <c r="V6268">
        <v>-0.3393313</v>
      </c>
      <c r="W6268">
        <v>0.14650199999999999</v>
      </c>
      <c r="X6268">
        <v>0.92918860000000003</v>
      </c>
      <c r="Y6268">
        <v>-0.29526790000000003</v>
      </c>
      <c r="Z6268">
        <v>-1.029042E-2</v>
      </c>
      <c r="AA6268">
        <v>0.95535910000000002</v>
      </c>
      <c r="AB6268">
        <v>32</v>
      </c>
      <c r="AC6268">
        <v>13.8009</v>
      </c>
      <c r="AD6268">
        <v>-1.11892625672</v>
      </c>
      <c r="AE6268">
        <v>9.5973399999999902</v>
      </c>
      <c r="AF6268">
        <v>-4.9865737698718</v>
      </c>
      <c r="AG6268">
        <v>-1.11892625672</v>
      </c>
      <c r="AH6268">
        <v>15.9756192313209</v>
      </c>
      <c r="AI6268">
        <v>93.825007480074802</v>
      </c>
      <c r="AJ6268">
        <v>107.335048260267</v>
      </c>
      <c r="AK6268">
        <v>16.773142930128</v>
      </c>
      <c r="AL6268">
        <v>81.575733723334295</v>
      </c>
      <c r="AM6268">
        <v>110.06173773614699</v>
      </c>
      <c r="AN6268">
        <v>1.0000000107668201</v>
      </c>
    </row>
    <row r="6269" spans="1:40" x14ac:dyDescent="0.25">
      <c r="A6269" t="str">
        <f>"20190312164626393"</f>
        <v>20190312164626393</v>
      </c>
      <c r="B6269" t="str">
        <f>"1552380386387604"</f>
        <v>1552380386387604</v>
      </c>
      <c r="C6269" t="s">
        <v>40</v>
      </c>
      <c r="D6269">
        <v>4.6961219999999999</v>
      </c>
      <c r="E6269">
        <v>0.51681639999999995</v>
      </c>
      <c r="F6269" t="s">
        <v>52</v>
      </c>
      <c r="G6269">
        <v>-188.17490000000001</v>
      </c>
      <c r="H6269" s="1">
        <v>-1.025058E-5</v>
      </c>
      <c r="I6269">
        <v>-50.726430000000001</v>
      </c>
      <c r="J6269">
        <v>-201.7773</v>
      </c>
      <c r="K6269">
        <v>1.119005</v>
      </c>
      <c r="L6269">
        <v>-60.262999999999998</v>
      </c>
      <c r="M6269">
        <v>0.95186859999999995</v>
      </c>
      <c r="N6269">
        <v>0</v>
      </c>
      <c r="O6269">
        <v>0.30614930000000001</v>
      </c>
      <c r="P6269">
        <v>0.78441419999999995</v>
      </c>
      <c r="Q6269">
        <v>0.1408826</v>
      </c>
      <c r="R6269">
        <v>0.60402519999999904</v>
      </c>
      <c r="S6269">
        <v>2.5118559999999999</v>
      </c>
      <c r="T6269">
        <v>-0.20434050000000001</v>
      </c>
      <c r="U6269">
        <v>1.751312</v>
      </c>
      <c r="V6269">
        <v>-0.3385707</v>
      </c>
      <c r="W6269">
        <v>0.14630199999999999</v>
      </c>
      <c r="X6269">
        <v>0.92949749999999998</v>
      </c>
      <c r="Y6269">
        <v>-0.29330970000000001</v>
      </c>
      <c r="Z6269">
        <v>-1.0893089999999999E-2</v>
      </c>
      <c r="AA6269">
        <v>0.95595540000000001</v>
      </c>
      <c r="AB6269">
        <v>32</v>
      </c>
      <c r="AC6269">
        <v>13.6023999999999</v>
      </c>
      <c r="AD6269">
        <v>-1.11901525058</v>
      </c>
      <c r="AE6269">
        <v>9.5365699999999993</v>
      </c>
      <c r="AF6269">
        <v>-4.8915389167425598</v>
      </c>
      <c r="AG6269">
        <v>-1.11901525058</v>
      </c>
      <c r="AH6269">
        <v>15.7973685312055</v>
      </c>
      <c r="AI6269">
        <v>93.871071132529494</v>
      </c>
      <c r="AJ6269">
        <v>107.20475430331101</v>
      </c>
      <c r="AK6269">
        <v>16.575168192683901</v>
      </c>
      <c r="AL6269">
        <v>81.587317588745293</v>
      </c>
      <c r="AM6269">
        <v>110.014220283966</v>
      </c>
      <c r="AN6269">
        <v>0.99999999830437003</v>
      </c>
    </row>
    <row r="6270" spans="1:40" x14ac:dyDescent="0.25">
      <c r="A6270" t="str">
        <f>"20190312164626404"</f>
        <v>20190312164626404</v>
      </c>
      <c r="B6270" t="str">
        <f>"1552380386397364"</f>
        <v>1552380386397364</v>
      </c>
      <c r="C6270" t="s">
        <v>40</v>
      </c>
      <c r="D6270">
        <v>4.6832260000000003</v>
      </c>
      <c r="E6270">
        <v>0.51735350000000002</v>
      </c>
      <c r="F6270" t="s">
        <v>52</v>
      </c>
      <c r="G6270">
        <v>-188.28809999999999</v>
      </c>
      <c r="H6270" s="1">
        <v>-1.0243229999999999E-5</v>
      </c>
      <c r="I6270">
        <v>-50.767040000000001</v>
      </c>
      <c r="J6270">
        <v>-201.6232</v>
      </c>
      <c r="K6270">
        <v>1.1190929999999999</v>
      </c>
      <c r="L6270">
        <v>-60.207790000000003</v>
      </c>
      <c r="M6270">
        <v>0.94993590000000006</v>
      </c>
      <c r="N6270">
        <v>0</v>
      </c>
      <c r="O6270">
        <v>0.31209360000000003</v>
      </c>
      <c r="P6270">
        <v>0.78134740000000003</v>
      </c>
      <c r="Q6270">
        <v>0.141104799999999</v>
      </c>
      <c r="R6270">
        <v>0.60793549999999996</v>
      </c>
      <c r="S6270">
        <v>2.5042879999999998</v>
      </c>
      <c r="T6270">
        <v>-0.20774690000000001</v>
      </c>
      <c r="U6270">
        <v>1.762939</v>
      </c>
      <c r="V6270">
        <v>-0.33745130000000001</v>
      </c>
      <c r="W6270">
        <v>0.14650379999999999</v>
      </c>
      <c r="X6270">
        <v>0.9298727</v>
      </c>
      <c r="Y6270">
        <v>-0.29167729999999997</v>
      </c>
      <c r="Z6270">
        <v>-1.155104E-2</v>
      </c>
      <c r="AA6270">
        <v>0.95644709999999999</v>
      </c>
      <c r="AB6270">
        <v>32</v>
      </c>
      <c r="AC6270">
        <v>13.335100000000001</v>
      </c>
      <c r="AD6270">
        <v>-1.1191032432300001</v>
      </c>
      <c r="AE6270">
        <v>9.4407499999999995</v>
      </c>
      <c r="AF6270">
        <v>-4.7843895793933404</v>
      </c>
      <c r="AG6270">
        <v>-1.1191032432300001</v>
      </c>
      <c r="AH6270">
        <v>15.542683221831799</v>
      </c>
      <c r="AI6270">
        <v>93.936626648726701</v>
      </c>
      <c r="AJ6270">
        <v>107.109549690888</v>
      </c>
      <c r="AK6270">
        <v>16.300852046768199</v>
      </c>
      <c r="AL6270">
        <v>81.575629296129605</v>
      </c>
      <c r="AM6270">
        <v>109.945861614031</v>
      </c>
      <c r="AN6270">
        <v>0.99999999074571</v>
      </c>
    </row>
    <row r="6271" spans="1:40" x14ac:dyDescent="0.25">
      <c r="A6271" t="str">
        <f>"20190312164626416"</f>
        <v>20190312164626416</v>
      </c>
      <c r="B6271" t="str">
        <f>"1552380386407124"</f>
        <v>1552380386407124</v>
      </c>
      <c r="C6271" t="s">
        <v>40</v>
      </c>
      <c r="D6271">
        <v>4.7021350000000002</v>
      </c>
      <c r="E6271">
        <v>0.51789359999999995</v>
      </c>
      <c r="F6271" t="s">
        <v>52</v>
      </c>
      <c r="G6271">
        <v>-188.18860000000001</v>
      </c>
      <c r="H6271" s="1">
        <v>-1.022993E-5</v>
      </c>
      <c r="I6271">
        <v>-50.673459999999999</v>
      </c>
      <c r="J6271">
        <v>-201.46600000000001</v>
      </c>
      <c r="K6271">
        <v>1.119178</v>
      </c>
      <c r="L6271">
        <v>-60.150149999999996</v>
      </c>
      <c r="M6271">
        <v>0.94790039999999998</v>
      </c>
      <c r="N6271">
        <v>0</v>
      </c>
      <c r="O6271">
        <v>0.3182217</v>
      </c>
      <c r="P6271">
        <v>0.77809169999999905</v>
      </c>
      <c r="Q6271">
        <v>0.14132709999999901</v>
      </c>
      <c r="R6271">
        <v>0.61204579999999997</v>
      </c>
      <c r="S6271">
        <v>2.497833</v>
      </c>
      <c r="T6271">
        <v>-0.2080697</v>
      </c>
      <c r="U6271">
        <v>1.772675</v>
      </c>
      <c r="V6271">
        <v>-0.33639590000000003</v>
      </c>
      <c r="W6271">
        <v>0.14670529999999901</v>
      </c>
      <c r="X6271">
        <v>0.93022329999999998</v>
      </c>
      <c r="Y6271">
        <v>-0.28916310000000001</v>
      </c>
      <c r="Z6271">
        <v>-1.209032E-2</v>
      </c>
      <c r="AA6271">
        <v>0.95720349999999998</v>
      </c>
      <c r="AB6271">
        <v>32</v>
      </c>
      <c r="AC6271">
        <v>13.277399999999901</v>
      </c>
      <c r="AD6271">
        <v>-1.11918822992999</v>
      </c>
      <c r="AE6271">
        <v>9.4766899999999907</v>
      </c>
      <c r="AF6271">
        <v>-4.7360307359185798</v>
      </c>
      <c r="AG6271">
        <v>-1.11918822992999</v>
      </c>
      <c r="AH6271">
        <v>15.5299526928048</v>
      </c>
      <c r="AI6271">
        <v>93.943291155631002</v>
      </c>
      <c r="AJ6271">
        <v>106.95966431634</v>
      </c>
      <c r="AK6271">
        <v>16.274581409865402</v>
      </c>
      <c r="AL6271">
        <v>81.563958316168296</v>
      </c>
      <c r="AM6271">
        <v>109.881469570893</v>
      </c>
      <c r="AN6271">
        <v>1.0000000172238901</v>
      </c>
    </row>
    <row r="6272" spans="1:40" x14ac:dyDescent="0.25">
      <c r="A6272" t="str">
        <f>"20190312164626426"</f>
        <v>20190312164626426</v>
      </c>
      <c r="B6272" t="str">
        <f>"1552380386417861"</f>
        <v>1552380386417861</v>
      </c>
      <c r="C6272" t="s">
        <v>40</v>
      </c>
      <c r="D6272">
        <v>4.6547999999999998</v>
      </c>
      <c r="E6272">
        <v>0.51836939999999998</v>
      </c>
      <c r="F6272" t="s">
        <v>52</v>
      </c>
      <c r="G6272">
        <v>-188.17959999999999</v>
      </c>
      <c r="H6272" s="1">
        <v>-1.022043E-5</v>
      </c>
      <c r="I6272">
        <v>-50.640680000000003</v>
      </c>
      <c r="J6272">
        <v>-201.32740000000001</v>
      </c>
      <c r="K6272">
        <v>1.119254</v>
      </c>
      <c r="L6272">
        <v>-60.098719999999901</v>
      </c>
      <c r="M6272">
        <v>0.94606049999999997</v>
      </c>
      <c r="N6272">
        <v>0</v>
      </c>
      <c r="O6272">
        <v>0.32364959999999998</v>
      </c>
      <c r="P6272">
        <v>0.77524499999999996</v>
      </c>
      <c r="Q6272">
        <v>0.1412398</v>
      </c>
      <c r="R6272">
        <v>0.61566750000000003</v>
      </c>
      <c r="S6272">
        <v>2.4911799999999999</v>
      </c>
      <c r="T6272">
        <v>-0.20984710000000001</v>
      </c>
      <c r="U6272">
        <v>1.78302</v>
      </c>
      <c r="V6272">
        <v>-0.33542110000000003</v>
      </c>
      <c r="W6272">
        <v>0.14660190000000001</v>
      </c>
      <c r="X6272">
        <v>0.93059150000000002</v>
      </c>
      <c r="Y6272">
        <v>-0.28753030000000002</v>
      </c>
      <c r="Z6272">
        <v>-1.2637300000000001E-2</v>
      </c>
      <c r="AA6272">
        <v>0.95768819999999999</v>
      </c>
      <c r="AB6272">
        <v>32</v>
      </c>
      <c r="AC6272">
        <v>13.1478</v>
      </c>
      <c r="AD6272">
        <v>-1.1192642204300001</v>
      </c>
      <c r="AE6272">
        <v>9.4580399999999898</v>
      </c>
      <c r="AF6272">
        <v>-4.6708089182214199</v>
      </c>
      <c r="AG6272">
        <v>-1.1192642204300001</v>
      </c>
      <c r="AH6272">
        <v>15.4277360414992</v>
      </c>
      <c r="AI6272">
        <v>93.972032938800297</v>
      </c>
      <c r="AJ6272">
        <v>106.843898524003</v>
      </c>
      <c r="AK6272">
        <v>16.1581016122515</v>
      </c>
      <c r="AL6272">
        <v>81.569947186585793</v>
      </c>
      <c r="AM6272">
        <v>109.8211201342</v>
      </c>
      <c r="AN6272">
        <v>0.99999998564053405</v>
      </c>
    </row>
    <row r="6273" spans="1:40" x14ac:dyDescent="0.25">
      <c r="A6273" t="str">
        <f>"20190312164626436"</f>
        <v>20190312164626436</v>
      </c>
      <c r="B6273" t="str">
        <f>"1552380386427621"</f>
        <v>1552380386427621</v>
      </c>
      <c r="C6273" t="s">
        <v>40</v>
      </c>
      <c r="D6273">
        <v>4.5629730000000004</v>
      </c>
      <c r="E6273">
        <v>0.51850790000000002</v>
      </c>
      <c r="F6273" t="s">
        <v>52</v>
      </c>
      <c r="G6273">
        <v>-188.20009999999999</v>
      </c>
      <c r="H6273" s="1">
        <v>-1.0213349999999999E-5</v>
      </c>
      <c r="I6273">
        <v>-50.631189999999997</v>
      </c>
      <c r="J6273">
        <v>-201.19640000000001</v>
      </c>
      <c r="K6273">
        <v>1.119324</v>
      </c>
      <c r="L6273">
        <v>-60.04871</v>
      </c>
      <c r="M6273">
        <v>0.94426549999999998</v>
      </c>
      <c r="N6273">
        <v>0</v>
      </c>
      <c r="O6273">
        <v>0.32884910000000001</v>
      </c>
      <c r="P6273">
        <v>0.77265740000000005</v>
      </c>
      <c r="Q6273">
        <v>0.1411579</v>
      </c>
      <c r="R6273">
        <v>0.6189306</v>
      </c>
      <c r="S6273">
        <v>2.4850310000000002</v>
      </c>
      <c r="T6273">
        <v>-0.2118804</v>
      </c>
      <c r="U6273">
        <v>1.7922359999999999</v>
      </c>
      <c r="V6273">
        <v>-0.33424169999999997</v>
      </c>
      <c r="W6273">
        <v>0.14651510000000001</v>
      </c>
      <c r="X6273">
        <v>0.93102940000000001</v>
      </c>
      <c r="Y6273">
        <v>-0.2857382</v>
      </c>
      <c r="Z6273">
        <v>-1.319742E-2</v>
      </c>
      <c r="AA6273">
        <v>0.95821679999999998</v>
      </c>
      <c r="AB6273">
        <v>32</v>
      </c>
      <c r="AC6273">
        <v>12.9963</v>
      </c>
      <c r="AD6273">
        <v>-1.1193342133499999</v>
      </c>
      <c r="AE6273">
        <v>9.4175199999999908</v>
      </c>
      <c r="AF6273">
        <v>-4.5969687890977804</v>
      </c>
      <c r="AG6273">
        <v>-1.1193342133499999</v>
      </c>
      <c r="AH6273">
        <v>15.296199549507699</v>
      </c>
      <c r="AI6273">
        <v>94.008784669996203</v>
      </c>
      <c r="AJ6273">
        <v>106.72710624382</v>
      </c>
      <c r="AK6273">
        <v>16.011207068409099</v>
      </c>
      <c r="AL6273">
        <v>81.574974582127197</v>
      </c>
      <c r="AM6273">
        <v>109.74825496828301</v>
      </c>
      <c r="AN6273">
        <v>0.99999996610562902</v>
      </c>
    </row>
    <row r="6274" spans="1:40" x14ac:dyDescent="0.25">
      <c r="A6274" t="str">
        <f>"20190312164626452"</f>
        <v>20190312164626452</v>
      </c>
      <c r="B6274" t="str">
        <f>"1552380386447140"</f>
        <v>1552380386447140</v>
      </c>
      <c r="C6274" t="s">
        <v>40</v>
      </c>
      <c r="D6274">
        <v>4.8538119999999996</v>
      </c>
      <c r="E6274">
        <v>0.51778170000000001</v>
      </c>
      <c r="F6274" t="s">
        <v>52</v>
      </c>
      <c r="G6274">
        <v>-188.25960000000001</v>
      </c>
      <c r="H6274" s="1">
        <v>-1.0205400000000001E-5</v>
      </c>
      <c r="I6274">
        <v>-50.640529999999998</v>
      </c>
      <c r="J6274">
        <v>-200.98179999999999</v>
      </c>
      <c r="K6274">
        <v>1.119437</v>
      </c>
      <c r="L6274">
        <v>-59.965519999999998</v>
      </c>
      <c r="M6274">
        <v>0.94123540000000006</v>
      </c>
      <c r="N6274">
        <v>0</v>
      </c>
      <c r="O6274">
        <v>0.33742250000000001</v>
      </c>
      <c r="P6274">
        <v>0.76753419999999895</v>
      </c>
      <c r="Q6274">
        <v>0.14126059999999999</v>
      </c>
      <c r="R6274">
        <v>0.62524930000000001</v>
      </c>
      <c r="S6274">
        <v>2.4781949999999999</v>
      </c>
      <c r="T6274">
        <v>-0.21442169999999999</v>
      </c>
      <c r="U6274">
        <v>1.802246</v>
      </c>
      <c r="V6274">
        <v>-0.33346439999999999</v>
      </c>
      <c r="W6274">
        <v>0.1465736</v>
      </c>
      <c r="X6274">
        <v>0.93129890000000004</v>
      </c>
      <c r="Y6274">
        <v>-0.28083979999999997</v>
      </c>
      <c r="Z6274">
        <v>-1.4155299999999999E-2</v>
      </c>
      <c r="AA6274">
        <v>0.95965029999999996</v>
      </c>
      <c r="AB6274">
        <v>32</v>
      </c>
      <c r="AC6274">
        <v>12.7221999999999</v>
      </c>
      <c r="AD6274">
        <v>-1.1194472054</v>
      </c>
      <c r="AE6274">
        <v>9.3249899999999997</v>
      </c>
      <c r="AF6274">
        <v>-4.4622771270881998</v>
      </c>
      <c r="AG6274">
        <v>-1.1194472054</v>
      </c>
      <c r="AH6274">
        <v>15.0469391855463</v>
      </c>
      <c r="AI6274">
        <v>94.079806034357802</v>
      </c>
      <c r="AJ6274">
        <v>106.518099042898</v>
      </c>
      <c r="AK6274">
        <v>15.7345307543041</v>
      </c>
      <c r="AL6274">
        <v>81.5715863477391</v>
      </c>
      <c r="AM6274">
        <v>109.700606261483</v>
      </c>
      <c r="AN6274">
        <v>0.999999983712764</v>
      </c>
    </row>
    <row r="6275" spans="1:40" x14ac:dyDescent="0.25">
      <c r="A6275" t="str">
        <f>"20190312164626463"</f>
        <v>20190312164626463</v>
      </c>
      <c r="B6275" t="str">
        <f>"1552380386457876"</f>
        <v>1552380386457876</v>
      </c>
      <c r="C6275" t="s">
        <v>40</v>
      </c>
      <c r="D6275">
        <v>4.681349</v>
      </c>
      <c r="E6275">
        <v>0.51810769999999995</v>
      </c>
      <c r="F6275" t="s">
        <v>52</v>
      </c>
      <c r="G6275">
        <v>-187.69399999999999</v>
      </c>
      <c r="H6275" s="1">
        <v>-3.2044810000000001E-6</v>
      </c>
      <c r="I6275">
        <v>-50.089689999999997</v>
      </c>
      <c r="J6275">
        <v>-200.83349999999999</v>
      </c>
      <c r="K6275">
        <v>1.119516</v>
      </c>
      <c r="L6275">
        <v>-59.906519999999901</v>
      </c>
      <c r="M6275">
        <v>0.93906590000000001</v>
      </c>
      <c r="N6275">
        <v>0</v>
      </c>
      <c r="O6275">
        <v>0.34341310000000003</v>
      </c>
      <c r="P6275">
        <v>0.76413699999999996</v>
      </c>
      <c r="Q6275">
        <v>0.141184</v>
      </c>
      <c r="R6275">
        <v>0.62941369999999996</v>
      </c>
      <c r="S6275">
        <v>2.4583590000000002</v>
      </c>
      <c r="T6275">
        <v>-0.20710680000000001</v>
      </c>
      <c r="U6275">
        <v>1.827118</v>
      </c>
      <c r="V6275">
        <v>-0.33261420000000003</v>
      </c>
      <c r="W6275">
        <v>0.14647839999999901</v>
      </c>
      <c r="X6275">
        <v>0.9316179</v>
      </c>
      <c r="Y6275">
        <v>-0.2846767</v>
      </c>
      <c r="Z6275">
        <v>-1.397523E-2</v>
      </c>
      <c r="AA6275">
        <v>0.95852170000000003</v>
      </c>
      <c r="AB6275">
        <v>32</v>
      </c>
      <c r="AC6275">
        <v>13.1394999999999</v>
      </c>
      <c r="AD6275">
        <v>-1.1195192044810001</v>
      </c>
      <c r="AE6275">
        <v>9.81682999999998</v>
      </c>
      <c r="AF6275">
        <v>-4.6850706563252498</v>
      </c>
      <c r="AG6275">
        <v>-1.1195192044810001</v>
      </c>
      <c r="AH6275">
        <v>15.6389733393199</v>
      </c>
      <c r="AI6275">
        <v>93.922869929128794</v>
      </c>
      <c r="AJ6275">
        <v>106.676986306057</v>
      </c>
      <c r="AK6275">
        <v>16.364006154115199</v>
      </c>
      <c r="AL6275">
        <v>81.577100725356502</v>
      </c>
      <c r="AM6275">
        <v>109.64801605892499</v>
      </c>
      <c r="AN6275">
        <v>1.0000000196543</v>
      </c>
    </row>
    <row r="6276" spans="1:40" x14ac:dyDescent="0.25">
      <c r="A6276" t="str">
        <f>"20190312164626473"</f>
        <v>20190312164626473</v>
      </c>
      <c r="B6276" t="str">
        <f>"1552380386467637"</f>
        <v>1552380386467637</v>
      </c>
      <c r="C6276" t="s">
        <v>40</v>
      </c>
      <c r="D6276">
        <v>4.7453059999999896</v>
      </c>
      <c r="E6276">
        <v>0.51838260000000003</v>
      </c>
      <c r="F6276" t="s">
        <v>52</v>
      </c>
      <c r="G6276">
        <v>-187.6934</v>
      </c>
      <c r="H6276" s="1">
        <v>-3.232684E-6</v>
      </c>
      <c r="I6276">
        <v>-50.041820000000001</v>
      </c>
      <c r="J6276">
        <v>-200.70609999999999</v>
      </c>
      <c r="K6276">
        <v>1.1195820000000001</v>
      </c>
      <c r="L6276">
        <v>-59.854950000000002</v>
      </c>
      <c r="M6276">
        <v>0.93715300000000001</v>
      </c>
      <c r="N6276">
        <v>0</v>
      </c>
      <c r="O6276">
        <v>0.34859899999999999</v>
      </c>
      <c r="P6276">
        <v>0.76127060000000002</v>
      </c>
      <c r="Q6276">
        <v>0.141038</v>
      </c>
      <c r="R6276">
        <v>0.63291009999999903</v>
      </c>
      <c r="S6276">
        <v>2.449722</v>
      </c>
      <c r="T6276">
        <v>-0.2087125</v>
      </c>
      <c r="U6276">
        <v>1.839081</v>
      </c>
      <c r="V6276">
        <v>-0.33174439999999999</v>
      </c>
      <c r="W6276">
        <v>0.14632220000000001</v>
      </c>
      <c r="X6276">
        <v>0.93195249999999996</v>
      </c>
      <c r="Y6276">
        <v>-0.28400730000000002</v>
      </c>
      <c r="Z6276">
        <v>-1.44767E-2</v>
      </c>
      <c r="AA6276">
        <v>0.95871280000000003</v>
      </c>
      <c r="AB6276">
        <v>32</v>
      </c>
      <c r="AC6276">
        <v>13.012699999999899</v>
      </c>
      <c r="AD6276">
        <v>-1.1195852326839999</v>
      </c>
      <c r="AE6276">
        <v>9.8131299999999992</v>
      </c>
      <c r="AF6276">
        <v>-4.6388195704372803</v>
      </c>
      <c r="AG6276">
        <v>-1.1195852326839999</v>
      </c>
      <c r="AH6276">
        <v>15.5441283611764</v>
      </c>
      <c r="AI6276">
        <v>93.948201981823701</v>
      </c>
      <c r="AJ6276">
        <v>106.616632060849</v>
      </c>
      <c r="AK6276">
        <v>16.2601366725204</v>
      </c>
      <c r="AL6276">
        <v>81.5861476182709</v>
      </c>
      <c r="AM6276">
        <v>109.594054909524</v>
      </c>
      <c r="AN6276">
        <v>0.99999999770022496</v>
      </c>
    </row>
    <row r="6277" spans="1:40" x14ac:dyDescent="0.25">
      <c r="A6277" t="str">
        <f>"20190312164626483"</f>
        <v>20190312164626483</v>
      </c>
      <c r="B6277" t="str">
        <f>"1552380386477397"</f>
        <v>1552380386477397</v>
      </c>
      <c r="C6277" t="s">
        <v>40</v>
      </c>
      <c r="D6277">
        <v>4.7061970000000004</v>
      </c>
      <c r="E6277">
        <v>0.51904620000000001</v>
      </c>
      <c r="F6277" t="s">
        <v>52</v>
      </c>
      <c r="G6277">
        <v>-187.66149999999999</v>
      </c>
      <c r="H6277" s="1">
        <v>-3.26228E-6</v>
      </c>
      <c r="I6277">
        <v>-49.979840000000003</v>
      </c>
      <c r="J6277">
        <v>-200.5821</v>
      </c>
      <c r="K6277">
        <v>1.119642</v>
      </c>
      <c r="L6277">
        <v>-59.80386</v>
      </c>
      <c r="M6277">
        <v>0.93524580000000002</v>
      </c>
      <c r="N6277">
        <v>0</v>
      </c>
      <c r="O6277">
        <v>0.35368319999999998</v>
      </c>
      <c r="P6277">
        <v>0.75821159999999999</v>
      </c>
      <c r="Q6277">
        <v>0.14127339999999999</v>
      </c>
      <c r="R6277">
        <v>0.63651959999999996</v>
      </c>
      <c r="S6277">
        <v>2.4424130000000002</v>
      </c>
      <c r="T6277">
        <v>-0.2096257</v>
      </c>
      <c r="U6277">
        <v>1.8489690000000001</v>
      </c>
      <c r="V6277">
        <v>-0.33115489999999997</v>
      </c>
      <c r="W6277">
        <v>0.14654059999999999</v>
      </c>
      <c r="X6277">
        <v>0.93212779999999995</v>
      </c>
      <c r="Y6277">
        <v>-0.28266210000000003</v>
      </c>
      <c r="Z6277">
        <v>-1.495142E-2</v>
      </c>
      <c r="AA6277">
        <v>0.95910300000000004</v>
      </c>
      <c r="AB6277">
        <v>32</v>
      </c>
      <c r="AC6277">
        <v>12.9206</v>
      </c>
      <c r="AD6277">
        <v>-1.1196452622799999</v>
      </c>
      <c r="AE6277">
        <v>9.8240199999999902</v>
      </c>
      <c r="AF6277">
        <v>-4.5967175809315099</v>
      </c>
      <c r="AG6277">
        <v>-1.1196452622799999</v>
      </c>
      <c r="AH6277">
        <v>15.486575871663</v>
      </c>
      <c r="AI6277">
        <v>93.964778568515399</v>
      </c>
      <c r="AJ6277">
        <v>106.531915029937</v>
      </c>
      <c r="AK6277">
        <v>16.1931297240825</v>
      </c>
      <c r="AL6277">
        <v>81.573497676720393</v>
      </c>
      <c r="AM6277">
        <v>109.55848263643</v>
      </c>
      <c r="AN6277">
        <v>0.99999997538760399</v>
      </c>
    </row>
    <row r="6278" spans="1:40" x14ac:dyDescent="0.25">
      <c r="A6278" t="str">
        <f>"20190312164626493"</f>
        <v>20190312164626493</v>
      </c>
      <c r="B6278" t="str">
        <f>"1552380386487156"</f>
        <v>1552380386487156</v>
      </c>
      <c r="C6278" t="s">
        <v>40</v>
      </c>
      <c r="D6278">
        <v>4.7807409999999999</v>
      </c>
      <c r="E6278">
        <v>0.51913909999999996</v>
      </c>
      <c r="F6278" t="s">
        <v>52</v>
      </c>
      <c r="G6278">
        <v>-187.69649999999999</v>
      </c>
      <c r="H6278" s="1">
        <v>-3.2686899999999999E-6</v>
      </c>
      <c r="I6278">
        <v>-49.982140000000001</v>
      </c>
      <c r="J6278">
        <v>-200.44489999999999</v>
      </c>
      <c r="K6278">
        <v>1.1197109999999999</v>
      </c>
      <c r="L6278">
        <v>-59.746519999999997</v>
      </c>
      <c r="M6278">
        <v>0.93308670000000005</v>
      </c>
      <c r="N6278">
        <v>0</v>
      </c>
      <c r="O6278">
        <v>0.35933969999999998</v>
      </c>
      <c r="P6278">
        <v>0.75479319999999905</v>
      </c>
      <c r="Q6278">
        <v>0.14124239999999999</v>
      </c>
      <c r="R6278">
        <v>0.64057619999999904</v>
      </c>
      <c r="S6278">
        <v>2.4368439999999998</v>
      </c>
      <c r="T6278">
        <v>-0.21174009999999999</v>
      </c>
      <c r="U6278">
        <v>1.8574219999999999</v>
      </c>
      <c r="V6278">
        <v>-0.3305302</v>
      </c>
      <c r="W6278">
        <v>0.14649110000000001</v>
      </c>
      <c r="X6278">
        <v>0.93235730000000006</v>
      </c>
      <c r="Y6278">
        <v>-0.28003430000000001</v>
      </c>
      <c r="Z6278">
        <v>-1.5600320000000001E-2</v>
      </c>
      <c r="AA6278">
        <v>0.95986320000000003</v>
      </c>
      <c r="AB6278">
        <v>32</v>
      </c>
      <c r="AC6278">
        <v>12.7484</v>
      </c>
      <c r="AD6278">
        <v>-1.1197142686899999</v>
      </c>
      <c r="AE6278">
        <v>9.7643799999999903</v>
      </c>
      <c r="AF6278">
        <v>-4.5085936030628604</v>
      </c>
      <c r="AG6278">
        <v>-1.1197142686899999</v>
      </c>
      <c r="AH6278">
        <v>15.331276946032</v>
      </c>
      <c r="AI6278">
        <v>94.008030743502005</v>
      </c>
      <c r="AJ6278">
        <v>106.387457616543</v>
      </c>
      <c r="AK6278">
        <v>16.019651341930601</v>
      </c>
      <c r="AL6278">
        <v>81.576364926411699</v>
      </c>
      <c r="AM6278">
        <v>109.519937356933</v>
      </c>
      <c r="AN6278">
        <v>0.99999999517727001</v>
      </c>
    </row>
    <row r="6279" spans="1:40" x14ac:dyDescent="0.25">
      <c r="A6279" t="str">
        <f>"20190312164626505"</f>
        <v>20190312164626505</v>
      </c>
      <c r="B6279" t="str">
        <f>"1552380386497893"</f>
        <v>1552380386497893</v>
      </c>
      <c r="C6279" t="s">
        <v>40</v>
      </c>
      <c r="D6279">
        <v>4.7241220000000004</v>
      </c>
      <c r="E6279">
        <v>0.51933339999999995</v>
      </c>
      <c r="F6279" t="s">
        <v>52</v>
      </c>
      <c r="G6279">
        <v>-187.61500000000001</v>
      </c>
      <c r="H6279" s="1">
        <v>-3.3239379999999998E-6</v>
      </c>
      <c r="I6279">
        <v>-49.85821</v>
      </c>
      <c r="J6279">
        <v>-200.29040000000001</v>
      </c>
      <c r="K6279">
        <v>1.119788</v>
      </c>
      <c r="L6279">
        <v>-59.680790000000002</v>
      </c>
      <c r="M6279">
        <v>0.93058980000000002</v>
      </c>
      <c r="N6279">
        <v>0</v>
      </c>
      <c r="O6279">
        <v>0.3657569</v>
      </c>
      <c r="P6279">
        <v>0.75065319999999902</v>
      </c>
      <c r="Q6279">
        <v>0.14146619999999999</v>
      </c>
      <c r="R6279">
        <v>0.64537359999999999</v>
      </c>
      <c r="S6279">
        <v>2.4268339999999999</v>
      </c>
      <c r="T6279">
        <v>-0.2117994</v>
      </c>
      <c r="U6279">
        <v>1.870422</v>
      </c>
      <c r="V6279">
        <v>-0.33010030000000001</v>
      </c>
      <c r="W6279">
        <v>0.14668639999999999</v>
      </c>
      <c r="X6279">
        <v>0.9324789</v>
      </c>
      <c r="Y6279">
        <v>-0.27857939999999998</v>
      </c>
      <c r="Z6279">
        <v>-1.612208E-2</v>
      </c>
      <c r="AA6279">
        <v>0.96027790000000002</v>
      </c>
      <c r="AB6279">
        <v>32</v>
      </c>
      <c r="AC6279">
        <v>12.6753999999999</v>
      </c>
      <c r="AD6279">
        <v>-1.119791323938</v>
      </c>
      <c r="AE6279">
        <v>9.8225800000000003</v>
      </c>
      <c r="AF6279">
        <v>-4.4833215339362402</v>
      </c>
      <c r="AG6279">
        <v>-1.119791323938</v>
      </c>
      <c r="AH6279">
        <v>15.315320137046299</v>
      </c>
      <c r="AI6279">
        <v>94.013920279279105</v>
      </c>
      <c r="AJ6279">
        <v>106.316570544028</v>
      </c>
      <c r="AK6279">
        <v>15.997285253630899</v>
      </c>
      <c r="AL6279">
        <v>81.565052932781299</v>
      </c>
      <c r="AM6279">
        <v>109.49411428640801</v>
      </c>
      <c r="AN6279">
        <v>1.00000000347513</v>
      </c>
    </row>
    <row r="6280" spans="1:40" x14ac:dyDescent="0.25">
      <c r="A6280" t="str">
        <f>"20190312164626517"</f>
        <v>20190312164626517</v>
      </c>
      <c r="B6280" t="str">
        <f>"1552380386507652"</f>
        <v>1552380386507652</v>
      </c>
      <c r="C6280" t="s">
        <v>40</v>
      </c>
      <c r="D6280">
        <v>4.6597369999999998</v>
      </c>
      <c r="E6280">
        <v>0.51935810000000004</v>
      </c>
      <c r="F6280" t="s">
        <v>52</v>
      </c>
      <c r="G6280">
        <v>-187.5102</v>
      </c>
      <c r="H6280" s="1">
        <v>-3.3905719999999998E-6</v>
      </c>
      <c r="I6280">
        <v>-49.70626</v>
      </c>
      <c r="J6280">
        <v>-200.14660000000001</v>
      </c>
      <c r="K6280">
        <v>1.1198570000000001</v>
      </c>
      <c r="L6280">
        <v>-59.618130000000001</v>
      </c>
      <c r="M6280">
        <v>0.92819629999999997</v>
      </c>
      <c r="N6280">
        <v>0</v>
      </c>
      <c r="O6280">
        <v>0.37178800000000001</v>
      </c>
      <c r="P6280">
        <v>0.74682890000000002</v>
      </c>
      <c r="Q6280">
        <v>0.14204310000000001</v>
      </c>
      <c r="R6280">
        <v>0.64966950000000001</v>
      </c>
      <c r="S6280">
        <v>2.415543</v>
      </c>
      <c r="T6280">
        <v>-0.21164810000000001</v>
      </c>
      <c r="U6280">
        <v>1.885254</v>
      </c>
      <c r="V6280">
        <v>-0.32947859999999901</v>
      </c>
      <c r="W6280">
        <v>0.1472444</v>
      </c>
      <c r="X6280">
        <v>0.93261079999999996</v>
      </c>
      <c r="Y6280">
        <v>-0.27820129999999998</v>
      </c>
      <c r="Z6280">
        <v>-1.6562009999999999E-2</v>
      </c>
      <c r="AA6280">
        <v>0.96038000000000001</v>
      </c>
      <c r="AB6280">
        <v>32</v>
      </c>
      <c r="AC6280">
        <v>12.6364</v>
      </c>
      <c r="AD6280">
        <v>-1.1198603905719999</v>
      </c>
      <c r="AE6280">
        <v>9.9118700000000004</v>
      </c>
      <c r="AF6280">
        <v>-4.4808196297852199</v>
      </c>
      <c r="AG6280">
        <v>-1.1198603905719999</v>
      </c>
      <c r="AH6280">
        <v>15.341317670171099</v>
      </c>
      <c r="AI6280">
        <v>94.008096068082693</v>
      </c>
      <c r="AJ6280">
        <v>106.281778586901</v>
      </c>
      <c r="AK6280">
        <v>16.021481195761702</v>
      </c>
      <c r="AL6280">
        <v>81.532730746331097</v>
      </c>
      <c r="AM6280">
        <v>109.457615649866</v>
      </c>
      <c r="AN6280">
        <v>0.99999998273297896</v>
      </c>
    </row>
    <row r="6281" spans="1:40" x14ac:dyDescent="0.25">
      <c r="A6281" t="str">
        <f>"20190312164626527"</f>
        <v>20190312164626527</v>
      </c>
      <c r="B6281" t="str">
        <f>"1552380386517413"</f>
        <v>1552380386517413</v>
      </c>
      <c r="C6281" t="s">
        <v>40</v>
      </c>
      <c r="D6281">
        <v>4.879785</v>
      </c>
      <c r="E6281">
        <v>0.51904329999999999</v>
      </c>
      <c r="F6281" t="s">
        <v>52</v>
      </c>
      <c r="G6281">
        <v>-187.3143</v>
      </c>
      <c r="H6281" s="1">
        <v>-3.4810479999999998E-6</v>
      </c>
      <c r="I6281">
        <v>-49.479810000000001</v>
      </c>
      <c r="J6281">
        <v>-199.9984</v>
      </c>
      <c r="K6281">
        <v>1.1199269999999999</v>
      </c>
      <c r="L6281">
        <v>-59.552919999999901</v>
      </c>
      <c r="M6281">
        <v>0.925674</v>
      </c>
      <c r="N6281">
        <v>0</v>
      </c>
      <c r="O6281">
        <v>0.37802350000000001</v>
      </c>
      <c r="P6281">
        <v>0.74284030000000001</v>
      </c>
      <c r="Q6281">
        <v>0.1427204</v>
      </c>
      <c r="R6281">
        <v>0.65407890000000002</v>
      </c>
      <c r="S6281">
        <v>2.404404</v>
      </c>
      <c r="T6281">
        <v>-0.2098294</v>
      </c>
      <c r="U6281">
        <v>1.8996280000000001</v>
      </c>
      <c r="V6281">
        <v>-0.32881749999999998</v>
      </c>
      <c r="W6281">
        <v>0.14790320000000001</v>
      </c>
      <c r="X6281">
        <v>0.93273989999999996</v>
      </c>
      <c r="Y6281">
        <v>-0.27745009999999998</v>
      </c>
      <c r="Z6281">
        <v>-1.6895540000000001E-2</v>
      </c>
      <c r="AA6281">
        <v>0.96059150000000004</v>
      </c>
      <c r="AB6281">
        <v>32</v>
      </c>
      <c r="AC6281">
        <v>12.684100000000001</v>
      </c>
      <c r="AD6281">
        <v>-1.119930481048</v>
      </c>
      <c r="AE6281">
        <v>10.0731099999999</v>
      </c>
      <c r="AF6281">
        <v>-4.5084859293964499</v>
      </c>
      <c r="AG6281">
        <v>-1.119930481048</v>
      </c>
      <c r="AH6281">
        <v>15.4769789875577</v>
      </c>
      <c r="AI6281">
        <v>93.974147158829794</v>
      </c>
      <c r="AJ6281">
        <v>106.24098456345401</v>
      </c>
      <c r="AK6281">
        <v>16.159132657393801</v>
      </c>
      <c r="AL6281">
        <v>81.494566685063205</v>
      </c>
      <c r="AM6281">
        <v>109.41901216381299</v>
      </c>
      <c r="AN6281">
        <v>1.0000000129642499</v>
      </c>
    </row>
    <row r="6282" spans="1:40" x14ac:dyDescent="0.25">
      <c r="A6282" t="str">
        <f>"20190312164626538"</f>
        <v>20190312164626538</v>
      </c>
      <c r="B6282" t="str">
        <f>"1552380386527172"</f>
        <v>1552380386527172</v>
      </c>
      <c r="C6282" t="s">
        <v>40</v>
      </c>
      <c r="D6282">
        <v>4.6205350000000003</v>
      </c>
      <c r="E6282">
        <v>0.51904329999999999</v>
      </c>
      <c r="F6282" t="s">
        <v>52</v>
      </c>
      <c r="G6282">
        <v>-187.13050000000001</v>
      </c>
      <c r="H6282" s="1">
        <v>-3.5826400000000001E-6</v>
      </c>
      <c r="I6282">
        <v>-49.239139999999999</v>
      </c>
      <c r="J6282">
        <v>-199.86189999999999</v>
      </c>
      <c r="K6282">
        <v>1.1199840000000001</v>
      </c>
      <c r="L6282">
        <v>-59.491</v>
      </c>
      <c r="M6282">
        <v>0.92327700000000001</v>
      </c>
      <c r="N6282">
        <v>0</v>
      </c>
      <c r="O6282">
        <v>0.38383980000000001</v>
      </c>
      <c r="P6282">
        <v>0.73892609999999903</v>
      </c>
      <c r="Q6282">
        <v>0.14312659999999999</v>
      </c>
      <c r="R6282">
        <v>0.65840929999999998</v>
      </c>
      <c r="S6282">
        <v>2.3910680000000002</v>
      </c>
      <c r="T6282">
        <v>-0.20810190000000001</v>
      </c>
      <c r="U6282">
        <v>1.9164730000000001</v>
      </c>
      <c r="V6282">
        <v>-0.32846389999999998</v>
      </c>
      <c r="W6282">
        <v>0.14828759999999999</v>
      </c>
      <c r="X6282">
        <v>0.93280350000000001</v>
      </c>
      <c r="Y6282">
        <v>-0.2781477</v>
      </c>
      <c r="Z6282">
        <v>-1.7150729999999999E-2</v>
      </c>
      <c r="AA6282">
        <v>0.96038520000000005</v>
      </c>
      <c r="AB6282">
        <v>32</v>
      </c>
      <c r="AC6282">
        <v>12.731399999999899</v>
      </c>
      <c r="AD6282">
        <v>-1.1199875826400001</v>
      </c>
      <c r="AE6282">
        <v>10.251860000000001</v>
      </c>
      <c r="AF6282">
        <v>-4.5576107212467498</v>
      </c>
      <c r="AG6282">
        <v>-1.1199875826400001</v>
      </c>
      <c r="AH6282">
        <v>15.6181361344069</v>
      </c>
      <c r="AI6282">
        <v>93.938001691025505</v>
      </c>
      <c r="AJ6282">
        <v>106.268051580188</v>
      </c>
      <c r="AK6282">
        <v>16.30804598916</v>
      </c>
      <c r="AL6282">
        <v>81.472297002191894</v>
      </c>
      <c r="AM6282">
        <v>109.398466218208</v>
      </c>
      <c r="AN6282">
        <v>1.0000000577646</v>
      </c>
    </row>
    <row r="6283" spans="1:40" x14ac:dyDescent="0.25">
      <c r="A6283" t="str">
        <f>"20190312164626549"</f>
        <v>20190312164626549</v>
      </c>
      <c r="B6283" t="str">
        <f>"1552380386547669"</f>
        <v>1552380386547669</v>
      </c>
      <c r="C6283" t="s">
        <v>40</v>
      </c>
      <c r="D6283">
        <v>4.504219</v>
      </c>
      <c r="E6283">
        <v>0.46968219999999999</v>
      </c>
      <c r="F6283" t="s">
        <v>52</v>
      </c>
      <c r="G6283">
        <v>-186.98740000000001</v>
      </c>
      <c r="H6283" s="1">
        <v>-3.6681040000000002E-6</v>
      </c>
      <c r="I6283">
        <v>-49.040990000000001</v>
      </c>
      <c r="J6283">
        <v>-199.7209</v>
      </c>
      <c r="K6283">
        <v>1.1200479999999999</v>
      </c>
      <c r="L6283">
        <v>-59.426760000000002</v>
      </c>
      <c r="M6283">
        <v>0.92075620000000002</v>
      </c>
      <c r="N6283">
        <v>0</v>
      </c>
      <c r="O6283">
        <v>0.38984740000000001</v>
      </c>
      <c r="P6283">
        <v>0.73487999999999998</v>
      </c>
      <c r="Q6283">
        <v>0.143424</v>
      </c>
      <c r="R6283">
        <v>0.66285819999999995</v>
      </c>
      <c r="S6283">
        <v>2.3792719999999998</v>
      </c>
      <c r="T6283">
        <v>-0.20697940000000001</v>
      </c>
      <c r="U6283">
        <v>1.9312130000000001</v>
      </c>
      <c r="V6283">
        <v>-0.3280711</v>
      </c>
      <c r="W6283">
        <v>0.14856340000000001</v>
      </c>
      <c r="X6283">
        <v>0.9328978</v>
      </c>
      <c r="Y6283">
        <v>-0.2778157</v>
      </c>
      <c r="Z6283">
        <v>-1.7498320000000001E-2</v>
      </c>
      <c r="AA6283">
        <v>0.96047499999999997</v>
      </c>
      <c r="AB6283">
        <v>32</v>
      </c>
      <c r="AC6283">
        <v>12.7334999999999</v>
      </c>
      <c r="AD6283">
        <v>-1.120051668104</v>
      </c>
      <c r="AE6283">
        <v>10.3857699999999</v>
      </c>
      <c r="AF6283">
        <v>-4.5778923237578004</v>
      </c>
      <c r="AG6283">
        <v>-1.120051668104</v>
      </c>
      <c r="AH6283">
        <v>15.702149209738799</v>
      </c>
      <c r="AI6283">
        <v>93.917504034668596</v>
      </c>
      <c r="AJ6283">
        <v>106.253811086171</v>
      </c>
      <c r="AK6283">
        <v>16.394178956935999</v>
      </c>
      <c r="AL6283">
        <v>81.456317491826596</v>
      </c>
      <c r="AM6283">
        <v>109.375185174251</v>
      </c>
      <c r="AN6283">
        <v>1.0000000178598001</v>
      </c>
    </row>
    <row r="6284" spans="1:40" x14ac:dyDescent="0.25">
      <c r="A6284" t="str">
        <f>"20190312164626560"</f>
        <v>20190312164626560</v>
      </c>
      <c r="B6284" t="str">
        <f>"1552380386557429"</f>
        <v>1552380386557429</v>
      </c>
      <c r="C6284" t="s">
        <v>40</v>
      </c>
      <c r="D6284">
        <v>4.4874429999999998</v>
      </c>
      <c r="E6284">
        <v>0.46781539999999999</v>
      </c>
      <c r="F6284" t="s">
        <v>41</v>
      </c>
      <c r="G6284">
        <v>-198.97290000000001</v>
      </c>
      <c r="H6284">
        <v>1.070791</v>
      </c>
      <c r="I6284">
        <v>-58.630839999999999</v>
      </c>
      <c r="J6284">
        <v>-199.58260000000001</v>
      </c>
      <c r="K6284">
        <v>1.120106</v>
      </c>
      <c r="L6284">
        <v>-59.361789999999999</v>
      </c>
      <c r="M6284">
        <v>0.91820729999999995</v>
      </c>
      <c r="N6284">
        <v>0</v>
      </c>
      <c r="O6284">
        <v>0.39581290000000002</v>
      </c>
      <c r="P6284">
        <v>0.73092709999999905</v>
      </c>
      <c r="Q6284">
        <v>0.1438287</v>
      </c>
      <c r="R6284">
        <v>0.66712749999999998</v>
      </c>
      <c r="S6284">
        <v>2.0969540000000002</v>
      </c>
      <c r="T6284">
        <v>-0.13808099999999901</v>
      </c>
      <c r="U6284">
        <v>2.2309269999999999</v>
      </c>
      <c r="V6284">
        <v>-0.32751550000000001</v>
      </c>
      <c r="W6284">
        <v>0.14895620000000001</v>
      </c>
      <c r="X6284">
        <v>0.93303040000000004</v>
      </c>
      <c r="Y6284">
        <v>-0.39798670000000003</v>
      </c>
      <c r="Z6284">
        <v>-9.2511039999999996E-3</v>
      </c>
      <c r="AA6284">
        <v>0.91734459999999995</v>
      </c>
      <c r="AB6284">
        <v>32</v>
      </c>
      <c r="AC6284">
        <v>0.60970000000000302</v>
      </c>
      <c r="AD6284">
        <v>-4.9314999999999998E-2</v>
      </c>
      <c r="AE6284">
        <v>0.73094999999999999</v>
      </c>
      <c r="AF6284">
        <v>-0.428734582378694</v>
      </c>
      <c r="AG6284">
        <v>-4.9314999999999998E-2</v>
      </c>
      <c r="AH6284">
        <v>0.84697356862154605</v>
      </c>
      <c r="AI6284">
        <v>92.973762420312198</v>
      </c>
      <c r="AJ6284">
        <v>116.84834775231499</v>
      </c>
      <c r="AK6284">
        <v>0.95058378762524198</v>
      </c>
      <c r="AL6284">
        <v>81.433558667825295</v>
      </c>
      <c r="AM6284">
        <v>109.342266777189</v>
      </c>
      <c r="AN6284">
        <v>1.0000000397914199</v>
      </c>
    </row>
    <row r="6285" spans="1:40" x14ac:dyDescent="0.25">
      <c r="A6285" t="str">
        <f>"20190312164626572"</f>
        <v>20190312164626572</v>
      </c>
      <c r="B6285" t="str">
        <f>"1552380386567188"</f>
        <v>1552380386567188</v>
      </c>
      <c r="C6285" t="s">
        <v>40</v>
      </c>
      <c r="D6285">
        <v>4.4564940000000002</v>
      </c>
      <c r="E6285">
        <v>0.46685919999999997</v>
      </c>
      <c r="F6285" t="s">
        <v>52</v>
      </c>
      <c r="G6285">
        <v>-183.4127</v>
      </c>
      <c r="H6285" s="1">
        <v>-6.519631E-6</v>
      </c>
      <c r="I6285">
        <v>-41.78143</v>
      </c>
      <c r="J6285">
        <v>-199.4409</v>
      </c>
      <c r="K6285">
        <v>1.120161</v>
      </c>
      <c r="L6285">
        <v>-59.294800000000002</v>
      </c>
      <c r="M6285">
        <v>0.91554800000000003</v>
      </c>
      <c r="N6285">
        <v>0</v>
      </c>
      <c r="O6285">
        <v>0.40192509999999998</v>
      </c>
      <c r="P6285">
        <v>0.72674539999999999</v>
      </c>
      <c r="Q6285">
        <v>0.14368989999999901</v>
      </c>
      <c r="R6285">
        <v>0.67171009999999998</v>
      </c>
      <c r="S6285">
        <v>2.0742799999999999</v>
      </c>
      <c r="T6285">
        <v>-0.14368880000000001</v>
      </c>
      <c r="U6285">
        <v>2.2552189999999999</v>
      </c>
      <c r="V6285">
        <v>-0.32716820000000002</v>
      </c>
      <c r="W6285">
        <v>0.1487996</v>
      </c>
      <c r="X6285">
        <v>0.93317720000000004</v>
      </c>
      <c r="Y6285">
        <v>-0.40179540000000002</v>
      </c>
      <c r="Z6285">
        <v>-9.8382739999999993E-3</v>
      </c>
      <c r="AA6285">
        <v>0.91567670000000001</v>
      </c>
      <c r="AB6285">
        <v>32</v>
      </c>
      <c r="AC6285">
        <v>16.028199999999998</v>
      </c>
      <c r="AD6285">
        <v>-1.1201675196309999</v>
      </c>
      <c r="AE6285">
        <v>17.513369999999998</v>
      </c>
      <c r="AF6285">
        <v>-9.5719791951722204</v>
      </c>
      <c r="AG6285">
        <v>-1.1201675196309999</v>
      </c>
      <c r="AH6285">
        <v>21.6678873763016</v>
      </c>
      <c r="AI6285">
        <v>92.707411532288504</v>
      </c>
      <c r="AJ6285">
        <v>113.83386490281001</v>
      </c>
      <c r="AK6285">
        <v>23.714445056482699</v>
      </c>
      <c r="AL6285">
        <v>81.442632130480902</v>
      </c>
      <c r="AM6285">
        <v>109.32046254767501</v>
      </c>
      <c r="AN6285">
        <v>1.00000001932562</v>
      </c>
    </row>
    <row r="6286" spans="1:40" x14ac:dyDescent="0.25">
      <c r="A6286" t="str">
        <f>"20190312164626584"</f>
        <v>20190312164626584</v>
      </c>
      <c r="B6286" t="str">
        <f>"1552380386577925"</f>
        <v>1552380386577925</v>
      </c>
      <c r="C6286" t="s">
        <v>40</v>
      </c>
      <c r="D6286">
        <v>4.4212590000000001</v>
      </c>
      <c r="E6286">
        <v>0.46635919999999997</v>
      </c>
      <c r="F6286" t="s">
        <v>41</v>
      </c>
      <c r="G6286">
        <v>-198.71780000000001</v>
      </c>
      <c r="H6286">
        <v>1.0677179999999999</v>
      </c>
      <c r="I6286">
        <v>-58.494709999999998</v>
      </c>
      <c r="J6286">
        <v>-199.27619999999999</v>
      </c>
      <c r="K6286">
        <v>1.120217</v>
      </c>
      <c r="L6286">
        <v>-59.2149</v>
      </c>
      <c r="M6286">
        <v>0.91236729999999999</v>
      </c>
      <c r="N6286">
        <v>0</v>
      </c>
      <c r="O6286">
        <v>0.40909299999999998</v>
      </c>
      <c r="P6286">
        <v>0.7218156</v>
      </c>
      <c r="Q6286">
        <v>0.14359330000000001</v>
      </c>
      <c r="R6286">
        <v>0.67702519999999999</v>
      </c>
      <c r="S6286">
        <v>2.0551759999999999</v>
      </c>
      <c r="T6286">
        <v>-0.14905750000000001</v>
      </c>
      <c r="U6286">
        <v>2.2745359999999999</v>
      </c>
      <c r="V6286">
        <v>-0.32670909999999997</v>
      </c>
      <c r="W6286">
        <v>0.148689299999999</v>
      </c>
      <c r="X6286">
        <v>0.93335559999999995</v>
      </c>
      <c r="Y6286">
        <v>-0.40272409999999997</v>
      </c>
      <c r="Z6286">
        <v>-1.055795E-2</v>
      </c>
      <c r="AA6286">
        <v>0.91526059999999998</v>
      </c>
      <c r="AB6286">
        <v>32</v>
      </c>
      <c r="AC6286">
        <v>0.55839999999997703</v>
      </c>
      <c r="AD6286">
        <v>-5.2498999999999997E-2</v>
      </c>
      <c r="AE6286">
        <v>0.720190000000002</v>
      </c>
      <c r="AF6286">
        <v>-0.42727133112714299</v>
      </c>
      <c r="AG6286">
        <v>-5.2498999999999997E-2</v>
      </c>
      <c r="AH6286">
        <v>0.80152257323067899</v>
      </c>
      <c r="AI6286">
        <v>93.307988289942998</v>
      </c>
      <c r="AJ6286">
        <v>118.060944598718</v>
      </c>
      <c r="AK6286">
        <v>0.909810623592894</v>
      </c>
      <c r="AL6286">
        <v>81.449022868111101</v>
      </c>
      <c r="AM6286">
        <v>109.291940576954</v>
      </c>
      <c r="AN6286">
        <v>1.00000001000432</v>
      </c>
    </row>
    <row r="6287" spans="1:40" x14ac:dyDescent="0.25">
      <c r="A6287" t="str">
        <f>"20190312164626596"</f>
        <v>20190312164626596</v>
      </c>
      <c r="B6287" t="str">
        <f>"1552380386587685"</f>
        <v>1552380386587685</v>
      </c>
      <c r="C6287" t="s">
        <v>40</v>
      </c>
      <c r="D6287">
        <v>4.5568799999999996</v>
      </c>
      <c r="E6287">
        <v>0.46672750000000002</v>
      </c>
      <c r="F6287" t="s">
        <v>52</v>
      </c>
      <c r="G6287">
        <v>-184.4529</v>
      </c>
      <c r="H6287" s="1">
        <v>-6.389088E-6</v>
      </c>
      <c r="I6287">
        <v>-42.520949999999999</v>
      </c>
      <c r="J6287">
        <v>-199.13419999999999</v>
      </c>
      <c r="K6287">
        <v>1.12026</v>
      </c>
      <c r="L6287">
        <v>-59.144779999999997</v>
      </c>
      <c r="M6287">
        <v>0.90955940000000002</v>
      </c>
      <c r="N6287">
        <v>0</v>
      </c>
      <c r="O6287">
        <v>0.4152981</v>
      </c>
      <c r="P6287">
        <v>0.71749469999999904</v>
      </c>
      <c r="Q6287">
        <v>0.14325170000000001</v>
      </c>
      <c r="R6287">
        <v>0.68167469999999997</v>
      </c>
      <c r="S6287">
        <v>2.0360719999999999</v>
      </c>
      <c r="T6287">
        <v>-0.15387049999999999</v>
      </c>
      <c r="U6287">
        <v>2.2930299999999999</v>
      </c>
      <c r="V6287">
        <v>-0.32636079999999901</v>
      </c>
      <c r="W6287">
        <v>0.14833660000000001</v>
      </c>
      <c r="X6287">
        <v>0.93353350000000002</v>
      </c>
      <c r="Y6287">
        <v>-0.40442349999999999</v>
      </c>
      <c r="Z6287">
        <v>-1.119121E-2</v>
      </c>
      <c r="AA6287">
        <v>0.91450330000000002</v>
      </c>
      <c r="AB6287">
        <v>32</v>
      </c>
      <c r="AC6287">
        <v>14.681299999999901</v>
      </c>
      <c r="AD6287">
        <v>-1.120266389088</v>
      </c>
      <c r="AE6287">
        <v>16.623830000000002</v>
      </c>
      <c r="AF6287">
        <v>-9.0013133875239699</v>
      </c>
      <c r="AG6287">
        <v>-1.120266389088</v>
      </c>
      <c r="AH6287">
        <v>20.208122886218799</v>
      </c>
      <c r="AI6287">
        <v>92.898976793724898</v>
      </c>
      <c r="AJ6287">
        <v>114.00964734896399</v>
      </c>
      <c r="AK6287">
        <v>22.150550107558399</v>
      </c>
      <c r="AL6287">
        <v>81.469457248060294</v>
      </c>
      <c r="AM6287">
        <v>109.269489107338</v>
      </c>
      <c r="AN6287">
        <v>0.99999995714922396</v>
      </c>
    </row>
    <row r="6288" spans="1:40" x14ac:dyDescent="0.25">
      <c r="A6288" t="str">
        <f>"20190312164626607"</f>
        <v>20190312164626607</v>
      </c>
      <c r="B6288" t="str">
        <f>"1552380386597444"</f>
        <v>1552380386597444</v>
      </c>
      <c r="C6288" t="s">
        <v>40</v>
      </c>
      <c r="D6288">
        <v>4.6622180000000002</v>
      </c>
      <c r="E6288">
        <v>0.46715719999999999</v>
      </c>
      <c r="F6288" t="s">
        <v>52</v>
      </c>
      <c r="G6288">
        <v>-185.9418</v>
      </c>
      <c r="H6288" s="1">
        <v>-5.9229100000000004E-6</v>
      </c>
      <c r="I6288">
        <v>-44.121699999999997</v>
      </c>
      <c r="J6288">
        <v>-198.99420000000001</v>
      </c>
      <c r="K6288">
        <v>1.120303</v>
      </c>
      <c r="L6288">
        <v>-59.074800000000003</v>
      </c>
      <c r="M6288">
        <v>0.9067345</v>
      </c>
      <c r="N6288">
        <v>0</v>
      </c>
      <c r="O6288">
        <v>0.42142960000000002</v>
      </c>
      <c r="P6288">
        <v>0.71319929999999998</v>
      </c>
      <c r="Q6288">
        <v>0.14288319999999999</v>
      </c>
      <c r="R6288">
        <v>0.68624419999999897</v>
      </c>
      <c r="S6288">
        <v>2.0248409999999999</v>
      </c>
      <c r="T6288">
        <v>-0.17194400000000001</v>
      </c>
      <c r="U6288">
        <v>2.3058169999999998</v>
      </c>
      <c r="V6288">
        <v>-0.325995599999999</v>
      </c>
      <c r="W6288">
        <v>0.1479608</v>
      </c>
      <c r="X6288">
        <v>0.93372080000000002</v>
      </c>
      <c r="Y6288">
        <v>-0.40328720000000001</v>
      </c>
      <c r="Z6288">
        <v>-1.29043E-2</v>
      </c>
      <c r="AA6288">
        <v>0.91498239999999997</v>
      </c>
      <c r="AB6288">
        <v>32</v>
      </c>
      <c r="AC6288">
        <v>13.0524</v>
      </c>
      <c r="AD6288">
        <v>-1.1203089229100001</v>
      </c>
      <c r="AE6288">
        <v>14.953099999999999</v>
      </c>
      <c r="AF6288">
        <v>-8.0331569936055107</v>
      </c>
      <c r="AG6288">
        <v>-1.1203089229100001</v>
      </c>
      <c r="AH6288">
        <v>18.081219392277902</v>
      </c>
      <c r="AI6288">
        <v>93.240798782225795</v>
      </c>
      <c r="AJ6288">
        <v>113.954707575767</v>
      </c>
      <c r="AK6288">
        <v>19.817093583024501</v>
      </c>
      <c r="AL6288">
        <v>81.491229887721104</v>
      </c>
      <c r="AM6288">
        <v>109.24593617841001</v>
      </c>
      <c r="AN6288">
        <v>1.00000003095431</v>
      </c>
    </row>
    <row r="6289" spans="1:40" x14ac:dyDescent="0.25">
      <c r="A6289" t="str">
        <f>"20190312164626618"</f>
        <v>20190312164626618</v>
      </c>
      <c r="B6289" t="str">
        <f>"1552380386607204"</f>
        <v>1552380386607204</v>
      </c>
      <c r="C6289" t="s">
        <v>40</v>
      </c>
      <c r="D6289">
        <v>4.4115140000000004</v>
      </c>
      <c r="E6289">
        <v>0.46719739999999998</v>
      </c>
      <c r="F6289" t="s">
        <v>52</v>
      </c>
      <c r="G6289">
        <v>-186.1087</v>
      </c>
      <c r="H6289" s="1">
        <v>-5.8957829999999997E-6</v>
      </c>
      <c r="I6289">
        <v>-44.243720000000003</v>
      </c>
      <c r="J6289">
        <v>-198.8485</v>
      </c>
      <c r="K6289">
        <v>1.1203369999999999</v>
      </c>
      <c r="L6289">
        <v>-59.000030000000002</v>
      </c>
      <c r="M6289">
        <v>0.90371950000000001</v>
      </c>
      <c r="N6289">
        <v>0</v>
      </c>
      <c r="O6289">
        <v>0.42785640000000003</v>
      </c>
      <c r="P6289">
        <v>0.7086924</v>
      </c>
      <c r="Q6289">
        <v>0.1421279</v>
      </c>
      <c r="R6289">
        <v>0.69105329999999998</v>
      </c>
      <c r="S6289">
        <v>2.0125730000000002</v>
      </c>
      <c r="T6289">
        <v>-0.17497889999999999</v>
      </c>
      <c r="U6289">
        <v>2.3164370000000001</v>
      </c>
      <c r="V6289">
        <v>-0.32561069999999998</v>
      </c>
      <c r="W6289">
        <v>0.14720329999999901</v>
      </c>
      <c r="X6289">
        <v>0.93397479999999999</v>
      </c>
      <c r="Y6289">
        <v>-0.4016383</v>
      </c>
      <c r="Z6289">
        <v>-1.358263E-2</v>
      </c>
      <c r="AA6289">
        <v>0.9156976</v>
      </c>
      <c r="AB6289">
        <v>32</v>
      </c>
      <c r="AC6289">
        <v>12.739800000000001</v>
      </c>
      <c r="AD6289">
        <v>-1.1203428957829999</v>
      </c>
      <c r="AE6289">
        <v>14.756309999999999</v>
      </c>
      <c r="AF6289">
        <v>-7.8597091951430196</v>
      </c>
      <c r="AG6289">
        <v>-1.1203428957829999</v>
      </c>
      <c r="AH6289">
        <v>17.770149277496198</v>
      </c>
      <c r="AI6289">
        <v>93.299923893536501</v>
      </c>
      <c r="AJ6289">
        <v>113.859731518725</v>
      </c>
      <c r="AK6289">
        <v>19.4630008524083</v>
      </c>
      <c r="AL6289">
        <v>81.535111976858204</v>
      </c>
      <c r="AM6289">
        <v>109.220036328257</v>
      </c>
      <c r="AN6289">
        <v>1.0000000332601999</v>
      </c>
    </row>
    <row r="6290" spans="1:40" x14ac:dyDescent="0.25">
      <c r="A6290" t="str">
        <f>"20190312164626628"</f>
        <v>20190312164626628</v>
      </c>
      <c r="B6290" t="str">
        <f>"1552380386617941"</f>
        <v>1552380386617941</v>
      </c>
      <c r="C6290" t="s">
        <v>40</v>
      </c>
      <c r="D6290">
        <v>4.6730910000000003</v>
      </c>
      <c r="E6290">
        <v>0.46815869999999998</v>
      </c>
      <c r="F6290" t="s">
        <v>52</v>
      </c>
      <c r="G6290">
        <v>-186.3108</v>
      </c>
      <c r="H6290" s="1">
        <v>-5.8719499999999997E-6</v>
      </c>
      <c r="I6290">
        <v>-44.372120000000002</v>
      </c>
      <c r="J6290">
        <v>-198.71850000000001</v>
      </c>
      <c r="K6290">
        <v>1.1203639999999999</v>
      </c>
      <c r="L6290">
        <v>-58.932980000000001</v>
      </c>
      <c r="M6290">
        <v>0.90098520000000004</v>
      </c>
      <c r="N6290">
        <v>0</v>
      </c>
      <c r="O6290">
        <v>0.43358409999999897</v>
      </c>
      <c r="P6290">
        <v>0.70459830000000001</v>
      </c>
      <c r="Q6290">
        <v>0.1414078</v>
      </c>
      <c r="R6290">
        <v>0.69537399999999905</v>
      </c>
      <c r="S6290">
        <v>1.997009</v>
      </c>
      <c r="T6290">
        <v>-0.17844749999999901</v>
      </c>
      <c r="U6290">
        <v>2.3299259999999999</v>
      </c>
      <c r="V6290">
        <v>-0.32532169999999999</v>
      </c>
      <c r="W6290">
        <v>0.14647979999999899</v>
      </c>
      <c r="X6290">
        <v>0.93418920000000005</v>
      </c>
      <c r="Y6290">
        <v>-0.40197840000000001</v>
      </c>
      <c r="Z6290">
        <v>-1.4207030000000001E-2</v>
      </c>
      <c r="AA6290">
        <v>0.91553890000000004</v>
      </c>
      <c r="AB6290">
        <v>32</v>
      </c>
      <c r="AC6290">
        <v>12.4077</v>
      </c>
      <c r="AD6290">
        <v>-1.1203698719499999</v>
      </c>
      <c r="AE6290">
        <v>14.56086</v>
      </c>
      <c r="AF6290">
        <v>-7.7137727815891903</v>
      </c>
      <c r="AG6290">
        <v>-1.1203698719499999</v>
      </c>
      <c r="AH6290">
        <v>17.434728916903701</v>
      </c>
      <c r="AI6290">
        <v>93.363174071412303</v>
      </c>
      <c r="AJ6290">
        <v>113.866381375936</v>
      </c>
      <c r="AK6290">
        <v>19.097834735432102</v>
      </c>
      <c r="AL6290">
        <v>81.577019477066699</v>
      </c>
      <c r="AM6290">
        <v>109.20014228653601</v>
      </c>
      <c r="AN6290">
        <v>1.0000000008477801</v>
      </c>
    </row>
    <row r="6291" spans="1:40" x14ac:dyDescent="0.25">
      <c r="A6291" t="str">
        <f>"20190312164626638"</f>
        <v>20190312164626638</v>
      </c>
      <c r="B6291" t="str">
        <f>"1552380386627701"</f>
        <v>1552380386627701</v>
      </c>
      <c r="C6291" t="s">
        <v>40</v>
      </c>
      <c r="D6291">
        <v>4.4234869999999997</v>
      </c>
      <c r="E6291">
        <v>0.46811059999999999</v>
      </c>
      <c r="F6291" t="s">
        <v>52</v>
      </c>
      <c r="G6291">
        <v>-187.07669999999999</v>
      </c>
      <c r="H6291" s="1">
        <v>-5.599049E-6</v>
      </c>
      <c r="I6291">
        <v>-45.250689999999999</v>
      </c>
      <c r="J6291">
        <v>-198.602</v>
      </c>
      <c r="K6291">
        <v>1.1203860000000001</v>
      </c>
      <c r="L6291">
        <v>-58.87106</v>
      </c>
      <c r="M6291">
        <v>0.89847489999999997</v>
      </c>
      <c r="N6291">
        <v>0</v>
      </c>
      <c r="O6291">
        <v>0.43876209999999999</v>
      </c>
      <c r="P6291">
        <v>0.70077389999999995</v>
      </c>
      <c r="Q6291">
        <v>0.14062829999999901</v>
      </c>
      <c r="R6291">
        <v>0.69938520000000004</v>
      </c>
      <c r="S6291">
        <v>1.9890749999999999</v>
      </c>
      <c r="T6291">
        <v>-0.19142229999999999</v>
      </c>
      <c r="U6291">
        <v>2.3377080000000001</v>
      </c>
      <c r="V6291">
        <v>-0.32519629999999999</v>
      </c>
      <c r="W6291">
        <v>0.14569670000000001</v>
      </c>
      <c r="X6291">
        <v>0.9343553</v>
      </c>
      <c r="Y6291">
        <v>-0.40002799999999999</v>
      </c>
      <c r="Z6291">
        <v>-1.5651479999999999E-2</v>
      </c>
      <c r="AA6291">
        <v>0.91636930000000005</v>
      </c>
      <c r="AB6291">
        <v>32</v>
      </c>
      <c r="AC6291">
        <v>11.5253</v>
      </c>
      <c r="AD6291">
        <v>-1.1203915990490001</v>
      </c>
      <c r="AE6291">
        <v>13.6203699999999</v>
      </c>
      <c r="AF6291">
        <v>-7.1533177653400601</v>
      </c>
      <c r="AG6291">
        <v>-1.1203915990490001</v>
      </c>
      <c r="AH6291">
        <v>16.269028265658701</v>
      </c>
      <c r="AI6291">
        <v>93.607254967891805</v>
      </c>
      <c r="AJ6291">
        <v>113.734578750181</v>
      </c>
      <c r="AK6291">
        <v>17.807484749283098</v>
      </c>
      <c r="AL6291">
        <v>81.622374335187601</v>
      </c>
      <c r="AM6291">
        <v>109.190120319935</v>
      </c>
      <c r="AN6291">
        <v>0.99999999428133401</v>
      </c>
    </row>
    <row r="6292" spans="1:40" x14ac:dyDescent="0.25">
      <c r="A6292" t="str">
        <f>"20190312164626650"</f>
        <v>20190312164626650</v>
      </c>
      <c r="B6292" t="str">
        <f>"1552380386647221"</f>
        <v>1552380386647221</v>
      </c>
      <c r="C6292" t="s">
        <v>40</v>
      </c>
      <c r="D6292">
        <v>4.506958</v>
      </c>
      <c r="E6292">
        <v>0.46832819999999997</v>
      </c>
      <c r="F6292" t="s">
        <v>52</v>
      </c>
      <c r="G6292">
        <v>-187.5264</v>
      </c>
      <c r="H6292" s="1">
        <v>-5.4573990000000002E-6</v>
      </c>
      <c r="I6292">
        <v>-45.701140000000002</v>
      </c>
      <c r="J6292">
        <v>-198.45820000000001</v>
      </c>
      <c r="K6292">
        <v>1.1204069999999999</v>
      </c>
      <c r="L6292">
        <v>-58.794490000000003</v>
      </c>
      <c r="M6292">
        <v>0.89533689999999999</v>
      </c>
      <c r="N6292">
        <v>0</v>
      </c>
      <c r="O6292">
        <v>0.44512990000000002</v>
      </c>
      <c r="P6292">
        <v>0.69590879999999999</v>
      </c>
      <c r="Q6292">
        <v>0.14016719999999999</v>
      </c>
      <c r="R6292">
        <v>0.70431820000000001</v>
      </c>
      <c r="S6292">
        <v>1.9760279999999999</v>
      </c>
      <c r="T6292">
        <v>-0.19989370000000001</v>
      </c>
      <c r="U6292">
        <v>2.349701</v>
      </c>
      <c r="V6292">
        <v>-0.32511899999999999</v>
      </c>
      <c r="W6292">
        <v>0.14522829999999901</v>
      </c>
      <c r="X6292">
        <v>0.93445509999999998</v>
      </c>
      <c r="Y6292">
        <v>-0.39882069999999997</v>
      </c>
      <c r="Z6292">
        <v>-1.6835180000000002E-2</v>
      </c>
      <c r="AA6292">
        <v>0.91687439999999998</v>
      </c>
      <c r="AB6292">
        <v>32</v>
      </c>
      <c r="AC6292">
        <v>10.931800000000001</v>
      </c>
      <c r="AD6292">
        <v>-1.120412457399</v>
      </c>
      <c r="AE6292">
        <v>13.093349999999999</v>
      </c>
      <c r="AF6292">
        <v>-6.8282193439647401</v>
      </c>
      <c r="AG6292">
        <v>-1.120412457399</v>
      </c>
      <c r="AH6292">
        <v>15.5505946519659</v>
      </c>
      <c r="AI6292">
        <v>93.774329278479598</v>
      </c>
      <c r="AJ6292">
        <v>113.706133455239</v>
      </c>
      <c r="AK6292">
        <v>17.020602148976401</v>
      </c>
      <c r="AL6292">
        <v>81.6495000638498</v>
      </c>
      <c r="AM6292">
        <v>109.183992931075</v>
      </c>
      <c r="AN6292">
        <v>0.99999997859894896</v>
      </c>
    </row>
    <row r="6293" spans="1:40" x14ac:dyDescent="0.25">
      <c r="A6293" t="str">
        <f>"20190312164626660"</f>
        <v>20190312164626660</v>
      </c>
      <c r="B6293" t="str">
        <f>"1552380386657958"</f>
        <v>1552380386657958</v>
      </c>
      <c r="C6293" t="s">
        <v>40</v>
      </c>
      <c r="D6293">
        <v>4.6942349999999999</v>
      </c>
      <c r="E6293">
        <v>0.46847919999999998</v>
      </c>
      <c r="F6293" t="s">
        <v>41</v>
      </c>
      <c r="G6293">
        <v>-197.75550000000001</v>
      </c>
      <c r="H6293">
        <v>1.0470619999999999</v>
      </c>
      <c r="I6293">
        <v>-57.94811</v>
      </c>
      <c r="J6293">
        <v>-198.3177</v>
      </c>
      <c r="K6293">
        <v>1.120425</v>
      </c>
      <c r="L6293">
        <v>-58.717529999999996</v>
      </c>
      <c r="M6293">
        <v>0.89219419999999905</v>
      </c>
      <c r="N6293">
        <v>0</v>
      </c>
      <c r="O6293">
        <v>0.45139560000000001</v>
      </c>
      <c r="P6293">
        <v>0.69098280000000001</v>
      </c>
      <c r="Q6293">
        <v>0.1398151</v>
      </c>
      <c r="R6293">
        <v>0.70922109999999905</v>
      </c>
      <c r="S6293">
        <v>1.9609989999999999</v>
      </c>
      <c r="T6293">
        <v>-0.20469580000000001</v>
      </c>
      <c r="U6293">
        <v>2.3625790000000002</v>
      </c>
      <c r="V6293">
        <v>-0.32514080000000001</v>
      </c>
      <c r="W6293">
        <v>0.1448692</v>
      </c>
      <c r="X6293">
        <v>0.93450330000000004</v>
      </c>
      <c r="Y6293">
        <v>-0.39831549999999999</v>
      </c>
      <c r="Z6293">
        <v>-1.7714859999999999E-2</v>
      </c>
      <c r="AA6293">
        <v>0.91707740000000004</v>
      </c>
      <c r="AB6293">
        <v>32</v>
      </c>
      <c r="AC6293">
        <v>0.56219999999999004</v>
      </c>
      <c r="AD6293">
        <v>-7.3362999999999803E-2</v>
      </c>
      <c r="AE6293">
        <v>0.76942000000000299</v>
      </c>
      <c r="AF6293">
        <v>-0.43019778820875698</v>
      </c>
      <c r="AG6293">
        <v>-7.3362999999999803E-2</v>
      </c>
      <c r="AH6293">
        <v>0.84400031289875599</v>
      </c>
      <c r="AI6293">
        <v>94.428321069616999</v>
      </c>
      <c r="AJ6293">
        <v>117.008522684989</v>
      </c>
      <c r="AK6293">
        <v>0.95015198516969102</v>
      </c>
      <c r="AL6293">
        <v>81.670295252773997</v>
      </c>
      <c r="AM6293">
        <v>109.184268031199</v>
      </c>
      <c r="AN6293">
        <v>1.0000000213220801</v>
      </c>
    </row>
    <row r="6294" spans="1:40" x14ac:dyDescent="0.25">
      <c r="A6294" t="str">
        <f>"20190312164626673"</f>
        <v>20190312164626673</v>
      </c>
      <c r="B6294" t="str">
        <f>"1552380386667718"</f>
        <v>1552380386667718</v>
      </c>
      <c r="C6294" t="s">
        <v>40</v>
      </c>
      <c r="D6294">
        <v>4.5025060000000003</v>
      </c>
      <c r="E6294">
        <v>0.46870640000000002</v>
      </c>
      <c r="F6294" t="s">
        <v>52</v>
      </c>
      <c r="G6294">
        <v>-187.66139999999999</v>
      </c>
      <c r="H6294" s="1">
        <v>-5.4817499999999997E-6</v>
      </c>
      <c r="I6294">
        <v>-45.700510000000001</v>
      </c>
      <c r="J6294">
        <v>-198.17750000000001</v>
      </c>
      <c r="K6294">
        <v>1.1204449999999999</v>
      </c>
      <c r="L6294">
        <v>-58.640050000000002</v>
      </c>
      <c r="M6294">
        <v>0.88900619999999997</v>
      </c>
      <c r="N6294">
        <v>0</v>
      </c>
      <c r="O6294">
        <v>0.4576422</v>
      </c>
      <c r="P6294">
        <v>0.68639839999999996</v>
      </c>
      <c r="Q6294">
        <v>0.139492</v>
      </c>
      <c r="R6294">
        <v>0.71372199999999997</v>
      </c>
      <c r="S6294">
        <v>1.9447479999999999</v>
      </c>
      <c r="T6294">
        <v>-0.2044762</v>
      </c>
      <c r="U6294">
        <v>2.3755799999999998</v>
      </c>
      <c r="V6294">
        <v>-0.32466109999999998</v>
      </c>
      <c r="W6294">
        <v>0.144557399999999</v>
      </c>
      <c r="X6294">
        <v>0.9347183</v>
      </c>
      <c r="Y6294">
        <v>-0.39810859999999998</v>
      </c>
      <c r="Z6294">
        <v>-1.8164070000000001E-2</v>
      </c>
      <c r="AA6294">
        <v>0.91715849999999999</v>
      </c>
      <c r="AB6294">
        <v>32</v>
      </c>
      <c r="AC6294">
        <v>10.5161</v>
      </c>
      <c r="AD6294">
        <v>-1.1204504817500001</v>
      </c>
      <c r="AE6294">
        <v>12.939539999999999</v>
      </c>
      <c r="AF6294">
        <v>-6.6614151894615796</v>
      </c>
      <c r="AG6294">
        <v>-1.1204504817500001</v>
      </c>
      <c r="AH6294">
        <v>15.2036735182011</v>
      </c>
      <c r="AI6294">
        <v>93.8616738095876</v>
      </c>
      <c r="AJ6294">
        <v>113.660394237662</v>
      </c>
      <c r="AK6294">
        <v>16.636752990186899</v>
      </c>
      <c r="AL6294">
        <v>81.688349833623903</v>
      </c>
      <c r="AM6294">
        <v>109.153943065951</v>
      </c>
      <c r="AN6294">
        <v>0.99999998605142904</v>
      </c>
    </row>
    <row r="6295" spans="1:40" x14ac:dyDescent="0.25">
      <c r="A6295" t="str">
        <f>"20190312164626683"</f>
        <v>20190312164626683</v>
      </c>
      <c r="B6295" t="str">
        <f>"1552380386677477"</f>
        <v>1552380386677477</v>
      </c>
      <c r="C6295" t="s">
        <v>40</v>
      </c>
      <c r="D6295">
        <v>4.6342420000000004</v>
      </c>
      <c r="E6295">
        <v>0.46892040000000001</v>
      </c>
      <c r="F6295" t="s">
        <v>41</v>
      </c>
      <c r="G6295">
        <v>-197.46420000000001</v>
      </c>
      <c r="H6295">
        <v>1.044073</v>
      </c>
      <c r="I6295">
        <v>-57.757939999999998</v>
      </c>
      <c r="J6295">
        <v>-198.03739999999999</v>
      </c>
      <c r="K6295">
        <v>1.1204559999999999</v>
      </c>
      <c r="L6295">
        <v>-58.561100000000003</v>
      </c>
      <c r="M6295">
        <v>0.88575700000000002</v>
      </c>
      <c r="N6295">
        <v>0</v>
      </c>
      <c r="O6295">
        <v>0.46389940000000002</v>
      </c>
      <c r="P6295">
        <v>0.6814268</v>
      </c>
      <c r="Q6295">
        <v>0.1394522</v>
      </c>
      <c r="R6295">
        <v>0.71847810000000001</v>
      </c>
      <c r="S6295">
        <v>1.9303889999999999</v>
      </c>
      <c r="T6295">
        <v>-0.20667550000000001</v>
      </c>
      <c r="U6295">
        <v>2.387238</v>
      </c>
      <c r="V6295">
        <v>-0.32457079999999999</v>
      </c>
      <c r="W6295">
        <v>0.1445168</v>
      </c>
      <c r="X6295">
        <v>0.93475589999999997</v>
      </c>
      <c r="Y6295">
        <v>-0.3971789</v>
      </c>
      <c r="Z6295">
        <v>-1.8856410000000001E-2</v>
      </c>
      <c r="AA6295">
        <v>0.91754749999999996</v>
      </c>
      <c r="AB6295">
        <v>32</v>
      </c>
      <c r="AC6295">
        <v>0.57319999999998505</v>
      </c>
      <c r="AD6295">
        <v>-7.6382999999999798E-2</v>
      </c>
      <c r="AE6295">
        <v>0.80315999999999799</v>
      </c>
      <c r="AF6295">
        <v>-0.442895104505799</v>
      </c>
      <c r="AG6295">
        <v>-7.6382999999999798E-2</v>
      </c>
      <c r="AH6295">
        <v>0.87515911732754903</v>
      </c>
      <c r="AI6295">
        <v>94.4528979781104</v>
      </c>
      <c r="AJ6295">
        <v>116.842776970415</v>
      </c>
      <c r="AK6295">
        <v>0.98381599749431703</v>
      </c>
      <c r="AL6295">
        <v>81.690700436009294</v>
      </c>
      <c r="AM6295">
        <v>109.148289478463</v>
      </c>
      <c r="AN6295">
        <v>0.99999995113984297</v>
      </c>
    </row>
    <row r="6296" spans="1:40" x14ac:dyDescent="0.25">
      <c r="A6296" t="str">
        <f>"20190312164626696"</f>
        <v>20190312164626696</v>
      </c>
      <c r="B6296" t="str">
        <f>"1552380386687237"</f>
        <v>1552380386687237</v>
      </c>
      <c r="C6296" t="s">
        <v>40</v>
      </c>
      <c r="D6296">
        <v>4.4481640000000002</v>
      </c>
      <c r="E6296">
        <v>0.469082</v>
      </c>
      <c r="F6296" t="s">
        <v>52</v>
      </c>
      <c r="G6296">
        <v>-187.5283</v>
      </c>
      <c r="H6296" s="1">
        <v>-5.6162969999999899E-6</v>
      </c>
      <c r="I6296">
        <v>-45.386040000000001</v>
      </c>
      <c r="J6296">
        <v>-197.89420000000001</v>
      </c>
      <c r="K6296">
        <v>1.120466</v>
      </c>
      <c r="L6296">
        <v>-58.478940000000001</v>
      </c>
      <c r="M6296">
        <v>0.8823706</v>
      </c>
      <c r="N6296">
        <v>0</v>
      </c>
      <c r="O6296">
        <v>0.47030840000000002</v>
      </c>
      <c r="P6296">
        <v>0.67654449999999999</v>
      </c>
      <c r="Q6296">
        <v>0.13932</v>
      </c>
      <c r="R6296">
        <v>0.72310269999999899</v>
      </c>
      <c r="S6296">
        <v>1.9141239999999999</v>
      </c>
      <c r="T6296">
        <v>-0.2040795</v>
      </c>
      <c r="U6296">
        <v>2.399689</v>
      </c>
      <c r="V6296">
        <v>-0.32414860000000001</v>
      </c>
      <c r="W6296">
        <v>0.14439649999999901</v>
      </c>
      <c r="X6296">
        <v>0.934921</v>
      </c>
      <c r="Y6296">
        <v>-0.39665669999999997</v>
      </c>
      <c r="Z6296">
        <v>-1.911245E-2</v>
      </c>
      <c r="AA6296">
        <v>0.91776809999999998</v>
      </c>
      <c r="AB6296">
        <v>32</v>
      </c>
      <c r="AC6296">
        <v>10.3659</v>
      </c>
      <c r="AD6296">
        <v>-1.1204716162970001</v>
      </c>
      <c r="AE6296">
        <v>13.0929</v>
      </c>
      <c r="AF6296">
        <v>-6.6484649976263199</v>
      </c>
      <c r="AG6296">
        <v>-1.1204716162970001</v>
      </c>
      <c r="AH6296">
        <v>15.2374462271122</v>
      </c>
      <c r="AI6296">
        <v>93.855781626101802</v>
      </c>
      <c r="AJ6296">
        <v>113.57280320626499</v>
      </c>
      <c r="AK6296">
        <v>16.662452130215598</v>
      </c>
      <c r="AL6296">
        <v>81.697666340521707</v>
      </c>
      <c r="AM6296">
        <v>109.12205982887799</v>
      </c>
      <c r="AN6296">
        <v>0.999999970167604</v>
      </c>
    </row>
    <row r="6297" spans="1:40" x14ac:dyDescent="0.25">
      <c r="A6297" t="str">
        <f>"20190312164626705"</f>
        <v>20190312164626705</v>
      </c>
      <c r="B6297" t="str">
        <f>"1552380386696997"</f>
        <v>1552380386696997</v>
      </c>
      <c r="C6297" t="s">
        <v>40</v>
      </c>
      <c r="D6297">
        <v>4.3525679999999998</v>
      </c>
      <c r="E6297">
        <v>0.46928979999999998</v>
      </c>
      <c r="F6297" t="s">
        <v>52</v>
      </c>
      <c r="G6297">
        <v>-187.3963</v>
      </c>
      <c r="H6297" s="1">
        <v>-5.7096250000000004E-6</v>
      </c>
      <c r="I6297">
        <v>-45.135440000000003</v>
      </c>
      <c r="J6297">
        <v>-197.77180000000001</v>
      </c>
      <c r="K6297">
        <v>1.120476</v>
      </c>
      <c r="L6297">
        <v>-58.407960000000003</v>
      </c>
      <c r="M6297">
        <v>0.87942900000000002</v>
      </c>
      <c r="N6297">
        <v>0</v>
      </c>
      <c r="O6297">
        <v>0.47578599999999999</v>
      </c>
      <c r="P6297">
        <v>0.67250180000000004</v>
      </c>
      <c r="Q6297">
        <v>0.13911750000000001</v>
      </c>
      <c r="R6297">
        <v>0.72690279999999996</v>
      </c>
      <c r="S6297">
        <v>1.8977809999999999</v>
      </c>
      <c r="T6297">
        <v>-0.20255590000000001</v>
      </c>
      <c r="U6297">
        <v>2.412201</v>
      </c>
      <c r="V6297">
        <v>-0.3235787</v>
      </c>
      <c r="W6297">
        <v>0.14421289999999901</v>
      </c>
      <c r="X6297">
        <v>0.93514679999999994</v>
      </c>
      <c r="Y6297">
        <v>-0.39710889999999999</v>
      </c>
      <c r="Z6297">
        <v>-1.935837E-2</v>
      </c>
      <c r="AA6297">
        <v>0.91756729999999997</v>
      </c>
      <c r="AB6297">
        <v>32</v>
      </c>
      <c r="AC6297">
        <v>10.375500000000001</v>
      </c>
      <c r="AD6297">
        <v>-1.1204817096249999</v>
      </c>
      <c r="AE6297">
        <v>13.272519999999901</v>
      </c>
      <c r="AF6297">
        <v>-6.7068352090806096</v>
      </c>
      <c r="AG6297">
        <v>-1.1204817096249999</v>
      </c>
      <c r="AH6297">
        <v>15.373182950250699</v>
      </c>
      <c r="AI6297">
        <v>93.821950546561297</v>
      </c>
      <c r="AJ6297">
        <v>113.570126229642</v>
      </c>
      <c r="AK6297">
        <v>16.809874235259699</v>
      </c>
      <c r="AL6297">
        <v>81.708297669687397</v>
      </c>
      <c r="AM6297">
        <v>109.086599930258</v>
      </c>
      <c r="AN6297">
        <v>1.00000003658516</v>
      </c>
    </row>
    <row r="6298" spans="1:40" x14ac:dyDescent="0.25">
      <c r="A6298" t="str">
        <f>"20190312164626717"</f>
        <v>20190312164626717</v>
      </c>
      <c r="B6298" t="str">
        <f>"1552380386707733"</f>
        <v>1552380386707733</v>
      </c>
      <c r="C6298" t="s">
        <v>40</v>
      </c>
      <c r="D6298">
        <v>4.3664620000000003</v>
      </c>
      <c r="E6298">
        <v>0.4695106</v>
      </c>
      <c r="F6298" t="s">
        <v>52</v>
      </c>
      <c r="G6298">
        <v>-187.27019999999999</v>
      </c>
      <c r="H6298" s="1">
        <v>-5.7892359999999997E-6</v>
      </c>
      <c r="I6298">
        <v>-44.916359999999997</v>
      </c>
      <c r="J6298">
        <v>-197.63919999999999</v>
      </c>
      <c r="K6298">
        <v>1.120484</v>
      </c>
      <c r="L6298">
        <v>-58.329410000000003</v>
      </c>
      <c r="M6298">
        <v>0.87618419999999897</v>
      </c>
      <c r="N6298">
        <v>0</v>
      </c>
      <c r="O6298">
        <v>0.48173510000000003</v>
      </c>
      <c r="P6298">
        <v>0.66769429999999996</v>
      </c>
      <c r="Q6298">
        <v>0.1388055</v>
      </c>
      <c r="R6298">
        <v>0.73138049999999999</v>
      </c>
      <c r="S6298">
        <v>1.8849640000000001</v>
      </c>
      <c r="T6298">
        <v>-0.20111989999999999</v>
      </c>
      <c r="U6298">
        <v>2.4216609999999998</v>
      </c>
      <c r="V6298">
        <v>-0.32345279999999998</v>
      </c>
      <c r="W6298">
        <v>0.1439057</v>
      </c>
      <c r="X6298">
        <v>0.9352376</v>
      </c>
      <c r="Y6298">
        <v>-0.39566030000000002</v>
      </c>
      <c r="Z6298">
        <v>-1.970471E-2</v>
      </c>
      <c r="AA6298">
        <v>0.91818549999999999</v>
      </c>
      <c r="AB6298">
        <v>32</v>
      </c>
      <c r="AC6298">
        <v>10.369</v>
      </c>
      <c r="AD6298">
        <v>-1.120489789236</v>
      </c>
      <c r="AE6298">
        <v>13.413049999999901</v>
      </c>
      <c r="AF6298">
        <v>-6.7285860922991301</v>
      </c>
      <c r="AG6298">
        <v>-1.120489789236</v>
      </c>
      <c r="AH6298">
        <v>15.480877325575401</v>
      </c>
      <c r="AI6298">
        <v>93.797726538994297</v>
      </c>
      <c r="AJ6298">
        <v>113.491623648051</v>
      </c>
      <c r="AK6298">
        <v>16.9170603515735</v>
      </c>
      <c r="AL6298">
        <v>81.726083880745804</v>
      </c>
      <c r="AM6298">
        <v>109.07799217072299</v>
      </c>
      <c r="AN6298">
        <v>0.99999996638704403</v>
      </c>
    </row>
    <row r="6299" spans="1:40" x14ac:dyDescent="0.25">
      <c r="A6299" t="str">
        <f>"20190312164626728"</f>
        <v>20190312164626728</v>
      </c>
      <c r="B6299" t="str">
        <f>"1552380386717493"</f>
        <v>1552380386717493</v>
      </c>
      <c r="C6299" t="s">
        <v>40</v>
      </c>
      <c r="D6299">
        <v>4.3364589999999996</v>
      </c>
      <c r="E6299">
        <v>0.4697421</v>
      </c>
      <c r="F6299" t="s">
        <v>52</v>
      </c>
      <c r="G6299">
        <v>-187.19120000000001</v>
      </c>
      <c r="H6299" s="1">
        <v>-5.86022799999999E-6</v>
      </c>
      <c r="I6299">
        <v>-44.733759999999997</v>
      </c>
      <c r="J6299">
        <v>-197.50040000000001</v>
      </c>
      <c r="K6299">
        <v>1.1204879999999999</v>
      </c>
      <c r="L6299">
        <v>-58.246580000000002</v>
      </c>
      <c r="M6299">
        <v>0.8727374</v>
      </c>
      <c r="N6299">
        <v>0</v>
      </c>
      <c r="O6299">
        <v>0.48795149999999998</v>
      </c>
      <c r="P6299">
        <v>0.66266780000000003</v>
      </c>
      <c r="Q6299">
        <v>0.13865939999999999</v>
      </c>
      <c r="R6299">
        <v>0.73596539999999999</v>
      </c>
      <c r="S6299">
        <v>1.86972</v>
      </c>
      <c r="T6299">
        <v>-0.20051769999999999</v>
      </c>
      <c r="U6299">
        <v>2.433014</v>
      </c>
      <c r="V6299">
        <v>-0.32323380000000002</v>
      </c>
      <c r="W6299">
        <v>0.143767899999999</v>
      </c>
      <c r="X6299">
        <v>0.93533460000000002</v>
      </c>
      <c r="Y6299">
        <v>-0.39482800000000001</v>
      </c>
      <c r="Z6299">
        <v>-2.0126950000000001E-2</v>
      </c>
      <c r="AA6299">
        <v>0.91853459999999998</v>
      </c>
      <c r="AB6299">
        <v>32</v>
      </c>
      <c r="AC6299">
        <v>10.309200000000001</v>
      </c>
      <c r="AD6299">
        <v>-1.1204938602279999</v>
      </c>
      <c r="AE6299">
        <v>13.51282</v>
      </c>
      <c r="AF6299">
        <v>-6.7342726346776702</v>
      </c>
      <c r="AG6299">
        <v>-1.1204938602279999</v>
      </c>
      <c r="AH6299">
        <v>15.525164852966</v>
      </c>
      <c r="AI6299">
        <v>93.788143571245001</v>
      </c>
      <c r="AJ6299">
        <v>113.449510630655</v>
      </c>
      <c r="AK6299">
        <v>16.959854896806998</v>
      </c>
      <c r="AL6299">
        <v>81.734062950597405</v>
      </c>
      <c r="AM6299">
        <v>109.064173473224</v>
      </c>
      <c r="AN6299">
        <v>1.000000056245</v>
      </c>
    </row>
    <row r="6300" spans="1:40" x14ac:dyDescent="0.25">
      <c r="A6300" t="str">
        <f>"20190312164626739"</f>
        <v>20190312164626739</v>
      </c>
      <c r="B6300" t="str">
        <f>"1552380386727252"</f>
        <v>1552380386727252</v>
      </c>
      <c r="C6300" t="s">
        <v>40</v>
      </c>
      <c r="D6300">
        <v>4.5718839999999998</v>
      </c>
      <c r="E6300">
        <v>0.46998640000000003</v>
      </c>
      <c r="F6300" t="s">
        <v>52</v>
      </c>
      <c r="G6300">
        <v>-187.07900000000001</v>
      </c>
      <c r="H6300" s="1">
        <v>-5.9454559999999997E-6</v>
      </c>
      <c r="I6300">
        <v>-44.507910000000003</v>
      </c>
      <c r="J6300">
        <v>-197.3723</v>
      </c>
      <c r="K6300">
        <v>1.1204860000000001</v>
      </c>
      <c r="L6300">
        <v>-58.167999999999999</v>
      </c>
      <c r="M6300">
        <v>0.86948910000000001</v>
      </c>
      <c r="N6300">
        <v>0</v>
      </c>
      <c r="O6300">
        <v>0.4937163</v>
      </c>
      <c r="P6300">
        <v>0.65790019999999905</v>
      </c>
      <c r="Q6300">
        <v>0.1383836</v>
      </c>
      <c r="R6300">
        <v>0.74028190000000005</v>
      </c>
      <c r="S6300">
        <v>1.854141</v>
      </c>
      <c r="T6300">
        <v>-0.19935439999999999</v>
      </c>
      <c r="U6300">
        <v>2.4443359999999998</v>
      </c>
      <c r="V6300">
        <v>-0.32312380000000002</v>
      </c>
      <c r="W6300">
        <v>0.14349799999999999</v>
      </c>
      <c r="X6300">
        <v>0.93541399999999997</v>
      </c>
      <c r="Y6300">
        <v>-0.39452019999999999</v>
      </c>
      <c r="Z6300">
        <v>-2.0440679999999999E-2</v>
      </c>
      <c r="AA6300">
        <v>0.91865989999999997</v>
      </c>
      <c r="AB6300">
        <v>32</v>
      </c>
      <c r="AC6300">
        <v>10.293299999999901</v>
      </c>
      <c r="AD6300">
        <v>-1.1204919454560001</v>
      </c>
      <c r="AE6300">
        <v>13.66009</v>
      </c>
      <c r="AF6300">
        <v>-6.7670794265778804</v>
      </c>
      <c r="AG6300">
        <v>-1.1204919454560001</v>
      </c>
      <c r="AH6300">
        <v>15.628876722228799</v>
      </c>
      <c r="AI6300">
        <v>93.764138876849898</v>
      </c>
      <c r="AJ6300">
        <v>113.411919452352</v>
      </c>
      <c r="AK6300">
        <v>17.0678251035119</v>
      </c>
      <c r="AL6300">
        <v>81.749688713335402</v>
      </c>
      <c r="AM6300">
        <v>109.05665285766401</v>
      </c>
      <c r="AN6300">
        <v>1.0000000087632199</v>
      </c>
    </row>
    <row r="6301" spans="1:40" x14ac:dyDescent="0.25">
      <c r="A6301" t="str">
        <f>"20190312164626750"</f>
        <v>20190312164626750</v>
      </c>
      <c r="B6301" t="str">
        <f>"1552380386747748"</f>
        <v>1552380386747748</v>
      </c>
      <c r="C6301" t="s">
        <v>40</v>
      </c>
      <c r="D6301">
        <v>4.4432879999999999</v>
      </c>
      <c r="E6301">
        <v>0.46982859999999999</v>
      </c>
      <c r="F6301" t="s">
        <v>52</v>
      </c>
      <c r="G6301">
        <v>-187.02869999999999</v>
      </c>
      <c r="H6301" s="1">
        <v>-6.0042369999999996E-6</v>
      </c>
      <c r="I6301">
        <v>-44.362520000000004</v>
      </c>
      <c r="J6301">
        <v>-197.2423</v>
      </c>
      <c r="K6301">
        <v>1.1204860000000001</v>
      </c>
      <c r="L6301">
        <v>-58.087980000000002</v>
      </c>
      <c r="M6301">
        <v>0.86615239999999905</v>
      </c>
      <c r="N6301">
        <v>0</v>
      </c>
      <c r="O6301">
        <v>0.49954680000000001</v>
      </c>
      <c r="P6301">
        <v>0.65315009999999996</v>
      </c>
      <c r="Q6301">
        <v>0.1384716</v>
      </c>
      <c r="R6301">
        <v>0.74445989999999995</v>
      </c>
      <c r="S6301">
        <v>1.8394010000000001</v>
      </c>
      <c r="T6301">
        <v>-0.19925870000000001</v>
      </c>
      <c r="U6301">
        <v>2.4550480000000001</v>
      </c>
      <c r="V6301">
        <v>-0.32281349999999998</v>
      </c>
      <c r="W6301">
        <v>0.14359849999999999</v>
      </c>
      <c r="X6301">
        <v>0.9355057</v>
      </c>
      <c r="Y6301">
        <v>-0.393812</v>
      </c>
      <c r="Z6301">
        <v>-2.087818E-2</v>
      </c>
      <c r="AA6301">
        <v>0.91895389999999999</v>
      </c>
      <c r="AB6301">
        <v>32</v>
      </c>
      <c r="AC6301">
        <v>10.2136</v>
      </c>
      <c r="AD6301">
        <v>-1.1204920042369999</v>
      </c>
      <c r="AE6301">
        <v>13.725459999999901</v>
      </c>
      <c r="AF6301">
        <v>-6.7579727502669797</v>
      </c>
      <c r="AG6301">
        <v>-1.1204920042369999</v>
      </c>
      <c r="AH6301">
        <v>15.6377984568951</v>
      </c>
      <c r="AI6301">
        <v>93.763131550288804</v>
      </c>
      <c r="AJ6301">
        <v>113.371889799207</v>
      </c>
      <c r="AK6301">
        <v>17.0723881927333</v>
      </c>
      <c r="AL6301">
        <v>81.743870153311406</v>
      </c>
      <c r="AM6301">
        <v>109.03793892274901</v>
      </c>
      <c r="AN6301">
        <v>0.99999999985849497</v>
      </c>
    </row>
    <row r="6302" spans="1:40" x14ac:dyDescent="0.25">
      <c r="A6302" t="str">
        <f>"20190312164626764"</f>
        <v>20190312164626764</v>
      </c>
      <c r="B6302" t="str">
        <f>"1552380386757508"</f>
        <v>1552380386757508</v>
      </c>
      <c r="C6302" t="s">
        <v>40</v>
      </c>
      <c r="D6302">
        <v>4.3347119999999997</v>
      </c>
      <c r="E6302">
        <v>0.46982859999999999</v>
      </c>
      <c r="F6302" t="s">
        <v>41</v>
      </c>
      <c r="G6302">
        <v>-196.56819999999999</v>
      </c>
      <c r="H6302">
        <v>1.0460069999999999</v>
      </c>
      <c r="I6302">
        <v>-57.1751199999999</v>
      </c>
      <c r="J6302">
        <v>-197.0727</v>
      </c>
      <c r="K6302">
        <v>1.120485</v>
      </c>
      <c r="L6302">
        <v>-57.981020000000001</v>
      </c>
      <c r="M6302">
        <v>0.86170780000000002</v>
      </c>
      <c r="N6302">
        <v>0</v>
      </c>
      <c r="O6302">
        <v>0.50717500000000004</v>
      </c>
      <c r="P6302">
        <v>0.64674219999999905</v>
      </c>
      <c r="Q6302">
        <v>0.1382776</v>
      </c>
      <c r="R6302">
        <v>0.75006919999999899</v>
      </c>
      <c r="S6302">
        <v>1.822662</v>
      </c>
      <c r="T6302">
        <v>-0.2013645</v>
      </c>
      <c r="U6302">
        <v>2.4681090000000001</v>
      </c>
      <c r="V6302">
        <v>-0.32260080000000002</v>
      </c>
      <c r="W6302">
        <v>0.14341690000000001</v>
      </c>
      <c r="X6302">
        <v>0.93560690000000002</v>
      </c>
      <c r="Y6302">
        <v>-0.39207039999999999</v>
      </c>
      <c r="Z6302">
        <v>-2.1710190000000001E-2</v>
      </c>
      <c r="AA6302">
        <v>0.91967900000000002</v>
      </c>
      <c r="AB6302">
        <v>32</v>
      </c>
      <c r="AC6302">
        <v>0.50450000000000705</v>
      </c>
      <c r="AD6302">
        <v>-7.4478000000000003E-2</v>
      </c>
      <c r="AE6302">
        <v>0.80590000000000095</v>
      </c>
      <c r="AF6302">
        <v>-0.43595661491482102</v>
      </c>
      <c r="AG6302">
        <v>-7.4478000000000003E-2</v>
      </c>
      <c r="AH6302">
        <v>0.838417691639328</v>
      </c>
      <c r="AI6302">
        <v>94.506376945773894</v>
      </c>
      <c r="AJ6302">
        <v>117.473324310688</v>
      </c>
      <c r="AK6302">
        <v>0.94791843964858602</v>
      </c>
      <c r="AL6302">
        <v>81.754383705580494</v>
      </c>
      <c r="AM6302">
        <v>109.024387219687</v>
      </c>
      <c r="AN6302">
        <v>0.99999997734692903</v>
      </c>
    </row>
    <row r="6303" spans="1:40" x14ac:dyDescent="0.25">
      <c r="A6303" t="str">
        <f>"20190312164626774"</f>
        <v>20190312164626774</v>
      </c>
      <c r="B6303" t="str">
        <f>"1552380386767268"</f>
        <v>1552380386767268</v>
      </c>
      <c r="C6303" t="s">
        <v>40</v>
      </c>
      <c r="D6303">
        <v>4.3079150000000004</v>
      </c>
      <c r="E6303">
        <v>0.44733020000000001</v>
      </c>
      <c r="F6303" t="s">
        <v>52</v>
      </c>
      <c r="G6303">
        <v>-187.07660000000001</v>
      </c>
      <c r="H6303" s="1">
        <v>-6.089727E-6</v>
      </c>
      <c r="I6303">
        <v>-44.197270000000003</v>
      </c>
      <c r="J6303">
        <v>-196.9614</v>
      </c>
      <c r="K6303">
        <v>1.1204769999999999</v>
      </c>
      <c r="L6303">
        <v>-57.909700000000001</v>
      </c>
      <c r="M6303">
        <v>0.85874079999999997</v>
      </c>
      <c r="N6303">
        <v>0</v>
      </c>
      <c r="O6303">
        <v>0.51218249999999999</v>
      </c>
      <c r="P6303">
        <v>0.64242319999999997</v>
      </c>
      <c r="Q6303">
        <v>0.13820479999999999</v>
      </c>
      <c r="R6303">
        <v>0.75378509999999999</v>
      </c>
      <c r="S6303">
        <v>1.801239</v>
      </c>
      <c r="T6303">
        <v>-0.20190449999999999</v>
      </c>
      <c r="U6303">
        <v>2.4837340000000001</v>
      </c>
      <c r="V6303">
        <v>-0.32253749999999998</v>
      </c>
      <c r="W6303">
        <v>0.143349799999999</v>
      </c>
      <c r="X6303">
        <v>0.935639</v>
      </c>
      <c r="Y6303">
        <v>-0.39466630000000003</v>
      </c>
      <c r="Z6303">
        <v>-2.205433E-2</v>
      </c>
      <c r="AA6303">
        <v>0.91855980000000004</v>
      </c>
      <c r="AB6303">
        <v>32</v>
      </c>
      <c r="AC6303">
        <v>9.8847999999999807</v>
      </c>
      <c r="AD6303">
        <v>-1.1204830897269999</v>
      </c>
      <c r="AE6303">
        <v>13.7124299999999</v>
      </c>
      <c r="AF6303">
        <v>-6.6840165952437802</v>
      </c>
      <c r="AG6303">
        <v>-1.1204830897269999</v>
      </c>
      <c r="AH6303">
        <v>15.445692524373101</v>
      </c>
      <c r="AI6303">
        <v>93.808956333115503</v>
      </c>
      <c r="AJ6303">
        <v>113.40021428336701</v>
      </c>
      <c r="AK6303">
        <v>16.8671567775169</v>
      </c>
      <c r="AL6303">
        <v>81.758268341003003</v>
      </c>
      <c r="AM6303">
        <v>109.020316933223</v>
      </c>
      <c r="AN6303">
        <v>0.99999997119364403</v>
      </c>
    </row>
    <row r="6304" spans="1:40" x14ac:dyDescent="0.25">
      <c r="A6304" t="str">
        <f>"20190312164626785"</f>
        <v>20190312164626785</v>
      </c>
      <c r="B6304" t="str">
        <f>"1552380386777029"</f>
        <v>1552380386777029</v>
      </c>
      <c r="C6304" t="s">
        <v>40</v>
      </c>
      <c r="D6304">
        <v>4.3070700000000004</v>
      </c>
      <c r="E6304">
        <v>0.44544810000000001</v>
      </c>
      <c r="F6304" t="s">
        <v>41</v>
      </c>
      <c r="G6304">
        <v>-196.40799999999999</v>
      </c>
      <c r="H6304">
        <v>1.0437989999999999</v>
      </c>
      <c r="I6304">
        <v>-57.034309999999998</v>
      </c>
      <c r="J6304">
        <v>-196.821</v>
      </c>
      <c r="K6304">
        <v>1.1204700000000001</v>
      </c>
      <c r="L6304">
        <v>-57.8187</v>
      </c>
      <c r="M6304">
        <v>0.85494539999999997</v>
      </c>
      <c r="N6304">
        <v>0</v>
      </c>
      <c r="O6304">
        <v>0.51849290000000003</v>
      </c>
      <c r="P6304">
        <v>0.63717829999999998</v>
      </c>
      <c r="Q6304">
        <v>0.13784759999999999</v>
      </c>
      <c r="R6304">
        <v>0.75828879999999999</v>
      </c>
      <c r="S6304">
        <v>1.652161</v>
      </c>
      <c r="T6304">
        <v>-0.2289243</v>
      </c>
      <c r="U6304">
        <v>2.6138309999999998</v>
      </c>
      <c r="V6304">
        <v>-0.32218190000000002</v>
      </c>
      <c r="W6304">
        <v>0.14301050000000001</v>
      </c>
      <c r="X6304">
        <v>0.93581349999999996</v>
      </c>
      <c r="Y6304">
        <v>-0.44576480000000002</v>
      </c>
      <c r="Z6304">
        <v>-2.3460100000000001E-2</v>
      </c>
      <c r="AA6304">
        <v>0.89484269999999999</v>
      </c>
      <c r="AB6304">
        <v>32</v>
      </c>
      <c r="AC6304">
        <v>0.41300000000001003</v>
      </c>
      <c r="AD6304">
        <v>-7.66710000000001E-2</v>
      </c>
      <c r="AE6304">
        <v>0.78439000000000103</v>
      </c>
      <c r="AF6304">
        <v>-0.45313666795082103</v>
      </c>
      <c r="AG6304">
        <v>-7.66710000000001E-2</v>
      </c>
      <c r="AH6304">
        <v>0.75423972651508098</v>
      </c>
      <c r="AI6304">
        <v>94.979992450646805</v>
      </c>
      <c r="AJ6304">
        <v>120.996858618571</v>
      </c>
      <c r="AK6304">
        <v>0.88322638498638495</v>
      </c>
      <c r="AL6304">
        <v>81.777911783809799</v>
      </c>
      <c r="AM6304">
        <v>108.997562626034</v>
      </c>
      <c r="AN6304">
        <v>1.00000004329005</v>
      </c>
    </row>
    <row r="6305" spans="1:40" x14ac:dyDescent="0.25">
      <c r="A6305" t="str">
        <f>"20190312164626798"</f>
        <v>20190312164626798</v>
      </c>
      <c r="B6305" t="str">
        <f>"1552380386787765"</f>
        <v>1552380386787765</v>
      </c>
      <c r="C6305" t="s">
        <v>40</v>
      </c>
      <c r="D6305">
        <v>4.4220759999999997</v>
      </c>
      <c r="E6305">
        <v>0.44387860000000001</v>
      </c>
      <c r="F6305" t="s">
        <v>52</v>
      </c>
      <c r="G6305">
        <v>-188.59370000000001</v>
      </c>
      <c r="H6305" s="1">
        <v>-6.2064289999999997E-6</v>
      </c>
      <c r="I6305">
        <v>-44.457979999999999</v>
      </c>
      <c r="J6305">
        <v>-196.68010000000001</v>
      </c>
      <c r="K6305">
        <v>1.1204609999999999</v>
      </c>
      <c r="L6305">
        <v>-57.7254</v>
      </c>
      <c r="M6305">
        <v>0.85106409999999999</v>
      </c>
      <c r="N6305">
        <v>0</v>
      </c>
      <c r="O6305">
        <v>0.52483930000000001</v>
      </c>
      <c r="P6305">
        <v>0.63161129999999999</v>
      </c>
      <c r="Q6305">
        <v>0.13734540000000001</v>
      </c>
      <c r="R6305">
        <v>0.76302250000000005</v>
      </c>
      <c r="S6305">
        <v>1.62178</v>
      </c>
      <c r="T6305">
        <v>-0.2208686</v>
      </c>
      <c r="U6305">
        <v>2.633667</v>
      </c>
      <c r="V6305">
        <v>-0.322129099999999</v>
      </c>
      <c r="W6305">
        <v>0.1425178</v>
      </c>
      <c r="X6305">
        <v>0.93590680000000004</v>
      </c>
      <c r="Y6305">
        <v>-0.44959710000000003</v>
      </c>
      <c r="Z6305">
        <v>-2.301187E-2</v>
      </c>
      <c r="AA6305">
        <v>0.89293500000000003</v>
      </c>
      <c r="AB6305">
        <v>32</v>
      </c>
      <c r="AC6305">
        <v>8.0863999999999905</v>
      </c>
      <c r="AD6305">
        <v>-1.120467206429</v>
      </c>
      <c r="AE6305">
        <v>13.26742</v>
      </c>
      <c r="AF6305">
        <v>-7.0117239979556896</v>
      </c>
      <c r="AG6305">
        <v>-1.120467206429</v>
      </c>
      <c r="AH6305">
        <v>13.775288851814</v>
      </c>
      <c r="AI6305">
        <v>94.146044672126493</v>
      </c>
      <c r="AJ6305">
        <v>116.976430818369</v>
      </c>
      <c r="AK6305">
        <v>15.4976870253307</v>
      </c>
      <c r="AL6305">
        <v>81.8064332894795</v>
      </c>
      <c r="AM6305">
        <v>108.99291456543099</v>
      </c>
      <c r="AN6305">
        <v>1.0000000093349399</v>
      </c>
    </row>
    <row r="6306" spans="1:40" x14ac:dyDescent="0.25">
      <c r="A6306" t="str">
        <f>"20190312164626814"</f>
        <v>20190312164626814</v>
      </c>
      <c r="B6306" t="str">
        <f>"1552380386807285"</f>
        <v>1552380386807285</v>
      </c>
      <c r="C6306" t="s">
        <v>40</v>
      </c>
      <c r="D6306">
        <v>4.3715479999999998</v>
      </c>
      <c r="E6306">
        <v>0.44498870000000001</v>
      </c>
      <c r="F6306" t="s">
        <v>41</v>
      </c>
      <c r="G6306">
        <v>-196.17590000000001</v>
      </c>
      <c r="H6306">
        <v>1.0481180000000001</v>
      </c>
      <c r="I6306">
        <v>-56.885159999999999</v>
      </c>
      <c r="J6306">
        <v>-196.5087</v>
      </c>
      <c r="K6306">
        <v>1.1204540000000001</v>
      </c>
      <c r="L6306">
        <v>-57.6104699999999</v>
      </c>
      <c r="M6306">
        <v>0.84626650000000003</v>
      </c>
      <c r="N6306">
        <v>0</v>
      </c>
      <c r="O6306">
        <v>0.53254040000000002</v>
      </c>
      <c r="P6306">
        <v>0.62485840000000004</v>
      </c>
      <c r="Q6306">
        <v>0.1369602</v>
      </c>
      <c r="R6306">
        <v>0.76863119999999996</v>
      </c>
      <c r="S6306">
        <v>1.5928340000000001</v>
      </c>
      <c r="T6306">
        <v>-0.22853770000000001</v>
      </c>
      <c r="U6306">
        <v>2.6543580000000002</v>
      </c>
      <c r="V6306">
        <v>-0.32193290000000002</v>
      </c>
      <c r="W6306">
        <v>0.1421501</v>
      </c>
      <c r="X6306">
        <v>0.93603020000000003</v>
      </c>
      <c r="Y6306">
        <v>-0.45174340000000002</v>
      </c>
      <c r="Z6306">
        <v>-2.4359970000000002E-2</v>
      </c>
      <c r="AA6306">
        <v>0.89181520000000003</v>
      </c>
      <c r="AB6306">
        <v>32</v>
      </c>
      <c r="AC6306">
        <v>0.33279999999999099</v>
      </c>
      <c r="AD6306">
        <v>-7.23359999999999E-2</v>
      </c>
      <c r="AE6306">
        <v>0.72530999999999302</v>
      </c>
      <c r="AF6306">
        <v>-0.433068843843394</v>
      </c>
      <c r="AG6306">
        <v>-7.23359999999999E-2</v>
      </c>
      <c r="AH6306">
        <v>0.66252879040066004</v>
      </c>
      <c r="AI6306">
        <v>95.2217283494589</v>
      </c>
      <c r="AJ6306">
        <v>123.171056060254</v>
      </c>
      <c r="AK6306">
        <v>0.79481162454610299</v>
      </c>
      <c r="AL6306">
        <v>81.827717484224493</v>
      </c>
      <c r="AM6306">
        <v>108.979851437839</v>
      </c>
      <c r="AN6306">
        <v>0.99999998917222899</v>
      </c>
    </row>
    <row r="6307" spans="1:40" x14ac:dyDescent="0.25">
      <c r="A6307" t="str">
        <f>"20190312164626830"</f>
        <v>20190312164626830</v>
      </c>
      <c r="B6307" t="str">
        <f>"1552380386827781"</f>
        <v>1552380386827781</v>
      </c>
      <c r="C6307" t="s">
        <v>40</v>
      </c>
      <c r="D6307">
        <v>4.351756</v>
      </c>
      <c r="E6307">
        <v>0.44561899999999999</v>
      </c>
      <c r="F6307" t="s">
        <v>41</v>
      </c>
      <c r="G6307">
        <v>-195.97309999999999</v>
      </c>
      <c r="H6307">
        <v>1.0390280000000001</v>
      </c>
      <c r="I6307">
        <v>-56.705730000000003</v>
      </c>
      <c r="J6307">
        <v>-196.31209999999999</v>
      </c>
      <c r="K6307">
        <v>1.1204350000000001</v>
      </c>
      <c r="L6307">
        <v>-57.475769999999997</v>
      </c>
      <c r="M6307">
        <v>0.84064179999999999</v>
      </c>
      <c r="N6307">
        <v>0</v>
      </c>
      <c r="O6307">
        <v>0.54137579999999996</v>
      </c>
      <c r="P6307">
        <v>0.61762419999999996</v>
      </c>
      <c r="Q6307">
        <v>0.1352061</v>
      </c>
      <c r="R6307">
        <v>0.77476429999999996</v>
      </c>
      <c r="S6307">
        <v>1.576797</v>
      </c>
      <c r="T6307">
        <v>-0.2397397</v>
      </c>
      <c r="U6307">
        <v>2.6638790000000001</v>
      </c>
      <c r="V6307">
        <v>-0.32110640000000001</v>
      </c>
      <c r="W6307">
        <v>0.14044079999999901</v>
      </c>
      <c r="X6307">
        <v>0.93657199999999996</v>
      </c>
      <c r="Y6307">
        <v>-0.44779970000000002</v>
      </c>
      <c r="Z6307">
        <v>-2.6487699999999999E-2</v>
      </c>
      <c r="AA6307">
        <v>0.89374149999999997</v>
      </c>
      <c r="AB6307">
        <v>32</v>
      </c>
      <c r="AC6307">
        <v>0.33899999999999803</v>
      </c>
      <c r="AD6307">
        <v>-8.1406999999999993E-2</v>
      </c>
      <c r="AE6307">
        <v>0.77003999999999395</v>
      </c>
      <c r="AF6307">
        <v>-0.45955332358583101</v>
      </c>
      <c r="AG6307">
        <v>-8.1406999999999993E-2</v>
      </c>
      <c r="AH6307">
        <v>0.69543006452382805</v>
      </c>
      <c r="AI6307">
        <v>95.577962189140095</v>
      </c>
      <c r="AJ6307">
        <v>123.45748135622399</v>
      </c>
      <c r="AK6307">
        <v>0.83751974992318801</v>
      </c>
      <c r="AL6307">
        <v>81.926645963554506</v>
      </c>
      <c r="AM6307">
        <v>108.92442545106999</v>
      </c>
      <c r="AN6307">
        <v>1.00000002480479</v>
      </c>
    </row>
    <row r="6308" spans="1:40" x14ac:dyDescent="0.25">
      <c r="A6308" t="str">
        <f>"20190312164626844"</f>
        <v>20190312164626844</v>
      </c>
      <c r="B6308" t="str">
        <f>"1552380386837541"</f>
        <v>1552380386837541</v>
      </c>
      <c r="C6308" t="s">
        <v>40</v>
      </c>
      <c r="D6308">
        <v>4.3396540000000003</v>
      </c>
      <c r="E6308">
        <v>0.446656</v>
      </c>
      <c r="F6308" t="s">
        <v>41</v>
      </c>
      <c r="G6308">
        <v>-195.76419999999999</v>
      </c>
      <c r="H6308">
        <v>1.0333410000000001</v>
      </c>
      <c r="I6308">
        <v>-56.532899999999998</v>
      </c>
      <c r="J6308">
        <v>-196.1481</v>
      </c>
      <c r="K6308">
        <v>1.120411</v>
      </c>
      <c r="L6308">
        <v>-57.36063</v>
      </c>
      <c r="M6308">
        <v>0.83584919999999996</v>
      </c>
      <c r="N6308">
        <v>0</v>
      </c>
      <c r="O6308">
        <v>0.54874619999999996</v>
      </c>
      <c r="P6308">
        <v>0.61121289999999995</v>
      </c>
      <c r="Q6308">
        <v>0.13450419999999999</v>
      </c>
      <c r="R6308">
        <v>0.77995340000000002</v>
      </c>
      <c r="S6308">
        <v>1.55484</v>
      </c>
      <c r="T6308">
        <v>-0.2471691</v>
      </c>
      <c r="U6308">
        <v>2.6757810000000002</v>
      </c>
      <c r="V6308">
        <v>-0.32067050000000002</v>
      </c>
      <c r="W6308">
        <v>0.13976849999999999</v>
      </c>
      <c r="X6308">
        <v>0.93682189999999999</v>
      </c>
      <c r="Y6308">
        <v>-0.44716860000000003</v>
      </c>
      <c r="Z6308">
        <v>-2.8014799999999999E-2</v>
      </c>
      <c r="AA6308">
        <v>0.89401090000000005</v>
      </c>
      <c r="AB6308">
        <v>32</v>
      </c>
      <c r="AC6308">
        <v>0.38390000000001101</v>
      </c>
      <c r="AD6308">
        <v>-8.7069999999999897E-2</v>
      </c>
      <c r="AE6308">
        <v>0.82773000000000896</v>
      </c>
      <c r="AF6308">
        <v>-0.476907150785985</v>
      </c>
      <c r="AG6308">
        <v>-8.7069999999999897E-2</v>
      </c>
      <c r="AH6308">
        <v>0.76819137397648996</v>
      </c>
      <c r="AI6308">
        <v>95.500405975347505</v>
      </c>
      <c r="AJ6308">
        <v>121.83276113518799</v>
      </c>
      <c r="AK6308">
        <v>0.908371951582992</v>
      </c>
      <c r="AL6308">
        <v>81.965549739084196</v>
      </c>
      <c r="AM6308">
        <v>108.895876275692</v>
      </c>
      <c r="AN6308">
        <v>1.0000000377410501</v>
      </c>
    </row>
    <row r="6309" spans="1:40" x14ac:dyDescent="0.25">
      <c r="A6309" t="str">
        <f>"20190312164626864"</f>
        <v>20190312164626864</v>
      </c>
      <c r="B6309" t="str">
        <f>"1552380386858037"</f>
        <v>1552380386858037</v>
      </c>
      <c r="C6309" t="s">
        <v>40</v>
      </c>
      <c r="D6309">
        <v>4.381958</v>
      </c>
      <c r="E6309">
        <v>0.44749679999999997</v>
      </c>
      <c r="F6309" t="s">
        <v>41</v>
      </c>
      <c r="G6309">
        <v>-195.65629999999999</v>
      </c>
      <c r="H6309">
        <v>1.0389219999999999</v>
      </c>
      <c r="I6309">
        <v>-56.503070000000001</v>
      </c>
      <c r="J6309">
        <v>-195.9238</v>
      </c>
      <c r="K6309">
        <v>1.1203780000000001</v>
      </c>
      <c r="L6309">
        <v>-57.200040000000001</v>
      </c>
      <c r="M6309">
        <v>0.82915479999999997</v>
      </c>
      <c r="N6309">
        <v>0</v>
      </c>
      <c r="O6309">
        <v>0.55881009999999998</v>
      </c>
      <c r="P6309">
        <v>0.60233449999999999</v>
      </c>
      <c r="Q6309">
        <v>0.133077</v>
      </c>
      <c r="R6309">
        <v>0.78707280000000002</v>
      </c>
      <c r="S6309">
        <v>1.5392459999999999</v>
      </c>
      <c r="T6309">
        <v>-0.25505610000000001</v>
      </c>
      <c r="U6309">
        <v>2.6841430000000002</v>
      </c>
      <c r="V6309">
        <v>-0.32011279999999998</v>
      </c>
      <c r="W6309">
        <v>0.13838349999999999</v>
      </c>
      <c r="X6309">
        <v>0.93721810000000005</v>
      </c>
      <c r="Y6309">
        <v>-0.4414999</v>
      </c>
      <c r="Z6309">
        <v>-3.009469E-2</v>
      </c>
      <c r="AA6309">
        <v>0.89675649999999996</v>
      </c>
      <c r="AB6309">
        <v>32</v>
      </c>
      <c r="AC6309">
        <v>0.26750000000001201</v>
      </c>
      <c r="AD6309">
        <v>-8.1456000000000195E-2</v>
      </c>
      <c r="AE6309">
        <v>0.69697000000000697</v>
      </c>
      <c r="AF6309">
        <v>-0.42342339923174299</v>
      </c>
      <c r="AG6309">
        <v>-8.1456000000000195E-2</v>
      </c>
      <c r="AH6309">
        <v>0.60415160890731401</v>
      </c>
      <c r="AI6309">
        <v>96.300520425405296</v>
      </c>
      <c r="AJ6309">
        <v>125.024930778212</v>
      </c>
      <c r="AK6309">
        <v>0.74224094571659205</v>
      </c>
      <c r="AL6309">
        <v>82.045682714064</v>
      </c>
      <c r="AM6309">
        <v>108.857927768553</v>
      </c>
      <c r="AN6309">
        <v>0.99999998238184895</v>
      </c>
    </row>
    <row r="6310" spans="1:40" x14ac:dyDescent="0.25">
      <c r="A6310" t="str">
        <f>"20190312164626877"</f>
        <v>20190312164626877</v>
      </c>
      <c r="B6310" t="str">
        <f>"1552380386867797"</f>
        <v>1552380386867797</v>
      </c>
      <c r="C6310" t="s">
        <v>40</v>
      </c>
      <c r="D6310">
        <v>4.578729</v>
      </c>
      <c r="E6310">
        <v>0.44846789999999997</v>
      </c>
      <c r="F6310" t="s">
        <v>52</v>
      </c>
      <c r="G6310">
        <v>-189.62809999999999</v>
      </c>
      <c r="H6310" s="1">
        <v>-5.6915130000000002E-6</v>
      </c>
      <c r="I6310">
        <v>-45.979390000000002</v>
      </c>
      <c r="J6310">
        <v>-195.77889999999999</v>
      </c>
      <c r="K6310">
        <v>1.1203510000000001</v>
      </c>
      <c r="L6310">
        <v>-57.09384</v>
      </c>
      <c r="M6310">
        <v>0.824737099999999</v>
      </c>
      <c r="N6310">
        <v>0</v>
      </c>
      <c r="O6310">
        <v>0.56530959999999997</v>
      </c>
      <c r="P6310">
        <v>0.59623579999999998</v>
      </c>
      <c r="Q6310">
        <v>0.1325665</v>
      </c>
      <c r="R6310">
        <v>0.79178850000000001</v>
      </c>
      <c r="S6310">
        <v>1.5140690000000001</v>
      </c>
      <c r="T6310">
        <v>-0.26944109999999899</v>
      </c>
      <c r="U6310">
        <v>2.6984560000000002</v>
      </c>
      <c r="V6310">
        <v>-0.32003520000000002</v>
      </c>
      <c r="W6310">
        <v>0.1378924</v>
      </c>
      <c r="X6310">
        <v>0.93731699999999996</v>
      </c>
      <c r="Y6310">
        <v>-0.44287100000000001</v>
      </c>
      <c r="Z6310">
        <v>-3.2379190000000002E-2</v>
      </c>
      <c r="AA6310">
        <v>0.89600049999999898</v>
      </c>
      <c r="AB6310">
        <v>32</v>
      </c>
      <c r="AC6310">
        <v>6.1508000000000003</v>
      </c>
      <c r="AD6310">
        <v>-1.1203566915129901</v>
      </c>
      <c r="AE6310">
        <v>11.1144499999999</v>
      </c>
      <c r="AF6310">
        <v>-5.6461384099118996</v>
      </c>
      <c r="AG6310">
        <v>-1.1203566915129901</v>
      </c>
      <c r="AH6310">
        <v>11.2695631190326</v>
      </c>
      <c r="AI6310">
        <v>95.079277190884397</v>
      </c>
      <c r="AJ6310">
        <v>116.611224201422</v>
      </c>
      <c r="AK6310">
        <v>12.6545300566224</v>
      </c>
      <c r="AL6310">
        <v>82.0740931894032</v>
      </c>
      <c r="AM6310">
        <v>108.85183046819699</v>
      </c>
      <c r="AN6310">
        <v>1.0000000008529</v>
      </c>
    </row>
    <row r="6311" spans="1:40" x14ac:dyDescent="0.25">
      <c r="A6311" t="str">
        <f>"20190312164626889"</f>
        <v>20190312164626889</v>
      </c>
      <c r="B6311" t="str">
        <f>"1552380386877557"</f>
        <v>1552380386877557</v>
      </c>
      <c r="C6311" t="s">
        <v>40</v>
      </c>
      <c r="D6311">
        <v>4.4124189999999999</v>
      </c>
      <c r="E6311">
        <v>0.44916070000000002</v>
      </c>
      <c r="F6311" t="s">
        <v>41</v>
      </c>
      <c r="G6311">
        <v>-195.30029999999999</v>
      </c>
      <c r="H6311">
        <v>1.034154</v>
      </c>
      <c r="I6311">
        <v>-56.230350000000001</v>
      </c>
      <c r="J6311">
        <v>-195.65010000000001</v>
      </c>
      <c r="K6311">
        <v>1.120328</v>
      </c>
      <c r="L6311">
        <v>-56.998660000000001</v>
      </c>
      <c r="M6311">
        <v>0.82076090000000002</v>
      </c>
      <c r="N6311">
        <v>0</v>
      </c>
      <c r="O6311">
        <v>0.57106730000000006</v>
      </c>
      <c r="P6311">
        <v>0.59110549999999995</v>
      </c>
      <c r="Q6311">
        <v>0.13209749999999901</v>
      </c>
      <c r="R6311">
        <v>0.79570379999999996</v>
      </c>
      <c r="S6311">
        <v>1.499268</v>
      </c>
      <c r="T6311">
        <v>-0.27003189999999999</v>
      </c>
      <c r="U6311">
        <v>2.705139</v>
      </c>
      <c r="V6311">
        <v>-0.31957750000000001</v>
      </c>
      <c r="W6311">
        <v>0.13745499999999999</v>
      </c>
      <c r="X6311">
        <v>0.93753739999999997</v>
      </c>
      <c r="Y6311">
        <v>-0.44130190000000002</v>
      </c>
      <c r="Z6311">
        <v>-3.3111889999999998E-2</v>
      </c>
      <c r="AA6311">
        <v>0.89674759999999998</v>
      </c>
      <c r="AB6311">
        <v>32</v>
      </c>
      <c r="AC6311">
        <v>0.34980000000001599</v>
      </c>
      <c r="AD6311">
        <v>-8.6173999999999903E-2</v>
      </c>
      <c r="AE6311">
        <v>0.76830999999999905</v>
      </c>
      <c r="AF6311">
        <v>-0.42644622211959898</v>
      </c>
      <c r="AG6311">
        <v>-8.6173999999999903E-2</v>
      </c>
      <c r="AH6311">
        <v>0.71845734191532895</v>
      </c>
      <c r="AI6311">
        <v>95.888796625909904</v>
      </c>
      <c r="AJ6311">
        <v>120.691595456955</v>
      </c>
      <c r="AK6311">
        <v>0.83991862152718</v>
      </c>
      <c r="AL6311">
        <v>82.099395419551797</v>
      </c>
      <c r="AM6311">
        <v>108.822655621476</v>
      </c>
      <c r="AN6311">
        <v>1.000000015965</v>
      </c>
    </row>
    <row r="6312" spans="1:40" x14ac:dyDescent="0.25">
      <c r="A6312" t="str">
        <f>"20190312164626900"</f>
        <v>20190312164626900</v>
      </c>
      <c r="B6312" t="str">
        <f>"1552380386897076"</f>
        <v>1552380386897076</v>
      </c>
      <c r="C6312" t="s">
        <v>40</v>
      </c>
      <c r="D6312">
        <v>4.6378599999999999</v>
      </c>
      <c r="E6312">
        <v>0.45021480000000003</v>
      </c>
      <c r="F6312" t="s">
        <v>41</v>
      </c>
      <c r="G6312">
        <v>-195.11949999999999</v>
      </c>
      <c r="H6312">
        <v>1.024432</v>
      </c>
      <c r="I6312">
        <v>-56.03069</v>
      </c>
      <c r="J6312">
        <v>-195.5138</v>
      </c>
      <c r="K6312">
        <v>1.1202989999999999</v>
      </c>
      <c r="L6312">
        <v>-56.895449999999997</v>
      </c>
      <c r="M6312">
        <v>0.81648580000000004</v>
      </c>
      <c r="N6312">
        <v>0</v>
      </c>
      <c r="O6312">
        <v>0.57716330000000005</v>
      </c>
      <c r="P6312">
        <v>0.58532169999999994</v>
      </c>
      <c r="Q6312">
        <v>0.1317866</v>
      </c>
      <c r="R6312">
        <v>0.80001929999999999</v>
      </c>
      <c r="S6312">
        <v>1.485779</v>
      </c>
      <c r="T6312">
        <v>-0.26856799999999997</v>
      </c>
      <c r="U6312">
        <v>2.71109</v>
      </c>
      <c r="V6312">
        <v>-0.31941639999999999</v>
      </c>
      <c r="W6312">
        <v>0.13716739999999999</v>
      </c>
      <c r="X6312">
        <v>0.93763439999999998</v>
      </c>
      <c r="Y6312">
        <v>-0.4388957</v>
      </c>
      <c r="Z6312">
        <v>-3.3660839999999997E-2</v>
      </c>
      <c r="AA6312">
        <v>0.89790729999999996</v>
      </c>
      <c r="AB6312">
        <v>32</v>
      </c>
      <c r="AC6312">
        <v>0.39430000000001503</v>
      </c>
      <c r="AD6312">
        <v>-9.5866999999999897E-2</v>
      </c>
      <c r="AE6312">
        <v>0.86475999999999598</v>
      </c>
      <c r="AF6312">
        <v>-0.47372470523745802</v>
      </c>
      <c r="AG6312">
        <v>-9.5866999999999897E-2</v>
      </c>
      <c r="AH6312">
        <v>0.81287333379537396</v>
      </c>
      <c r="AI6312">
        <v>95.818085584007903</v>
      </c>
      <c r="AJ6312">
        <v>120.23269188008101</v>
      </c>
      <c r="AK6312">
        <v>0.94571065069445104</v>
      </c>
      <c r="AL6312">
        <v>82.116031135354504</v>
      </c>
      <c r="AM6312">
        <v>108.812025281761</v>
      </c>
      <c r="AN6312">
        <v>1.00000000013754</v>
      </c>
    </row>
    <row r="6313" spans="1:40" x14ac:dyDescent="0.25">
      <c r="A6313" t="str">
        <f>"20190312164626918"</f>
        <v>20190312164626918</v>
      </c>
      <c r="B6313" t="str">
        <f>"1552380386907813"</f>
        <v>1552380386907813</v>
      </c>
      <c r="C6313" t="s">
        <v>40</v>
      </c>
      <c r="D6313">
        <v>4.4214120000000001</v>
      </c>
      <c r="E6313">
        <v>0.45068900000000001</v>
      </c>
      <c r="F6313" t="s">
        <v>41</v>
      </c>
      <c r="G6313">
        <v>-195.03540000000001</v>
      </c>
      <c r="H6313">
        <v>1.0346420000000001</v>
      </c>
      <c r="I6313">
        <v>-56.012799999999999</v>
      </c>
      <c r="J6313">
        <v>-195.32239999999999</v>
      </c>
      <c r="K6313">
        <v>1.120258</v>
      </c>
      <c r="L6313">
        <v>-56.748350000000002</v>
      </c>
      <c r="M6313">
        <v>0.81037990000000004</v>
      </c>
      <c r="N6313">
        <v>0</v>
      </c>
      <c r="O6313">
        <v>0.58570559999999905</v>
      </c>
      <c r="P6313">
        <v>0.57739469999999904</v>
      </c>
      <c r="Q6313">
        <v>0.13032169999999901</v>
      </c>
      <c r="R6313">
        <v>0.80599730000000003</v>
      </c>
      <c r="S6313">
        <v>1.4720310000000001</v>
      </c>
      <c r="T6313">
        <v>-0.26358959999999998</v>
      </c>
      <c r="U6313">
        <v>2.7163390000000001</v>
      </c>
      <c r="V6313">
        <v>-0.31896439999999998</v>
      </c>
      <c r="W6313">
        <v>0.13574649999999999</v>
      </c>
      <c r="X6313">
        <v>0.93799500000000002</v>
      </c>
      <c r="Y6313">
        <v>-0.43371359999999998</v>
      </c>
      <c r="Z6313">
        <v>-3.411641E-2</v>
      </c>
      <c r="AA6313">
        <v>0.90040469999999895</v>
      </c>
      <c r="AB6313">
        <v>32</v>
      </c>
      <c r="AC6313">
        <v>0.286999999999977</v>
      </c>
      <c r="AD6313">
        <v>-8.5615999999999901E-2</v>
      </c>
      <c r="AE6313">
        <v>0.73555000000000303</v>
      </c>
      <c r="AF6313">
        <v>-0.423053029791018</v>
      </c>
      <c r="AG6313">
        <v>-8.5615999999999901E-2</v>
      </c>
      <c r="AH6313">
        <v>0.65576162521798398</v>
      </c>
      <c r="AI6313">
        <v>96.2608962826084</v>
      </c>
      <c r="AJ6313">
        <v>122.827370426934</v>
      </c>
      <c r="AK6313">
        <v>0.78506514034180097</v>
      </c>
      <c r="AL6313">
        <v>82.198211510548205</v>
      </c>
      <c r="AM6313">
        <v>108.780557330969</v>
      </c>
      <c r="AN6313">
        <v>1.0000000103772999</v>
      </c>
    </row>
    <row r="6314" spans="1:40" x14ac:dyDescent="0.25">
      <c r="A6314" t="str">
        <f>"20190312164626931"</f>
        <v>20190312164626931</v>
      </c>
      <c r="B6314" t="str">
        <f>"1552380386927333"</f>
        <v>1552380386927333</v>
      </c>
      <c r="C6314" t="s">
        <v>40</v>
      </c>
      <c r="D6314">
        <v>4.456944</v>
      </c>
      <c r="E6314">
        <v>0.4513663</v>
      </c>
      <c r="F6314" t="s">
        <v>41</v>
      </c>
      <c r="G6314">
        <v>-194.85890000000001</v>
      </c>
      <c r="H6314">
        <v>1.0351859999999999</v>
      </c>
      <c r="I6314">
        <v>-55.874380000000002</v>
      </c>
      <c r="J6314">
        <v>-195.1865</v>
      </c>
      <c r="K6314">
        <v>1.1202240000000001</v>
      </c>
      <c r="L6314">
        <v>-56.642299999999999</v>
      </c>
      <c r="M6314">
        <v>0.8059752</v>
      </c>
      <c r="N6314">
        <v>0</v>
      </c>
      <c r="O6314">
        <v>0.59175219999999995</v>
      </c>
      <c r="P6314">
        <v>0.57150299999999998</v>
      </c>
      <c r="Q6314">
        <v>0.129661</v>
      </c>
      <c r="R6314">
        <v>0.81029149999999905</v>
      </c>
      <c r="S6314">
        <v>1.4471590000000001</v>
      </c>
      <c r="T6314">
        <v>-0.2656</v>
      </c>
      <c r="U6314">
        <v>2.7283330000000001</v>
      </c>
      <c r="V6314">
        <v>-0.31884200000000001</v>
      </c>
      <c r="W6314">
        <v>0.1351106</v>
      </c>
      <c r="X6314">
        <v>0.93812839999999997</v>
      </c>
      <c r="Y6314">
        <v>-0.43502760000000001</v>
      </c>
      <c r="Z6314">
        <v>-3.4939749999999999E-2</v>
      </c>
      <c r="AA6314">
        <v>0.89973899999999996</v>
      </c>
      <c r="AB6314">
        <v>32</v>
      </c>
      <c r="AC6314">
        <v>0.32759999999998901</v>
      </c>
      <c r="AD6314">
        <v>-8.5037999999999697E-2</v>
      </c>
      <c r="AE6314">
        <v>0.76791999999999605</v>
      </c>
      <c r="AF6314">
        <v>-0.42075085090844999</v>
      </c>
      <c r="AG6314">
        <v>-8.5037999999999697E-2</v>
      </c>
      <c r="AH6314">
        <v>0.71116150480995199</v>
      </c>
      <c r="AI6314">
        <v>95.875819033660406</v>
      </c>
      <c r="AJ6314">
        <v>120.610212414966</v>
      </c>
      <c r="AK6314">
        <v>0.83067046769927999</v>
      </c>
      <c r="AL6314">
        <v>82.234984564205604</v>
      </c>
      <c r="AM6314">
        <v>108.77137278829601</v>
      </c>
      <c r="AN6314">
        <v>0.99999999504145998</v>
      </c>
    </row>
    <row r="6315" spans="1:40" x14ac:dyDescent="0.25">
      <c r="A6315" t="str">
        <f>"20190312164626941"</f>
        <v>20190312164626941</v>
      </c>
      <c r="B6315" t="str">
        <f>"1552380386937093"</f>
        <v>1552380386937093</v>
      </c>
      <c r="C6315" t="s">
        <v>40</v>
      </c>
      <c r="D6315">
        <v>4.4394859999999996</v>
      </c>
      <c r="E6315">
        <v>0.45179029999999998</v>
      </c>
      <c r="F6315" t="s">
        <v>41</v>
      </c>
      <c r="G6315">
        <v>-194.68989999999999</v>
      </c>
      <c r="H6315">
        <v>1.0273080000000001</v>
      </c>
      <c r="I6315">
        <v>-55.693269999999998</v>
      </c>
      <c r="J6315">
        <v>-195.06739999999999</v>
      </c>
      <c r="K6315">
        <v>1.1201989999999999</v>
      </c>
      <c r="L6315">
        <v>-56.547519999999999</v>
      </c>
      <c r="M6315">
        <v>0.80205909999999903</v>
      </c>
      <c r="N6315">
        <v>0</v>
      </c>
      <c r="O6315">
        <v>0.59704950000000001</v>
      </c>
      <c r="P6315">
        <v>0.56633369999999905</v>
      </c>
      <c r="Q6315">
        <v>0.12924449999999901</v>
      </c>
      <c r="R6315">
        <v>0.81397909999999996</v>
      </c>
      <c r="S6315">
        <v>1.431152</v>
      </c>
      <c r="T6315">
        <v>-0.26782879999999998</v>
      </c>
      <c r="U6315">
        <v>2.7358090000000002</v>
      </c>
      <c r="V6315">
        <v>-0.31866460000000002</v>
      </c>
      <c r="W6315">
        <v>0.13471839999999999</v>
      </c>
      <c r="X6315">
        <v>0.93824510000000005</v>
      </c>
      <c r="Y6315">
        <v>-0.4342549</v>
      </c>
      <c r="Z6315">
        <v>-3.5807819999999997E-2</v>
      </c>
      <c r="AA6315">
        <v>0.90007809999999899</v>
      </c>
      <c r="AB6315">
        <v>31</v>
      </c>
      <c r="AC6315">
        <v>0.377499999999997</v>
      </c>
      <c r="AD6315">
        <v>-9.2891000000000001E-2</v>
      </c>
      <c r="AE6315">
        <v>0.85424999999999995</v>
      </c>
      <c r="AF6315">
        <v>-0.45532211453524102</v>
      </c>
      <c r="AG6315">
        <v>-9.2891000000000001E-2</v>
      </c>
      <c r="AH6315">
        <v>0.80493872564680402</v>
      </c>
      <c r="AI6315">
        <v>95.7358381692367</v>
      </c>
      <c r="AJ6315">
        <v>119.49513050581299</v>
      </c>
      <c r="AK6315">
        <v>0.92944785647810502</v>
      </c>
      <c r="AL6315">
        <v>82.257663518738795</v>
      </c>
      <c r="AM6315">
        <v>108.759489181159</v>
      </c>
      <c r="AN6315">
        <v>1.0000000211328599</v>
      </c>
    </row>
    <row r="6316" spans="1:40" x14ac:dyDescent="0.25">
      <c r="A6316" t="str">
        <f>"20190312164626953"</f>
        <v>20190312164626953</v>
      </c>
      <c r="B6316" t="str">
        <f>"1552380386947829"</f>
        <v>1552380386947829</v>
      </c>
      <c r="C6316" t="s">
        <v>40</v>
      </c>
      <c r="D6316">
        <v>4.4637099999999998</v>
      </c>
      <c r="E6316">
        <v>0.45205610000000002</v>
      </c>
      <c r="F6316" t="s">
        <v>52</v>
      </c>
      <c r="G6316">
        <v>-189.21459999999999</v>
      </c>
      <c r="H6316" s="1">
        <v>-5.9992689999999997E-6</v>
      </c>
      <c r="I6316">
        <v>-45.208539999999999</v>
      </c>
      <c r="J6316">
        <v>-194.9479</v>
      </c>
      <c r="K6316">
        <v>1.120169</v>
      </c>
      <c r="L6316">
        <v>-56.451450000000001</v>
      </c>
      <c r="M6316">
        <v>0.79808269999999903</v>
      </c>
      <c r="N6316">
        <v>0</v>
      </c>
      <c r="O6316">
        <v>0.60235450000000001</v>
      </c>
      <c r="P6316">
        <v>0.5611448</v>
      </c>
      <c r="Q6316">
        <v>0.12890299999999999</v>
      </c>
      <c r="R6316">
        <v>0.81761879999999998</v>
      </c>
      <c r="S6316">
        <v>1.416061</v>
      </c>
      <c r="T6316">
        <v>-0.27102789999999999</v>
      </c>
      <c r="U6316">
        <v>2.7434080000000001</v>
      </c>
      <c r="V6316">
        <v>-0.31843500000000002</v>
      </c>
      <c r="W6316">
        <v>0.1344033</v>
      </c>
      <c r="X6316">
        <v>0.93836830000000004</v>
      </c>
      <c r="Y6316">
        <v>-0.4332281</v>
      </c>
      <c r="Z6316">
        <v>-3.682121E-2</v>
      </c>
      <c r="AA6316">
        <v>0.90053179999999999</v>
      </c>
      <c r="AB6316">
        <v>31</v>
      </c>
      <c r="AC6316">
        <v>5.7333000000000096</v>
      </c>
      <c r="AD6316">
        <v>-1.120174999269</v>
      </c>
      <c r="AE6316">
        <v>11.24291</v>
      </c>
      <c r="AF6316">
        <v>-5.4767888990319298</v>
      </c>
      <c r="AG6316">
        <v>-1.120174999269</v>
      </c>
      <c r="AH6316">
        <v>11.2604751905965</v>
      </c>
      <c r="AI6316">
        <v>95.111989170427293</v>
      </c>
      <c r="AJ6316">
        <v>115.937028287544</v>
      </c>
      <c r="AK6316">
        <v>12.571726619346601</v>
      </c>
      <c r="AL6316">
        <v>82.275883587814704</v>
      </c>
      <c r="AM6316">
        <v>108.74462797504</v>
      </c>
      <c r="AN6316">
        <v>1.00000008136038</v>
      </c>
    </row>
    <row r="6317" spans="1:40" x14ac:dyDescent="0.25">
      <c r="A6317" t="str">
        <f>"20190312164626965"</f>
        <v>20190312164626965</v>
      </c>
      <c r="B6317" t="str">
        <f>"1552380386957589"</f>
        <v>1552380386957589</v>
      </c>
      <c r="C6317" t="s">
        <v>40</v>
      </c>
      <c r="D6317">
        <v>4.5904290000000003</v>
      </c>
      <c r="E6317">
        <v>0.45245079999999999</v>
      </c>
      <c r="F6317" t="s">
        <v>41</v>
      </c>
      <c r="G6317">
        <v>-194.47559999999999</v>
      </c>
      <c r="H6317">
        <v>1.0277689999999999</v>
      </c>
      <c r="I6317">
        <v>-55.523249999999997</v>
      </c>
      <c r="J6317">
        <v>-194.81479999999999</v>
      </c>
      <c r="K6317">
        <v>1.1201369999999999</v>
      </c>
      <c r="L6317">
        <v>-56.342829999999999</v>
      </c>
      <c r="M6317">
        <v>0.7935953</v>
      </c>
      <c r="N6317">
        <v>0</v>
      </c>
      <c r="O6317">
        <v>0.60825439999999997</v>
      </c>
      <c r="P6317">
        <v>0.55519160000000001</v>
      </c>
      <c r="Q6317">
        <v>0.1283417</v>
      </c>
      <c r="R6317">
        <v>0.82176070000000001</v>
      </c>
      <c r="S6317">
        <v>1.400269</v>
      </c>
      <c r="T6317">
        <v>-0.27389819999999998</v>
      </c>
      <c r="U6317">
        <v>2.7513730000000001</v>
      </c>
      <c r="V6317">
        <v>-0.31833699999999998</v>
      </c>
      <c r="W6317">
        <v>0.1338665</v>
      </c>
      <c r="X6317">
        <v>0.93847820000000004</v>
      </c>
      <c r="Y6317">
        <v>-0.43172870000000002</v>
      </c>
      <c r="Z6317">
        <v>-3.7883760000000002E-2</v>
      </c>
      <c r="AA6317">
        <v>0.9012076</v>
      </c>
      <c r="AB6317">
        <v>31</v>
      </c>
      <c r="AC6317">
        <v>0.339200000000005</v>
      </c>
      <c r="AD6317">
        <v>-9.2367999999999895E-2</v>
      </c>
      <c r="AE6317">
        <v>0.81958000000000897</v>
      </c>
      <c r="AF6317">
        <v>-0.43938197485314801</v>
      </c>
      <c r="AG6317">
        <v>-9.2367999999999895E-2</v>
      </c>
      <c r="AH6317">
        <v>0.75955342447719598</v>
      </c>
      <c r="AI6317">
        <v>96.009088484270407</v>
      </c>
      <c r="AJ6317">
        <v>120.04826907488599</v>
      </c>
      <c r="AK6317">
        <v>0.88233200774135401</v>
      </c>
      <c r="AL6317">
        <v>82.306919874710005</v>
      </c>
      <c r="AM6317">
        <v>108.73722065261001</v>
      </c>
      <c r="AN6317">
        <v>1.0000000086332399</v>
      </c>
    </row>
    <row r="6318" spans="1:40" x14ac:dyDescent="0.25">
      <c r="A6318" t="str">
        <f>"20190312164626978"</f>
        <v>20190312164626978</v>
      </c>
      <c r="B6318" t="str">
        <f>"1552380386967349"</f>
        <v>1552380386967349</v>
      </c>
      <c r="C6318" t="s">
        <v>40</v>
      </c>
      <c r="D6318">
        <v>4.5920589999999999</v>
      </c>
      <c r="E6318">
        <v>0.45305279999999998</v>
      </c>
      <c r="F6318" t="s">
        <v>52</v>
      </c>
      <c r="G6318">
        <v>-189.2397</v>
      </c>
      <c r="H6318" s="1">
        <v>-6.0016110000000004E-6</v>
      </c>
      <c r="I6318">
        <v>-45.213090000000001</v>
      </c>
      <c r="J6318">
        <v>-194.68549999999999</v>
      </c>
      <c r="K6318">
        <v>1.1201000000000001</v>
      </c>
      <c r="L6318">
        <v>-56.2354699999999</v>
      </c>
      <c r="M6318">
        <v>0.78917320000000002</v>
      </c>
      <c r="N6318">
        <v>0</v>
      </c>
      <c r="O6318">
        <v>0.61398109999999995</v>
      </c>
      <c r="P6318">
        <v>0.5493922</v>
      </c>
      <c r="Q6318">
        <v>0.12823969999999901</v>
      </c>
      <c r="R6318">
        <v>0.82566509999999904</v>
      </c>
      <c r="S6318">
        <v>1.3825529999999999</v>
      </c>
      <c r="T6318">
        <v>-0.27777869999999999</v>
      </c>
      <c r="U6318">
        <v>2.7600099999999999</v>
      </c>
      <c r="V6318">
        <v>-0.3181524</v>
      </c>
      <c r="W6318">
        <v>0.13378989999999999</v>
      </c>
      <c r="X6318">
        <v>0.93855169999999999</v>
      </c>
      <c r="Y6318">
        <v>-0.43097829999999898</v>
      </c>
      <c r="Z6318">
        <v>-3.9055180000000002E-2</v>
      </c>
      <c r="AA6318">
        <v>0.90151669999999995</v>
      </c>
      <c r="AB6318">
        <v>31</v>
      </c>
      <c r="AC6318">
        <v>5.4457999999999904</v>
      </c>
      <c r="AD6318">
        <v>-1.120106001611</v>
      </c>
      <c r="AE6318">
        <v>11.022379999999901</v>
      </c>
      <c r="AF6318">
        <v>-5.3114835526666297</v>
      </c>
      <c r="AG6318">
        <v>-1.120106001611</v>
      </c>
      <c r="AH6318">
        <v>10.975398247627799</v>
      </c>
      <c r="AI6318">
        <v>95.248691788287502</v>
      </c>
      <c r="AJ6318">
        <v>115.824405411714</v>
      </c>
      <c r="AK6318">
        <v>12.244421655559099</v>
      </c>
      <c r="AL6318">
        <v>82.311348427457801</v>
      </c>
      <c r="AM6318">
        <v>108.725748495814</v>
      </c>
      <c r="AN6318">
        <v>0.99999999027033004</v>
      </c>
    </row>
    <row r="6319" spans="1:40" x14ac:dyDescent="0.25">
      <c r="A6319" t="str">
        <f>"20190312164626992"</f>
        <v>20190312164626992</v>
      </c>
      <c r="B6319" t="str">
        <f>"1552380386987846"</f>
        <v>1552380386987846</v>
      </c>
      <c r="C6319" t="s">
        <v>40</v>
      </c>
      <c r="D6319">
        <v>4.5190460000000003</v>
      </c>
      <c r="E6319">
        <v>0.45377000000000001</v>
      </c>
      <c r="F6319" t="s">
        <v>41</v>
      </c>
      <c r="G6319">
        <v>-194.23759999999999</v>
      </c>
      <c r="H6319">
        <v>1.029012</v>
      </c>
      <c r="I6319">
        <v>-55.329169999999998</v>
      </c>
      <c r="J6319">
        <v>-194.53899999999999</v>
      </c>
      <c r="K6319">
        <v>1.1200639999999999</v>
      </c>
      <c r="L6319">
        <v>-56.112430000000003</v>
      </c>
      <c r="M6319">
        <v>0.78409669999999998</v>
      </c>
      <c r="N6319">
        <v>0</v>
      </c>
      <c r="O6319">
        <v>0.62045130000000004</v>
      </c>
      <c r="P6319">
        <v>0.54275200000000001</v>
      </c>
      <c r="Q6319">
        <v>0.12790650000000001</v>
      </c>
      <c r="R6319">
        <v>0.83009650000000001</v>
      </c>
      <c r="S6319">
        <v>1.3671719999999901</v>
      </c>
      <c r="T6319">
        <v>-0.27806619999999999</v>
      </c>
      <c r="U6319">
        <v>2.766937</v>
      </c>
      <c r="V6319">
        <v>-0.31797940000000002</v>
      </c>
      <c r="W6319">
        <v>0.13348560000000001</v>
      </c>
      <c r="X6319">
        <v>0.93865359999999998</v>
      </c>
      <c r="Y6319">
        <v>-0.42850009999999999</v>
      </c>
      <c r="Z6319">
        <v>-3.9889050000000002E-2</v>
      </c>
      <c r="AA6319">
        <v>0.90266080000000004</v>
      </c>
      <c r="AB6319">
        <v>31</v>
      </c>
      <c r="AC6319">
        <v>0.30140000000002898</v>
      </c>
      <c r="AD6319">
        <v>-9.1051999999999897E-2</v>
      </c>
      <c r="AE6319">
        <v>0.78326000000000495</v>
      </c>
      <c r="AF6319">
        <v>-0.42222737480911998</v>
      </c>
      <c r="AG6319">
        <v>-9.1051999999999897E-2</v>
      </c>
      <c r="AH6319">
        <v>0.71398145709509098</v>
      </c>
      <c r="AI6319">
        <v>96.264238379997906</v>
      </c>
      <c r="AJ6319">
        <v>120.598806037418</v>
      </c>
      <c r="AK6319">
        <v>0.83446746120974102</v>
      </c>
      <c r="AL6319">
        <v>82.328940968894997</v>
      </c>
      <c r="AM6319">
        <v>108.714384955138</v>
      </c>
      <c r="AN6319">
        <v>0.99999994251233804</v>
      </c>
    </row>
    <row r="6320" spans="1:40" x14ac:dyDescent="0.25">
      <c r="A6320" t="str">
        <f>"20190312164627010"</f>
        <v>20190312164627010</v>
      </c>
      <c r="B6320" t="str">
        <f>"1552380386997605"</f>
        <v>1552380386997605</v>
      </c>
      <c r="C6320" t="s">
        <v>40</v>
      </c>
      <c r="D6320">
        <v>4.542103</v>
      </c>
      <c r="E6320">
        <v>0.45407120000000001</v>
      </c>
      <c r="F6320" t="s">
        <v>41</v>
      </c>
      <c r="G6320">
        <v>-194.07509999999999</v>
      </c>
      <c r="H6320">
        <v>1.0236620000000001</v>
      </c>
      <c r="I6320">
        <v>-55.158149999999999</v>
      </c>
      <c r="J6320">
        <v>-194.35300000000001</v>
      </c>
      <c r="K6320">
        <v>1.120017</v>
      </c>
      <c r="L6320">
        <v>-55.953090000000003</v>
      </c>
      <c r="M6320">
        <v>0.77753809999999901</v>
      </c>
      <c r="N6320">
        <v>0</v>
      </c>
      <c r="O6320">
        <v>0.62865109999999902</v>
      </c>
      <c r="P6320">
        <v>0.53434309999999996</v>
      </c>
      <c r="Q6320">
        <v>0.12766959999999999</v>
      </c>
      <c r="R6320">
        <v>0.83557039999999905</v>
      </c>
      <c r="S6320">
        <v>1.349213</v>
      </c>
      <c r="T6320">
        <v>-0.2803562</v>
      </c>
      <c r="U6320">
        <v>2.7750849999999998</v>
      </c>
      <c r="V6320">
        <v>-0.317606099999999</v>
      </c>
      <c r="W6320">
        <v>0.1332885</v>
      </c>
      <c r="X6320">
        <v>0.93880799999999998</v>
      </c>
      <c r="Y6320">
        <v>-0.42480810000000002</v>
      </c>
      <c r="Z6320">
        <v>-4.1249880000000003E-2</v>
      </c>
      <c r="AA6320">
        <v>0.90434320000000001</v>
      </c>
      <c r="AB6320">
        <v>31</v>
      </c>
      <c r="AC6320">
        <v>0.27789999999998799</v>
      </c>
      <c r="AD6320">
        <v>-9.6354999999999899E-2</v>
      </c>
      <c r="AE6320">
        <v>0.79494000000000398</v>
      </c>
      <c r="AF6320">
        <v>-0.43771494766325902</v>
      </c>
      <c r="AG6320">
        <v>-9.6354999999999899E-2</v>
      </c>
      <c r="AH6320">
        <v>0.70664945523748901</v>
      </c>
      <c r="AI6320">
        <v>96.612113273801398</v>
      </c>
      <c r="AJ6320">
        <v>121.77502781205401</v>
      </c>
      <c r="AK6320">
        <v>0.83679872969567204</v>
      </c>
      <c r="AL6320">
        <v>82.340335925796097</v>
      </c>
      <c r="AM6320">
        <v>108.69108092338899</v>
      </c>
      <c r="AN6320">
        <v>0.99999995992672897</v>
      </c>
    </row>
    <row r="6321" spans="1:40" x14ac:dyDescent="0.25">
      <c r="A6321" t="str">
        <f>"20190312164627032"</f>
        <v>20190312164627032</v>
      </c>
      <c r="B6321" t="str">
        <f>"1552380387027860"</f>
        <v>1552380387027860</v>
      </c>
      <c r="C6321" t="s">
        <v>40</v>
      </c>
      <c r="D6321">
        <v>4.8337300000000001</v>
      </c>
      <c r="E6321">
        <v>0.4550073</v>
      </c>
      <c r="F6321" t="s">
        <v>41</v>
      </c>
      <c r="G6321">
        <v>-193.88509999999999</v>
      </c>
      <c r="H6321">
        <v>1.020079</v>
      </c>
      <c r="I6321">
        <v>-54.96716</v>
      </c>
      <c r="J6321">
        <v>-194.11590000000001</v>
      </c>
      <c r="K6321">
        <v>1.11996299999999</v>
      </c>
      <c r="L6321">
        <v>-55.74438</v>
      </c>
      <c r="M6321">
        <v>0.76897380000000004</v>
      </c>
      <c r="N6321">
        <v>0</v>
      </c>
      <c r="O6321">
        <v>0.63909879999999997</v>
      </c>
      <c r="P6321">
        <v>0.52336890000000003</v>
      </c>
      <c r="Q6321">
        <v>0.12726609999999999</v>
      </c>
      <c r="R6321">
        <v>0.84254869999999904</v>
      </c>
      <c r="S6321">
        <v>1.3228610000000001</v>
      </c>
      <c r="T6321">
        <v>-0.28253499999999998</v>
      </c>
      <c r="U6321">
        <v>2.7875670000000001</v>
      </c>
      <c r="V6321">
        <v>-0.31721759999999999</v>
      </c>
      <c r="W6321">
        <v>0.1329312</v>
      </c>
      <c r="X6321">
        <v>0.93899010000000005</v>
      </c>
      <c r="Y6321">
        <v>-0.42115799999999998</v>
      </c>
      <c r="Z6321">
        <v>-4.2845889999999998E-2</v>
      </c>
      <c r="AA6321">
        <v>0.90597470000000002</v>
      </c>
      <c r="AB6321">
        <v>31</v>
      </c>
      <c r="AC6321">
        <v>0.23080000000001599</v>
      </c>
      <c r="AD6321">
        <v>-9.9883999999999598E-2</v>
      </c>
      <c r="AE6321">
        <v>0.77722000000000602</v>
      </c>
      <c r="AF6321">
        <v>-0.44347911273746499</v>
      </c>
      <c r="AG6321">
        <v>-9.9883999999999598E-2</v>
      </c>
      <c r="AH6321">
        <v>0.66419685903050596</v>
      </c>
      <c r="AI6321">
        <v>97.128801224985196</v>
      </c>
      <c r="AJ6321">
        <v>123.730730420749</v>
      </c>
      <c r="AK6321">
        <v>0.80486520886195501</v>
      </c>
      <c r="AL6321">
        <v>82.360992276603696</v>
      </c>
      <c r="AM6321">
        <v>108.66643313172899</v>
      </c>
      <c r="AN6321">
        <v>1.0000000587905999</v>
      </c>
    </row>
    <row r="6322" spans="1:40" x14ac:dyDescent="0.25">
      <c r="A6322" t="str">
        <f>"20190312164627045"</f>
        <v>20190312164627045</v>
      </c>
      <c r="B6322" t="str">
        <f>"1552380387037621"</f>
        <v>1552380387037621</v>
      </c>
      <c r="C6322" t="s">
        <v>40</v>
      </c>
      <c r="D6322">
        <v>4.5254260000000004</v>
      </c>
      <c r="E6322">
        <v>0.4551248</v>
      </c>
      <c r="F6322" t="s">
        <v>41</v>
      </c>
      <c r="G6322">
        <v>-193.67590000000001</v>
      </c>
      <c r="H6322">
        <v>1.023331</v>
      </c>
      <c r="I6322">
        <v>-54.790790000000001</v>
      </c>
      <c r="J6322">
        <v>-193.9768</v>
      </c>
      <c r="K6322">
        <v>1.119939</v>
      </c>
      <c r="L6322">
        <v>-55.619480000000003</v>
      </c>
      <c r="M6322">
        <v>0.76384819999999998</v>
      </c>
      <c r="N6322">
        <v>0</v>
      </c>
      <c r="O6322">
        <v>0.64521629999999996</v>
      </c>
      <c r="P6322">
        <v>0.5166944</v>
      </c>
      <c r="Q6322">
        <v>0.12723709999999999</v>
      </c>
      <c r="R6322">
        <v>0.84666269999999999</v>
      </c>
      <c r="S6322">
        <v>1.29213</v>
      </c>
      <c r="T6322">
        <v>-0.28382350000000001</v>
      </c>
      <c r="U6322">
        <v>2.8008730000000002</v>
      </c>
      <c r="V6322">
        <v>-0.31713560000000002</v>
      </c>
      <c r="W6322">
        <v>0.13292279999999901</v>
      </c>
      <c r="X6322">
        <v>0.93901900000000005</v>
      </c>
      <c r="Y6322">
        <v>-0.42375889999999999</v>
      </c>
      <c r="Z6322">
        <v>-4.3612379999999999E-2</v>
      </c>
      <c r="AA6322">
        <v>0.90472450000000004</v>
      </c>
      <c r="AB6322">
        <v>31</v>
      </c>
      <c r="AC6322">
        <v>0.30089999999998401</v>
      </c>
      <c r="AD6322">
        <v>-9.6607999999999999E-2</v>
      </c>
      <c r="AE6322">
        <v>0.82869000000000104</v>
      </c>
      <c r="AF6322">
        <v>-0.43369108350440499</v>
      </c>
      <c r="AG6322">
        <v>-9.6607999999999999E-2</v>
      </c>
      <c r="AH6322">
        <v>0.75554262609073897</v>
      </c>
      <c r="AI6322">
        <v>96.327953229676893</v>
      </c>
      <c r="AJ6322">
        <v>119.856372438279</v>
      </c>
      <c r="AK6322">
        <v>0.87650768474401697</v>
      </c>
      <c r="AL6322">
        <v>82.3614779638295</v>
      </c>
      <c r="AM6322">
        <v>108.661407452644</v>
      </c>
      <c r="AN6322">
        <v>1.0000000709540899</v>
      </c>
    </row>
    <row r="6323" spans="1:40" x14ac:dyDescent="0.25">
      <c r="A6323" t="str">
        <f>"20190312164627066"</f>
        <v>20190312164627066</v>
      </c>
      <c r="B6323" t="str">
        <f>"1552380387057140"</f>
        <v>1552380387057140</v>
      </c>
      <c r="C6323" t="s">
        <v>40</v>
      </c>
      <c r="D6323">
        <v>4.6091410000000002</v>
      </c>
      <c r="E6323">
        <v>0.45491730000000002</v>
      </c>
      <c r="F6323" t="s">
        <v>52</v>
      </c>
      <c r="G6323">
        <v>-188.9478</v>
      </c>
      <c r="H6323" s="1">
        <v>-6.2344669999999999E-6</v>
      </c>
      <c r="I6323">
        <v>-44.493229999999997</v>
      </c>
      <c r="J6323">
        <v>-193.76949999999999</v>
      </c>
      <c r="K6323">
        <v>1.119896</v>
      </c>
      <c r="L6323">
        <v>-55.429499999999997</v>
      </c>
      <c r="M6323">
        <v>0.75605699999999998</v>
      </c>
      <c r="N6323">
        <v>0</v>
      </c>
      <c r="O6323">
        <v>0.65432880000000004</v>
      </c>
      <c r="P6323">
        <v>0.50706399999999996</v>
      </c>
      <c r="Q6323">
        <v>0.127195899999999</v>
      </c>
      <c r="R6323">
        <v>0.85247129999999904</v>
      </c>
      <c r="S6323">
        <v>1.2703549999999999</v>
      </c>
      <c r="T6323">
        <v>-0.28290690000000002</v>
      </c>
      <c r="U6323">
        <v>2.8105769999999999</v>
      </c>
      <c r="V6323">
        <v>-0.31650889999999998</v>
      </c>
      <c r="W6323">
        <v>0.1329265</v>
      </c>
      <c r="X6323">
        <v>0.9392298</v>
      </c>
      <c r="Y6323">
        <v>-0.41991339999999999</v>
      </c>
      <c r="Z6323">
        <v>-4.461971E-2</v>
      </c>
      <c r="AA6323">
        <v>0.90646669999999996</v>
      </c>
      <c r="AB6323">
        <v>31</v>
      </c>
      <c r="AC6323">
        <v>4.8216999999999901</v>
      </c>
      <c r="AD6323">
        <v>-1.119902234467</v>
      </c>
      <c r="AE6323">
        <v>10.93627</v>
      </c>
      <c r="AF6323">
        <v>-5.0695497325223098</v>
      </c>
      <c r="AG6323">
        <v>-1.119902234467</v>
      </c>
      <c r="AH6323">
        <v>10.708629567795199</v>
      </c>
      <c r="AI6323">
        <v>95.399696020981693</v>
      </c>
      <c r="AJ6323">
        <v>115.33324391676901</v>
      </c>
      <c r="AK6323">
        <v>11.9008093306942</v>
      </c>
      <c r="AL6323">
        <v>82.3612633547759</v>
      </c>
      <c r="AM6323">
        <v>108.623184133203</v>
      </c>
      <c r="AN6323">
        <v>0.99999997769474902</v>
      </c>
    </row>
    <row r="6324" spans="1:40" x14ac:dyDescent="0.25">
      <c r="A6324" t="str">
        <f>"20190312164627079"</f>
        <v>20190312164627079</v>
      </c>
      <c r="B6324" t="str">
        <f>"1552380387067877"</f>
        <v>1552380387067877</v>
      </c>
      <c r="C6324" t="s">
        <v>40</v>
      </c>
      <c r="D6324">
        <v>4.6366160000000001</v>
      </c>
      <c r="E6324">
        <v>0.45463219999999999</v>
      </c>
      <c r="F6324" t="s">
        <v>52</v>
      </c>
      <c r="G6324">
        <v>-188.88679999999999</v>
      </c>
      <c r="H6324" s="1">
        <v>-6.3016510000000003E-6</v>
      </c>
      <c r="I6324">
        <v>-44.272010000000002</v>
      </c>
      <c r="J6324">
        <v>-193.6429</v>
      </c>
      <c r="K6324">
        <v>1.1198779999999999</v>
      </c>
      <c r="L6324">
        <v>-55.310940000000002</v>
      </c>
      <c r="M6324">
        <v>0.75120299999999995</v>
      </c>
      <c r="N6324">
        <v>0</v>
      </c>
      <c r="O6324">
        <v>0.65989580000000003</v>
      </c>
      <c r="P6324">
        <v>0.50098100000000001</v>
      </c>
      <c r="Q6324">
        <v>0.12716649999999999</v>
      </c>
      <c r="R6324">
        <v>0.85606469999999901</v>
      </c>
      <c r="S6324">
        <v>1.236664</v>
      </c>
      <c r="T6324">
        <v>-0.28364470000000003</v>
      </c>
      <c r="U6324">
        <v>2.8259280000000002</v>
      </c>
      <c r="V6324">
        <v>-0.31625350000000002</v>
      </c>
      <c r="W6324">
        <v>0.13291900000000001</v>
      </c>
      <c r="X6324">
        <v>0.93931690000000001</v>
      </c>
      <c r="Y6324">
        <v>-0.42409010000000003</v>
      </c>
      <c r="Z6324">
        <v>-4.517169E-2</v>
      </c>
      <c r="AA6324">
        <v>0.90449270000000004</v>
      </c>
      <c r="AB6324">
        <v>31</v>
      </c>
      <c r="AC6324">
        <v>4.7561</v>
      </c>
      <c r="AD6324">
        <v>-1.1198843016509901</v>
      </c>
      <c r="AE6324">
        <v>11.038930000000001</v>
      </c>
      <c r="AF6324">
        <v>-5.1101850092025396</v>
      </c>
      <c r="AG6324">
        <v>-1.1198843016509901</v>
      </c>
      <c r="AH6324">
        <v>10.765150991974799</v>
      </c>
      <c r="AI6324">
        <v>95.368762276186402</v>
      </c>
      <c r="AJ6324">
        <v>115.393552296206</v>
      </c>
      <c r="AK6324">
        <v>11.968985235072299</v>
      </c>
      <c r="AL6324">
        <v>82.361696997486604</v>
      </c>
      <c r="AM6324">
        <v>108.60758492174401</v>
      </c>
      <c r="AN6324">
        <v>0.99999998772443</v>
      </c>
    </row>
    <row r="6325" spans="1:40" x14ac:dyDescent="0.25">
      <c r="A6325" t="str">
        <f>"20190312164627099"</f>
        <v>20190312164627099</v>
      </c>
      <c r="B6325" t="str">
        <f>"1552380387087400"</f>
        <v>1552380387087400</v>
      </c>
      <c r="C6325" t="s">
        <v>40</v>
      </c>
      <c r="D6325">
        <v>4.7186640000000004</v>
      </c>
      <c r="E6325">
        <v>0.45437480000000002</v>
      </c>
      <c r="F6325" t="s">
        <v>41</v>
      </c>
      <c r="G6325">
        <v>-193.23230000000001</v>
      </c>
      <c r="H6325">
        <v>1.023779</v>
      </c>
      <c r="I6325">
        <v>-54.351750000000003</v>
      </c>
      <c r="J6325">
        <v>-193.4453</v>
      </c>
      <c r="K6325">
        <v>1.119845</v>
      </c>
      <c r="L6325">
        <v>-55.122770000000003</v>
      </c>
      <c r="M6325">
        <v>0.74348769999999997</v>
      </c>
      <c r="N6325">
        <v>0</v>
      </c>
      <c r="O6325">
        <v>0.66857679999999997</v>
      </c>
      <c r="P6325">
        <v>0.49190640000000002</v>
      </c>
      <c r="Q6325">
        <v>0.127306</v>
      </c>
      <c r="R6325">
        <v>0.86129049999999996</v>
      </c>
      <c r="S6325">
        <v>1.214005</v>
      </c>
      <c r="T6325">
        <v>-0.28415249999999997</v>
      </c>
      <c r="U6325">
        <v>2.8361510000000001</v>
      </c>
      <c r="V6325">
        <v>-0.31524459999999999</v>
      </c>
      <c r="W6325">
        <v>0.1331109</v>
      </c>
      <c r="X6325">
        <v>0.93962880000000004</v>
      </c>
      <c r="Y6325">
        <v>-0.42088389999999998</v>
      </c>
      <c r="Z6325">
        <v>-4.6326689999999997E-2</v>
      </c>
      <c r="AA6325">
        <v>0.90593080000000004</v>
      </c>
      <c r="AB6325">
        <v>31</v>
      </c>
      <c r="AC6325">
        <v>0.212999999999993</v>
      </c>
      <c r="AD6325">
        <v>-9.6065999999999901E-2</v>
      </c>
      <c r="AE6325">
        <v>0.77101999999999205</v>
      </c>
      <c r="AF6325">
        <v>-0.42476033488642301</v>
      </c>
      <c r="AG6325">
        <v>-9.6065999999999901E-2</v>
      </c>
      <c r="AH6325">
        <v>0.66434473631367397</v>
      </c>
      <c r="AI6325">
        <v>96.946093841667704</v>
      </c>
      <c r="AJ6325">
        <v>122.59352054596999</v>
      </c>
      <c r="AK6325">
        <v>0.79435756880419495</v>
      </c>
      <c r="AL6325">
        <v>82.350603266675193</v>
      </c>
      <c r="AM6325">
        <v>108.54655561010399</v>
      </c>
      <c r="AN6325">
        <v>0.99999997565870402</v>
      </c>
    </row>
    <row r="6326" spans="1:40" x14ac:dyDescent="0.25">
      <c r="A6326" t="str">
        <f>"20190312164627111"</f>
        <v>20190312164627111</v>
      </c>
      <c r="B6326" t="str">
        <f>"1552380387107893"</f>
        <v>1552380387107893</v>
      </c>
      <c r="C6326" t="s">
        <v>40</v>
      </c>
      <c r="D6326">
        <v>4.6747529999999999</v>
      </c>
      <c r="E6326">
        <v>0.45401320000000001</v>
      </c>
      <c r="F6326" t="s">
        <v>41</v>
      </c>
      <c r="G6326">
        <v>-193.0454</v>
      </c>
      <c r="H6326">
        <v>1.023755</v>
      </c>
      <c r="I6326">
        <v>-54.158450000000002</v>
      </c>
      <c r="J6326">
        <v>-193.3237</v>
      </c>
      <c r="K6326">
        <v>1.119823</v>
      </c>
      <c r="L6326">
        <v>-55.005099999999999</v>
      </c>
      <c r="M6326">
        <v>0.73865479999999994</v>
      </c>
      <c r="N6326">
        <v>0</v>
      </c>
      <c r="O6326">
        <v>0.67391239999999997</v>
      </c>
      <c r="P6326">
        <v>0.48597289999999999</v>
      </c>
      <c r="Q6326">
        <v>0.1271359</v>
      </c>
      <c r="R6326">
        <v>0.86467729999999998</v>
      </c>
      <c r="S6326">
        <v>1.1818850000000001</v>
      </c>
      <c r="T6326">
        <v>-0.28399279999999999</v>
      </c>
      <c r="U6326">
        <v>2.8501280000000002</v>
      </c>
      <c r="V6326">
        <v>-0.3149457</v>
      </c>
      <c r="W6326">
        <v>0.13296240000000001</v>
      </c>
      <c r="X6326">
        <v>0.93975010000000003</v>
      </c>
      <c r="Y6326">
        <v>-0.42463709999999999</v>
      </c>
      <c r="Z6326">
        <v>-4.6734119999999997E-2</v>
      </c>
      <c r="AA6326">
        <v>0.90415670000000004</v>
      </c>
      <c r="AB6326">
        <v>31</v>
      </c>
      <c r="AC6326">
        <v>0.27830000000000099</v>
      </c>
      <c r="AD6326">
        <v>-9.6068000000000001E-2</v>
      </c>
      <c r="AE6326">
        <v>0.84664999999999602</v>
      </c>
      <c r="AF6326">
        <v>-0.43285330050432003</v>
      </c>
      <c r="AG6326">
        <v>-9.6068000000000001E-2</v>
      </c>
      <c r="AH6326">
        <v>0.767309463276732</v>
      </c>
      <c r="AI6326">
        <v>96.223328179291201</v>
      </c>
      <c r="AJ6326">
        <v>119.428139818133</v>
      </c>
      <c r="AK6326">
        <v>0.88620248973669102</v>
      </c>
      <c r="AL6326">
        <v>82.359188355831407</v>
      </c>
      <c r="AM6326">
        <v>108.527943445608</v>
      </c>
      <c r="AN6326">
        <v>1.00000002210612</v>
      </c>
    </row>
    <row r="6327" spans="1:40" x14ac:dyDescent="0.25">
      <c r="A6327" t="str">
        <f>"20190312164627123"</f>
        <v>20190312164627123</v>
      </c>
      <c r="B6327" t="str">
        <f>"1552380387117653"</f>
        <v>1552380387117653</v>
      </c>
      <c r="C6327" t="s">
        <v>40</v>
      </c>
      <c r="D6327">
        <v>4.7489299999999997</v>
      </c>
      <c r="E6327">
        <v>0.4540225</v>
      </c>
      <c r="F6327" t="s">
        <v>41</v>
      </c>
      <c r="G6327">
        <v>-192.92339999999999</v>
      </c>
      <c r="H6327">
        <v>1.0210589999999999</v>
      </c>
      <c r="I6327">
        <v>-54.018120000000003</v>
      </c>
      <c r="J6327">
        <v>-193.20009999999999</v>
      </c>
      <c r="K6327">
        <v>1.1198049999999999</v>
      </c>
      <c r="L6327">
        <v>-54.883090000000003</v>
      </c>
      <c r="M6327">
        <v>0.73365480000000005</v>
      </c>
      <c r="N6327">
        <v>0</v>
      </c>
      <c r="O6327">
        <v>0.67935230000000002</v>
      </c>
      <c r="P6327">
        <v>0.48009960000000002</v>
      </c>
      <c r="Q6327">
        <v>0.1270143</v>
      </c>
      <c r="R6327">
        <v>0.86796989999999996</v>
      </c>
      <c r="S6327">
        <v>1.1597440000000001</v>
      </c>
      <c r="T6327">
        <v>-0.2861592</v>
      </c>
      <c r="U6327">
        <v>2.859772</v>
      </c>
      <c r="V6327">
        <v>-0.31437510000000002</v>
      </c>
      <c r="W6327">
        <v>0.13287070000000001</v>
      </c>
      <c r="X6327">
        <v>0.93995410000000001</v>
      </c>
      <c r="Y6327">
        <v>-0.42503819999999998</v>
      </c>
      <c r="Z6327">
        <v>-4.7669669999999997E-2</v>
      </c>
      <c r="AA6327">
        <v>0.90391929999999998</v>
      </c>
      <c r="AB6327">
        <v>31</v>
      </c>
      <c r="AC6327">
        <v>0.276700000000005</v>
      </c>
      <c r="AD6327">
        <v>-9.8746E-2</v>
      </c>
      <c r="AE6327">
        <v>0.86497000000000601</v>
      </c>
      <c r="AF6327">
        <v>-0.44144506150749402</v>
      </c>
      <c r="AG6327">
        <v>-9.8746E-2</v>
      </c>
      <c r="AH6327">
        <v>0.78147372212071198</v>
      </c>
      <c r="AI6327">
        <v>96.278357606993197</v>
      </c>
      <c r="AJ6327">
        <v>119.461580033269</v>
      </c>
      <c r="AK6327">
        <v>0.90295387103138103</v>
      </c>
      <c r="AL6327">
        <v>82.364489384229799</v>
      </c>
      <c r="AM6327">
        <v>108.492920281621</v>
      </c>
      <c r="AN6327">
        <v>1.0000000182626501</v>
      </c>
    </row>
    <row r="6328" spans="1:40" x14ac:dyDescent="0.25">
      <c r="A6328" t="str">
        <f>"20190312164627144"</f>
        <v>20190312164627144</v>
      </c>
      <c r="B6328" t="str">
        <f>"1552380387137209"</f>
        <v>1552380387137209</v>
      </c>
      <c r="C6328" t="s">
        <v>40</v>
      </c>
      <c r="D6328">
        <v>4.9341720000000002</v>
      </c>
      <c r="E6328">
        <v>0.45417980000000002</v>
      </c>
      <c r="F6328" t="s">
        <v>52</v>
      </c>
      <c r="G6328">
        <v>-188.71770000000001</v>
      </c>
      <c r="H6328" s="1">
        <v>-6.5040239999999997E-6</v>
      </c>
      <c r="I6328">
        <v>-43.61065</v>
      </c>
      <c r="J6328">
        <v>-193.005</v>
      </c>
      <c r="K6328">
        <v>1.11978</v>
      </c>
      <c r="L6328">
        <v>-54.68723</v>
      </c>
      <c r="M6328">
        <v>0.72561500000000001</v>
      </c>
      <c r="N6328">
        <v>0</v>
      </c>
      <c r="O6328">
        <v>0.68793309999999996</v>
      </c>
      <c r="P6328">
        <v>0.47104109999999999</v>
      </c>
      <c r="Q6328">
        <v>0.1266775</v>
      </c>
      <c r="R6328">
        <v>0.87296799999999997</v>
      </c>
      <c r="S6328">
        <v>1.1401669999999999</v>
      </c>
      <c r="T6328">
        <v>-0.28484369999999998</v>
      </c>
      <c r="U6328">
        <v>2.86734</v>
      </c>
      <c r="V6328">
        <v>-0.31311679999999997</v>
      </c>
      <c r="W6328">
        <v>0.1325914</v>
      </c>
      <c r="X6328">
        <v>0.94041339999999995</v>
      </c>
      <c r="Y6328">
        <v>-0.42055949999999998</v>
      </c>
      <c r="Z6328">
        <v>-4.8582529999999999E-2</v>
      </c>
      <c r="AA6328">
        <v>0.90596319999999997</v>
      </c>
      <c r="AB6328">
        <v>31</v>
      </c>
      <c r="AC6328">
        <v>4.2872999999999797</v>
      </c>
      <c r="AD6328">
        <v>-1.119786504024</v>
      </c>
      <c r="AE6328">
        <v>11.07658</v>
      </c>
      <c r="AF6328">
        <v>-5.0437132757258203</v>
      </c>
      <c r="AG6328">
        <v>-1.119786504024</v>
      </c>
      <c r="AH6328">
        <v>10.637561904823199</v>
      </c>
      <c r="AI6328">
        <v>95.433462727476197</v>
      </c>
      <c r="AJ6328">
        <v>115.367587765837</v>
      </c>
      <c r="AK6328">
        <v>11.825848329032199</v>
      </c>
      <c r="AL6328">
        <v>82.380634705079004</v>
      </c>
      <c r="AM6328">
        <v>108.415517274031</v>
      </c>
      <c r="AN6328">
        <v>0.99999998634787901</v>
      </c>
    </row>
    <row r="6329" spans="1:40" x14ac:dyDescent="0.25">
      <c r="A6329" t="str">
        <f>"20190312164627156"</f>
        <v>20190312164627156</v>
      </c>
      <c r="B6329" t="str">
        <f>"1552380387146968"</f>
        <v>1552380387146968</v>
      </c>
      <c r="C6329" t="s">
        <v>40</v>
      </c>
      <c r="D6329">
        <v>4.7762120000000001</v>
      </c>
      <c r="E6329">
        <v>0.45436860000000001</v>
      </c>
      <c r="F6329" t="s">
        <v>52</v>
      </c>
      <c r="G6329">
        <v>-188.6105</v>
      </c>
      <c r="H6329" s="1">
        <v>-6.5958020000000001E-6</v>
      </c>
      <c r="I6329">
        <v>-43.300449999999998</v>
      </c>
      <c r="J6329">
        <v>-192.88560000000001</v>
      </c>
      <c r="K6329">
        <v>1.1197619999999999</v>
      </c>
      <c r="L6329">
        <v>-54.564880000000002</v>
      </c>
      <c r="M6329">
        <v>0.72059319999999905</v>
      </c>
      <c r="N6329">
        <v>0</v>
      </c>
      <c r="O6329">
        <v>0.69319169999999997</v>
      </c>
      <c r="P6329">
        <v>0.46531670000000003</v>
      </c>
      <c r="Q6329">
        <v>0.1262876</v>
      </c>
      <c r="R6329">
        <v>0.87608899999999901</v>
      </c>
      <c r="S6329">
        <v>1.1108089999999999</v>
      </c>
      <c r="T6329">
        <v>-0.28305150000000001</v>
      </c>
      <c r="U6329">
        <v>2.8782649999999999</v>
      </c>
      <c r="V6329">
        <v>-0.31245699999999998</v>
      </c>
      <c r="W6329">
        <v>0.1322332</v>
      </c>
      <c r="X6329">
        <v>0.9406833</v>
      </c>
      <c r="Y6329">
        <v>-0.42315700000000001</v>
      </c>
      <c r="Z6329">
        <v>-4.87695E-2</v>
      </c>
      <c r="AA6329">
        <v>0.90474290000000002</v>
      </c>
      <c r="AB6329">
        <v>31</v>
      </c>
      <c r="AC6329">
        <v>4.2751000000000001</v>
      </c>
      <c r="AD6329">
        <v>-1.1197685958020001</v>
      </c>
      <c r="AE6329">
        <v>11.264430000000001</v>
      </c>
      <c r="AF6329">
        <v>-5.1100632268853499</v>
      </c>
      <c r="AG6329">
        <v>-1.1197685958020001</v>
      </c>
      <c r="AH6329">
        <v>10.797012336020799</v>
      </c>
      <c r="AI6329">
        <v>95.355370741932205</v>
      </c>
      <c r="AJ6329">
        <v>115.327488371231</v>
      </c>
      <c r="AK6329">
        <v>11.9975873939345</v>
      </c>
      <c r="AL6329">
        <v>82.401340732943794</v>
      </c>
      <c r="AM6329">
        <v>108.37440317861601</v>
      </c>
      <c r="AN6329">
        <v>1.0000000334650601</v>
      </c>
    </row>
    <row r="6330" spans="1:40" x14ac:dyDescent="0.25">
      <c r="A6330" t="str">
        <f>"20190312164627170"</f>
        <v>20190312164627170</v>
      </c>
      <c r="B6330" t="str">
        <f>"1552380387167465"</f>
        <v>1552380387167465</v>
      </c>
      <c r="C6330" t="s">
        <v>40</v>
      </c>
      <c r="D6330">
        <v>4.914428</v>
      </c>
      <c r="E6330">
        <v>0.45468639999999999</v>
      </c>
      <c r="F6330" t="s">
        <v>41</v>
      </c>
      <c r="G6330">
        <v>-192.51840000000001</v>
      </c>
      <c r="H6330">
        <v>1.024403</v>
      </c>
      <c r="I6330">
        <v>-53.595489999999998</v>
      </c>
      <c r="J6330">
        <v>-192.76490000000001</v>
      </c>
      <c r="K6330">
        <v>1.119745</v>
      </c>
      <c r="L6330">
        <v>-54.44</v>
      </c>
      <c r="M6330">
        <v>0.71545259999999999</v>
      </c>
      <c r="N6330">
        <v>0</v>
      </c>
      <c r="O6330">
        <v>0.69849619999999901</v>
      </c>
      <c r="P6330">
        <v>0.45931060000000001</v>
      </c>
      <c r="Q6330">
        <v>0.125911</v>
      </c>
      <c r="R6330">
        <v>0.879306699999999</v>
      </c>
      <c r="S6330">
        <v>1.0928960000000001</v>
      </c>
      <c r="T6330">
        <v>-0.28378309999999901</v>
      </c>
      <c r="U6330">
        <v>2.884735</v>
      </c>
      <c r="V6330">
        <v>-0.31196649999999998</v>
      </c>
      <c r="W6330">
        <v>0.1318829</v>
      </c>
      <c r="X6330">
        <v>0.94089520000000004</v>
      </c>
      <c r="Y6330">
        <v>-0.42206309999999903</v>
      </c>
      <c r="Z6330">
        <v>-4.9532100000000003E-2</v>
      </c>
      <c r="AA6330">
        <v>0.90521229999999997</v>
      </c>
      <c r="AB6330">
        <v>31</v>
      </c>
      <c r="AC6330">
        <v>0.246499999999997</v>
      </c>
      <c r="AD6330">
        <v>-9.5341999999999802E-2</v>
      </c>
      <c r="AE6330">
        <v>0.84450999999999199</v>
      </c>
      <c r="AF6330">
        <v>-0.42706158368330799</v>
      </c>
      <c r="AG6330">
        <v>-9.5341999999999802E-2</v>
      </c>
      <c r="AH6330">
        <v>0.75743840967043596</v>
      </c>
      <c r="AI6330">
        <v>96.257306298441094</v>
      </c>
      <c r="AJ6330">
        <v>119.415325983695</v>
      </c>
      <c r="AK6330">
        <v>0.874748328187127</v>
      </c>
      <c r="AL6330">
        <v>82.421588421723897</v>
      </c>
      <c r="AM6330">
        <v>108.34363652597401</v>
      </c>
      <c r="AN6330">
        <v>0.99999998690884895</v>
      </c>
    </row>
    <row r="6331" spans="1:40" x14ac:dyDescent="0.25">
      <c r="A6331" t="str">
        <f>"20190312164627188"</f>
        <v>20190312164627188</v>
      </c>
      <c r="B6331" t="str">
        <f>"1552380387177224"</f>
        <v>1552380387177224</v>
      </c>
      <c r="C6331" t="s">
        <v>40</v>
      </c>
      <c r="D6331">
        <v>4.8978619999999999</v>
      </c>
      <c r="E6331">
        <v>0.45483400000000002</v>
      </c>
      <c r="F6331" t="s">
        <v>41</v>
      </c>
      <c r="G6331">
        <v>-192.38499999999999</v>
      </c>
      <c r="H6331">
        <v>1.020084</v>
      </c>
      <c r="I6331">
        <v>-53.418430000000001</v>
      </c>
      <c r="J6331">
        <v>-192.5821</v>
      </c>
      <c r="K6331">
        <v>1.119715</v>
      </c>
      <c r="L6331">
        <v>-54.246490000000001</v>
      </c>
      <c r="M6331">
        <v>0.70749430000000002</v>
      </c>
      <c r="N6331">
        <v>0</v>
      </c>
      <c r="O6331">
        <v>0.70655599999999996</v>
      </c>
      <c r="P6331">
        <v>0.45056429999999997</v>
      </c>
      <c r="Q6331">
        <v>0.12512889999999999</v>
      </c>
      <c r="R6331">
        <v>0.88393129999999998</v>
      </c>
      <c r="S6331">
        <v>1.0746770000000001</v>
      </c>
      <c r="T6331">
        <v>-0.28199089999999999</v>
      </c>
      <c r="U6331">
        <v>2.8907780000000001</v>
      </c>
      <c r="V6331">
        <v>-0.31068950000000001</v>
      </c>
      <c r="W6331">
        <v>0.13115729999999901</v>
      </c>
      <c r="X6331">
        <v>0.94141900000000001</v>
      </c>
      <c r="Y6331">
        <v>-0.41743669999999999</v>
      </c>
      <c r="Z6331">
        <v>-5.0299290000000003E-2</v>
      </c>
      <c r="AA6331">
        <v>0.90731289999999998</v>
      </c>
      <c r="AB6331">
        <v>31</v>
      </c>
      <c r="AC6331">
        <v>0.19710000000000599</v>
      </c>
      <c r="AD6331">
        <v>-9.9630999999999997E-2</v>
      </c>
      <c r="AE6331">
        <v>0.82805999999999302</v>
      </c>
      <c r="AF6331">
        <v>-0.44060062456225002</v>
      </c>
      <c r="AG6331">
        <v>-9.9630999999999997E-2</v>
      </c>
      <c r="AH6331">
        <v>0.71480825857878005</v>
      </c>
      <c r="AI6331">
        <v>96.766627675981397</v>
      </c>
      <c r="AJ6331">
        <v>121.649262949754</v>
      </c>
      <c r="AK6331">
        <v>0.84558032915748105</v>
      </c>
      <c r="AL6331">
        <v>82.463526393989298</v>
      </c>
      <c r="AM6331">
        <v>108.26405512581</v>
      </c>
      <c r="AN6331">
        <v>0.99999996815726899</v>
      </c>
    </row>
    <row r="6332" spans="1:40" x14ac:dyDescent="0.25">
      <c r="A6332" t="str">
        <f>"20190312164627202"</f>
        <v>20190312164627202</v>
      </c>
      <c r="B6332" t="str">
        <f>"1552380387197721"</f>
        <v>1552380387197721</v>
      </c>
      <c r="C6332" t="s">
        <v>40</v>
      </c>
      <c r="D6332">
        <v>4.7811349999999999</v>
      </c>
      <c r="E6332">
        <v>0.45520959999999999</v>
      </c>
      <c r="F6332" t="s">
        <v>52</v>
      </c>
      <c r="G6332">
        <v>-188.4393</v>
      </c>
      <c r="H6332" s="1">
        <v>-6.7571729999999998E-6</v>
      </c>
      <c r="I6332">
        <v>-42.760860000000001</v>
      </c>
      <c r="J6332">
        <v>-192.46170000000001</v>
      </c>
      <c r="K6332">
        <v>1.1196969999999999</v>
      </c>
      <c r="L6332">
        <v>-54.11609</v>
      </c>
      <c r="M6332">
        <v>0.70213840000000005</v>
      </c>
      <c r="N6332">
        <v>0</v>
      </c>
      <c r="O6332">
        <v>0.71187880000000003</v>
      </c>
      <c r="P6332">
        <v>0.44456600000000002</v>
      </c>
      <c r="Q6332">
        <v>0.1249736</v>
      </c>
      <c r="R6332">
        <v>0.88698519999999903</v>
      </c>
      <c r="S6332">
        <v>1.0462340000000001</v>
      </c>
      <c r="T6332">
        <v>-0.2827827</v>
      </c>
      <c r="U6332">
        <v>2.900665</v>
      </c>
      <c r="V6332">
        <v>-0.30996190000000001</v>
      </c>
      <c r="W6332">
        <v>0.13103489999999901</v>
      </c>
      <c r="X6332">
        <v>0.94167590000000001</v>
      </c>
      <c r="Y6332">
        <v>-0.41944049999999999</v>
      </c>
      <c r="Z6332">
        <v>-5.0966209999999998E-2</v>
      </c>
      <c r="AA6332">
        <v>0.90635100000000002</v>
      </c>
      <c r="AB6332">
        <v>31</v>
      </c>
      <c r="AC6332">
        <v>4.0224000000000002</v>
      </c>
      <c r="AD6332">
        <v>-1.119703757173</v>
      </c>
      <c r="AE6332">
        <v>11.355230000000001</v>
      </c>
      <c r="AF6332">
        <v>-5.06630099472215</v>
      </c>
      <c r="AG6332">
        <v>-1.119703757173</v>
      </c>
      <c r="AH6332">
        <v>10.815645846446699</v>
      </c>
      <c r="AI6332">
        <v>95.355857751062899</v>
      </c>
      <c r="AJ6332">
        <v>115.09948852809799</v>
      </c>
      <c r="AK6332">
        <v>11.9958049896082</v>
      </c>
      <c r="AL6332">
        <v>82.470600785326994</v>
      </c>
      <c r="AM6332">
        <v>108.21946947499499</v>
      </c>
      <c r="AN6332">
        <v>1.00000001255521</v>
      </c>
    </row>
    <row r="6333" spans="1:40" x14ac:dyDescent="0.25">
      <c r="A6333" t="str">
        <f>"20190312164627225"</f>
        <v>20190312164627225</v>
      </c>
      <c r="B6333" t="str">
        <f>"1552380387217241"</f>
        <v>1552380387217241</v>
      </c>
      <c r="C6333" t="s">
        <v>40</v>
      </c>
      <c r="D6333">
        <v>4.8847610000000001</v>
      </c>
      <c r="E6333">
        <v>0.45560800000000001</v>
      </c>
      <c r="F6333" t="s">
        <v>52</v>
      </c>
      <c r="G6333">
        <v>-188.3596</v>
      </c>
      <c r="H6333" s="1">
        <v>-6.8256060000000001E-6</v>
      </c>
      <c r="I6333">
        <v>-42.529649999999997</v>
      </c>
      <c r="J6333">
        <v>-192.25569999999999</v>
      </c>
      <c r="K6333">
        <v>1.1196729999999999</v>
      </c>
      <c r="L6333">
        <v>-53.889279999999999</v>
      </c>
      <c r="M6333">
        <v>0.6927932</v>
      </c>
      <c r="N6333">
        <v>0</v>
      </c>
      <c r="O6333">
        <v>0.72097679999999997</v>
      </c>
      <c r="P6333">
        <v>0.434118</v>
      </c>
      <c r="Q6333">
        <v>0.1245877</v>
      </c>
      <c r="R6333">
        <v>0.89219930000000003</v>
      </c>
      <c r="S6333">
        <v>1.028885</v>
      </c>
      <c r="T6333">
        <v>-0.28084579999999998</v>
      </c>
      <c r="U6333">
        <v>2.9061279999999998</v>
      </c>
      <c r="V6333">
        <v>-0.30875380000000002</v>
      </c>
      <c r="W6333">
        <v>0.1307035</v>
      </c>
      <c r="X6333">
        <v>0.94211869999999998</v>
      </c>
      <c r="Y6333">
        <v>-0.41295480000000001</v>
      </c>
      <c r="Z6333">
        <v>-5.1876989999999998E-2</v>
      </c>
      <c r="AA6333">
        <v>0.90927279999999999</v>
      </c>
      <c r="AB6333">
        <v>31</v>
      </c>
      <c r="AC6333">
        <v>3.8960999999999899</v>
      </c>
      <c r="AD6333">
        <v>-1.1196798256060001</v>
      </c>
      <c r="AE6333">
        <v>11.359629999999999</v>
      </c>
      <c r="AF6333">
        <v>-5.0178398070308203</v>
      </c>
      <c r="AG6333">
        <v>-1.1196798256060001</v>
      </c>
      <c r="AH6333">
        <v>10.7966210449241</v>
      </c>
      <c r="AI6333">
        <v>95.372618084453904</v>
      </c>
      <c r="AJ6333">
        <v>114.927129978178</v>
      </c>
      <c r="AK6333">
        <v>11.9582367106773</v>
      </c>
      <c r="AL6333">
        <v>82.489753074806998</v>
      </c>
      <c r="AM6333">
        <v>108.145150810833</v>
      </c>
      <c r="AN6333">
        <v>0.99999997940818897</v>
      </c>
    </row>
    <row r="6334" spans="1:40" x14ac:dyDescent="0.25">
      <c r="A6334" t="str">
        <f>"20190312164627247"</f>
        <v>20190312164627247</v>
      </c>
      <c r="B6334" t="str">
        <f>"1552380387237737"</f>
        <v>1552380387237737</v>
      </c>
      <c r="C6334" t="s">
        <v>40</v>
      </c>
      <c r="D6334">
        <v>4.7165809999999997</v>
      </c>
      <c r="E6334">
        <v>0.45599200000000001</v>
      </c>
      <c r="F6334" t="s">
        <v>52</v>
      </c>
      <c r="G6334">
        <v>-188.3176</v>
      </c>
      <c r="H6334" s="1">
        <v>-6.8751189999999999E-6</v>
      </c>
      <c r="I6334">
        <v>-42.367609999999999</v>
      </c>
      <c r="J6334">
        <v>-192.05019999999999</v>
      </c>
      <c r="K6334">
        <v>1.119642</v>
      </c>
      <c r="L6334">
        <v>-53.657069999999997</v>
      </c>
      <c r="M6334">
        <v>0.68321390000000004</v>
      </c>
      <c r="N6334">
        <v>0</v>
      </c>
      <c r="O6334">
        <v>0.73006079999999995</v>
      </c>
      <c r="P6334">
        <v>0.4234695</v>
      </c>
      <c r="Q6334">
        <v>0.1246419</v>
      </c>
      <c r="R6334">
        <v>0.89729479999999995</v>
      </c>
      <c r="S6334">
        <v>0.99700929999999999</v>
      </c>
      <c r="T6334">
        <v>-0.28347119999999998</v>
      </c>
      <c r="U6334">
        <v>2.9169619999999998</v>
      </c>
      <c r="V6334">
        <v>-0.30751149999999999</v>
      </c>
      <c r="W6334">
        <v>0.13081229999999999</v>
      </c>
      <c r="X6334">
        <v>0.94250990000000001</v>
      </c>
      <c r="Y6334">
        <v>-0.41088760000000002</v>
      </c>
      <c r="Z6334">
        <v>-5.3457949999999997E-2</v>
      </c>
      <c r="AA6334">
        <v>0.91011739999999997</v>
      </c>
      <c r="AB6334">
        <v>31</v>
      </c>
      <c r="AC6334">
        <v>3.7325999999999899</v>
      </c>
      <c r="AD6334">
        <v>-1.1196488751189999</v>
      </c>
      <c r="AE6334">
        <v>11.289459999999901</v>
      </c>
      <c r="AF6334">
        <v>-4.9448204532476003</v>
      </c>
      <c r="AG6334">
        <v>-1.1196488751189999</v>
      </c>
      <c r="AH6334">
        <v>10.698536803223501</v>
      </c>
      <c r="AI6334">
        <v>95.426707944371998</v>
      </c>
      <c r="AJ6334">
        <v>114.806188979433</v>
      </c>
      <c r="AK6334">
        <v>11.839068909687899</v>
      </c>
      <c r="AL6334">
        <v>82.483465812838205</v>
      </c>
      <c r="AM6334">
        <v>108.06988484027001</v>
      </c>
      <c r="AN6334">
        <v>1.0000000460307701</v>
      </c>
    </row>
    <row r="6335" spans="1:40" x14ac:dyDescent="0.25">
      <c r="A6335" t="str">
        <f>"20190312164627269"</f>
        <v>20190312164627269</v>
      </c>
      <c r="B6335" t="str">
        <f>"1552380387257257"</f>
        <v>1552380387257257</v>
      </c>
      <c r="C6335" t="s">
        <v>40</v>
      </c>
      <c r="D6335">
        <v>4.8452330000000003</v>
      </c>
      <c r="E6335">
        <v>0.4562871</v>
      </c>
      <c r="F6335" t="s">
        <v>52</v>
      </c>
      <c r="G6335">
        <v>-188.25890000000001</v>
      </c>
      <c r="H6335" s="1">
        <v>-6.9414119999999996E-6</v>
      </c>
      <c r="I6335">
        <v>-42.149830000000001</v>
      </c>
      <c r="J6335">
        <v>-191.85310000000001</v>
      </c>
      <c r="K6335">
        <v>1.1196189999999999</v>
      </c>
      <c r="L6335">
        <v>-53.428339999999999</v>
      </c>
      <c r="M6335">
        <v>0.67376780000000003</v>
      </c>
      <c r="N6335">
        <v>0</v>
      </c>
      <c r="O6335">
        <v>0.73878769999999905</v>
      </c>
      <c r="P6335">
        <v>0.41311300000000001</v>
      </c>
      <c r="Q6335">
        <v>0.124820899999999</v>
      </c>
      <c r="R6335">
        <v>0.90208509999999997</v>
      </c>
      <c r="S6335">
        <v>0.9645996</v>
      </c>
      <c r="T6335">
        <v>-0.28486440000000002</v>
      </c>
      <c r="U6335">
        <v>2.9277039999999999</v>
      </c>
      <c r="V6335">
        <v>-0.30621500000000001</v>
      </c>
      <c r="W6335">
        <v>0.13104579999999999</v>
      </c>
      <c r="X6335">
        <v>0.9428995</v>
      </c>
      <c r="Y6335">
        <v>-0.40926469999999998</v>
      </c>
      <c r="Z6335">
        <v>-5.4768079999999997E-2</v>
      </c>
      <c r="AA6335">
        <v>0.91077050000000004</v>
      </c>
      <c r="AB6335">
        <v>31</v>
      </c>
      <c r="AC6335">
        <v>3.5941999999999998</v>
      </c>
      <c r="AD6335">
        <v>-1.119625941412</v>
      </c>
      <c r="AE6335">
        <v>11.278510000000001</v>
      </c>
      <c r="AF6335">
        <v>-4.9004735880604899</v>
      </c>
      <c r="AG6335">
        <v>-1.119625941412</v>
      </c>
      <c r="AH6335">
        <v>10.659950393096</v>
      </c>
      <c r="AI6335">
        <v>95.451243407497103</v>
      </c>
      <c r="AJ6335">
        <v>114.688660640763</v>
      </c>
      <c r="AK6335">
        <v>11.7857009133623</v>
      </c>
      <c r="AL6335">
        <v>82.469971093996904</v>
      </c>
      <c r="AM6335">
        <v>107.991666175205</v>
      </c>
      <c r="AN6335">
        <v>1.0000000475114399</v>
      </c>
    </row>
    <row r="6336" spans="1:40" x14ac:dyDescent="0.25">
      <c r="A6336" t="str">
        <f>"20190312164627290"</f>
        <v>20190312164627290</v>
      </c>
      <c r="B6336" t="str">
        <f>"1552380387287513"</f>
        <v>1552380387287513</v>
      </c>
      <c r="C6336" t="s">
        <v>40</v>
      </c>
      <c r="D6336">
        <v>4.7665769999999998</v>
      </c>
      <c r="E6336">
        <v>0.43220059999999899</v>
      </c>
      <c r="F6336" t="s">
        <v>41</v>
      </c>
      <c r="G6336">
        <v>-191.5239</v>
      </c>
      <c r="H6336">
        <v>1.019809</v>
      </c>
      <c r="I6336">
        <v>-52.391509999999997</v>
      </c>
      <c r="J6336">
        <v>-191.66810000000001</v>
      </c>
      <c r="K6336">
        <v>1.119597</v>
      </c>
      <c r="L6336">
        <v>-53.207790000000003</v>
      </c>
      <c r="M6336">
        <v>0.66465439999999998</v>
      </c>
      <c r="N6336">
        <v>0</v>
      </c>
      <c r="O6336">
        <v>0.74699720000000003</v>
      </c>
      <c r="P6336">
        <v>0.40310760000000001</v>
      </c>
      <c r="Q6336">
        <v>0.12509110000000001</v>
      </c>
      <c r="R6336">
        <v>0.90656300000000001</v>
      </c>
      <c r="S6336">
        <v>0.93289180000000005</v>
      </c>
      <c r="T6336">
        <v>-0.28278759999999997</v>
      </c>
      <c r="U6336">
        <v>2.9375610000000001</v>
      </c>
      <c r="V6336">
        <v>-0.30505209999999999</v>
      </c>
      <c r="W6336">
        <v>0.13136489999999901</v>
      </c>
      <c r="X6336">
        <v>0.94323190000000001</v>
      </c>
      <c r="Y6336">
        <v>-0.40789229999999999</v>
      </c>
      <c r="Z6336">
        <v>-5.5353520000000003E-2</v>
      </c>
      <c r="AA6336">
        <v>0.91135049999999995</v>
      </c>
      <c r="AB6336">
        <v>31</v>
      </c>
      <c r="AC6336">
        <v>0.14420000000001201</v>
      </c>
      <c r="AD6336">
        <v>-9.9788000000000002E-2</v>
      </c>
      <c r="AE6336">
        <v>0.816280000000006</v>
      </c>
      <c r="AF6336">
        <v>-0.42866477922176699</v>
      </c>
      <c r="AG6336">
        <v>-9.9788000000000002E-2</v>
      </c>
      <c r="AH6336">
        <v>0.69560233029616203</v>
      </c>
      <c r="AI6336">
        <v>96.962932432438095</v>
      </c>
      <c r="AJ6336">
        <v>121.643442546015</v>
      </c>
      <c r="AK6336">
        <v>0.82314867417903104</v>
      </c>
      <c r="AL6336">
        <v>82.4515279832423</v>
      </c>
      <c r="AM6336">
        <v>107.921806943376</v>
      </c>
      <c r="AN6336">
        <v>0.99999996892201404</v>
      </c>
    </row>
    <row r="6337" spans="1:40" x14ac:dyDescent="0.25">
      <c r="A6337" t="str">
        <f>"20190312164627313"</f>
        <v>20190312164627313</v>
      </c>
      <c r="B6337" t="str">
        <f>"1552380387308009"</f>
        <v>1552380387308009</v>
      </c>
      <c r="C6337" t="s">
        <v>40</v>
      </c>
      <c r="D6337">
        <v>4.800427</v>
      </c>
      <c r="E6337">
        <v>0.43150169999999999</v>
      </c>
      <c r="F6337" t="s">
        <v>41</v>
      </c>
      <c r="G6337">
        <v>-191.41480000000001</v>
      </c>
      <c r="H6337">
        <v>1.0232460000000001</v>
      </c>
      <c r="I6337">
        <v>-52.150019999999998</v>
      </c>
      <c r="J6337">
        <v>-191.4632</v>
      </c>
      <c r="K6337">
        <v>1.11958</v>
      </c>
      <c r="L6337">
        <v>-52.95673</v>
      </c>
      <c r="M6337">
        <v>0.65427179999999996</v>
      </c>
      <c r="N6337">
        <v>0</v>
      </c>
      <c r="O6337">
        <v>0.7561078</v>
      </c>
      <c r="P6337">
        <v>0.39202409999999999</v>
      </c>
      <c r="Q6337">
        <v>0.125025</v>
      </c>
      <c r="R6337">
        <v>0.91141970000000005</v>
      </c>
      <c r="S6337">
        <v>0.72413640000000001</v>
      </c>
      <c r="T6337">
        <v>-0.2755551</v>
      </c>
      <c r="U6337">
        <v>3.0252080000000001</v>
      </c>
      <c r="V6337">
        <v>-0.30351590000000001</v>
      </c>
      <c r="W6337">
        <v>0.13136059999999999</v>
      </c>
      <c r="X6337">
        <v>0.94372800000000001</v>
      </c>
      <c r="Y6337">
        <v>-0.46058339999999998</v>
      </c>
      <c r="Z6337">
        <v>-5.2674770000000003E-2</v>
      </c>
      <c r="AA6337">
        <v>0.88605210000000001</v>
      </c>
      <c r="AB6337">
        <v>31</v>
      </c>
      <c r="AC6337">
        <v>4.83999999999866E-2</v>
      </c>
      <c r="AD6337">
        <v>-9.63340000000001E-2</v>
      </c>
      <c r="AE6337">
        <v>0.80671000000000903</v>
      </c>
      <c r="AF6337">
        <v>-0.48438569832141998</v>
      </c>
      <c r="AG6337">
        <v>-9.63340000000001E-2</v>
      </c>
      <c r="AH6337">
        <v>0.632709906362386</v>
      </c>
      <c r="AI6337">
        <v>96.893336098064196</v>
      </c>
      <c r="AJ6337">
        <v>127.436697596515</v>
      </c>
      <c r="AK6337">
        <v>0.80264037395550203</v>
      </c>
      <c r="AL6337">
        <v>82.451776922223203</v>
      </c>
      <c r="AM6337">
        <v>107.828504755004</v>
      </c>
      <c r="AN6337">
        <v>1.0000000233845801</v>
      </c>
    </row>
    <row r="6338" spans="1:40" x14ac:dyDescent="0.25">
      <c r="A6338" t="str">
        <f>"20190312164627335"</f>
        <v>20190312164627335</v>
      </c>
      <c r="B6338" t="str">
        <f>"1552380387327529"</f>
        <v>1552380387327529</v>
      </c>
      <c r="C6338" t="s">
        <v>40</v>
      </c>
      <c r="D6338">
        <v>4.8435360000000003</v>
      </c>
      <c r="E6338">
        <v>0.43186400000000003</v>
      </c>
      <c r="F6338" t="s">
        <v>41</v>
      </c>
      <c r="G6338">
        <v>-191.23660000000001</v>
      </c>
      <c r="H6338">
        <v>1.0283629999999999</v>
      </c>
      <c r="I6338">
        <v>-51.947200000000002</v>
      </c>
      <c r="J6338">
        <v>-191.28739999999999</v>
      </c>
      <c r="K6338">
        <v>1.1195600000000001</v>
      </c>
      <c r="L6338">
        <v>-52.735750000000003</v>
      </c>
      <c r="M6338">
        <v>0.64512150000000001</v>
      </c>
      <c r="N6338">
        <v>0</v>
      </c>
      <c r="O6338">
        <v>0.76393</v>
      </c>
      <c r="P6338">
        <v>0.38215759999999899</v>
      </c>
      <c r="Q6338">
        <v>0.12546679999999999</v>
      </c>
      <c r="R6338">
        <v>0.91554009999999997</v>
      </c>
      <c r="S6338">
        <v>0.681427</v>
      </c>
      <c r="T6338">
        <v>-0.27433439999999998</v>
      </c>
      <c r="U6338">
        <v>3.036133</v>
      </c>
      <c r="V6338">
        <v>-0.3023092</v>
      </c>
      <c r="W6338">
        <v>0.1318503</v>
      </c>
      <c r="X6338">
        <v>0.94404699999999997</v>
      </c>
      <c r="Y6338">
        <v>-0.46245419999999998</v>
      </c>
      <c r="Z6338">
        <v>-5.3245220000000003E-2</v>
      </c>
      <c r="AA6338">
        <v>0.88504300000000002</v>
      </c>
      <c r="AB6338">
        <v>31</v>
      </c>
      <c r="AC6338">
        <v>5.0799999999980999E-2</v>
      </c>
      <c r="AD6338">
        <v>-9.1197000000000195E-2</v>
      </c>
      <c r="AE6338">
        <v>0.78854999999999997</v>
      </c>
      <c r="AF6338">
        <v>-0.46377924059087899</v>
      </c>
      <c r="AG6338">
        <v>-9.1197000000000195E-2</v>
      </c>
      <c r="AH6338">
        <v>0.62689178494458497</v>
      </c>
      <c r="AI6338">
        <v>96.670415393008199</v>
      </c>
      <c r="AJ6338">
        <v>126.494313450663</v>
      </c>
      <c r="AK6338">
        <v>0.78511234026925203</v>
      </c>
      <c r="AL6338">
        <v>82.423473170025702</v>
      </c>
      <c r="AM6338">
        <v>107.75646123851</v>
      </c>
      <c r="AN6338">
        <v>1.0000000461118601</v>
      </c>
    </row>
    <row r="6339" spans="1:40" x14ac:dyDescent="0.25">
      <c r="A6339" t="str">
        <f>"20190312164627356"</f>
        <v>20190312164627356</v>
      </c>
      <c r="B6339" t="str">
        <f>"1552380387347049"</f>
        <v>1552380387347049</v>
      </c>
      <c r="C6339" t="s">
        <v>40</v>
      </c>
      <c r="D6339">
        <v>4.8137150000000002</v>
      </c>
      <c r="E6339">
        <v>0.43294640000000001</v>
      </c>
      <c r="F6339" t="s">
        <v>41</v>
      </c>
      <c r="G6339">
        <v>-191.07339999999999</v>
      </c>
      <c r="H6339">
        <v>1.0284500000000001</v>
      </c>
      <c r="I6339">
        <v>-51.735799999999998</v>
      </c>
      <c r="J6339">
        <v>-191.10249999999999</v>
      </c>
      <c r="K6339">
        <v>1.119545</v>
      </c>
      <c r="L6339">
        <v>-52.497160000000001</v>
      </c>
      <c r="M6339">
        <v>0.6352312</v>
      </c>
      <c r="N6339">
        <v>0</v>
      </c>
      <c r="O6339">
        <v>0.77217380000000002</v>
      </c>
      <c r="P6339">
        <v>0.37179699999999999</v>
      </c>
      <c r="Q6339">
        <v>0.12581429999999999</v>
      </c>
      <c r="R6339">
        <v>0.91974869999999997</v>
      </c>
      <c r="S6339">
        <v>0.65078740000000002</v>
      </c>
      <c r="T6339">
        <v>-0.27725169999999999</v>
      </c>
      <c r="U6339">
        <v>3.0431210000000002</v>
      </c>
      <c r="V6339">
        <v>-0.30077939999999997</v>
      </c>
      <c r="W6339">
        <v>0.13225629999999999</v>
      </c>
      <c r="X6339">
        <v>0.9444787</v>
      </c>
      <c r="Y6339">
        <v>-0.45999210000000001</v>
      </c>
      <c r="Z6339">
        <v>-5.4832039999999999E-2</v>
      </c>
      <c r="AA6339">
        <v>0.88622829999999997</v>
      </c>
      <c r="AB6339">
        <v>31</v>
      </c>
      <c r="AC6339">
        <v>2.9099999999999598E-2</v>
      </c>
      <c r="AD6339">
        <v>-9.1094999999999898E-2</v>
      </c>
      <c r="AE6339">
        <v>0.76136000000000303</v>
      </c>
      <c r="AF6339">
        <v>-0.45472205461654602</v>
      </c>
      <c r="AG6339">
        <v>-9.1094999999999898E-2</v>
      </c>
      <c r="AH6339">
        <v>0.59790995655009205</v>
      </c>
      <c r="AI6339">
        <v>96.914468066883401</v>
      </c>
      <c r="AJ6339">
        <v>127.25368894162099</v>
      </c>
      <c r="AK6339">
        <v>0.75668141388660104</v>
      </c>
      <c r="AL6339">
        <v>82.400005183192107</v>
      </c>
      <c r="AM6339">
        <v>107.66463570337299</v>
      </c>
      <c r="AN6339">
        <v>0.99999999555386898</v>
      </c>
    </row>
    <row r="6340" spans="1:40" x14ac:dyDescent="0.25">
      <c r="A6340" t="str">
        <f>"20190312164627380"</f>
        <v>20190312164627380</v>
      </c>
      <c r="B6340" t="str">
        <f>"1552380387377305"</f>
        <v>1552380387377305</v>
      </c>
      <c r="C6340" t="s">
        <v>40</v>
      </c>
      <c r="D6340">
        <v>4.8251119999999998</v>
      </c>
      <c r="E6340">
        <v>0.4337395</v>
      </c>
      <c r="F6340" t="s">
        <v>41</v>
      </c>
      <c r="G6340">
        <v>-190.90389999999999</v>
      </c>
      <c r="H6340">
        <v>1.0334380000000001</v>
      </c>
      <c r="I6340">
        <v>-51.527160000000002</v>
      </c>
      <c r="J6340">
        <v>-190.91849999999999</v>
      </c>
      <c r="K6340">
        <v>1.119524</v>
      </c>
      <c r="L6340">
        <v>-52.253450000000001</v>
      </c>
      <c r="M6340">
        <v>0.62511660000000002</v>
      </c>
      <c r="N6340">
        <v>0</v>
      </c>
      <c r="O6340">
        <v>0.78038479999999999</v>
      </c>
      <c r="P6340">
        <v>0.36126209999999997</v>
      </c>
      <c r="Q6340">
        <v>0.1259702</v>
      </c>
      <c r="R6340">
        <v>0.92391619999999997</v>
      </c>
      <c r="S6340">
        <v>0.62380979999999997</v>
      </c>
      <c r="T6340">
        <v>-0.27045659999999999</v>
      </c>
      <c r="U6340">
        <v>3.0466000000000002</v>
      </c>
      <c r="V6340">
        <v>-0.29924770000000001</v>
      </c>
      <c r="W6340">
        <v>0.13247139999999999</v>
      </c>
      <c r="X6340">
        <v>0.94493499999999997</v>
      </c>
      <c r="Y6340">
        <v>-0.45614909999999997</v>
      </c>
      <c r="Z6340">
        <v>-5.458114E-2</v>
      </c>
      <c r="AA6340">
        <v>0.88822789999999996</v>
      </c>
      <c r="AB6340">
        <v>31</v>
      </c>
      <c r="AC6340">
        <v>1.4600000000001501E-2</v>
      </c>
      <c r="AD6340">
        <v>-8.6086000000000107E-2</v>
      </c>
      <c r="AE6340">
        <v>0.72629000000000499</v>
      </c>
      <c r="AF6340">
        <v>-0.43654246120872697</v>
      </c>
      <c r="AG6340">
        <v>-8.6086000000000107E-2</v>
      </c>
      <c r="AH6340">
        <v>0.56800165155535698</v>
      </c>
      <c r="AI6340">
        <v>96.8522998453371</v>
      </c>
      <c r="AJ6340">
        <v>127.544382715875</v>
      </c>
      <c r="AK6340">
        <v>0.72153031537405699</v>
      </c>
      <c r="AL6340">
        <v>82.387571539022304</v>
      </c>
      <c r="AM6340">
        <v>107.572266339241</v>
      </c>
      <c r="AN6340">
        <v>1.0000000059991201</v>
      </c>
    </row>
    <row r="6341" spans="1:40" x14ac:dyDescent="0.25">
      <c r="A6341" t="str">
        <f>"20190312164627401"</f>
        <v>20190312164627401</v>
      </c>
      <c r="B6341" t="str">
        <f>"1552380387397801"</f>
        <v>1552380387397801</v>
      </c>
      <c r="C6341" t="s">
        <v>40</v>
      </c>
      <c r="D6341">
        <v>4.8621299999999996</v>
      </c>
      <c r="E6341">
        <v>0.43421500000000002</v>
      </c>
      <c r="F6341" t="s">
        <v>41</v>
      </c>
      <c r="G6341">
        <v>-190.73609999999999</v>
      </c>
      <c r="H6341">
        <v>1.038791</v>
      </c>
      <c r="I6341">
        <v>-51.317019999999999</v>
      </c>
      <c r="J6341">
        <v>-190.74610000000001</v>
      </c>
      <c r="K6341">
        <v>1.1195029999999999</v>
      </c>
      <c r="L6341">
        <v>-52.018979999999999</v>
      </c>
      <c r="M6341">
        <v>0.61537619999999904</v>
      </c>
      <c r="N6341">
        <v>0</v>
      </c>
      <c r="O6341">
        <v>0.78808840000000002</v>
      </c>
      <c r="P6341">
        <v>0.35140399999999999</v>
      </c>
      <c r="Q6341">
        <v>0.125829</v>
      </c>
      <c r="R6341">
        <v>0.92772969999999999</v>
      </c>
      <c r="S6341">
        <v>0.59400940000000002</v>
      </c>
      <c r="T6341">
        <v>-0.26299299999999998</v>
      </c>
      <c r="U6341">
        <v>3.0506289999999998</v>
      </c>
      <c r="V6341">
        <v>-0.29757060000000002</v>
      </c>
      <c r="W6341">
        <v>0.13239289999999901</v>
      </c>
      <c r="X6341">
        <v>0.94547550000000002</v>
      </c>
      <c r="Y6341">
        <v>-0.45367020000000002</v>
      </c>
      <c r="Z6341">
        <v>-5.4039570000000002E-2</v>
      </c>
      <c r="AA6341">
        <v>0.88952969999999898</v>
      </c>
      <c r="AB6341">
        <v>31</v>
      </c>
      <c r="AC6341">
        <v>1.0000000000019301E-2</v>
      </c>
      <c r="AD6341">
        <v>-8.0712000000000103E-2</v>
      </c>
      <c r="AE6341">
        <v>0.70195999999999903</v>
      </c>
      <c r="AF6341">
        <v>-0.41860404095752801</v>
      </c>
      <c r="AG6341">
        <v>-8.0712000000000103E-2</v>
      </c>
      <c r="AH6341">
        <v>0.55212633308053005</v>
      </c>
      <c r="AI6341">
        <v>96.644376342017495</v>
      </c>
      <c r="AJ6341">
        <v>127.168208663947</v>
      </c>
      <c r="AK6341">
        <v>0.69755806764091299</v>
      </c>
      <c r="AL6341">
        <v>82.3921094206639</v>
      </c>
      <c r="AM6341">
        <v>107.470413234791</v>
      </c>
      <c r="AN6341">
        <v>1.0000000315274999</v>
      </c>
    </row>
    <row r="6342" spans="1:40" x14ac:dyDescent="0.25">
      <c r="A6342" t="str">
        <f>"20190312164627417"</f>
        <v>20190312164627417</v>
      </c>
      <c r="B6342" t="str">
        <f>"1552380387407561"</f>
        <v>1552380387407561</v>
      </c>
      <c r="C6342" t="s">
        <v>40</v>
      </c>
      <c r="D6342">
        <v>4.8117570000000001</v>
      </c>
      <c r="E6342">
        <v>0.43494319999999997</v>
      </c>
      <c r="F6342" t="s">
        <v>41</v>
      </c>
      <c r="G6342">
        <v>-190.57669999999999</v>
      </c>
      <c r="H6342">
        <v>1.0407630000000001</v>
      </c>
      <c r="I6342">
        <v>-51.101089999999999</v>
      </c>
      <c r="J6342">
        <v>-190.62039999999999</v>
      </c>
      <c r="K6342">
        <v>1.119483</v>
      </c>
      <c r="L6342">
        <v>-51.843960000000003</v>
      </c>
      <c r="M6342">
        <v>0.6081008</v>
      </c>
      <c r="N6342">
        <v>0</v>
      </c>
      <c r="O6342">
        <v>0.79371579999999997</v>
      </c>
      <c r="P6342">
        <v>0.3441244</v>
      </c>
      <c r="Q6342">
        <v>0.12565280000000001</v>
      </c>
      <c r="R6342">
        <v>0.93047820000000003</v>
      </c>
      <c r="S6342">
        <v>0.56431580000000003</v>
      </c>
      <c r="T6342">
        <v>-0.26212419999999997</v>
      </c>
      <c r="U6342">
        <v>3.0555110000000001</v>
      </c>
      <c r="V6342">
        <v>-0.29628330000000003</v>
      </c>
      <c r="W6342">
        <v>0.1322644</v>
      </c>
      <c r="X6342">
        <v>0.94589760000000001</v>
      </c>
      <c r="Y6342">
        <v>-0.4540884</v>
      </c>
      <c r="Z6342">
        <v>-5.4481330000000001E-2</v>
      </c>
      <c r="AA6342">
        <v>0.88928929999999995</v>
      </c>
      <c r="AB6342">
        <v>31</v>
      </c>
      <c r="AC6342">
        <v>4.3700000000001099E-2</v>
      </c>
      <c r="AD6342">
        <v>-7.8720000000000095E-2</v>
      </c>
      <c r="AE6342">
        <v>0.74286999999999603</v>
      </c>
      <c r="AF6342">
        <v>-0.41248627589689602</v>
      </c>
      <c r="AG6342">
        <v>-7.8720000000000095E-2</v>
      </c>
      <c r="AH6342">
        <v>0.60945212758087097</v>
      </c>
      <c r="AI6342">
        <v>96.105614894158293</v>
      </c>
      <c r="AJ6342">
        <v>124.090726997297</v>
      </c>
      <c r="AK6342">
        <v>0.74011732989853796</v>
      </c>
      <c r="AL6342">
        <v>82.399536759882096</v>
      </c>
      <c r="AM6342">
        <v>107.392110143214</v>
      </c>
      <c r="AN6342">
        <v>0.99999996752600395</v>
      </c>
    </row>
    <row r="6343" spans="1:40" x14ac:dyDescent="0.25">
      <c r="A6343" t="str">
        <f>"20190312164627436"</f>
        <v>20190312164627436</v>
      </c>
      <c r="B6343" t="str">
        <f>"1552380387427081"</f>
        <v>1552380387427081</v>
      </c>
      <c r="C6343" t="s">
        <v>40</v>
      </c>
      <c r="D6343">
        <v>4.865818</v>
      </c>
      <c r="E6343">
        <v>0.43625560000000002</v>
      </c>
      <c r="F6343" t="s">
        <v>41</v>
      </c>
      <c r="G6343">
        <v>-190.44710000000001</v>
      </c>
      <c r="H6343">
        <v>1.036165</v>
      </c>
      <c r="I6343">
        <v>-50.872970000000002</v>
      </c>
      <c r="J6343">
        <v>-190.46960000000001</v>
      </c>
      <c r="K6343">
        <v>1.119462</v>
      </c>
      <c r="L6343">
        <v>-51.629390000000001</v>
      </c>
      <c r="M6343">
        <v>0.59917410000000004</v>
      </c>
      <c r="N6343">
        <v>0</v>
      </c>
      <c r="O6343">
        <v>0.80047609999999902</v>
      </c>
      <c r="P6343">
        <v>0.33543230000000002</v>
      </c>
      <c r="Q6343">
        <v>0.12555849999999999</v>
      </c>
      <c r="R6343">
        <v>0.93365960000000003</v>
      </c>
      <c r="S6343">
        <v>0.54541019999999996</v>
      </c>
      <c r="T6343">
        <v>-0.26236579999999998</v>
      </c>
      <c r="U6343">
        <v>3.0578609999999999</v>
      </c>
      <c r="V6343">
        <v>-0.29450690000000002</v>
      </c>
      <c r="W6343">
        <v>0.13223460000000001</v>
      </c>
      <c r="X6343">
        <v>0.94645639999999998</v>
      </c>
      <c r="Y6343">
        <v>-0.44956230000000003</v>
      </c>
      <c r="Z6343">
        <v>-5.5433929999999999E-2</v>
      </c>
      <c r="AA6343">
        <v>0.89152719999999896</v>
      </c>
      <c r="AB6343">
        <v>31</v>
      </c>
      <c r="AC6343">
        <v>2.2500000000007899E-2</v>
      </c>
      <c r="AD6343">
        <v>-8.3297000000000093E-2</v>
      </c>
      <c r="AE6343">
        <v>0.75641999999999798</v>
      </c>
      <c r="AF6343">
        <v>-0.43005584419541598</v>
      </c>
      <c r="AG6343">
        <v>-8.3297000000000093E-2</v>
      </c>
      <c r="AH6343">
        <v>0.61163782923073295</v>
      </c>
      <c r="AI6343">
        <v>96.356821446999902</v>
      </c>
      <c r="AJ6343">
        <v>125.1118855326</v>
      </c>
      <c r="AK6343">
        <v>0.752321243540095</v>
      </c>
      <c r="AL6343">
        <v>82.401259631480997</v>
      </c>
      <c r="AM6343">
        <v>107.284467683746</v>
      </c>
      <c r="AN6343">
        <v>1.0000000103428599</v>
      </c>
    </row>
    <row r="6344" spans="1:40" x14ac:dyDescent="0.25">
      <c r="A6344" t="str">
        <f>"20190312164627458"</f>
        <v>20190312164627458</v>
      </c>
      <c r="B6344" t="str">
        <f>"1552380387447580"</f>
        <v>1552380387447580</v>
      </c>
      <c r="C6344" t="s">
        <v>40</v>
      </c>
      <c r="D6344">
        <v>4.8395549999999998</v>
      </c>
      <c r="E6344">
        <v>0.43733860000000002</v>
      </c>
      <c r="F6344" t="s">
        <v>41</v>
      </c>
      <c r="G6344">
        <v>-190.3015</v>
      </c>
      <c r="H6344">
        <v>1.0354289999999999</v>
      </c>
      <c r="I6344">
        <v>-50.651229999999998</v>
      </c>
      <c r="J6344">
        <v>-190.3038</v>
      </c>
      <c r="K6344">
        <v>1.1194409999999999</v>
      </c>
      <c r="L6344">
        <v>-51.387450000000001</v>
      </c>
      <c r="M6344">
        <v>0.58909800000000001</v>
      </c>
      <c r="N6344">
        <v>0</v>
      </c>
      <c r="O6344">
        <v>0.80792030000000004</v>
      </c>
      <c r="P6344">
        <v>0.32590000000000002</v>
      </c>
      <c r="Q6344">
        <v>0.12512870000000001</v>
      </c>
      <c r="R6344">
        <v>0.937087</v>
      </c>
      <c r="S6344">
        <v>0.52597050000000001</v>
      </c>
      <c r="T6344">
        <v>-0.26285459999999999</v>
      </c>
      <c r="U6344">
        <v>3.0595699999999999</v>
      </c>
      <c r="V6344">
        <v>-0.29230529999999999</v>
      </c>
      <c r="W6344">
        <v>0.13188339999999901</v>
      </c>
      <c r="X6344">
        <v>0.94718760000000002</v>
      </c>
      <c r="Y6344">
        <v>-0.44395839999999998</v>
      </c>
      <c r="Z6344">
        <v>-5.6559829999999998E-2</v>
      </c>
      <c r="AA6344">
        <v>0.89426049999999901</v>
      </c>
      <c r="AB6344">
        <v>31</v>
      </c>
      <c r="AC6344">
        <v>2.29999999999108E-3</v>
      </c>
      <c r="AD6344">
        <v>-8.4011999999999698E-2</v>
      </c>
      <c r="AE6344">
        <v>0.73622000000000298</v>
      </c>
      <c r="AF6344">
        <v>-0.42634514328196998</v>
      </c>
      <c r="AG6344">
        <v>-8.4011999999999698E-2</v>
      </c>
      <c r="AH6344">
        <v>0.58856603182633105</v>
      </c>
      <c r="AI6344">
        <v>96.594009217435996</v>
      </c>
      <c r="AJ6344">
        <v>125.918800173703</v>
      </c>
      <c r="AK6344">
        <v>0.73159973425631997</v>
      </c>
      <c r="AL6344">
        <v>82.421559503787094</v>
      </c>
      <c r="AM6344">
        <v>107.15040298546501</v>
      </c>
      <c r="AN6344">
        <v>0.99999998459870398</v>
      </c>
    </row>
    <row r="6345" spans="1:40" x14ac:dyDescent="0.25">
      <c r="A6345" t="str">
        <f>"20190312164627480"</f>
        <v>20190312164627480</v>
      </c>
      <c r="B6345" t="str">
        <f>"1552380387477833"</f>
        <v>1552380387477833</v>
      </c>
      <c r="C6345" t="s">
        <v>40</v>
      </c>
      <c r="D6345">
        <v>4.9674940000000003</v>
      </c>
      <c r="E6345">
        <v>0.43869219999999998</v>
      </c>
      <c r="F6345" t="s">
        <v>41</v>
      </c>
      <c r="G6345">
        <v>-190.14689999999999</v>
      </c>
      <c r="H6345">
        <v>1.0361290000000001</v>
      </c>
      <c r="I6345">
        <v>-50.432119999999998</v>
      </c>
      <c r="J6345">
        <v>-190.143</v>
      </c>
      <c r="K6345">
        <v>1.1194170000000001</v>
      </c>
      <c r="L6345">
        <v>-51.146389999999997</v>
      </c>
      <c r="M6345">
        <v>0.57904909999999998</v>
      </c>
      <c r="N6345">
        <v>0</v>
      </c>
      <c r="O6345">
        <v>0.81515280000000001</v>
      </c>
      <c r="P6345">
        <v>0.3162584</v>
      </c>
      <c r="Q6345">
        <v>0.12442110000000001</v>
      </c>
      <c r="R6345">
        <v>0.94047860000000005</v>
      </c>
      <c r="S6345">
        <v>0.50282289999999996</v>
      </c>
      <c r="T6345">
        <v>-0.26703159999999998</v>
      </c>
      <c r="U6345">
        <v>3.062195</v>
      </c>
      <c r="V6345">
        <v>-0.29032989999999997</v>
      </c>
      <c r="W6345">
        <v>0.13124759999999999</v>
      </c>
      <c r="X6345">
        <v>0.94788320000000004</v>
      </c>
      <c r="Y6345">
        <v>-0.43957869999999999</v>
      </c>
      <c r="Z6345">
        <v>-5.8424759999999999E-2</v>
      </c>
      <c r="AA6345">
        <v>0.89630189999999998</v>
      </c>
      <c r="AB6345">
        <v>31</v>
      </c>
      <c r="AC6345">
        <v>-3.8999999999873498E-3</v>
      </c>
      <c r="AD6345">
        <v>-8.3288000000000001E-2</v>
      </c>
      <c r="AE6345">
        <v>0.71427000000000596</v>
      </c>
      <c r="AF6345">
        <v>-0.41123270305557902</v>
      </c>
      <c r="AG6345">
        <v>-8.3288000000000001E-2</v>
      </c>
      <c r="AH6345">
        <v>0.57226622604985999</v>
      </c>
      <c r="AI6345">
        <v>96.740486426768697</v>
      </c>
      <c r="AJ6345">
        <v>125.70116893468099</v>
      </c>
      <c r="AK6345">
        <v>0.70960401667672901</v>
      </c>
      <c r="AL6345">
        <v>82.458307500284207</v>
      </c>
      <c r="AM6345">
        <v>107.02945485308101</v>
      </c>
      <c r="AN6345">
        <v>0.999999972091004</v>
      </c>
    </row>
    <row r="6346" spans="1:40" x14ac:dyDescent="0.25">
      <c r="A6346" t="str">
        <f>"20190312164627503"</f>
        <v>20190312164627503</v>
      </c>
      <c r="B6346" t="str">
        <f>"1552380387497354"</f>
        <v>1552380387497354</v>
      </c>
      <c r="C6346" t="s">
        <v>40</v>
      </c>
      <c r="D6346">
        <v>4.9140810000000004</v>
      </c>
      <c r="E6346">
        <v>0.456094</v>
      </c>
      <c r="F6346" t="s">
        <v>41</v>
      </c>
      <c r="G6346">
        <v>-189.98990000000001</v>
      </c>
      <c r="H6346">
        <v>1.0325679999999999</v>
      </c>
      <c r="I6346">
        <v>-50.172179999999997</v>
      </c>
      <c r="J6346">
        <v>-189.97470000000001</v>
      </c>
      <c r="K6346">
        <v>1.119394</v>
      </c>
      <c r="L6346">
        <v>-50.886989999999997</v>
      </c>
      <c r="M6346">
        <v>0.56822629999999996</v>
      </c>
      <c r="N6346">
        <v>0</v>
      </c>
      <c r="O6346">
        <v>0.82273379999999996</v>
      </c>
      <c r="P6346">
        <v>0.30595640000000002</v>
      </c>
      <c r="Q6346">
        <v>0.1240758</v>
      </c>
      <c r="R6346">
        <v>0.94392580000000004</v>
      </c>
      <c r="S6346">
        <v>0.4815063</v>
      </c>
      <c r="T6346">
        <v>-0.27316370000000001</v>
      </c>
      <c r="U6346">
        <v>3.0640869999999998</v>
      </c>
      <c r="V6346">
        <v>-0.28817310000000002</v>
      </c>
      <c r="W6346">
        <v>0.1309786</v>
      </c>
      <c r="X6346">
        <v>0.94857840000000004</v>
      </c>
      <c r="Y6346">
        <v>-0.43389030000000001</v>
      </c>
      <c r="Z6346">
        <v>-6.0836620000000001E-2</v>
      </c>
      <c r="AA6346">
        <v>0.89890939999999997</v>
      </c>
      <c r="AB6346">
        <v>31</v>
      </c>
      <c r="AC6346">
        <v>-1.51999999999929E-2</v>
      </c>
      <c r="AD6346">
        <v>-8.6826E-2</v>
      </c>
      <c r="AE6346">
        <v>0.71481000000000705</v>
      </c>
      <c r="AF6346">
        <v>-0.41264164259679897</v>
      </c>
      <c r="AG6346">
        <v>-8.6826E-2</v>
      </c>
      <c r="AH6346">
        <v>0.57110492798221801</v>
      </c>
      <c r="AI6346">
        <v>97.025183043443505</v>
      </c>
      <c r="AJ6346">
        <v>125.849319611749</v>
      </c>
      <c r="AK6346">
        <v>0.70991035930359503</v>
      </c>
      <c r="AL6346">
        <v>82.473854902516507</v>
      </c>
      <c r="AM6346">
        <v>106.898504008871</v>
      </c>
      <c r="AN6346">
        <v>1.00000005508406</v>
      </c>
    </row>
    <row r="6347" spans="1:40" x14ac:dyDescent="0.25">
      <c r="A6347" t="str">
        <f>"20190312164627526"</f>
        <v>20190312164627526</v>
      </c>
      <c r="B6347" t="str">
        <f>"1552380387517850"</f>
        <v>1552380387517850</v>
      </c>
      <c r="C6347" t="s">
        <v>40</v>
      </c>
      <c r="D6347">
        <v>4.8764640000000004</v>
      </c>
      <c r="E6347">
        <v>0.45621509999999998</v>
      </c>
      <c r="F6347" t="s">
        <v>42</v>
      </c>
      <c r="G6347">
        <v>-187.2704</v>
      </c>
      <c r="H6347" s="1">
        <v>-2.0223929999999999E-6</v>
      </c>
      <c r="I6347">
        <v>-36.78163</v>
      </c>
      <c r="J6347">
        <v>-189.80760000000001</v>
      </c>
      <c r="K6347">
        <v>1.119367</v>
      </c>
      <c r="L6347">
        <v>-50.622010000000003</v>
      </c>
      <c r="M6347">
        <v>0.55715479999999995</v>
      </c>
      <c r="N6347">
        <v>0</v>
      </c>
      <c r="O6347">
        <v>0.83027139999999999</v>
      </c>
      <c r="P6347">
        <v>0.29748029999999998</v>
      </c>
      <c r="Q6347">
        <v>0.1232048</v>
      </c>
      <c r="R6347">
        <v>0.94674499999999995</v>
      </c>
      <c r="S6347">
        <v>0.57937620000000001</v>
      </c>
      <c r="T6347">
        <v>-0.23982010000000001</v>
      </c>
      <c r="U6347">
        <v>3.0219420000000001</v>
      </c>
      <c r="V6347">
        <v>-0.28399590000000002</v>
      </c>
      <c r="W6347">
        <v>0.1302468</v>
      </c>
      <c r="X6347">
        <v>0.9499379</v>
      </c>
      <c r="Y6347">
        <v>-0.3911734</v>
      </c>
      <c r="Z6347">
        <v>-5.5723769999999999E-2</v>
      </c>
      <c r="AA6347">
        <v>0.91862849999999996</v>
      </c>
      <c r="AB6347">
        <v>31</v>
      </c>
      <c r="AC6347">
        <v>2.5372000000000101</v>
      </c>
      <c r="AD6347">
        <v>-1.119369022393</v>
      </c>
      <c r="AE6347">
        <v>13.8403799999999</v>
      </c>
      <c r="AF6347">
        <v>-5.5700587052838504</v>
      </c>
      <c r="AG6347">
        <v>-1.119369022393</v>
      </c>
      <c r="AH6347">
        <v>12.8251925343269</v>
      </c>
      <c r="AI6347">
        <v>94.577042956818104</v>
      </c>
      <c r="AJ6347">
        <v>113.475597840898</v>
      </c>
      <c r="AK6347">
        <v>14.027262902332501</v>
      </c>
      <c r="AL6347">
        <v>82.516145504398693</v>
      </c>
      <c r="AM6347">
        <v>106.64469756743701</v>
      </c>
      <c r="AN6347">
        <v>0.99999995699172906</v>
      </c>
    </row>
    <row r="6348" spans="1:40" x14ac:dyDescent="0.25">
      <c r="A6348" t="str">
        <f>"20190312164627550"</f>
        <v>20190312164627550</v>
      </c>
      <c r="B6348" t="str">
        <f>"1552380387547129"</f>
        <v>1552380387547129</v>
      </c>
      <c r="C6348" t="s">
        <v>40</v>
      </c>
      <c r="D6348">
        <v>4.8848770000000004</v>
      </c>
      <c r="E6348">
        <v>0.45644439999999997</v>
      </c>
      <c r="F6348" t="s">
        <v>42</v>
      </c>
      <c r="G6348">
        <v>-187.21170000000001</v>
      </c>
      <c r="H6348" s="1">
        <v>-2.1946230000000001E-6</v>
      </c>
      <c r="I6348">
        <v>-36.404389999999999</v>
      </c>
      <c r="J6348">
        <v>-189.64779999999999</v>
      </c>
      <c r="K6348">
        <v>1.119345</v>
      </c>
      <c r="L6348">
        <v>-50.360959999999999</v>
      </c>
      <c r="M6348">
        <v>0.54623889999999997</v>
      </c>
      <c r="N6348">
        <v>0</v>
      </c>
      <c r="O6348">
        <v>0.8374935</v>
      </c>
      <c r="P6348">
        <v>0.28694509999999901</v>
      </c>
      <c r="Q6348">
        <v>0.122363</v>
      </c>
      <c r="R6348">
        <v>0.9500999</v>
      </c>
      <c r="S6348">
        <v>0.55250549999999998</v>
      </c>
      <c r="T6348">
        <v>-0.23825250000000001</v>
      </c>
      <c r="U6348">
        <v>3.026154</v>
      </c>
      <c r="V6348">
        <v>-0.28214080000000002</v>
      </c>
      <c r="W6348">
        <v>0.1294719</v>
      </c>
      <c r="X6348">
        <v>0.95059649999999996</v>
      </c>
      <c r="Y6348">
        <v>-0.38724589999999998</v>
      </c>
      <c r="Z6348">
        <v>-5.6198209999999998E-2</v>
      </c>
      <c r="AA6348">
        <v>0.92026209999999997</v>
      </c>
      <c r="AB6348">
        <v>31</v>
      </c>
      <c r="AC6348">
        <v>2.4360999999999802</v>
      </c>
      <c r="AD6348">
        <v>-1.119347194623</v>
      </c>
      <c r="AE6348">
        <v>13.956569999999999</v>
      </c>
      <c r="AF6348">
        <v>-5.5493988255679501</v>
      </c>
      <c r="AG6348">
        <v>-1.119347194623</v>
      </c>
      <c r="AH6348">
        <v>12.939937993897001</v>
      </c>
      <c r="AI6348">
        <v>94.545500562405195</v>
      </c>
      <c r="AJ6348">
        <v>113.212471416154</v>
      </c>
      <c r="AK6348">
        <v>14.124119822248201</v>
      </c>
      <c r="AL6348">
        <v>82.560923897481899</v>
      </c>
      <c r="AM6348">
        <v>106.53109686270599</v>
      </c>
      <c r="AN6348">
        <v>1.00000005486324</v>
      </c>
    </row>
    <row r="6349" spans="1:40" x14ac:dyDescent="0.25">
      <c r="A6349" t="str">
        <f>"20190312164627572"</f>
        <v>20190312164627572</v>
      </c>
      <c r="B6349" t="str">
        <f>"1552380387567625"</f>
        <v>1552380387567625</v>
      </c>
      <c r="C6349" t="s">
        <v>40</v>
      </c>
      <c r="D6349">
        <v>4.8693289999999996</v>
      </c>
      <c r="E6349">
        <v>0.45166519999999999</v>
      </c>
      <c r="F6349" t="s">
        <v>41</v>
      </c>
      <c r="G6349">
        <v>-189.4522</v>
      </c>
      <c r="H6349">
        <v>1.0280579999999999</v>
      </c>
      <c r="I6349">
        <v>-49.219810000000003</v>
      </c>
      <c r="J6349">
        <v>-189.48849999999999</v>
      </c>
      <c r="K6349">
        <v>1.119327</v>
      </c>
      <c r="L6349">
        <v>-50.091889999999999</v>
      </c>
      <c r="M6349">
        <v>0.53497669999999997</v>
      </c>
      <c r="N6349">
        <v>0</v>
      </c>
      <c r="O6349">
        <v>0.84473220000000004</v>
      </c>
      <c r="P6349">
        <v>0.27675229999999901</v>
      </c>
      <c r="Q6349">
        <v>0.1216863</v>
      </c>
      <c r="R6349">
        <v>0.95320550000000004</v>
      </c>
      <c r="S6349">
        <v>0.5197754</v>
      </c>
      <c r="T6349">
        <v>-0.24253420000000001</v>
      </c>
      <c r="U6349">
        <v>3.0318299999999998</v>
      </c>
      <c r="V6349">
        <v>-0.27961219999999998</v>
      </c>
      <c r="W6349">
        <v>0.12888179999999999</v>
      </c>
      <c r="X6349">
        <v>0.95142340000000003</v>
      </c>
      <c r="Y6349">
        <v>-0.38485409999999998</v>
      </c>
      <c r="Z6349">
        <v>-5.8008150000000001E-2</v>
      </c>
      <c r="AA6349">
        <v>0.92115270000000005</v>
      </c>
      <c r="AB6349">
        <v>30</v>
      </c>
      <c r="AC6349">
        <v>3.6299999999982901E-2</v>
      </c>
      <c r="AD6349">
        <v>-9.1269000000000003E-2</v>
      </c>
      <c r="AE6349">
        <v>0.87208000000000396</v>
      </c>
      <c r="AF6349">
        <v>-0.43121335844667602</v>
      </c>
      <c r="AG6349">
        <v>-9.1269000000000003E-2</v>
      </c>
      <c r="AH6349">
        <v>0.74800100864589503</v>
      </c>
      <c r="AI6349">
        <v>96.034296348385993</v>
      </c>
      <c r="AJ6349">
        <v>119.96291867431199</v>
      </c>
      <c r="AK6349">
        <v>0.868205332740555</v>
      </c>
      <c r="AL6349">
        <v>82.595019348151396</v>
      </c>
      <c r="AM6349">
        <v>106.377444881597</v>
      </c>
      <c r="AN6349">
        <v>0.99999999341381995</v>
      </c>
    </row>
    <row r="6350" spans="1:40" x14ac:dyDescent="0.25">
      <c r="A6350" t="str">
        <f>"20190312164627593"</f>
        <v>20190312164627593</v>
      </c>
      <c r="B6350" t="str">
        <f>"1552380387587145"</f>
        <v>1552380387587145</v>
      </c>
      <c r="C6350" t="s">
        <v>40</v>
      </c>
      <c r="D6350">
        <v>4.7050960000000002</v>
      </c>
      <c r="E6350">
        <v>0.44849169999999999</v>
      </c>
      <c r="F6350" t="s">
        <v>41</v>
      </c>
      <c r="G6350">
        <v>-189.32329999999999</v>
      </c>
      <c r="H6350">
        <v>1.027612</v>
      </c>
      <c r="I6350">
        <v>-48.97287</v>
      </c>
      <c r="J6350">
        <v>-189.3475</v>
      </c>
      <c r="K6350">
        <v>1.1193070000000001</v>
      </c>
      <c r="L6350">
        <v>-49.847169999999998</v>
      </c>
      <c r="M6350">
        <v>0.52471800000000002</v>
      </c>
      <c r="N6350">
        <v>0</v>
      </c>
      <c r="O6350">
        <v>0.85114249999999902</v>
      </c>
      <c r="P6350">
        <v>0.26771329999999999</v>
      </c>
      <c r="Q6350">
        <v>0.1210155</v>
      </c>
      <c r="R6350">
        <v>0.95586870000000002</v>
      </c>
      <c r="S6350">
        <v>0.44981379999999999</v>
      </c>
      <c r="T6350">
        <v>-0.24984970000000001</v>
      </c>
      <c r="U6350">
        <v>3.0485530000000001</v>
      </c>
      <c r="V6350">
        <v>-0.27712880000000001</v>
      </c>
      <c r="W6350">
        <v>0.1282935</v>
      </c>
      <c r="X6350">
        <v>0.9522292</v>
      </c>
      <c r="Y6350">
        <v>-0.39513310000000001</v>
      </c>
      <c r="Z6350">
        <v>-6.0078300000000001E-2</v>
      </c>
      <c r="AA6350">
        <v>0.91665719999999995</v>
      </c>
      <c r="AB6350">
        <v>30</v>
      </c>
      <c r="AC6350">
        <v>2.42000000000075E-2</v>
      </c>
      <c r="AD6350">
        <v>-9.1694999999999999E-2</v>
      </c>
      <c r="AE6350">
        <v>0.87429999999999797</v>
      </c>
      <c r="AF6350">
        <v>-0.43344909590214697</v>
      </c>
      <c r="AG6350">
        <v>-9.1694999999999999E-2</v>
      </c>
      <c r="AH6350">
        <v>0.74870908497886202</v>
      </c>
      <c r="AI6350">
        <v>96.050209100647606</v>
      </c>
      <c r="AJ6350">
        <v>120.06777704638399</v>
      </c>
      <c r="AK6350">
        <v>0.86997206029462504</v>
      </c>
      <c r="AL6350">
        <v>82.6290088391316</v>
      </c>
      <c r="AM6350">
        <v>106.226665745049</v>
      </c>
      <c r="AN6350">
        <v>1.0000000216321601</v>
      </c>
    </row>
    <row r="6351" spans="1:40" x14ac:dyDescent="0.25">
      <c r="A6351" t="str">
        <f>"20190312164627616"</f>
        <v>20190312164627616</v>
      </c>
      <c r="B6351" t="str">
        <f>"1552380387607642"</f>
        <v>1552380387607642</v>
      </c>
      <c r="C6351" t="s">
        <v>40</v>
      </c>
      <c r="D6351">
        <v>4.7450340000000004</v>
      </c>
      <c r="E6351">
        <v>0.44638149999999999</v>
      </c>
      <c r="F6351" t="s">
        <v>41</v>
      </c>
      <c r="G6351">
        <v>-189.2056</v>
      </c>
      <c r="H6351">
        <v>1.033428</v>
      </c>
      <c r="I6351">
        <v>-48.748379999999997</v>
      </c>
      <c r="J6351">
        <v>-189.2012</v>
      </c>
      <c r="K6351">
        <v>1.1192930000000001</v>
      </c>
      <c r="L6351">
        <v>-49.585270000000001</v>
      </c>
      <c r="M6351">
        <v>0.51371880000000003</v>
      </c>
      <c r="N6351">
        <v>0</v>
      </c>
      <c r="O6351">
        <v>0.85782610000000004</v>
      </c>
      <c r="P6351">
        <v>0.25804880000000002</v>
      </c>
      <c r="Q6351">
        <v>0.1209914</v>
      </c>
      <c r="R6351">
        <v>0.95852590000000004</v>
      </c>
      <c r="S6351">
        <v>0.39505000000000001</v>
      </c>
      <c r="T6351">
        <v>-0.23901449999999999</v>
      </c>
      <c r="U6351">
        <v>3.0581360000000002</v>
      </c>
      <c r="V6351">
        <v>-0.27447640000000001</v>
      </c>
      <c r="W6351">
        <v>0.128355</v>
      </c>
      <c r="X6351">
        <v>0.95298879999999997</v>
      </c>
      <c r="Y6351">
        <v>-0.39981030000000001</v>
      </c>
      <c r="Z6351">
        <v>-5.803556E-2</v>
      </c>
      <c r="AA6351">
        <v>0.91475870000000004</v>
      </c>
      <c r="AB6351">
        <v>30</v>
      </c>
      <c r="AC6351">
        <v>-4.4000000000039502E-3</v>
      </c>
      <c r="AD6351">
        <v>-8.5864999999999997E-2</v>
      </c>
      <c r="AE6351">
        <v>0.83689000000000302</v>
      </c>
      <c r="AF6351">
        <v>-0.429231574553878</v>
      </c>
      <c r="AG6351">
        <v>-8.5864999999999997E-2</v>
      </c>
      <c r="AH6351">
        <v>0.70827148379020199</v>
      </c>
      <c r="AI6351">
        <v>95.919202711718199</v>
      </c>
      <c r="AJ6351">
        <v>121.216990493444</v>
      </c>
      <c r="AK6351">
        <v>0.83262298645267796</v>
      </c>
      <c r="AL6351">
        <v>82.625455438680405</v>
      </c>
      <c r="AM6351">
        <v>106.067268023534</v>
      </c>
      <c r="AN6351">
        <v>0.99999997655369899</v>
      </c>
    </row>
    <row r="6352" spans="1:40" x14ac:dyDescent="0.25">
      <c r="A6352" t="str">
        <f>"20190312164627639"</f>
        <v>20190312164627639</v>
      </c>
      <c r="B6352" t="str">
        <f>"1552380387627160"</f>
        <v>1552380387627160</v>
      </c>
      <c r="C6352" t="s">
        <v>40</v>
      </c>
      <c r="D6352">
        <v>4.7668299999999997</v>
      </c>
      <c r="E6352">
        <v>0.44468410000000003</v>
      </c>
      <c r="F6352" t="s">
        <v>42</v>
      </c>
      <c r="G6352">
        <v>-187.4735</v>
      </c>
      <c r="H6352" s="1">
        <v>-3.026908E-6</v>
      </c>
      <c r="I6352">
        <v>-34.356099999999998</v>
      </c>
      <c r="J6352">
        <v>-189.05099999999999</v>
      </c>
      <c r="K6352">
        <v>1.1192839999999999</v>
      </c>
      <c r="L6352">
        <v>-49.308109999999999</v>
      </c>
      <c r="M6352">
        <v>0.50204850000000001</v>
      </c>
      <c r="N6352">
        <v>0</v>
      </c>
      <c r="O6352">
        <v>0.86470809999999998</v>
      </c>
      <c r="P6352">
        <v>0.2477897</v>
      </c>
      <c r="Q6352">
        <v>0.1215456</v>
      </c>
      <c r="R6352">
        <v>0.96115919999999999</v>
      </c>
      <c r="S6352">
        <v>0.34767150000000002</v>
      </c>
      <c r="T6352">
        <v>-0.2252412</v>
      </c>
      <c r="U6352">
        <v>3.0646360000000001</v>
      </c>
      <c r="V6352">
        <v>-0.27171970000000001</v>
      </c>
      <c r="W6352">
        <v>0.12899479999999999</v>
      </c>
      <c r="X6352">
        <v>0.95369219999999999</v>
      </c>
      <c r="Y6352">
        <v>-0.40155920000000001</v>
      </c>
      <c r="Z6352">
        <v>-5.5336009999999998E-2</v>
      </c>
      <c r="AA6352">
        <v>0.91415979999999997</v>
      </c>
      <c r="AB6352">
        <v>30</v>
      </c>
      <c r="AC6352">
        <v>1.5774999999999799</v>
      </c>
      <c r="AD6352">
        <v>-1.119287026908</v>
      </c>
      <c r="AE6352">
        <v>14.95201</v>
      </c>
      <c r="AF6352">
        <v>-6.1093960597372403</v>
      </c>
      <c r="AG6352">
        <v>-1.119287026908</v>
      </c>
      <c r="AH6352">
        <v>13.647031138539401</v>
      </c>
      <c r="AI6352">
        <v>94.281064696721202</v>
      </c>
      <c r="AJ6352">
        <v>114.116734184872</v>
      </c>
      <c r="AK6352">
        <v>14.9939648712274</v>
      </c>
      <c r="AL6352">
        <v>82.588490721156305</v>
      </c>
      <c r="AM6352">
        <v>105.902963466457</v>
      </c>
      <c r="AN6352">
        <v>1.0000000330679799</v>
      </c>
    </row>
    <row r="6353" spans="1:40" x14ac:dyDescent="0.25">
      <c r="A6353" t="str">
        <f>"20190312164627663"</f>
        <v>20190312164627663</v>
      </c>
      <c r="B6353" t="str">
        <f>"1552380387657417"</f>
        <v>1552380387657417</v>
      </c>
      <c r="C6353" t="s">
        <v>40</v>
      </c>
      <c r="D6353">
        <v>4.7312649999999996</v>
      </c>
      <c r="E6353">
        <v>0.44296200000000002</v>
      </c>
      <c r="F6353" t="s">
        <v>42</v>
      </c>
      <c r="G6353">
        <v>-187.55879999999999</v>
      </c>
      <c r="H6353" s="1">
        <v>-3.1149090000000001E-6</v>
      </c>
      <c r="I6353">
        <v>-34.115670000000001</v>
      </c>
      <c r="J6353">
        <v>-188.90860000000001</v>
      </c>
      <c r="K6353">
        <v>1.119281</v>
      </c>
      <c r="L6353">
        <v>-49.036929999999998</v>
      </c>
      <c r="M6353">
        <v>0.490591</v>
      </c>
      <c r="N6353">
        <v>0</v>
      </c>
      <c r="O6353">
        <v>0.87125959999999902</v>
      </c>
      <c r="P6353">
        <v>0.23786579999999999</v>
      </c>
      <c r="Q6353">
        <v>0.1216795</v>
      </c>
      <c r="R6353">
        <v>0.96364620000000001</v>
      </c>
      <c r="S6353">
        <v>0.30172729999999998</v>
      </c>
      <c r="T6353">
        <v>-0.2263327</v>
      </c>
      <c r="U6353">
        <v>3.0720830000000001</v>
      </c>
      <c r="V6353">
        <v>-0.26895380000000002</v>
      </c>
      <c r="W6353">
        <v>0.12921179999999999</v>
      </c>
      <c r="X6353">
        <v>0.95444660000000003</v>
      </c>
      <c r="Y6353">
        <v>-0.40324179999999998</v>
      </c>
      <c r="Z6353">
        <v>-5.6176410000000003E-2</v>
      </c>
      <c r="AA6353">
        <v>0.91336759999999995</v>
      </c>
      <c r="AB6353">
        <v>30</v>
      </c>
      <c r="AC6353">
        <v>1.3498000000000101</v>
      </c>
      <c r="AD6353">
        <v>-1.119284114909</v>
      </c>
      <c r="AE6353">
        <v>14.921259999999901</v>
      </c>
      <c r="AF6353">
        <v>-6.1108018846506003</v>
      </c>
      <c r="AG6353">
        <v>-1.119284114909</v>
      </c>
      <c r="AH6353">
        <v>13.588203999547201</v>
      </c>
      <c r="AI6353">
        <v>94.2962531956437</v>
      </c>
      <c r="AJ6353">
        <v>114.214103817667</v>
      </c>
      <c r="AK6353">
        <v>14.941016850825299</v>
      </c>
      <c r="AL6353">
        <v>82.575952913568102</v>
      </c>
      <c r="AM6353">
        <v>105.737321805222</v>
      </c>
      <c r="AN6353">
        <v>1.00000007402261</v>
      </c>
    </row>
    <row r="6354" spans="1:40" x14ac:dyDescent="0.25">
      <c r="A6354" t="str">
        <f>"20190312164627682"</f>
        <v>20190312164627682</v>
      </c>
      <c r="B6354" t="str">
        <f>"1552380387677915"</f>
        <v>1552380387677915</v>
      </c>
      <c r="C6354" t="s">
        <v>40</v>
      </c>
      <c r="D6354">
        <v>4.7649229999999996</v>
      </c>
      <c r="E6354">
        <v>0.44238749999999999</v>
      </c>
      <c r="F6354" t="s">
        <v>42</v>
      </c>
      <c r="G6354">
        <v>-187.64269999999999</v>
      </c>
      <c r="H6354" s="1">
        <v>-3.2303869999999999E-6</v>
      </c>
      <c r="I6354">
        <v>-33.811790000000002</v>
      </c>
      <c r="J6354">
        <v>-188.79169999999999</v>
      </c>
      <c r="K6354">
        <v>1.1193010000000001</v>
      </c>
      <c r="L6354">
        <v>-48.807250000000003</v>
      </c>
      <c r="M6354">
        <v>0.4808518</v>
      </c>
      <c r="N6354">
        <v>0</v>
      </c>
      <c r="O6354">
        <v>0.87667229999999996</v>
      </c>
      <c r="P6354">
        <v>0.2304969</v>
      </c>
      <c r="Q6354">
        <v>0.1218545</v>
      </c>
      <c r="R6354">
        <v>0.96541319999999997</v>
      </c>
      <c r="S6354">
        <v>0.25596619999999998</v>
      </c>
      <c r="T6354">
        <v>-0.22632369999999999</v>
      </c>
      <c r="U6354">
        <v>3.0785830000000001</v>
      </c>
      <c r="V6354">
        <v>-0.26559749999999999</v>
      </c>
      <c r="W6354">
        <v>0.12948370000000001</v>
      </c>
      <c r="X6354">
        <v>0.95534909999999995</v>
      </c>
      <c r="Y6354">
        <v>-0.406696</v>
      </c>
      <c r="Z6354">
        <v>-5.6607240000000003E-2</v>
      </c>
      <c r="AA6354">
        <v>0.91180810000000001</v>
      </c>
      <c r="AB6354">
        <v>30</v>
      </c>
      <c r="AC6354">
        <v>1.149</v>
      </c>
      <c r="AD6354">
        <v>-1.119304230387</v>
      </c>
      <c r="AE6354">
        <v>14.99546</v>
      </c>
      <c r="AF6354">
        <v>-6.1698274413767402</v>
      </c>
      <c r="AG6354">
        <v>-1.119304230387</v>
      </c>
      <c r="AH6354">
        <v>13.6246920316668</v>
      </c>
      <c r="AI6354">
        <v>94.279863796117098</v>
      </c>
      <c r="AJ6354">
        <v>114.362995934599</v>
      </c>
      <c r="AK6354">
        <v>14.9983947665839</v>
      </c>
      <c r="AL6354">
        <v>82.560241520661904</v>
      </c>
      <c r="AM6354">
        <v>105.53651242516401</v>
      </c>
      <c r="AN6354">
        <v>0.99999998172137405</v>
      </c>
    </row>
    <row r="6355" spans="1:40" x14ac:dyDescent="0.25">
      <c r="A6355" t="str">
        <f>"20190312164627705"</f>
        <v>20190312164627705</v>
      </c>
      <c r="B6355" t="str">
        <f>"1552380387697433"</f>
        <v>1552380387697433</v>
      </c>
      <c r="C6355" t="s">
        <v>40</v>
      </c>
      <c r="D6355">
        <v>4.7944100000000001</v>
      </c>
      <c r="E6355">
        <v>0.44186599999999998</v>
      </c>
      <c r="F6355" t="s">
        <v>42</v>
      </c>
      <c r="G6355">
        <v>-187.6841</v>
      </c>
      <c r="H6355" s="1">
        <v>-3.2443500000000001E-6</v>
      </c>
      <c r="I6355">
        <v>-33.762129999999999</v>
      </c>
      <c r="J6355">
        <v>-188.65809999999999</v>
      </c>
      <c r="K6355">
        <v>1.1193150000000001</v>
      </c>
      <c r="L6355">
        <v>-48.536679999999997</v>
      </c>
      <c r="M6355">
        <v>0.46932459999999998</v>
      </c>
      <c r="N6355">
        <v>0</v>
      </c>
      <c r="O6355">
        <v>0.88289709999999999</v>
      </c>
      <c r="P6355">
        <v>0.2211689</v>
      </c>
      <c r="Q6355">
        <v>0.1225199</v>
      </c>
      <c r="R6355">
        <v>0.9675087</v>
      </c>
      <c r="S6355">
        <v>0.22691349999999999</v>
      </c>
      <c r="T6355">
        <v>-0.2293084</v>
      </c>
      <c r="U6355">
        <v>3.0822449999999999</v>
      </c>
      <c r="V6355">
        <v>-0.26227519999999999</v>
      </c>
      <c r="W6355">
        <v>0.13024069999999999</v>
      </c>
      <c r="X6355">
        <v>0.95616369999999895</v>
      </c>
      <c r="Y6355">
        <v>-0.40336159999999999</v>
      </c>
      <c r="Z6355">
        <v>-5.803196E-2</v>
      </c>
      <c r="AA6355">
        <v>0.91319859999999997</v>
      </c>
      <c r="AB6355">
        <v>30</v>
      </c>
      <c r="AC6355">
        <v>0.97399999999998899</v>
      </c>
      <c r="AD6355">
        <v>-1.11931824435</v>
      </c>
      <c r="AE6355">
        <v>14.7745499999999</v>
      </c>
      <c r="AF6355">
        <v>-6.0402893316155</v>
      </c>
      <c r="AG6355">
        <v>-1.11931824435</v>
      </c>
      <c r="AH6355">
        <v>13.426335270702801</v>
      </c>
      <c r="AI6355">
        <v>94.347708316465599</v>
      </c>
      <c r="AJ6355">
        <v>114.22220350160001</v>
      </c>
      <c r="AK6355">
        <v>14.764973665505799</v>
      </c>
      <c r="AL6355">
        <v>82.516498115507702</v>
      </c>
      <c r="AM6355">
        <v>105.338929351787</v>
      </c>
      <c r="AN6355">
        <v>0.99999997083460901</v>
      </c>
    </row>
    <row r="6356" spans="1:40" x14ac:dyDescent="0.25">
      <c r="A6356" t="str">
        <f>"20190312164627728"</f>
        <v>20190312164627728</v>
      </c>
      <c r="B6356" t="str">
        <f>"1552380387717930"</f>
        <v>1552380387717930</v>
      </c>
      <c r="C6356" t="s">
        <v>40</v>
      </c>
      <c r="D6356">
        <v>4.7310589999999904</v>
      </c>
      <c r="E6356">
        <v>0.44163039999999998</v>
      </c>
      <c r="F6356" t="s">
        <v>42</v>
      </c>
      <c r="G6356">
        <v>-187.71549999999999</v>
      </c>
      <c r="H6356" s="1">
        <v>-3.3863270000000002E-6</v>
      </c>
      <c r="I6356">
        <v>-33.418190000000003</v>
      </c>
      <c r="J6356">
        <v>-188.52440000000001</v>
      </c>
      <c r="K6356">
        <v>1.1193360000000001</v>
      </c>
      <c r="L6356">
        <v>-48.256929999999997</v>
      </c>
      <c r="M6356">
        <v>0.45733839999999998</v>
      </c>
      <c r="N6356">
        <v>0</v>
      </c>
      <c r="O6356">
        <v>0.88916489999999904</v>
      </c>
      <c r="P6356">
        <v>0.21148800000000001</v>
      </c>
      <c r="Q6356">
        <v>0.1231222</v>
      </c>
      <c r="R6356">
        <v>0.96959470000000003</v>
      </c>
      <c r="S6356">
        <v>0.1923676</v>
      </c>
      <c r="T6356">
        <v>-0.2284535</v>
      </c>
      <c r="U6356">
        <v>3.085693</v>
      </c>
      <c r="V6356">
        <v>-0.25887769999999999</v>
      </c>
      <c r="W6356">
        <v>0.1309333</v>
      </c>
      <c r="X6356">
        <v>0.95699469999999998</v>
      </c>
      <c r="Y6356">
        <v>-0.4012367</v>
      </c>
      <c r="Z6356">
        <v>-5.8484439999999999E-2</v>
      </c>
      <c r="AA6356">
        <v>0.91410539999999996</v>
      </c>
      <c r="AB6356">
        <v>30</v>
      </c>
      <c r="AC6356">
        <v>0.80890000000002205</v>
      </c>
      <c r="AD6356">
        <v>-1.119339386327</v>
      </c>
      <c r="AE6356">
        <v>14.8387399999999</v>
      </c>
      <c r="AF6356">
        <v>-6.0335394879668902</v>
      </c>
      <c r="AG6356">
        <v>-1.119339386327</v>
      </c>
      <c r="AH6356">
        <v>13.4890417962763</v>
      </c>
      <c r="AI6356">
        <v>94.331830197844099</v>
      </c>
      <c r="AJ6356">
        <v>114.09858245948701</v>
      </c>
      <c r="AK6356">
        <v>14.8192701573434</v>
      </c>
      <c r="AL6356">
        <v>82.476472713720696</v>
      </c>
      <c r="AM6356">
        <v>105.13686635507899</v>
      </c>
      <c r="AN6356">
        <v>1.0000000242171301</v>
      </c>
    </row>
    <row r="6357" spans="1:40" x14ac:dyDescent="0.25">
      <c r="A6357" t="str">
        <f>"20190312164627750"</f>
        <v>20190312164627750</v>
      </c>
      <c r="B6357" t="str">
        <f>"1552380387747210"</f>
        <v>1552380387747210</v>
      </c>
      <c r="C6357" t="s">
        <v>40</v>
      </c>
      <c r="D6357">
        <v>4.7723050000000002</v>
      </c>
      <c r="E6357">
        <v>0.44157249999999998</v>
      </c>
      <c r="F6357" t="s">
        <v>42</v>
      </c>
      <c r="G6357">
        <v>-187.7304</v>
      </c>
      <c r="H6357" s="1">
        <v>-3.6059029999999999E-6</v>
      </c>
      <c r="I6357">
        <v>-32.900219999999997</v>
      </c>
      <c r="J6357">
        <v>-188.40350000000001</v>
      </c>
      <c r="K6357">
        <v>1.119367</v>
      </c>
      <c r="L6357">
        <v>-47.994419999999998</v>
      </c>
      <c r="M6357">
        <v>0.44602039999999998</v>
      </c>
      <c r="N6357">
        <v>0</v>
      </c>
      <c r="O6357">
        <v>0.89489569999999996</v>
      </c>
      <c r="P6357">
        <v>0.20330139999999999</v>
      </c>
      <c r="Q6357">
        <v>0.123645699999999</v>
      </c>
      <c r="R6357">
        <v>0.97127770000000002</v>
      </c>
      <c r="S6357">
        <v>0.15965270000000001</v>
      </c>
      <c r="T6357">
        <v>-0.22506960000000001</v>
      </c>
      <c r="U6357">
        <v>3.0878299999999999</v>
      </c>
      <c r="V6357">
        <v>-0.25479200000000002</v>
      </c>
      <c r="W6357">
        <v>0.13156670000000001</v>
      </c>
      <c r="X6357">
        <v>0.95800379999999996</v>
      </c>
      <c r="Y6357">
        <v>-0.39930860000000001</v>
      </c>
      <c r="Z6357">
        <v>-5.8240569999999998E-2</v>
      </c>
      <c r="AA6357">
        <v>0.91496489999999997</v>
      </c>
      <c r="AB6357">
        <v>30</v>
      </c>
      <c r="AC6357">
        <v>0.67310000000000503</v>
      </c>
      <c r="AD6357">
        <v>-1.119370605903</v>
      </c>
      <c r="AE6357">
        <v>15.094199999999899</v>
      </c>
      <c r="AF6357">
        <v>-6.0971988585112902</v>
      </c>
      <c r="AG6357">
        <v>-1.119370605903</v>
      </c>
      <c r="AH6357">
        <v>13.7341400863762</v>
      </c>
      <c r="AI6357">
        <v>94.260208302570206</v>
      </c>
      <c r="AJ6357">
        <v>113.938574853849</v>
      </c>
      <c r="AK6357">
        <v>15.068358516633401</v>
      </c>
      <c r="AL6357">
        <v>82.439864854238493</v>
      </c>
      <c r="AM6357">
        <v>104.893682717788</v>
      </c>
      <c r="AN6357">
        <v>1.0000000203136601</v>
      </c>
    </row>
    <row r="6358" spans="1:40" x14ac:dyDescent="0.25">
      <c r="A6358" t="str">
        <f>"20190312164627772"</f>
        <v>20190312164627772</v>
      </c>
      <c r="B6358" t="str">
        <f>"1552380387767705"</f>
        <v>1552380387767705</v>
      </c>
      <c r="C6358" t="s">
        <v>40</v>
      </c>
      <c r="D6358">
        <v>4.7053339999999997</v>
      </c>
      <c r="E6358">
        <v>0.44141079999999999</v>
      </c>
      <c r="F6358" t="s">
        <v>41</v>
      </c>
      <c r="G6358">
        <v>-188.3561</v>
      </c>
      <c r="H6358">
        <v>1.039774</v>
      </c>
      <c r="I6358">
        <v>-46.89199</v>
      </c>
      <c r="J6358">
        <v>-188.28540000000001</v>
      </c>
      <c r="K6358">
        <v>1.1193959999999901</v>
      </c>
      <c r="L6358">
        <v>-47.728610000000003</v>
      </c>
      <c r="M6358">
        <v>0.43448639999999999</v>
      </c>
      <c r="N6358">
        <v>0</v>
      </c>
      <c r="O6358">
        <v>0.90055200000000002</v>
      </c>
      <c r="P6358">
        <v>0.19481580000000001</v>
      </c>
      <c r="Q6358">
        <v>0.124265899999999</v>
      </c>
      <c r="R6358">
        <v>0.97293620000000003</v>
      </c>
      <c r="S6358">
        <v>0.1326447</v>
      </c>
      <c r="T6358">
        <v>-0.22304740000000001</v>
      </c>
      <c r="U6358">
        <v>3.0893549999999999</v>
      </c>
      <c r="V6358">
        <v>-0.25082860000000001</v>
      </c>
      <c r="W6358">
        <v>0.13229179999999999</v>
      </c>
      <c r="X6358">
        <v>0.95894939999999995</v>
      </c>
      <c r="Y6358">
        <v>-0.39553339999999998</v>
      </c>
      <c r="Z6358">
        <v>-5.8361589999999998E-2</v>
      </c>
      <c r="AA6358">
        <v>0.91659550000000001</v>
      </c>
      <c r="AB6358">
        <v>30</v>
      </c>
      <c r="AC6358">
        <v>-7.0699999999987995E-2</v>
      </c>
      <c r="AD6358">
        <v>-7.9621999999999804E-2</v>
      </c>
      <c r="AE6358">
        <v>0.83661999999999603</v>
      </c>
      <c r="AF6358">
        <v>-0.42340981916825399</v>
      </c>
      <c r="AG6358">
        <v>-7.9621999999999804E-2</v>
      </c>
      <c r="AH6358">
        <v>0.71634162870212703</v>
      </c>
      <c r="AI6358">
        <v>95.465757109588793</v>
      </c>
      <c r="AJ6358">
        <v>120.586164844713</v>
      </c>
      <c r="AK6358">
        <v>0.83591917483911704</v>
      </c>
      <c r="AL6358">
        <v>82.397953410573606</v>
      </c>
      <c r="AM6358">
        <v>104.658230231684</v>
      </c>
      <c r="AN6358">
        <v>1.00000002934277</v>
      </c>
    </row>
    <row r="6359" spans="1:40" x14ac:dyDescent="0.25">
      <c r="A6359" t="str">
        <f>"20190312164627795"</f>
        <v>20190312164627795</v>
      </c>
      <c r="B6359" t="str">
        <f>"1552380387787225"</f>
        <v>1552380387787225</v>
      </c>
      <c r="C6359" t="s">
        <v>40</v>
      </c>
      <c r="D6359">
        <v>4.9567110000000003</v>
      </c>
      <c r="E6359">
        <v>0.44177490000000003</v>
      </c>
      <c r="F6359" t="s">
        <v>41</v>
      </c>
      <c r="G6359">
        <v>-188.24700000000001</v>
      </c>
      <c r="H6359">
        <v>1.037992</v>
      </c>
      <c r="I6359">
        <v>-46.587910000000001</v>
      </c>
      <c r="J6359">
        <v>-188.16399999999999</v>
      </c>
      <c r="K6359">
        <v>1.1194219999999999</v>
      </c>
      <c r="L6359">
        <v>-47.445309999999999</v>
      </c>
      <c r="M6359">
        <v>0.42212050000000001</v>
      </c>
      <c r="N6359">
        <v>0</v>
      </c>
      <c r="O6359">
        <v>0.90641400000000005</v>
      </c>
      <c r="P6359">
        <v>0.18565139999999999</v>
      </c>
      <c r="Q6359">
        <v>0.1243228</v>
      </c>
      <c r="R6359">
        <v>0.97471909999999895</v>
      </c>
      <c r="S6359">
        <v>0.1036835</v>
      </c>
      <c r="T6359">
        <v>-0.2205645</v>
      </c>
      <c r="U6359">
        <v>3.0908509999999998</v>
      </c>
      <c r="V6359">
        <v>-0.24672729999999901</v>
      </c>
      <c r="W6359">
        <v>0.13245999999999999</v>
      </c>
      <c r="X6359">
        <v>0.95998950000000005</v>
      </c>
      <c r="Y6359">
        <v>-0.39155689999999999</v>
      </c>
      <c r="Z6359">
        <v>-5.8373410000000001E-2</v>
      </c>
      <c r="AA6359">
        <v>0.91830040000000002</v>
      </c>
      <c r="AB6359">
        <v>30</v>
      </c>
      <c r="AC6359">
        <v>-8.2999999999998395E-2</v>
      </c>
      <c r="AD6359">
        <v>-8.1429999999999794E-2</v>
      </c>
      <c r="AE6359">
        <v>0.85739999999999805</v>
      </c>
      <c r="AF6359">
        <v>-0.43333595059122998</v>
      </c>
      <c r="AG6359">
        <v>-8.1429999999999794E-2</v>
      </c>
      <c r="AH6359">
        <v>0.73563421102545901</v>
      </c>
      <c r="AI6359">
        <v>95.448163672608999</v>
      </c>
      <c r="AJ6359">
        <v>120.50082597759101</v>
      </c>
      <c r="AK6359">
        <v>0.85765295044432399</v>
      </c>
      <c r="AL6359">
        <v>82.388229906610704</v>
      </c>
      <c r="AM6359">
        <v>104.41365517806599</v>
      </c>
      <c r="AN6359">
        <v>0.999999926137767</v>
      </c>
    </row>
    <row r="6360" spans="1:40" x14ac:dyDescent="0.25">
      <c r="A6360" t="str">
        <f>"20190312164627818"</f>
        <v>20190312164627818</v>
      </c>
      <c r="B6360" t="str">
        <f>"1552380387807721"</f>
        <v>1552380387807721</v>
      </c>
      <c r="C6360" t="s">
        <v>40</v>
      </c>
      <c r="D6360">
        <v>4.8540650000000003</v>
      </c>
      <c r="E6360">
        <v>0.4420866</v>
      </c>
      <c r="F6360" t="s">
        <v>42</v>
      </c>
      <c r="G6360">
        <v>-187.7714</v>
      </c>
      <c r="H6360" s="1">
        <v>-4.0863059999999999E-6</v>
      </c>
      <c r="I6360">
        <v>-31.76341</v>
      </c>
      <c r="J6360">
        <v>-188.04759999999999</v>
      </c>
      <c r="K6360">
        <v>1.119453</v>
      </c>
      <c r="L6360">
        <v>-47.162869999999998</v>
      </c>
      <c r="M6360">
        <v>0.4097095</v>
      </c>
      <c r="N6360">
        <v>0</v>
      </c>
      <c r="O6360">
        <v>0.91209110000000004</v>
      </c>
      <c r="P6360">
        <v>0.1757783</v>
      </c>
      <c r="Q6360">
        <v>0.1240088</v>
      </c>
      <c r="R6360">
        <v>0.97658780000000001</v>
      </c>
      <c r="S6360">
        <v>7.7392580000000002E-2</v>
      </c>
      <c r="T6360">
        <v>-0.22066140000000001</v>
      </c>
      <c r="U6360">
        <v>3.0912169999999999</v>
      </c>
      <c r="V6360">
        <v>-0.24334939999999999</v>
      </c>
      <c r="W6360">
        <v>0.13223699999999999</v>
      </c>
      <c r="X6360">
        <v>0.96088209999999996</v>
      </c>
      <c r="Y6360">
        <v>-0.38680229999999999</v>
      </c>
      <c r="Z6360">
        <v>-5.9068620000000002E-2</v>
      </c>
      <c r="AA6360">
        <v>0.92026889999999995</v>
      </c>
      <c r="AB6360">
        <v>30</v>
      </c>
      <c r="AC6360">
        <v>0.27619999999998801</v>
      </c>
      <c r="AD6360">
        <v>-1.119457086306</v>
      </c>
      <c r="AE6360">
        <v>15.399459999999999</v>
      </c>
      <c r="AF6360">
        <v>-6.0262405781747397</v>
      </c>
      <c r="AG6360">
        <v>-1.119457086306</v>
      </c>
      <c r="AH6360">
        <v>14.086072301346601</v>
      </c>
      <c r="AI6360">
        <v>94.1789956273889</v>
      </c>
      <c r="AJ6360">
        <v>113.16199150257501</v>
      </c>
      <c r="AK6360">
        <v>15.361842095038099</v>
      </c>
      <c r="AL6360">
        <v>82.401120689560798</v>
      </c>
      <c r="AM6360">
        <v>104.211703347564</v>
      </c>
      <c r="AN6360">
        <v>0.99999998237488397</v>
      </c>
    </row>
    <row r="6361" spans="1:40" x14ac:dyDescent="0.25">
      <c r="A6361" t="str">
        <f>"20190312164627841"</f>
        <v>20190312164627841</v>
      </c>
      <c r="B6361" t="str">
        <f>"1552380387837977"</f>
        <v>1552380387837977</v>
      </c>
      <c r="C6361" t="s">
        <v>40</v>
      </c>
      <c r="D6361">
        <v>4.8458829999999997</v>
      </c>
      <c r="E6361">
        <v>0.443</v>
      </c>
      <c r="F6361" t="s">
        <v>42</v>
      </c>
      <c r="G6361">
        <v>-187.80850000000001</v>
      </c>
      <c r="H6361" s="1">
        <v>-4.0924449999999997E-6</v>
      </c>
      <c r="I6361">
        <v>-31.733789999999999</v>
      </c>
      <c r="J6361">
        <v>-187.9366</v>
      </c>
      <c r="K6361">
        <v>1.1194789999999999</v>
      </c>
      <c r="L6361">
        <v>-46.882779999999997</v>
      </c>
      <c r="M6361">
        <v>0.3973255</v>
      </c>
      <c r="N6361">
        <v>0</v>
      </c>
      <c r="O6361">
        <v>0.91755330000000002</v>
      </c>
      <c r="P6361">
        <v>0.16640659999999999</v>
      </c>
      <c r="Q6361">
        <v>0.1237384</v>
      </c>
      <c r="R6361">
        <v>0.97826250000000003</v>
      </c>
      <c r="S6361">
        <v>4.79126E-2</v>
      </c>
      <c r="T6361">
        <v>-0.22432299999999999</v>
      </c>
      <c r="U6361">
        <v>3.0917659999999998</v>
      </c>
      <c r="V6361">
        <v>-0.2395622</v>
      </c>
      <c r="W6361">
        <v>0.13207199999999999</v>
      </c>
      <c r="X6361">
        <v>0.96185600000000004</v>
      </c>
      <c r="Y6361">
        <v>-0.38309369999999998</v>
      </c>
      <c r="Z6361">
        <v>-6.068001E-2</v>
      </c>
      <c r="AA6361">
        <v>0.92171420000000004</v>
      </c>
      <c r="AB6361">
        <v>30</v>
      </c>
      <c r="AC6361">
        <v>0.128099999999989</v>
      </c>
      <c r="AD6361">
        <v>-1.1194830924449899</v>
      </c>
      <c r="AE6361">
        <v>15.1489899999999</v>
      </c>
      <c r="AF6361">
        <v>-5.87016115759039</v>
      </c>
      <c r="AG6361">
        <v>-1.1194830924449899</v>
      </c>
      <c r="AH6361">
        <v>13.8767219672231</v>
      </c>
      <c r="AI6361">
        <v>94.249215484060002</v>
      </c>
      <c r="AJ6361">
        <v>112.929439955666</v>
      </c>
      <c r="AK6361">
        <v>15.1087870779214</v>
      </c>
      <c r="AL6361">
        <v>82.410658377368705</v>
      </c>
      <c r="AM6361">
        <v>103.985673861845</v>
      </c>
      <c r="AN6361">
        <v>1.00000001279442</v>
      </c>
    </row>
    <row r="6362" spans="1:40" x14ac:dyDescent="0.25">
      <c r="A6362" t="str">
        <f>"20190312164627863"</f>
        <v>20190312164627863</v>
      </c>
      <c r="B6362" t="str">
        <f>"1552380387857497"</f>
        <v>1552380387857497</v>
      </c>
      <c r="C6362" t="s">
        <v>40</v>
      </c>
      <c r="D6362">
        <v>4.9414699999999998</v>
      </c>
      <c r="E6362">
        <v>0.44365719999999997</v>
      </c>
      <c r="F6362" t="s">
        <v>42</v>
      </c>
      <c r="G6362">
        <v>-187.8143</v>
      </c>
      <c r="H6362" s="1">
        <v>-4.2626030000000004E-6</v>
      </c>
      <c r="I6362">
        <v>-31.33475</v>
      </c>
      <c r="J6362">
        <v>-187.83629999999999</v>
      </c>
      <c r="K6362">
        <v>1.119505</v>
      </c>
      <c r="L6362">
        <v>-46.619840000000003</v>
      </c>
      <c r="M6362">
        <v>0.38563380000000003</v>
      </c>
      <c r="N6362">
        <v>0</v>
      </c>
      <c r="O6362">
        <v>0.92252800000000001</v>
      </c>
      <c r="P6362">
        <v>0.15781629999999899</v>
      </c>
      <c r="Q6362">
        <v>0.1234489</v>
      </c>
      <c r="R6362">
        <v>0.97972159999999997</v>
      </c>
      <c r="S6362">
        <v>2.4307249999999999E-2</v>
      </c>
      <c r="T6362">
        <v>-0.22253300000000001</v>
      </c>
      <c r="U6362">
        <v>3.090668</v>
      </c>
      <c r="V6362">
        <v>-0.2357861</v>
      </c>
      <c r="W6362">
        <v>0.13188859999999999</v>
      </c>
      <c r="X6362">
        <v>0.96281369999999999</v>
      </c>
      <c r="Y6362">
        <v>-0.37838709999999998</v>
      </c>
      <c r="Z6362">
        <v>-6.0822069999999999E-2</v>
      </c>
      <c r="AA6362">
        <v>0.923647</v>
      </c>
      <c r="AB6362">
        <v>30</v>
      </c>
      <c r="AC6362">
        <v>2.1999999999991301E-2</v>
      </c>
      <c r="AD6362">
        <v>-1.1195092626030001</v>
      </c>
      <c r="AE6362">
        <v>15.28509</v>
      </c>
      <c r="AF6362">
        <v>-5.8434768809041202</v>
      </c>
      <c r="AG6362">
        <v>-1.1195092626030001</v>
      </c>
      <c r="AH6362">
        <v>14.0357280705619</v>
      </c>
      <c r="AI6362">
        <v>94.211359095292195</v>
      </c>
      <c r="AJ6362">
        <v>112.60336501080501</v>
      </c>
      <c r="AK6362">
        <v>15.244710083090199</v>
      </c>
      <c r="AL6362">
        <v>82.421258709569102</v>
      </c>
      <c r="AM6362">
        <v>103.760503830606</v>
      </c>
      <c r="AN6362">
        <v>0.99999995433542899</v>
      </c>
    </row>
    <row r="6363" spans="1:40" x14ac:dyDescent="0.25">
      <c r="A6363" t="str">
        <f>"20190312164627883"</f>
        <v>20190312164627883</v>
      </c>
      <c r="B6363" t="str">
        <f>"1552380387877994"</f>
        <v>1552380387877994</v>
      </c>
      <c r="C6363" t="s">
        <v>40</v>
      </c>
      <c r="D6363">
        <v>4.7849399999999997</v>
      </c>
      <c r="E6363">
        <v>0.44414789999999998</v>
      </c>
      <c r="F6363" t="s">
        <v>42</v>
      </c>
      <c r="G6363">
        <v>-187.8295</v>
      </c>
      <c r="H6363" s="1">
        <v>-4.4159819999999997E-6</v>
      </c>
      <c r="I6363">
        <v>-30.97091</v>
      </c>
      <c r="J6363">
        <v>-187.7405</v>
      </c>
      <c r="K6363">
        <v>1.119532</v>
      </c>
      <c r="L6363">
        <v>-46.358400000000003</v>
      </c>
      <c r="M6363">
        <v>0.37394840000000001</v>
      </c>
      <c r="N6363">
        <v>0</v>
      </c>
      <c r="O6363">
        <v>0.92732619999999999</v>
      </c>
      <c r="P6363">
        <v>0.14961629999999901</v>
      </c>
      <c r="Q6363">
        <v>0.12399350000000001</v>
      </c>
      <c r="R6363">
        <v>0.98093859999999999</v>
      </c>
      <c r="S6363">
        <v>1.34277299999999E-3</v>
      </c>
      <c r="T6363">
        <v>-0.2210377</v>
      </c>
      <c r="U6363">
        <v>3.0897519999999998</v>
      </c>
      <c r="V6363">
        <v>-0.2316626</v>
      </c>
      <c r="W6363">
        <v>0.13254939999999901</v>
      </c>
      <c r="X6363">
        <v>0.96372349999999996</v>
      </c>
      <c r="Y6363">
        <v>-0.37355310000000003</v>
      </c>
      <c r="Z6363">
        <v>-6.1013119999999997E-2</v>
      </c>
      <c r="AA6363">
        <v>0.92560010000000004</v>
      </c>
      <c r="AB6363">
        <v>30</v>
      </c>
      <c r="AC6363">
        <v>-8.8999999999998594E-2</v>
      </c>
      <c r="AD6363">
        <v>-1.119536415982</v>
      </c>
      <c r="AE6363">
        <v>15.38749</v>
      </c>
      <c r="AF6363">
        <v>-5.8065908551481398</v>
      </c>
      <c r="AG6363">
        <v>-1.119536415982</v>
      </c>
      <c r="AH6363">
        <v>14.1626025952897</v>
      </c>
      <c r="AI6363">
        <v>94.183174376680398</v>
      </c>
      <c r="AJ6363">
        <v>112.293365219111</v>
      </c>
      <c r="AK6363">
        <v>15.347611260971799</v>
      </c>
      <c r="AL6363">
        <v>82.383062233093298</v>
      </c>
      <c r="AM6363">
        <v>103.51647239858001</v>
      </c>
      <c r="AN6363">
        <v>0.99999994406568304</v>
      </c>
    </row>
    <row r="6364" spans="1:40" x14ac:dyDescent="0.25">
      <c r="A6364" t="str">
        <f>"20190312164627906"</f>
        <v>20190312164627906</v>
      </c>
      <c r="B6364" t="str">
        <f>"1552380387897514"</f>
        <v>1552380387897514</v>
      </c>
      <c r="C6364" t="s">
        <v>40</v>
      </c>
      <c r="D6364">
        <v>4.9983599999999999</v>
      </c>
      <c r="E6364">
        <v>0.44459480000000001</v>
      </c>
      <c r="F6364" t="s">
        <v>42</v>
      </c>
      <c r="G6364">
        <v>-187.8501</v>
      </c>
      <c r="H6364" s="1">
        <v>-4.5586440000000002E-6</v>
      </c>
      <c r="I6364">
        <v>-30.629840000000002</v>
      </c>
      <c r="J6364">
        <v>-187.64109999999999</v>
      </c>
      <c r="K6364">
        <v>1.119559</v>
      </c>
      <c r="L6364">
        <v>-46.075679999999998</v>
      </c>
      <c r="M6364">
        <v>0.36125309999999999</v>
      </c>
      <c r="N6364">
        <v>0</v>
      </c>
      <c r="O6364">
        <v>0.93234499999999998</v>
      </c>
      <c r="P6364">
        <v>0.1407601</v>
      </c>
      <c r="Q6364">
        <v>0.12571369999999901</v>
      </c>
      <c r="R6364">
        <v>0.98202990000000001</v>
      </c>
      <c r="S6364">
        <v>-2.1530150000000001E-2</v>
      </c>
      <c r="T6364">
        <v>-0.2198958</v>
      </c>
      <c r="U6364">
        <v>3.0893549999999999</v>
      </c>
      <c r="V6364">
        <v>-0.22716349999999999</v>
      </c>
      <c r="W6364">
        <v>0.1343966</v>
      </c>
      <c r="X6364">
        <v>0.96453840000000002</v>
      </c>
      <c r="Y6364">
        <v>-0.36773679999999997</v>
      </c>
      <c r="Z6364">
        <v>-6.1319569999999997E-2</v>
      </c>
      <c r="AA6364">
        <v>0.92790600000000001</v>
      </c>
      <c r="AB6364">
        <v>30</v>
      </c>
      <c r="AC6364">
        <v>-0.20900000000000299</v>
      </c>
      <c r="AD6364">
        <v>-1.119563558644</v>
      </c>
      <c r="AE6364">
        <v>15.445839999999899</v>
      </c>
      <c r="AF6364">
        <v>-5.7452003310136197</v>
      </c>
      <c r="AG6364">
        <v>-1.119563558644</v>
      </c>
      <c r="AH6364">
        <v>14.252126052643399</v>
      </c>
      <c r="AI6364">
        <v>94.167050246095698</v>
      </c>
      <c r="AJ6364">
        <v>111.954945735479</v>
      </c>
      <c r="AK6364">
        <v>15.4072660269679</v>
      </c>
      <c r="AL6364">
        <v>82.276270456560297</v>
      </c>
      <c r="AM6364">
        <v>103.25252448488401</v>
      </c>
      <c r="AN6364">
        <v>1.00000001344918</v>
      </c>
    </row>
    <row r="6365" spans="1:40" x14ac:dyDescent="0.25">
      <c r="A6365" t="str">
        <f>"20190312164627930"</f>
        <v>20190312164627930</v>
      </c>
      <c r="B6365" t="str">
        <f>"1552380387927769"</f>
        <v>1552380387927769</v>
      </c>
      <c r="C6365" t="s">
        <v>40</v>
      </c>
      <c r="D6365">
        <v>4.9665929999999996</v>
      </c>
      <c r="E6365">
        <v>0.4455153</v>
      </c>
      <c r="F6365" t="s">
        <v>42</v>
      </c>
      <c r="G6365">
        <v>-187.87780000000001</v>
      </c>
      <c r="H6365" s="1">
        <v>-6.0934019999999996E-7</v>
      </c>
      <c r="I6365">
        <v>-30.220649999999999</v>
      </c>
      <c r="J6365">
        <v>-187.5427</v>
      </c>
      <c r="K6365">
        <v>1.1195790000000001</v>
      </c>
      <c r="L6365">
        <v>-45.782780000000002</v>
      </c>
      <c r="M6365">
        <v>0.34804869999999999</v>
      </c>
      <c r="N6365">
        <v>0</v>
      </c>
      <c r="O6365">
        <v>0.93735429999999997</v>
      </c>
      <c r="P6365">
        <v>0.13194210000000001</v>
      </c>
      <c r="Q6365">
        <v>0.1275134</v>
      </c>
      <c r="R6365">
        <v>0.9830217</v>
      </c>
      <c r="S6365">
        <v>-4.6127319999999999E-2</v>
      </c>
      <c r="T6365">
        <v>-0.21815290000000001</v>
      </c>
      <c r="U6365">
        <v>3.0894469999999998</v>
      </c>
      <c r="V6365">
        <v>-0.22215579999999999</v>
      </c>
      <c r="W6365">
        <v>0.13634079999999901</v>
      </c>
      <c r="X6365">
        <v>0.9654315</v>
      </c>
      <c r="Y6365">
        <v>-0.3619848</v>
      </c>
      <c r="Z6365">
        <v>-6.14368E-2</v>
      </c>
      <c r="AA6365">
        <v>0.93015720000000002</v>
      </c>
      <c r="AB6365">
        <v>30</v>
      </c>
      <c r="AC6365">
        <v>-0.335100000000011</v>
      </c>
      <c r="AD6365">
        <v>-1.1195796093402</v>
      </c>
      <c r="AE6365">
        <v>15.5621299999999</v>
      </c>
      <c r="AF6365">
        <v>-5.70164632511948</v>
      </c>
      <c r="AG6365">
        <v>-1.1195796093402</v>
      </c>
      <c r="AH6365">
        <v>14.397771170647401</v>
      </c>
      <c r="AI6365">
        <v>94.135175000693494</v>
      </c>
      <c r="AJ6365">
        <v>111.604009292443</v>
      </c>
      <c r="AK6365">
        <v>15.5260440550942</v>
      </c>
      <c r="AL6365">
        <v>82.163840977498893</v>
      </c>
      <c r="AM6365">
        <v>102.958770403782</v>
      </c>
      <c r="AN6365">
        <v>0.999999997205265</v>
      </c>
    </row>
    <row r="6366" spans="1:40" x14ac:dyDescent="0.25">
      <c r="A6366" t="str">
        <f>"20190312164627952"</f>
        <v>20190312164627952</v>
      </c>
      <c r="B6366" t="str">
        <f>"1552380387947290"</f>
        <v>1552380387947290</v>
      </c>
      <c r="C6366" t="s">
        <v>40</v>
      </c>
      <c r="D6366">
        <v>4.7775639999999999</v>
      </c>
      <c r="E6366">
        <v>0.44614949999999998</v>
      </c>
      <c r="F6366" t="s">
        <v>42</v>
      </c>
      <c r="G6366">
        <v>-187.8914</v>
      </c>
      <c r="H6366" s="1">
        <v>-7.8713000000000003E-7</v>
      </c>
      <c r="I6366">
        <v>-29.687519999999999</v>
      </c>
      <c r="J6366">
        <v>-187.45820000000001</v>
      </c>
      <c r="K6366">
        <v>1.1195949999999999</v>
      </c>
      <c r="L6366">
        <v>-45.519039999999997</v>
      </c>
      <c r="M6366">
        <v>0.33612429999999999</v>
      </c>
      <c r="N6366">
        <v>0</v>
      </c>
      <c r="O6366">
        <v>0.94169590000000003</v>
      </c>
      <c r="P6366">
        <v>0.12451089999999999</v>
      </c>
      <c r="Q6366">
        <v>0.12880330000000001</v>
      </c>
      <c r="R6366">
        <v>0.98382250000000004</v>
      </c>
      <c r="S6366">
        <v>-6.692505E-2</v>
      </c>
      <c r="T6366">
        <v>-0.2148457</v>
      </c>
      <c r="U6366">
        <v>3.088654</v>
      </c>
      <c r="V6366">
        <v>-0.21716559999999999</v>
      </c>
      <c r="W6366">
        <v>0.13777809999999999</v>
      </c>
      <c r="X6366">
        <v>0.96636239999999995</v>
      </c>
      <c r="Y6366">
        <v>-0.35641600000000001</v>
      </c>
      <c r="Z6366">
        <v>-6.1045629999999997E-2</v>
      </c>
      <c r="AA6366">
        <v>0.93233100000000002</v>
      </c>
      <c r="AB6366">
        <v>30</v>
      </c>
      <c r="AC6366">
        <v>-0.43319999999999897</v>
      </c>
      <c r="AD6366">
        <v>-1.11959578713</v>
      </c>
      <c r="AE6366">
        <v>15.831519999999999</v>
      </c>
      <c r="AF6366">
        <v>-5.7014651470156403</v>
      </c>
      <c r="AG6366">
        <v>-1.11959578713</v>
      </c>
      <c r="AH6366">
        <v>14.6911422981114</v>
      </c>
      <c r="AI6366">
        <v>94.063821367219504</v>
      </c>
      <c r="AJ6366">
        <v>111.210666192304</v>
      </c>
      <c r="AK6366">
        <v>15.7984132612282</v>
      </c>
      <c r="AL6366">
        <v>82.080705164115699</v>
      </c>
      <c r="AM6366">
        <v>102.665374755472</v>
      </c>
      <c r="AN6366">
        <v>0.99999999539836404</v>
      </c>
    </row>
    <row r="6367" spans="1:40" x14ac:dyDescent="0.25">
      <c r="A6367" t="str">
        <f>"20190312164627972"</f>
        <v>20190312164627972</v>
      </c>
      <c r="B6367" t="str">
        <f>"1552380387967785"</f>
        <v>1552380387967785</v>
      </c>
      <c r="C6367" t="s">
        <v>40</v>
      </c>
      <c r="D6367">
        <v>4.9268340000000004</v>
      </c>
      <c r="E6367">
        <v>0.46392559999999999</v>
      </c>
      <c r="F6367" t="s">
        <v>42</v>
      </c>
      <c r="G6367">
        <v>-187.91200000000001</v>
      </c>
      <c r="H6367" s="1">
        <v>-9.3912189999999996E-7</v>
      </c>
      <c r="I6367">
        <v>-29.224799999999998</v>
      </c>
      <c r="J6367">
        <v>-187.3751</v>
      </c>
      <c r="K6367">
        <v>1.1195999999999999</v>
      </c>
      <c r="L6367">
        <v>-45.247500000000002</v>
      </c>
      <c r="M6367">
        <v>0.32381459999999901</v>
      </c>
      <c r="N6367">
        <v>0</v>
      </c>
      <c r="O6367">
        <v>0.94599929999999999</v>
      </c>
      <c r="P6367">
        <v>0.1167999</v>
      </c>
      <c r="Q6367">
        <v>0.1291756</v>
      </c>
      <c r="R6367">
        <v>0.98471900000000001</v>
      </c>
      <c r="S6367">
        <v>-8.5998539999999998E-2</v>
      </c>
      <c r="T6367">
        <v>-0.2121787</v>
      </c>
      <c r="U6367">
        <v>3.0879819999999998</v>
      </c>
      <c r="V6367">
        <v>-0.21211559999999999</v>
      </c>
      <c r="W6367">
        <v>0.13830229999999999</v>
      </c>
      <c r="X6367">
        <v>0.96740870000000001</v>
      </c>
      <c r="Y6367">
        <v>-0.3499855</v>
      </c>
      <c r="Z6367">
        <v>-6.0823969999999998E-2</v>
      </c>
      <c r="AA6367">
        <v>0.93477840000000001</v>
      </c>
      <c r="AB6367">
        <v>30</v>
      </c>
      <c r="AC6367">
        <v>-0.53690000000000204</v>
      </c>
      <c r="AD6367">
        <v>-1.1196009391219</v>
      </c>
      <c r="AE6367">
        <v>16.0227</v>
      </c>
      <c r="AF6367">
        <v>-5.6692946718697499</v>
      </c>
      <c r="AG6367">
        <v>-1.1196009391219</v>
      </c>
      <c r="AH6367">
        <v>14.912594825717999</v>
      </c>
      <c r="AI6367">
        <v>94.014283601087101</v>
      </c>
      <c r="AJ6367">
        <v>110.815212820334</v>
      </c>
      <c r="AK6367">
        <v>15.9931201701046</v>
      </c>
      <c r="AL6367">
        <v>82.050381029786294</v>
      </c>
      <c r="AM6367">
        <v>102.36705937673599</v>
      </c>
      <c r="AN6367">
        <v>1.0000000733921599</v>
      </c>
    </row>
    <row r="6368" spans="1:40" x14ac:dyDescent="0.25">
      <c r="A6368" t="str">
        <f>"20190312164627997"</f>
        <v>20190312164627997</v>
      </c>
      <c r="B6368" t="str">
        <f>"1552380387987306"</f>
        <v>1552380387987306</v>
      </c>
      <c r="C6368" t="s">
        <v>40</v>
      </c>
      <c r="D6368">
        <v>5.0360339999999999</v>
      </c>
      <c r="E6368">
        <v>0.4640398</v>
      </c>
      <c r="F6368" t="s">
        <v>42</v>
      </c>
      <c r="G6368">
        <v>-187.25739999999999</v>
      </c>
      <c r="H6368" s="1">
        <v>-4.1141589999999999E-6</v>
      </c>
      <c r="I6368">
        <v>-31.911049999999999</v>
      </c>
      <c r="J6368">
        <v>-187.28710000000001</v>
      </c>
      <c r="K6368">
        <v>1.1195980000000001</v>
      </c>
      <c r="L6368">
        <v>-44.94473</v>
      </c>
      <c r="M6368">
        <v>0.3100656</v>
      </c>
      <c r="N6368">
        <v>0</v>
      </c>
      <c r="O6368">
        <v>0.95059450000000001</v>
      </c>
      <c r="P6368">
        <v>0.1082128</v>
      </c>
      <c r="Q6368">
        <v>0.1300579</v>
      </c>
      <c r="R6368">
        <v>0.98558349999999995</v>
      </c>
      <c r="S6368">
        <v>2.7175899999999999E-2</v>
      </c>
      <c r="T6368">
        <v>-0.258333799999999</v>
      </c>
      <c r="U6368">
        <v>3.0772089999999999</v>
      </c>
      <c r="V6368">
        <v>-0.2064936</v>
      </c>
      <c r="W6368">
        <v>0.13935439999999999</v>
      </c>
      <c r="X6368">
        <v>0.96847340000000004</v>
      </c>
      <c r="Y6368">
        <v>-0.30169390000000001</v>
      </c>
      <c r="Z6368">
        <v>-7.5530109999999998E-2</v>
      </c>
      <c r="AA6368">
        <v>0.95040829999999998</v>
      </c>
      <c r="AB6368">
        <v>30</v>
      </c>
      <c r="AC6368">
        <v>2.97000000000196E-2</v>
      </c>
      <c r="AD6368">
        <v>-1.11960211415899</v>
      </c>
      <c r="AE6368">
        <v>13.03368</v>
      </c>
      <c r="AF6368">
        <v>-3.9841251483995799</v>
      </c>
      <c r="AG6368">
        <v>-1.11960211415899</v>
      </c>
      <c r="AH6368">
        <v>12.3095452171034</v>
      </c>
      <c r="AI6368">
        <v>94.945730892850094</v>
      </c>
      <c r="AJ6368">
        <v>107.934767455597</v>
      </c>
      <c r="AK6368">
        <v>12.986595610245701</v>
      </c>
      <c r="AL6368">
        <v>81.989510037617407</v>
      </c>
      <c r="AM6368">
        <v>102.036120904407</v>
      </c>
      <c r="AN6368">
        <v>0.99999999107394</v>
      </c>
    </row>
    <row r="6369" spans="1:40" x14ac:dyDescent="0.25">
      <c r="A6369" t="str">
        <f>"20190312164628019"</f>
        <v>20190312164628019</v>
      </c>
      <c r="B6369" t="str">
        <f>"1552380388007801"</f>
        <v>1552380388007801</v>
      </c>
      <c r="C6369" t="s">
        <v>40</v>
      </c>
      <c r="D6369">
        <v>5.672472</v>
      </c>
      <c r="E6369">
        <v>0.46466259999999998</v>
      </c>
      <c r="F6369" t="s">
        <v>42</v>
      </c>
      <c r="G6369">
        <v>-187.28389999999999</v>
      </c>
      <c r="H6369" s="1">
        <v>-4.4777619999999999E-6</v>
      </c>
      <c r="I6369">
        <v>-31.052520000000001</v>
      </c>
      <c r="J6369">
        <v>-187.21119999999999</v>
      </c>
      <c r="K6369">
        <v>1.11959599999999</v>
      </c>
      <c r="L6369">
        <v>-44.670009999999998</v>
      </c>
      <c r="M6369">
        <v>0.29757250000000002</v>
      </c>
      <c r="N6369">
        <v>0</v>
      </c>
      <c r="O6369">
        <v>0.95457910000000001</v>
      </c>
      <c r="P6369">
        <v>0.1011354</v>
      </c>
      <c r="Q6369">
        <v>0.13123959999999901</v>
      </c>
      <c r="R6369">
        <v>0.98617840000000001</v>
      </c>
      <c r="S6369">
        <v>7.1716309999999997E-4</v>
      </c>
      <c r="T6369">
        <v>-0.2479421</v>
      </c>
      <c r="U6369">
        <v>3.076508</v>
      </c>
      <c r="V6369">
        <v>-0.20071230000000001</v>
      </c>
      <c r="W6369">
        <v>0.14071040000000001</v>
      </c>
      <c r="X6369">
        <v>0.96949220000000003</v>
      </c>
      <c r="Y6369">
        <v>-0.29736249999999997</v>
      </c>
      <c r="Z6369">
        <v>-7.3060600000000003E-2</v>
      </c>
      <c r="AA6369">
        <v>0.95196519999999996</v>
      </c>
      <c r="AB6369">
        <v>30</v>
      </c>
      <c r="AC6369">
        <v>-7.2699999999997503E-2</v>
      </c>
      <c r="AD6369">
        <v>-1.1196004777619999</v>
      </c>
      <c r="AE6369">
        <v>13.617489999999901</v>
      </c>
      <c r="AF6369">
        <v>-4.0943848487203303</v>
      </c>
      <c r="AG6369">
        <v>-1.1196004777619999</v>
      </c>
      <c r="AH6369">
        <v>12.8916838994607</v>
      </c>
      <c r="AI6369">
        <v>94.731723222422303</v>
      </c>
      <c r="AJ6369">
        <v>107.619791692332</v>
      </c>
      <c r="AK6369">
        <v>13.572509211006199</v>
      </c>
      <c r="AL6369">
        <v>81.911043769814199</v>
      </c>
      <c r="AM6369">
        <v>101.69660649441801</v>
      </c>
      <c r="AN6369">
        <v>0.99999998495014397</v>
      </c>
    </row>
    <row r="6370" spans="1:40" x14ac:dyDescent="0.25">
      <c r="A6370" t="str">
        <f>"20190312164628044"</f>
        <v>20190312164628044</v>
      </c>
      <c r="B6370" t="str">
        <f>"1552380388037081"</f>
        <v>1552380388037081</v>
      </c>
      <c r="C6370" t="s">
        <v>40</v>
      </c>
      <c r="D6370">
        <v>4.8588680000000002</v>
      </c>
      <c r="E6370">
        <v>0.46524529999999997</v>
      </c>
      <c r="F6370" t="s">
        <v>42</v>
      </c>
      <c r="G6370">
        <v>-187.2877</v>
      </c>
      <c r="H6370" s="1">
        <v>-9.6552259999999993E-7</v>
      </c>
      <c r="I6370">
        <v>-29.635400000000001</v>
      </c>
      <c r="J6370">
        <v>-187.12710000000001</v>
      </c>
      <c r="K6370">
        <v>1.1195729999999999</v>
      </c>
      <c r="L6370">
        <v>-44.347929999999998</v>
      </c>
      <c r="M6370">
        <v>0.28291549999999999</v>
      </c>
      <c r="N6370">
        <v>0</v>
      </c>
      <c r="O6370">
        <v>0.95902520000000002</v>
      </c>
      <c r="P6370">
        <v>9.0045910000000007E-2</v>
      </c>
      <c r="Q6370">
        <v>0.13202420000000001</v>
      </c>
      <c r="R6370">
        <v>0.98714809999999997</v>
      </c>
      <c r="S6370">
        <v>-1.5625E-2</v>
      </c>
      <c r="T6370">
        <v>-0.22892399999999999</v>
      </c>
      <c r="U6370">
        <v>3.0741269999999998</v>
      </c>
      <c r="V6370">
        <v>-0.19673280000000001</v>
      </c>
      <c r="W6370">
        <v>0.1416191</v>
      </c>
      <c r="X6370">
        <v>0.97017540000000002</v>
      </c>
      <c r="Y6370">
        <v>-0.28779009999999999</v>
      </c>
      <c r="Z6370">
        <v>-6.8141880000000002E-2</v>
      </c>
      <c r="AA6370">
        <v>0.95526619999999995</v>
      </c>
      <c r="AB6370">
        <v>30</v>
      </c>
      <c r="AC6370">
        <v>-0.160599999999988</v>
      </c>
      <c r="AD6370">
        <v>-1.1195739655226</v>
      </c>
      <c r="AE6370">
        <v>14.7125299999999</v>
      </c>
      <c r="AF6370">
        <v>-4.2920664955737999</v>
      </c>
      <c r="AG6370">
        <v>-1.1195739655226</v>
      </c>
      <c r="AH6370">
        <v>13.9848922175764</v>
      </c>
      <c r="AI6370">
        <v>94.376467686379002</v>
      </c>
      <c r="AJ6370">
        <v>107.06163592286001</v>
      </c>
      <c r="AK6370">
        <v>14.6714856440625</v>
      </c>
      <c r="AL6370">
        <v>81.858452862652399</v>
      </c>
      <c r="AM6370">
        <v>101.463042171984</v>
      </c>
      <c r="AN6370">
        <v>1.0000000354228999</v>
      </c>
    </row>
    <row r="6371" spans="1:40" x14ac:dyDescent="0.25">
      <c r="A6371" t="str">
        <f>"20190312164628066"</f>
        <v>20190312164628066</v>
      </c>
      <c r="B6371" t="str">
        <f>"1552380388057578"</f>
        <v>1552380388057578</v>
      </c>
      <c r="C6371" t="s">
        <v>40</v>
      </c>
      <c r="D6371">
        <v>4.9252890000000003</v>
      </c>
      <c r="E6371">
        <v>0.46575549999999999</v>
      </c>
      <c r="F6371" t="s">
        <v>42</v>
      </c>
      <c r="G6371">
        <v>-187.3545</v>
      </c>
      <c r="H6371" s="1">
        <v>-1.272963E-6</v>
      </c>
      <c r="I6371">
        <v>-28.679739999999999</v>
      </c>
      <c r="J6371">
        <v>-187.0599</v>
      </c>
      <c r="K6371">
        <v>1.11955</v>
      </c>
      <c r="L6371">
        <v>-44.074829999999999</v>
      </c>
      <c r="M6371">
        <v>0.27049590000000001</v>
      </c>
      <c r="N6371">
        <v>0</v>
      </c>
      <c r="O6371">
        <v>0.96260199999999996</v>
      </c>
      <c r="P6371">
        <v>8.4018780000000001E-2</v>
      </c>
      <c r="Q6371">
        <v>0.13184899999999999</v>
      </c>
      <c r="R6371">
        <v>0.98770270000000004</v>
      </c>
      <c r="S6371">
        <v>-4.4586180000000003E-2</v>
      </c>
      <c r="T6371">
        <v>-0.21954460000000001</v>
      </c>
      <c r="U6371">
        <v>3.072479</v>
      </c>
      <c r="V6371">
        <v>-0.19009129999999999</v>
      </c>
      <c r="W6371">
        <v>0.14164740000000001</v>
      </c>
      <c r="X6371">
        <v>0.97149439999999998</v>
      </c>
      <c r="Y6371">
        <v>-0.28442030000000001</v>
      </c>
      <c r="Z6371">
        <v>-6.5812309999999999E-2</v>
      </c>
      <c r="AA6371">
        <v>0.95643809999999996</v>
      </c>
      <c r="AB6371">
        <v>30</v>
      </c>
      <c r="AC6371">
        <v>-0.29460000000000203</v>
      </c>
      <c r="AD6371">
        <v>-1.1195512729629999</v>
      </c>
      <c r="AE6371">
        <v>15.3950899999999</v>
      </c>
      <c r="AF6371">
        <v>-4.4250088327009696</v>
      </c>
      <c r="AG6371">
        <v>-1.1195512729629999</v>
      </c>
      <c r="AH6371">
        <v>14.663827291970801</v>
      </c>
      <c r="AI6371">
        <v>94.180450610026796</v>
      </c>
      <c r="AJ6371">
        <v>106.79190097574001</v>
      </c>
      <c r="AK6371">
        <v>15.357797012300299</v>
      </c>
      <c r="AL6371">
        <v>81.856814825242097</v>
      </c>
      <c r="AM6371">
        <v>101.071128950732</v>
      </c>
      <c r="AN6371">
        <v>1.0000000287469</v>
      </c>
    </row>
    <row r="6372" spans="1:40" x14ac:dyDescent="0.25">
      <c r="A6372" t="str">
        <f>"20190312164628087"</f>
        <v>20190312164628087</v>
      </c>
      <c r="B6372" t="str">
        <f>"1552380388077098"</f>
        <v>1552380388077098</v>
      </c>
      <c r="C6372" t="s">
        <v>40</v>
      </c>
      <c r="D6372">
        <v>4.844049</v>
      </c>
      <c r="E6372">
        <v>0.4662152</v>
      </c>
      <c r="F6372" t="s">
        <v>42</v>
      </c>
      <c r="G6372">
        <v>-187.3622</v>
      </c>
      <c r="H6372" s="1">
        <v>-1.3729400000000001E-6</v>
      </c>
      <c r="I6372">
        <v>-28.379930000000002</v>
      </c>
      <c r="J6372">
        <v>-186.99549999999999</v>
      </c>
      <c r="K6372">
        <v>1.119513</v>
      </c>
      <c r="L6372">
        <v>-43.798070000000003</v>
      </c>
      <c r="M6372">
        <v>0.25792949999999998</v>
      </c>
      <c r="N6372">
        <v>0</v>
      </c>
      <c r="O6372">
        <v>0.96604509999999999</v>
      </c>
      <c r="P6372">
        <v>7.761113E-2</v>
      </c>
      <c r="Q6372">
        <v>0.1304592</v>
      </c>
      <c r="R6372">
        <v>0.98841129999999999</v>
      </c>
      <c r="S6372">
        <v>-5.9158330000000002E-2</v>
      </c>
      <c r="T6372">
        <v>-0.21910569999999999</v>
      </c>
      <c r="U6372">
        <v>3.071625</v>
      </c>
      <c r="V6372">
        <v>-0.18371660000000001</v>
      </c>
      <c r="W6372">
        <v>0.14045639999999901</v>
      </c>
      <c r="X6372">
        <v>0.97289270000000005</v>
      </c>
      <c r="Y6372">
        <v>-0.27645900000000001</v>
      </c>
      <c r="Z6372">
        <v>-6.6146430000000006E-2</v>
      </c>
      <c r="AA6372">
        <v>0.9587466</v>
      </c>
      <c r="AB6372">
        <v>30</v>
      </c>
      <c r="AC6372">
        <v>-0.36670000000000802</v>
      </c>
      <c r="AD6372">
        <v>-1.1195143729399999</v>
      </c>
      <c r="AE6372">
        <v>15.418139999999999</v>
      </c>
      <c r="AF6372">
        <v>-4.3088340091523003</v>
      </c>
      <c r="AG6372">
        <v>-1.1195143729399999</v>
      </c>
      <c r="AH6372">
        <v>14.724147118951301</v>
      </c>
      <c r="AI6372">
        <v>94.173600120782396</v>
      </c>
      <c r="AJ6372">
        <v>106.311442120386</v>
      </c>
      <c r="AK6372">
        <v>15.3824533586215</v>
      </c>
      <c r="AL6372">
        <v>81.925742979800901</v>
      </c>
      <c r="AM6372">
        <v>100.69355261180399</v>
      </c>
      <c r="AN6372">
        <v>0.99999999756490499</v>
      </c>
    </row>
    <row r="6373" spans="1:40" x14ac:dyDescent="0.25">
      <c r="A6373" t="str">
        <f>"20190312164628107"</f>
        <v>20190312164628107</v>
      </c>
      <c r="B6373" t="str">
        <f>"1552380388097594"</f>
        <v>1552380388097594</v>
      </c>
      <c r="C6373" t="s">
        <v>40</v>
      </c>
      <c r="D6373">
        <v>4.9888370000000002</v>
      </c>
      <c r="E6373">
        <v>0.46653650000000002</v>
      </c>
      <c r="F6373" t="s">
        <v>42</v>
      </c>
      <c r="G6373">
        <v>-187.37880000000001</v>
      </c>
      <c r="H6373" s="1">
        <v>-1.3817339999999999E-6</v>
      </c>
      <c r="I6373">
        <v>-28.341090000000001</v>
      </c>
      <c r="J6373">
        <v>-186.94049999999999</v>
      </c>
      <c r="K6373">
        <v>1.1194679999999999</v>
      </c>
      <c r="L6373">
        <v>-43.546970000000002</v>
      </c>
      <c r="M6373">
        <v>0.24656320000000001</v>
      </c>
      <c r="N6373">
        <v>0</v>
      </c>
      <c r="O6373">
        <v>0.96900850000000005</v>
      </c>
      <c r="P6373">
        <v>7.208262E-2</v>
      </c>
      <c r="Q6373">
        <v>0.12913469999999999</v>
      </c>
      <c r="R6373">
        <v>0.98900370000000004</v>
      </c>
      <c r="S6373">
        <v>-7.6141360000000005E-2</v>
      </c>
      <c r="T6373">
        <v>-0.22238910000000001</v>
      </c>
      <c r="U6373">
        <v>3.0704959999999999</v>
      </c>
      <c r="V6373">
        <v>-0.1777078</v>
      </c>
      <c r="W6373">
        <v>0.13932</v>
      </c>
      <c r="X6373">
        <v>0.97417140000000002</v>
      </c>
      <c r="Y6373">
        <v>-0.27046969999999998</v>
      </c>
      <c r="Z6373">
        <v>-6.7534990000000003E-2</v>
      </c>
      <c r="AA6373">
        <v>0.96035680000000001</v>
      </c>
      <c r="AB6373">
        <v>30</v>
      </c>
      <c r="AC6373">
        <v>-0.438300000000026</v>
      </c>
      <c r="AD6373">
        <v>-1.119469381734</v>
      </c>
      <c r="AE6373">
        <v>15.205879999999899</v>
      </c>
      <c r="AF6373">
        <v>-4.1519202627792096</v>
      </c>
      <c r="AG6373">
        <v>-1.119469381734</v>
      </c>
      <c r="AH6373">
        <v>14.549441314923801</v>
      </c>
      <c r="AI6373">
        <v>94.231534848491506</v>
      </c>
      <c r="AJ6373">
        <v>105.92696095823101</v>
      </c>
      <c r="AK6373">
        <v>15.1716148165424</v>
      </c>
      <c r="AL6373">
        <v>81.991500666576798</v>
      </c>
      <c r="AM6373">
        <v>100.33819003568</v>
      </c>
      <c r="AN6373">
        <v>1.0000000205794</v>
      </c>
    </row>
    <row r="6374" spans="1:40" x14ac:dyDescent="0.25">
      <c r="A6374" t="str">
        <f>"20190312164628131"</f>
        <v>20190312164628131</v>
      </c>
      <c r="B6374" t="str">
        <f>"1552380388127850"</f>
        <v>1552380388127850</v>
      </c>
      <c r="C6374" t="s">
        <v>40</v>
      </c>
      <c r="D6374">
        <v>5.105505</v>
      </c>
      <c r="E6374">
        <v>0.46737040000000002</v>
      </c>
      <c r="F6374" t="s">
        <v>42</v>
      </c>
      <c r="G6374">
        <v>-187.38239999999999</v>
      </c>
      <c r="H6374" s="1">
        <v>-1.2556070000000001E-6</v>
      </c>
      <c r="I6374">
        <v>-28.708860000000001</v>
      </c>
      <c r="J6374">
        <v>-186.87970000000001</v>
      </c>
      <c r="K6374">
        <v>1.1194</v>
      </c>
      <c r="L6374">
        <v>-43.25177</v>
      </c>
      <c r="M6374">
        <v>0.2332564</v>
      </c>
      <c r="N6374">
        <v>0</v>
      </c>
      <c r="O6374">
        <v>0.97229759999999998</v>
      </c>
      <c r="P6374">
        <v>6.4543719999999999E-2</v>
      </c>
      <c r="Q6374">
        <v>0.12792029999999999</v>
      </c>
      <c r="R6374">
        <v>0.98968199999999995</v>
      </c>
      <c r="S6374">
        <v>-9.144592E-2</v>
      </c>
      <c r="T6374">
        <v>-0.23163929999999999</v>
      </c>
      <c r="U6374">
        <v>3.0702820000000002</v>
      </c>
      <c r="V6374">
        <v>-0.17174690000000001</v>
      </c>
      <c r="W6374">
        <v>0.1382948</v>
      </c>
      <c r="X6374">
        <v>0.97538579999999997</v>
      </c>
      <c r="Y6374">
        <v>-0.26204090000000002</v>
      </c>
      <c r="Z6374">
        <v>-7.0787069999999994E-2</v>
      </c>
      <c r="AA6374">
        <v>0.96245720000000001</v>
      </c>
      <c r="AB6374">
        <v>30</v>
      </c>
      <c r="AC6374">
        <v>-0.50269999999997494</v>
      </c>
      <c r="AD6374">
        <v>-1.1194012556070001</v>
      </c>
      <c r="AE6374">
        <v>14.542909999999999</v>
      </c>
      <c r="AF6374">
        <v>-3.85861098925978</v>
      </c>
      <c r="AG6374">
        <v>-1.1194012556070001</v>
      </c>
      <c r="AH6374">
        <v>13.9418798147055</v>
      </c>
      <c r="AI6374">
        <v>94.424820302621498</v>
      </c>
      <c r="AJ6374">
        <v>105.47017470723399</v>
      </c>
      <c r="AK6374">
        <v>14.5092367375125</v>
      </c>
      <c r="AL6374">
        <v>82.050813963133606</v>
      </c>
      <c r="AM6374">
        <v>99.986330342900999</v>
      </c>
      <c r="AN6374">
        <v>0.999999954104144</v>
      </c>
    </row>
    <row r="6375" spans="1:40" x14ac:dyDescent="0.25">
      <c r="A6375" t="str">
        <f>"20190312164628153"</f>
        <v>20190312164628153</v>
      </c>
      <c r="B6375" t="str">
        <f>"1552380388147370"</f>
        <v>1552380388147370</v>
      </c>
      <c r="C6375" t="s">
        <v>40</v>
      </c>
      <c r="D6375">
        <v>5.0608680000000001</v>
      </c>
      <c r="E6375">
        <v>0.46689039999999998</v>
      </c>
      <c r="F6375" t="s">
        <v>42</v>
      </c>
      <c r="G6375">
        <v>-187.2792</v>
      </c>
      <c r="H6375" s="1">
        <v>-3.9150130000000004E-6</v>
      </c>
      <c r="I6375">
        <v>-32.366219999999998</v>
      </c>
      <c r="J6375">
        <v>-186.8263</v>
      </c>
      <c r="K6375">
        <v>1.119324</v>
      </c>
      <c r="L6375">
        <v>-42.97363</v>
      </c>
      <c r="M6375">
        <v>0.2207896</v>
      </c>
      <c r="N6375">
        <v>0</v>
      </c>
      <c r="O6375">
        <v>0.97520430000000002</v>
      </c>
      <c r="P6375">
        <v>5.7748979999999998E-2</v>
      </c>
      <c r="Q6375">
        <v>0.127194</v>
      </c>
      <c r="R6375">
        <v>0.9901953</v>
      </c>
      <c r="S6375">
        <v>-0.11302189999999999</v>
      </c>
      <c r="T6375">
        <v>-0.31668629999999998</v>
      </c>
      <c r="U6375">
        <v>3.07959</v>
      </c>
      <c r="V6375">
        <v>-0.16591900000000001</v>
      </c>
      <c r="W6375">
        <v>0.13775209999999999</v>
      </c>
      <c r="X6375">
        <v>0.97647079999999997</v>
      </c>
      <c r="Y6375">
        <v>-0.25624049999999998</v>
      </c>
      <c r="Z6375">
        <v>-9.6767350000000002E-2</v>
      </c>
      <c r="AA6375">
        <v>0.96175719999999998</v>
      </c>
      <c r="AB6375">
        <v>30</v>
      </c>
      <c r="AC6375">
        <v>-0.45289999999999903</v>
      </c>
      <c r="AD6375">
        <v>-1.119327915013</v>
      </c>
      <c r="AE6375">
        <v>10.60741</v>
      </c>
      <c r="AF6375">
        <v>-2.7533903475689998</v>
      </c>
      <c r="AG6375">
        <v>-1.119327915013</v>
      </c>
      <c r="AH6375">
        <v>10.1329405235571</v>
      </c>
      <c r="AI6375">
        <v>96.084692696663097</v>
      </c>
      <c r="AJ6375">
        <v>105.201744721724</v>
      </c>
      <c r="AK6375">
        <v>10.5598549725533</v>
      </c>
      <c r="AL6375">
        <v>82.082209147906894</v>
      </c>
      <c r="AM6375">
        <v>99.643423909775606</v>
      </c>
      <c r="AN6375">
        <v>0.99999998943402402</v>
      </c>
    </row>
    <row r="6376" spans="1:40" x14ac:dyDescent="0.25">
      <c r="A6376" t="str">
        <f>"20190312164628175"</f>
        <v>20190312164628175</v>
      </c>
      <c r="B6376" t="str">
        <f>"1552380388167866"</f>
        <v>1552380388167866</v>
      </c>
      <c r="C6376" t="s">
        <v>40</v>
      </c>
      <c r="D6376">
        <v>5.0114280000000004</v>
      </c>
      <c r="E6376">
        <v>0.46691159999999998</v>
      </c>
      <c r="F6376" t="s">
        <v>42</v>
      </c>
      <c r="G6376">
        <v>-187.3073</v>
      </c>
      <c r="H6376" s="1">
        <v>-3.9492890000000004E-6</v>
      </c>
      <c r="I6376">
        <v>-32.274729999999998</v>
      </c>
      <c r="J6376">
        <v>-186.7732</v>
      </c>
      <c r="K6376">
        <v>1.1192390000000001</v>
      </c>
      <c r="L6376">
        <v>-42.676090000000002</v>
      </c>
      <c r="M6376">
        <v>0.20752660000000001</v>
      </c>
      <c r="N6376">
        <v>0</v>
      </c>
      <c r="O6376">
        <v>0.97811289999999995</v>
      </c>
      <c r="P6376">
        <v>5.0252900000000003E-2</v>
      </c>
      <c r="Q6376">
        <v>0.12530539999999901</v>
      </c>
      <c r="R6376">
        <v>0.99084470000000002</v>
      </c>
      <c r="S6376">
        <v>-0.13841249999999999</v>
      </c>
      <c r="T6376">
        <v>-0.3221446</v>
      </c>
      <c r="U6376">
        <v>3.0791629999999999</v>
      </c>
      <c r="V6376">
        <v>-0.1600104</v>
      </c>
      <c r="W6376">
        <v>0.13604929999999901</v>
      </c>
      <c r="X6376">
        <v>0.97769490000000003</v>
      </c>
      <c r="Y6376">
        <v>-0.25102560000000002</v>
      </c>
      <c r="Z6376">
        <v>-9.8938440000000002E-2</v>
      </c>
      <c r="AA6376">
        <v>0.96291090000000001</v>
      </c>
      <c r="AB6376">
        <v>30</v>
      </c>
      <c r="AC6376">
        <v>-0.53409999999999502</v>
      </c>
      <c r="AD6376">
        <v>-1.1192429492889999</v>
      </c>
      <c r="AE6376">
        <v>10.40136</v>
      </c>
      <c r="AF6376">
        <v>-2.6506633422935701</v>
      </c>
      <c r="AG6376">
        <v>-1.1192429492889999</v>
      </c>
      <c r="AH6376">
        <v>9.9491139652789595</v>
      </c>
      <c r="AI6376">
        <v>96.203971810967701</v>
      </c>
      <c r="AJ6376">
        <v>104.918331390037</v>
      </c>
      <c r="AK6376">
        <v>10.356813681235201</v>
      </c>
      <c r="AL6376">
        <v>82.180700035708</v>
      </c>
      <c r="AM6376">
        <v>99.294676206294199</v>
      </c>
      <c r="AN6376">
        <v>1.0000000288123201</v>
      </c>
    </row>
    <row r="6377" spans="1:40" x14ac:dyDescent="0.25">
      <c r="A6377" t="str">
        <f>"20190312164628197"</f>
        <v>20190312164628197</v>
      </c>
      <c r="B6377" t="str">
        <f>"1552380388187386"</f>
        <v>1552380388187386</v>
      </c>
      <c r="C6377" t="s">
        <v>40</v>
      </c>
      <c r="D6377">
        <v>5.0237170000000004</v>
      </c>
      <c r="E6377">
        <v>0.46722249999999999</v>
      </c>
      <c r="F6377" t="s">
        <v>42</v>
      </c>
      <c r="G6377">
        <v>-187.3355</v>
      </c>
      <c r="H6377" s="1">
        <v>-4.0600439999999996E-6</v>
      </c>
      <c r="I6377">
        <v>-32.004860000000001</v>
      </c>
      <c r="J6377">
        <v>-186.72790000000001</v>
      </c>
      <c r="K6377">
        <v>1.1191530000000001</v>
      </c>
      <c r="L6377">
        <v>-42.40231</v>
      </c>
      <c r="M6377">
        <v>0.19539999999999999</v>
      </c>
      <c r="N6377">
        <v>0</v>
      </c>
      <c r="O6377">
        <v>0.98060760000000002</v>
      </c>
      <c r="P6377">
        <v>4.3728169999999997E-2</v>
      </c>
      <c r="Q6377">
        <v>0.12227880000000001</v>
      </c>
      <c r="R6377">
        <v>0.99153199999999997</v>
      </c>
      <c r="S6377">
        <v>-0.16212460000000001</v>
      </c>
      <c r="T6377">
        <v>-0.32270280000000001</v>
      </c>
      <c r="U6377">
        <v>3.0767519999999999</v>
      </c>
      <c r="V6377">
        <v>-0.15429999999999999</v>
      </c>
      <c r="W6377">
        <v>0.13320199999999999</v>
      </c>
      <c r="X6377">
        <v>0.97900399999999999</v>
      </c>
      <c r="Y6377">
        <v>-0.2464739</v>
      </c>
      <c r="Z6377">
        <v>-9.9616650000000001E-2</v>
      </c>
      <c r="AA6377">
        <v>0.96401610000000004</v>
      </c>
      <c r="AB6377">
        <v>30</v>
      </c>
      <c r="AC6377">
        <v>-0.60759999999999004</v>
      </c>
      <c r="AD6377">
        <v>-1.119157060044</v>
      </c>
      <c r="AE6377">
        <v>10.397449999999999</v>
      </c>
      <c r="AF6377">
        <v>-2.5977828078445802</v>
      </c>
      <c r="AG6377">
        <v>-1.119157060044</v>
      </c>
      <c r="AH6377">
        <v>9.9632008621456798</v>
      </c>
      <c r="AI6377">
        <v>96.203413448778804</v>
      </c>
      <c r="AJ6377">
        <v>104.61380377437</v>
      </c>
      <c r="AK6377">
        <v>10.356947400717999</v>
      </c>
      <c r="AL6377">
        <v>82.345337275140196</v>
      </c>
      <c r="AM6377">
        <v>98.956661678049102</v>
      </c>
      <c r="AN6377">
        <v>1.0000000474099899</v>
      </c>
    </row>
    <row r="6378" spans="1:40" x14ac:dyDescent="0.25">
      <c r="A6378" t="str">
        <f>"20190312164628220"</f>
        <v>20190312164628220</v>
      </c>
      <c r="B6378" t="str">
        <f>"1552380388207881"</f>
        <v>1552380388207881</v>
      </c>
      <c r="C6378" t="s">
        <v>40</v>
      </c>
      <c r="D6378">
        <v>5.0504569999999998</v>
      </c>
      <c r="E6378">
        <v>0.46571839999999998</v>
      </c>
      <c r="F6378" t="s">
        <v>42</v>
      </c>
      <c r="G6378">
        <v>-187.78729999999999</v>
      </c>
      <c r="H6378" s="1">
        <v>-3.370002E-6</v>
      </c>
      <c r="I6378">
        <v>-23.426570000000002</v>
      </c>
      <c r="J6378">
        <v>-186.6833</v>
      </c>
      <c r="K6378">
        <v>1.1190500000000001</v>
      </c>
      <c r="L6378">
        <v>-42.110289999999999</v>
      </c>
      <c r="M6378">
        <v>0.1825707</v>
      </c>
      <c r="N6378">
        <v>0</v>
      </c>
      <c r="O6378">
        <v>0.98307730000000004</v>
      </c>
      <c r="P6378">
        <v>3.7479449999999997E-2</v>
      </c>
      <c r="Q6378">
        <v>0.1195166</v>
      </c>
      <c r="R6378">
        <v>0.99212449999999996</v>
      </c>
      <c r="S6378">
        <v>-0.17057800000000001</v>
      </c>
      <c r="T6378">
        <v>-0.18019969999999999</v>
      </c>
      <c r="U6378">
        <v>3.0553590000000002</v>
      </c>
      <c r="V6378">
        <v>-0.14762339999999999</v>
      </c>
      <c r="W6378">
        <v>0.13064439999999999</v>
      </c>
      <c r="X6378">
        <v>0.9803771</v>
      </c>
      <c r="Y6378">
        <v>-0.2370177</v>
      </c>
      <c r="Z6378">
        <v>-5.6506689999999998E-2</v>
      </c>
      <c r="AA6378">
        <v>0.96986059999999996</v>
      </c>
      <c r="AB6378">
        <v>29</v>
      </c>
      <c r="AC6378">
        <v>-1.1039999999999801</v>
      </c>
      <c r="AD6378">
        <v>-1.119053370002</v>
      </c>
      <c r="AE6378">
        <v>18.683720000000001</v>
      </c>
      <c r="AF6378">
        <v>-4.48090882085702</v>
      </c>
      <c r="AG6378">
        <v>-1.119053370002</v>
      </c>
      <c r="AH6378">
        <v>18.103327616932098</v>
      </c>
      <c r="AI6378">
        <v>93.433860143453003</v>
      </c>
      <c r="AJ6378">
        <v>103.902350521557</v>
      </c>
      <c r="AK6378">
        <v>18.683182146297298</v>
      </c>
      <c r="AL6378">
        <v>82.493168265638602</v>
      </c>
      <c r="AM6378">
        <v>98.563161203011703</v>
      </c>
      <c r="AN6378">
        <v>0.99999994284166305</v>
      </c>
    </row>
    <row r="6379" spans="1:40" x14ac:dyDescent="0.25">
      <c r="A6379" t="str">
        <f>"20190312164628244"</f>
        <v>20190312164628244</v>
      </c>
      <c r="B6379" t="str">
        <f>"1552380388237162"</f>
        <v>1552380388237162</v>
      </c>
      <c r="C6379" t="s">
        <v>40</v>
      </c>
      <c r="D6379">
        <v>5.0404730000000004</v>
      </c>
      <c r="E6379">
        <v>0.46572530000000001</v>
      </c>
      <c r="F6379" t="s">
        <v>42</v>
      </c>
      <c r="G6379">
        <v>-187.82210000000001</v>
      </c>
      <c r="H6379" s="1">
        <v>-2.6793770000000001E-6</v>
      </c>
      <c r="I6379">
        <v>-25.022030000000001</v>
      </c>
      <c r="J6379">
        <v>-186.63990000000001</v>
      </c>
      <c r="K6379">
        <v>1.1189229999999999</v>
      </c>
      <c r="L6379">
        <v>-41.799990000000001</v>
      </c>
      <c r="M6379">
        <v>0.1690787</v>
      </c>
      <c r="N6379">
        <v>0</v>
      </c>
      <c r="O6379">
        <v>0.98548780000000002</v>
      </c>
      <c r="P6379">
        <v>3.095504E-2</v>
      </c>
      <c r="Q6379">
        <v>0.1184436</v>
      </c>
      <c r="R6379">
        <v>0.99247810000000003</v>
      </c>
      <c r="S6379">
        <v>-0.20364380000000001</v>
      </c>
      <c r="T6379">
        <v>-0.20010130000000001</v>
      </c>
      <c r="U6379">
        <v>3.0556030000000001</v>
      </c>
      <c r="V6379">
        <v>-0.14057349999999999</v>
      </c>
      <c r="W6379">
        <v>0.12978210000000001</v>
      </c>
      <c r="X6379">
        <v>0.98152720000000004</v>
      </c>
      <c r="Y6379">
        <v>-0.23412559999999999</v>
      </c>
      <c r="Z6379">
        <v>-6.2955449999999996E-2</v>
      </c>
      <c r="AA6379">
        <v>0.97016579999999997</v>
      </c>
      <c r="AB6379">
        <v>29</v>
      </c>
      <c r="AC6379">
        <v>-1.1821999999999899</v>
      </c>
      <c r="AD6379">
        <v>-1.1189256793769999</v>
      </c>
      <c r="AE6379">
        <v>16.77796</v>
      </c>
      <c r="AF6379">
        <v>-3.9846574589969102</v>
      </c>
      <c r="AG6379">
        <v>-1.1189256793769999</v>
      </c>
      <c r="AH6379">
        <v>16.2644575428913</v>
      </c>
      <c r="AI6379">
        <v>93.822803352377207</v>
      </c>
      <c r="AJ6379">
        <v>103.76585324146799</v>
      </c>
      <c r="AK6379">
        <v>16.782790855695701</v>
      </c>
      <c r="AL6379">
        <v>82.542998905282701</v>
      </c>
      <c r="AM6379">
        <v>98.1504284734458</v>
      </c>
      <c r="AN6379">
        <v>0.99999997336124902</v>
      </c>
    </row>
    <row r="6380" spans="1:40" x14ac:dyDescent="0.25">
      <c r="A6380" t="str">
        <f>"20190312164628287"</f>
        <v>20190312164628287</v>
      </c>
      <c r="B6380" t="str">
        <f>"1552380388277178"</f>
        <v>1552380388277178</v>
      </c>
      <c r="C6380" t="s">
        <v>40</v>
      </c>
      <c r="D6380">
        <v>5.0383250000000004</v>
      </c>
      <c r="E6380">
        <v>0.4663236</v>
      </c>
      <c r="F6380" t="s">
        <v>42</v>
      </c>
      <c r="G6380">
        <v>-187.8656</v>
      </c>
      <c r="H6380" s="1">
        <v>-2.647542E-6</v>
      </c>
      <c r="I6380">
        <v>-25.078279999999999</v>
      </c>
      <c r="J6380">
        <v>-186.57210000000001</v>
      </c>
      <c r="K6380">
        <v>1.118655</v>
      </c>
      <c r="L6380">
        <v>-41.24042</v>
      </c>
      <c r="M6380">
        <v>0.14522360000000001</v>
      </c>
      <c r="N6380">
        <v>0</v>
      </c>
      <c r="O6380">
        <v>0.98928530000000003</v>
      </c>
      <c r="P6380">
        <v>2.2459300000000001E-2</v>
      </c>
      <c r="Q6380">
        <v>0.1200142</v>
      </c>
      <c r="R6380">
        <v>0.99251809999999996</v>
      </c>
      <c r="S6380">
        <v>-0.2238617</v>
      </c>
      <c r="T6380">
        <v>-0.2043643</v>
      </c>
      <c r="U6380">
        <v>3.0541079999999998</v>
      </c>
      <c r="V6380">
        <v>-0.12514439999999999</v>
      </c>
      <c r="W6380">
        <v>0.13179270000000001</v>
      </c>
      <c r="X6380">
        <v>0.9833461</v>
      </c>
      <c r="Y6380">
        <v>-0.2170194</v>
      </c>
      <c r="Z6380">
        <v>-6.4819699999999994E-2</v>
      </c>
      <c r="AA6380">
        <v>0.97401280000000001</v>
      </c>
      <c r="AB6380">
        <v>29</v>
      </c>
      <c r="AC6380">
        <v>-1.2934999999999901</v>
      </c>
      <c r="AD6380">
        <v>-1.118657647542</v>
      </c>
      <c r="AE6380">
        <v>16.162140000000001</v>
      </c>
      <c r="AF6380">
        <v>-3.6099880193315799</v>
      </c>
      <c r="AG6380">
        <v>-1.118657647542</v>
      </c>
      <c r="AH6380">
        <v>15.728028043107599</v>
      </c>
      <c r="AI6380">
        <v>93.965543316657701</v>
      </c>
      <c r="AJ6380">
        <v>102.92695655527</v>
      </c>
      <c r="AK6380">
        <v>16.1757310362438</v>
      </c>
      <c r="AL6380">
        <v>82.426802066798103</v>
      </c>
      <c r="AM6380">
        <v>97.252693483576707</v>
      </c>
      <c r="AN6380">
        <v>0.99999999450492905</v>
      </c>
    </row>
    <row r="6381" spans="1:40" x14ac:dyDescent="0.25">
      <c r="A6381" t="str">
        <f>"20190312164628309"</f>
        <v>20190312164628309</v>
      </c>
      <c r="B6381" t="str">
        <f>"1552380388297678"</f>
        <v>1552380388297678</v>
      </c>
      <c r="C6381" t="s">
        <v>40</v>
      </c>
      <c r="D6381">
        <v>4.9748950000000001</v>
      </c>
      <c r="E6381">
        <v>0.46575840000000002</v>
      </c>
      <c r="F6381" t="s">
        <v>42</v>
      </c>
      <c r="G6381">
        <v>-187.97409999999999</v>
      </c>
      <c r="H6381" s="1">
        <v>-3.1898130000000001E-6</v>
      </c>
      <c r="I6381">
        <v>-23.769369999999999</v>
      </c>
      <c r="J6381">
        <v>-186.54390000000001</v>
      </c>
      <c r="K6381">
        <v>1.1184959999999999</v>
      </c>
      <c r="L6381">
        <v>-40.9679</v>
      </c>
      <c r="M6381">
        <v>0.13389019999999999</v>
      </c>
      <c r="N6381">
        <v>0</v>
      </c>
      <c r="O6381">
        <v>0.99088330000000002</v>
      </c>
      <c r="P6381">
        <v>1.84688E-2</v>
      </c>
      <c r="Q6381">
        <v>0.1218254</v>
      </c>
      <c r="R6381">
        <v>0.99237969999999998</v>
      </c>
      <c r="S6381">
        <v>-0.2448883</v>
      </c>
      <c r="T6381">
        <v>-0.19540370000000001</v>
      </c>
      <c r="U6381">
        <v>3.0517880000000002</v>
      </c>
      <c r="V6381">
        <v>-0.1177853</v>
      </c>
      <c r="W6381">
        <v>0.13380690000000001</v>
      </c>
      <c r="X6381">
        <v>0.98398289999999999</v>
      </c>
      <c r="Y6381">
        <v>-0.21258340000000001</v>
      </c>
      <c r="Z6381">
        <v>-6.2204059999999999E-2</v>
      </c>
      <c r="AA6381">
        <v>0.97516099999999994</v>
      </c>
      <c r="AB6381">
        <v>29</v>
      </c>
      <c r="AC6381">
        <v>-1.4301999999999799</v>
      </c>
      <c r="AD6381">
        <v>-1.1184991898129999</v>
      </c>
      <c r="AE6381">
        <v>17.198529999999899</v>
      </c>
      <c r="AF6381">
        <v>-3.7047305223312001</v>
      </c>
      <c r="AG6381">
        <v>-1.1184991898129999</v>
      </c>
      <c r="AH6381">
        <v>16.781640981963299</v>
      </c>
      <c r="AI6381">
        <v>93.723735678962299</v>
      </c>
      <c r="AJ6381">
        <v>102.448996746612</v>
      </c>
      <c r="AK6381">
        <v>17.222065576701699</v>
      </c>
      <c r="AL6381">
        <v>82.310365679169706</v>
      </c>
      <c r="AM6381">
        <v>96.825974287360197</v>
      </c>
      <c r="AN6381">
        <v>1.00000000543805</v>
      </c>
    </row>
    <row r="6382" spans="1:40" x14ac:dyDescent="0.25">
      <c r="A6382" t="str">
        <f>"20190312164628332"</f>
        <v>20190312164628332</v>
      </c>
      <c r="B6382" t="str">
        <f>"1552380388327930"</f>
        <v>1552380388327930</v>
      </c>
      <c r="C6382" t="s">
        <v>40</v>
      </c>
      <c r="D6382">
        <v>5.012677</v>
      </c>
      <c r="E6382">
        <v>0.46574559999999998</v>
      </c>
      <c r="F6382" t="s">
        <v>42</v>
      </c>
      <c r="G6382">
        <v>-188.00540000000001</v>
      </c>
      <c r="H6382" s="1">
        <v>-3.1196499999999999E-6</v>
      </c>
      <c r="I6382">
        <v>-23.919989999999999</v>
      </c>
      <c r="J6382">
        <v>-186.5164</v>
      </c>
      <c r="K6382">
        <v>1.118293</v>
      </c>
      <c r="L6382">
        <v>-40.668030000000002</v>
      </c>
      <c r="M6382">
        <v>0.12168950000000001</v>
      </c>
      <c r="N6382">
        <v>0</v>
      </c>
      <c r="O6382">
        <v>0.99245609999999995</v>
      </c>
      <c r="P6382">
        <v>1.404379E-2</v>
      </c>
      <c r="Q6382">
        <v>0.1222328</v>
      </c>
      <c r="R6382">
        <v>0.99240209999999995</v>
      </c>
      <c r="S6382">
        <v>-0.26168819999999998</v>
      </c>
      <c r="T6382">
        <v>-0.20027139999999999</v>
      </c>
      <c r="U6382">
        <v>3.0524900000000001</v>
      </c>
      <c r="V6382">
        <v>-0.1099846</v>
      </c>
      <c r="W6382">
        <v>0.1344264</v>
      </c>
      <c r="X6382">
        <v>0.98480089999999998</v>
      </c>
      <c r="Y6382">
        <v>-0.2058606</v>
      </c>
      <c r="Z6382">
        <v>-6.3919459999999997E-2</v>
      </c>
      <c r="AA6382">
        <v>0.97649149999999996</v>
      </c>
      <c r="AB6382">
        <v>29</v>
      </c>
      <c r="AC6382">
        <v>-1.4890000000000001</v>
      </c>
      <c r="AD6382">
        <v>-1.1182961196500001</v>
      </c>
      <c r="AE6382">
        <v>16.74804</v>
      </c>
      <c r="AF6382">
        <v>-3.5007335375687498</v>
      </c>
      <c r="AG6382">
        <v>-1.1182961196500001</v>
      </c>
      <c r="AH6382">
        <v>16.369916178499199</v>
      </c>
      <c r="AI6382">
        <v>93.821887390767102</v>
      </c>
      <c r="AJ6382">
        <v>102.070976608704</v>
      </c>
      <c r="AK6382">
        <v>16.777362045428099</v>
      </c>
      <c r="AL6382">
        <v>82.274546843186101</v>
      </c>
      <c r="AM6382">
        <v>96.372504131387501</v>
      </c>
      <c r="AN6382">
        <v>0.99999994094746303</v>
      </c>
    </row>
    <row r="6383" spans="1:40" x14ac:dyDescent="0.25">
      <c r="A6383" t="str">
        <f>"20190312164628353"</f>
        <v>20190312164628353</v>
      </c>
      <c r="B6383" t="str">
        <f>"1552380388347450"</f>
        <v>1552380388347450</v>
      </c>
      <c r="C6383" t="s">
        <v>40</v>
      </c>
      <c r="D6383">
        <v>5.0256780000000001</v>
      </c>
      <c r="E6383">
        <v>0.46590969999999998</v>
      </c>
      <c r="F6383" t="s">
        <v>42</v>
      </c>
      <c r="G6383">
        <v>-188.00200000000001</v>
      </c>
      <c r="H6383" s="1">
        <v>-2.9701219999999999E-6</v>
      </c>
      <c r="I6383">
        <v>-24.269919999999999</v>
      </c>
      <c r="J6383">
        <v>-186.4948</v>
      </c>
      <c r="K6383">
        <v>1.1181049999999999</v>
      </c>
      <c r="L6383">
        <v>-40.402160000000002</v>
      </c>
      <c r="M6383">
        <v>0.1110618</v>
      </c>
      <c r="N6383">
        <v>0</v>
      </c>
      <c r="O6383">
        <v>0.99370210000000003</v>
      </c>
      <c r="P6383">
        <v>1.1994929999999999E-2</v>
      </c>
      <c r="Q6383">
        <v>0.12141739999999999</v>
      </c>
      <c r="R6383">
        <v>0.99252899999999999</v>
      </c>
      <c r="S6383">
        <v>-0.27655030000000003</v>
      </c>
      <c r="T6383">
        <v>-0.20817160000000001</v>
      </c>
      <c r="U6383">
        <v>3.052521</v>
      </c>
      <c r="V6383">
        <v>-0.10139239999999999</v>
      </c>
      <c r="W6383">
        <v>0.13383239999999999</v>
      </c>
      <c r="X6383">
        <v>0.98580350000000005</v>
      </c>
      <c r="Y6383">
        <v>-0.2000865</v>
      </c>
      <c r="Z6383">
        <v>-6.6582459999999996E-2</v>
      </c>
      <c r="AA6383">
        <v>0.97751330000000003</v>
      </c>
      <c r="AB6383">
        <v>29</v>
      </c>
      <c r="AC6383">
        <v>-1.5072000000000101</v>
      </c>
      <c r="AD6383">
        <v>-1.11810797012199</v>
      </c>
      <c r="AE6383">
        <v>16.1322399999999</v>
      </c>
      <c r="AF6383">
        <v>-3.2741555903113801</v>
      </c>
      <c r="AG6383">
        <v>-1.11810797012199</v>
      </c>
      <c r="AH6383">
        <v>15.789811312397999</v>
      </c>
      <c r="AI6383">
        <v>93.966370150279502</v>
      </c>
      <c r="AJ6383">
        <v>101.714761982168</v>
      </c>
      <c r="AK6383">
        <v>16.164417760734501</v>
      </c>
      <c r="AL6383">
        <v>82.308891607852004</v>
      </c>
      <c r="AM6383">
        <v>95.872367667455094</v>
      </c>
      <c r="AN6383">
        <v>1.0000000353398799</v>
      </c>
    </row>
    <row r="6384" spans="1:40" x14ac:dyDescent="0.25">
      <c r="A6384" t="str">
        <f>"20190312164628375"</f>
        <v>20190312164628375</v>
      </c>
      <c r="B6384" t="str">
        <f>"1552380388367946"</f>
        <v>1552380388367946</v>
      </c>
      <c r="C6384" t="s">
        <v>40</v>
      </c>
      <c r="D6384">
        <v>5.122655</v>
      </c>
      <c r="E6384">
        <v>0.46609810000000002</v>
      </c>
      <c r="F6384" t="s">
        <v>42</v>
      </c>
      <c r="G6384">
        <v>-187.95230000000001</v>
      </c>
      <c r="H6384" s="1">
        <v>-2.8007780000000002E-6</v>
      </c>
      <c r="I6384">
        <v>-24.68525</v>
      </c>
      <c r="J6384">
        <v>-186.4742</v>
      </c>
      <c r="K6384">
        <v>1.1179079999999999</v>
      </c>
      <c r="L6384">
        <v>-40.108730000000001</v>
      </c>
      <c r="M6384">
        <v>9.9575620000000004E-2</v>
      </c>
      <c r="N6384">
        <v>0</v>
      </c>
      <c r="O6384">
        <v>0.99491929999999995</v>
      </c>
      <c r="P6384">
        <v>9.0890780000000004E-3</v>
      </c>
      <c r="Q6384">
        <v>0.1214408</v>
      </c>
      <c r="R6384">
        <v>0.99255700000000002</v>
      </c>
      <c r="S6384">
        <v>-0.28306579999999998</v>
      </c>
      <c r="T6384">
        <v>-0.21715970000000001</v>
      </c>
      <c r="U6384">
        <v>3.0525509999999998</v>
      </c>
      <c r="V6384">
        <v>-9.2806949999999999E-2</v>
      </c>
      <c r="W6384">
        <v>0.1340682</v>
      </c>
      <c r="X6384">
        <v>0.98661670000000001</v>
      </c>
      <c r="Y6384">
        <v>-0.19080939999999999</v>
      </c>
      <c r="Z6384">
        <v>-6.9630650000000002E-2</v>
      </c>
      <c r="AA6384">
        <v>0.97915439999999998</v>
      </c>
      <c r="AB6384">
        <v>29</v>
      </c>
      <c r="AC6384">
        <v>-1.47810000000001</v>
      </c>
      <c r="AD6384">
        <v>-1.1179108007780001</v>
      </c>
      <c r="AE6384">
        <v>15.42348</v>
      </c>
      <c r="AF6384">
        <v>-2.9911529398054002</v>
      </c>
      <c r="AG6384">
        <v>-1.1179108007780001</v>
      </c>
      <c r="AH6384">
        <v>15.1208945626618</v>
      </c>
      <c r="AI6384">
        <v>94.148178014593995</v>
      </c>
      <c r="AJ6384">
        <v>101.189553887478</v>
      </c>
      <c r="AK6384">
        <v>15.454390083174999</v>
      </c>
      <c r="AL6384">
        <v>82.295257836877894</v>
      </c>
      <c r="AM6384">
        <v>95.373764380320907</v>
      </c>
      <c r="AN6384">
        <v>0.99999996246921496</v>
      </c>
    </row>
    <row r="6385" spans="1:40" x14ac:dyDescent="0.25">
      <c r="A6385" t="str">
        <f>"20190312164628399"</f>
        <v>20190312164628399</v>
      </c>
      <c r="B6385" t="str">
        <f>"1552380388388442"</f>
        <v>1552380388388442</v>
      </c>
      <c r="C6385" t="s">
        <v>40</v>
      </c>
      <c r="D6385">
        <v>5.0214879999999997</v>
      </c>
      <c r="E6385">
        <v>0.46645389999999998</v>
      </c>
      <c r="F6385" t="s">
        <v>42</v>
      </c>
      <c r="G6385">
        <v>-187.95529999999999</v>
      </c>
      <c r="H6385" s="1">
        <v>-2.8472949999999999E-6</v>
      </c>
      <c r="I6385">
        <v>-24.575530000000001</v>
      </c>
      <c r="J6385">
        <v>-186.45679999999999</v>
      </c>
      <c r="K6385">
        <v>1.1177029999999999</v>
      </c>
      <c r="L6385">
        <v>-39.819339999999997</v>
      </c>
      <c r="M6385">
        <v>8.8515280000000002E-2</v>
      </c>
      <c r="N6385">
        <v>0</v>
      </c>
      <c r="O6385">
        <v>0.99596479999999998</v>
      </c>
      <c r="P6385">
        <v>7.1151640000000002E-3</v>
      </c>
      <c r="Q6385">
        <v>0.1211454</v>
      </c>
      <c r="R6385">
        <v>0.99260930000000003</v>
      </c>
      <c r="S6385">
        <v>-0.29103089999999998</v>
      </c>
      <c r="T6385">
        <v>-0.21965209999999999</v>
      </c>
      <c r="U6385">
        <v>3.0520320000000001</v>
      </c>
      <c r="V6385">
        <v>-8.3716280000000004E-2</v>
      </c>
      <c r="W6385">
        <v>0.13398750000000001</v>
      </c>
      <c r="X6385">
        <v>0.9874406</v>
      </c>
      <c r="Y6385">
        <v>-0.18243870000000001</v>
      </c>
      <c r="Z6385">
        <v>-7.0598439999999998E-2</v>
      </c>
      <c r="AA6385">
        <v>0.98067930000000003</v>
      </c>
      <c r="AB6385">
        <v>29</v>
      </c>
      <c r="AC6385">
        <v>-1.4984999999999999</v>
      </c>
      <c r="AD6385">
        <v>-1.1177058472949899</v>
      </c>
      <c r="AE6385">
        <v>15.24381</v>
      </c>
      <c r="AF6385">
        <v>-2.8270219040328399</v>
      </c>
      <c r="AG6385">
        <v>-1.1177058472949899</v>
      </c>
      <c r="AH6385">
        <v>14.9715889267913</v>
      </c>
      <c r="AI6385">
        <v>94.195632386384702</v>
      </c>
      <c r="AJ6385">
        <v>100.69301919348</v>
      </c>
      <c r="AK6385">
        <v>15.2771003204069</v>
      </c>
      <c r="AL6385">
        <v>82.299924011036794</v>
      </c>
      <c r="AM6385">
        <v>94.846009442575294</v>
      </c>
      <c r="AN6385">
        <v>1.00000000211082</v>
      </c>
    </row>
    <row r="6386" spans="1:40" x14ac:dyDescent="0.25">
      <c r="A6386" t="str">
        <f>"20190312164628422"</f>
        <v>20190312164628422</v>
      </c>
      <c r="B6386" t="str">
        <f>"1552380388417722"</f>
        <v>1552380388417722</v>
      </c>
      <c r="C6386" t="s">
        <v>40</v>
      </c>
      <c r="D6386">
        <v>5.9146159999999997</v>
      </c>
      <c r="E6386">
        <v>0.4670549</v>
      </c>
      <c r="F6386" t="s">
        <v>42</v>
      </c>
      <c r="G6386">
        <v>-187.94319999999999</v>
      </c>
      <c r="H6386" s="1">
        <v>-2.9185149999999999E-6</v>
      </c>
      <c r="I6386">
        <v>-24.414549999999998</v>
      </c>
      <c r="J6386">
        <v>-186.4418</v>
      </c>
      <c r="K6386">
        <v>1.11748</v>
      </c>
      <c r="L6386">
        <v>-39.517060000000001</v>
      </c>
      <c r="M6386">
        <v>7.7266979999999999E-2</v>
      </c>
      <c r="N6386">
        <v>0</v>
      </c>
      <c r="O6386">
        <v>0.99690129999999999</v>
      </c>
      <c r="P6386">
        <v>4.0685970000000002E-3</v>
      </c>
      <c r="Q6386">
        <v>0.1194877</v>
      </c>
      <c r="R6386">
        <v>0.99282740000000003</v>
      </c>
      <c r="S6386">
        <v>-0.29443360000000002</v>
      </c>
      <c r="T6386">
        <v>-0.2214025</v>
      </c>
      <c r="U6386">
        <v>3.0514830000000002</v>
      </c>
      <c r="V6386">
        <v>-7.548821E-2</v>
      </c>
      <c r="W6386">
        <v>0.13251579999999999</v>
      </c>
      <c r="X6386">
        <v>0.98830209999999996</v>
      </c>
      <c r="Y6386">
        <v>-0.17242669999999999</v>
      </c>
      <c r="Z6386">
        <v>-7.1333740000000007E-2</v>
      </c>
      <c r="AA6386">
        <v>0.98243599999999998</v>
      </c>
      <c r="AB6386">
        <v>29</v>
      </c>
      <c r="AC6386">
        <v>-1.5013999999999801</v>
      </c>
      <c r="AD6386">
        <v>-1.1174829185149999</v>
      </c>
      <c r="AE6386">
        <v>15.102510000000001</v>
      </c>
      <c r="AF6386">
        <v>-2.64959825713541</v>
      </c>
      <c r="AG6386">
        <v>-1.1174829185149999</v>
      </c>
      <c r="AH6386">
        <v>14.860762686437401</v>
      </c>
      <c r="AI6386">
        <v>94.233850122061099</v>
      </c>
      <c r="AJ6386">
        <v>100.109316839573</v>
      </c>
      <c r="AK6386">
        <v>15.1364264811745</v>
      </c>
      <c r="AL6386">
        <v>82.385004734019702</v>
      </c>
      <c r="AM6386">
        <v>94.367868823649303</v>
      </c>
      <c r="AN6386">
        <v>0.99999997398152596</v>
      </c>
    </row>
    <row r="6387" spans="1:40" x14ac:dyDescent="0.25">
      <c r="A6387" t="str">
        <f>"20190312164628445"</f>
        <v>20190312164628445</v>
      </c>
      <c r="B6387" t="str">
        <f>"1552380388437242"</f>
        <v>1552380388437242</v>
      </c>
      <c r="C6387" t="s">
        <v>40</v>
      </c>
      <c r="D6387">
        <v>5.7441459999999998</v>
      </c>
      <c r="E6387">
        <v>0.46751350000000003</v>
      </c>
      <c r="F6387" t="s">
        <v>42</v>
      </c>
      <c r="G6387">
        <v>-187.90969999999999</v>
      </c>
      <c r="H6387" s="1">
        <v>-2.8496019999999998E-6</v>
      </c>
      <c r="I6387">
        <v>-24.589040000000001</v>
      </c>
      <c r="J6387">
        <v>-186.43029999999999</v>
      </c>
      <c r="K6387">
        <v>1.1172299999999999</v>
      </c>
      <c r="L6387">
        <v>-39.227449999999997</v>
      </c>
      <c r="M6387">
        <v>6.6796610000000006E-2</v>
      </c>
      <c r="N6387">
        <v>0</v>
      </c>
      <c r="O6387">
        <v>0.99765820000000005</v>
      </c>
      <c r="P6387">
        <v>1.8785500000000001E-3</v>
      </c>
      <c r="Q6387">
        <v>0.1173474</v>
      </c>
      <c r="R6387">
        <v>0.99308909999999995</v>
      </c>
      <c r="S6387">
        <v>-0.29994199999999999</v>
      </c>
      <c r="T6387">
        <v>-0.22834589999999999</v>
      </c>
      <c r="U6387">
        <v>3.0503849999999999</v>
      </c>
      <c r="V6387">
        <v>-6.7169989999999999E-2</v>
      </c>
      <c r="W6387">
        <v>0.13055410000000001</v>
      </c>
      <c r="X6387">
        <v>0.98916320000000002</v>
      </c>
      <c r="Y6387">
        <v>-0.1638539</v>
      </c>
      <c r="Z6387">
        <v>-7.3717469999999993E-2</v>
      </c>
      <c r="AA6387">
        <v>0.9837264</v>
      </c>
      <c r="AB6387">
        <v>29</v>
      </c>
      <c r="AC6387">
        <v>-1.4793999999999901</v>
      </c>
      <c r="AD6387">
        <v>-1.1172328496020001</v>
      </c>
      <c r="AE6387">
        <v>14.638409999999899</v>
      </c>
      <c r="AF6387">
        <v>-2.4399281502163701</v>
      </c>
      <c r="AG6387">
        <v>-1.1172328496020001</v>
      </c>
      <c r="AH6387">
        <v>14.4237107263521</v>
      </c>
      <c r="AI6387">
        <v>94.367375633153003</v>
      </c>
      <c r="AJ6387">
        <v>99.601313367815095</v>
      </c>
      <c r="AK6387">
        <v>14.671226592754</v>
      </c>
      <c r="AL6387">
        <v>82.498387264756602</v>
      </c>
      <c r="AM6387">
        <v>93.884756076217499</v>
      </c>
      <c r="AN6387">
        <v>1.0000000084088201</v>
      </c>
    </row>
    <row r="6388" spans="1:40" x14ac:dyDescent="0.25">
      <c r="A6388" t="str">
        <f>"20190312164628468"</f>
        <v>20190312164628468</v>
      </c>
      <c r="B6388" t="str">
        <f>"1552380388457336"</f>
        <v>1552380388457336</v>
      </c>
      <c r="C6388" t="s">
        <v>40</v>
      </c>
      <c r="D6388">
        <v>4.9281689999999996</v>
      </c>
      <c r="E6388">
        <v>0.46792319999999998</v>
      </c>
      <c r="F6388" t="s">
        <v>42</v>
      </c>
      <c r="G6388">
        <v>-187.89259999999999</v>
      </c>
      <c r="H6388" s="1">
        <v>-2.8767560000000002E-6</v>
      </c>
      <c r="I6388">
        <v>-24.532800000000002</v>
      </c>
      <c r="J6388">
        <v>-186.42160000000001</v>
      </c>
      <c r="K6388">
        <v>1.116962</v>
      </c>
      <c r="L6388">
        <v>-38.93732</v>
      </c>
      <c r="M6388">
        <v>5.6634740000000003E-2</v>
      </c>
      <c r="N6388">
        <v>0</v>
      </c>
      <c r="O6388">
        <v>0.99828740000000005</v>
      </c>
      <c r="P6388">
        <v>-1.7153329999999999E-4</v>
      </c>
      <c r="Q6388">
        <v>0.1155487</v>
      </c>
      <c r="R6388">
        <v>0.99330180000000001</v>
      </c>
      <c r="S6388">
        <v>-0.30339050000000001</v>
      </c>
      <c r="T6388">
        <v>-0.2318045</v>
      </c>
      <c r="U6388">
        <v>3.0488590000000002</v>
      </c>
      <c r="V6388">
        <v>-5.9015909999999998E-2</v>
      </c>
      <c r="W6388">
        <v>0.12892110000000001</v>
      </c>
      <c r="X6388">
        <v>0.98989720000000003</v>
      </c>
      <c r="Y6388">
        <v>-0.15494379999999999</v>
      </c>
      <c r="Z6388">
        <v>-7.4986380000000005E-2</v>
      </c>
      <c r="AA6388">
        <v>0.98507330000000004</v>
      </c>
      <c r="AB6388">
        <v>29</v>
      </c>
      <c r="AC6388">
        <v>-1.4709999999999701</v>
      </c>
      <c r="AD6388">
        <v>-1.1169648767560001</v>
      </c>
      <c r="AE6388">
        <v>14.4045199999999</v>
      </c>
      <c r="AF6388">
        <v>-2.2710080222049398</v>
      </c>
      <c r="AG6388">
        <v>-1.1169648767560001</v>
      </c>
      <c r="AH6388">
        <v>14.2134948682668</v>
      </c>
      <c r="AI6388">
        <v>94.437289792745801</v>
      </c>
      <c r="AJ6388">
        <v>99.077890986858307</v>
      </c>
      <c r="AK6388">
        <v>14.437053866460101</v>
      </c>
      <c r="AL6388">
        <v>82.592748708306203</v>
      </c>
      <c r="AM6388">
        <v>93.411834003572693</v>
      </c>
      <c r="AN6388">
        <v>0.99999999711308896</v>
      </c>
    </row>
    <row r="6389" spans="1:40" x14ac:dyDescent="0.25">
      <c r="A6389" t="str">
        <f>"20190312164628489"</f>
        <v>20190312164628489</v>
      </c>
      <c r="B6389" t="str">
        <f>"1552380388477832"</f>
        <v>1552380388477832</v>
      </c>
      <c r="C6389" t="s">
        <v>40</v>
      </c>
      <c r="D6389">
        <v>5.0474100000000002</v>
      </c>
      <c r="E6389">
        <v>0.46814460000000002</v>
      </c>
      <c r="F6389" t="s">
        <v>42</v>
      </c>
      <c r="G6389">
        <v>-187.8845</v>
      </c>
      <c r="H6389" s="1">
        <v>-2.933371E-6</v>
      </c>
      <c r="I6389">
        <v>-24.404170000000001</v>
      </c>
      <c r="J6389">
        <v>-186.41560000000001</v>
      </c>
      <c r="K6389">
        <v>1.1166940000000001</v>
      </c>
      <c r="L6389">
        <v>-38.65802</v>
      </c>
      <c r="M6389">
        <v>4.7200770000000003E-2</v>
      </c>
      <c r="N6389">
        <v>0</v>
      </c>
      <c r="O6389">
        <v>0.99877859999999996</v>
      </c>
      <c r="P6389">
        <v>-7.2646929999999998E-4</v>
      </c>
      <c r="Q6389">
        <v>0.1153936</v>
      </c>
      <c r="R6389">
        <v>0.99331959999999997</v>
      </c>
      <c r="S6389">
        <v>-0.3067627</v>
      </c>
      <c r="T6389">
        <v>-0.2342139</v>
      </c>
      <c r="U6389">
        <v>3.0474239999999999</v>
      </c>
      <c r="V6389">
        <v>-5.0109840000000003E-2</v>
      </c>
      <c r="W6389">
        <v>0.12893379999999999</v>
      </c>
      <c r="X6389">
        <v>0.99038630000000005</v>
      </c>
      <c r="Y6389">
        <v>-0.14672360000000001</v>
      </c>
      <c r="Z6389">
        <v>-7.5896669999999999E-2</v>
      </c>
      <c r="AA6389">
        <v>0.98626150000000001</v>
      </c>
      <c r="AB6389">
        <v>29</v>
      </c>
      <c r="AC6389">
        <v>-1.4688999999999901</v>
      </c>
      <c r="AD6389">
        <v>-1.116696933371</v>
      </c>
      <c r="AE6389">
        <v>14.25385</v>
      </c>
      <c r="AF6389">
        <v>-2.1272079551787799</v>
      </c>
      <c r="AG6389">
        <v>-1.116696933371</v>
      </c>
      <c r="AH6389">
        <v>14.083089390436299</v>
      </c>
      <c r="AI6389">
        <v>94.483053264107497</v>
      </c>
      <c r="AJ6389">
        <v>98.589423434594707</v>
      </c>
      <c r="AK6389">
        <v>14.2865472562336</v>
      </c>
      <c r="AL6389">
        <v>82.592014740991303</v>
      </c>
      <c r="AM6389">
        <v>92.896482037381702</v>
      </c>
      <c r="AN6389">
        <v>0.99999997203747704</v>
      </c>
    </row>
    <row r="6390" spans="1:40" x14ac:dyDescent="0.25">
      <c r="A6390" t="str">
        <f>"20190312164628512"</f>
        <v>20190312164628512</v>
      </c>
      <c r="B6390" t="str">
        <f>"1552380388507112"</f>
        <v>1552380388507112</v>
      </c>
      <c r="C6390" t="s">
        <v>40</v>
      </c>
      <c r="D6390">
        <v>4.9872120000000004</v>
      </c>
      <c r="E6390">
        <v>0.49617549999999999</v>
      </c>
      <c r="F6390" t="s">
        <v>42</v>
      </c>
      <c r="G6390">
        <v>-187.876</v>
      </c>
      <c r="H6390" s="1">
        <v>-3.0277740000000002E-6</v>
      </c>
      <c r="I6390">
        <v>-24.187639999999998</v>
      </c>
      <c r="J6390">
        <v>-186.41200000000001</v>
      </c>
      <c r="K6390">
        <v>1.1163780000000001</v>
      </c>
      <c r="L6390">
        <v>-38.354680000000002</v>
      </c>
      <c r="M6390">
        <v>3.7409999999999999E-2</v>
      </c>
      <c r="N6390">
        <v>0</v>
      </c>
      <c r="O6390">
        <v>0.99919409999999997</v>
      </c>
      <c r="P6390">
        <v>-9.2364149999999996E-4</v>
      </c>
      <c r="Q6390">
        <v>0.1164704</v>
      </c>
      <c r="R6390">
        <v>0.99319369999999996</v>
      </c>
      <c r="S6390">
        <v>-0.30754090000000001</v>
      </c>
      <c r="T6390">
        <v>-0.2351617</v>
      </c>
      <c r="U6390">
        <v>3.047272</v>
      </c>
      <c r="V6390">
        <v>-4.0493029999999999E-2</v>
      </c>
      <c r="W6390">
        <v>0.1301735</v>
      </c>
      <c r="X6390">
        <v>0.99066399999999999</v>
      </c>
      <c r="Y6390">
        <v>-0.13727439999999999</v>
      </c>
      <c r="Z6390">
        <v>-7.6304579999999997E-2</v>
      </c>
      <c r="AA6390">
        <v>0.98758970000000001</v>
      </c>
      <c r="AB6390">
        <v>29</v>
      </c>
      <c r="AC6390">
        <v>-1.46399999999997</v>
      </c>
      <c r="AD6390">
        <v>-1.1163810277740001</v>
      </c>
      <c r="AE6390">
        <v>14.16704</v>
      </c>
      <c r="AF6390">
        <v>-1.9808496397931299</v>
      </c>
      <c r="AG6390">
        <v>-1.1163810277740001</v>
      </c>
      <c r="AH6390">
        <v>14.0162307757166</v>
      </c>
      <c r="AI6390">
        <v>94.509325071798401</v>
      </c>
      <c r="AJ6390">
        <v>98.044077695522603</v>
      </c>
      <c r="AK6390">
        <v>14.1994646748667</v>
      </c>
      <c r="AL6390">
        <v>82.520381620081196</v>
      </c>
      <c r="AM6390">
        <v>92.340641158131007</v>
      </c>
      <c r="AN6390">
        <v>0.99999999323841504</v>
      </c>
    </row>
    <row r="6391" spans="1:40" x14ac:dyDescent="0.25">
      <c r="A6391" t="str">
        <f>"20190312164628533"</f>
        <v>20190312164628533</v>
      </c>
      <c r="B6391" t="str">
        <f>"1552380388527608"</f>
        <v>1552380388527608</v>
      </c>
      <c r="C6391" t="s">
        <v>40</v>
      </c>
      <c r="D6391">
        <v>5.0762049999999999</v>
      </c>
      <c r="E6391">
        <v>0.50385400000000002</v>
      </c>
      <c r="F6391" t="s">
        <v>42</v>
      </c>
      <c r="G6391">
        <v>-186.74959999999999</v>
      </c>
      <c r="H6391" s="1">
        <v>-2.014971E-6</v>
      </c>
      <c r="I6391">
        <v>-27.014250000000001</v>
      </c>
      <c r="J6391">
        <v>-186.41079999999999</v>
      </c>
      <c r="K6391">
        <v>1.116112</v>
      </c>
      <c r="L6391">
        <v>-38.088619999999999</v>
      </c>
      <c r="M6391">
        <v>2.9126450000000002E-2</v>
      </c>
      <c r="N6391">
        <v>0</v>
      </c>
      <c r="O6391">
        <v>0.99947050000000004</v>
      </c>
      <c r="P6391">
        <v>6.7862679999999896E-4</v>
      </c>
      <c r="Q6391">
        <v>0.1183795</v>
      </c>
      <c r="R6391">
        <v>0.99296819999999997</v>
      </c>
      <c r="S6391">
        <v>-9.0988159999999998E-2</v>
      </c>
      <c r="T6391">
        <v>-0.30081619999999998</v>
      </c>
      <c r="U6391">
        <v>3.0557560000000001</v>
      </c>
      <c r="V6391">
        <v>-3.0602810000000001E-2</v>
      </c>
      <c r="W6391">
        <v>0.13223599999999999</v>
      </c>
      <c r="X6391">
        <v>0.99074569999999995</v>
      </c>
      <c r="Y6391">
        <v>-5.8723919999999999E-2</v>
      </c>
      <c r="Z6391">
        <v>-9.7800570000000003E-2</v>
      </c>
      <c r="AA6391">
        <v>0.99347200000000002</v>
      </c>
      <c r="AB6391">
        <v>29</v>
      </c>
      <c r="AC6391">
        <v>-0.338799999999992</v>
      </c>
      <c r="AD6391">
        <v>-1.116114014971</v>
      </c>
      <c r="AE6391">
        <v>11.074369999999901</v>
      </c>
      <c r="AF6391">
        <v>-0.65460443789525802</v>
      </c>
      <c r="AG6391">
        <v>-1.116114014971</v>
      </c>
      <c r="AH6391">
        <v>10.948696060439</v>
      </c>
      <c r="AI6391">
        <v>95.810341030126807</v>
      </c>
      <c r="AJ6391">
        <v>93.421546878962204</v>
      </c>
      <c r="AK6391">
        <v>11.0248883390445</v>
      </c>
      <c r="AL6391">
        <v>82.401178374461793</v>
      </c>
      <c r="AM6391">
        <v>91.7692274862153</v>
      </c>
      <c r="AN6391">
        <v>0.99999996687219195</v>
      </c>
    </row>
    <row r="6392" spans="1:40" x14ac:dyDescent="0.25">
      <c r="A6392" t="str">
        <f>"20190312164628556"</f>
        <v>20190312164628556</v>
      </c>
      <c r="B6392" t="str">
        <f>"1552380388547088"</f>
        <v>1552380388547088</v>
      </c>
      <c r="C6392" t="s">
        <v>40</v>
      </c>
      <c r="D6392">
        <v>5.0285060000000001</v>
      </c>
      <c r="E6392">
        <v>0.5080017</v>
      </c>
      <c r="F6392" t="s">
        <v>41</v>
      </c>
      <c r="G6392">
        <v>-186.41839999999999</v>
      </c>
      <c r="H6392">
        <v>1.0281690000000001</v>
      </c>
      <c r="I6392">
        <v>-37.170439999999999</v>
      </c>
      <c r="J6392">
        <v>-186.4117</v>
      </c>
      <c r="K6392">
        <v>1.115826</v>
      </c>
      <c r="L6392">
        <v>-37.790309999999998</v>
      </c>
      <c r="M6392">
        <v>2.0226899999999999E-2</v>
      </c>
      <c r="N6392">
        <v>0</v>
      </c>
      <c r="O6392">
        <v>0.99969110000000005</v>
      </c>
      <c r="P6392">
        <v>6.0434119999999997E-3</v>
      </c>
      <c r="Q6392">
        <v>0.1200845</v>
      </c>
      <c r="R6392">
        <v>0.99274530000000005</v>
      </c>
      <c r="S6392">
        <v>-2.5787350000000001E-2</v>
      </c>
      <c r="T6392">
        <v>-0.29288180000000003</v>
      </c>
      <c r="U6392">
        <v>3.0561829999999999</v>
      </c>
      <c r="V6392">
        <v>-1.6327729999999999E-2</v>
      </c>
      <c r="W6392">
        <v>0.1341533</v>
      </c>
      <c r="X6392">
        <v>0.99082610000000004</v>
      </c>
      <c r="Y6392">
        <v>-2.8625560000000001E-2</v>
      </c>
      <c r="Z6392">
        <v>-9.5345050000000001E-2</v>
      </c>
      <c r="AA6392">
        <v>0.99503260000000004</v>
      </c>
      <c r="AB6392">
        <v>29</v>
      </c>
      <c r="AC6392">
        <v>-6.6999999999950398E-3</v>
      </c>
      <c r="AD6392">
        <v>-8.7656999999999805E-2</v>
      </c>
      <c r="AE6392">
        <v>0.61986999999999803</v>
      </c>
      <c r="AF6392">
        <v>-1.8860862484507999E-2</v>
      </c>
      <c r="AG6392">
        <v>-8.7656999999999805E-2</v>
      </c>
      <c r="AH6392">
        <v>0.60746143670332997</v>
      </c>
      <c r="AI6392">
        <v>98.207230152955006</v>
      </c>
      <c r="AJ6392">
        <v>91.778385752102906</v>
      </c>
      <c r="AK6392">
        <v>0.61404305945457305</v>
      </c>
      <c r="AL6392">
        <v>82.290338053271597</v>
      </c>
      <c r="AM6392">
        <v>90.944086304572096</v>
      </c>
      <c r="AN6392">
        <v>1.0000000315545201</v>
      </c>
    </row>
    <row r="6393" spans="1:40" x14ac:dyDescent="0.25">
      <c r="A6393" t="str">
        <f>"20190312164628589"</f>
        <v>20190312164628589</v>
      </c>
      <c r="B6393" t="str">
        <f>"1552380388578320"</f>
        <v>1552380388578320</v>
      </c>
      <c r="C6393" t="s">
        <v>40</v>
      </c>
      <c r="D6393">
        <v>5.0179220000000004</v>
      </c>
      <c r="E6393">
        <v>0.51105370000000006</v>
      </c>
      <c r="F6393" t="s">
        <v>41</v>
      </c>
      <c r="G6393">
        <v>-186.405</v>
      </c>
      <c r="H6393">
        <v>1.035323</v>
      </c>
      <c r="I6393">
        <v>-36.91207</v>
      </c>
      <c r="J6393">
        <v>-186.41640000000001</v>
      </c>
      <c r="K6393">
        <v>1.1153900000000001</v>
      </c>
      <c r="L6393">
        <v>-37.379820000000002</v>
      </c>
      <c r="M6393">
        <v>8.6560300000000003E-3</v>
      </c>
      <c r="N6393">
        <v>0</v>
      </c>
      <c r="O6393">
        <v>0.99985930000000001</v>
      </c>
      <c r="P6393">
        <v>9.3193229999999991E-3</v>
      </c>
      <c r="Q6393">
        <v>0.12051000000000001</v>
      </c>
      <c r="R6393">
        <v>0.99266840000000001</v>
      </c>
      <c r="S6393">
        <v>2.3071290000000001E-2</v>
      </c>
      <c r="T6393">
        <v>-0.28008749999999999</v>
      </c>
      <c r="U6393">
        <v>3.0556640000000002</v>
      </c>
      <c r="V6393">
        <v>-1.4248500000000001E-3</v>
      </c>
      <c r="W6393">
        <v>0.13475760000000001</v>
      </c>
      <c r="X6393">
        <v>0.99087760000000003</v>
      </c>
      <c r="Y6393">
        <v>-1.138355E-3</v>
      </c>
      <c r="Z6393">
        <v>-9.1272640000000002E-2</v>
      </c>
      <c r="AA6393">
        <v>0.99582530000000002</v>
      </c>
      <c r="AB6393">
        <v>29</v>
      </c>
      <c r="AC6393">
        <v>1.14000000000089E-2</v>
      </c>
      <c r="AD6393">
        <v>-8.0066999999999805E-2</v>
      </c>
      <c r="AE6393">
        <v>0.467750000000002</v>
      </c>
      <c r="AF6393">
        <v>7.1411787184331096E-3</v>
      </c>
      <c r="AG6393">
        <v>-8.0066999999999805E-2</v>
      </c>
      <c r="AH6393">
        <v>0.45452123051381799</v>
      </c>
      <c r="AI6393">
        <v>99.989334417265098</v>
      </c>
      <c r="AJ6393">
        <v>89.099875403029401</v>
      </c>
      <c r="AK6393">
        <v>0.46157477174373801</v>
      </c>
      <c r="AL6393">
        <v>82.2553969208453</v>
      </c>
      <c r="AM6393">
        <v>90.082389424455997</v>
      </c>
      <c r="AN6393">
        <v>1.0000000295685201</v>
      </c>
    </row>
    <row r="6394" spans="1:40" x14ac:dyDescent="0.25">
      <c r="A6394" t="str">
        <f>"20190312164628611"</f>
        <v>20190312164628611</v>
      </c>
      <c r="B6394" t="str">
        <f>"1552380388607600"</f>
        <v>1552380388607600</v>
      </c>
      <c r="C6394" t="s">
        <v>40</v>
      </c>
      <c r="D6394">
        <v>5.0341550000000002</v>
      </c>
      <c r="E6394">
        <v>0.51222089999999998</v>
      </c>
      <c r="F6394" t="s">
        <v>41</v>
      </c>
      <c r="G6394">
        <v>-186.40219999999999</v>
      </c>
      <c r="H6394">
        <v>1.0490569999999999</v>
      </c>
      <c r="I6394">
        <v>-36.638010000000001</v>
      </c>
      <c r="J6394">
        <v>-186.422</v>
      </c>
      <c r="K6394">
        <v>1.115054</v>
      </c>
      <c r="L6394">
        <v>-37.097659999999998</v>
      </c>
      <c r="M6394">
        <v>1.274079E-3</v>
      </c>
      <c r="N6394">
        <v>0</v>
      </c>
      <c r="O6394">
        <v>0.99989669999999997</v>
      </c>
      <c r="P6394">
        <v>1.2593790000000001E-2</v>
      </c>
      <c r="Q6394">
        <v>0.12023440000000001</v>
      </c>
      <c r="R6394">
        <v>0.99266560000000004</v>
      </c>
      <c r="S6394">
        <v>5.7723999999999998E-2</v>
      </c>
      <c r="T6394">
        <v>-0.27336909999999998</v>
      </c>
      <c r="U6394">
        <v>3.0548099999999998</v>
      </c>
      <c r="V6394">
        <v>9.2936149999999999E-3</v>
      </c>
      <c r="W6394">
        <v>0.13458800000000001</v>
      </c>
      <c r="X6394">
        <v>0.99085809999999996</v>
      </c>
      <c r="Y6394">
        <v>1.7543570000000001E-2</v>
      </c>
      <c r="Z6394">
        <v>-8.9117059999999998E-2</v>
      </c>
      <c r="AA6394">
        <v>0.99586669999999999</v>
      </c>
      <c r="AB6394">
        <v>29</v>
      </c>
      <c r="AC6394">
        <v>1.9800000000003599E-2</v>
      </c>
      <c r="AD6394">
        <v>-6.5997E-2</v>
      </c>
      <c r="AE6394">
        <v>0.459650000000003</v>
      </c>
      <c r="AF6394">
        <v>1.8826886674432702E-2</v>
      </c>
      <c r="AG6394">
        <v>-6.5997E-2</v>
      </c>
      <c r="AH6394">
        <v>0.45040669491489399</v>
      </c>
      <c r="AI6394">
        <v>98.328918899670199</v>
      </c>
      <c r="AJ6394">
        <v>87.606444186121394</v>
      </c>
      <c r="AK6394">
        <v>0.455605362671479</v>
      </c>
      <c r="AL6394">
        <v>82.265203685734306</v>
      </c>
      <c r="AM6394">
        <v>89.462618005458594</v>
      </c>
      <c r="AN6394">
        <v>1.00000003767968</v>
      </c>
    </row>
    <row r="6395" spans="1:40" x14ac:dyDescent="0.25">
      <c r="A6395" t="str">
        <f>"20190312164628632"</f>
        <v>20190312164628632</v>
      </c>
      <c r="B6395" t="str">
        <f>"1552380388627119"</f>
        <v>1552380388627119</v>
      </c>
      <c r="C6395" t="s">
        <v>40</v>
      </c>
      <c r="D6395">
        <v>5.0216310000000002</v>
      </c>
      <c r="E6395">
        <v>0.51294549999999905</v>
      </c>
      <c r="F6395" t="s">
        <v>41</v>
      </c>
      <c r="G6395">
        <v>-186.39789999999999</v>
      </c>
      <c r="H6395">
        <v>1.0305850000000001</v>
      </c>
      <c r="I6395">
        <v>-36.146120000000003</v>
      </c>
      <c r="J6395">
        <v>-186.42910000000001</v>
      </c>
      <c r="K6395">
        <v>1.1146830000000001</v>
      </c>
      <c r="L6395">
        <v>-36.822139999999997</v>
      </c>
      <c r="M6395">
        <v>-5.4648619999999896E-3</v>
      </c>
      <c r="N6395">
        <v>0</v>
      </c>
      <c r="O6395">
        <v>0.99988339999999998</v>
      </c>
      <c r="P6395">
        <v>1.5302960000000001E-2</v>
      </c>
      <c r="Q6395">
        <v>0.1185307</v>
      </c>
      <c r="R6395">
        <v>0.99283250000000001</v>
      </c>
      <c r="S6395">
        <v>7.7194209999999999E-2</v>
      </c>
      <c r="T6395">
        <v>-0.27116570000000001</v>
      </c>
      <c r="U6395">
        <v>3.0540159999999998</v>
      </c>
      <c r="V6395">
        <v>1.884042E-2</v>
      </c>
      <c r="W6395">
        <v>0.132955399999999</v>
      </c>
      <c r="X6395">
        <v>0.99094300000000002</v>
      </c>
      <c r="Y6395">
        <v>3.063258E-2</v>
      </c>
      <c r="Z6395">
        <v>-8.8405209999999998E-2</v>
      </c>
      <c r="AA6395">
        <v>0.99561350000000004</v>
      </c>
      <c r="AB6395">
        <v>29</v>
      </c>
      <c r="AC6395">
        <v>3.1200000000012499E-2</v>
      </c>
      <c r="AD6395">
        <v>-8.4098000000000006E-2</v>
      </c>
      <c r="AE6395">
        <v>0.67602000000000095</v>
      </c>
      <c r="AF6395">
        <v>3.4363592974403299E-2</v>
      </c>
      <c r="AG6395">
        <v>-8.4098000000000006E-2</v>
      </c>
      <c r="AH6395">
        <v>0.66556120370129002</v>
      </c>
      <c r="AI6395">
        <v>97.1920516179798</v>
      </c>
      <c r="AJ6395">
        <v>87.044385851154004</v>
      </c>
      <c r="AK6395">
        <v>0.67173286803492005</v>
      </c>
      <c r="AL6395">
        <v>82.359593345146195</v>
      </c>
      <c r="AM6395">
        <v>88.910788502600397</v>
      </c>
      <c r="AN6395">
        <v>1.00000006453196</v>
      </c>
    </row>
    <row r="6396" spans="1:40" x14ac:dyDescent="0.25">
      <c r="A6396" t="str">
        <f>"20190312164628659"</f>
        <v>20190312164628659</v>
      </c>
      <c r="B6396" t="str">
        <f>"1552380388647437"</f>
        <v>1552380388647437</v>
      </c>
      <c r="C6396" t="s">
        <v>40</v>
      </c>
      <c r="D6396">
        <v>5.0468060000000001</v>
      </c>
      <c r="E6396">
        <v>0.5132679</v>
      </c>
      <c r="F6396" t="s">
        <v>41</v>
      </c>
      <c r="G6396">
        <v>-186.40100000000001</v>
      </c>
      <c r="H6396">
        <v>1.030513</v>
      </c>
      <c r="I6396">
        <v>-35.889710000000001</v>
      </c>
      <c r="J6396">
        <v>-186.43960000000001</v>
      </c>
      <c r="K6396">
        <v>1.114236</v>
      </c>
      <c r="L6396">
        <v>-36.486719999999998</v>
      </c>
      <c r="M6396">
        <v>-1.3114260000000001E-2</v>
      </c>
      <c r="N6396">
        <v>0</v>
      </c>
      <c r="O6396">
        <v>0.99981330000000002</v>
      </c>
      <c r="P6396">
        <v>1.6060109999999999E-2</v>
      </c>
      <c r="Q6396">
        <v>0.11675000000000001</v>
      </c>
      <c r="R6396">
        <v>0.99303149999999996</v>
      </c>
      <c r="S6396">
        <v>9.1690060000000004E-2</v>
      </c>
      <c r="T6396">
        <v>-0.2756923</v>
      </c>
      <c r="U6396">
        <v>3.0531619999999999</v>
      </c>
      <c r="V6396">
        <v>2.736363E-2</v>
      </c>
      <c r="W6396">
        <v>0.13119900000000001</v>
      </c>
      <c r="X6396">
        <v>0.99097840000000004</v>
      </c>
      <c r="Y6396">
        <v>4.3003279999999998E-2</v>
      </c>
      <c r="Z6396">
        <v>-8.9858140000000003E-2</v>
      </c>
      <c r="AA6396">
        <v>0.99502579999999996</v>
      </c>
      <c r="AB6396">
        <v>29</v>
      </c>
      <c r="AC6396">
        <v>3.8600000000030797E-2</v>
      </c>
      <c r="AD6396">
        <v>-8.3722999999999895E-2</v>
      </c>
      <c r="AE6396">
        <v>0.59700999999999704</v>
      </c>
      <c r="AF6396">
        <v>4.55350275618642E-2</v>
      </c>
      <c r="AG6396">
        <v>-8.3722999999999895E-2</v>
      </c>
      <c r="AH6396">
        <v>0.58499548716348304</v>
      </c>
      <c r="AI6396">
        <v>98.120478120965998</v>
      </c>
      <c r="AJ6396">
        <v>85.549170945314302</v>
      </c>
      <c r="AK6396">
        <v>0.59270793774480601</v>
      </c>
      <c r="AL6396">
        <v>82.461117087843107</v>
      </c>
      <c r="AM6396">
        <v>88.418308386211095</v>
      </c>
      <c r="AN6396">
        <v>1.0000000675571601</v>
      </c>
    </row>
    <row r="6397" spans="1:40" x14ac:dyDescent="0.25">
      <c r="A6397" t="str">
        <f>"20190312164628679"</f>
        <v>20190312164628679</v>
      </c>
      <c r="B6397" t="str">
        <f>"1552380388667933"</f>
        <v>1552380388667933</v>
      </c>
      <c r="C6397" t="s">
        <v>40</v>
      </c>
      <c r="D6397">
        <v>5.0847610000000003</v>
      </c>
      <c r="E6397">
        <v>0.51325529999999997</v>
      </c>
      <c r="F6397" t="s">
        <v>41</v>
      </c>
      <c r="G6397">
        <v>-186.41220000000001</v>
      </c>
      <c r="H6397">
        <v>1.0350680000000001</v>
      </c>
      <c r="I6397">
        <v>-35.631180000000001</v>
      </c>
      <c r="J6397">
        <v>-186.44919999999999</v>
      </c>
      <c r="K6397">
        <v>1.113888</v>
      </c>
      <c r="L6397">
        <v>-36.221469999999997</v>
      </c>
      <c r="M6397">
        <v>-1.873029E-2</v>
      </c>
      <c r="N6397">
        <v>0</v>
      </c>
      <c r="O6397">
        <v>0.99972450000000002</v>
      </c>
      <c r="P6397">
        <v>1.9251890000000001E-2</v>
      </c>
      <c r="Q6397">
        <v>0.11592470000000001</v>
      </c>
      <c r="R6397">
        <v>0.99307140000000005</v>
      </c>
      <c r="S6397">
        <v>9.7442630000000002E-2</v>
      </c>
      <c r="T6397">
        <v>-0.28262500000000002</v>
      </c>
      <c r="U6397">
        <v>3.0527039999999999</v>
      </c>
      <c r="V6397">
        <v>3.6252270000000003E-2</v>
      </c>
      <c r="W6397">
        <v>0.1304071</v>
      </c>
      <c r="X6397">
        <v>0.9907975</v>
      </c>
      <c r="Y6397">
        <v>5.0485269999999999E-2</v>
      </c>
      <c r="Z6397">
        <v>-9.2081289999999996E-2</v>
      </c>
      <c r="AA6397">
        <v>0.99447079999999999</v>
      </c>
      <c r="AB6397">
        <v>29</v>
      </c>
      <c r="AC6397">
        <v>3.6999999999977697E-2</v>
      </c>
      <c r="AD6397">
        <v>-7.8819999999999807E-2</v>
      </c>
      <c r="AE6397">
        <v>0.59029000000000298</v>
      </c>
      <c r="AF6397">
        <v>4.7212431895296801E-2</v>
      </c>
      <c r="AG6397">
        <v>-7.8819999999999807E-2</v>
      </c>
      <c r="AH6397">
        <v>0.57920671765985599</v>
      </c>
      <c r="AI6397">
        <v>97.724054451840004</v>
      </c>
      <c r="AJ6397">
        <v>85.339995684373307</v>
      </c>
      <c r="AK6397">
        <v>0.58644865752065001</v>
      </c>
      <c r="AL6397">
        <v>82.506882023438493</v>
      </c>
      <c r="AM6397">
        <v>87.904540631760995</v>
      </c>
      <c r="AN6397">
        <v>0.99999996240840505</v>
      </c>
    </row>
    <row r="6398" spans="1:40" x14ac:dyDescent="0.25">
      <c r="A6398" t="str">
        <f>"20190312164628700"</f>
        <v>20190312164628700</v>
      </c>
      <c r="B6398" t="str">
        <f>"1552380388698189"</f>
        <v>1552380388698189</v>
      </c>
      <c r="C6398" t="s">
        <v>40</v>
      </c>
      <c r="D6398">
        <v>4.8719150000000004</v>
      </c>
      <c r="E6398">
        <v>0.53674639999999996</v>
      </c>
      <c r="F6398" t="s">
        <v>41</v>
      </c>
      <c r="G6398">
        <v>-186.4194</v>
      </c>
      <c r="H6398">
        <v>1.035067</v>
      </c>
      <c r="I6398">
        <v>-35.374879999999997</v>
      </c>
      <c r="J6398">
        <v>-186.4599</v>
      </c>
      <c r="K6398">
        <v>1.1135469999999901</v>
      </c>
      <c r="L6398">
        <v>-35.957700000000003</v>
      </c>
      <c r="M6398">
        <v>-2.3881570000000001E-2</v>
      </c>
      <c r="N6398">
        <v>0</v>
      </c>
      <c r="O6398">
        <v>0.99961540000000004</v>
      </c>
      <c r="P6398">
        <v>2.2740150000000001E-2</v>
      </c>
      <c r="Q6398">
        <v>0.11588850000000001</v>
      </c>
      <c r="R6398">
        <v>0.99300189999999999</v>
      </c>
      <c r="S6398">
        <v>0.1074066</v>
      </c>
      <c r="T6398">
        <v>-0.28420600000000001</v>
      </c>
      <c r="U6398">
        <v>3.0520320000000001</v>
      </c>
      <c r="V6398">
        <v>4.4962630000000003E-2</v>
      </c>
      <c r="W6398">
        <v>0.1303858</v>
      </c>
      <c r="X6398">
        <v>0.99044330000000003</v>
      </c>
      <c r="Y6398">
        <v>5.8878050000000001E-2</v>
      </c>
      <c r="Z6398">
        <v>-9.2570589999999994E-2</v>
      </c>
      <c r="AA6398">
        <v>0.99396379999999995</v>
      </c>
      <c r="AB6398">
        <v>29</v>
      </c>
      <c r="AC6398">
        <v>4.0500000000008599E-2</v>
      </c>
      <c r="AD6398">
        <v>-7.84799999999998E-2</v>
      </c>
      <c r="AE6398">
        <v>0.582820000000005</v>
      </c>
      <c r="AF6398">
        <v>5.3444087852044797E-2</v>
      </c>
      <c r="AG6398">
        <v>-7.84799999999998E-2</v>
      </c>
      <c r="AH6398">
        <v>0.57137596165029103</v>
      </c>
      <c r="AI6398">
        <v>97.787219193395899</v>
      </c>
      <c r="AJ6398">
        <v>84.656342999294097</v>
      </c>
      <c r="AK6398">
        <v>0.57921142122555902</v>
      </c>
      <c r="AL6398">
        <v>82.508113312318798</v>
      </c>
      <c r="AM6398">
        <v>87.400758398221598</v>
      </c>
      <c r="AN6398">
        <v>1.0000000127265201</v>
      </c>
    </row>
    <row r="6399" spans="1:40" x14ac:dyDescent="0.25">
      <c r="A6399" t="str">
        <f>"20190312164628723"</f>
        <v>20190312164628723</v>
      </c>
      <c r="B6399" t="str">
        <f>"1552380388717708"</f>
        <v>1552380388717708</v>
      </c>
      <c r="C6399" t="s">
        <v>40</v>
      </c>
      <c r="D6399">
        <v>4.8945730000000003</v>
      </c>
      <c r="E6399">
        <v>0.53640149999999998</v>
      </c>
      <c r="F6399" t="s">
        <v>41</v>
      </c>
      <c r="G6399">
        <v>-186.37289999999999</v>
      </c>
      <c r="H6399">
        <v>1.0495319999999999</v>
      </c>
      <c r="I6399">
        <v>-35.106679999999997</v>
      </c>
      <c r="J6399">
        <v>-186.47309999999999</v>
      </c>
      <c r="K6399">
        <v>1.1131439999999999</v>
      </c>
      <c r="L6399">
        <v>-35.657319999999999</v>
      </c>
      <c r="M6399">
        <v>-2.9205729999999999E-2</v>
      </c>
      <c r="N6399">
        <v>0</v>
      </c>
      <c r="O6399">
        <v>0.9994748</v>
      </c>
      <c r="P6399">
        <v>2.4858399999999999E-2</v>
      </c>
      <c r="Q6399">
        <v>0.1156763</v>
      </c>
      <c r="R6399">
        <v>0.99297590000000002</v>
      </c>
      <c r="S6399">
        <v>0.31050109999999997</v>
      </c>
      <c r="T6399">
        <v>-0.2287892</v>
      </c>
      <c r="U6399">
        <v>3.0407410000000001</v>
      </c>
      <c r="V6399">
        <v>5.2497599999999998E-2</v>
      </c>
      <c r="W6399">
        <v>0.13014609999999999</v>
      </c>
      <c r="X6399">
        <v>0.99010399999999998</v>
      </c>
      <c r="Y6399">
        <v>0.13031699999999999</v>
      </c>
      <c r="Z6399">
        <v>-7.4468610000000005E-2</v>
      </c>
      <c r="AA6399">
        <v>0.98867179999999999</v>
      </c>
      <c r="AB6399">
        <v>29</v>
      </c>
      <c r="AC6399">
        <v>0.1002</v>
      </c>
      <c r="AD6399">
        <v>-6.3612000000000196E-2</v>
      </c>
      <c r="AE6399">
        <v>0.55064000000000102</v>
      </c>
      <c r="AF6399">
        <v>0.114758232170059</v>
      </c>
      <c r="AG6399">
        <v>-6.3612000000000196E-2</v>
      </c>
      <c r="AH6399">
        <v>0.54049623858759599</v>
      </c>
      <c r="AI6399">
        <v>96.567294718093294</v>
      </c>
      <c r="AJ6399">
        <v>78.012961526400304</v>
      </c>
      <c r="AK6399">
        <v>0.55619432064894003</v>
      </c>
      <c r="AL6399">
        <v>82.521964804983298</v>
      </c>
      <c r="AM6399">
        <v>86.964887628165897</v>
      </c>
      <c r="AN6399">
        <v>0.99999996808348401</v>
      </c>
    </row>
    <row r="6400" spans="1:40" x14ac:dyDescent="0.25">
      <c r="A6400" t="str">
        <f>"20190312164628744"</f>
        <v>20190312164628744</v>
      </c>
      <c r="B6400" t="str">
        <f>"1552380388737229"</f>
        <v>1552380388737229</v>
      </c>
      <c r="C6400" t="s">
        <v>40</v>
      </c>
      <c r="D6400">
        <v>4.9190709999999997</v>
      </c>
      <c r="E6400">
        <v>0.53778090000000001</v>
      </c>
      <c r="F6400" t="s">
        <v>42</v>
      </c>
      <c r="G6400">
        <v>-184.92410000000001</v>
      </c>
      <c r="H6400" s="1">
        <v>-5.0600660000000004E-6</v>
      </c>
      <c r="I6400">
        <v>-20.670870000000001</v>
      </c>
      <c r="J6400">
        <v>-186.48560000000001</v>
      </c>
      <c r="K6400">
        <v>1.112768</v>
      </c>
      <c r="L6400">
        <v>-35.392910000000001</v>
      </c>
      <c r="M6400">
        <v>-3.3414010000000001E-2</v>
      </c>
      <c r="N6400">
        <v>0</v>
      </c>
      <c r="O6400">
        <v>0.9993436</v>
      </c>
      <c r="P6400">
        <v>2.711303E-2</v>
      </c>
      <c r="Q6400">
        <v>0.11478770000000001</v>
      </c>
      <c r="R6400">
        <v>0.99302000000000001</v>
      </c>
      <c r="S6400">
        <v>0.31417850000000003</v>
      </c>
      <c r="T6400">
        <v>-0.2257779</v>
      </c>
      <c r="U6400">
        <v>3.0396730000000001</v>
      </c>
      <c r="V6400">
        <v>5.9057289999999998E-2</v>
      </c>
      <c r="W6400">
        <v>0.129219899999999</v>
      </c>
      <c r="X6400">
        <v>0.98985579999999995</v>
      </c>
      <c r="Y6400">
        <v>0.1357159</v>
      </c>
      <c r="Z6400">
        <v>-7.3473479999999994E-2</v>
      </c>
      <c r="AA6400">
        <v>0.9880196</v>
      </c>
      <c r="AB6400">
        <v>29</v>
      </c>
      <c r="AC6400">
        <v>1.5614999999999899</v>
      </c>
      <c r="AD6400">
        <v>-1.112773060066</v>
      </c>
      <c r="AE6400">
        <v>14.72204</v>
      </c>
      <c r="AF6400">
        <v>2.0410672165899801</v>
      </c>
      <c r="AG6400">
        <v>-1.112773060066</v>
      </c>
      <c r="AH6400">
        <v>14.5792692209212</v>
      </c>
      <c r="AI6400">
        <v>94.322685098925902</v>
      </c>
      <c r="AJ6400">
        <v>82.030507066076794</v>
      </c>
      <c r="AK6400">
        <v>14.7634450682063</v>
      </c>
      <c r="AL6400">
        <v>82.575484531303402</v>
      </c>
      <c r="AM6400">
        <v>86.585636929158397</v>
      </c>
      <c r="AN6400">
        <v>1.0000000254258901</v>
      </c>
    </row>
    <row r="6401" spans="1:40" x14ac:dyDescent="0.25">
      <c r="A6401" t="str">
        <f>"20190312164628766"</f>
        <v>20190312164628766</v>
      </c>
      <c r="B6401" t="str">
        <f>"1552380388757725"</f>
        <v>1552380388757725</v>
      </c>
      <c r="C6401" t="s">
        <v>40</v>
      </c>
      <c r="D6401">
        <v>5.1598290000000002</v>
      </c>
      <c r="E6401">
        <v>0.53798880000000004</v>
      </c>
      <c r="F6401" t="s">
        <v>42</v>
      </c>
      <c r="G6401">
        <v>-184.84710000000001</v>
      </c>
      <c r="H6401" s="1">
        <v>-5.1811820000000004E-6</v>
      </c>
      <c r="I6401">
        <v>-20.42041</v>
      </c>
      <c r="J6401">
        <v>-186.50020000000001</v>
      </c>
      <c r="K6401">
        <v>1.1123449999999999</v>
      </c>
      <c r="L6401">
        <v>-35.100369999999998</v>
      </c>
      <c r="M6401">
        <v>-3.7580700000000002E-2</v>
      </c>
      <c r="N6401">
        <v>0</v>
      </c>
      <c r="O6401">
        <v>0.99919630000000004</v>
      </c>
      <c r="P6401">
        <v>2.851043E-2</v>
      </c>
      <c r="Q6401">
        <v>0.1137396</v>
      </c>
      <c r="R6401">
        <v>0.99310140000000002</v>
      </c>
      <c r="S6401">
        <v>0.33248899999999998</v>
      </c>
      <c r="T6401">
        <v>-0.2257962</v>
      </c>
      <c r="U6401">
        <v>3.038116</v>
      </c>
      <c r="V6401">
        <v>6.4733739999999998E-2</v>
      </c>
      <c r="W6401">
        <v>0.12810579999999999</v>
      </c>
      <c r="X6401">
        <v>0.98964560000000001</v>
      </c>
      <c r="Y6401">
        <v>0.14577970000000001</v>
      </c>
      <c r="Z6401">
        <v>-7.3424089999999997E-2</v>
      </c>
      <c r="AA6401">
        <v>0.98658869999999999</v>
      </c>
      <c r="AB6401">
        <v>29</v>
      </c>
      <c r="AC6401">
        <v>1.65309999999999</v>
      </c>
      <c r="AD6401">
        <v>-1.112350181182</v>
      </c>
      <c r="AE6401">
        <v>14.6799599999999</v>
      </c>
      <c r="AF6401">
        <v>2.19124511235256</v>
      </c>
      <c r="AG6401">
        <v>-1.112350181182</v>
      </c>
      <c r="AH6401">
        <v>14.5251041999795</v>
      </c>
      <c r="AI6401">
        <v>94.3304228634846</v>
      </c>
      <c r="AJ6401">
        <v>81.421097082690594</v>
      </c>
      <c r="AK6401">
        <v>14.731514860605801</v>
      </c>
      <c r="AL6401">
        <v>82.639852453074596</v>
      </c>
      <c r="AM6401">
        <v>86.257555335610505</v>
      </c>
      <c r="AN6401">
        <v>0.999999983343693</v>
      </c>
    </row>
    <row r="6402" spans="1:40" x14ac:dyDescent="0.25">
      <c r="A6402" t="str">
        <f>"20190312164628789"</f>
        <v>20190312164628789</v>
      </c>
      <c r="B6402" t="str">
        <f>"1552380388777244"</f>
        <v>1552380388777244</v>
      </c>
      <c r="C6402" t="s">
        <v>40</v>
      </c>
      <c r="D6402">
        <v>4.9110550000000002</v>
      </c>
      <c r="E6402">
        <v>0.53830540000000004</v>
      </c>
      <c r="F6402" t="s">
        <v>42</v>
      </c>
      <c r="G6402">
        <v>-184.84270000000001</v>
      </c>
      <c r="H6402" s="1">
        <v>-1.4172979999999999E-6</v>
      </c>
      <c r="I6402">
        <v>-20.21949</v>
      </c>
      <c r="J6402">
        <v>-186.5153</v>
      </c>
      <c r="K6402">
        <v>1.1119429999999999</v>
      </c>
      <c r="L6402">
        <v>-34.811340000000001</v>
      </c>
      <c r="M6402">
        <v>-4.1182789999999997E-2</v>
      </c>
      <c r="N6402">
        <v>0</v>
      </c>
      <c r="O6402">
        <v>0.99905489999999997</v>
      </c>
      <c r="P6402">
        <v>2.9854829999999999E-2</v>
      </c>
      <c r="Q6402">
        <v>0.11164489999999901</v>
      </c>
      <c r="R6402">
        <v>0.99329959999999995</v>
      </c>
      <c r="S6402">
        <v>0.33830260000000001</v>
      </c>
      <c r="T6402">
        <v>-0.22702629999999999</v>
      </c>
      <c r="U6402">
        <v>3.03714</v>
      </c>
      <c r="V6402">
        <v>6.9802359999999994E-2</v>
      </c>
      <c r="W6402">
        <v>0.12593669999999901</v>
      </c>
      <c r="X6402">
        <v>0.98957949999999995</v>
      </c>
      <c r="Y6402">
        <v>0.15124089999999901</v>
      </c>
      <c r="Z6402">
        <v>-7.3791330000000002E-2</v>
      </c>
      <c r="AA6402">
        <v>0.98573880000000003</v>
      </c>
      <c r="AB6402">
        <v>29</v>
      </c>
      <c r="AC6402">
        <v>1.6725999999999801</v>
      </c>
      <c r="AD6402">
        <v>-1.111944417298</v>
      </c>
      <c r="AE6402">
        <v>14.591850000000001</v>
      </c>
      <c r="AF6402">
        <v>2.2592229407623901</v>
      </c>
      <c r="AG6402">
        <v>-1.111944417298</v>
      </c>
      <c r="AH6402">
        <v>14.4278843502036</v>
      </c>
      <c r="AI6402">
        <v>94.354173760946097</v>
      </c>
      <c r="AJ6402">
        <v>81.100478526255898</v>
      </c>
      <c r="AK6402">
        <v>14.6459672096478</v>
      </c>
      <c r="AL6402">
        <v>82.765147800833503</v>
      </c>
      <c r="AM6402">
        <v>85.965187885684102</v>
      </c>
      <c r="AN6402">
        <v>1.00000000434435</v>
      </c>
    </row>
    <row r="6403" spans="1:40" x14ac:dyDescent="0.25">
      <c r="A6403" t="str">
        <f>"20190312164628812"</f>
        <v>20190312164628812</v>
      </c>
      <c r="B6403" t="str">
        <f>"1552380388807500"</f>
        <v>1552380388807500</v>
      </c>
      <c r="C6403" t="s">
        <v>40</v>
      </c>
      <c r="D6403">
        <v>6.0329280000000001</v>
      </c>
      <c r="E6403">
        <v>0.5385394</v>
      </c>
      <c r="F6403" t="s">
        <v>42</v>
      </c>
      <c r="G6403">
        <v>-184.79900000000001</v>
      </c>
      <c r="H6403" s="1">
        <v>-1.6001149999999999E-6</v>
      </c>
      <c r="I6403">
        <v>-19.716470000000001</v>
      </c>
      <c r="J6403">
        <v>-186.5309</v>
      </c>
      <c r="K6403">
        <v>1.1115600000000001</v>
      </c>
      <c r="L6403">
        <v>-34.52243</v>
      </c>
      <c r="M6403">
        <v>-4.4270320000000002E-2</v>
      </c>
      <c r="N6403">
        <v>0</v>
      </c>
      <c r="O6403">
        <v>0.99892349999999996</v>
      </c>
      <c r="P6403">
        <v>3.1348790000000001E-2</v>
      </c>
      <c r="Q6403">
        <v>0.1109747</v>
      </c>
      <c r="R6403">
        <v>0.99332869999999995</v>
      </c>
      <c r="S6403">
        <v>0.34509279999999998</v>
      </c>
      <c r="T6403">
        <v>-0.22356980000000001</v>
      </c>
      <c r="U6403">
        <v>3.0350039999999998</v>
      </c>
      <c r="V6403">
        <v>7.4481469999999994E-2</v>
      </c>
      <c r="W6403">
        <v>0.12518599999999999</v>
      </c>
      <c r="X6403">
        <v>0.98933360000000004</v>
      </c>
      <c r="Y6403">
        <v>0.1565569</v>
      </c>
      <c r="Z6403">
        <v>-7.2670589999999993E-2</v>
      </c>
      <c r="AA6403">
        <v>0.98499179999999997</v>
      </c>
      <c r="AB6403">
        <v>29</v>
      </c>
      <c r="AC6403">
        <v>1.73189999999999</v>
      </c>
      <c r="AD6403">
        <v>-1.1115616001149999</v>
      </c>
      <c r="AE6403">
        <v>14.805960000000001</v>
      </c>
      <c r="AF6403">
        <v>2.3725373867703601</v>
      </c>
      <c r="AG6403">
        <v>-1.1115616001149999</v>
      </c>
      <c r="AH6403">
        <v>14.6333972632062</v>
      </c>
      <c r="AI6403">
        <v>94.288098312734306</v>
      </c>
      <c r="AJ6403">
        <v>80.790674818242707</v>
      </c>
      <c r="AK6403">
        <v>14.866096269878099</v>
      </c>
      <c r="AL6403">
        <v>82.808502815900198</v>
      </c>
      <c r="AM6403">
        <v>85.694638431915294</v>
      </c>
      <c r="AN6403">
        <v>0.99999999802915995</v>
      </c>
    </row>
    <row r="6404" spans="1:40" x14ac:dyDescent="0.25">
      <c r="A6404" t="str">
        <f>"20190312164628834"</f>
        <v>20190312164628834</v>
      </c>
      <c r="B6404" t="str">
        <f>"1552380388827996"</f>
        <v>1552380388827996</v>
      </c>
      <c r="C6404" t="s">
        <v>40</v>
      </c>
      <c r="D6404">
        <v>4.8737550000000001</v>
      </c>
      <c r="E6404">
        <v>0.53862489999999996</v>
      </c>
      <c r="F6404" t="s">
        <v>42</v>
      </c>
      <c r="G6404">
        <v>-184.72800000000001</v>
      </c>
      <c r="H6404" s="1">
        <v>-1.8637250000000001E-6</v>
      </c>
      <c r="I6404">
        <v>-18.99729</v>
      </c>
      <c r="J6404">
        <v>-186.547</v>
      </c>
      <c r="K6404">
        <v>1.1112409999999999</v>
      </c>
      <c r="L6404">
        <v>-34.234099999999998</v>
      </c>
      <c r="M6404">
        <v>-4.6983549999999999E-2</v>
      </c>
      <c r="N6404">
        <v>0</v>
      </c>
      <c r="O6404">
        <v>0.99880000000000002</v>
      </c>
      <c r="P6404">
        <v>3.3335099999999999E-2</v>
      </c>
      <c r="Q6404">
        <v>0.1101645</v>
      </c>
      <c r="R6404">
        <v>0.99335419999999996</v>
      </c>
      <c r="S6404">
        <v>0.35224909999999998</v>
      </c>
      <c r="T6404">
        <v>-0.21717639999999999</v>
      </c>
      <c r="U6404">
        <v>3.0332949999999999</v>
      </c>
      <c r="V6404">
        <v>7.9261860000000003E-2</v>
      </c>
      <c r="W6404">
        <v>0.1243012</v>
      </c>
      <c r="X6404">
        <v>0.98907369999999994</v>
      </c>
      <c r="Y6404">
        <v>0.16161049999999999</v>
      </c>
      <c r="Z6404">
        <v>-7.0590769999999997E-2</v>
      </c>
      <c r="AA6404">
        <v>0.9843267</v>
      </c>
      <c r="AB6404">
        <v>29</v>
      </c>
      <c r="AC6404">
        <v>1.8190000000000099</v>
      </c>
      <c r="AD6404">
        <v>-1.111242863725</v>
      </c>
      <c r="AE6404">
        <v>15.236809999999901</v>
      </c>
      <c r="AF6404">
        <v>2.5197245825082701</v>
      </c>
      <c r="AG6404">
        <v>-1.111242863725</v>
      </c>
      <c r="AH6404">
        <v>15.055553773282</v>
      </c>
      <c r="AI6404">
        <v>94.163617332309698</v>
      </c>
      <c r="AJ6404">
        <v>80.498930386300998</v>
      </c>
      <c r="AK6404">
        <v>15.3053445597955</v>
      </c>
      <c r="AL6404">
        <v>82.859597288568295</v>
      </c>
      <c r="AM6404">
        <v>85.418252691600998</v>
      </c>
      <c r="AN6404">
        <v>1.00000000740189</v>
      </c>
    </row>
    <row r="6405" spans="1:40" x14ac:dyDescent="0.25">
      <c r="A6405" t="str">
        <f>"20190312164628858"</f>
        <v>20190312164628858</v>
      </c>
      <c r="B6405" t="str">
        <f>"1552380388847517"</f>
        <v>1552380388847517</v>
      </c>
      <c r="C6405" t="s">
        <v>40</v>
      </c>
      <c r="D6405">
        <v>4.8335670000000004</v>
      </c>
      <c r="E6405">
        <v>0.53883179999999997</v>
      </c>
      <c r="F6405" t="s">
        <v>42</v>
      </c>
      <c r="G6405">
        <v>-184.6935</v>
      </c>
      <c r="H6405" s="1">
        <v>-2.0149419999999999E-6</v>
      </c>
      <c r="I6405">
        <v>-18.579920000000001</v>
      </c>
      <c r="J6405">
        <v>-186.56399999999999</v>
      </c>
      <c r="K6405">
        <v>1.1109629999999999</v>
      </c>
      <c r="L6405">
        <v>-33.93582</v>
      </c>
      <c r="M6405">
        <v>-4.9437750000000003E-2</v>
      </c>
      <c r="N6405">
        <v>0</v>
      </c>
      <c r="O6405">
        <v>0.99868210000000002</v>
      </c>
      <c r="P6405">
        <v>3.4927989999999999E-2</v>
      </c>
      <c r="Q6405">
        <v>0.10952919999999999</v>
      </c>
      <c r="R6405">
        <v>0.99336970000000002</v>
      </c>
      <c r="S6405">
        <v>0.35897829999999997</v>
      </c>
      <c r="T6405">
        <v>-0.21522459999999999</v>
      </c>
      <c r="U6405">
        <v>3.0318909999999999</v>
      </c>
      <c r="V6405">
        <v>8.3377329999999999E-2</v>
      </c>
      <c r="W6405">
        <v>0.12359150000000001</v>
      </c>
      <c r="X6405">
        <v>0.98882420000000004</v>
      </c>
      <c r="Y6405">
        <v>0.166246</v>
      </c>
      <c r="Z6405">
        <v>-6.9942840000000006E-2</v>
      </c>
      <c r="AA6405">
        <v>0.98360069999999999</v>
      </c>
      <c r="AB6405">
        <v>29</v>
      </c>
      <c r="AC6405">
        <v>1.87050000000002</v>
      </c>
      <c r="AD6405">
        <v>-1.1109650149419901</v>
      </c>
      <c r="AE6405">
        <v>15.355899999999901</v>
      </c>
      <c r="AF6405">
        <v>2.6139636309002099</v>
      </c>
      <c r="AG6405">
        <v>-1.1109650149419901</v>
      </c>
      <c r="AH6405">
        <v>15.166413868820401</v>
      </c>
      <c r="AI6405">
        <v>94.128867771829704</v>
      </c>
      <c r="AJ6405">
        <v>80.221024427265107</v>
      </c>
      <c r="AK6405">
        <v>15.4300731938783</v>
      </c>
      <c r="AL6405">
        <v>82.900575815451006</v>
      </c>
      <c r="AM6405">
        <v>85.1802397375628</v>
      </c>
      <c r="AN6405">
        <v>0.99999996826790805</v>
      </c>
    </row>
    <row r="6406" spans="1:40" x14ac:dyDescent="0.25">
      <c r="A6406" t="str">
        <f>"20190312164628880"</f>
        <v>20190312164628880</v>
      </c>
      <c r="B6406" t="str">
        <f>"1552380388877773"</f>
        <v>1552380388877773</v>
      </c>
      <c r="C6406" t="s">
        <v>40</v>
      </c>
      <c r="D6406">
        <v>4.8850939999999996</v>
      </c>
      <c r="E6406">
        <v>0.53907590000000005</v>
      </c>
      <c r="F6406" t="s">
        <v>42</v>
      </c>
      <c r="G6406">
        <v>-184.62799999999999</v>
      </c>
      <c r="H6406" s="1">
        <v>-2.2638869999999999E-6</v>
      </c>
      <c r="I6406">
        <v>-17.899609999999999</v>
      </c>
      <c r="J6406">
        <v>-186.58070000000001</v>
      </c>
      <c r="K6406">
        <v>1.1107129999999901</v>
      </c>
      <c r="L6406">
        <v>-33.650910000000003</v>
      </c>
      <c r="M6406">
        <v>-5.1472539999999997E-2</v>
      </c>
      <c r="N6406">
        <v>0</v>
      </c>
      <c r="O6406">
        <v>0.99857969999999896</v>
      </c>
      <c r="P6406">
        <v>3.6778419999999999E-2</v>
      </c>
      <c r="Q6406">
        <v>0.1086459</v>
      </c>
      <c r="R6406">
        <v>0.9933999</v>
      </c>
      <c r="S6406">
        <v>0.36584470000000002</v>
      </c>
      <c r="T6406">
        <v>-0.20993490000000001</v>
      </c>
      <c r="U6406">
        <v>3.0303040000000001</v>
      </c>
      <c r="V6406">
        <v>8.7322830000000004E-2</v>
      </c>
      <c r="W6406">
        <v>0.1226404</v>
      </c>
      <c r="X6406">
        <v>0.98860210000000004</v>
      </c>
      <c r="Y6406">
        <v>0.17052529999999999</v>
      </c>
      <c r="Z6406">
        <v>-6.8222459999999999E-2</v>
      </c>
      <c r="AA6406">
        <v>0.98298869999999905</v>
      </c>
      <c r="AB6406">
        <v>29</v>
      </c>
      <c r="AC6406">
        <v>1.9527000000000201</v>
      </c>
      <c r="AD6406">
        <v>-1.1107152638869999</v>
      </c>
      <c r="AE6406">
        <v>15.751299999999899</v>
      </c>
      <c r="AF6406">
        <v>2.74749209209982</v>
      </c>
      <c r="AG6406">
        <v>-1.1107152638869999</v>
      </c>
      <c r="AH6406">
        <v>15.5537264557613</v>
      </c>
      <c r="AI6406">
        <v>94.022576769248204</v>
      </c>
      <c r="AJ6406">
        <v>79.9823146505273</v>
      </c>
      <c r="AK6406">
        <v>15.833534281841001</v>
      </c>
      <c r="AL6406">
        <v>82.955488012570299</v>
      </c>
      <c r="AM6406">
        <v>84.952187276512305</v>
      </c>
      <c r="AN6406">
        <v>1.00000002823788</v>
      </c>
    </row>
    <row r="6407" spans="1:40" x14ac:dyDescent="0.25">
      <c r="A6407" t="str">
        <f>"20190312164628902"</f>
        <v>20190312164628902</v>
      </c>
      <c r="B6407" t="str">
        <f>"1552380388897293"</f>
        <v>1552380388897293</v>
      </c>
      <c r="C6407" t="s">
        <v>40</v>
      </c>
      <c r="D6407">
        <v>4.8521269999999896</v>
      </c>
      <c r="E6407">
        <v>0.53860160000000001</v>
      </c>
      <c r="F6407" t="s">
        <v>42</v>
      </c>
      <c r="G6407">
        <v>-184.52959999999999</v>
      </c>
      <c r="H6407" s="1">
        <v>-2.5783459999999999E-6</v>
      </c>
      <c r="I6407">
        <v>-17.05246</v>
      </c>
      <c r="J6407">
        <v>-186.59719999999999</v>
      </c>
      <c r="K6407">
        <v>1.1104879999999999</v>
      </c>
      <c r="L6407">
        <v>-33.372709999999998</v>
      </c>
      <c r="M6407">
        <v>-5.3201739999999997E-2</v>
      </c>
      <c r="N6407">
        <v>0</v>
      </c>
      <c r="O6407">
        <v>0.99848950000000003</v>
      </c>
      <c r="P6407">
        <v>3.8510389999999999E-2</v>
      </c>
      <c r="Q6407">
        <v>0.10805099999999999</v>
      </c>
      <c r="R6407">
        <v>0.99339920000000004</v>
      </c>
      <c r="S6407">
        <v>0.3741913</v>
      </c>
      <c r="T6407">
        <v>-0.2026395</v>
      </c>
      <c r="U6407">
        <v>3.0282290000000001</v>
      </c>
      <c r="V6407">
        <v>9.0837550000000003E-2</v>
      </c>
      <c r="W6407">
        <v>0.1219783</v>
      </c>
      <c r="X6407">
        <v>0.98836729999999995</v>
      </c>
      <c r="Y6407">
        <v>0.17499890000000001</v>
      </c>
      <c r="Z6407">
        <v>-6.5860859999999993E-2</v>
      </c>
      <c r="AA6407">
        <v>0.98236330000000005</v>
      </c>
      <c r="AB6407">
        <v>29</v>
      </c>
      <c r="AC6407">
        <v>2.0675999999999899</v>
      </c>
      <c r="AD6407">
        <v>-1.110490578346</v>
      </c>
      <c r="AE6407">
        <v>16.320249999999898</v>
      </c>
      <c r="AF6407">
        <v>2.9197141494161101</v>
      </c>
      <c r="AG6407">
        <v>-1.110490578346</v>
      </c>
      <c r="AH6407">
        <v>16.113695319324702</v>
      </c>
      <c r="AI6407">
        <v>93.879388395449894</v>
      </c>
      <c r="AJ6407">
        <v>79.7297440893188</v>
      </c>
      <c r="AK6407">
        <v>16.413686267347799</v>
      </c>
      <c r="AL6407">
        <v>82.993710624901993</v>
      </c>
      <c r="AM6407">
        <v>84.748887481773394</v>
      </c>
      <c r="AN6407">
        <v>1.0000000429350899</v>
      </c>
    </row>
    <row r="6408" spans="1:40" x14ac:dyDescent="0.25">
      <c r="A6408" t="str">
        <f>"20190312164628924"</f>
        <v>20190312164628924</v>
      </c>
      <c r="B6408" t="str">
        <f>"1552380388917788"</f>
        <v>1552380388917788</v>
      </c>
      <c r="C6408" t="s">
        <v>40</v>
      </c>
      <c r="D6408">
        <v>4.9437350000000002</v>
      </c>
      <c r="E6408">
        <v>0.5385394</v>
      </c>
      <c r="F6408" t="s">
        <v>42</v>
      </c>
      <c r="G6408">
        <v>-184.6011</v>
      </c>
      <c r="H6408" s="1">
        <v>-2.4789449999999999E-6</v>
      </c>
      <c r="I6408">
        <v>-17.288709999999998</v>
      </c>
      <c r="J6408">
        <v>-186.6139</v>
      </c>
      <c r="K6408">
        <v>1.1102719999999999</v>
      </c>
      <c r="L6408">
        <v>-33.094540000000002</v>
      </c>
      <c r="M6408">
        <v>-5.4716140000000003E-2</v>
      </c>
      <c r="N6408">
        <v>0</v>
      </c>
      <c r="O6408">
        <v>0.99840799999999996</v>
      </c>
      <c r="P6408">
        <v>3.9713699999999998E-2</v>
      </c>
      <c r="Q6408">
        <v>0.1075065</v>
      </c>
      <c r="R6408">
        <v>0.99341089999999999</v>
      </c>
      <c r="S6408">
        <v>0.3758087</v>
      </c>
      <c r="T6408">
        <v>-0.20907000000000001</v>
      </c>
      <c r="U6408">
        <v>3.0281069999999999</v>
      </c>
      <c r="V6408">
        <v>9.3607070000000001E-2</v>
      </c>
      <c r="W6408">
        <v>0.1213668</v>
      </c>
      <c r="X6408">
        <v>0.98818410000000001</v>
      </c>
      <c r="Y6408">
        <v>0.17699619999999999</v>
      </c>
      <c r="Z6408">
        <v>-6.7920969999999997E-2</v>
      </c>
      <c r="AA6408">
        <v>0.98186510000000005</v>
      </c>
      <c r="AB6408">
        <v>29</v>
      </c>
      <c r="AC6408">
        <v>2.0127999999999902</v>
      </c>
      <c r="AD6408">
        <v>-1.1102744789450001</v>
      </c>
      <c r="AE6408">
        <v>15.805829999999901</v>
      </c>
      <c r="AF6408">
        <v>2.86080846331327</v>
      </c>
      <c r="AG6408">
        <v>-1.1102744789450001</v>
      </c>
      <c r="AH6408">
        <v>15.596275929751901</v>
      </c>
      <c r="AI6408">
        <v>94.005326034745806</v>
      </c>
      <c r="AJ6408">
        <v>79.605842184699</v>
      </c>
      <c r="AK6408">
        <v>15.8953061423591</v>
      </c>
      <c r="AL6408">
        <v>83.029008947881593</v>
      </c>
      <c r="AM6408">
        <v>84.588726822078002</v>
      </c>
      <c r="AN6408">
        <v>0.99999999959451702</v>
      </c>
    </row>
    <row r="6409" spans="1:40" x14ac:dyDescent="0.25">
      <c r="A6409" t="str">
        <f>"20190312164628946"</f>
        <v>20190312164628946</v>
      </c>
      <c r="B6409" t="str">
        <f>"1552380388937309"</f>
        <v>1552380388937309</v>
      </c>
      <c r="C6409" t="s">
        <v>40</v>
      </c>
      <c r="D6409">
        <v>5.1571629999999997</v>
      </c>
      <c r="E6409">
        <v>0.53870119999999999</v>
      </c>
      <c r="F6409" t="s">
        <v>42</v>
      </c>
      <c r="G6409">
        <v>-184.6138</v>
      </c>
      <c r="H6409" s="1">
        <v>-2.5358930000000002E-6</v>
      </c>
      <c r="I6409">
        <v>-17.11139</v>
      </c>
      <c r="J6409">
        <v>-186.63069999999999</v>
      </c>
      <c r="K6409">
        <v>1.110088</v>
      </c>
      <c r="L6409">
        <v>-32.819029999999998</v>
      </c>
      <c r="M6409">
        <v>-5.6041309999999997E-2</v>
      </c>
      <c r="N6409">
        <v>0</v>
      </c>
      <c r="O6409">
        <v>0.99833479999999997</v>
      </c>
      <c r="P6409">
        <v>4.1206109999999997E-2</v>
      </c>
      <c r="Q6409">
        <v>0.10692989999999999</v>
      </c>
      <c r="R6409">
        <v>0.99341230000000003</v>
      </c>
      <c r="S6409">
        <v>0.37886049999999999</v>
      </c>
      <c r="T6409">
        <v>-0.2103081</v>
      </c>
      <c r="U6409">
        <v>3.0275270000000001</v>
      </c>
      <c r="V6409">
        <v>9.6468330000000005E-2</v>
      </c>
      <c r="W6409">
        <v>0.1207297</v>
      </c>
      <c r="X6409">
        <v>0.9879869</v>
      </c>
      <c r="Y6409">
        <v>0.17929619999999999</v>
      </c>
      <c r="Z6409">
        <v>-6.8307980000000004E-2</v>
      </c>
      <c r="AA6409">
        <v>0.98142090000000004</v>
      </c>
      <c r="AB6409">
        <v>29</v>
      </c>
      <c r="AC6409">
        <v>2.0168999999999899</v>
      </c>
      <c r="AD6409">
        <v>-1.110090535893</v>
      </c>
      <c r="AE6409">
        <v>15.7076399999999</v>
      </c>
      <c r="AF6409">
        <v>2.8799381459648798</v>
      </c>
      <c r="AG6409">
        <v>-1.110090535893</v>
      </c>
      <c r="AH6409">
        <v>15.4937807135657</v>
      </c>
      <c r="AI6409">
        <v>94.029313458799905</v>
      </c>
      <c r="AJ6409">
        <v>79.470201541584402</v>
      </c>
      <c r="AK6409">
        <v>15.798214630853799</v>
      </c>
      <c r="AL6409">
        <v>83.065782201648602</v>
      </c>
      <c r="AM6409">
        <v>84.423243104686094</v>
      </c>
      <c r="AN6409">
        <v>0.99999995686334298</v>
      </c>
    </row>
    <row r="6410" spans="1:40" x14ac:dyDescent="0.25">
      <c r="A6410" t="str">
        <f>"20190312164628968"</f>
        <v>20190312164628968</v>
      </c>
      <c r="B6410" t="str">
        <f>"1552380388957805"</f>
        <v>1552380388957805</v>
      </c>
      <c r="C6410" t="s">
        <v>40</v>
      </c>
      <c r="D6410">
        <v>5.4133940000000003</v>
      </c>
      <c r="E6410">
        <v>0.53868629999999995</v>
      </c>
      <c r="F6410" t="s">
        <v>42</v>
      </c>
      <c r="G6410">
        <v>-184.57560000000001</v>
      </c>
      <c r="H6410" s="1">
        <v>-2.7014469999999999E-6</v>
      </c>
      <c r="I6410">
        <v>-16.65475</v>
      </c>
      <c r="J6410">
        <v>-186.64830000000001</v>
      </c>
      <c r="K6410">
        <v>1.109934</v>
      </c>
      <c r="L6410">
        <v>-32.532960000000003</v>
      </c>
      <c r="M6410">
        <v>-5.7276779999999999E-2</v>
      </c>
      <c r="N6410">
        <v>0</v>
      </c>
      <c r="O6410">
        <v>0.99826499999999996</v>
      </c>
      <c r="P6410">
        <v>4.2486700000000002E-2</v>
      </c>
      <c r="Q6410">
        <v>0.1066875</v>
      </c>
      <c r="R6410">
        <v>0.99338439999999995</v>
      </c>
      <c r="S6410">
        <v>0.38475039999999999</v>
      </c>
      <c r="T6410">
        <v>-0.2078332</v>
      </c>
      <c r="U6410">
        <v>3.0263059999999999</v>
      </c>
      <c r="V6410">
        <v>9.9015820000000004E-2</v>
      </c>
      <c r="W6410">
        <v>0.120432399999999</v>
      </c>
      <c r="X6410">
        <v>0.98777119999999996</v>
      </c>
      <c r="Y6410">
        <v>0.18244850000000001</v>
      </c>
      <c r="Z6410">
        <v>-6.7499649999999994E-2</v>
      </c>
      <c r="AA6410">
        <v>0.98089570000000004</v>
      </c>
      <c r="AB6410">
        <v>29</v>
      </c>
      <c r="AC6410">
        <v>2.07269999999999</v>
      </c>
      <c r="AD6410">
        <v>-1.1099367014470001</v>
      </c>
      <c r="AE6410">
        <v>15.8782099999999</v>
      </c>
      <c r="AF6410">
        <v>2.9645905790484299</v>
      </c>
      <c r="AG6410">
        <v>-1.1099367014470001</v>
      </c>
      <c r="AH6410">
        <v>15.6581788817846</v>
      </c>
      <c r="AI6410">
        <v>93.984108230513002</v>
      </c>
      <c r="AJ6410">
        <v>79.278990706525903</v>
      </c>
      <c r="AK6410">
        <v>15.9749592386512</v>
      </c>
      <c r="AL6410">
        <v>83.082941876170196</v>
      </c>
      <c r="AM6410">
        <v>84.275698457745193</v>
      </c>
      <c r="AN6410">
        <v>1.0000000195647301</v>
      </c>
    </row>
    <row r="6411" spans="1:40" x14ac:dyDescent="0.25">
      <c r="A6411" t="str">
        <f>"20190312164628993"</f>
        <v>20190312164628993</v>
      </c>
      <c r="B6411" t="str">
        <f>"1552380388987084"</f>
        <v>1552380388987084</v>
      </c>
      <c r="C6411" t="s">
        <v>40</v>
      </c>
      <c r="D6411">
        <v>4.9061110000000001</v>
      </c>
      <c r="E6411">
        <v>0.45552949999999998</v>
      </c>
      <c r="F6411" t="s">
        <v>42</v>
      </c>
      <c r="G6411">
        <v>-184.57740000000001</v>
      </c>
      <c r="H6411" s="1">
        <v>-2.7969299999999998E-6</v>
      </c>
      <c r="I6411">
        <v>-16.372820000000001</v>
      </c>
      <c r="J6411">
        <v>-186.66759999999999</v>
      </c>
      <c r="K6411">
        <v>1.109828</v>
      </c>
      <c r="L6411">
        <v>-32.223019999999998</v>
      </c>
      <c r="M6411">
        <v>-5.8497279999999999E-2</v>
      </c>
      <c r="N6411">
        <v>0</v>
      </c>
      <c r="O6411">
        <v>0.99819449999999998</v>
      </c>
      <c r="P6411">
        <v>4.2818290000000002E-2</v>
      </c>
      <c r="Q6411">
        <v>0.1065784</v>
      </c>
      <c r="R6411">
        <v>0.99338190000000004</v>
      </c>
      <c r="S6411">
        <v>0.38774110000000001</v>
      </c>
      <c r="T6411">
        <v>-0.2078178</v>
      </c>
      <c r="U6411">
        <v>3.0257260000000001</v>
      </c>
      <c r="V6411">
        <v>0.10058739999999999</v>
      </c>
      <c r="W6411">
        <v>0.1202795</v>
      </c>
      <c r="X6411">
        <v>0.98763100000000004</v>
      </c>
      <c r="Y6411">
        <v>0.18462770000000001</v>
      </c>
      <c r="Z6411">
        <v>-6.7482109999999998E-2</v>
      </c>
      <c r="AA6411">
        <v>0.98048900000000005</v>
      </c>
      <c r="AB6411">
        <v>29</v>
      </c>
      <c r="AC6411">
        <v>2.0901999999999799</v>
      </c>
      <c r="AD6411">
        <v>-1.1098307969299901</v>
      </c>
      <c r="AE6411">
        <v>15.8501999999999</v>
      </c>
      <c r="AF6411">
        <v>2.9994454358380498</v>
      </c>
      <c r="AG6411">
        <v>-1.1098307969299901</v>
      </c>
      <c r="AH6411">
        <v>15.625471117766701</v>
      </c>
      <c r="AI6411">
        <v>93.990118788763397</v>
      </c>
      <c r="AJ6411">
        <v>79.133755754924593</v>
      </c>
      <c r="AK6411">
        <v>15.949412057268701</v>
      </c>
      <c r="AL6411">
        <v>83.091766327507003</v>
      </c>
      <c r="AM6411">
        <v>84.184640250313706</v>
      </c>
      <c r="AN6411">
        <v>0.99999998766000497</v>
      </c>
    </row>
    <row r="6412" spans="1:40" x14ac:dyDescent="0.25">
      <c r="A6412" t="str">
        <f>"20190312164629012"</f>
        <v>20190312164629012</v>
      </c>
      <c r="B6412" t="str">
        <f>"1552380389007582"</f>
        <v>1552380389007582</v>
      </c>
      <c r="C6412" t="s">
        <v>40</v>
      </c>
      <c r="D6412">
        <v>4.8805199999999997</v>
      </c>
      <c r="E6412">
        <v>0.45451930000000001</v>
      </c>
      <c r="F6412" t="s">
        <v>42</v>
      </c>
      <c r="G6412">
        <v>-188.58240000000001</v>
      </c>
      <c r="H6412" s="1">
        <v>-4.3494609999999996E-6</v>
      </c>
      <c r="I6412">
        <v>-10.81465</v>
      </c>
      <c r="J6412">
        <v>-186.6832</v>
      </c>
      <c r="K6412">
        <v>1.1097669999999999</v>
      </c>
      <c r="L6412">
        <v>-31.975249999999999</v>
      </c>
      <c r="M6412">
        <v>-5.9429509999999998E-2</v>
      </c>
      <c r="N6412">
        <v>0</v>
      </c>
      <c r="O6412">
        <v>0.99813969999999996</v>
      </c>
      <c r="P6412">
        <v>4.2766529999999997E-2</v>
      </c>
      <c r="Q6412">
        <v>0.1056202</v>
      </c>
      <c r="R6412">
        <v>0.99348650000000005</v>
      </c>
      <c r="S6412">
        <v>-0.27268979999999998</v>
      </c>
      <c r="T6412">
        <v>-0.1580482</v>
      </c>
      <c r="U6412">
        <v>3.0487060000000001</v>
      </c>
      <c r="V6412">
        <v>0.10148219999999999</v>
      </c>
      <c r="W6412">
        <v>0.11929720000000001</v>
      </c>
      <c r="X6412">
        <v>0.98765860000000005</v>
      </c>
      <c r="Y6412">
        <v>-2.9614100000000001E-2</v>
      </c>
      <c r="Z6412">
        <v>-5.1520620000000003E-2</v>
      </c>
      <c r="AA6412">
        <v>0.99823280000000003</v>
      </c>
      <c r="AB6412">
        <v>29</v>
      </c>
      <c r="AC6412">
        <v>-1.8992</v>
      </c>
      <c r="AD6412">
        <v>-1.109771349461</v>
      </c>
      <c r="AE6412">
        <v>21.160599999999999</v>
      </c>
      <c r="AF6412">
        <v>-0.63642545093789904</v>
      </c>
      <c r="AG6412">
        <v>-1.109771349461</v>
      </c>
      <c r="AH6412">
        <v>21.178285470289701</v>
      </c>
      <c r="AI6412">
        <v>92.998283228930603</v>
      </c>
      <c r="AJ6412">
        <v>91.7212687894705</v>
      </c>
      <c r="AK6412">
        <v>21.216889622745601</v>
      </c>
      <c r="AL6412">
        <v>83.148456151035703</v>
      </c>
      <c r="AM6412">
        <v>84.1334303446652</v>
      </c>
      <c r="AN6412">
        <v>0.99999998449931904</v>
      </c>
    </row>
    <row r="6413" spans="1:40" x14ac:dyDescent="0.25">
      <c r="A6413" t="str">
        <f>"20190312164629034"</f>
        <v>20190312164629034</v>
      </c>
      <c r="B6413" t="str">
        <f>"1552380389027101"</f>
        <v>1552380389027101</v>
      </c>
      <c r="C6413" t="s">
        <v>40</v>
      </c>
      <c r="D6413">
        <v>4.8696140000000003</v>
      </c>
      <c r="E6413">
        <v>0.4549588</v>
      </c>
      <c r="F6413" t="s">
        <v>42</v>
      </c>
      <c r="G6413">
        <v>-188.4205</v>
      </c>
      <c r="H6413" s="1">
        <v>-3.3030890000000001E-6</v>
      </c>
      <c r="I6413">
        <v>-13.32075</v>
      </c>
      <c r="J6413">
        <v>-186.70140000000001</v>
      </c>
      <c r="K6413">
        <v>1.1097300000000001</v>
      </c>
      <c r="L6413">
        <v>-31.69107</v>
      </c>
      <c r="M6413">
        <v>-6.048133E-2</v>
      </c>
      <c r="N6413">
        <v>0</v>
      </c>
      <c r="O6413">
        <v>0.99807670000000004</v>
      </c>
      <c r="P6413">
        <v>4.2942719999999997E-2</v>
      </c>
      <c r="Q6413">
        <v>0.1051318</v>
      </c>
      <c r="R6413">
        <v>0.99353069999999999</v>
      </c>
      <c r="S6413">
        <v>-0.28414919999999999</v>
      </c>
      <c r="T6413">
        <v>-0.18151870000000001</v>
      </c>
      <c r="U6413">
        <v>3.0512079999999999</v>
      </c>
      <c r="V6413">
        <v>0.1027122</v>
      </c>
      <c r="W6413">
        <v>0.1187882</v>
      </c>
      <c r="X6413">
        <v>0.98759280000000005</v>
      </c>
      <c r="Y6413">
        <v>-3.21672E-2</v>
      </c>
      <c r="Z6413">
        <v>-5.9080309999999997E-2</v>
      </c>
      <c r="AA6413">
        <v>0.99773480000000003</v>
      </c>
      <c r="AB6413">
        <v>29</v>
      </c>
      <c r="AC6413">
        <v>-1.7190999999999901</v>
      </c>
      <c r="AD6413">
        <v>-1.109733303089</v>
      </c>
      <c r="AE6413">
        <v>18.37032</v>
      </c>
      <c r="AF6413">
        <v>-0.60260820876186305</v>
      </c>
      <c r="AG6413">
        <v>-1.109733303089</v>
      </c>
      <c r="AH6413">
        <v>18.374196855369799</v>
      </c>
      <c r="AI6413">
        <v>93.454401276604401</v>
      </c>
      <c r="AJ6413">
        <v>91.878424194343395</v>
      </c>
      <c r="AK6413">
        <v>18.417539323621199</v>
      </c>
      <c r="AL6413">
        <v>83.177828574067505</v>
      </c>
      <c r="AM6413">
        <v>84.062437612669896</v>
      </c>
      <c r="AN6413">
        <v>0.99999998554995995</v>
      </c>
    </row>
    <row r="6414" spans="1:40" x14ac:dyDescent="0.25">
      <c r="A6414" t="str">
        <f>"20190312164629059"</f>
        <v>20190312164629059</v>
      </c>
      <c r="B6414" t="str">
        <f>"1552380389047596"</f>
        <v>1552380389047596</v>
      </c>
      <c r="C6414" t="s">
        <v>40</v>
      </c>
      <c r="D6414">
        <v>4.8530769999999999</v>
      </c>
      <c r="E6414">
        <v>0.45547860000000001</v>
      </c>
      <c r="F6414" t="s">
        <v>42</v>
      </c>
      <c r="G6414">
        <v>-188.26599999999999</v>
      </c>
      <c r="H6414" s="1">
        <v>-2.7067529999999998E-6</v>
      </c>
      <c r="I6414">
        <v>-14.774679999999901</v>
      </c>
      <c r="J6414">
        <v>-186.72149999999999</v>
      </c>
      <c r="K6414">
        <v>1.1097079999999999</v>
      </c>
      <c r="L6414">
        <v>-31.382809999999999</v>
      </c>
      <c r="M6414">
        <v>-6.162811E-2</v>
      </c>
      <c r="N6414">
        <v>0</v>
      </c>
      <c r="O6414">
        <v>0.99800670000000002</v>
      </c>
      <c r="P6414">
        <v>4.2237629999999998E-2</v>
      </c>
      <c r="Q6414">
        <v>0.10387299999999999</v>
      </c>
      <c r="R6414">
        <v>0.9936933</v>
      </c>
      <c r="S6414">
        <v>-0.2823639</v>
      </c>
      <c r="T6414">
        <v>-0.2002746</v>
      </c>
      <c r="U6414">
        <v>3.0529169999999999</v>
      </c>
      <c r="V6414">
        <v>0.1031619</v>
      </c>
      <c r="W6414">
        <v>0.1175141</v>
      </c>
      <c r="X6414">
        <v>0.98769839999999998</v>
      </c>
      <c r="Y6414">
        <v>-3.0353990000000001E-2</v>
      </c>
      <c r="Z6414">
        <v>-6.5120720000000007E-2</v>
      </c>
      <c r="AA6414">
        <v>0.99741559999999996</v>
      </c>
      <c r="AB6414">
        <v>28</v>
      </c>
      <c r="AC6414">
        <v>-1.54449999999999</v>
      </c>
      <c r="AD6414">
        <v>-1.1097107067530001</v>
      </c>
      <c r="AE6414">
        <v>16.608129999999999</v>
      </c>
      <c r="AF6414">
        <v>-0.51565904634816495</v>
      </c>
      <c r="AG6414">
        <v>-1.1097107067530001</v>
      </c>
      <c r="AH6414">
        <v>16.598279992927498</v>
      </c>
      <c r="AI6414">
        <v>93.823090998744405</v>
      </c>
      <c r="AJ6414">
        <v>91.779436622097094</v>
      </c>
      <c r="AK6414">
        <v>16.6433248129206</v>
      </c>
      <c r="AL6414">
        <v>83.251344400848794</v>
      </c>
      <c r="AM6414">
        <v>84.037261373485293</v>
      </c>
      <c r="AN6414">
        <v>1.00000003533648</v>
      </c>
    </row>
    <row r="6415" spans="1:40" x14ac:dyDescent="0.25">
      <c r="A6415" t="str">
        <f>"20190312164629082"</f>
        <v>20190312164629082</v>
      </c>
      <c r="B6415" t="str">
        <f>"1552380389077852"</f>
        <v>1552380389077852</v>
      </c>
      <c r="C6415" t="s">
        <v>40</v>
      </c>
      <c r="D6415">
        <v>4.8168100000000003</v>
      </c>
      <c r="E6415">
        <v>0.45675009999999999</v>
      </c>
      <c r="F6415" t="s">
        <v>42</v>
      </c>
      <c r="G6415">
        <v>-188.17</v>
      </c>
      <c r="H6415" s="1">
        <v>-2.3465080000000001E-6</v>
      </c>
      <c r="I6415">
        <v>-15.65413</v>
      </c>
      <c r="J6415">
        <v>-186.74100000000001</v>
      </c>
      <c r="K6415">
        <v>1.1096919999999999</v>
      </c>
      <c r="L6415">
        <v>-31.087980000000002</v>
      </c>
      <c r="M6415">
        <v>-6.2727720000000001E-2</v>
      </c>
      <c r="N6415">
        <v>0</v>
      </c>
      <c r="O6415">
        <v>0.99793829999999994</v>
      </c>
      <c r="P6415">
        <v>4.2551600000000002E-2</v>
      </c>
      <c r="Q6415">
        <v>0.10349949999999999</v>
      </c>
      <c r="R6415">
        <v>0.99371889999999996</v>
      </c>
      <c r="S6415">
        <v>-0.28120420000000002</v>
      </c>
      <c r="T6415">
        <v>-0.2154343</v>
      </c>
      <c r="U6415">
        <v>3.0534970000000001</v>
      </c>
      <c r="V6415">
        <v>0.104572499999999</v>
      </c>
      <c r="W6415">
        <v>0.1171258</v>
      </c>
      <c r="X6415">
        <v>0.98759620000000004</v>
      </c>
      <c r="Y6415">
        <v>-2.8829250000000001E-2</v>
      </c>
      <c r="Z6415">
        <v>-7.0009020000000005E-2</v>
      </c>
      <c r="AA6415">
        <v>0.99712970000000001</v>
      </c>
      <c r="AB6415">
        <v>28</v>
      </c>
      <c r="AC6415">
        <v>-1.429</v>
      </c>
      <c r="AD6415">
        <v>-1.10969434650799</v>
      </c>
      <c r="AE6415">
        <v>15.43385</v>
      </c>
      <c r="AF6415">
        <v>-0.455630418666987</v>
      </c>
      <c r="AG6415">
        <v>-1.10969434650799</v>
      </c>
      <c r="AH6415">
        <v>15.4140887395153</v>
      </c>
      <c r="AI6415">
        <v>94.115954200903005</v>
      </c>
      <c r="AJ6415">
        <v>91.693132893077404</v>
      </c>
      <c r="AK6415">
        <v>15.4606970182698</v>
      </c>
      <c r="AL6415">
        <v>83.273747210244196</v>
      </c>
      <c r="AM6415">
        <v>83.955707575151806</v>
      </c>
      <c r="AN6415">
        <v>1.00000005751816</v>
      </c>
    </row>
    <row r="6416" spans="1:40" x14ac:dyDescent="0.25">
      <c r="A6416" t="str">
        <f>"20190312164629103"</f>
        <v>20190312164629103</v>
      </c>
      <c r="B6416" t="str">
        <f>"1552380389097373"</f>
        <v>1552380389097373</v>
      </c>
      <c r="C6416" t="s">
        <v>40</v>
      </c>
      <c r="D6416">
        <v>4.8951019999999996</v>
      </c>
      <c r="E6416">
        <v>0.45744370000000001</v>
      </c>
      <c r="F6416" t="s">
        <v>42</v>
      </c>
      <c r="G6416">
        <v>-188.15549999999999</v>
      </c>
      <c r="H6416" s="1">
        <v>-2.5681609999999998E-6</v>
      </c>
      <c r="I6416">
        <v>-15.14343</v>
      </c>
      <c r="J6416">
        <v>-186.75880000000001</v>
      </c>
      <c r="K6416">
        <v>1.109667</v>
      </c>
      <c r="L6416">
        <v>-30.823730000000001</v>
      </c>
      <c r="M6416">
        <v>-6.3681329999999994E-2</v>
      </c>
      <c r="N6416">
        <v>0</v>
      </c>
      <c r="O6416">
        <v>0.99787809999999999</v>
      </c>
      <c r="P6416">
        <v>4.3454689999999997E-2</v>
      </c>
      <c r="Q6416">
        <v>0.1030578</v>
      </c>
      <c r="R6416">
        <v>0.99372570000000005</v>
      </c>
      <c r="S6416">
        <v>-0.27081300000000003</v>
      </c>
      <c r="T6416">
        <v>-0.21245929999999999</v>
      </c>
      <c r="U6416">
        <v>3.0527039999999999</v>
      </c>
      <c r="V6416">
        <v>0.1064295</v>
      </c>
      <c r="W6416">
        <v>0.1166678</v>
      </c>
      <c r="X6416">
        <v>0.987452</v>
      </c>
      <c r="Y6416">
        <v>-2.4536559999999999E-2</v>
      </c>
      <c r="Z6416">
        <v>-6.9072889999999998E-2</v>
      </c>
      <c r="AA6416">
        <v>0.99730980000000002</v>
      </c>
      <c r="AB6416">
        <v>28</v>
      </c>
      <c r="AC6416">
        <v>-1.3966999999999801</v>
      </c>
      <c r="AD6416">
        <v>-1.109669568161</v>
      </c>
      <c r="AE6416">
        <v>15.680300000000001</v>
      </c>
      <c r="AF6416">
        <v>-0.39327625512379</v>
      </c>
      <c r="AG6416">
        <v>-1.109669568161</v>
      </c>
      <c r="AH6416">
        <v>15.659610909742799</v>
      </c>
      <c r="AI6416">
        <v>94.052038250703902</v>
      </c>
      <c r="AJ6416">
        <v>91.438626681351295</v>
      </c>
      <c r="AK6416">
        <v>15.703803571360799</v>
      </c>
      <c r="AL6416">
        <v>83.300169663757202</v>
      </c>
      <c r="AM6416">
        <v>83.848297266868798</v>
      </c>
      <c r="AN6416">
        <v>1.0000000331655401</v>
      </c>
    </row>
    <row r="6417" spans="1:40" x14ac:dyDescent="0.25">
      <c r="A6417" t="str">
        <f>"20190312164629124"</f>
        <v>20190312164629124</v>
      </c>
      <c r="B6417" t="str">
        <f>"1552380389117869"</f>
        <v>1552380389117869</v>
      </c>
      <c r="C6417" t="s">
        <v>40</v>
      </c>
      <c r="D6417">
        <v>5.0300909999999996</v>
      </c>
      <c r="E6417">
        <v>0.457978</v>
      </c>
      <c r="F6417" t="s">
        <v>42</v>
      </c>
      <c r="G6417">
        <v>-188.0547</v>
      </c>
      <c r="H6417" s="1">
        <v>-2.2684160000000002E-6</v>
      </c>
      <c r="I6417">
        <v>-15.883839999999999</v>
      </c>
      <c r="J6417">
        <v>-186.77699999999999</v>
      </c>
      <c r="K6417">
        <v>1.1096109999999999</v>
      </c>
      <c r="L6417">
        <v>-30.555910000000001</v>
      </c>
      <c r="M6417">
        <v>-6.4573820000000004E-2</v>
      </c>
      <c r="N6417">
        <v>0</v>
      </c>
      <c r="O6417">
        <v>0.99782099999999996</v>
      </c>
      <c r="P6417">
        <v>4.3830470000000003E-2</v>
      </c>
      <c r="Q6417">
        <v>0.1030359</v>
      </c>
      <c r="R6417">
        <v>0.99371149999999997</v>
      </c>
      <c r="S6417">
        <v>-0.26490780000000003</v>
      </c>
      <c r="T6417">
        <v>-0.22684109999999999</v>
      </c>
      <c r="U6417">
        <v>3.0540470000000002</v>
      </c>
      <c r="V6417">
        <v>0.1077053</v>
      </c>
      <c r="W6417">
        <v>0.1166162</v>
      </c>
      <c r="X6417">
        <v>0.98731970000000002</v>
      </c>
      <c r="Y6417">
        <v>-2.166146E-2</v>
      </c>
      <c r="Z6417">
        <v>-7.3694049999999997E-2</v>
      </c>
      <c r="AA6417">
        <v>0.99704559999999998</v>
      </c>
      <c r="AB6417">
        <v>28</v>
      </c>
      <c r="AC6417">
        <v>-1.2776999999999801</v>
      </c>
      <c r="AD6417">
        <v>-1.1096132684160001</v>
      </c>
      <c r="AE6417">
        <v>14.6720699999999</v>
      </c>
      <c r="AF6417">
        <v>-0.32566569491587</v>
      </c>
      <c r="AG6417">
        <v>-1.1096132684160001</v>
      </c>
      <c r="AH6417">
        <v>14.6408477832624</v>
      </c>
      <c r="AI6417">
        <v>94.3330288853398</v>
      </c>
      <c r="AJ6417">
        <v>91.274256356811307</v>
      </c>
      <c r="AK6417">
        <v>14.686446934604399</v>
      </c>
      <c r="AL6417">
        <v>83.303146086833607</v>
      </c>
      <c r="AM6417">
        <v>83.774303047162505</v>
      </c>
      <c r="AN6417">
        <v>0.999999979879309</v>
      </c>
    </row>
    <row r="6418" spans="1:40" x14ac:dyDescent="0.25">
      <c r="A6418" t="str">
        <f>"20190312164629147"</f>
        <v>20190312164629147</v>
      </c>
      <c r="B6418" t="str">
        <f>"1552380389137389"</f>
        <v>1552380389137389</v>
      </c>
      <c r="C6418" t="s">
        <v>40</v>
      </c>
      <c r="D6418">
        <v>4.8302959999999997</v>
      </c>
      <c r="E6418">
        <v>0.45863549999999997</v>
      </c>
      <c r="F6418" t="s">
        <v>42</v>
      </c>
      <c r="G6418">
        <v>-188.0333</v>
      </c>
      <c r="H6418" s="1">
        <v>-2.3380119999999998E-6</v>
      </c>
      <c r="I6418">
        <v>-15.73047</v>
      </c>
      <c r="J6418">
        <v>-186.797</v>
      </c>
      <c r="K6418">
        <v>1.10951</v>
      </c>
      <c r="L6418">
        <v>-30.263310000000001</v>
      </c>
      <c r="M6418">
        <v>-6.5420270000000003E-2</v>
      </c>
      <c r="N6418">
        <v>0</v>
      </c>
      <c r="O6418">
        <v>0.99776609999999999</v>
      </c>
      <c r="P6418">
        <v>4.2688120000000003E-2</v>
      </c>
      <c r="Q6418">
        <v>0.1038873</v>
      </c>
      <c r="R6418">
        <v>0.99367249999999996</v>
      </c>
      <c r="S6418">
        <v>-0.25880429999999999</v>
      </c>
      <c r="T6418">
        <v>-0.22858539999999999</v>
      </c>
      <c r="U6418">
        <v>3.0541079999999998</v>
      </c>
      <c r="V6418">
        <v>0.1074283</v>
      </c>
      <c r="W6418">
        <v>0.11741939999999999</v>
      </c>
      <c r="X6418">
        <v>0.98725469999999904</v>
      </c>
      <c r="Y6418">
        <v>-1.8829990000000001E-2</v>
      </c>
      <c r="Z6418">
        <v>-7.4258379999999999E-2</v>
      </c>
      <c r="AA6418">
        <v>0.99706130000000004</v>
      </c>
      <c r="AB6418">
        <v>28</v>
      </c>
      <c r="AC6418">
        <v>-1.2363</v>
      </c>
      <c r="AD6418">
        <v>-1.109512338012</v>
      </c>
      <c r="AE6418">
        <v>14.532839999999901</v>
      </c>
      <c r="AF6418">
        <v>-0.281194600309632</v>
      </c>
      <c r="AG6418">
        <v>-1.109512338012</v>
      </c>
      <c r="AH6418">
        <v>14.498688817206601</v>
      </c>
      <c r="AI6418">
        <v>94.375211810057394</v>
      </c>
      <c r="AJ6418">
        <v>91.111082830715503</v>
      </c>
      <c r="AK6418">
        <v>14.543798178248901</v>
      </c>
      <c r="AL6418">
        <v>83.256807890622298</v>
      </c>
      <c r="AM6418">
        <v>83.789783591819898</v>
      </c>
      <c r="AN6418">
        <v>0.99999999890466895</v>
      </c>
    </row>
    <row r="6419" spans="1:40" x14ac:dyDescent="0.25">
      <c r="A6419" t="str">
        <f>"20190312164629171"</f>
        <v>20190312164629171</v>
      </c>
      <c r="B6419" t="str">
        <f>"1552380389167645"</f>
        <v>1552380389167645</v>
      </c>
      <c r="C6419" t="s">
        <v>40</v>
      </c>
      <c r="D6419">
        <v>4.9298570000000002</v>
      </c>
      <c r="E6419">
        <v>0.4595243</v>
      </c>
      <c r="F6419" t="s">
        <v>42</v>
      </c>
      <c r="G6419">
        <v>-188.01929999999999</v>
      </c>
      <c r="H6419" s="1">
        <v>-2.411319E-6</v>
      </c>
      <c r="I6419">
        <v>-15.56535</v>
      </c>
      <c r="J6419">
        <v>-186.81710000000001</v>
      </c>
      <c r="K6419">
        <v>1.1093820000000001</v>
      </c>
      <c r="L6419">
        <v>-29.96848</v>
      </c>
      <c r="M6419">
        <v>-6.6083470000000005E-2</v>
      </c>
      <c r="N6419">
        <v>0</v>
      </c>
      <c r="O6419">
        <v>0.99772269999999996</v>
      </c>
      <c r="P6419">
        <v>4.1457229999999998E-2</v>
      </c>
      <c r="Q6419">
        <v>0.10371569999999999</v>
      </c>
      <c r="R6419">
        <v>0.99374260000000003</v>
      </c>
      <c r="S6419">
        <v>-0.2539978</v>
      </c>
      <c r="T6419">
        <v>-0.23054720000000001</v>
      </c>
      <c r="U6419">
        <v>3.0541079999999998</v>
      </c>
      <c r="V6419">
        <v>0.1068993</v>
      </c>
      <c r="W6419">
        <v>0.11718870000000001</v>
      </c>
      <c r="X6419">
        <v>0.98733959999999998</v>
      </c>
      <c r="Y6419">
        <v>-1.6603260000000002E-2</v>
      </c>
      <c r="Z6419">
        <v>-7.4893580000000001E-2</v>
      </c>
      <c r="AA6419">
        <v>0.99705330000000003</v>
      </c>
      <c r="AB6419">
        <v>28</v>
      </c>
      <c r="AC6419">
        <v>-1.20219999999997</v>
      </c>
      <c r="AD6419">
        <v>-1.1093844113189999</v>
      </c>
      <c r="AE6419">
        <v>14.403130000000001</v>
      </c>
      <c r="AF6419">
        <v>-0.246225340796245</v>
      </c>
      <c r="AG6419">
        <v>-1.1093844113189999</v>
      </c>
      <c r="AH6419">
        <v>14.366451462051501</v>
      </c>
      <c r="AI6419">
        <v>94.414999380512199</v>
      </c>
      <c r="AJ6419">
        <v>90.981891163411007</v>
      </c>
      <c r="AK6419">
        <v>14.411325001609301</v>
      </c>
      <c r="AL6419">
        <v>83.270118390946493</v>
      </c>
      <c r="AM6419">
        <v>83.820654117053095</v>
      </c>
      <c r="AN6419">
        <v>1.0000000687381601</v>
      </c>
    </row>
    <row r="6420" spans="1:40" x14ac:dyDescent="0.25">
      <c r="A6420" t="str">
        <f>"20190312164629193"</f>
        <v>20190312164629193</v>
      </c>
      <c r="B6420" t="str">
        <f>"1552380389187166"</f>
        <v>1552380389187166</v>
      </c>
      <c r="C6420" t="s">
        <v>40</v>
      </c>
      <c r="D6420">
        <v>4.9971860000000001</v>
      </c>
      <c r="E6420">
        <v>0.45998830000000002</v>
      </c>
      <c r="F6420" t="s">
        <v>41</v>
      </c>
      <c r="G6420">
        <v>-186.8946</v>
      </c>
      <c r="H6420">
        <v>1.034594</v>
      </c>
      <c r="I6420">
        <v>-29.01539</v>
      </c>
      <c r="J6420">
        <v>-186.83590000000001</v>
      </c>
      <c r="K6420">
        <v>1.10924</v>
      </c>
      <c r="L6420">
        <v>-29.694759999999999</v>
      </c>
      <c r="M6420">
        <v>-6.6505800000000004E-2</v>
      </c>
      <c r="N6420">
        <v>0</v>
      </c>
      <c r="O6420">
        <v>0.99769509999999995</v>
      </c>
      <c r="P6420">
        <v>4.0190480000000001E-2</v>
      </c>
      <c r="Q6420">
        <v>0.10284459999999999</v>
      </c>
      <c r="R6420">
        <v>0.99388520000000002</v>
      </c>
      <c r="S6420">
        <v>-0.24838260000000001</v>
      </c>
      <c r="T6420">
        <v>-0.2396595</v>
      </c>
      <c r="U6420">
        <v>3.0542600000000002</v>
      </c>
      <c r="V6420">
        <v>0.106103</v>
      </c>
      <c r="W6420">
        <v>0.11625340000000001</v>
      </c>
      <c r="X6420">
        <v>0.98753599999999997</v>
      </c>
      <c r="Y6420">
        <v>-1.433683E-2</v>
      </c>
      <c r="Z6420">
        <v>-7.7836130000000003E-2</v>
      </c>
      <c r="AA6420">
        <v>0.9968631</v>
      </c>
      <c r="AB6420">
        <v>28</v>
      </c>
      <c r="AC6420">
        <v>-5.8699999999987498E-2</v>
      </c>
      <c r="AD6420">
        <v>-7.4645999999999907E-2</v>
      </c>
      <c r="AE6420">
        <v>0.67936999999999503</v>
      </c>
      <c r="AF6420">
        <v>-1.3225389921169201E-2</v>
      </c>
      <c r="AG6420">
        <v>-7.4645999999999907E-2</v>
      </c>
      <c r="AH6420">
        <v>0.67369687766098796</v>
      </c>
      <c r="AI6420">
        <v>96.3214075115078</v>
      </c>
      <c r="AJ6420">
        <v>91.124632948561</v>
      </c>
      <c r="AK6420">
        <v>0.67794868480197801</v>
      </c>
      <c r="AL6420">
        <v>83.324075655638595</v>
      </c>
      <c r="AM6420">
        <v>83.867542860718402</v>
      </c>
      <c r="AN6420">
        <v>1.0000000254582699</v>
      </c>
    </row>
    <row r="6421" spans="1:40" x14ac:dyDescent="0.25">
      <c r="A6421" t="str">
        <f>"20190312164629213"</f>
        <v>20190312164629213</v>
      </c>
      <c r="B6421" t="str">
        <f>"1552380389207661"</f>
        <v>1552380389207661</v>
      </c>
      <c r="C6421" t="s">
        <v>40</v>
      </c>
      <c r="D6421">
        <v>5.0243500000000001</v>
      </c>
      <c r="E6421">
        <v>0.4607192</v>
      </c>
      <c r="F6421" t="s">
        <v>41</v>
      </c>
      <c r="G6421">
        <v>-186.91120000000001</v>
      </c>
      <c r="H6421">
        <v>1.0335989999999999</v>
      </c>
      <c r="I6421">
        <v>-28.764050000000001</v>
      </c>
      <c r="J6421">
        <v>-186.8535</v>
      </c>
      <c r="K6421">
        <v>1.109124</v>
      </c>
      <c r="L6421">
        <v>-29.435459999999999</v>
      </c>
      <c r="M6421">
        <v>-6.676058E-2</v>
      </c>
      <c r="N6421">
        <v>0</v>
      </c>
      <c r="O6421">
        <v>0.99767850000000002</v>
      </c>
      <c r="P6421">
        <v>3.8786590000000003E-2</v>
      </c>
      <c r="Q6421">
        <v>0.10236820000000001</v>
      </c>
      <c r="R6421">
        <v>0.99399009999999999</v>
      </c>
      <c r="S6421">
        <v>-0.2475281</v>
      </c>
      <c r="T6421">
        <v>-0.24820590000000001</v>
      </c>
      <c r="U6421">
        <v>3.054138</v>
      </c>
      <c r="V6421">
        <v>0.1049962</v>
      </c>
      <c r="W6421">
        <v>0.1157183</v>
      </c>
      <c r="X6421">
        <v>0.98771710000000001</v>
      </c>
      <c r="Y6421">
        <v>-1.3789869999999999E-2</v>
      </c>
      <c r="Z6421">
        <v>-8.0596340000000002E-2</v>
      </c>
      <c r="AA6421">
        <v>0.99665139999999997</v>
      </c>
      <c r="AB6421">
        <v>28</v>
      </c>
      <c r="AC6421">
        <v>-5.7700000000011097E-2</v>
      </c>
      <c r="AD6421">
        <v>-7.5524999999999995E-2</v>
      </c>
      <c r="AE6421">
        <v>0.67140999999999795</v>
      </c>
      <c r="AF6421">
        <v>-1.25853993511708E-2</v>
      </c>
      <c r="AG6421">
        <v>-7.5524999999999995E-2</v>
      </c>
      <c r="AH6421">
        <v>0.66540636339322201</v>
      </c>
      <c r="AI6421">
        <v>96.474329138759003</v>
      </c>
      <c r="AJ6421">
        <v>91.083554859526799</v>
      </c>
      <c r="AK6421">
        <v>0.66979701876465603</v>
      </c>
      <c r="AL6421">
        <v>83.354942773113507</v>
      </c>
      <c r="AM6421">
        <v>83.932137366576498</v>
      </c>
      <c r="AN6421">
        <v>0.99999999830086905</v>
      </c>
    </row>
    <row r="6422" spans="1:40" x14ac:dyDescent="0.25">
      <c r="A6422" t="str">
        <f>"20190312164629235"</f>
        <v>20190312164629235</v>
      </c>
      <c r="B6422" t="str">
        <f>"1552380389227181"</f>
        <v>1552380389227181</v>
      </c>
      <c r="C6422" t="s">
        <v>40</v>
      </c>
      <c r="D6422">
        <v>4.8425240000000001</v>
      </c>
      <c r="E6422">
        <v>0.46097719999999998</v>
      </c>
      <c r="F6422" t="s">
        <v>41</v>
      </c>
      <c r="G6422">
        <v>-186.92750000000001</v>
      </c>
      <c r="H6422">
        <v>1.031819</v>
      </c>
      <c r="I6422">
        <v>-28.513459999999998</v>
      </c>
      <c r="J6422">
        <v>-186.8732</v>
      </c>
      <c r="K6422">
        <v>1.109005</v>
      </c>
      <c r="L6422">
        <v>-29.145320000000002</v>
      </c>
      <c r="M6422">
        <v>-6.6882250000000004E-2</v>
      </c>
      <c r="N6422">
        <v>0</v>
      </c>
      <c r="O6422">
        <v>0.99767090000000003</v>
      </c>
      <c r="P6422">
        <v>3.7755459999999998E-2</v>
      </c>
      <c r="Q6422">
        <v>0.1028343</v>
      </c>
      <c r="R6422">
        <v>0.99398169999999997</v>
      </c>
      <c r="S6422">
        <v>-0.24548339999999999</v>
      </c>
      <c r="T6422">
        <v>-0.25604700000000002</v>
      </c>
      <c r="U6422">
        <v>3.0540769999999999</v>
      </c>
      <c r="V6422">
        <v>0.1041202</v>
      </c>
      <c r="W6422">
        <v>0.1161151</v>
      </c>
      <c r="X6422">
        <v>0.98776330000000001</v>
      </c>
      <c r="Y6422">
        <v>-1.298993E-2</v>
      </c>
      <c r="Z6422">
        <v>-8.3128359999999998E-2</v>
      </c>
      <c r="AA6422">
        <v>0.99645419999999996</v>
      </c>
      <c r="AB6422">
        <v>28</v>
      </c>
      <c r="AC6422">
        <v>-5.4300000000011998E-2</v>
      </c>
      <c r="AD6422">
        <v>-7.7185999999999894E-2</v>
      </c>
      <c r="AE6422">
        <v>0.63186000000000297</v>
      </c>
      <c r="AF6422">
        <v>-1.17404706811202E-2</v>
      </c>
      <c r="AG6422">
        <v>-7.7185999999999894E-2</v>
      </c>
      <c r="AH6422">
        <v>0.62482155150778995</v>
      </c>
      <c r="AI6422">
        <v>97.041003993018705</v>
      </c>
      <c r="AJ6422">
        <v>91.076467780851303</v>
      </c>
      <c r="AK6422">
        <v>0.62968046537622302</v>
      </c>
      <c r="AL6422">
        <v>83.3320537532218</v>
      </c>
      <c r="AM6422">
        <v>83.982668891741696</v>
      </c>
      <c r="AN6422">
        <v>1.0000000346614599</v>
      </c>
    </row>
    <row r="6423" spans="1:40" x14ac:dyDescent="0.25">
      <c r="A6423" t="str">
        <f>"20190312164629260"</f>
        <v>20190312164629260</v>
      </c>
      <c r="B6423" t="str">
        <f>"1552380389257438"</f>
        <v>1552380389257438</v>
      </c>
      <c r="C6423" t="s">
        <v>40</v>
      </c>
      <c r="D6423">
        <v>5.7306869999999996</v>
      </c>
      <c r="E6423">
        <v>0.4611923</v>
      </c>
      <c r="F6423" t="s">
        <v>41</v>
      </c>
      <c r="G6423">
        <v>-186.94470000000001</v>
      </c>
      <c r="H6423">
        <v>1.0339020000000001</v>
      </c>
      <c r="I6423">
        <v>-28.25957</v>
      </c>
      <c r="J6423">
        <v>-186.8937</v>
      </c>
      <c r="K6423">
        <v>1.1088849999999999</v>
      </c>
      <c r="L6423">
        <v>-28.841640000000002</v>
      </c>
      <c r="M6423">
        <v>-6.6837549999999996E-2</v>
      </c>
      <c r="N6423">
        <v>0</v>
      </c>
      <c r="O6423">
        <v>0.99767459999999997</v>
      </c>
      <c r="P6423">
        <v>3.6650870000000002E-2</v>
      </c>
      <c r="Q6423">
        <v>0.1040987</v>
      </c>
      <c r="R6423">
        <v>0.99389139999999998</v>
      </c>
      <c r="S6423">
        <v>-0.24655150000000001</v>
      </c>
      <c r="T6423">
        <v>-0.25900079999999998</v>
      </c>
      <c r="U6423">
        <v>3.0543209999999998</v>
      </c>
      <c r="V6423">
        <v>0.1029983</v>
      </c>
      <c r="W6423">
        <v>0.11729530000000001</v>
      </c>
      <c r="X6423">
        <v>0.98774150000000005</v>
      </c>
      <c r="Y6423">
        <v>-1.336826E-2</v>
      </c>
      <c r="Z6423">
        <v>-8.4072899999999895E-2</v>
      </c>
      <c r="AA6423">
        <v>0.99636999999999998</v>
      </c>
      <c r="AB6423">
        <v>28</v>
      </c>
      <c r="AC6423">
        <v>-5.1000000000016102E-2</v>
      </c>
      <c r="AD6423">
        <v>-7.4982999999999994E-2</v>
      </c>
      <c r="AE6423">
        <v>0.58207000000000098</v>
      </c>
      <c r="AF6423">
        <v>-1.17842696348976E-2</v>
      </c>
      <c r="AG6423">
        <v>-7.4982999999999994E-2</v>
      </c>
      <c r="AH6423">
        <v>0.574712553194897</v>
      </c>
      <c r="AI6423">
        <v>97.4318721385212</v>
      </c>
      <c r="AJ6423">
        <v>91.174664289773801</v>
      </c>
      <c r="AK6423">
        <v>0.57970323278348601</v>
      </c>
      <c r="AL6423">
        <v>83.263968146385295</v>
      </c>
      <c r="AM6423">
        <v>84.046907364143394</v>
      </c>
      <c r="AN6423">
        <v>1.00000005401361</v>
      </c>
    </row>
    <row r="6424" spans="1:40" x14ac:dyDescent="0.25">
      <c r="A6424" t="str">
        <f>"20190312164629284"</f>
        <v>20190312164629284</v>
      </c>
      <c r="B6424" t="str">
        <f>"1552380389277933"</f>
        <v>1552380389277933</v>
      </c>
      <c r="C6424" t="s">
        <v>40</v>
      </c>
      <c r="D6424">
        <v>4.8151890000000002</v>
      </c>
      <c r="E6424">
        <v>0.46201160000000002</v>
      </c>
      <c r="F6424" t="s">
        <v>42</v>
      </c>
      <c r="G6424">
        <v>-187.96860000000001</v>
      </c>
      <c r="H6424" s="1">
        <v>-2.4005889999999998E-6</v>
      </c>
      <c r="I6424">
        <v>-15.611330000000001</v>
      </c>
      <c r="J6424">
        <v>-186.91390000000001</v>
      </c>
      <c r="K6424">
        <v>1.1087720000000001</v>
      </c>
      <c r="L6424">
        <v>-28.53903</v>
      </c>
      <c r="M6424">
        <v>-6.6630110000000006E-2</v>
      </c>
      <c r="N6424">
        <v>0</v>
      </c>
      <c r="O6424">
        <v>0.99768939999999995</v>
      </c>
      <c r="P6424">
        <v>3.5972650000000002E-2</v>
      </c>
      <c r="Q6424">
        <v>0.10569720000000001</v>
      </c>
      <c r="R6424">
        <v>0.99374750000000001</v>
      </c>
      <c r="S6424">
        <v>-0.2481689</v>
      </c>
      <c r="T6424">
        <v>-0.25600289999999998</v>
      </c>
      <c r="U6424">
        <v>3.0544129999999998</v>
      </c>
      <c r="V6424">
        <v>0.1021381</v>
      </c>
      <c r="W6424">
        <v>0.11880250000000001</v>
      </c>
      <c r="X6424">
        <v>0.98765060000000005</v>
      </c>
      <c r="Y6424">
        <v>-1.41045999999999E-2</v>
      </c>
      <c r="Z6424">
        <v>-8.3103659999999996E-2</v>
      </c>
      <c r="AA6424">
        <v>0.99644109999999997</v>
      </c>
      <c r="AB6424">
        <v>28</v>
      </c>
      <c r="AC6424">
        <v>-1.05469999999999</v>
      </c>
      <c r="AD6424">
        <v>-1.1087744005889999</v>
      </c>
      <c r="AE6424">
        <v>12.9277</v>
      </c>
      <c r="AF6424">
        <v>-0.18952086090001499</v>
      </c>
      <c r="AG6424">
        <v>-1.1087744005889999</v>
      </c>
      <c r="AH6424">
        <v>12.8751633151899</v>
      </c>
      <c r="AI6424">
        <v>94.921484176646899</v>
      </c>
      <c r="AJ6424">
        <v>90.843326101810604</v>
      </c>
      <c r="AK6424">
        <v>12.9242071022144</v>
      </c>
      <c r="AL6424">
        <v>83.177003271108006</v>
      </c>
      <c r="AM6424">
        <v>84.095733034552495</v>
      </c>
      <c r="AN6424">
        <v>0.99999996657910895</v>
      </c>
    </row>
    <row r="6425" spans="1:40" x14ac:dyDescent="0.25">
      <c r="A6425" t="str">
        <f>"20190312164629306"</f>
        <v>20190312164629306</v>
      </c>
      <c r="B6425" t="str">
        <f>"1552380389297453"</f>
        <v>1552380389297453</v>
      </c>
      <c r="C6425" t="s">
        <v>40</v>
      </c>
      <c r="D6425">
        <v>4.8025830000000003</v>
      </c>
      <c r="E6425">
        <v>0.46273740000000002</v>
      </c>
      <c r="F6425" t="s">
        <v>42</v>
      </c>
      <c r="G6425">
        <v>-188.00530000000001</v>
      </c>
      <c r="H6425" s="1">
        <v>-2.704057E-6</v>
      </c>
      <c r="I6425">
        <v>-14.88876</v>
      </c>
      <c r="J6425">
        <v>-186.93219999999999</v>
      </c>
      <c r="K6425">
        <v>1.1086609999999999</v>
      </c>
      <c r="L6425">
        <v>-28.262450000000001</v>
      </c>
      <c r="M6425">
        <v>-6.6305950000000002E-2</v>
      </c>
      <c r="N6425">
        <v>0</v>
      </c>
      <c r="O6425">
        <v>0.99771180000000004</v>
      </c>
      <c r="P6425">
        <v>3.5023480000000003E-2</v>
      </c>
      <c r="Q6425">
        <v>0.1059793</v>
      </c>
      <c r="R6425">
        <v>0.9937513</v>
      </c>
      <c r="S6425">
        <v>-0.24420169999999999</v>
      </c>
      <c r="T6425">
        <v>-0.24807699999999999</v>
      </c>
      <c r="U6425">
        <v>3.0541079999999998</v>
      </c>
      <c r="V6425">
        <v>0.10090150000000001</v>
      </c>
      <c r="W6425">
        <v>0.1189928</v>
      </c>
      <c r="X6425">
        <v>0.98775480000000004</v>
      </c>
      <c r="Y6425">
        <v>-1.316821E-2</v>
      </c>
      <c r="Z6425">
        <v>-8.0563049999999997E-2</v>
      </c>
      <c r="AA6425">
        <v>0.99666259999999995</v>
      </c>
      <c r="AB6425">
        <v>28</v>
      </c>
      <c r="AC6425">
        <v>-1.0731000000000099</v>
      </c>
      <c r="AD6425">
        <v>-1.108663704057</v>
      </c>
      <c r="AE6425">
        <v>13.37369</v>
      </c>
      <c r="AF6425">
        <v>-0.182658138598118</v>
      </c>
      <c r="AG6425">
        <v>-1.108663704057</v>
      </c>
      <c r="AH6425">
        <v>13.3244303697566</v>
      </c>
      <c r="AI6425">
        <v>94.755913673333296</v>
      </c>
      <c r="AJ6425">
        <v>90.785390793132905</v>
      </c>
      <c r="AK6425">
        <v>13.371721799483501</v>
      </c>
      <c r="AL6425">
        <v>83.166022025809795</v>
      </c>
      <c r="AM6425">
        <v>84.167331996220895</v>
      </c>
      <c r="AN6425">
        <v>0.99999997203856394</v>
      </c>
    </row>
    <row r="6426" spans="1:40" x14ac:dyDescent="0.25">
      <c r="A6426" t="str">
        <f>"20190312164629325"</f>
        <v>20190312164629325</v>
      </c>
      <c r="B6426" t="str">
        <f>"1552380389317949"</f>
        <v>1552380389317949</v>
      </c>
      <c r="C6426" t="s">
        <v>40</v>
      </c>
      <c r="D6426">
        <v>4.7894740000000002</v>
      </c>
      <c r="E6426">
        <v>0.46356249999999999</v>
      </c>
      <c r="F6426" t="s">
        <v>42</v>
      </c>
      <c r="G6426">
        <v>-188.02369999999999</v>
      </c>
      <c r="H6426" s="1">
        <v>-2.878744E-6</v>
      </c>
      <c r="I6426">
        <v>-14.47396</v>
      </c>
      <c r="J6426">
        <v>-186.94820000000001</v>
      </c>
      <c r="K6426">
        <v>1.1085469999999999</v>
      </c>
      <c r="L6426">
        <v>-28.017060000000001</v>
      </c>
      <c r="M6426">
        <v>-6.5914009999999995E-2</v>
      </c>
      <c r="N6426">
        <v>0</v>
      </c>
      <c r="O6426">
        <v>0.99773880000000004</v>
      </c>
      <c r="P6426">
        <v>3.3783929999999997E-2</v>
      </c>
      <c r="Q6426">
        <v>0.1053742</v>
      </c>
      <c r="R6426">
        <v>0.99385860000000004</v>
      </c>
      <c r="S6426">
        <v>-0.24172969999999999</v>
      </c>
      <c r="T6426">
        <v>-0.2455214</v>
      </c>
      <c r="U6426">
        <v>3.0535580000000002</v>
      </c>
      <c r="V6426">
        <v>9.9311659999999996E-2</v>
      </c>
      <c r="W6426">
        <v>0.11829679999999999</v>
      </c>
      <c r="X6426">
        <v>0.98799950000000003</v>
      </c>
      <c r="Y6426">
        <v>-1.27787E-2</v>
      </c>
      <c r="Z6426">
        <v>-7.9758510000000005E-2</v>
      </c>
      <c r="AA6426">
        <v>0.99673230000000002</v>
      </c>
      <c r="AB6426">
        <v>28</v>
      </c>
      <c r="AC6426">
        <v>-1.0754999999999699</v>
      </c>
      <c r="AD6426">
        <v>-1.108549878744</v>
      </c>
      <c r="AE6426">
        <v>13.5430999999999</v>
      </c>
      <c r="AF6426">
        <v>-0.17921043898119901</v>
      </c>
      <c r="AG6426">
        <v>-1.108549878744</v>
      </c>
      <c r="AH6426">
        <v>13.4946917500985</v>
      </c>
      <c r="AI6426">
        <v>94.695725827098201</v>
      </c>
      <c r="AJ6426">
        <v>90.760847185686501</v>
      </c>
      <c r="AK6426">
        <v>13.541333193052999</v>
      </c>
      <c r="AL6426">
        <v>83.206183583463698</v>
      </c>
      <c r="AM6426">
        <v>84.260027245494896</v>
      </c>
      <c r="AN6426">
        <v>0.99999997535122198</v>
      </c>
    </row>
    <row r="6427" spans="1:40" x14ac:dyDescent="0.25">
      <c r="A6427" t="str">
        <f>"20190312164629348"</f>
        <v>20190312164629348</v>
      </c>
      <c r="B6427" t="str">
        <f>"1552380389337469"</f>
        <v>1552380389337469</v>
      </c>
      <c r="C6427" t="s">
        <v>40</v>
      </c>
      <c r="D6427">
        <v>4.7985049999999996</v>
      </c>
      <c r="E6427">
        <v>0.46431299999999998</v>
      </c>
      <c r="F6427" t="s">
        <v>42</v>
      </c>
      <c r="G6427">
        <v>-188.03399999999999</v>
      </c>
      <c r="H6427" s="1">
        <v>-3.0439460000000002E-6</v>
      </c>
      <c r="I6427">
        <v>-14.084619999999999</v>
      </c>
      <c r="J6427">
        <v>-186.96639999999999</v>
      </c>
      <c r="K6427">
        <v>1.1084229999999999</v>
      </c>
      <c r="L6427">
        <v>-27.733429999999998</v>
      </c>
      <c r="M6427">
        <v>-6.5354620000000002E-2</v>
      </c>
      <c r="N6427">
        <v>0</v>
      </c>
      <c r="O6427">
        <v>0.99777669999999996</v>
      </c>
      <c r="P6427">
        <v>3.2581970000000002E-2</v>
      </c>
      <c r="Q6427">
        <v>0.1052111</v>
      </c>
      <c r="R6427">
        <v>0.99391600000000002</v>
      </c>
      <c r="S6427">
        <v>-0.2378845</v>
      </c>
      <c r="T6427">
        <v>-0.2428652</v>
      </c>
      <c r="U6427">
        <v>3.052368</v>
      </c>
      <c r="V6427">
        <v>9.7592880000000007E-2</v>
      </c>
      <c r="W6427">
        <v>0.118024</v>
      </c>
      <c r="X6427">
        <v>0.98820339999999995</v>
      </c>
      <c r="Y6427">
        <v>-1.212709E-2</v>
      </c>
      <c r="Z6427">
        <v>-7.8940029999999994E-2</v>
      </c>
      <c r="AA6427">
        <v>0.99680559999999996</v>
      </c>
      <c r="AB6427">
        <v>28</v>
      </c>
      <c r="AC6427">
        <v>-1.0676000000000201</v>
      </c>
      <c r="AD6427">
        <v>-1.1084260439460001</v>
      </c>
      <c r="AE6427">
        <v>13.6488099999999</v>
      </c>
      <c r="AF6427">
        <v>-0.172100253527423</v>
      </c>
      <c r="AG6427">
        <v>-1.1084260439460001</v>
      </c>
      <c r="AH6427">
        <v>13.6002536866593</v>
      </c>
      <c r="AI6427">
        <v>94.658959251179098</v>
      </c>
      <c r="AJ6427">
        <v>90.724993234357299</v>
      </c>
      <c r="AK6427">
        <v>13.6464327622149</v>
      </c>
      <c r="AL6427">
        <v>83.221924292085802</v>
      </c>
      <c r="AM6427">
        <v>84.359878677631499</v>
      </c>
      <c r="AN6427">
        <v>0.99999999728712696</v>
      </c>
    </row>
    <row r="6428" spans="1:40" x14ac:dyDescent="0.25">
      <c r="A6428" t="str">
        <f>"20190312164629370"</f>
        <v>20190312164629370</v>
      </c>
      <c r="B6428" t="str">
        <f>"1552380389367725"</f>
        <v>1552380389367725</v>
      </c>
      <c r="C6428" t="s">
        <v>40</v>
      </c>
      <c r="D6428">
        <v>4.7524050000000004</v>
      </c>
      <c r="E6428">
        <v>0.46539589999999997</v>
      </c>
      <c r="F6428" t="s">
        <v>42</v>
      </c>
      <c r="G6428">
        <v>-188.0538</v>
      </c>
      <c r="H6428" s="1">
        <v>-3.2493349999999999E-6</v>
      </c>
      <c r="I6428">
        <v>-13.597670000000001</v>
      </c>
      <c r="J6428">
        <v>-186.98390000000001</v>
      </c>
      <c r="K6428">
        <v>1.1083190000000001</v>
      </c>
      <c r="L6428">
        <v>-27.455570000000002</v>
      </c>
      <c r="M6428">
        <v>-6.4694230000000005E-2</v>
      </c>
      <c r="N6428">
        <v>0</v>
      </c>
      <c r="O6428">
        <v>0.99782079999999995</v>
      </c>
      <c r="P6428">
        <v>3.25347E-2</v>
      </c>
      <c r="Q6428">
        <v>0.1054813</v>
      </c>
      <c r="R6428">
        <v>0.99388889999999996</v>
      </c>
      <c r="S6428">
        <v>-0.23472599999999999</v>
      </c>
      <c r="T6428">
        <v>-0.2392685</v>
      </c>
      <c r="U6428">
        <v>3.0513919999999999</v>
      </c>
      <c r="V6428">
        <v>9.6916139999999998E-2</v>
      </c>
      <c r="W6428">
        <v>0.1181917</v>
      </c>
      <c r="X6428">
        <v>0.98824999999999996</v>
      </c>
      <c r="Y6428">
        <v>-1.1794829999999999E-2</v>
      </c>
      <c r="Z6428">
        <v>-7.7811080000000005E-2</v>
      </c>
      <c r="AA6428">
        <v>0.99689839999999996</v>
      </c>
      <c r="AB6428">
        <v>28</v>
      </c>
      <c r="AC6428">
        <v>-1.0698999999999901</v>
      </c>
      <c r="AD6428">
        <v>-1.108322249335</v>
      </c>
      <c r="AE6428">
        <v>13.857900000000001</v>
      </c>
      <c r="AF6428">
        <v>-0.16997590391820999</v>
      </c>
      <c r="AG6428">
        <v>-1.108322249335</v>
      </c>
      <c r="AH6428">
        <v>13.8102738973523</v>
      </c>
      <c r="AI6428">
        <v>94.588004736041896</v>
      </c>
      <c r="AJ6428">
        <v>90.705156918978403</v>
      </c>
      <c r="AK6428">
        <v>13.8557184994563</v>
      </c>
      <c r="AL6428">
        <v>83.212248350362799</v>
      </c>
      <c r="AM6428">
        <v>84.3990019397677</v>
      </c>
      <c r="AN6428">
        <v>1.00000003932069</v>
      </c>
    </row>
    <row r="6429" spans="1:40" x14ac:dyDescent="0.25">
      <c r="A6429" t="str">
        <f>"20190312164629392"</f>
        <v>20190312164629392</v>
      </c>
      <c r="B6429" t="str">
        <f>"1552380389387245"</f>
        <v>1552380389387245</v>
      </c>
      <c r="C6429" t="s">
        <v>40</v>
      </c>
      <c r="D6429">
        <v>4.7423140000000004</v>
      </c>
      <c r="E6429">
        <v>0.46603230000000001</v>
      </c>
      <c r="F6429" t="s">
        <v>41</v>
      </c>
      <c r="G6429">
        <v>-187.05510000000001</v>
      </c>
      <c r="H6429">
        <v>1.0344599999999999</v>
      </c>
      <c r="I6429">
        <v>-26.49494</v>
      </c>
      <c r="J6429">
        <v>-187.00059999999999</v>
      </c>
      <c r="K6429">
        <v>1.1082459999999901</v>
      </c>
      <c r="L6429">
        <v>-27.187470000000001</v>
      </c>
      <c r="M6429">
        <v>-6.3966720000000005E-2</v>
      </c>
      <c r="N6429">
        <v>0</v>
      </c>
      <c r="O6429">
        <v>0.9978688</v>
      </c>
      <c r="P6429">
        <v>3.2277159999999999E-2</v>
      </c>
      <c r="Q6429">
        <v>0.1062028</v>
      </c>
      <c r="R6429">
        <v>0.9938205</v>
      </c>
      <c r="S6429">
        <v>-0.22634889999999999</v>
      </c>
      <c r="T6429">
        <v>-0.23452680000000001</v>
      </c>
      <c r="U6429">
        <v>3.050751</v>
      </c>
      <c r="V6429">
        <v>9.5954899999999996E-2</v>
      </c>
      <c r="W6429">
        <v>0.1188124</v>
      </c>
      <c r="X6429">
        <v>0.98826930000000002</v>
      </c>
      <c r="Y6429">
        <v>-9.8267010000000002E-3</v>
      </c>
      <c r="Z6429">
        <v>-7.6308029999999999E-2</v>
      </c>
      <c r="AA6429">
        <v>0.99703589999999997</v>
      </c>
      <c r="AB6429">
        <v>28</v>
      </c>
      <c r="AC6429">
        <v>-5.4500000000018603E-2</v>
      </c>
      <c r="AD6429">
        <v>-7.3785999999999893E-2</v>
      </c>
      <c r="AE6429">
        <v>0.69252999999999698</v>
      </c>
      <c r="AF6429">
        <v>-9.9732951799204796E-3</v>
      </c>
      <c r="AG6429">
        <v>-7.3785999999999893E-2</v>
      </c>
      <c r="AH6429">
        <v>0.68684887345568002</v>
      </c>
      <c r="AI6429">
        <v>96.130947733332803</v>
      </c>
      <c r="AJ6429">
        <v>90.831897071813103</v>
      </c>
      <c r="AK6429">
        <v>0.690872792473464</v>
      </c>
      <c r="AL6429">
        <v>83.176432015197605</v>
      </c>
      <c r="AM6429">
        <v>84.454313716515301</v>
      </c>
      <c r="AN6429">
        <v>0.99999996927512902</v>
      </c>
    </row>
    <row r="6430" spans="1:40" x14ac:dyDescent="0.25">
      <c r="A6430" t="str">
        <f>"20190312164629414"</f>
        <v>20190312164629414</v>
      </c>
      <c r="B6430" t="str">
        <f>"1552380389407742"</f>
        <v>1552380389407742</v>
      </c>
      <c r="C6430" t="s">
        <v>40</v>
      </c>
      <c r="D6430">
        <v>4.7439080000000002</v>
      </c>
      <c r="E6430">
        <v>0.46660620000000003</v>
      </c>
      <c r="F6430" t="s">
        <v>41</v>
      </c>
      <c r="G6430">
        <v>-187.0693</v>
      </c>
      <c r="H6430">
        <v>1.0361629999999999</v>
      </c>
      <c r="I6430">
        <v>-26.24146</v>
      </c>
      <c r="J6430">
        <v>-187.01849999999999</v>
      </c>
      <c r="K6430">
        <v>1.1081730000000001</v>
      </c>
      <c r="L6430">
        <v>-26.893650000000001</v>
      </c>
      <c r="M6430">
        <v>-6.3097329999999993E-2</v>
      </c>
      <c r="N6430">
        <v>0</v>
      </c>
      <c r="O6430">
        <v>0.99792539999999996</v>
      </c>
      <c r="P6430">
        <v>3.245928E-2</v>
      </c>
      <c r="Q6430">
        <v>0.1076252</v>
      </c>
      <c r="R6430">
        <v>0.99366149999999998</v>
      </c>
      <c r="S6430">
        <v>-0.22157289999999999</v>
      </c>
      <c r="T6430">
        <v>-0.23246130000000001</v>
      </c>
      <c r="U6430">
        <v>3.0506899999999999</v>
      </c>
      <c r="V6430">
        <v>9.5282779999999997E-2</v>
      </c>
      <c r="W6430">
        <v>0.120129</v>
      </c>
      <c r="X6430">
        <v>0.98817520000000003</v>
      </c>
      <c r="Y6430">
        <v>-9.1505270000000003E-3</v>
      </c>
      <c r="Z6430">
        <v>-7.5652179999999999E-2</v>
      </c>
      <c r="AA6430">
        <v>0.99709230000000004</v>
      </c>
      <c r="AB6430">
        <v>28</v>
      </c>
      <c r="AC6430">
        <v>-5.0800000000009497E-2</v>
      </c>
      <c r="AD6430">
        <v>-7.2009999999999894E-2</v>
      </c>
      <c r="AE6430">
        <v>0.65219000000000404</v>
      </c>
      <c r="AF6430">
        <v>-9.4296800429605702E-3</v>
      </c>
      <c r="AG6430">
        <v>-7.2009999999999894E-2</v>
      </c>
      <c r="AH6430">
        <v>0.64626475961906904</v>
      </c>
      <c r="AI6430">
        <v>96.357280715331598</v>
      </c>
      <c r="AJ6430">
        <v>90.835946140930801</v>
      </c>
      <c r="AK6430">
        <v>0.65033260604955501</v>
      </c>
      <c r="AL6430">
        <v>83.100452445661503</v>
      </c>
      <c r="AM6430">
        <v>84.492397872136607</v>
      </c>
      <c r="AN6430">
        <v>1.00000000535028</v>
      </c>
    </row>
    <row r="6431" spans="1:40" x14ac:dyDescent="0.25">
      <c r="A6431" t="str">
        <f>"20190312164629437"</f>
        <v>20190312164629437</v>
      </c>
      <c r="B6431" t="str">
        <f>"1552380389427261"</f>
        <v>1552380389427261</v>
      </c>
      <c r="C6431" t="s">
        <v>40</v>
      </c>
      <c r="D6431">
        <v>4.7173540000000003</v>
      </c>
      <c r="E6431">
        <v>0.4671091</v>
      </c>
      <c r="F6431" t="s">
        <v>42</v>
      </c>
      <c r="G6431">
        <v>-188.06610000000001</v>
      </c>
      <c r="H6431" s="1">
        <v>-3.891295E-6</v>
      </c>
      <c r="I6431">
        <v>-12.096170000000001</v>
      </c>
      <c r="J6431">
        <v>-187.03530000000001</v>
      </c>
      <c r="K6431">
        <v>1.108128</v>
      </c>
      <c r="L6431">
        <v>-26.613219999999998</v>
      </c>
      <c r="M6431">
        <v>-6.2214310000000002E-2</v>
      </c>
      <c r="N6431">
        <v>0</v>
      </c>
      <c r="O6431">
        <v>0.99798200000000004</v>
      </c>
      <c r="P6431">
        <v>3.3571539999999997E-2</v>
      </c>
      <c r="Q6431">
        <v>0.1089541</v>
      </c>
      <c r="R6431">
        <v>0.99347969999999997</v>
      </c>
      <c r="S6431">
        <v>-0.21598819999999999</v>
      </c>
      <c r="T6431">
        <v>-0.22848309999999999</v>
      </c>
      <c r="U6431">
        <v>3.0509339999999998</v>
      </c>
      <c r="V6431">
        <v>9.5519119999999999E-2</v>
      </c>
      <c r="W6431">
        <v>0.1213592</v>
      </c>
      <c r="X6431">
        <v>0.98800209999999999</v>
      </c>
      <c r="Y6431">
        <v>-8.2206150000000006E-3</v>
      </c>
      <c r="Z6431">
        <v>-7.4370179999999994E-2</v>
      </c>
      <c r="AA6431">
        <v>0.99719679999999999</v>
      </c>
      <c r="AB6431">
        <v>28</v>
      </c>
      <c r="AC6431">
        <v>-1.0307999999999899</v>
      </c>
      <c r="AD6431">
        <v>-1.108131891295</v>
      </c>
      <c r="AE6431">
        <v>14.517049999999999</v>
      </c>
      <c r="AF6431">
        <v>-0.1248379738019</v>
      </c>
      <c r="AG6431">
        <v>-1.108131891295</v>
      </c>
      <c r="AH6431">
        <v>14.4691736333734</v>
      </c>
      <c r="AI6431">
        <v>94.379326326709702</v>
      </c>
      <c r="AJ6431">
        <v>90.494327577308795</v>
      </c>
      <c r="AK6431">
        <v>14.5120820849703</v>
      </c>
      <c r="AL6431">
        <v>83.029448017240995</v>
      </c>
      <c r="AM6431">
        <v>84.477859747275005</v>
      </c>
      <c r="AN6431">
        <v>1.0000000536573099</v>
      </c>
    </row>
    <row r="6432" spans="1:40" x14ac:dyDescent="0.25">
      <c r="A6432" t="str">
        <f>"20190312164629460"</f>
        <v>20190312164629460</v>
      </c>
      <c r="B6432" t="str">
        <f>"1552380389447759"</f>
        <v>1552380389447759</v>
      </c>
      <c r="C6432" t="s">
        <v>40</v>
      </c>
      <c r="D6432">
        <v>4.7325559999999998</v>
      </c>
      <c r="E6432">
        <v>0.46768399999999999</v>
      </c>
      <c r="F6432" t="s">
        <v>42</v>
      </c>
      <c r="G6432">
        <v>-188.06950000000001</v>
      </c>
      <c r="H6432" s="1">
        <v>-4.1531229999999997E-6</v>
      </c>
      <c r="I6432">
        <v>-11.48441</v>
      </c>
      <c r="J6432">
        <v>-187.0521</v>
      </c>
      <c r="K6432">
        <v>1.1080890000000001</v>
      </c>
      <c r="L6432">
        <v>-26.327909999999999</v>
      </c>
      <c r="M6432">
        <v>-6.1270640000000001E-2</v>
      </c>
      <c r="N6432">
        <v>0</v>
      </c>
      <c r="O6432">
        <v>0.99804159999999997</v>
      </c>
      <c r="P6432">
        <v>3.507449E-2</v>
      </c>
      <c r="Q6432">
        <v>0.11064690000000001</v>
      </c>
      <c r="R6432">
        <v>0.99324069999999998</v>
      </c>
      <c r="S6432">
        <v>-0.20858760000000001</v>
      </c>
      <c r="T6432">
        <v>-0.22349260000000001</v>
      </c>
      <c r="U6432">
        <v>3.0512389999999998</v>
      </c>
      <c r="V6432">
        <v>9.6081E-2</v>
      </c>
      <c r="W6432">
        <v>0.1229466</v>
      </c>
      <c r="X6432">
        <v>0.9877513</v>
      </c>
      <c r="Y6432">
        <v>-6.7603450000000001E-3</v>
      </c>
      <c r="Z6432">
        <v>-7.2760140000000001E-2</v>
      </c>
      <c r="AA6432">
        <v>0.99732659999999995</v>
      </c>
      <c r="AB6432">
        <v>28</v>
      </c>
      <c r="AC6432">
        <v>-1.0174000000000001</v>
      </c>
      <c r="AD6432">
        <v>-1.1080931531229901</v>
      </c>
      <c r="AE6432">
        <v>14.843500000000001</v>
      </c>
      <c r="AF6432">
        <v>-0.10536077758411599</v>
      </c>
      <c r="AG6432">
        <v>-1.1080931531229901</v>
      </c>
      <c r="AH6432">
        <v>14.7958790045051</v>
      </c>
      <c r="AI6432">
        <v>94.282892468198696</v>
      </c>
      <c r="AJ6432">
        <v>90.407993728948</v>
      </c>
      <c r="AK6432">
        <v>14.837688729900099</v>
      </c>
      <c r="AL6432">
        <v>82.937810261525797</v>
      </c>
      <c r="AM6432">
        <v>84.444177452730798</v>
      </c>
      <c r="AN6432">
        <v>1.0000000278321199</v>
      </c>
    </row>
    <row r="6433" spans="1:40" x14ac:dyDescent="0.25">
      <c r="A6433" t="str">
        <f>"20190312164629483"</f>
        <v>20190312164629483</v>
      </c>
      <c r="B6433" t="str">
        <f>"1552380389478014"</f>
        <v>1552380389478014</v>
      </c>
      <c r="C6433" t="s">
        <v>40</v>
      </c>
      <c r="D6433">
        <v>4.7623230000000003</v>
      </c>
      <c r="E6433">
        <v>0.46849849999999998</v>
      </c>
      <c r="F6433" t="s">
        <v>42</v>
      </c>
      <c r="G6433">
        <v>-188.0651</v>
      </c>
      <c r="H6433" s="1">
        <v>-4.4308890000000001E-6</v>
      </c>
      <c r="I6433">
        <v>-10.838749999999999</v>
      </c>
      <c r="J6433">
        <v>-187.0693</v>
      </c>
      <c r="K6433">
        <v>1.1080509999999999</v>
      </c>
      <c r="L6433">
        <v>-26.03021</v>
      </c>
      <c r="M6433">
        <v>-6.0238529999999998E-2</v>
      </c>
      <c r="N6433">
        <v>0</v>
      </c>
      <c r="O6433">
        <v>0.99810569999999998</v>
      </c>
      <c r="P6433">
        <v>3.6425520000000003E-2</v>
      </c>
      <c r="Q6433">
        <v>0.1120567</v>
      </c>
      <c r="R6433">
        <v>0.99303399999999997</v>
      </c>
      <c r="S6433">
        <v>-0.19960020000000001</v>
      </c>
      <c r="T6433">
        <v>-0.21832470000000001</v>
      </c>
      <c r="U6433">
        <v>3.0517880000000002</v>
      </c>
      <c r="V6433">
        <v>9.6406679999999995E-2</v>
      </c>
      <c r="W6433">
        <v>0.1242417</v>
      </c>
      <c r="X6433">
        <v>0.98755749999999998</v>
      </c>
      <c r="Y6433">
        <v>-4.8661529999999998E-3</v>
      </c>
      <c r="Z6433">
        <v>-7.1087629999999999E-2</v>
      </c>
      <c r="AA6433">
        <v>0.99745819999999996</v>
      </c>
      <c r="AB6433">
        <v>28</v>
      </c>
      <c r="AC6433">
        <v>-0.99580000000000202</v>
      </c>
      <c r="AD6433">
        <v>-1.108055430889</v>
      </c>
      <c r="AE6433">
        <v>15.191459999999999</v>
      </c>
      <c r="AF6433">
        <v>-7.8393317567547499E-2</v>
      </c>
      <c r="AG6433">
        <v>-1.108055430889</v>
      </c>
      <c r="AH6433">
        <v>15.1436366393798</v>
      </c>
      <c r="AI6433">
        <v>94.184801760580001</v>
      </c>
      <c r="AJ6433">
        <v>90.296597589116899</v>
      </c>
      <c r="AK6433">
        <v>15.184322935703401</v>
      </c>
      <c r="AL6433">
        <v>82.863033195986205</v>
      </c>
      <c r="AM6433">
        <v>84.424376572777106</v>
      </c>
      <c r="AN6433">
        <v>1.00000003188688</v>
      </c>
    </row>
    <row r="6434" spans="1:40" x14ac:dyDescent="0.25">
      <c r="A6434" t="str">
        <f>"20190312164629507"</f>
        <v>20190312164629507</v>
      </c>
      <c r="B6434" t="str">
        <f>"1552380389497533"</f>
        <v>1552380389497533</v>
      </c>
      <c r="C6434" t="s">
        <v>40</v>
      </c>
      <c r="D6434">
        <v>4.7412700000000001</v>
      </c>
      <c r="E6434">
        <v>0.46905479999999999</v>
      </c>
      <c r="F6434" t="s">
        <v>42</v>
      </c>
      <c r="G6434">
        <v>-188.04499999999999</v>
      </c>
      <c r="H6434" s="1">
        <v>-5.6291319999999996E-7</v>
      </c>
      <c r="I6434">
        <v>-10.2263</v>
      </c>
      <c r="J6434">
        <v>-187.08609999999999</v>
      </c>
      <c r="K6434">
        <v>1.1080000000000001</v>
      </c>
      <c r="L6434">
        <v>-25.732209999999998</v>
      </c>
      <c r="M6434">
        <v>-5.914606E-2</v>
      </c>
      <c r="N6434">
        <v>0</v>
      </c>
      <c r="O6434">
        <v>0.99817230000000001</v>
      </c>
      <c r="P6434">
        <v>3.8361329999999999E-2</v>
      </c>
      <c r="Q6434">
        <v>0.11272740000000001</v>
      </c>
      <c r="R6434">
        <v>0.99288520000000002</v>
      </c>
      <c r="S6434">
        <v>-0.188446</v>
      </c>
      <c r="T6434">
        <v>-0.21398990000000001</v>
      </c>
      <c r="U6434">
        <v>3.0520939999999999</v>
      </c>
      <c r="V6434">
        <v>9.7262029999999999E-2</v>
      </c>
      <c r="W6434">
        <v>0.12479990000000001</v>
      </c>
      <c r="X6434">
        <v>0.98740320000000004</v>
      </c>
      <c r="Y6434">
        <v>-2.3296689999999999E-3</v>
      </c>
      <c r="Z6434">
        <v>-6.9691379999999997E-2</v>
      </c>
      <c r="AA6434">
        <v>0.99756590000000001</v>
      </c>
      <c r="AB6434">
        <v>28</v>
      </c>
      <c r="AC6434">
        <v>-0.95889999999999997</v>
      </c>
      <c r="AD6434">
        <v>-1.1080005629131999</v>
      </c>
      <c r="AE6434">
        <v>15.50591</v>
      </c>
      <c r="AF6434">
        <v>-3.9834392589925202E-2</v>
      </c>
      <c r="AG6434">
        <v>-1.1080005629131999</v>
      </c>
      <c r="AH6434">
        <v>15.456856877904199</v>
      </c>
      <c r="AI6434">
        <v>94.100131309833202</v>
      </c>
      <c r="AJ6434">
        <v>90.147658578978906</v>
      </c>
      <c r="AK6434">
        <v>15.496569832394</v>
      </c>
      <c r="AL6434">
        <v>82.830799579003596</v>
      </c>
      <c r="AM6434">
        <v>84.3743504170546</v>
      </c>
      <c r="AN6434">
        <v>0.99999999844498499</v>
      </c>
    </row>
    <row r="6435" spans="1:40" x14ac:dyDescent="0.25">
      <c r="A6435" t="str">
        <f>"20190312164629527"</f>
        <v>20190312164629527</v>
      </c>
      <c r="B6435" t="str">
        <f>"1552380389518030"</f>
        <v>1552380389518030</v>
      </c>
      <c r="C6435" t="s">
        <v>40</v>
      </c>
      <c r="D6435">
        <v>4.7226119999999998</v>
      </c>
      <c r="E6435">
        <v>0.46967350000000002</v>
      </c>
      <c r="F6435" t="s">
        <v>42</v>
      </c>
      <c r="G6435">
        <v>-188.01429999999999</v>
      </c>
      <c r="H6435" s="1">
        <v>-7.0691890000000001E-7</v>
      </c>
      <c r="I6435">
        <v>-9.8271719999999991</v>
      </c>
      <c r="J6435">
        <v>-187.10050000000001</v>
      </c>
      <c r="K6435">
        <v>1.107931</v>
      </c>
      <c r="L6435">
        <v>-25.470179999999999</v>
      </c>
      <c r="M6435">
        <v>-5.8119270000000001E-2</v>
      </c>
      <c r="N6435">
        <v>0</v>
      </c>
      <c r="O6435">
        <v>0.99823360000000005</v>
      </c>
      <c r="P6435">
        <v>4.0278550000000003E-2</v>
      </c>
      <c r="Q6435">
        <v>0.1128111</v>
      </c>
      <c r="R6435">
        <v>0.99279969999999995</v>
      </c>
      <c r="S6435">
        <v>-0.17814639999999901</v>
      </c>
      <c r="T6435">
        <v>-0.21264920000000001</v>
      </c>
      <c r="U6435">
        <v>3.052521</v>
      </c>
      <c r="V6435">
        <v>9.8169210000000007E-2</v>
      </c>
      <c r="W6435">
        <v>0.1247843</v>
      </c>
      <c r="X6435">
        <v>0.98731539999999995</v>
      </c>
      <c r="Y6435" s="1">
        <v>2.317131E-6</v>
      </c>
      <c r="Z6435">
        <v>-6.9260569999999994E-2</v>
      </c>
      <c r="AA6435">
        <v>0.9975986</v>
      </c>
      <c r="AB6435">
        <v>28</v>
      </c>
      <c r="AC6435">
        <v>-0.91379999999997996</v>
      </c>
      <c r="AD6435">
        <v>-1.1079317069188901</v>
      </c>
      <c r="AE6435">
        <v>15.643007999999901</v>
      </c>
      <c r="AF6435">
        <v>-3.0108358750964201E-3</v>
      </c>
      <c r="AG6435">
        <v>-1.1079317069188901</v>
      </c>
      <c r="AH6435">
        <v>15.5917280425047</v>
      </c>
      <c r="AI6435">
        <v>94.064545479464797</v>
      </c>
      <c r="AJ6435">
        <v>90.011064083842001</v>
      </c>
      <c r="AK6435">
        <v>15.631042994111301</v>
      </c>
      <c r="AL6435">
        <v>82.831700498309999</v>
      </c>
      <c r="AM6435">
        <v>84.321718654625997</v>
      </c>
      <c r="AN6435">
        <v>1.0000000071978301</v>
      </c>
    </row>
    <row r="6436" spans="1:40" x14ac:dyDescent="0.25">
      <c r="A6436" t="str">
        <f>"20190312164629550"</f>
        <v>20190312164629550</v>
      </c>
      <c r="B6436" t="str">
        <f>"1552380389537549"</f>
        <v>1552380389537549</v>
      </c>
      <c r="C6436" t="s">
        <v>40</v>
      </c>
      <c r="D6436">
        <v>4.757047</v>
      </c>
      <c r="E6436">
        <v>0.47012009999999999</v>
      </c>
      <c r="F6436" t="s">
        <v>42</v>
      </c>
      <c r="G6436">
        <v>-187.97989999999999</v>
      </c>
      <c r="H6436" s="1">
        <v>-8.4874069999999901E-7</v>
      </c>
      <c r="I6436">
        <v>-9.4372810000000005</v>
      </c>
      <c r="J6436">
        <v>-187.11519999999999</v>
      </c>
      <c r="K6436">
        <v>1.1078570000000001</v>
      </c>
      <c r="L6436">
        <v>-25.197019999999998</v>
      </c>
      <c r="M6436">
        <v>-5.6968049999999999E-2</v>
      </c>
      <c r="N6436">
        <v>0</v>
      </c>
      <c r="O6436">
        <v>0.99830110000000005</v>
      </c>
      <c r="P6436">
        <v>4.1750309999999999E-2</v>
      </c>
      <c r="Q6436">
        <v>0.1130761</v>
      </c>
      <c r="R6436">
        <v>0.9927087</v>
      </c>
      <c r="S6436">
        <v>-0.16743469999999999</v>
      </c>
      <c r="T6436">
        <v>-0.21094019999999999</v>
      </c>
      <c r="U6436">
        <v>3.052521</v>
      </c>
      <c r="V6436">
        <v>9.8513379999999998E-2</v>
      </c>
      <c r="W6436">
        <v>0.12494420000000001</v>
      </c>
      <c r="X6436">
        <v>0.9872609</v>
      </c>
      <c r="Y6436">
        <v>2.3364890000000002E-3</v>
      </c>
      <c r="Z6436">
        <v>-6.8720110000000001E-2</v>
      </c>
      <c r="AA6436">
        <v>0.9976332</v>
      </c>
      <c r="AB6436">
        <v>28</v>
      </c>
      <c r="AC6436">
        <v>-0.86469999999999902</v>
      </c>
      <c r="AD6436">
        <v>-1.10785784874069</v>
      </c>
      <c r="AE6436">
        <v>15.759739</v>
      </c>
      <c r="AF6436">
        <v>3.44037234405387E-2</v>
      </c>
      <c r="AG6436">
        <v>-1.10785784874069</v>
      </c>
      <c r="AH6436">
        <v>15.706024960266401</v>
      </c>
      <c r="AI6436">
        <v>94.034787087913998</v>
      </c>
      <c r="AJ6436">
        <v>89.874494978522193</v>
      </c>
      <c r="AK6436">
        <v>15.7450866203306</v>
      </c>
      <c r="AL6436">
        <v>82.822466671510199</v>
      </c>
      <c r="AM6436">
        <v>84.301629543770204</v>
      </c>
      <c r="AN6436">
        <v>1.00000001191073</v>
      </c>
    </row>
    <row r="6437" spans="1:40" x14ac:dyDescent="0.25">
      <c r="A6437" t="str">
        <f>"20190312164629572"</f>
        <v>20190312164629572</v>
      </c>
      <c r="B6437" t="str">
        <f>"1552380389567805"</f>
        <v>1552380389567805</v>
      </c>
      <c r="C6437" t="s">
        <v>40</v>
      </c>
      <c r="D6437">
        <v>4.7001359999999996</v>
      </c>
      <c r="E6437">
        <v>0.4706304</v>
      </c>
      <c r="F6437" t="s">
        <v>41</v>
      </c>
      <c r="G6437">
        <v>-187.166</v>
      </c>
      <c r="H6437">
        <v>1.0407599999999999</v>
      </c>
      <c r="I6437">
        <v>-24.219010000000001</v>
      </c>
      <c r="J6437">
        <v>-187.13050000000001</v>
      </c>
      <c r="K6437">
        <v>1.1077669999999999</v>
      </c>
      <c r="L6437">
        <v>-24.903169999999999</v>
      </c>
      <c r="M6437">
        <v>-5.5617720000000002E-2</v>
      </c>
      <c r="N6437">
        <v>0</v>
      </c>
      <c r="O6437">
        <v>0.99837830000000005</v>
      </c>
      <c r="P6437">
        <v>4.3133039999999997E-2</v>
      </c>
      <c r="Q6437">
        <v>0.1129744</v>
      </c>
      <c r="R6437">
        <v>0.99266120000000002</v>
      </c>
      <c r="S6437">
        <v>-0.15885929999999901</v>
      </c>
      <c r="T6437">
        <v>-0.20938480000000001</v>
      </c>
      <c r="U6437">
        <v>3.0525509999999998</v>
      </c>
      <c r="V6437">
        <v>9.8577559999999995E-2</v>
      </c>
      <c r="W6437">
        <v>0.1247356</v>
      </c>
      <c r="X6437">
        <v>0.98728079999999996</v>
      </c>
      <c r="Y6437">
        <v>3.7772560000000001E-3</v>
      </c>
      <c r="Z6437">
        <v>-6.8227780000000002E-2</v>
      </c>
      <c r="AA6437">
        <v>0.99766259999999996</v>
      </c>
      <c r="AB6437">
        <v>28</v>
      </c>
      <c r="AC6437">
        <v>-3.5499999999984697E-2</v>
      </c>
      <c r="AD6437">
        <v>-6.7006999999999803E-2</v>
      </c>
      <c r="AE6437">
        <v>0.68416000000000199</v>
      </c>
      <c r="AF6437">
        <v>2.5844575686318201E-3</v>
      </c>
      <c r="AG6437">
        <v>-6.7006999999999803E-2</v>
      </c>
      <c r="AH6437">
        <v>0.67858369864128798</v>
      </c>
      <c r="AI6437">
        <v>95.639370557534093</v>
      </c>
      <c r="AJ6437">
        <v>89.781784037351699</v>
      </c>
      <c r="AK6437">
        <v>0.68188888649956403</v>
      </c>
      <c r="AL6437">
        <v>82.834512303019594</v>
      </c>
      <c r="AM6437">
        <v>84.298055771535999</v>
      </c>
      <c r="AN6437">
        <v>0.99999994164577499</v>
      </c>
    </row>
    <row r="6438" spans="1:40" x14ac:dyDescent="0.25">
      <c r="A6438" t="str">
        <f>"20190312164629594"</f>
        <v>20190312164629594</v>
      </c>
      <c r="B6438" t="str">
        <f>"1552380389587325"</f>
        <v>1552380389587325</v>
      </c>
      <c r="C6438" t="s">
        <v>40</v>
      </c>
      <c r="D6438">
        <v>4.7236719999999996</v>
      </c>
      <c r="E6438">
        <v>0.47093420000000003</v>
      </c>
      <c r="F6438" t="s">
        <v>41</v>
      </c>
      <c r="G6438">
        <v>-187.17660000000001</v>
      </c>
      <c r="H6438">
        <v>1.0428759999999999</v>
      </c>
      <c r="I6438">
        <v>-23.964289999999998</v>
      </c>
      <c r="J6438">
        <v>-187.14429999999999</v>
      </c>
      <c r="K6438">
        <v>1.1076979999999901</v>
      </c>
      <c r="L6438">
        <v>-24.628879999999999</v>
      </c>
      <c r="M6438">
        <v>-5.4272859999999999E-2</v>
      </c>
      <c r="N6438">
        <v>0</v>
      </c>
      <c r="O6438">
        <v>0.99845329999999999</v>
      </c>
      <c r="P6438">
        <v>4.4473409999999998E-2</v>
      </c>
      <c r="Q6438">
        <v>0.11290360000000001</v>
      </c>
      <c r="R6438">
        <v>0.9926102</v>
      </c>
      <c r="S6438">
        <v>-0.1504211</v>
      </c>
      <c r="T6438">
        <v>-0.2108843</v>
      </c>
      <c r="U6438">
        <v>3.0527039999999999</v>
      </c>
      <c r="V6438">
        <v>9.8602029999999993E-2</v>
      </c>
      <c r="W6438">
        <v>0.1245738</v>
      </c>
      <c r="X6438">
        <v>0.98729880000000003</v>
      </c>
      <c r="Y6438">
        <v>5.1850899999999998E-3</v>
      </c>
      <c r="Z6438">
        <v>-6.8722870000000005E-2</v>
      </c>
      <c r="AA6438">
        <v>0.99762229999999996</v>
      </c>
      <c r="AB6438">
        <v>28</v>
      </c>
      <c r="AC6438">
        <v>-3.2300000000020597E-2</v>
      </c>
      <c r="AD6438">
        <v>-6.4821999999999894E-2</v>
      </c>
      <c r="AE6438">
        <v>0.66459000000000001</v>
      </c>
      <c r="AF6438">
        <v>3.7835267382805098E-3</v>
      </c>
      <c r="AG6438">
        <v>-6.4821999999999894E-2</v>
      </c>
      <c r="AH6438">
        <v>0.65910788497829498</v>
      </c>
      <c r="AI6438">
        <v>95.616775438047796</v>
      </c>
      <c r="AJ6438">
        <v>89.671104325013005</v>
      </c>
      <c r="AK6438">
        <v>0.66229858130539698</v>
      </c>
      <c r="AL6438">
        <v>82.843855741857595</v>
      </c>
      <c r="AM6438">
        <v>84.296752998220498</v>
      </c>
      <c r="AN6438">
        <v>0.99999995622399895</v>
      </c>
    </row>
    <row r="6439" spans="1:40" x14ac:dyDescent="0.25">
      <c r="A6439" t="str">
        <f>"20190312164629615"</f>
        <v>20190312164629615</v>
      </c>
      <c r="B6439" t="str">
        <f>"1552380389607821"</f>
        <v>1552380389607821</v>
      </c>
      <c r="C6439" t="s">
        <v>40</v>
      </c>
      <c r="D6439">
        <v>4.7359770000000001</v>
      </c>
      <c r="E6439">
        <v>0.47125099999999998</v>
      </c>
      <c r="F6439" t="s">
        <v>41</v>
      </c>
      <c r="G6439">
        <v>-187.18799999999999</v>
      </c>
      <c r="H6439">
        <v>1.0435950000000001</v>
      </c>
      <c r="I6439">
        <v>-23.70514</v>
      </c>
      <c r="J6439">
        <v>-187.15780000000001</v>
      </c>
      <c r="K6439">
        <v>1.1076299999999999</v>
      </c>
      <c r="L6439">
        <v>-24.35294</v>
      </c>
      <c r="M6439">
        <v>-5.2829519999999998E-2</v>
      </c>
      <c r="N6439">
        <v>0</v>
      </c>
      <c r="O6439">
        <v>0.99853150000000002</v>
      </c>
      <c r="P6439">
        <v>4.5270739999999997E-2</v>
      </c>
      <c r="Q6439">
        <v>0.112668</v>
      </c>
      <c r="R6439">
        <v>0.99260090000000001</v>
      </c>
      <c r="S6439">
        <v>-0.1443024</v>
      </c>
      <c r="T6439">
        <v>-0.21182680000000001</v>
      </c>
      <c r="U6439">
        <v>3.0528870000000001</v>
      </c>
      <c r="V6439">
        <v>9.7987290000000005E-2</v>
      </c>
      <c r="W6439">
        <v>0.1242516</v>
      </c>
      <c r="X6439">
        <v>0.98740070000000002</v>
      </c>
      <c r="Y6439">
        <v>5.7383410000000001E-3</v>
      </c>
      <c r="Z6439">
        <v>-6.9035659999999999E-2</v>
      </c>
      <c r="AA6439">
        <v>0.99759770000000003</v>
      </c>
      <c r="AB6439">
        <v>28</v>
      </c>
      <c r="AC6439">
        <v>-3.0199999999979299E-2</v>
      </c>
      <c r="AD6439">
        <v>-6.40349999999998E-2</v>
      </c>
      <c r="AE6439">
        <v>0.64780000000000004</v>
      </c>
      <c r="AF6439">
        <v>4.0283277109705298E-3</v>
      </c>
      <c r="AG6439">
        <v>-6.40349999999998E-2</v>
      </c>
      <c r="AH6439">
        <v>0.642229001407424</v>
      </c>
      <c r="AI6439">
        <v>95.693884047963195</v>
      </c>
      <c r="AJ6439">
        <v>89.640621726806501</v>
      </c>
      <c r="AK6439">
        <v>0.64542605997738001</v>
      </c>
      <c r="AL6439">
        <v>82.862461709303105</v>
      </c>
      <c r="AM6439">
        <v>84.332659102177303</v>
      </c>
      <c r="AN6439">
        <v>1.0000000557322899</v>
      </c>
    </row>
    <row r="6440" spans="1:40" x14ac:dyDescent="0.25">
      <c r="A6440" t="str">
        <f>"20190312164629638"</f>
        <v>20190312164629638</v>
      </c>
      <c r="B6440" t="str">
        <f>"1552380389628317"</f>
        <v>1552380389628317</v>
      </c>
      <c r="C6440" t="s">
        <v>40</v>
      </c>
      <c r="D6440">
        <v>4.7294489999999998</v>
      </c>
      <c r="E6440">
        <v>0.47152490000000002</v>
      </c>
      <c r="F6440" t="s">
        <v>42</v>
      </c>
      <c r="G6440">
        <v>-187.8852</v>
      </c>
      <c r="H6440" s="1">
        <v>-1.2038569999999999E-6</v>
      </c>
      <c r="I6440">
        <v>-8.4678050000000002</v>
      </c>
      <c r="J6440">
        <v>-187.17089999999999</v>
      </c>
      <c r="K6440">
        <v>1.1075600000000001</v>
      </c>
      <c r="L6440">
        <v>-24.07443</v>
      </c>
      <c r="M6440">
        <v>-5.1279569999999997E-2</v>
      </c>
      <c r="N6440">
        <v>0</v>
      </c>
      <c r="O6440">
        <v>0.99861319999999998</v>
      </c>
      <c r="P6440">
        <v>4.6707419999999999E-2</v>
      </c>
      <c r="Q6440">
        <v>0.1132243</v>
      </c>
      <c r="R6440">
        <v>0.99247099999999999</v>
      </c>
      <c r="S6440">
        <v>-0.13980100000000001</v>
      </c>
      <c r="T6440">
        <v>-0.21287020000000001</v>
      </c>
      <c r="U6440">
        <v>3.0528870000000001</v>
      </c>
      <c r="V6440">
        <v>9.790124E-2</v>
      </c>
      <c r="W6440">
        <v>0.12472419999999999</v>
      </c>
      <c r="X6440">
        <v>0.98734960000000005</v>
      </c>
      <c r="Y6440">
        <v>5.654994E-3</v>
      </c>
      <c r="Z6440">
        <v>-6.9384870000000001E-2</v>
      </c>
      <c r="AA6440">
        <v>0.99757390000000001</v>
      </c>
      <c r="AB6440">
        <v>28</v>
      </c>
      <c r="AC6440">
        <v>-0.71430000000000804</v>
      </c>
      <c r="AD6440">
        <v>-1.107561203857</v>
      </c>
      <c r="AE6440">
        <v>15.606624999999999</v>
      </c>
      <c r="AF6440">
        <v>8.6562740547595704E-2</v>
      </c>
      <c r="AG6440">
        <v>-1.107561203857</v>
      </c>
      <c r="AH6440">
        <v>15.544595972121099</v>
      </c>
      <c r="AI6440">
        <v>94.0754062768425</v>
      </c>
      <c r="AJ6440">
        <v>89.680941953100799</v>
      </c>
      <c r="AK6440">
        <v>15.5842436090053</v>
      </c>
      <c r="AL6440">
        <v>82.835171077515795</v>
      </c>
      <c r="AM6440">
        <v>84.337312512044207</v>
      </c>
      <c r="AN6440">
        <v>1.0000000057396601</v>
      </c>
    </row>
    <row r="6441" spans="1:40" x14ac:dyDescent="0.25">
      <c r="A6441" t="str">
        <f>"20190312164629661"</f>
        <v>20190312164629661</v>
      </c>
      <c r="B6441" t="str">
        <f>"1552380389657598"</f>
        <v>1552380389657598</v>
      </c>
      <c r="C6441" t="s">
        <v>40</v>
      </c>
      <c r="D6441">
        <v>4.6973969999999996</v>
      </c>
      <c r="E6441">
        <v>0.47192810000000002</v>
      </c>
      <c r="F6441" t="s">
        <v>42</v>
      </c>
      <c r="G6441">
        <v>-187.87090000000001</v>
      </c>
      <c r="H6441" s="1">
        <v>-1.3546809999999901E-6</v>
      </c>
      <c r="I6441">
        <v>-8.0897640000000006</v>
      </c>
      <c r="J6441">
        <v>-187.1841</v>
      </c>
      <c r="K6441">
        <v>1.1074889999999999</v>
      </c>
      <c r="L6441">
        <v>-23.78058</v>
      </c>
      <c r="M6441">
        <v>-4.955056E-2</v>
      </c>
      <c r="N6441">
        <v>0</v>
      </c>
      <c r="O6441">
        <v>0.99870119999999896</v>
      </c>
      <c r="P6441">
        <v>4.7039169999999998E-2</v>
      </c>
      <c r="Q6441">
        <v>0.1138508</v>
      </c>
      <c r="R6441">
        <v>0.99238369999999998</v>
      </c>
      <c r="S6441">
        <v>-0.13371279999999999</v>
      </c>
      <c r="T6441">
        <v>-0.2115525</v>
      </c>
      <c r="U6441">
        <v>3.0531920000000001</v>
      </c>
      <c r="V6441">
        <v>9.6538360000000004E-2</v>
      </c>
      <c r="W6441">
        <v>0.12527639999999901</v>
      </c>
      <c r="X6441">
        <v>0.98741389999999996</v>
      </c>
      <c r="Y6441">
        <v>5.9121570000000003E-3</v>
      </c>
      <c r="Z6441">
        <v>-6.8962599999999999E-2</v>
      </c>
      <c r="AA6441">
        <v>0.99760170000000004</v>
      </c>
      <c r="AB6441">
        <v>28</v>
      </c>
      <c r="AC6441">
        <v>-0.68680000000000496</v>
      </c>
      <c r="AD6441">
        <v>-1.107490354681</v>
      </c>
      <c r="AE6441">
        <v>15.690816</v>
      </c>
      <c r="AF6441">
        <v>9.1134030813652095E-2</v>
      </c>
      <c r="AG6441">
        <v>-1.107490354681</v>
      </c>
      <c r="AH6441">
        <v>15.627866180739099</v>
      </c>
      <c r="AI6441">
        <v>94.053499310287094</v>
      </c>
      <c r="AJ6441">
        <v>89.665882975507799</v>
      </c>
      <c r="AK6441">
        <v>15.6673240108314</v>
      </c>
      <c r="AL6441">
        <v>82.803282341917907</v>
      </c>
      <c r="AM6441">
        <v>84.416002189154497</v>
      </c>
      <c r="AN6441">
        <v>1.0000000206308199</v>
      </c>
    </row>
    <row r="6442" spans="1:40" x14ac:dyDescent="0.25">
      <c r="A6442" t="str">
        <f>"20190312164629684"</f>
        <v>20190312164629684</v>
      </c>
      <c r="B6442" t="str">
        <f>"1552380389677117"</f>
        <v>1552380389677117</v>
      </c>
      <c r="C6442" t="s">
        <v>40</v>
      </c>
      <c r="D6442">
        <v>4.7622809999999998</v>
      </c>
      <c r="E6442">
        <v>0.4721785</v>
      </c>
      <c r="F6442" t="s">
        <v>42</v>
      </c>
      <c r="G6442">
        <v>-187.86519999999999</v>
      </c>
      <c r="H6442" s="1">
        <v>-1.519046E-6</v>
      </c>
      <c r="I6442">
        <v>-7.7090059999999996</v>
      </c>
      <c r="J6442">
        <v>-187.19720000000001</v>
      </c>
      <c r="K6442">
        <v>1.1074170000000001</v>
      </c>
      <c r="L6442">
        <v>-23.47842</v>
      </c>
      <c r="M6442">
        <v>-4.7688439999999999E-2</v>
      </c>
      <c r="N6442">
        <v>0</v>
      </c>
      <c r="O6442">
        <v>0.99879249999999997</v>
      </c>
      <c r="P6442">
        <v>4.8484590000000001E-2</v>
      </c>
      <c r="Q6442">
        <v>0.1140868</v>
      </c>
      <c r="R6442">
        <v>0.99228700000000003</v>
      </c>
      <c r="S6442">
        <v>-0.1293793</v>
      </c>
      <c r="T6442">
        <v>-0.21040139999999999</v>
      </c>
      <c r="U6442">
        <v>3.0532840000000001</v>
      </c>
      <c r="V6442">
        <v>9.6154669999999998E-2</v>
      </c>
      <c r="W6442">
        <v>0.125441</v>
      </c>
      <c r="X6442">
        <v>0.98743040000000004</v>
      </c>
      <c r="Y6442">
        <v>5.4611969999999897E-3</v>
      </c>
      <c r="Z6442">
        <v>-6.8598580000000006E-2</v>
      </c>
      <c r="AA6442">
        <v>0.9976294</v>
      </c>
      <c r="AB6442">
        <v>28</v>
      </c>
      <c r="AC6442">
        <v>-0.66799999999997794</v>
      </c>
      <c r="AD6442">
        <v>-1.107418519046</v>
      </c>
      <c r="AE6442">
        <v>15.769413999999999</v>
      </c>
      <c r="AF6442">
        <v>8.4415711146926198E-2</v>
      </c>
      <c r="AG6442">
        <v>-1.107418519046</v>
      </c>
      <c r="AH6442">
        <v>15.706010246468001</v>
      </c>
      <c r="AI6442">
        <v>94.0331476911377</v>
      </c>
      <c r="AJ6442">
        <v>89.692053085114594</v>
      </c>
      <c r="AK6442">
        <v>15.745229742711601</v>
      </c>
      <c r="AL6442">
        <v>82.793776174814298</v>
      </c>
      <c r="AM6442">
        <v>84.438148609064001</v>
      </c>
      <c r="AN6442">
        <v>0.99999997994398404</v>
      </c>
    </row>
    <row r="6443" spans="1:40" x14ac:dyDescent="0.25">
      <c r="A6443" t="str">
        <f>"20190312164629707"</f>
        <v>20190312164629707</v>
      </c>
      <c r="B6443" t="str">
        <f>"1552380389697613"</f>
        <v>1552380389697613</v>
      </c>
      <c r="C6443" t="s">
        <v>40</v>
      </c>
      <c r="D6443">
        <v>4.6792179999999997</v>
      </c>
      <c r="E6443">
        <v>0.4724351</v>
      </c>
      <c r="F6443" t="s">
        <v>42</v>
      </c>
      <c r="G6443">
        <v>-187.84460000000001</v>
      </c>
      <c r="H6443" s="1">
        <v>-1.662018E-6</v>
      </c>
      <c r="I6443">
        <v>-7.3842399999999904</v>
      </c>
      <c r="J6443">
        <v>-187.2088</v>
      </c>
      <c r="K6443">
        <v>1.107361</v>
      </c>
      <c r="L6443">
        <v>-23.194610000000001</v>
      </c>
      <c r="M6443">
        <v>-4.5875140000000002E-2</v>
      </c>
      <c r="N6443">
        <v>0</v>
      </c>
      <c r="O6443">
        <v>0.99887809999999999</v>
      </c>
      <c r="P6443">
        <v>4.9733720000000002E-2</v>
      </c>
      <c r="Q6443">
        <v>0.1142587</v>
      </c>
      <c r="R6443">
        <v>0.99220540000000002</v>
      </c>
      <c r="S6443">
        <v>-0.12283330000000001</v>
      </c>
      <c r="T6443">
        <v>-0.21010480000000001</v>
      </c>
      <c r="U6443">
        <v>3.0534669999999999</v>
      </c>
      <c r="V6443">
        <v>9.5620860000000002E-2</v>
      </c>
      <c r="W6443">
        <v>0.1255493</v>
      </c>
      <c r="X6443">
        <v>0.98746849999999997</v>
      </c>
      <c r="Y6443">
        <v>5.7831219999999999E-3</v>
      </c>
      <c r="Z6443">
        <v>-6.8509909999999993E-2</v>
      </c>
      <c r="AA6443">
        <v>0.99763369999999996</v>
      </c>
      <c r="AB6443">
        <v>28</v>
      </c>
      <c r="AC6443">
        <v>-0.63580000000001702</v>
      </c>
      <c r="AD6443">
        <v>-1.1073626620179999</v>
      </c>
      <c r="AE6443">
        <v>15.810370000000001</v>
      </c>
      <c r="AF6443">
        <v>8.9782736693955506E-2</v>
      </c>
      <c r="AG6443">
        <v>-1.1073626620179999</v>
      </c>
      <c r="AH6443">
        <v>15.7457732957002</v>
      </c>
      <c r="AI6443">
        <v>94.022786686952202</v>
      </c>
      <c r="AJ6443">
        <v>89.673301778243697</v>
      </c>
      <c r="AK6443">
        <v>15.784919692055</v>
      </c>
      <c r="AL6443">
        <v>82.787521791013404</v>
      </c>
      <c r="AM6443">
        <v>84.469045731599607</v>
      </c>
      <c r="AN6443">
        <v>1.00000000704493</v>
      </c>
    </row>
    <row r="6444" spans="1:40" x14ac:dyDescent="0.25">
      <c r="A6444" t="str">
        <f>"20190312164629726"</f>
        <v>20190312164629726</v>
      </c>
      <c r="B6444" t="str">
        <f>"1552380389717133"</f>
        <v>1552380389717133</v>
      </c>
      <c r="C6444" t="s">
        <v>40</v>
      </c>
      <c r="D6444">
        <v>4.6853590000000001</v>
      </c>
      <c r="E6444">
        <v>0.47271750000000001</v>
      </c>
      <c r="F6444" t="s">
        <v>42</v>
      </c>
      <c r="G6444">
        <v>-187.82740000000001</v>
      </c>
      <c r="H6444" s="1">
        <v>-1.794763E-6</v>
      </c>
      <c r="I6444">
        <v>-7.0819239999999999</v>
      </c>
      <c r="J6444">
        <v>-187.21860000000001</v>
      </c>
      <c r="K6444">
        <v>1.1073219999999999</v>
      </c>
      <c r="L6444">
        <v>-22.941800000000001</v>
      </c>
      <c r="M6444">
        <v>-4.4221299999999998E-2</v>
      </c>
      <c r="N6444">
        <v>0</v>
      </c>
      <c r="O6444">
        <v>0.99895319999999999</v>
      </c>
      <c r="P6444">
        <v>5.0942950000000001E-2</v>
      </c>
      <c r="Q6444">
        <v>0.11473940000000001</v>
      </c>
      <c r="R6444">
        <v>0.99208859999999999</v>
      </c>
      <c r="S6444">
        <v>-0.1172333</v>
      </c>
      <c r="T6444">
        <v>-0.20986340000000001</v>
      </c>
      <c r="U6444">
        <v>3.0536189999999999</v>
      </c>
      <c r="V6444">
        <v>9.5199649999999997E-2</v>
      </c>
      <c r="W6444">
        <v>0.12597739999999999</v>
      </c>
      <c r="X6444">
        <v>0.98745470000000002</v>
      </c>
      <c r="Y6444">
        <v>5.9560159999999997E-3</v>
      </c>
      <c r="Z6444">
        <v>-6.8438250000000006E-2</v>
      </c>
      <c r="AA6444">
        <v>0.99763760000000001</v>
      </c>
      <c r="AB6444">
        <v>28</v>
      </c>
      <c r="AC6444">
        <v>-0.60880000000000201</v>
      </c>
      <c r="AD6444">
        <v>-1.1073237947629999</v>
      </c>
      <c r="AE6444">
        <v>15.859876</v>
      </c>
      <c r="AF6444">
        <v>9.2736609221296701E-2</v>
      </c>
      <c r="AG6444">
        <v>-1.1073237947629999</v>
      </c>
      <c r="AH6444">
        <v>15.7944028657374</v>
      </c>
      <c r="AI6444">
        <v>94.010297137167498</v>
      </c>
      <c r="AJ6444">
        <v>89.663592520570802</v>
      </c>
      <c r="AK6444">
        <v>15.833443338400899</v>
      </c>
      <c r="AL6444">
        <v>82.7627973396432</v>
      </c>
      <c r="AM6444">
        <v>84.493183017945</v>
      </c>
      <c r="AN6444">
        <v>1.0000000316114801</v>
      </c>
    </row>
    <row r="6445" spans="1:40" x14ac:dyDescent="0.25">
      <c r="A6445" t="str">
        <f>"20190312164629751"</f>
        <v>20190312164629751</v>
      </c>
      <c r="B6445" t="str">
        <f>"1552380389747389"</f>
        <v>1552380389747389</v>
      </c>
      <c r="C6445" t="s">
        <v>40</v>
      </c>
      <c r="D6445">
        <v>4.807442</v>
      </c>
      <c r="E6445">
        <v>0.47307369999999999</v>
      </c>
      <c r="F6445" t="s">
        <v>42</v>
      </c>
      <c r="G6445">
        <v>-187.8133</v>
      </c>
      <c r="H6445" s="1">
        <v>-1.9816849999999998E-6</v>
      </c>
      <c r="I6445">
        <v>-6.6520409999999996</v>
      </c>
      <c r="J6445">
        <v>-187.22989999999999</v>
      </c>
      <c r="K6445">
        <v>1.1072850000000001</v>
      </c>
      <c r="L6445">
        <v>-22.63785</v>
      </c>
      <c r="M6445">
        <v>-4.2202379999999998E-2</v>
      </c>
      <c r="N6445">
        <v>0</v>
      </c>
      <c r="O6445">
        <v>0.99904119999999996</v>
      </c>
      <c r="P6445">
        <v>5.250871E-2</v>
      </c>
      <c r="Q6445">
        <v>0.1164067</v>
      </c>
      <c r="R6445">
        <v>0.99181260000000004</v>
      </c>
      <c r="S6445">
        <v>-0.1114655</v>
      </c>
      <c r="T6445">
        <v>-0.20757700000000001</v>
      </c>
      <c r="U6445">
        <v>3.0536500000000002</v>
      </c>
      <c r="V6445">
        <v>9.4768710000000006E-2</v>
      </c>
      <c r="W6445">
        <v>0.1275828</v>
      </c>
      <c r="X6445">
        <v>0.98729</v>
      </c>
      <c r="Y6445">
        <v>5.8153559999999998E-3</v>
      </c>
      <c r="Z6445">
        <v>-6.7706669999999997E-2</v>
      </c>
      <c r="AA6445">
        <v>0.99768829999999997</v>
      </c>
      <c r="AB6445">
        <v>28</v>
      </c>
      <c r="AC6445">
        <v>-0.58340000000001102</v>
      </c>
      <c r="AD6445">
        <v>-1.1072869816849999</v>
      </c>
      <c r="AE6445">
        <v>15.985809</v>
      </c>
      <c r="AF6445">
        <v>9.1366989789083503E-2</v>
      </c>
      <c r="AG6445">
        <v>-1.1072869816849999</v>
      </c>
      <c r="AH6445">
        <v>15.919907053378999</v>
      </c>
      <c r="AI6445">
        <v>93.978655198360997</v>
      </c>
      <c r="AJ6445">
        <v>89.671173618722506</v>
      </c>
      <c r="AK6445">
        <v>15.958630046932599</v>
      </c>
      <c r="AL6445">
        <v>82.670066280836295</v>
      </c>
      <c r="AM6445">
        <v>84.517049569422099</v>
      </c>
      <c r="AN6445">
        <v>1.0000000116754499</v>
      </c>
    </row>
    <row r="6446" spans="1:40" x14ac:dyDescent="0.25">
      <c r="A6446" t="str">
        <f>"20190312164629771"</f>
        <v>20190312164629771</v>
      </c>
      <c r="B6446" t="str">
        <f>"1552380389767885"</f>
        <v>1552380389767885</v>
      </c>
      <c r="C6446" t="s">
        <v>40</v>
      </c>
      <c r="D6446">
        <v>4.675484</v>
      </c>
      <c r="E6446">
        <v>0.47330240000000001</v>
      </c>
      <c r="F6446" t="s">
        <v>41</v>
      </c>
      <c r="G6446">
        <v>-187.2627</v>
      </c>
      <c r="H6446">
        <v>1.043542</v>
      </c>
      <c r="I6446">
        <v>-21.674990000000001</v>
      </c>
      <c r="J6446">
        <v>-187.239</v>
      </c>
      <c r="K6446">
        <v>1.1072770000000001</v>
      </c>
      <c r="L6446">
        <v>-22.378599999999999</v>
      </c>
      <c r="M6446">
        <v>-4.0466019999999998E-2</v>
      </c>
      <c r="N6446">
        <v>0</v>
      </c>
      <c r="O6446">
        <v>0.99911360000000005</v>
      </c>
      <c r="P6446">
        <v>5.394007E-2</v>
      </c>
      <c r="Q6446">
        <v>0.1184484</v>
      </c>
      <c r="R6446">
        <v>0.99149410000000004</v>
      </c>
      <c r="S6446">
        <v>-0.10377500000000001</v>
      </c>
      <c r="T6446">
        <v>-0.20220469999999999</v>
      </c>
      <c r="U6446">
        <v>3.0539860000000001</v>
      </c>
      <c r="V6446">
        <v>9.4479030000000006E-2</v>
      </c>
      <c r="W6446">
        <v>0.12957069999999901</v>
      </c>
      <c r="X6446">
        <v>0.98705880000000001</v>
      </c>
      <c r="Y6446">
        <v>6.5866479999999996E-3</v>
      </c>
      <c r="Z6446">
        <v>-6.5964739999999994E-2</v>
      </c>
      <c r="AA6446">
        <v>0.99780020000000003</v>
      </c>
      <c r="AB6446">
        <v>28</v>
      </c>
      <c r="AC6446">
        <v>-2.3699999999990898E-2</v>
      </c>
      <c r="AD6446">
        <v>-6.3735000000000097E-2</v>
      </c>
      <c r="AE6446">
        <v>0.70360999999999696</v>
      </c>
      <c r="AF6446">
        <v>4.7546574774889397E-3</v>
      </c>
      <c r="AG6446">
        <v>-6.3735000000000097E-2</v>
      </c>
      <c r="AH6446">
        <v>0.69826972873454496</v>
      </c>
      <c r="AI6446">
        <v>95.215136223625706</v>
      </c>
      <c r="AJ6446">
        <v>89.609867669897397</v>
      </c>
      <c r="AK6446">
        <v>0.70118854173449197</v>
      </c>
      <c r="AL6446">
        <v>82.555214306522799</v>
      </c>
      <c r="AM6446">
        <v>84.532435045355598</v>
      </c>
      <c r="AN6446">
        <v>0.99999996403283398</v>
      </c>
    </row>
    <row r="6447" spans="1:40" x14ac:dyDescent="0.25">
      <c r="A6447" t="str">
        <f>"20190312164629793"</f>
        <v>20190312164629793</v>
      </c>
      <c r="B6447" t="str">
        <f>"1552380389787406"</f>
        <v>1552380389787406</v>
      </c>
      <c r="C6447" t="s">
        <v>40</v>
      </c>
      <c r="D6447">
        <v>4.8322919999999998</v>
      </c>
      <c r="E6447">
        <v>0.47349020000000003</v>
      </c>
      <c r="F6447" t="s">
        <v>42</v>
      </c>
      <c r="G6447">
        <v>-187.7902</v>
      </c>
      <c r="H6447" s="1">
        <v>-2.66189E-6</v>
      </c>
      <c r="I6447">
        <v>-5.0759869999999996</v>
      </c>
      <c r="J6447">
        <v>-187.2484</v>
      </c>
      <c r="K6447">
        <v>1.1072709999999999</v>
      </c>
      <c r="L6447">
        <v>-22.09769</v>
      </c>
      <c r="M6447">
        <v>-3.8581009999999999E-2</v>
      </c>
      <c r="N6447">
        <v>0</v>
      </c>
      <c r="O6447">
        <v>0.99918879999999999</v>
      </c>
      <c r="P6447">
        <v>5.5560749999999999E-2</v>
      </c>
      <c r="Q6447">
        <v>0.1191764</v>
      </c>
      <c r="R6447">
        <v>0.99131729999999996</v>
      </c>
      <c r="S6447">
        <v>-9.7305299999999997E-2</v>
      </c>
      <c r="T6447">
        <v>-0.195465</v>
      </c>
      <c r="U6447">
        <v>3.0543819999999999</v>
      </c>
      <c r="V6447">
        <v>9.4231209999999996E-2</v>
      </c>
      <c r="W6447">
        <v>0.13024729999999901</v>
      </c>
      <c r="X6447">
        <v>0.98699349999999997</v>
      </c>
      <c r="Y6447">
        <v>6.8111469999999896E-3</v>
      </c>
      <c r="Z6447">
        <v>-6.377621E-2</v>
      </c>
      <c r="AA6447">
        <v>0.99794099999999997</v>
      </c>
      <c r="AB6447">
        <v>28</v>
      </c>
      <c r="AC6447">
        <v>-0.54179999999999495</v>
      </c>
      <c r="AD6447">
        <v>-1.1072736618900001</v>
      </c>
      <c r="AE6447">
        <v>17.021702999999999</v>
      </c>
      <c r="AF6447">
        <v>0.114876071097558</v>
      </c>
      <c r="AG6447">
        <v>-1.1072736618900001</v>
      </c>
      <c r="AH6447">
        <v>16.9582450563218</v>
      </c>
      <c r="AI6447">
        <v>93.735689034012793</v>
      </c>
      <c r="AJ6447">
        <v>89.611881220886502</v>
      </c>
      <c r="AK6447">
        <v>16.994744095286901</v>
      </c>
      <c r="AL6447">
        <v>82.516117119010801</v>
      </c>
      <c r="AM6447">
        <v>84.546331368744106</v>
      </c>
      <c r="AN6447">
        <v>1.0000000245688001</v>
      </c>
    </row>
    <row r="6448" spans="1:40" x14ac:dyDescent="0.25">
      <c r="A6448" t="str">
        <f>"20190312164629816"</f>
        <v>20190312164629816</v>
      </c>
      <c r="B6448" t="str">
        <f>"1552380389807902"</f>
        <v>1552380389807902</v>
      </c>
      <c r="C6448" t="s">
        <v>40</v>
      </c>
      <c r="D6448">
        <v>4.6524179999999999</v>
      </c>
      <c r="E6448">
        <v>0.47366580000000003</v>
      </c>
      <c r="F6448" t="s">
        <v>42</v>
      </c>
      <c r="G6448">
        <v>-187.76900000000001</v>
      </c>
      <c r="H6448" s="1">
        <v>-2.880002E-6</v>
      </c>
      <c r="I6448">
        <v>-4.5763239999999996</v>
      </c>
      <c r="J6448">
        <v>-187.2576</v>
      </c>
      <c r="K6448">
        <v>1.1072630000000001</v>
      </c>
      <c r="L6448">
        <v>-21.803920000000002</v>
      </c>
      <c r="M6448">
        <v>-3.6620300000000001E-2</v>
      </c>
      <c r="N6448">
        <v>0</v>
      </c>
      <c r="O6448">
        <v>0.99926309999999996</v>
      </c>
      <c r="P6448">
        <v>5.6936729999999998E-2</v>
      </c>
      <c r="Q6448">
        <v>0.1192267</v>
      </c>
      <c r="R6448">
        <v>0.99123320000000004</v>
      </c>
      <c r="S6448">
        <v>-9.0774540000000001E-2</v>
      </c>
      <c r="T6448">
        <v>-0.19303519999999999</v>
      </c>
      <c r="U6448">
        <v>3.0545650000000002</v>
      </c>
      <c r="V6448">
        <v>9.3663499999999997E-2</v>
      </c>
      <c r="W6448">
        <v>0.13025200000000001</v>
      </c>
      <c r="X6448">
        <v>0.98704689999999995</v>
      </c>
      <c r="Y6448">
        <v>6.9809690000000001E-3</v>
      </c>
      <c r="Z6448">
        <v>-6.2991850000000002E-2</v>
      </c>
      <c r="AA6448">
        <v>0.99798969999999998</v>
      </c>
      <c r="AB6448">
        <v>28</v>
      </c>
      <c r="AC6448">
        <v>-0.51140000000000896</v>
      </c>
      <c r="AD6448">
        <v>-1.1072658800020001</v>
      </c>
      <c r="AE6448">
        <v>17.227595999999998</v>
      </c>
      <c r="AF6448">
        <v>0.11937181838916699</v>
      </c>
      <c r="AG6448">
        <v>-1.1072658800020001</v>
      </c>
      <c r="AH6448">
        <v>17.163926315958498</v>
      </c>
      <c r="AI6448">
        <v>93.691017044606795</v>
      </c>
      <c r="AJ6448">
        <v>89.601525257700303</v>
      </c>
      <c r="AK6448">
        <v>17.200019009864299</v>
      </c>
      <c r="AL6448">
        <v>82.515845396189306</v>
      </c>
      <c r="AM6448">
        <v>84.579283022118304</v>
      </c>
      <c r="AN6448">
        <v>1.0000000087679299</v>
      </c>
    </row>
    <row r="6449" spans="1:40" x14ac:dyDescent="0.25">
      <c r="A6449" t="str">
        <f>"20190312164629839"</f>
        <v>20190312164629839</v>
      </c>
      <c r="B6449" t="str">
        <f>"1552380389827425"</f>
        <v>1552380389827425</v>
      </c>
      <c r="C6449" t="s">
        <v>40</v>
      </c>
      <c r="D6449">
        <v>4.6526430000000003</v>
      </c>
      <c r="E6449">
        <v>0.47384599999999999</v>
      </c>
      <c r="F6449" t="s">
        <v>42</v>
      </c>
      <c r="G6449">
        <v>-187.74709999999999</v>
      </c>
      <c r="H6449" s="1">
        <v>-3.0574639999999998E-6</v>
      </c>
      <c r="I6449">
        <v>-4.1717170000000001</v>
      </c>
      <c r="J6449">
        <v>-187.26609999999999</v>
      </c>
      <c r="K6449">
        <v>1.107259</v>
      </c>
      <c r="L6449">
        <v>-21.516020000000001</v>
      </c>
      <c r="M6449">
        <v>-3.4722620000000003E-2</v>
      </c>
      <c r="N6449">
        <v>0</v>
      </c>
      <c r="O6449">
        <v>0.99933150000000004</v>
      </c>
      <c r="P6449">
        <v>5.8221349999999998E-2</v>
      </c>
      <c r="Q6449">
        <v>0.11850670000000001</v>
      </c>
      <c r="R6449">
        <v>0.99124489999999998</v>
      </c>
      <c r="S6449">
        <v>-8.4808350000000005E-2</v>
      </c>
      <c r="T6449">
        <v>-0.1918147</v>
      </c>
      <c r="U6449">
        <v>3.0544739999999999</v>
      </c>
      <c r="V6449">
        <v>9.3065170000000003E-2</v>
      </c>
      <c r="W6449">
        <v>0.12948370000000001</v>
      </c>
      <c r="X6449">
        <v>0.98720459999999999</v>
      </c>
      <c r="Y6449">
        <v>7.0281340000000001E-3</v>
      </c>
      <c r="Z6449">
        <v>-6.2605079999999994E-2</v>
      </c>
      <c r="AA6449">
        <v>0.99801359999999995</v>
      </c>
      <c r="AB6449">
        <v>28</v>
      </c>
      <c r="AC6449">
        <v>-0.48099999999999399</v>
      </c>
      <c r="AD6449">
        <v>-1.107262057464</v>
      </c>
      <c r="AE6449">
        <v>17.344303</v>
      </c>
      <c r="AF6449">
        <v>0.12107607384920201</v>
      </c>
      <c r="AG6449">
        <v>-1.107262057464</v>
      </c>
      <c r="AH6449">
        <v>17.2801732466225</v>
      </c>
      <c r="AI6449">
        <v>93.666240893814205</v>
      </c>
      <c r="AJ6449">
        <v>89.598555268290795</v>
      </c>
      <c r="AK6449">
        <v>17.316035230757802</v>
      </c>
      <c r="AL6449">
        <v>82.560241944326606</v>
      </c>
      <c r="AM6449">
        <v>84.614562061357901</v>
      </c>
      <c r="AN6449">
        <v>1.00000003834698</v>
      </c>
    </row>
    <row r="6450" spans="1:40" x14ac:dyDescent="0.25">
      <c r="A6450" t="str">
        <f>"20190312164629861"</f>
        <v>20190312164629861</v>
      </c>
      <c r="B6450" t="str">
        <f>"1552380389857677"</f>
        <v>1552380389857677</v>
      </c>
      <c r="C6450" t="s">
        <v>40</v>
      </c>
      <c r="D6450">
        <v>4.6329050000000001</v>
      </c>
      <c r="E6450">
        <v>0.47414879999999998</v>
      </c>
      <c r="F6450" t="s">
        <v>42</v>
      </c>
      <c r="G6450">
        <v>-187.7166</v>
      </c>
      <c r="H6450" s="1">
        <v>-3.0681319999999999E-6</v>
      </c>
      <c r="I6450">
        <v>-4.1594749999999996</v>
      </c>
      <c r="J6450">
        <v>-187.27369999999999</v>
      </c>
      <c r="K6450">
        <v>1.1072630000000001</v>
      </c>
      <c r="L6450">
        <v>-21.239750000000001</v>
      </c>
      <c r="M6450">
        <v>-3.2937880000000003E-2</v>
      </c>
      <c r="N6450">
        <v>0</v>
      </c>
      <c r="O6450">
        <v>0.99939259999999996</v>
      </c>
      <c r="P6450">
        <v>5.8685210000000002E-2</v>
      </c>
      <c r="Q6450">
        <v>0.1184383</v>
      </c>
      <c r="R6450">
        <v>0.99122569999999999</v>
      </c>
      <c r="S6450">
        <v>-7.9284670000000002E-2</v>
      </c>
      <c r="T6450">
        <v>-0.19485839999999999</v>
      </c>
      <c r="U6450">
        <v>3.054443</v>
      </c>
      <c r="V6450">
        <v>9.1756459999999998E-2</v>
      </c>
      <c r="W6450">
        <v>0.12936500000000001</v>
      </c>
      <c r="X6450">
        <v>0.98734259999999996</v>
      </c>
      <c r="Y6450">
        <v>7.0471509999999998E-3</v>
      </c>
      <c r="Z6450">
        <v>-6.3602439999999996E-2</v>
      </c>
      <c r="AA6450">
        <v>0.99795040000000002</v>
      </c>
      <c r="AB6450">
        <v>28</v>
      </c>
      <c r="AC6450">
        <v>-0.44290000000000801</v>
      </c>
      <c r="AD6450">
        <v>-1.1072660681319999</v>
      </c>
      <c r="AE6450">
        <v>17.080275</v>
      </c>
      <c r="AF6450">
        <v>0.11946312139518001</v>
      </c>
      <c r="AG6450">
        <v>-1.1072660681319999</v>
      </c>
      <c r="AH6450">
        <v>17.014140231953199</v>
      </c>
      <c r="AI6450">
        <v>93.723419260105004</v>
      </c>
      <c r="AJ6450">
        <v>89.597709899445903</v>
      </c>
      <c r="AK6450">
        <v>17.050550648456401</v>
      </c>
      <c r="AL6450">
        <v>82.567100206948794</v>
      </c>
      <c r="AM6450">
        <v>84.690595659568203</v>
      </c>
      <c r="AN6450">
        <v>0.99999998047574501</v>
      </c>
    </row>
    <row r="6451" spans="1:40" x14ac:dyDescent="0.25">
      <c r="A6451" t="str">
        <f>"20190312164629885"</f>
        <v>20190312164629885</v>
      </c>
      <c r="B6451" t="str">
        <f>"1552380389878174"</f>
        <v>1552380389878174</v>
      </c>
      <c r="C6451" t="s">
        <v>40</v>
      </c>
      <c r="D6451">
        <v>4.6366569999999996</v>
      </c>
      <c r="E6451">
        <v>0.47429250000000001</v>
      </c>
      <c r="F6451" t="s">
        <v>42</v>
      </c>
      <c r="G6451">
        <v>-187.69560000000001</v>
      </c>
      <c r="H6451" s="1">
        <v>-3.1136940000000002E-6</v>
      </c>
      <c r="I6451">
        <v>-4.0619610000000002</v>
      </c>
      <c r="J6451">
        <v>-187.2816</v>
      </c>
      <c r="K6451">
        <v>1.107281</v>
      </c>
      <c r="L6451">
        <v>-20.935300000000002</v>
      </c>
      <c r="M6451">
        <v>-3.1028569999999998E-2</v>
      </c>
      <c r="N6451">
        <v>0</v>
      </c>
      <c r="O6451">
        <v>0.99945450000000002</v>
      </c>
      <c r="P6451">
        <v>5.9578430000000002E-2</v>
      </c>
      <c r="Q6451">
        <v>0.11892</v>
      </c>
      <c r="R6451">
        <v>0.99111470000000002</v>
      </c>
      <c r="S6451">
        <v>-7.5012209999999996E-2</v>
      </c>
      <c r="T6451">
        <v>-0.19689100000000001</v>
      </c>
      <c r="U6451">
        <v>3.0545040000000001</v>
      </c>
      <c r="V6451">
        <v>9.0747519999999998E-2</v>
      </c>
      <c r="W6451">
        <v>0.12978629999999999</v>
      </c>
      <c r="X6451">
        <v>0.98738060000000005</v>
      </c>
      <c r="Y6451">
        <v>6.5333049999999997E-3</v>
      </c>
      <c r="Z6451">
        <v>-6.4268980000000003E-2</v>
      </c>
      <c r="AA6451">
        <v>0.9979112</v>
      </c>
      <c r="AB6451">
        <v>28</v>
      </c>
      <c r="AC6451">
        <v>-0.41400000000001502</v>
      </c>
      <c r="AD6451">
        <v>-1.1072841136939999</v>
      </c>
      <c r="AE6451">
        <v>16.873339000000001</v>
      </c>
      <c r="AF6451">
        <v>0.10931795469507399</v>
      </c>
      <c r="AG6451">
        <v>-1.1072841136939999</v>
      </c>
      <c r="AH6451">
        <v>16.805731120704699</v>
      </c>
      <c r="AI6451">
        <v>93.769535734159504</v>
      </c>
      <c r="AJ6451">
        <v>89.627307550885803</v>
      </c>
      <c r="AK6451">
        <v>16.842524366171499</v>
      </c>
      <c r="AL6451">
        <v>82.542756580038699</v>
      </c>
      <c r="AM6451">
        <v>84.748849831232107</v>
      </c>
      <c r="AN6451">
        <v>1.0000000226551</v>
      </c>
    </row>
    <row r="6452" spans="1:40" x14ac:dyDescent="0.25">
      <c r="A6452" t="str">
        <f>"20190312164629908"</f>
        <v>20190312164629908</v>
      </c>
      <c r="B6452" t="str">
        <f>"1552380389897693"</f>
        <v>1552380389897693</v>
      </c>
      <c r="C6452" t="s">
        <v>40</v>
      </c>
      <c r="D6452">
        <v>5.122001</v>
      </c>
      <c r="E6452">
        <v>0.49616379999999999</v>
      </c>
      <c r="F6452" t="s">
        <v>42</v>
      </c>
      <c r="G6452">
        <v>-187.6831</v>
      </c>
      <c r="H6452" s="1">
        <v>-3.2591810000000002E-6</v>
      </c>
      <c r="I6452">
        <v>-3.7279740000000001</v>
      </c>
      <c r="J6452">
        <v>-187.28899999999999</v>
      </c>
      <c r="K6452">
        <v>1.107324</v>
      </c>
      <c r="L6452">
        <v>-20.633880000000001</v>
      </c>
      <c r="M6452">
        <v>-2.921576E-2</v>
      </c>
      <c r="N6452">
        <v>0</v>
      </c>
      <c r="O6452">
        <v>0.99951000000000001</v>
      </c>
      <c r="P6452">
        <v>6.1171219999999998E-2</v>
      </c>
      <c r="Q6452">
        <v>0.1202589</v>
      </c>
      <c r="R6452">
        <v>0.99085610000000002</v>
      </c>
      <c r="S6452">
        <v>-7.1273799999999998E-2</v>
      </c>
      <c r="T6452">
        <v>-0.19657179999999999</v>
      </c>
      <c r="U6452">
        <v>3.0547490000000002</v>
      </c>
      <c r="V6452">
        <v>9.0526750000000003E-2</v>
      </c>
      <c r="W6452">
        <v>0.13106139999999999</v>
      </c>
      <c r="X6452">
        <v>0.98723240000000001</v>
      </c>
      <c r="Y6452">
        <v>5.9419210000000002E-3</v>
      </c>
      <c r="Z6452">
        <v>-6.416645E-2</v>
      </c>
      <c r="AA6452">
        <v>0.99792150000000002</v>
      </c>
      <c r="AB6452">
        <v>28</v>
      </c>
      <c r="AC6452">
        <v>-0.39409999999998002</v>
      </c>
      <c r="AD6452">
        <v>-1.1073272591809999</v>
      </c>
      <c r="AE6452">
        <v>16.905905999999899</v>
      </c>
      <c r="AF6452">
        <v>9.9591280559023096E-2</v>
      </c>
      <c r="AG6452">
        <v>-1.1073272591809999</v>
      </c>
      <c r="AH6452">
        <v>16.838004334983701</v>
      </c>
      <c r="AI6452">
        <v>93.762491404641693</v>
      </c>
      <c r="AJ6452">
        <v>89.661118182415606</v>
      </c>
      <c r="AK6452">
        <v>16.874669835792901</v>
      </c>
      <c r="AL6452">
        <v>82.469069123761201</v>
      </c>
      <c r="AM6452">
        <v>84.760771636120893</v>
      </c>
      <c r="AN6452">
        <v>0.999999997322641</v>
      </c>
    </row>
    <row r="6453" spans="1:40" x14ac:dyDescent="0.25">
      <c r="A6453" t="str">
        <f>"20190312164629928"</f>
        <v>20190312164629928</v>
      </c>
      <c r="B6453" t="str">
        <f>"1552380389918189"</f>
        <v>1552380389918189</v>
      </c>
      <c r="C6453" t="s">
        <v>40</v>
      </c>
      <c r="D6453">
        <v>4.6803970000000001</v>
      </c>
      <c r="E6453">
        <v>0.50540759999999996</v>
      </c>
      <c r="F6453" t="s">
        <v>42</v>
      </c>
      <c r="G6453">
        <v>-186.54179999999999</v>
      </c>
      <c r="H6453" s="1">
        <v>-1.0901799999999901E-6</v>
      </c>
      <c r="I6453">
        <v>0.1477435</v>
      </c>
      <c r="J6453">
        <v>-187.29499999999999</v>
      </c>
      <c r="K6453">
        <v>1.1073679999999999</v>
      </c>
      <c r="L6453">
        <v>-20.37585</v>
      </c>
      <c r="M6453">
        <v>-2.7747440000000002E-2</v>
      </c>
      <c r="N6453">
        <v>0</v>
      </c>
      <c r="O6453">
        <v>0.99955260000000001</v>
      </c>
      <c r="P6453">
        <v>6.2730599999999997E-2</v>
      </c>
      <c r="Q6453">
        <v>0.12018</v>
      </c>
      <c r="R6453">
        <v>0.99076819999999999</v>
      </c>
      <c r="S6453">
        <v>0.1093292</v>
      </c>
      <c r="T6453">
        <v>-0.1620142</v>
      </c>
      <c r="U6453">
        <v>3.0405880000000001</v>
      </c>
      <c r="V6453">
        <v>9.0611990000000003E-2</v>
      </c>
      <c r="W6453">
        <v>0.13092760000000001</v>
      </c>
      <c r="X6453">
        <v>0.98724230000000002</v>
      </c>
      <c r="Y6453">
        <v>6.3600030000000002E-2</v>
      </c>
      <c r="Z6453">
        <v>-5.310666E-2</v>
      </c>
      <c r="AA6453">
        <v>0.99656149999999999</v>
      </c>
      <c r="AB6453">
        <v>29</v>
      </c>
      <c r="AC6453">
        <v>0.75319999999999199</v>
      </c>
      <c r="AD6453">
        <v>-1.10736909018</v>
      </c>
      <c r="AE6453">
        <v>20.5235935</v>
      </c>
      <c r="AF6453">
        <v>1.31858907368426</v>
      </c>
      <c r="AG6453">
        <v>-1.10736909018</v>
      </c>
      <c r="AH6453">
        <v>20.4353772853616</v>
      </c>
      <c r="AI6453">
        <v>93.095332944908407</v>
      </c>
      <c r="AJ6453">
        <v>86.308118030777194</v>
      </c>
      <c r="AK6453">
        <v>20.507793353800899</v>
      </c>
      <c r="AL6453">
        <v>82.476801680130805</v>
      </c>
      <c r="AM6453">
        <v>84.755918165147506</v>
      </c>
      <c r="AN6453">
        <v>0.99999996404140401</v>
      </c>
    </row>
    <row r="6454" spans="1:40" x14ac:dyDescent="0.25">
      <c r="A6454" t="str">
        <f>"20190312164629952"</f>
        <v>20190312164629952</v>
      </c>
      <c r="B6454" t="str">
        <f>"1552380389947469"</f>
        <v>1552380389947469</v>
      </c>
      <c r="C6454" t="s">
        <v>40</v>
      </c>
      <c r="D6454">
        <v>4.6382250000000003</v>
      </c>
      <c r="E6454">
        <v>0.51181750000000004</v>
      </c>
      <c r="F6454" t="s">
        <v>42</v>
      </c>
      <c r="G6454">
        <v>-186.3058</v>
      </c>
      <c r="H6454" s="1">
        <v>-3.4213550000000002E-6</v>
      </c>
      <c r="I6454">
        <v>-3.9194390000000001</v>
      </c>
      <c r="J6454">
        <v>-187.3014</v>
      </c>
      <c r="K6454">
        <v>1.1074349999999999</v>
      </c>
      <c r="L6454">
        <v>-20.08109</v>
      </c>
      <c r="M6454">
        <v>-2.618055E-2</v>
      </c>
      <c r="N6454">
        <v>0</v>
      </c>
      <c r="O6454">
        <v>0.99959580000000003</v>
      </c>
      <c r="P6454">
        <v>6.3885510000000006E-2</v>
      </c>
      <c r="Q6454">
        <v>0.1196485</v>
      </c>
      <c r="R6454">
        <v>0.99075869999999999</v>
      </c>
      <c r="S6454">
        <v>0.1828003</v>
      </c>
      <c r="T6454">
        <v>-0.20464589999999999</v>
      </c>
      <c r="U6454">
        <v>3.0411990000000002</v>
      </c>
      <c r="V6454">
        <v>9.0189820000000004E-2</v>
      </c>
      <c r="W6454">
        <v>0.13033529999999999</v>
      </c>
      <c r="X6454">
        <v>0.98735930000000005</v>
      </c>
      <c r="Y6454">
        <v>8.5979449999999999E-2</v>
      </c>
      <c r="Z6454">
        <v>-6.6920359999999998E-2</v>
      </c>
      <c r="AA6454">
        <v>0.99404689999999996</v>
      </c>
      <c r="AB6454">
        <v>29</v>
      </c>
      <c r="AC6454">
        <v>0.99559999999999504</v>
      </c>
      <c r="AD6454">
        <v>-1.1074384213549999</v>
      </c>
      <c r="AE6454">
        <v>16.161650999999999</v>
      </c>
      <c r="AF6454">
        <v>1.41180175545576</v>
      </c>
      <c r="AG6454">
        <v>-1.1074384213549999</v>
      </c>
      <c r="AH6454">
        <v>16.054945090985399</v>
      </c>
      <c r="AI6454">
        <v>93.930778912593397</v>
      </c>
      <c r="AJ6454">
        <v>84.974586069954796</v>
      </c>
      <c r="AK6454">
        <v>16.154902225899001</v>
      </c>
      <c r="AL6454">
        <v>82.511031109680999</v>
      </c>
      <c r="AM6454">
        <v>84.780830688141904</v>
      </c>
      <c r="AN6454">
        <v>0.99999994067710396</v>
      </c>
    </row>
    <row r="6455" spans="1:40" x14ac:dyDescent="0.25">
      <c r="A6455" t="str">
        <f>"20190312164629971"</f>
        <v>20190312164629971</v>
      </c>
      <c r="B6455" t="str">
        <f>"1552380389967966"</f>
        <v>1552380389967966</v>
      </c>
      <c r="C6455" t="s">
        <v>40</v>
      </c>
      <c r="D6455">
        <v>4.6610019999999999</v>
      </c>
      <c r="E6455">
        <v>0.51416079999999997</v>
      </c>
      <c r="F6455" t="s">
        <v>41</v>
      </c>
      <c r="G6455">
        <v>-187.22710000000001</v>
      </c>
      <c r="H6455">
        <v>1.039658</v>
      </c>
      <c r="I6455">
        <v>-19.130210000000002</v>
      </c>
      <c r="J6455">
        <v>-187.30690000000001</v>
      </c>
      <c r="K6455">
        <v>1.1074999999999999</v>
      </c>
      <c r="L6455">
        <v>-19.818049999999999</v>
      </c>
      <c r="M6455">
        <v>-2.4875680000000001E-2</v>
      </c>
      <c r="N6455">
        <v>0</v>
      </c>
      <c r="O6455">
        <v>0.99962989999999996</v>
      </c>
      <c r="P6455">
        <v>6.4561759999999996E-2</v>
      </c>
      <c r="Q6455">
        <v>0.1187575</v>
      </c>
      <c r="R6455">
        <v>0.99082210000000004</v>
      </c>
      <c r="S6455">
        <v>0.23728940000000001</v>
      </c>
      <c r="T6455">
        <v>-0.21657689999999999</v>
      </c>
      <c r="U6455">
        <v>3.0388489999999999</v>
      </c>
      <c r="V6455">
        <v>8.9551169999999999E-2</v>
      </c>
      <c r="W6455">
        <v>0.12939010000000001</v>
      </c>
      <c r="X6455">
        <v>0.98754180000000003</v>
      </c>
      <c r="Y6455">
        <v>0.1024306</v>
      </c>
      <c r="Z6455">
        <v>-7.0761889999999994E-2</v>
      </c>
      <c r="AA6455">
        <v>0.99222010000000005</v>
      </c>
      <c r="AB6455">
        <v>29</v>
      </c>
      <c r="AC6455">
        <v>7.9800000000005797E-2</v>
      </c>
      <c r="AD6455">
        <v>-6.7841999999999902E-2</v>
      </c>
      <c r="AE6455">
        <v>0.68783999999999701</v>
      </c>
      <c r="AF6455">
        <v>9.5965675018597402E-2</v>
      </c>
      <c r="AG6455">
        <v>-6.7841999999999902E-2</v>
      </c>
      <c r="AH6455">
        <v>0.67912317069308303</v>
      </c>
      <c r="AI6455">
        <v>95.6489671727808</v>
      </c>
      <c r="AJ6455">
        <v>81.956889192877199</v>
      </c>
      <c r="AK6455">
        <v>0.68921711290275001</v>
      </c>
      <c r="AL6455">
        <v>82.565650102232496</v>
      </c>
      <c r="AM6455">
        <v>84.818539097928195</v>
      </c>
      <c r="AN6455">
        <v>1.0000000083867999</v>
      </c>
    </row>
    <row r="6456" spans="1:40" x14ac:dyDescent="0.25">
      <c r="A6456" t="str">
        <f>"20190312164629997"</f>
        <v>20190312164629997</v>
      </c>
      <c r="B6456" t="str">
        <f>"1552380389987486"</f>
        <v>1552380389987486</v>
      </c>
      <c r="C6456" t="s">
        <v>40</v>
      </c>
      <c r="D6456">
        <v>4.697838</v>
      </c>
      <c r="E6456">
        <v>0.51480139999999996</v>
      </c>
      <c r="F6456" t="s">
        <v>41</v>
      </c>
      <c r="G6456">
        <v>-187.226</v>
      </c>
      <c r="H6456">
        <v>1.039954</v>
      </c>
      <c r="I6456">
        <v>-18.873519999999999</v>
      </c>
      <c r="J6456">
        <v>-187.31319999999999</v>
      </c>
      <c r="K6456">
        <v>1.107561</v>
      </c>
      <c r="L6456">
        <v>-19.496369999999999</v>
      </c>
      <c r="M6456">
        <v>-2.3383919999999999E-2</v>
      </c>
      <c r="N6456">
        <v>0</v>
      </c>
      <c r="O6456">
        <v>0.99966690000000002</v>
      </c>
      <c r="P6456">
        <v>6.5458039999999995E-2</v>
      </c>
      <c r="Q6456">
        <v>0.1180857</v>
      </c>
      <c r="R6456">
        <v>0.99084360000000005</v>
      </c>
      <c r="S6456">
        <v>0.2594147</v>
      </c>
      <c r="T6456">
        <v>-0.21708440000000001</v>
      </c>
      <c r="U6456">
        <v>3.036896</v>
      </c>
      <c r="V6456">
        <v>8.8945700000000003E-2</v>
      </c>
      <c r="W6456">
        <v>0.12865109999999999</v>
      </c>
      <c r="X6456">
        <v>0.98769309999999999</v>
      </c>
      <c r="Y6456">
        <v>0.10817359999999999</v>
      </c>
      <c r="Z6456">
        <v>-7.0933389999999999E-2</v>
      </c>
      <c r="AA6456">
        <v>0.99159819999999999</v>
      </c>
      <c r="AB6456">
        <v>29</v>
      </c>
      <c r="AC6456">
        <v>8.7199999999995698E-2</v>
      </c>
      <c r="AD6456">
        <v>-6.7606999999999903E-2</v>
      </c>
      <c r="AE6456">
        <v>0.62284999999999902</v>
      </c>
      <c r="AF6456">
        <v>0.100579456799162</v>
      </c>
      <c r="AG6456">
        <v>-6.7606999999999903E-2</v>
      </c>
      <c r="AH6456">
        <v>0.61355062180047004</v>
      </c>
      <c r="AI6456">
        <v>96.205867672167201</v>
      </c>
      <c r="AJ6456">
        <v>80.690297392097094</v>
      </c>
      <c r="AK6456">
        <v>0.625404908112143</v>
      </c>
      <c r="AL6456">
        <v>82.608348881336696</v>
      </c>
      <c r="AM6456">
        <v>84.854167174826898</v>
      </c>
      <c r="AN6456">
        <v>1.00000005143365</v>
      </c>
    </row>
    <row r="6457" spans="1:40" x14ac:dyDescent="0.25">
      <c r="A6457" t="str">
        <f>"20190312164630018"</f>
        <v>20190312164630018</v>
      </c>
      <c r="B6457" t="str">
        <f>"1552380390007981"</f>
        <v>1552380390007981</v>
      </c>
      <c r="C6457" t="s">
        <v>40</v>
      </c>
      <c r="D6457">
        <v>4.8351559999999996</v>
      </c>
      <c r="E6457">
        <v>0.51552719999999996</v>
      </c>
      <c r="F6457" t="s">
        <v>41</v>
      </c>
      <c r="G6457">
        <v>-187.2355</v>
      </c>
      <c r="H6457">
        <v>1.043679</v>
      </c>
      <c r="I6457">
        <v>-18.61486</v>
      </c>
      <c r="J6457">
        <v>-187.31819999999999</v>
      </c>
      <c r="K6457">
        <v>1.107604</v>
      </c>
      <c r="L6457">
        <v>-19.224</v>
      </c>
      <c r="M6457">
        <v>-2.2198829999999999E-2</v>
      </c>
      <c r="N6457">
        <v>0</v>
      </c>
      <c r="O6457">
        <v>0.99969479999999999</v>
      </c>
      <c r="P6457">
        <v>6.6448610000000005E-2</v>
      </c>
      <c r="Q6457">
        <v>0.1182416</v>
      </c>
      <c r="R6457">
        <v>0.9907591</v>
      </c>
      <c r="S6457">
        <v>0.26751710000000001</v>
      </c>
      <c r="T6457">
        <v>-0.220024</v>
      </c>
      <c r="U6457">
        <v>3.0362550000000001</v>
      </c>
      <c r="V6457">
        <v>8.8744740000000003E-2</v>
      </c>
      <c r="W6457">
        <v>0.1287362</v>
      </c>
      <c r="X6457">
        <v>0.98770000000000002</v>
      </c>
      <c r="Y6457">
        <v>0.1096331</v>
      </c>
      <c r="Z6457">
        <v>-7.1892910000000004E-2</v>
      </c>
      <c r="AA6457">
        <v>0.99136880000000005</v>
      </c>
      <c r="AB6457">
        <v>29</v>
      </c>
      <c r="AC6457">
        <v>8.2699999999988394E-2</v>
      </c>
      <c r="AD6457">
        <v>-6.3924999999999996E-2</v>
      </c>
      <c r="AE6457">
        <v>0.60914000000000001</v>
      </c>
      <c r="AF6457">
        <v>9.5173429421797504E-2</v>
      </c>
      <c r="AG6457">
        <v>-6.3924999999999996E-2</v>
      </c>
      <c r="AH6457">
        <v>0.60065857067551298</v>
      </c>
      <c r="AI6457">
        <v>96.000527651464495</v>
      </c>
      <c r="AJ6457">
        <v>80.996421377875706</v>
      </c>
      <c r="AK6457">
        <v>0.61150233508863705</v>
      </c>
      <c r="AL6457">
        <v>82.603431474890101</v>
      </c>
      <c r="AM6457">
        <v>84.865766910318996</v>
      </c>
      <c r="AN6457">
        <v>0.999999964034053</v>
      </c>
    </row>
    <row r="6458" spans="1:40" x14ac:dyDescent="0.25">
      <c r="A6458" t="str">
        <f>"20190312164630040"</f>
        <v>20190312164630040</v>
      </c>
      <c r="B6458" t="str">
        <f>"1552380390037262"</f>
        <v>1552380390037262</v>
      </c>
      <c r="C6458" t="s">
        <v>40</v>
      </c>
      <c r="D6458">
        <v>4.6898780000000002</v>
      </c>
      <c r="E6458">
        <v>0.51676929999999999</v>
      </c>
      <c r="F6458" t="s">
        <v>41</v>
      </c>
      <c r="G6458">
        <v>-187.23869999999999</v>
      </c>
      <c r="H6458">
        <v>1.045142</v>
      </c>
      <c r="I6458">
        <v>-18.356570000000001</v>
      </c>
      <c r="J6458">
        <v>-187.32320000000001</v>
      </c>
      <c r="K6458">
        <v>1.1076360000000001</v>
      </c>
      <c r="L6458">
        <v>-18.94247</v>
      </c>
      <c r="M6458">
        <v>-2.1041460000000001E-2</v>
      </c>
      <c r="N6458">
        <v>0</v>
      </c>
      <c r="O6458">
        <v>0.99972090000000002</v>
      </c>
      <c r="P6458">
        <v>6.7111859999999995E-2</v>
      </c>
      <c r="Q6458">
        <v>0.1184906</v>
      </c>
      <c r="R6458">
        <v>0.99068460000000003</v>
      </c>
      <c r="S6458">
        <v>0.27769470000000002</v>
      </c>
      <c r="T6458">
        <v>-0.21849830000000001</v>
      </c>
      <c r="U6458">
        <v>3.035431</v>
      </c>
      <c r="V6458">
        <v>8.8246599999999994E-2</v>
      </c>
      <c r="W6458">
        <v>0.12889790000000001</v>
      </c>
      <c r="X6458">
        <v>0.98772360000000003</v>
      </c>
      <c r="Y6458">
        <v>0.1118063</v>
      </c>
      <c r="Z6458">
        <v>-7.1399550000000006E-2</v>
      </c>
      <c r="AA6458">
        <v>0.99116170000000003</v>
      </c>
      <c r="AB6458">
        <v>29</v>
      </c>
      <c r="AC6458">
        <v>8.4500000000019698E-2</v>
      </c>
      <c r="AD6458">
        <v>-6.2494000000000001E-2</v>
      </c>
      <c r="AE6458">
        <v>0.58589999999999798</v>
      </c>
      <c r="AF6458">
        <v>9.5743113804448401E-2</v>
      </c>
      <c r="AG6458">
        <v>-6.2494000000000001E-2</v>
      </c>
      <c r="AH6458">
        <v>0.57755517945572599</v>
      </c>
      <c r="AI6458">
        <v>96.093111409898</v>
      </c>
      <c r="AJ6458">
        <v>80.587498754389799</v>
      </c>
      <c r="AK6458">
        <v>0.58876330489688899</v>
      </c>
      <c r="AL6458">
        <v>82.594089328888202</v>
      </c>
      <c r="AM6458">
        <v>84.894554875084197</v>
      </c>
      <c r="AN6458">
        <v>1.0000000205164601</v>
      </c>
    </row>
    <row r="6459" spans="1:40" x14ac:dyDescent="0.25">
      <c r="A6459" t="str">
        <f>"20190312164630062"</f>
        <v>20190312164630062</v>
      </c>
      <c r="B6459" t="str">
        <f>"1552380390057758"</f>
        <v>1552380390057758</v>
      </c>
      <c r="C6459" t="s">
        <v>40</v>
      </c>
      <c r="D6459">
        <v>4.7032470000000002</v>
      </c>
      <c r="E6459">
        <v>0.51673859999999905</v>
      </c>
      <c r="F6459" t="s">
        <v>41</v>
      </c>
      <c r="G6459">
        <v>-187.24170000000001</v>
      </c>
      <c r="H6459">
        <v>1.0501929999999999</v>
      </c>
      <c r="I6459">
        <v>-18.09468</v>
      </c>
      <c r="J6459">
        <v>-187.3279</v>
      </c>
      <c r="K6459">
        <v>1.107658</v>
      </c>
      <c r="L6459">
        <v>-18.660399999999999</v>
      </c>
      <c r="M6459">
        <v>-1.9937989999999999E-2</v>
      </c>
      <c r="N6459">
        <v>0</v>
      </c>
      <c r="O6459">
        <v>0.99974479999999999</v>
      </c>
      <c r="P6459">
        <v>6.7707699999999996E-2</v>
      </c>
      <c r="Q6459">
        <v>0.11819979999999999</v>
      </c>
      <c r="R6459">
        <v>0.99067879999999997</v>
      </c>
      <c r="S6459">
        <v>0.29158020000000001</v>
      </c>
      <c r="T6459">
        <v>-0.2054676</v>
      </c>
      <c r="U6459">
        <v>3.03302</v>
      </c>
      <c r="V6459">
        <v>8.7736289999999995E-2</v>
      </c>
      <c r="W6459">
        <v>0.12850300000000001</v>
      </c>
      <c r="X6459">
        <v>0.98782049999999999</v>
      </c>
      <c r="Y6459">
        <v>0.1153063</v>
      </c>
      <c r="Z6459">
        <v>-6.7188869999999998E-2</v>
      </c>
      <c r="AA6459">
        <v>0.99105509999999997</v>
      </c>
      <c r="AB6459">
        <v>29</v>
      </c>
      <c r="AC6459">
        <v>8.6199999999990895E-2</v>
      </c>
      <c r="AD6459">
        <v>-5.7465000000000099E-2</v>
      </c>
      <c r="AE6459">
        <v>0.565719999999998</v>
      </c>
      <c r="AF6459">
        <v>9.6489809008306296E-2</v>
      </c>
      <c r="AG6459">
        <v>-5.7465000000000099E-2</v>
      </c>
      <c r="AH6459">
        <v>0.55825925508865604</v>
      </c>
      <c r="AI6459">
        <v>95.791823094778906</v>
      </c>
      <c r="AJ6459">
        <v>80.193851926890602</v>
      </c>
      <c r="AK6459">
        <v>0.56944350497621798</v>
      </c>
      <c r="AL6459">
        <v>82.616905093382101</v>
      </c>
      <c r="AM6459">
        <v>84.924419148835995</v>
      </c>
      <c r="AN6459">
        <v>1.0000000089061001</v>
      </c>
    </row>
    <row r="6460" spans="1:40" x14ac:dyDescent="0.25">
      <c r="A6460" t="str">
        <f>"20190312164630086"</f>
        <v>20190312164630086</v>
      </c>
      <c r="B6460" t="str">
        <f>"1552380390077278"</f>
        <v>1552380390077278</v>
      </c>
      <c r="C6460" t="s">
        <v>40</v>
      </c>
      <c r="D6460">
        <v>4.7109129999999997</v>
      </c>
      <c r="E6460">
        <v>0.51663720000000002</v>
      </c>
      <c r="F6460" t="s">
        <v>41</v>
      </c>
      <c r="G6460">
        <v>-187.24809999999999</v>
      </c>
      <c r="H6460">
        <v>1.050754</v>
      </c>
      <c r="I6460">
        <v>-17.836819999999999</v>
      </c>
      <c r="J6460">
        <v>-187.33279999999999</v>
      </c>
      <c r="K6460">
        <v>1.107672</v>
      </c>
      <c r="L6460">
        <v>-18.354220000000002</v>
      </c>
      <c r="M6460">
        <v>-1.8789139999999999E-2</v>
      </c>
      <c r="N6460">
        <v>0</v>
      </c>
      <c r="O6460">
        <v>0.99976849999999995</v>
      </c>
      <c r="P6460">
        <v>6.7849709999999994E-2</v>
      </c>
      <c r="Q6460">
        <v>0.1183839</v>
      </c>
      <c r="R6460">
        <v>0.9906471</v>
      </c>
      <c r="S6460">
        <v>0.29377750000000002</v>
      </c>
      <c r="T6460">
        <v>-0.20955850000000001</v>
      </c>
      <c r="U6460">
        <v>3.0331419999999998</v>
      </c>
      <c r="V6460">
        <v>8.6728E-2</v>
      </c>
      <c r="W6460">
        <v>0.1285607</v>
      </c>
      <c r="X6460">
        <v>0.98790199999999995</v>
      </c>
      <c r="Y6460">
        <v>0.1148636</v>
      </c>
      <c r="Z6460">
        <v>-6.8519280000000002E-2</v>
      </c>
      <c r="AA6460">
        <v>0.99101539999999999</v>
      </c>
      <c r="AB6460">
        <v>29</v>
      </c>
      <c r="AC6460">
        <v>8.4699999999997999E-2</v>
      </c>
      <c r="AD6460">
        <v>-5.6917999999999802E-2</v>
      </c>
      <c r="AE6460">
        <v>0.51740000000000197</v>
      </c>
      <c r="AF6460">
        <v>9.3307374295040796E-2</v>
      </c>
      <c r="AG6460">
        <v>-5.6917999999999802E-2</v>
      </c>
      <c r="AH6460">
        <v>0.50970975957962605</v>
      </c>
      <c r="AI6460">
        <v>96.268364146046395</v>
      </c>
      <c r="AJ6460">
        <v>79.626304759322096</v>
      </c>
      <c r="AK6460">
        <v>0.52129642606923199</v>
      </c>
      <c r="AL6460">
        <v>82.613571265498393</v>
      </c>
      <c r="AM6460">
        <v>84.982861488876694</v>
      </c>
      <c r="AN6460">
        <v>0.99999998058624395</v>
      </c>
    </row>
    <row r="6461" spans="1:40" x14ac:dyDescent="0.25">
      <c r="A6461" t="str">
        <f>"20190312164630108"</f>
        <v>20190312164630108</v>
      </c>
      <c r="B6461" t="str">
        <f>"1552380390097774"</f>
        <v>1552380390097774</v>
      </c>
      <c r="C6461" t="s">
        <v>40</v>
      </c>
      <c r="D6461">
        <v>4.7350580000000004</v>
      </c>
      <c r="E6461">
        <v>0.51674409999999904</v>
      </c>
      <c r="F6461" t="s">
        <v>41</v>
      </c>
      <c r="G6461">
        <v>-187.2576</v>
      </c>
      <c r="H6461">
        <v>1.053221</v>
      </c>
      <c r="I6461">
        <v>-17.577100000000002</v>
      </c>
      <c r="J6461">
        <v>-187.33709999999999</v>
      </c>
      <c r="K6461">
        <v>1.1076790000000001</v>
      </c>
      <c r="L6461">
        <v>-18.064879999999999</v>
      </c>
      <c r="M6461">
        <v>-1.7743930000000002E-2</v>
      </c>
      <c r="N6461">
        <v>0</v>
      </c>
      <c r="O6461">
        <v>0.99978909999999999</v>
      </c>
      <c r="P6461">
        <v>6.7338330000000002E-2</v>
      </c>
      <c r="Q6461">
        <v>0.118567699999999</v>
      </c>
      <c r="R6461">
        <v>0.99065999999999999</v>
      </c>
      <c r="S6461">
        <v>0.29357909999999998</v>
      </c>
      <c r="T6461">
        <v>-0.21255930000000001</v>
      </c>
      <c r="U6461">
        <v>3.03363</v>
      </c>
      <c r="V6461">
        <v>8.5171419999999998E-2</v>
      </c>
      <c r="W6461">
        <v>0.1286175</v>
      </c>
      <c r="X6461">
        <v>0.98803010000000002</v>
      </c>
      <c r="Y6461">
        <v>0.11373900000000001</v>
      </c>
      <c r="Z6461">
        <v>-6.949139E-2</v>
      </c>
      <c r="AA6461">
        <v>0.9910774</v>
      </c>
      <c r="AB6461">
        <v>29</v>
      </c>
      <c r="AC6461">
        <v>7.9499999999995893E-2</v>
      </c>
      <c r="AD6461">
        <v>-5.4458000000000097E-2</v>
      </c>
      <c r="AE6461">
        <v>0.48777999999999699</v>
      </c>
      <c r="AF6461">
        <v>8.7085686611482499E-2</v>
      </c>
      <c r="AG6461">
        <v>-5.4458000000000097E-2</v>
      </c>
      <c r="AH6461">
        <v>0.48045875868406601</v>
      </c>
      <c r="AI6461">
        <v>96.363818782511203</v>
      </c>
      <c r="AJ6461">
        <v>79.726376484793605</v>
      </c>
      <c r="AK6461">
        <v>0.49131477626143799</v>
      </c>
      <c r="AL6461">
        <v>82.610290175995104</v>
      </c>
      <c r="AM6461">
        <v>85.073096621074995</v>
      </c>
      <c r="AN6461">
        <v>1.00000005529853</v>
      </c>
    </row>
    <row r="6462" spans="1:40" x14ac:dyDescent="0.25">
      <c r="A6462" t="str">
        <f>"20190312164630133"</f>
        <v>20190312164630133</v>
      </c>
      <c r="B6462" t="str">
        <f>"1552380390128031"</f>
        <v>1552380390128031</v>
      </c>
      <c r="C6462" t="s">
        <v>40</v>
      </c>
      <c r="D6462">
        <v>4.8620029999999996</v>
      </c>
      <c r="E6462">
        <v>0.51645299999999905</v>
      </c>
      <c r="F6462" t="s">
        <v>41</v>
      </c>
      <c r="G6462">
        <v>-187.2637</v>
      </c>
      <c r="H6462">
        <v>1.0545</v>
      </c>
      <c r="I6462">
        <v>-17.308319999999998</v>
      </c>
      <c r="J6462">
        <v>-187.3415</v>
      </c>
      <c r="K6462">
        <v>1.107691</v>
      </c>
      <c r="L6462">
        <v>-17.745090000000001</v>
      </c>
      <c r="M6462">
        <v>-1.6642230000000001E-2</v>
      </c>
      <c r="N6462">
        <v>0</v>
      </c>
      <c r="O6462">
        <v>0.99980959999999997</v>
      </c>
      <c r="P6462">
        <v>6.6638799999999998E-2</v>
      </c>
      <c r="Q6462">
        <v>0.118993</v>
      </c>
      <c r="R6462">
        <v>0.99065630000000005</v>
      </c>
      <c r="S6462">
        <v>0.29335020000000001</v>
      </c>
      <c r="T6462">
        <v>-0.21317839999999999</v>
      </c>
      <c r="U6462">
        <v>3.0338750000000001</v>
      </c>
      <c r="V6462">
        <v>8.3370169999999993E-2</v>
      </c>
      <c r="W6462">
        <v>0.1289003</v>
      </c>
      <c r="X6462">
        <v>0.98814679999999999</v>
      </c>
      <c r="Y6462">
        <v>0.1125611</v>
      </c>
      <c r="Z6462">
        <v>-6.9694179999999994E-2</v>
      </c>
      <c r="AA6462">
        <v>0.99119760000000001</v>
      </c>
      <c r="AB6462">
        <v>29</v>
      </c>
      <c r="AC6462">
        <v>7.7799999999996303E-2</v>
      </c>
      <c r="AD6462">
        <v>-5.3190999999999898E-2</v>
      </c>
      <c r="AE6462">
        <v>0.43676999999999899</v>
      </c>
      <c r="AF6462">
        <v>8.3853048236814498E-2</v>
      </c>
      <c r="AG6462">
        <v>-5.3190999999999898E-2</v>
      </c>
      <c r="AH6462">
        <v>0.42924432325509099</v>
      </c>
      <c r="AI6462">
        <v>96.934195336798993</v>
      </c>
      <c r="AJ6462">
        <v>78.946451529170304</v>
      </c>
      <c r="AK6462">
        <v>0.44058064554213699</v>
      </c>
      <c r="AL6462">
        <v>82.593950401197802</v>
      </c>
      <c r="AM6462">
        <v>85.177363473213504</v>
      </c>
      <c r="AN6462">
        <v>0.999999985468079</v>
      </c>
    </row>
    <row r="6463" spans="1:40" x14ac:dyDescent="0.25">
      <c r="A6463" t="str">
        <f>"20190312164630153"</f>
        <v>20190312164630153</v>
      </c>
      <c r="B6463" t="str">
        <f>"1552380390147550"</f>
        <v>1552380390147550</v>
      </c>
      <c r="C6463" t="s">
        <v>40</v>
      </c>
      <c r="D6463">
        <v>4.7317010000000002</v>
      </c>
      <c r="E6463">
        <v>0.51202420000000004</v>
      </c>
      <c r="F6463" t="s">
        <v>41</v>
      </c>
      <c r="G6463">
        <v>-187.25219999999999</v>
      </c>
      <c r="H6463">
        <v>1.0413859999999999</v>
      </c>
      <c r="I6463">
        <v>-16.80913</v>
      </c>
      <c r="J6463">
        <v>-187.3449</v>
      </c>
      <c r="K6463">
        <v>1.1077030000000001</v>
      </c>
      <c r="L6463">
        <v>-17.48526</v>
      </c>
      <c r="M6463">
        <v>-1.5785939999999998E-2</v>
      </c>
      <c r="N6463">
        <v>0</v>
      </c>
      <c r="O6463">
        <v>0.99982479999999996</v>
      </c>
      <c r="P6463">
        <v>6.5778639999999999E-2</v>
      </c>
      <c r="Q6463">
        <v>0.1190975</v>
      </c>
      <c r="R6463">
        <v>0.99070130000000001</v>
      </c>
      <c r="S6463">
        <v>0.28900150000000002</v>
      </c>
      <c r="T6463">
        <v>-0.21492230000000001</v>
      </c>
      <c r="U6463">
        <v>3.0346679999999999</v>
      </c>
      <c r="V6463">
        <v>8.1653499999999907E-2</v>
      </c>
      <c r="W6463">
        <v>0.1288927</v>
      </c>
      <c r="X6463">
        <v>0.98829109999999998</v>
      </c>
      <c r="Y6463">
        <v>0.11027380000000001</v>
      </c>
      <c r="Z6463">
        <v>-7.0258570000000006E-2</v>
      </c>
      <c r="AA6463">
        <v>0.99141480000000004</v>
      </c>
      <c r="AB6463">
        <v>29</v>
      </c>
      <c r="AC6463">
        <v>9.2700000000007707E-2</v>
      </c>
      <c r="AD6463">
        <v>-6.6316999999999904E-2</v>
      </c>
      <c r="AE6463">
        <v>0.67613000000000001</v>
      </c>
      <c r="AF6463">
        <v>0.10239543432419899</v>
      </c>
      <c r="AG6463">
        <v>-6.6316999999999904E-2</v>
      </c>
      <c r="AH6463">
        <v>0.66827194283874203</v>
      </c>
      <c r="AI6463">
        <v>95.6023203835706</v>
      </c>
      <c r="AJ6463">
        <v>81.2886523376349</v>
      </c>
      <c r="AK6463">
        <v>0.67931594935266204</v>
      </c>
      <c r="AL6463">
        <v>82.594389324421996</v>
      </c>
      <c r="AM6463">
        <v>85.276898610976701</v>
      </c>
      <c r="AN6463">
        <v>0.99999996025737403</v>
      </c>
    </row>
    <row r="6464" spans="1:40" x14ac:dyDescent="0.25">
      <c r="A6464" t="str">
        <f>"20190312164630174"</f>
        <v>20190312164630174</v>
      </c>
      <c r="B6464" t="str">
        <f>"1552380390168046"</f>
        <v>1552380390168046</v>
      </c>
      <c r="C6464" t="s">
        <v>40</v>
      </c>
      <c r="D6464">
        <v>4.7380829999999996</v>
      </c>
      <c r="E6464">
        <v>0.44201040000000003</v>
      </c>
      <c r="F6464" t="s">
        <v>41</v>
      </c>
      <c r="G6464">
        <v>-187.26750000000001</v>
      </c>
      <c r="H6464">
        <v>1.0416270000000001</v>
      </c>
      <c r="I6464">
        <v>-16.549389999999999</v>
      </c>
      <c r="J6464">
        <v>-187.3484</v>
      </c>
      <c r="K6464">
        <v>1.107721</v>
      </c>
      <c r="L6464">
        <v>-17.206879999999899</v>
      </c>
      <c r="M6464">
        <v>-1.490611E-2</v>
      </c>
      <c r="N6464">
        <v>0</v>
      </c>
      <c r="O6464">
        <v>0.99983949999999999</v>
      </c>
      <c r="P6464">
        <v>6.5164369999999999E-2</v>
      </c>
      <c r="Q6464">
        <v>0.1193688</v>
      </c>
      <c r="R6464">
        <v>0.99070919999999896</v>
      </c>
      <c r="S6464">
        <v>0.25099179999999999</v>
      </c>
      <c r="T6464">
        <v>-0.2144238</v>
      </c>
      <c r="U6464">
        <v>3.0372620000000001</v>
      </c>
      <c r="V6464">
        <v>8.0158980000000005E-2</v>
      </c>
      <c r="W6464">
        <v>0.1290492</v>
      </c>
      <c r="X6464">
        <v>0.98839310000000002</v>
      </c>
      <c r="Y6464">
        <v>9.7001000000000004E-2</v>
      </c>
      <c r="Z6464">
        <v>-7.0125679999999996E-2</v>
      </c>
      <c r="AA6464">
        <v>0.99281070000000005</v>
      </c>
      <c r="AB6464">
        <v>29</v>
      </c>
      <c r="AC6464">
        <v>8.0899999999985497E-2</v>
      </c>
      <c r="AD6464">
        <v>-6.6093999999999806E-2</v>
      </c>
      <c r="AE6464">
        <v>0.65748999999999902</v>
      </c>
      <c r="AF6464">
        <v>8.9798215968988196E-2</v>
      </c>
      <c r="AG6464">
        <v>-6.6093999999999806E-2</v>
      </c>
      <c r="AH6464">
        <v>0.64974310537575397</v>
      </c>
      <c r="AI6464">
        <v>95.754014397728398</v>
      </c>
      <c r="AJ6464">
        <v>82.131242585837199</v>
      </c>
      <c r="AK6464">
        <v>0.65924065363912498</v>
      </c>
      <c r="AL6464">
        <v>82.585347604527698</v>
      </c>
      <c r="AM6464">
        <v>85.363442426850696</v>
      </c>
      <c r="AN6464">
        <v>1.0000000391114401</v>
      </c>
    </row>
    <row r="6465" spans="1:40" x14ac:dyDescent="0.25">
      <c r="A6465" t="str">
        <f>"20190312164630197"</f>
        <v>20190312164630197</v>
      </c>
      <c r="B6465" t="str">
        <f>"1552380390187566"</f>
        <v>1552380390187566</v>
      </c>
      <c r="C6465" t="s">
        <v>40</v>
      </c>
      <c r="D6465">
        <v>4.6801649999999997</v>
      </c>
      <c r="E6465">
        <v>0.44394109999999998</v>
      </c>
      <c r="F6465" t="s">
        <v>42</v>
      </c>
      <c r="G6465">
        <v>-189.69909999999999</v>
      </c>
      <c r="H6465" s="1">
        <v>-2.9526529999999999E-6</v>
      </c>
      <c r="I6465">
        <v>6.3910770000000001</v>
      </c>
      <c r="J6465">
        <v>-187.3519</v>
      </c>
      <c r="K6465">
        <v>1.1077399999999999</v>
      </c>
      <c r="L6465">
        <v>-16.913019999999999</v>
      </c>
      <c r="M6465">
        <v>-1.4032650000000001E-2</v>
      </c>
      <c r="N6465">
        <v>0</v>
      </c>
      <c r="O6465">
        <v>0.9998534</v>
      </c>
      <c r="P6465">
        <v>6.4108250000000006E-2</v>
      </c>
      <c r="Q6465">
        <v>0.11933249999999999</v>
      </c>
      <c r="R6465">
        <v>0.99078239999999995</v>
      </c>
      <c r="S6465">
        <v>-0.30537409999999998</v>
      </c>
      <c r="T6465">
        <v>-0.14390169999999999</v>
      </c>
      <c r="U6465">
        <v>3.0655519999999998</v>
      </c>
      <c r="V6465">
        <v>7.822759E-2</v>
      </c>
      <c r="W6465">
        <v>0.12889929999999999</v>
      </c>
      <c r="X6465">
        <v>0.98856739999999999</v>
      </c>
      <c r="Y6465">
        <v>-8.5042140000000002E-2</v>
      </c>
      <c r="Z6465">
        <v>-4.6682800000000003E-2</v>
      </c>
      <c r="AA6465">
        <v>0.99528309999999998</v>
      </c>
      <c r="AB6465">
        <v>29</v>
      </c>
      <c r="AC6465">
        <v>-2.34719999999998</v>
      </c>
      <c r="AD6465">
        <v>-1.107742952653</v>
      </c>
      <c r="AE6465">
        <v>23.304096999999999</v>
      </c>
      <c r="AF6465">
        <v>-2.0154267539418198</v>
      </c>
      <c r="AG6465">
        <v>-1.107742952653</v>
      </c>
      <c r="AH6465">
        <v>23.282662235729699</v>
      </c>
      <c r="AI6465">
        <v>92.713832113095194</v>
      </c>
      <c r="AJ6465">
        <v>94.947385645866703</v>
      </c>
      <c r="AK6465">
        <v>23.395969743371001</v>
      </c>
      <c r="AL6465">
        <v>82.594008621306102</v>
      </c>
      <c r="AM6465">
        <v>85.475482798178803</v>
      </c>
      <c r="AN6465">
        <v>1.00000004486022</v>
      </c>
    </row>
    <row r="6466" spans="1:40" x14ac:dyDescent="0.25">
      <c r="A6466" t="str">
        <f>"20190312164630231"</f>
        <v>20190312164630231</v>
      </c>
      <c r="B6466" t="str">
        <f>"1552380390227582"</f>
        <v>1552380390227582</v>
      </c>
      <c r="C6466" t="s">
        <v>40</v>
      </c>
      <c r="D6466">
        <v>4.6881700000000004</v>
      </c>
      <c r="E6466">
        <v>0.44478820000000002</v>
      </c>
      <c r="F6466" t="s">
        <v>42</v>
      </c>
      <c r="G6466">
        <v>-189.70939999999999</v>
      </c>
      <c r="H6466" s="1">
        <v>-3.547612E-6</v>
      </c>
      <c r="I6466">
        <v>7.7822089999999999</v>
      </c>
      <c r="J6466">
        <v>-187.35669999999999</v>
      </c>
      <c r="K6466">
        <v>1.1077859999999999</v>
      </c>
      <c r="L6466">
        <v>-16.47711</v>
      </c>
      <c r="M6466">
        <v>-1.2861010000000001E-2</v>
      </c>
      <c r="N6466">
        <v>0</v>
      </c>
      <c r="O6466">
        <v>0.99987090000000001</v>
      </c>
      <c r="P6466">
        <v>6.3247559999999994E-2</v>
      </c>
      <c r="Q6466">
        <v>0.1195999</v>
      </c>
      <c r="R6466">
        <v>0.99080550000000001</v>
      </c>
      <c r="S6466">
        <v>-0.29244999999999999</v>
      </c>
      <c r="T6466">
        <v>-0.13741300000000001</v>
      </c>
      <c r="U6466">
        <v>3.0633849999999998</v>
      </c>
      <c r="V6466">
        <v>7.6185970000000006E-2</v>
      </c>
      <c r="W6466">
        <v>0.12901000000000001</v>
      </c>
      <c r="X6466">
        <v>0.98871240000000005</v>
      </c>
      <c r="Y6466">
        <v>-8.2128259999999995E-2</v>
      </c>
      <c r="Z6466">
        <v>-4.4629050000000003E-2</v>
      </c>
      <c r="AA6466">
        <v>0.99562200000000001</v>
      </c>
      <c r="AB6466">
        <v>29</v>
      </c>
      <c r="AC6466">
        <v>-2.3526999999999898</v>
      </c>
      <c r="AD6466">
        <v>-1.1077895476119901</v>
      </c>
      <c r="AE6466">
        <v>24.259319000000001</v>
      </c>
      <c r="AF6466">
        <v>-2.0362849897175201</v>
      </c>
      <c r="AG6466">
        <v>-1.1077895476119901</v>
      </c>
      <c r="AH6466">
        <v>24.237501692852799</v>
      </c>
      <c r="AI6466">
        <v>92.607742512545698</v>
      </c>
      <c r="AJ6466">
        <v>94.802359359277901</v>
      </c>
      <c r="AK6466">
        <v>24.348103469309201</v>
      </c>
      <c r="AL6466">
        <v>82.587612583599395</v>
      </c>
      <c r="AM6466">
        <v>85.593738147473402</v>
      </c>
      <c r="AN6466">
        <v>1.0000000460192899</v>
      </c>
    </row>
    <row r="6467" spans="1:40" x14ac:dyDescent="0.25">
      <c r="A6467" t="str">
        <f>"20190312164630251"</f>
        <v>20190312164630251</v>
      </c>
      <c r="B6467" t="str">
        <f>"1552380390248078"</f>
        <v>1552380390248078</v>
      </c>
      <c r="C6467" t="s">
        <v>40</v>
      </c>
      <c r="D6467">
        <v>4.7460740000000001</v>
      </c>
      <c r="E6467">
        <v>0.4447333</v>
      </c>
      <c r="F6467" t="s">
        <v>42</v>
      </c>
      <c r="G6467">
        <v>-189.3785</v>
      </c>
      <c r="H6467" s="1">
        <v>-2.4198090000000001E-6</v>
      </c>
      <c r="I6467">
        <v>5.0164390000000001</v>
      </c>
      <c r="J6467">
        <v>-187.3595</v>
      </c>
      <c r="K6467">
        <v>1.1078140000000001</v>
      </c>
      <c r="L6467">
        <v>-16.201969999999999</v>
      </c>
      <c r="M6467">
        <v>-1.2220429999999999E-2</v>
      </c>
      <c r="N6467">
        <v>0</v>
      </c>
      <c r="O6467">
        <v>0.99987999999999999</v>
      </c>
      <c r="P6467">
        <v>6.2713749999999999E-2</v>
      </c>
      <c r="Q6467">
        <v>0.1195614</v>
      </c>
      <c r="R6467">
        <v>0.99084410000000001</v>
      </c>
      <c r="S6467">
        <v>-0.28834530000000003</v>
      </c>
      <c r="T6467">
        <v>-0.1579875</v>
      </c>
      <c r="U6467">
        <v>3.0653079999999999</v>
      </c>
      <c r="V6467">
        <v>7.5000869999999997E-2</v>
      </c>
      <c r="W6467">
        <v>0.12887899999999999</v>
      </c>
      <c r="X6467">
        <v>0.98882000000000003</v>
      </c>
      <c r="Y6467">
        <v>-8.1356490000000004E-2</v>
      </c>
      <c r="Z6467">
        <v>-5.1268260000000003E-2</v>
      </c>
      <c r="AA6467">
        <v>0.99536559999999996</v>
      </c>
      <c r="AB6467">
        <v>29</v>
      </c>
      <c r="AC6467">
        <v>-2.0190000000000001</v>
      </c>
      <c r="AD6467">
        <v>-1.1078164198089999</v>
      </c>
      <c r="AE6467">
        <v>21.218409000000001</v>
      </c>
      <c r="AF6467">
        <v>-1.75479890232216</v>
      </c>
      <c r="AG6467">
        <v>-1.1078164198089999</v>
      </c>
      <c r="AH6467">
        <v>21.184270538500201</v>
      </c>
      <c r="AI6467">
        <v>92.983316238742006</v>
      </c>
      <c r="AJ6467">
        <v>94.735284643019199</v>
      </c>
      <c r="AK6467">
        <v>21.285673460239799</v>
      </c>
      <c r="AL6467">
        <v>82.595180875018798</v>
      </c>
      <c r="AM6467">
        <v>85.662485682012701</v>
      </c>
      <c r="AN6467">
        <v>0.99999995977087697</v>
      </c>
    </row>
    <row r="6468" spans="1:40" x14ac:dyDescent="0.25">
      <c r="A6468" t="str">
        <f>"20190312164630273"</f>
        <v>20190312164630273</v>
      </c>
      <c r="B6468" t="str">
        <f>"1552380390267147"</f>
        <v>1552380390267147</v>
      </c>
      <c r="C6468" t="s">
        <v>40</v>
      </c>
      <c r="D6468">
        <v>4.7548500000000002</v>
      </c>
      <c r="E6468">
        <v>0.44493050000000001</v>
      </c>
      <c r="F6468" t="s">
        <v>42</v>
      </c>
      <c r="G6468">
        <v>-189.12479999999999</v>
      </c>
      <c r="H6468" s="1">
        <v>-1.337005E-6</v>
      </c>
      <c r="I6468">
        <v>2.3874979999999999</v>
      </c>
      <c r="J6468">
        <v>-187.36240000000001</v>
      </c>
      <c r="K6468">
        <v>1.1078509999999999</v>
      </c>
      <c r="L6468">
        <v>-15.907780000000001</v>
      </c>
      <c r="M6468">
        <v>-1.161005E-2</v>
      </c>
      <c r="N6468">
        <v>0</v>
      </c>
      <c r="O6468">
        <v>0.9998882</v>
      </c>
      <c r="P6468">
        <v>6.2325749999999999E-2</v>
      </c>
      <c r="Q6468">
        <v>0.1182858</v>
      </c>
      <c r="R6468">
        <v>0.99102170000000001</v>
      </c>
      <c r="S6468">
        <v>-0.29136659999999998</v>
      </c>
      <c r="T6468">
        <v>-0.1828476</v>
      </c>
      <c r="U6468">
        <v>3.0682369999999999</v>
      </c>
      <c r="V6468">
        <v>7.3990059999999996E-2</v>
      </c>
      <c r="W6468">
        <v>0.12751419999999999</v>
      </c>
      <c r="X6468">
        <v>0.98907310000000004</v>
      </c>
      <c r="Y6468">
        <v>-8.2805920000000005E-2</v>
      </c>
      <c r="Z6468">
        <v>-5.9247229999999998E-2</v>
      </c>
      <c r="AA6468">
        <v>0.99480299999999999</v>
      </c>
      <c r="AB6468">
        <v>29</v>
      </c>
      <c r="AC6468">
        <v>-1.76239999999998</v>
      </c>
      <c r="AD6468">
        <v>-1.107852337005</v>
      </c>
      <c r="AE6468">
        <v>18.295278</v>
      </c>
      <c r="AF6468">
        <v>-1.5442522997372401</v>
      </c>
      <c r="AG6468">
        <v>-1.107852337005</v>
      </c>
      <c r="AH6468">
        <v>18.248210175240601</v>
      </c>
      <c r="AI6468">
        <v>93.461830303486494</v>
      </c>
      <c r="AJ6468">
        <v>94.837122698710999</v>
      </c>
      <c r="AK6468">
        <v>18.346913270782199</v>
      </c>
      <c r="AL6468">
        <v>82.674029042701704</v>
      </c>
      <c r="AM6468">
        <v>85.721816066139397</v>
      </c>
      <c r="AN6468">
        <v>0.99999999866202605</v>
      </c>
    </row>
    <row r="6469" spans="1:40" x14ac:dyDescent="0.25">
      <c r="A6469" t="str">
        <f>"20190312164630298"</f>
        <v>20190312164630298</v>
      </c>
      <c r="B6469" t="str">
        <f>"1552380390287642"</f>
        <v>1552380390287642</v>
      </c>
      <c r="C6469" t="s">
        <v>40</v>
      </c>
      <c r="D6469">
        <v>4.6359209999999997</v>
      </c>
      <c r="E6469">
        <v>0.4451444</v>
      </c>
      <c r="F6469" t="s">
        <v>42</v>
      </c>
      <c r="G6469">
        <v>-188.95650000000001</v>
      </c>
      <c r="H6469" s="1">
        <v>-7.255207E-7</v>
      </c>
      <c r="I6469">
        <v>0.89252900000000002</v>
      </c>
      <c r="J6469">
        <v>-187.3655</v>
      </c>
      <c r="K6469">
        <v>1.1079000000000001</v>
      </c>
      <c r="L6469">
        <v>-15.58887</v>
      </c>
      <c r="M6469">
        <v>-1.1050600000000001E-2</v>
      </c>
      <c r="N6469">
        <v>0</v>
      </c>
      <c r="O6469">
        <v>0.9998956</v>
      </c>
      <c r="P6469">
        <v>6.1374440000000002E-2</v>
      </c>
      <c r="Q6469">
        <v>0.116978399999999</v>
      </c>
      <c r="R6469">
        <v>0.99123620000000001</v>
      </c>
      <c r="S6469">
        <v>-0.29125980000000001</v>
      </c>
      <c r="T6469">
        <v>-0.2024193</v>
      </c>
      <c r="U6469">
        <v>3.0696409999999998</v>
      </c>
      <c r="V6469">
        <v>7.2464379999999995E-2</v>
      </c>
      <c r="W6469">
        <v>0.12611510000000001</v>
      </c>
      <c r="X6469">
        <v>0.98936539999999995</v>
      </c>
      <c r="Y6469">
        <v>-8.3249290000000004E-2</v>
      </c>
      <c r="Z6469">
        <v>-6.5532709999999994E-2</v>
      </c>
      <c r="AA6469">
        <v>0.99437169999999997</v>
      </c>
      <c r="AB6469">
        <v>29</v>
      </c>
      <c r="AC6469">
        <v>-1.591</v>
      </c>
      <c r="AD6469">
        <v>-1.1079007255206901</v>
      </c>
      <c r="AE6469">
        <v>16.481399</v>
      </c>
      <c r="AF6469">
        <v>-1.40248669797737</v>
      </c>
      <c r="AG6469">
        <v>-1.1079007255206901</v>
      </c>
      <c r="AH6469">
        <v>16.424442909704901</v>
      </c>
      <c r="AI6469">
        <v>93.845055386895297</v>
      </c>
      <c r="AJ6469">
        <v>94.880659437923399</v>
      </c>
      <c r="AK6469">
        <v>16.521402417766101</v>
      </c>
      <c r="AL6469">
        <v>82.754844048405502</v>
      </c>
      <c r="AM6469">
        <v>85.810948574070494</v>
      </c>
      <c r="AN6469">
        <v>0.99999999976697695</v>
      </c>
    </row>
    <row r="6470" spans="1:40" x14ac:dyDescent="0.25">
      <c r="A6470" t="str">
        <f>"20190312164630320"</f>
        <v>20190312164630320</v>
      </c>
      <c r="B6470" t="str">
        <f>"1552380390317898"</f>
        <v>1552380390317898</v>
      </c>
      <c r="C6470" t="s">
        <v>40</v>
      </c>
      <c r="D6470">
        <v>4.7678409999999998</v>
      </c>
      <c r="E6470">
        <v>0.44515199999999999</v>
      </c>
      <c r="F6470" t="s">
        <v>42</v>
      </c>
      <c r="G6470">
        <v>-188.85980000000001</v>
      </c>
      <c r="H6470" s="1">
        <v>-4.671649E-7</v>
      </c>
      <c r="I6470">
        <v>0.1293387</v>
      </c>
      <c r="J6470">
        <v>-187.36840000000001</v>
      </c>
      <c r="K6470">
        <v>1.10795</v>
      </c>
      <c r="L6470">
        <v>-15.28619</v>
      </c>
      <c r="M6470">
        <v>-1.061752E-2</v>
      </c>
      <c r="N6470">
        <v>0</v>
      </c>
      <c r="O6470">
        <v>0.99990120000000005</v>
      </c>
      <c r="P6470">
        <v>6.0274179999999997E-2</v>
      </c>
      <c r="Q6470">
        <v>0.1157815</v>
      </c>
      <c r="R6470">
        <v>0.9914442</v>
      </c>
      <c r="S6470">
        <v>-0.29185489999999997</v>
      </c>
      <c r="T6470">
        <v>-0.2163986</v>
      </c>
      <c r="U6470">
        <v>3.0701290000000001</v>
      </c>
      <c r="V6470">
        <v>7.0915790000000006E-2</v>
      </c>
      <c r="W6470">
        <v>0.1248326</v>
      </c>
      <c r="X6470">
        <v>0.98964019999999997</v>
      </c>
      <c r="Y6470">
        <v>-8.3828169999999994E-2</v>
      </c>
      <c r="Z6470">
        <v>-7.0024039999999996E-2</v>
      </c>
      <c r="AA6470">
        <v>0.99401680000000003</v>
      </c>
      <c r="AB6470">
        <v>29</v>
      </c>
      <c r="AC6470">
        <v>-1.4913999999999901</v>
      </c>
      <c r="AD6470">
        <v>-1.1079504671648901</v>
      </c>
      <c r="AE6470">
        <v>15.4155286999999</v>
      </c>
      <c r="AF6470">
        <v>-1.32087441193967</v>
      </c>
      <c r="AG6470">
        <v>-1.1079504671648901</v>
      </c>
      <c r="AH6470">
        <v>15.3519282332211</v>
      </c>
      <c r="AI6470">
        <v>94.112743889441802</v>
      </c>
      <c r="AJ6470">
        <v>94.917597533635998</v>
      </c>
      <c r="AK6470">
        <v>15.448429173471901</v>
      </c>
      <c r="AL6470">
        <v>82.828911080865595</v>
      </c>
      <c r="AM6470">
        <v>85.901296085243999</v>
      </c>
      <c r="AN6470">
        <v>0.99999997637506099</v>
      </c>
    </row>
    <row r="6471" spans="1:40" x14ac:dyDescent="0.25">
      <c r="A6471" t="str">
        <f>"20190312164630341"</f>
        <v>20190312164630341</v>
      </c>
      <c r="B6471" t="str">
        <f>"1552380390337419"</f>
        <v>1552380390337419</v>
      </c>
      <c r="C6471" t="s">
        <v>40</v>
      </c>
      <c r="D6471">
        <v>4.7798499999999997</v>
      </c>
      <c r="E6471">
        <v>0.44524209999999897</v>
      </c>
      <c r="F6471" t="s">
        <v>42</v>
      </c>
      <c r="G6471">
        <v>-188.78030000000001</v>
      </c>
      <c r="H6471" s="1">
        <v>-4.4207379999999997E-6</v>
      </c>
      <c r="I6471">
        <v>-0.56667519999999905</v>
      </c>
      <c r="J6471">
        <v>-187.37090000000001</v>
      </c>
      <c r="K6471">
        <v>1.107993</v>
      </c>
      <c r="L6471">
        <v>-15.01993</v>
      </c>
      <c r="M6471">
        <v>-1.030931E-2</v>
      </c>
      <c r="N6471">
        <v>0</v>
      </c>
      <c r="O6471">
        <v>0.9999053</v>
      </c>
      <c r="P6471">
        <v>5.8758009999999999E-2</v>
      </c>
      <c r="Q6471">
        <v>0.1152203</v>
      </c>
      <c r="R6471">
        <v>0.99160060000000005</v>
      </c>
      <c r="S6471">
        <v>-0.29455569999999998</v>
      </c>
      <c r="T6471">
        <v>-0.2311425</v>
      </c>
      <c r="U6471">
        <v>3.0708009999999999</v>
      </c>
      <c r="V6471">
        <v>6.9078390000000003E-2</v>
      </c>
      <c r="W6471">
        <v>0.12419620000000001</v>
      </c>
      <c r="X6471">
        <v>0.98985020000000001</v>
      </c>
      <c r="Y6471">
        <v>-8.4948430000000005E-2</v>
      </c>
      <c r="Z6471">
        <v>-7.474662E-2</v>
      </c>
      <c r="AA6471">
        <v>0.99357770000000001</v>
      </c>
      <c r="AB6471">
        <v>29</v>
      </c>
      <c r="AC6471">
        <v>-1.4094</v>
      </c>
      <c r="AD6471">
        <v>-1.1079974207379999</v>
      </c>
      <c r="AE6471">
        <v>14.4532547999999</v>
      </c>
      <c r="AF6471">
        <v>-1.2530213370169101</v>
      </c>
      <c r="AG6471">
        <v>-1.1079974207379999</v>
      </c>
      <c r="AH6471">
        <v>14.383284705018699</v>
      </c>
      <c r="AI6471">
        <v>94.388449567306395</v>
      </c>
      <c r="AJ6471">
        <v>94.978837557007694</v>
      </c>
      <c r="AK6471">
        <v>14.480214075109799</v>
      </c>
      <c r="AL6471">
        <v>82.865660053602795</v>
      </c>
      <c r="AM6471">
        <v>86.007988201374701</v>
      </c>
      <c r="AN6471">
        <v>0.999999969249735</v>
      </c>
    </row>
    <row r="6472" spans="1:40" x14ac:dyDescent="0.25">
      <c r="A6472" t="str">
        <f>"20190312164630363"</f>
        <v>20190312164630363</v>
      </c>
      <c r="B6472" t="str">
        <f>"1552380390357915"</f>
        <v>1552380390357915</v>
      </c>
      <c r="C6472" t="s">
        <v>40</v>
      </c>
      <c r="D6472">
        <v>4.8129030000000004</v>
      </c>
      <c r="E6472">
        <v>0.4452526</v>
      </c>
      <c r="F6472" t="s">
        <v>42</v>
      </c>
      <c r="G6472">
        <v>-188.74199999999999</v>
      </c>
      <c r="H6472" s="1">
        <v>-4.2868799999999999E-6</v>
      </c>
      <c r="I6472">
        <v>-0.89457419999999999</v>
      </c>
      <c r="J6472">
        <v>-187.37379999999999</v>
      </c>
      <c r="K6472">
        <v>1.108036</v>
      </c>
      <c r="L6472">
        <v>-14.71463</v>
      </c>
      <c r="M6472">
        <v>-1.002226E-2</v>
      </c>
      <c r="N6472">
        <v>0</v>
      </c>
      <c r="O6472">
        <v>0.99990919999999905</v>
      </c>
      <c r="P6472">
        <v>5.7056540000000003E-2</v>
      </c>
      <c r="Q6472">
        <v>0.1148383</v>
      </c>
      <c r="R6472">
        <v>0.99174430000000002</v>
      </c>
      <c r="S6472">
        <v>-0.29808040000000002</v>
      </c>
      <c r="T6472">
        <v>-0.2408961</v>
      </c>
      <c r="U6472">
        <v>3.071075</v>
      </c>
      <c r="V6472">
        <v>6.7076570000000002E-2</v>
      </c>
      <c r="W6472">
        <v>0.1237231</v>
      </c>
      <c r="X6472">
        <v>0.99004720000000002</v>
      </c>
      <c r="Y6472">
        <v>-8.6332699999999998E-2</v>
      </c>
      <c r="Z6472">
        <v>-7.7866450000000004E-2</v>
      </c>
      <c r="AA6472">
        <v>0.99321870000000001</v>
      </c>
      <c r="AB6472">
        <v>30</v>
      </c>
      <c r="AC6472">
        <v>-1.3682000000000301</v>
      </c>
      <c r="AD6472">
        <v>-1.1080402868799999</v>
      </c>
      <c r="AE6472">
        <v>13.8200558</v>
      </c>
      <c r="AF6472">
        <v>-1.2218394326912601</v>
      </c>
      <c r="AG6472">
        <v>-1.1080402868799999</v>
      </c>
      <c r="AH6472">
        <v>13.745572559807901</v>
      </c>
      <c r="AI6472">
        <v>94.590665063597896</v>
      </c>
      <c r="AJ6472">
        <v>95.0796523623344</v>
      </c>
      <c r="AK6472">
        <v>13.844183250505299</v>
      </c>
      <c r="AL6472">
        <v>82.892978063266298</v>
      </c>
      <c r="AM6472">
        <v>86.124083607608895</v>
      </c>
      <c r="AN6472">
        <v>1.0000000649722001</v>
      </c>
    </row>
    <row r="6473" spans="1:40" x14ac:dyDescent="0.25">
      <c r="A6473" t="str">
        <f>"20190312164630386"</f>
        <v>20190312164630386</v>
      </c>
      <c r="B6473" t="str">
        <f>"1552380390377435"</f>
        <v>1552380390377435</v>
      </c>
      <c r="C6473" t="s">
        <v>40</v>
      </c>
      <c r="D6473">
        <v>4.7007779999999997</v>
      </c>
      <c r="E6473">
        <v>0.44553969999999998</v>
      </c>
      <c r="F6473" t="s">
        <v>42</v>
      </c>
      <c r="G6473">
        <v>-188.71889999999999</v>
      </c>
      <c r="H6473" s="1">
        <v>-4.2248650000000001E-6</v>
      </c>
      <c r="I6473">
        <v>-1.0486439999999999</v>
      </c>
      <c r="J6473">
        <v>-187.37649999999999</v>
      </c>
      <c r="K6473">
        <v>1.1080559999999999</v>
      </c>
      <c r="L6473">
        <v>-14.414759999999999</v>
      </c>
      <c r="M6473">
        <v>-9.7905300000000004E-3</v>
      </c>
      <c r="N6473">
        <v>0</v>
      </c>
      <c r="O6473">
        <v>0.99991240000000003</v>
      </c>
      <c r="P6473">
        <v>5.4697660000000002E-2</v>
      </c>
      <c r="Q6473">
        <v>0.1142867</v>
      </c>
      <c r="R6473">
        <v>0.99194090000000001</v>
      </c>
      <c r="S6473">
        <v>-0.3023071</v>
      </c>
      <c r="T6473">
        <v>-0.24901309999999999</v>
      </c>
      <c r="U6473">
        <v>3.0711979999999999</v>
      </c>
      <c r="V6473">
        <v>6.4476859999999997E-2</v>
      </c>
      <c r="W6473">
        <v>0.1230776</v>
      </c>
      <c r="X6473">
        <v>0.99030030000000002</v>
      </c>
      <c r="Y6473">
        <v>-8.7893499999999999E-2</v>
      </c>
      <c r="Z6473">
        <v>-8.0459649999999994E-2</v>
      </c>
      <c r="AA6473">
        <v>0.99287510000000001</v>
      </c>
      <c r="AB6473">
        <v>30</v>
      </c>
      <c r="AC6473">
        <v>-1.34239999999999</v>
      </c>
      <c r="AD6473">
        <v>-1.108060224865</v>
      </c>
      <c r="AE6473">
        <v>13.366116</v>
      </c>
      <c r="AF6473">
        <v>-1.2032821000076901</v>
      </c>
      <c r="AG6473">
        <v>-1.108060224865</v>
      </c>
      <c r="AH6473">
        <v>13.288207099817701</v>
      </c>
      <c r="AI6473">
        <v>94.747345819342897</v>
      </c>
      <c r="AJ6473">
        <v>95.174171955591802</v>
      </c>
      <c r="AK6473">
        <v>13.3885075046389</v>
      </c>
      <c r="AL6473">
        <v>82.930247036591496</v>
      </c>
      <c r="AM6473">
        <v>86.274821802181194</v>
      </c>
      <c r="AN6473">
        <v>1.0000000226386501</v>
      </c>
    </row>
    <row r="6474" spans="1:40" x14ac:dyDescent="0.25">
      <c r="A6474" t="str">
        <f>"20190312164630407"</f>
        <v>20190312164630407</v>
      </c>
      <c r="B6474" t="str">
        <f>"1552380390397932"</f>
        <v>1552380390397932</v>
      </c>
      <c r="C6474" t="s">
        <v>40</v>
      </c>
      <c r="D6474">
        <v>4.8129179999999998</v>
      </c>
      <c r="E6474">
        <v>0.44558449999999999</v>
      </c>
      <c r="F6474" t="s">
        <v>42</v>
      </c>
      <c r="G6474">
        <v>-188.69409999999999</v>
      </c>
      <c r="H6474" s="1">
        <v>-4.1638270000000004E-6</v>
      </c>
      <c r="I6474">
        <v>-1.2012</v>
      </c>
      <c r="J6474">
        <v>-187.3792</v>
      </c>
      <c r="K6474">
        <v>1.108066</v>
      </c>
      <c r="L6474">
        <v>-14.12772</v>
      </c>
      <c r="M6474">
        <v>-9.5996919999999999E-3</v>
      </c>
      <c r="N6474">
        <v>0</v>
      </c>
      <c r="O6474">
        <v>0.99991509999999995</v>
      </c>
      <c r="P6474">
        <v>5.2793880000000001E-2</v>
      </c>
      <c r="Q6474">
        <v>0.11345520000000001</v>
      </c>
      <c r="R6474">
        <v>0.99213949999999995</v>
      </c>
      <c r="S6474">
        <v>-0.30621340000000002</v>
      </c>
      <c r="T6474">
        <v>-0.25752069999999999</v>
      </c>
      <c r="U6474">
        <v>3.0709230000000001</v>
      </c>
      <c r="V6474">
        <v>6.2377309999999998E-2</v>
      </c>
      <c r="W6474">
        <v>0.12215429999999999</v>
      </c>
      <c r="X6474">
        <v>0.99054900000000001</v>
      </c>
      <c r="Y6474">
        <v>-8.9320620000000003E-2</v>
      </c>
      <c r="Z6474">
        <v>-8.3186910000000003E-2</v>
      </c>
      <c r="AA6474">
        <v>0.99252300000000004</v>
      </c>
      <c r="AB6474">
        <v>30</v>
      </c>
      <c r="AC6474">
        <v>-1.31489999999999</v>
      </c>
      <c r="AD6474">
        <v>-1.1080701638269901</v>
      </c>
      <c r="AE6474">
        <v>12.92652</v>
      </c>
      <c r="AF6474">
        <v>-1.1821464840756499</v>
      </c>
      <c r="AG6474">
        <v>-1.1080701638269901</v>
      </c>
      <c r="AH6474">
        <v>12.845127620875999</v>
      </c>
      <c r="AI6474">
        <v>94.909703207754205</v>
      </c>
      <c r="AJ6474">
        <v>95.258160912259399</v>
      </c>
      <c r="AK6474">
        <v>12.9469144352763</v>
      </c>
      <c r="AL6474">
        <v>82.983550017366497</v>
      </c>
      <c r="AM6474">
        <v>86.396701630035096</v>
      </c>
      <c r="AN6474">
        <v>0.999999961606162</v>
      </c>
    </row>
    <row r="6475" spans="1:40" x14ac:dyDescent="0.25">
      <c r="A6475" t="str">
        <f>"20190312164630431"</f>
        <v>20190312164630431</v>
      </c>
      <c r="B6475" t="str">
        <f>"1552380390427211"</f>
        <v>1552380390427211</v>
      </c>
      <c r="C6475" t="s">
        <v>40</v>
      </c>
      <c r="D6475">
        <v>4.7960779999999996</v>
      </c>
      <c r="E6475">
        <v>0.4632906</v>
      </c>
      <c r="F6475" t="s">
        <v>42</v>
      </c>
      <c r="G6475">
        <v>-188.67670000000001</v>
      </c>
      <c r="H6475" s="1">
        <v>-4.12031E-6</v>
      </c>
      <c r="I6475">
        <v>-1.3098399999999999</v>
      </c>
      <c r="J6475">
        <v>-187.3818</v>
      </c>
      <c r="K6475">
        <v>1.1080650000000001</v>
      </c>
      <c r="L6475">
        <v>-13.83234</v>
      </c>
      <c r="M6475">
        <v>-9.420164E-3</v>
      </c>
      <c r="N6475">
        <v>0</v>
      </c>
      <c r="O6475">
        <v>0.99991770000000002</v>
      </c>
      <c r="P6475">
        <v>5.0340330000000003E-2</v>
      </c>
      <c r="Q6475">
        <v>0.1129308</v>
      </c>
      <c r="R6475">
        <v>0.99232679999999995</v>
      </c>
      <c r="S6475">
        <v>-0.31083680000000002</v>
      </c>
      <c r="T6475">
        <v>-0.2654492</v>
      </c>
      <c r="U6475">
        <v>3.0706479999999998</v>
      </c>
      <c r="V6475">
        <v>5.9742580000000003E-2</v>
      </c>
      <c r="W6475">
        <v>0.1215405</v>
      </c>
      <c r="X6475">
        <v>0.99078690000000003</v>
      </c>
      <c r="Y6475">
        <v>-9.096593E-2</v>
      </c>
      <c r="Z6475">
        <v>-8.5724439999999999E-2</v>
      </c>
      <c r="AA6475">
        <v>0.99215750000000003</v>
      </c>
      <c r="AB6475">
        <v>30</v>
      </c>
      <c r="AC6475">
        <v>-1.2949000000000099</v>
      </c>
      <c r="AD6475">
        <v>-1.1080691203099999</v>
      </c>
      <c r="AE6475">
        <v>12.522500000000001</v>
      </c>
      <c r="AF6475">
        <v>-1.1678269295816299</v>
      </c>
      <c r="AG6475">
        <v>-1.1080691203099999</v>
      </c>
      <c r="AH6475">
        <v>12.437787659936699</v>
      </c>
      <c r="AI6475">
        <v>95.0688016828271</v>
      </c>
      <c r="AJ6475">
        <v>95.363973025337202</v>
      </c>
      <c r="AK6475">
        <v>12.541538932145301</v>
      </c>
      <c r="AL6475">
        <v>83.018982274022406</v>
      </c>
      <c r="AM6475">
        <v>86.549350620528898</v>
      </c>
      <c r="AN6475">
        <v>0.99999997510845795</v>
      </c>
    </row>
    <row r="6476" spans="1:40" x14ac:dyDescent="0.25">
      <c r="A6476" t="str">
        <f>"20190312164630452"</f>
        <v>20190312164630452</v>
      </c>
      <c r="B6476" t="str">
        <f>"1552380390447707"</f>
        <v>1552380390447707</v>
      </c>
      <c r="C6476" t="s">
        <v>40</v>
      </c>
      <c r="D6476">
        <v>4.6769179999999997</v>
      </c>
      <c r="E6476">
        <v>0.49986259999999999</v>
      </c>
      <c r="F6476" t="s">
        <v>41</v>
      </c>
      <c r="G6476">
        <v>-187.43790000000001</v>
      </c>
      <c r="H6476">
        <v>1.015072</v>
      </c>
      <c r="I6476">
        <v>-12.866020000000001</v>
      </c>
      <c r="J6476">
        <v>-187.3843</v>
      </c>
      <c r="K6476">
        <v>1.108063</v>
      </c>
      <c r="L6476">
        <v>-13.543430000000001</v>
      </c>
      <c r="M6476">
        <v>-9.2497650000000001E-3</v>
      </c>
      <c r="N6476">
        <v>0</v>
      </c>
      <c r="O6476">
        <v>0.99992000000000003</v>
      </c>
      <c r="P6476">
        <v>4.8242760000000003E-2</v>
      </c>
      <c r="Q6476">
        <v>0.11227380000000001</v>
      </c>
      <c r="R6476">
        <v>0.99250559999999999</v>
      </c>
      <c r="S6476">
        <v>-0.178085299999999</v>
      </c>
      <c r="T6476">
        <v>-0.29502509999999998</v>
      </c>
      <c r="U6476">
        <v>3.0657960000000002</v>
      </c>
      <c r="V6476">
        <v>5.7474989999999997E-2</v>
      </c>
      <c r="W6476">
        <v>0.1208031</v>
      </c>
      <c r="X6476">
        <v>0.99101119999999998</v>
      </c>
      <c r="Y6476">
        <v>-4.8487179999999998E-2</v>
      </c>
      <c r="Z6476">
        <v>-9.5646369999999994E-2</v>
      </c>
      <c r="AA6476">
        <v>0.99423379999999995</v>
      </c>
      <c r="AB6476">
        <v>30</v>
      </c>
      <c r="AC6476">
        <v>-5.3600000000017099E-2</v>
      </c>
      <c r="AD6476">
        <v>-9.2991000000000004E-2</v>
      </c>
      <c r="AE6476">
        <v>0.67740999999999996</v>
      </c>
      <c r="AF6476">
        <v>-4.6461505906372803E-2</v>
      </c>
      <c r="AG6476">
        <v>-9.2991000000000004E-2</v>
      </c>
      <c r="AH6476">
        <v>0.66541558964236003</v>
      </c>
      <c r="AI6476">
        <v>97.936415785737594</v>
      </c>
      <c r="AJ6476">
        <v>93.994097467768</v>
      </c>
      <c r="AK6476">
        <v>0.67348638037541497</v>
      </c>
      <c r="AL6476">
        <v>83.061545852171804</v>
      </c>
      <c r="AM6476">
        <v>86.680774521852598</v>
      </c>
      <c r="AN6476">
        <v>0.99999998098527398</v>
      </c>
    </row>
    <row r="6477" spans="1:40" x14ac:dyDescent="0.25">
      <c r="A6477" t="str">
        <f>"20190312164630475"</f>
        <v>20190312164630475</v>
      </c>
      <c r="B6477" t="str">
        <f>"1552380390467846"</f>
        <v>1552380390467846</v>
      </c>
      <c r="C6477" t="s">
        <v>40</v>
      </c>
      <c r="D6477">
        <v>4.7302580000000001</v>
      </c>
      <c r="E6477">
        <v>0.50667819999999997</v>
      </c>
      <c r="F6477" t="s">
        <v>41</v>
      </c>
      <c r="G6477">
        <v>-187.357</v>
      </c>
      <c r="H6477">
        <v>0.9407375</v>
      </c>
      <c r="I6477">
        <v>-12.638120000000001</v>
      </c>
      <c r="J6477">
        <v>-187.387</v>
      </c>
      <c r="K6477">
        <v>1.108058</v>
      </c>
      <c r="L6477">
        <v>-13.23001</v>
      </c>
      <c r="M6477">
        <v>-9.0624030000000001E-3</v>
      </c>
      <c r="N6477">
        <v>0</v>
      </c>
      <c r="O6477">
        <v>0.99992250000000005</v>
      </c>
      <c r="P6477">
        <v>4.6766019999999998E-2</v>
      </c>
      <c r="Q6477">
        <v>0.1113942</v>
      </c>
      <c r="R6477">
        <v>0.99267530000000004</v>
      </c>
      <c r="S6477">
        <v>9.2422489999999996E-2</v>
      </c>
      <c r="T6477">
        <v>-0.56972979999999995</v>
      </c>
      <c r="U6477">
        <v>3.082611</v>
      </c>
      <c r="V6477">
        <v>5.5812269999999997E-2</v>
      </c>
      <c r="W6477">
        <v>0.11984450000000001</v>
      </c>
      <c r="X6477">
        <v>0.99122259999999995</v>
      </c>
      <c r="Y6477">
        <v>3.8527329999999999E-2</v>
      </c>
      <c r="Z6477">
        <v>-0.18162429999999999</v>
      </c>
      <c r="AA6477">
        <v>0.98261299999999996</v>
      </c>
      <c r="AB6477">
        <v>30</v>
      </c>
      <c r="AC6477">
        <v>3.0000000000001099E-2</v>
      </c>
      <c r="AD6477">
        <v>-0.16732049999999901</v>
      </c>
      <c r="AE6477">
        <v>0.59189000000000103</v>
      </c>
      <c r="AF6477">
        <v>3.27522889161148E-2</v>
      </c>
      <c r="AG6477">
        <v>-0.16732049999999901</v>
      </c>
      <c r="AH6477">
        <v>0.54792017638270296</v>
      </c>
      <c r="AI6477">
        <v>106.952780995354</v>
      </c>
      <c r="AJ6477">
        <v>86.579177567545102</v>
      </c>
      <c r="AK6477">
        <v>0.573833932280714</v>
      </c>
      <c r="AL6477">
        <v>83.116871528297594</v>
      </c>
      <c r="AM6477">
        <v>86.7772784192031</v>
      </c>
      <c r="AN6477">
        <v>0.99999997820678099</v>
      </c>
    </row>
    <row r="6478" spans="1:40" x14ac:dyDescent="0.25">
      <c r="A6478" t="str">
        <f>"20190312164630500"</f>
        <v>20190312164630500</v>
      </c>
      <c r="B6478" t="str">
        <f>"1552380390487366"</f>
        <v>1552380390487366</v>
      </c>
      <c r="C6478" t="s">
        <v>40</v>
      </c>
      <c r="D6478">
        <v>4.5865640000000001</v>
      </c>
      <c r="E6478">
        <v>0.50967759999999995</v>
      </c>
      <c r="F6478" t="s">
        <v>41</v>
      </c>
      <c r="G6478">
        <v>-187.3466</v>
      </c>
      <c r="H6478">
        <v>0.9508955</v>
      </c>
      <c r="I6478">
        <v>-12.36481</v>
      </c>
      <c r="J6478">
        <v>-187.38980000000001</v>
      </c>
      <c r="K6478">
        <v>1.108047</v>
      </c>
      <c r="L6478">
        <v>-12.901669999999999</v>
      </c>
      <c r="M6478">
        <v>-8.8594669999999993E-3</v>
      </c>
      <c r="N6478">
        <v>0</v>
      </c>
      <c r="O6478">
        <v>0.99992490000000001</v>
      </c>
      <c r="P6478">
        <v>4.5081389999999999E-2</v>
      </c>
      <c r="Q6478">
        <v>0.1108143</v>
      </c>
      <c r="R6478">
        <v>0.99281810000000004</v>
      </c>
      <c r="S6478">
        <v>0.14346310000000001</v>
      </c>
      <c r="T6478">
        <v>-0.55912530000000005</v>
      </c>
      <c r="U6478">
        <v>3.078125</v>
      </c>
      <c r="V6478">
        <v>5.3926679999999998E-2</v>
      </c>
      <c r="W6478">
        <v>0.1191902</v>
      </c>
      <c r="X6478">
        <v>0.9914058</v>
      </c>
      <c r="Y6478">
        <v>5.465743E-2</v>
      </c>
      <c r="Z6478">
        <v>-0.17848220000000001</v>
      </c>
      <c r="AA6478">
        <v>0.98242390000000002</v>
      </c>
      <c r="AB6478">
        <v>30</v>
      </c>
      <c r="AC6478">
        <v>4.3200000000012999E-2</v>
      </c>
      <c r="AD6478">
        <v>-0.1571515</v>
      </c>
      <c r="AE6478">
        <v>0.536859999999999</v>
      </c>
      <c r="AF6478">
        <v>4.41924143390824E-2</v>
      </c>
      <c r="AG6478">
        <v>-0.1571515</v>
      </c>
      <c r="AH6478">
        <v>0.49436781424719201</v>
      </c>
      <c r="AI6478">
        <v>107.568892963633</v>
      </c>
      <c r="AJ6478">
        <v>84.891806273069193</v>
      </c>
      <c r="AK6478">
        <v>0.52062375973529496</v>
      </c>
      <c r="AL6478">
        <v>83.154630449696498</v>
      </c>
      <c r="AM6478">
        <v>86.886512762689506</v>
      </c>
      <c r="AN6478">
        <v>0.99999992543274796</v>
      </c>
    </row>
    <row r="6479" spans="1:40" x14ac:dyDescent="0.25">
      <c r="A6479" t="str">
        <f>"20190312164630523"</f>
        <v>20190312164630523</v>
      </c>
      <c r="B6479" t="str">
        <f>"1552380390517621"</f>
        <v>1552380390517621</v>
      </c>
      <c r="C6479" t="s">
        <v>40</v>
      </c>
      <c r="D6479">
        <v>4.5655270000000003</v>
      </c>
      <c r="E6479">
        <v>0.51182659999999902</v>
      </c>
      <c r="F6479" t="s">
        <v>41</v>
      </c>
      <c r="G6479">
        <v>-187.3466</v>
      </c>
      <c r="H6479">
        <v>0.95878260000000004</v>
      </c>
      <c r="I6479">
        <v>-12.091710000000001</v>
      </c>
      <c r="J6479">
        <v>-187.39230000000001</v>
      </c>
      <c r="K6479">
        <v>1.1080319999999999</v>
      </c>
      <c r="L6479">
        <v>-12.592129999999999</v>
      </c>
      <c r="M6479">
        <v>-8.6618010000000002E-3</v>
      </c>
      <c r="N6479">
        <v>0</v>
      </c>
      <c r="O6479">
        <v>0.99992720000000002</v>
      </c>
      <c r="P6479">
        <v>4.3786529999999997E-2</v>
      </c>
      <c r="Q6479">
        <v>0.1096603</v>
      </c>
      <c r="R6479">
        <v>0.9930042</v>
      </c>
      <c r="S6479">
        <v>0.16369629999999999</v>
      </c>
      <c r="T6479">
        <v>-0.56712629999999997</v>
      </c>
      <c r="U6479">
        <v>3.0775760000000001</v>
      </c>
      <c r="V6479">
        <v>5.2436539999999997E-2</v>
      </c>
      <c r="W6479">
        <v>0.1179748</v>
      </c>
      <c r="X6479">
        <v>0.99163120000000005</v>
      </c>
      <c r="Y6479">
        <v>6.0886099999999999E-2</v>
      </c>
      <c r="Z6479">
        <v>-0.18092330000000001</v>
      </c>
      <c r="AA6479">
        <v>0.98161069999999995</v>
      </c>
      <c r="AB6479">
        <v>30</v>
      </c>
      <c r="AC6479">
        <v>4.5700000000010697E-2</v>
      </c>
      <c r="AD6479">
        <v>-0.14924939999999901</v>
      </c>
      <c r="AE6479">
        <v>0.50041999999999998</v>
      </c>
      <c r="AF6479">
        <v>4.5977050994669602E-2</v>
      </c>
      <c r="AG6479">
        <v>-0.14924939999999901</v>
      </c>
      <c r="AH6479">
        <v>0.45947240626209701</v>
      </c>
      <c r="AI6479">
        <v>107.91154022096001</v>
      </c>
      <c r="AJ6479">
        <v>84.285726366268605</v>
      </c>
      <c r="AK6479">
        <v>0.48528771335652898</v>
      </c>
      <c r="AL6479">
        <v>83.224763371212305</v>
      </c>
      <c r="AM6479">
        <v>86.973071407537603</v>
      </c>
      <c r="AN6479">
        <v>1.00000004048782</v>
      </c>
    </row>
    <row r="6480" spans="1:40" x14ac:dyDescent="0.25">
      <c r="A6480" t="str">
        <f>"20190312164630543"</f>
        <v>20190312164630543</v>
      </c>
      <c r="B6480" t="str">
        <f>"1552380390538118"</f>
        <v>1552380390538118</v>
      </c>
      <c r="C6480" t="s">
        <v>40</v>
      </c>
      <c r="D6480">
        <v>4.5355489999999996</v>
      </c>
      <c r="E6480">
        <v>0.51287590000000005</v>
      </c>
      <c r="F6480" t="s">
        <v>41</v>
      </c>
      <c r="G6480">
        <v>-187.34790000000001</v>
      </c>
      <c r="H6480">
        <v>0.96046909999999996</v>
      </c>
      <c r="I6480">
        <v>-11.82098</v>
      </c>
      <c r="J6480">
        <v>-187.3946</v>
      </c>
      <c r="K6480">
        <v>1.108017</v>
      </c>
      <c r="L6480">
        <v>-12.30893</v>
      </c>
      <c r="M6480">
        <v>-8.4768469999999992E-3</v>
      </c>
      <c r="N6480">
        <v>0</v>
      </c>
      <c r="O6480">
        <v>0.99992919999999996</v>
      </c>
      <c r="P6480">
        <v>4.2776160000000001E-2</v>
      </c>
      <c r="Q6480">
        <v>0.1088621</v>
      </c>
      <c r="R6480">
        <v>0.99313600000000002</v>
      </c>
      <c r="S6480">
        <v>0.1770477</v>
      </c>
      <c r="T6480">
        <v>-0.58903359999999905</v>
      </c>
      <c r="U6480">
        <v>3.0783689999999999</v>
      </c>
      <c r="V6480">
        <v>5.1243320000000002E-2</v>
      </c>
      <c r="W6480">
        <v>0.1171272</v>
      </c>
      <c r="X6480">
        <v>0.99179399999999995</v>
      </c>
      <c r="Y6480">
        <v>6.4860280000000006E-2</v>
      </c>
      <c r="Z6480">
        <v>-0.18757860000000001</v>
      </c>
      <c r="AA6480">
        <v>0.98010580000000003</v>
      </c>
      <c r="AB6480">
        <v>30</v>
      </c>
      <c r="AC6480">
        <v>4.6699999999987002E-2</v>
      </c>
      <c r="AD6480">
        <v>-0.14754790000000001</v>
      </c>
      <c r="AE6480">
        <v>0.487949999999999</v>
      </c>
      <c r="AF6480">
        <v>4.66114782546505E-2</v>
      </c>
      <c r="AG6480">
        <v>-0.14754790000000001</v>
      </c>
      <c r="AH6480">
        <v>0.44703286074981002</v>
      </c>
      <c r="AI6480">
        <v>108.17401637995</v>
      </c>
      <c r="AJ6480">
        <v>84.047360906768105</v>
      </c>
      <c r="AK6480">
        <v>0.47305537867109498</v>
      </c>
      <c r="AL6480">
        <v>83.273666042288099</v>
      </c>
      <c r="AM6480">
        <v>87.042311652190094</v>
      </c>
      <c r="AN6480">
        <v>0.99999999863023104</v>
      </c>
    </row>
    <row r="6481" spans="1:40" x14ac:dyDescent="0.25">
      <c r="A6481" t="str">
        <f>"20190312164630565"</f>
        <v>20190312164630565</v>
      </c>
      <c r="B6481" t="str">
        <f>"1552380390557376"</f>
        <v>1552380390557376</v>
      </c>
      <c r="C6481" t="s">
        <v>40</v>
      </c>
      <c r="D6481">
        <v>4.5137919999999996</v>
      </c>
      <c r="E6481">
        <v>0.51394209999999996</v>
      </c>
      <c r="F6481" t="s">
        <v>41</v>
      </c>
      <c r="G6481">
        <v>-187.3493</v>
      </c>
      <c r="H6481">
        <v>0.96137479999999997</v>
      </c>
      <c r="I6481">
        <v>-11.55001</v>
      </c>
      <c r="J6481">
        <v>-187.39689999999999</v>
      </c>
      <c r="K6481">
        <v>1.108012</v>
      </c>
      <c r="L6481">
        <v>-12.012359999999999</v>
      </c>
      <c r="M6481">
        <v>-8.280786E-3</v>
      </c>
      <c r="N6481">
        <v>0</v>
      </c>
      <c r="O6481">
        <v>0.99993120000000002</v>
      </c>
      <c r="P6481">
        <v>4.1570049999999997E-2</v>
      </c>
      <c r="Q6481">
        <v>0.10752630000000001</v>
      </c>
      <c r="R6481">
        <v>0.99333280000000002</v>
      </c>
      <c r="S6481">
        <v>0.18318180000000001</v>
      </c>
      <c r="T6481">
        <v>-0.59471859999999999</v>
      </c>
      <c r="U6481">
        <v>3.078033</v>
      </c>
      <c r="V6481">
        <v>4.9843770000000003E-2</v>
      </c>
      <c r="W6481">
        <v>0.11574669999999899</v>
      </c>
      <c r="X6481">
        <v>0.9920274</v>
      </c>
      <c r="Y6481">
        <v>6.6597299999999998E-2</v>
      </c>
      <c r="Z6481">
        <v>-0.18932309999999999</v>
      </c>
      <c r="AA6481">
        <v>0.97965380000000002</v>
      </c>
      <c r="AB6481">
        <v>30</v>
      </c>
      <c r="AC6481">
        <v>4.7599999999988499E-2</v>
      </c>
      <c r="AD6481">
        <v>-0.1466372</v>
      </c>
      <c r="AE6481">
        <v>0.46234999999999998</v>
      </c>
      <c r="AF6481">
        <v>4.6771779842818502E-2</v>
      </c>
      <c r="AG6481">
        <v>-0.1466372</v>
      </c>
      <c r="AH6481">
        <v>0.42012373773019202</v>
      </c>
      <c r="AI6481">
        <v>109.13116371253101</v>
      </c>
      <c r="AJ6481">
        <v>83.647500356468001</v>
      </c>
      <c r="AK6481">
        <v>0.44743046702017603</v>
      </c>
      <c r="AL6481">
        <v>83.353304784285598</v>
      </c>
      <c r="AM6481">
        <v>87.1236297430939</v>
      </c>
      <c r="AN6481">
        <v>1.0000000311597299</v>
      </c>
    </row>
    <row r="6482" spans="1:40" x14ac:dyDescent="0.25">
      <c r="A6482" t="str">
        <f>"20190312164630586"</f>
        <v>20190312164630586</v>
      </c>
      <c r="B6482" t="str">
        <f>"1552380390577872"</f>
        <v>1552380390577872</v>
      </c>
      <c r="C6482" t="s">
        <v>40</v>
      </c>
      <c r="D6482">
        <v>4.50197</v>
      </c>
      <c r="E6482">
        <v>0.51472829999999903</v>
      </c>
      <c r="F6482" t="s">
        <v>41</v>
      </c>
      <c r="G6482">
        <v>-187.35159999999999</v>
      </c>
      <c r="H6482">
        <v>0.96596490000000002</v>
      </c>
      <c r="I6482">
        <v>-11.276630000000001</v>
      </c>
      <c r="J6482">
        <v>-187.39920000000001</v>
      </c>
      <c r="K6482">
        <v>1.1079969999999999</v>
      </c>
      <c r="L6482">
        <v>-11.719760000000001</v>
      </c>
      <c r="M6482">
        <v>-8.0862959999999998E-3</v>
      </c>
      <c r="N6482">
        <v>0</v>
      </c>
      <c r="O6482">
        <v>0.99993319999999997</v>
      </c>
      <c r="P6482">
        <v>4.0952339999999997E-2</v>
      </c>
      <c r="Q6482">
        <v>0.10676869999999999</v>
      </c>
      <c r="R6482">
        <v>0.9934402</v>
      </c>
      <c r="S6482">
        <v>0.18931580000000001</v>
      </c>
      <c r="T6482">
        <v>-0.59397009999999995</v>
      </c>
      <c r="U6482">
        <v>3.076508</v>
      </c>
      <c r="V6482">
        <v>4.9033710000000001E-2</v>
      </c>
      <c r="W6482">
        <v>0.11495</v>
      </c>
      <c r="X6482">
        <v>0.99216040000000005</v>
      </c>
      <c r="Y6482">
        <v>6.8379980000000007E-2</v>
      </c>
      <c r="Z6482">
        <v>-0.18916169999999999</v>
      </c>
      <c r="AA6482">
        <v>0.97956220000000005</v>
      </c>
      <c r="AB6482">
        <v>30</v>
      </c>
      <c r="AC6482">
        <v>4.76000000000169E-2</v>
      </c>
      <c r="AD6482">
        <v>-0.14203209999999999</v>
      </c>
      <c r="AE6482">
        <v>0.44313000000000002</v>
      </c>
      <c r="AF6482">
        <v>4.6463003013033098E-2</v>
      </c>
      <c r="AG6482">
        <v>-0.14203209999999999</v>
      </c>
      <c r="AH6482">
        <v>0.401911894171672</v>
      </c>
      <c r="AI6482">
        <v>109.343781670357</v>
      </c>
      <c r="AJ6482">
        <v>83.405597479365596</v>
      </c>
      <c r="AK6482">
        <v>0.42879493788530199</v>
      </c>
      <c r="AL6482">
        <v>83.399259085846097</v>
      </c>
      <c r="AM6482">
        <v>87.1706785619849</v>
      </c>
      <c r="AN6482">
        <v>1.0000000332722601</v>
      </c>
    </row>
    <row r="6483" spans="1:40" x14ac:dyDescent="0.25">
      <c r="A6483" t="str">
        <f>"20190312164630610"</f>
        <v>20190312164630610</v>
      </c>
      <c r="B6483" t="str">
        <f>"1552380390597402"</f>
        <v>1552380390597402</v>
      </c>
      <c r="C6483" t="s">
        <v>40</v>
      </c>
      <c r="D6483">
        <v>4.6958570000000002</v>
      </c>
      <c r="E6483">
        <v>0.51495679999999999</v>
      </c>
      <c r="F6483" t="s">
        <v>41</v>
      </c>
      <c r="G6483">
        <v>-187.3536</v>
      </c>
      <c r="H6483">
        <v>0.96973120000000002</v>
      </c>
      <c r="I6483">
        <v>-11.00305</v>
      </c>
      <c r="J6483">
        <v>-187.4015</v>
      </c>
      <c r="K6483">
        <v>1.107996</v>
      </c>
      <c r="L6483">
        <v>-11.40714</v>
      </c>
      <c r="M6483">
        <v>-7.8783039999999992E-3</v>
      </c>
      <c r="N6483">
        <v>0</v>
      </c>
      <c r="O6483">
        <v>0.99993520000000002</v>
      </c>
      <c r="P6483">
        <v>4.0606950000000003E-2</v>
      </c>
      <c r="Q6483">
        <v>0.10559300000000001</v>
      </c>
      <c r="R6483">
        <v>0.99358000000000002</v>
      </c>
      <c r="S6483">
        <v>0.19497680000000001</v>
      </c>
      <c r="T6483">
        <v>-0.59329350000000003</v>
      </c>
      <c r="U6483">
        <v>3.0755309999999998</v>
      </c>
      <c r="V6483">
        <v>4.8482709999999998E-2</v>
      </c>
      <c r="W6483">
        <v>0.1137382</v>
      </c>
      <c r="X6483">
        <v>0.99232710000000002</v>
      </c>
      <c r="Y6483">
        <v>6.9989549999999998E-2</v>
      </c>
      <c r="Z6483">
        <v>-0.1889911</v>
      </c>
      <c r="AA6483">
        <v>0.97948139999999995</v>
      </c>
      <c r="AB6483">
        <v>30</v>
      </c>
      <c r="AC6483">
        <v>4.7899999999998499E-2</v>
      </c>
      <c r="AD6483">
        <v>-0.13826479999999899</v>
      </c>
      <c r="AE6483">
        <v>0.40409</v>
      </c>
      <c r="AF6483">
        <v>4.5794974095692498E-2</v>
      </c>
      <c r="AG6483">
        <v>-0.13826479999999899</v>
      </c>
      <c r="AH6483">
        <v>0.36191564277272797</v>
      </c>
      <c r="AI6483">
        <v>110.75740075623899</v>
      </c>
      <c r="AJ6483">
        <v>82.788407505191202</v>
      </c>
      <c r="AK6483">
        <v>0.39012468142257001</v>
      </c>
      <c r="AL6483">
        <v>83.469148366769701</v>
      </c>
      <c r="AM6483">
        <v>87.2028905418439</v>
      </c>
      <c r="AN6483">
        <v>1.00000001235129</v>
      </c>
    </row>
    <row r="6484" spans="1:40" x14ac:dyDescent="0.25">
      <c r="A6484" t="str">
        <f>"20190312164630631"</f>
        <v>20190312164630631</v>
      </c>
      <c r="B6484" t="str">
        <f>"1552380390627647"</f>
        <v>1552380390627647</v>
      </c>
      <c r="C6484" t="s">
        <v>40</v>
      </c>
      <c r="D6484">
        <v>4.4508809999999999</v>
      </c>
      <c r="E6484">
        <v>0.54478470000000001</v>
      </c>
      <c r="F6484" t="s">
        <v>41</v>
      </c>
      <c r="G6484">
        <v>-187.34229999999999</v>
      </c>
      <c r="H6484">
        <v>0.92540500000000003</v>
      </c>
      <c r="I6484">
        <v>-10.47931</v>
      </c>
      <c r="J6484">
        <v>-187.40369999999999</v>
      </c>
      <c r="K6484">
        <v>1.107982</v>
      </c>
      <c r="L6484">
        <v>-11.111599999999999</v>
      </c>
      <c r="M6484">
        <v>-7.6819359999999899E-3</v>
      </c>
      <c r="N6484">
        <v>0</v>
      </c>
      <c r="O6484">
        <v>0.99993690000000002</v>
      </c>
      <c r="P6484">
        <v>4.0504039999999998E-2</v>
      </c>
      <c r="Q6484">
        <v>0.1049273</v>
      </c>
      <c r="R6484">
        <v>0.9936547</v>
      </c>
      <c r="S6484">
        <v>0.19601440000000001</v>
      </c>
      <c r="T6484">
        <v>-0.60526990000000003</v>
      </c>
      <c r="U6484">
        <v>3.0757140000000001</v>
      </c>
      <c r="V6484">
        <v>4.818542E-2</v>
      </c>
      <c r="W6484">
        <v>0.1130427</v>
      </c>
      <c r="X6484">
        <v>0.992421</v>
      </c>
      <c r="Y6484">
        <v>7.007381E-2</v>
      </c>
      <c r="Z6484">
        <v>-0.1926524</v>
      </c>
      <c r="AA6484">
        <v>0.97876189999999996</v>
      </c>
      <c r="AB6484">
        <v>30</v>
      </c>
      <c r="AC6484">
        <v>6.1399999999991899E-2</v>
      </c>
      <c r="AD6484">
        <v>-0.18257699999999999</v>
      </c>
      <c r="AE6484">
        <v>0.63228999999999902</v>
      </c>
      <c r="AF6484">
        <v>6.1200373164617898E-2</v>
      </c>
      <c r="AG6484">
        <v>-0.18257699999999999</v>
      </c>
      <c r="AH6484">
        <v>0.58359438994981805</v>
      </c>
      <c r="AI6484">
        <v>107.283161464092</v>
      </c>
      <c r="AJ6484">
        <v>84.013388045481705</v>
      </c>
      <c r="AK6484">
        <v>0.61454231635045997</v>
      </c>
      <c r="AL6484">
        <v>83.509255942110897</v>
      </c>
      <c r="AM6484">
        <v>87.220277705078502</v>
      </c>
      <c r="AN6484">
        <v>0.99999996398243196</v>
      </c>
    </row>
    <row r="6485" spans="1:40" x14ac:dyDescent="0.25">
      <c r="A6485" t="str">
        <f>"20190312164630653"</f>
        <v>20190312164630653</v>
      </c>
      <c r="B6485" t="str">
        <f>"1552380390647169"</f>
        <v>1552380390647169</v>
      </c>
      <c r="C6485" t="s">
        <v>40</v>
      </c>
      <c r="D6485">
        <v>4.9048020000000001</v>
      </c>
      <c r="E6485">
        <v>0.54432209999999903</v>
      </c>
      <c r="F6485" t="s">
        <v>41</v>
      </c>
      <c r="G6485">
        <v>-187.27260000000001</v>
      </c>
      <c r="H6485">
        <v>0.94291930000000002</v>
      </c>
      <c r="I6485">
        <v>-10.194750000000001</v>
      </c>
      <c r="J6485">
        <v>-187.4057</v>
      </c>
      <c r="K6485">
        <v>1.1079669999999999</v>
      </c>
      <c r="L6485">
        <v>-10.81592</v>
      </c>
      <c r="M6485">
        <v>-7.485785E-3</v>
      </c>
      <c r="N6485">
        <v>0</v>
      </c>
      <c r="O6485">
        <v>0.99993860000000001</v>
      </c>
      <c r="P6485">
        <v>4.0212289999999998E-2</v>
      </c>
      <c r="Q6485">
        <v>0.104516</v>
      </c>
      <c r="R6485">
        <v>0.99370990000000003</v>
      </c>
      <c r="S6485">
        <v>0.43705749999999999</v>
      </c>
      <c r="T6485">
        <v>-0.55079140000000004</v>
      </c>
      <c r="U6485">
        <v>3.0595089999999998</v>
      </c>
      <c r="V6485">
        <v>4.7699430000000001E-2</v>
      </c>
      <c r="W6485">
        <v>0.112606399999999</v>
      </c>
      <c r="X6485">
        <v>0.99249410000000005</v>
      </c>
      <c r="Y6485">
        <v>0.1466316</v>
      </c>
      <c r="Z6485">
        <v>-0.1753499</v>
      </c>
      <c r="AA6485">
        <v>0.97352530000000004</v>
      </c>
      <c r="AB6485">
        <v>31</v>
      </c>
      <c r="AC6485">
        <v>0.13309999999998401</v>
      </c>
      <c r="AD6485">
        <v>-0.16504769999999899</v>
      </c>
      <c r="AE6485">
        <v>0.621169999999999</v>
      </c>
      <c r="AF6485">
        <v>0.12903643736055601</v>
      </c>
      <c r="AG6485">
        <v>-0.16504769999999899</v>
      </c>
      <c r="AH6485">
        <v>0.58094268932981497</v>
      </c>
      <c r="AI6485">
        <v>105.501043984825</v>
      </c>
      <c r="AJ6485">
        <v>77.477013627820199</v>
      </c>
      <c r="AK6485">
        <v>0.61756421020631702</v>
      </c>
      <c r="AL6485">
        <v>83.534414886830902</v>
      </c>
      <c r="AM6485">
        <v>87.248472565331198</v>
      </c>
      <c r="AN6485">
        <v>0.99999998773904697</v>
      </c>
    </row>
    <row r="6486" spans="1:40" x14ac:dyDescent="0.25">
      <c r="A6486" t="str">
        <f>"20190312164630676"</f>
        <v>20190312164630676</v>
      </c>
      <c r="B6486" t="str">
        <f>"1552380390667664"</f>
        <v>1552380390667664</v>
      </c>
      <c r="C6486" t="s">
        <v>40</v>
      </c>
      <c r="D6486">
        <v>4.4330150000000001</v>
      </c>
      <c r="E6486">
        <v>0.54422209999999904</v>
      </c>
      <c r="F6486" t="s">
        <v>41</v>
      </c>
      <c r="G6486">
        <v>-187.27860000000001</v>
      </c>
      <c r="H6486">
        <v>0.9469455</v>
      </c>
      <c r="I6486">
        <v>-9.9188799999999997</v>
      </c>
      <c r="J6486">
        <v>-187.40790000000001</v>
      </c>
      <c r="K6486">
        <v>1.1079639999999999</v>
      </c>
      <c r="L6486">
        <v>-10.49203</v>
      </c>
      <c r="M6486">
        <v>-7.2711690000000001E-3</v>
      </c>
      <c r="N6486">
        <v>0</v>
      </c>
      <c r="O6486">
        <v>0.99994039999999995</v>
      </c>
      <c r="P6486">
        <v>3.9909180000000002E-2</v>
      </c>
      <c r="Q6486">
        <v>0.10422720000000001</v>
      </c>
      <c r="R6486">
        <v>0.99375250000000004</v>
      </c>
      <c r="S6486">
        <v>0.43301390000000001</v>
      </c>
      <c r="T6486">
        <v>-0.54912399999999995</v>
      </c>
      <c r="U6486">
        <v>3.0592350000000001</v>
      </c>
      <c r="V6486">
        <v>4.7183639999999999E-2</v>
      </c>
      <c r="W6486">
        <v>0.1122937</v>
      </c>
      <c r="X6486">
        <v>0.99255420000000005</v>
      </c>
      <c r="Y6486">
        <v>0.1451817</v>
      </c>
      <c r="Z6486">
        <v>-0.1748855</v>
      </c>
      <c r="AA6486">
        <v>0.97382610000000003</v>
      </c>
      <c r="AB6486">
        <v>31</v>
      </c>
      <c r="AC6486">
        <v>0.1293</v>
      </c>
      <c r="AD6486">
        <v>-0.16101849999999901</v>
      </c>
      <c r="AE6486">
        <v>0.57315000000000005</v>
      </c>
      <c r="AF6486">
        <v>0.12414085964132</v>
      </c>
      <c r="AG6486">
        <v>-0.16101849999999901</v>
      </c>
      <c r="AH6486">
        <v>0.53222318318019501</v>
      </c>
      <c r="AI6486">
        <v>106.41659843912601</v>
      </c>
      <c r="AJ6486">
        <v>76.870526093338796</v>
      </c>
      <c r="AK6486">
        <v>0.56973627854402598</v>
      </c>
      <c r="AL6486">
        <v>83.552445754235706</v>
      </c>
      <c r="AM6486">
        <v>87.278345332357802</v>
      </c>
      <c r="AN6486">
        <v>1.0000000054404801</v>
      </c>
    </row>
    <row r="6487" spans="1:40" x14ac:dyDescent="0.25">
      <c r="A6487" t="str">
        <f>"20190312164630700"</f>
        <v>20190312164630700</v>
      </c>
      <c r="B6487" t="str">
        <f>"1552380390687183"</f>
        <v>1552380390687183</v>
      </c>
      <c r="C6487" t="s">
        <v>40</v>
      </c>
      <c r="D6487">
        <v>4.4404919999999999</v>
      </c>
      <c r="E6487">
        <v>0.54435219999999995</v>
      </c>
      <c r="F6487" t="s">
        <v>41</v>
      </c>
      <c r="G6487">
        <v>-187.28749999999999</v>
      </c>
      <c r="H6487">
        <v>0.95470299999999997</v>
      </c>
      <c r="I6487">
        <v>-9.6407579999999999</v>
      </c>
      <c r="J6487">
        <v>-187.4101</v>
      </c>
      <c r="K6487">
        <v>1.107961</v>
      </c>
      <c r="L6487">
        <v>-10.16797</v>
      </c>
      <c r="M6487">
        <v>-7.0565519999999998E-3</v>
      </c>
      <c r="N6487">
        <v>0</v>
      </c>
      <c r="O6487">
        <v>0.99994209999999994</v>
      </c>
      <c r="P6487">
        <v>3.9802440000000001E-2</v>
      </c>
      <c r="Q6487">
        <v>0.10447339999999999</v>
      </c>
      <c r="R6487">
        <v>0.99373089999999997</v>
      </c>
      <c r="S6487">
        <v>0.43260189999999998</v>
      </c>
      <c r="T6487">
        <v>-0.55077169999999998</v>
      </c>
      <c r="U6487">
        <v>3.0592649999999999</v>
      </c>
      <c r="V6487">
        <v>4.68639E-2</v>
      </c>
      <c r="W6487">
        <v>0.1125197</v>
      </c>
      <c r="X6487">
        <v>0.99254379999999998</v>
      </c>
      <c r="Y6487">
        <v>0.14482679999999901</v>
      </c>
      <c r="Z6487">
        <v>-0.1753989</v>
      </c>
      <c r="AA6487">
        <v>0.97378670000000001</v>
      </c>
      <c r="AB6487">
        <v>31</v>
      </c>
      <c r="AC6487">
        <v>0.122600000000005</v>
      </c>
      <c r="AD6487">
        <v>-0.15325799999999901</v>
      </c>
      <c r="AE6487">
        <v>0.52721200000000001</v>
      </c>
      <c r="AF6487">
        <v>0.116942286626703</v>
      </c>
      <c r="AG6487">
        <v>-0.15325799999999901</v>
      </c>
      <c r="AH6487">
        <v>0.48727002602309699</v>
      </c>
      <c r="AI6487">
        <v>107.00568954336801</v>
      </c>
      <c r="AJ6487">
        <v>76.504546853866799</v>
      </c>
      <c r="AK6487">
        <v>0.52401869358452402</v>
      </c>
      <c r="AL6487">
        <v>83.539414617175197</v>
      </c>
      <c r="AM6487">
        <v>87.296732895341293</v>
      </c>
      <c r="AN6487">
        <v>1.0000000514648599</v>
      </c>
    </row>
    <row r="6488" spans="1:40" x14ac:dyDescent="0.25">
      <c r="A6488" t="str">
        <f>"20190312164630722"</f>
        <v>20190312164630722</v>
      </c>
      <c r="B6488" t="str">
        <f>"1552380390717439"</f>
        <v>1552380390717439</v>
      </c>
      <c r="C6488" t="s">
        <v>40</v>
      </c>
      <c r="D6488">
        <v>4.8402960000000004</v>
      </c>
      <c r="E6488">
        <v>0.55500899999999997</v>
      </c>
      <c r="F6488" t="s">
        <v>41</v>
      </c>
      <c r="G6488">
        <v>-187.29570000000001</v>
      </c>
      <c r="H6488">
        <v>0.96318789999999999</v>
      </c>
      <c r="I6488">
        <v>-9.3616050000000008</v>
      </c>
      <c r="J6488">
        <v>-187.41200000000001</v>
      </c>
      <c r="K6488">
        <v>1.107958</v>
      </c>
      <c r="L6488">
        <v>-9.8728639999999999</v>
      </c>
      <c r="M6488">
        <v>-6.8615990000000003E-3</v>
      </c>
      <c r="N6488">
        <v>0</v>
      </c>
      <c r="O6488">
        <v>0.99994360000000004</v>
      </c>
      <c r="P6488">
        <v>3.9890950000000001E-2</v>
      </c>
      <c r="Q6488">
        <v>0.10417269999999999</v>
      </c>
      <c r="R6488">
        <v>0.9937589</v>
      </c>
      <c r="S6488">
        <v>0.43371579999999899</v>
      </c>
      <c r="T6488">
        <v>-0.54924229999999996</v>
      </c>
      <c r="U6488">
        <v>3.0592959999999998</v>
      </c>
      <c r="V6488">
        <v>4.6759000000000002E-2</v>
      </c>
      <c r="W6488">
        <v>0.1122032</v>
      </c>
      <c r="X6488">
        <v>0.99258449999999998</v>
      </c>
      <c r="Y6488">
        <v>0.14499219999999999</v>
      </c>
      <c r="Z6488">
        <v>-0.17491909999999999</v>
      </c>
      <c r="AA6488">
        <v>0.9738483</v>
      </c>
      <c r="AB6488">
        <v>31</v>
      </c>
      <c r="AC6488">
        <v>0.116299999999995</v>
      </c>
      <c r="AD6488">
        <v>-0.14477009999999901</v>
      </c>
      <c r="AE6488">
        <v>0.51125899999999802</v>
      </c>
      <c r="AF6488">
        <v>0.111318834811309</v>
      </c>
      <c r="AG6488">
        <v>-0.14477009999999901</v>
      </c>
      <c r="AH6488">
        <v>0.47429052076845402</v>
      </c>
      <c r="AI6488">
        <v>106.54984201875</v>
      </c>
      <c r="AJ6488">
        <v>76.791412793965506</v>
      </c>
      <c r="AK6488">
        <v>0.50823396475301497</v>
      </c>
      <c r="AL6488">
        <v>83.557663809592896</v>
      </c>
      <c r="AM6488">
        <v>87.302885367681696</v>
      </c>
      <c r="AN6488">
        <v>0.99999997590574397</v>
      </c>
    </row>
    <row r="6489" spans="1:40" x14ac:dyDescent="0.25">
      <c r="A6489" t="str">
        <f>"20190312164630745"</f>
        <v>20190312164630745</v>
      </c>
      <c r="B6489" t="str">
        <f>"1552380390737935"</f>
        <v>1552380390737935</v>
      </c>
      <c r="C6489" t="s">
        <v>40</v>
      </c>
      <c r="D6489">
        <v>4.332751</v>
      </c>
      <c r="E6489">
        <v>0.55031319999999995</v>
      </c>
      <c r="F6489" t="s">
        <v>41</v>
      </c>
      <c r="G6489">
        <v>-187.28389999999999</v>
      </c>
      <c r="H6489">
        <v>0.92862330000000004</v>
      </c>
      <c r="I6489">
        <v>-9.1012039999999992</v>
      </c>
      <c r="J6489">
        <v>-187.41399999999999</v>
      </c>
      <c r="K6489">
        <v>1.1079540000000001</v>
      </c>
      <c r="L6489">
        <v>-9.5460209999999996</v>
      </c>
      <c r="M6489">
        <v>-6.6463099999999999E-3</v>
      </c>
      <c r="N6489">
        <v>0</v>
      </c>
      <c r="O6489">
        <v>0.99994519999999998</v>
      </c>
      <c r="P6489">
        <v>3.9953509999999998E-2</v>
      </c>
      <c r="Q6489">
        <v>0.1034518</v>
      </c>
      <c r="R6489">
        <v>0.99383169999999998</v>
      </c>
      <c r="S6489">
        <v>0.50965879999999997</v>
      </c>
      <c r="T6489">
        <v>-0.71420430000000001</v>
      </c>
      <c r="U6489">
        <v>3.073242</v>
      </c>
      <c r="V6489">
        <v>4.6607969999999999E-2</v>
      </c>
      <c r="W6489">
        <v>0.11146780000000001</v>
      </c>
      <c r="X6489">
        <v>0.99267450000000002</v>
      </c>
      <c r="Y6489">
        <v>0.166022799999999</v>
      </c>
      <c r="Z6489">
        <v>-0.22333500000000001</v>
      </c>
      <c r="AA6489">
        <v>0.96049879999999999</v>
      </c>
      <c r="AB6489">
        <v>31</v>
      </c>
      <c r="AC6489">
        <v>0.130100000000027</v>
      </c>
      <c r="AD6489">
        <v>-0.17933070000000001</v>
      </c>
      <c r="AE6489">
        <v>0.44481700000000202</v>
      </c>
      <c r="AF6489">
        <v>0.115726309445719</v>
      </c>
      <c r="AG6489">
        <v>-0.17933070000000001</v>
      </c>
      <c r="AH6489">
        <v>0.386128725585691</v>
      </c>
      <c r="AI6489">
        <v>113.983381234703</v>
      </c>
      <c r="AJ6489">
        <v>73.316045867312795</v>
      </c>
      <c r="AK6489">
        <v>0.44118870269176902</v>
      </c>
      <c r="AL6489">
        <v>83.600065393952704</v>
      </c>
      <c r="AM6489">
        <v>87.311827541206696</v>
      </c>
      <c r="AN6489">
        <v>1.0000000181273001</v>
      </c>
    </row>
    <row r="6490" spans="1:40" x14ac:dyDescent="0.25">
      <c r="A6490" t="str">
        <f>"20190312164630765"</f>
        <v>20190312164630765</v>
      </c>
      <c r="B6490" t="str">
        <f>"1552380390757456"</f>
        <v>1552380390757456</v>
      </c>
      <c r="C6490" t="s">
        <v>40</v>
      </c>
      <c r="D6490">
        <v>4.2557669999999996</v>
      </c>
      <c r="E6490">
        <v>0.54755240000000005</v>
      </c>
      <c r="F6490" t="s">
        <v>41</v>
      </c>
      <c r="G6490">
        <v>-187.30179999999999</v>
      </c>
      <c r="H6490">
        <v>0.94237590000000004</v>
      </c>
      <c r="I6490">
        <v>-8.8188899999999997</v>
      </c>
      <c r="J6490">
        <v>-187.41569999999999</v>
      </c>
      <c r="K6490">
        <v>1.1079490000000001</v>
      </c>
      <c r="L6490">
        <v>-9.2640379999999993</v>
      </c>
      <c r="M6490">
        <v>-6.4610609999999997E-3</v>
      </c>
      <c r="N6490">
        <v>0</v>
      </c>
      <c r="O6490">
        <v>0.99994649999999996</v>
      </c>
      <c r="P6490">
        <v>4.0097670000000002E-2</v>
      </c>
      <c r="Q6490">
        <v>0.10273069999999999</v>
      </c>
      <c r="R6490">
        <v>0.99390069999999997</v>
      </c>
      <c r="S6490">
        <v>0.47306819999999999</v>
      </c>
      <c r="T6490">
        <v>-0.69959510000000003</v>
      </c>
      <c r="U6490">
        <v>3.0724179999999999</v>
      </c>
      <c r="V6490">
        <v>4.6568270000000002E-2</v>
      </c>
      <c r="W6490">
        <v>0.110737</v>
      </c>
      <c r="X6490">
        <v>0.99275820000000004</v>
      </c>
      <c r="Y6490">
        <v>0.15485170000000001</v>
      </c>
      <c r="Z6490">
        <v>-0.219442</v>
      </c>
      <c r="AA6490">
        <v>0.96325810000000001</v>
      </c>
      <c r="AB6490">
        <v>31</v>
      </c>
      <c r="AC6490">
        <v>0.1139</v>
      </c>
      <c r="AD6490">
        <v>-0.1655731</v>
      </c>
      <c r="AE6490">
        <v>0.44514800000000099</v>
      </c>
      <c r="AF6490">
        <v>0.103353739840926</v>
      </c>
      <c r="AG6490">
        <v>-0.1655731</v>
      </c>
      <c r="AH6490">
        <v>0.39333027282092398</v>
      </c>
      <c r="AI6490">
        <v>112.15276504785901</v>
      </c>
      <c r="AJ6490">
        <v>75.277450092367999</v>
      </c>
      <c r="AK6490">
        <v>0.43909583293410798</v>
      </c>
      <c r="AL6490">
        <v>83.642198295455103</v>
      </c>
      <c r="AM6490">
        <v>87.314340050490401</v>
      </c>
      <c r="AN6490">
        <v>1.0000000653035099</v>
      </c>
    </row>
    <row r="6491" spans="1:40" x14ac:dyDescent="0.25">
      <c r="A6491" t="str">
        <f>"20190312164630788"</f>
        <v>20190312164630788</v>
      </c>
      <c r="B6491" t="str">
        <f>"1552380390777952"</f>
        <v>1552380390777952</v>
      </c>
      <c r="C6491" t="s">
        <v>40</v>
      </c>
      <c r="D6491">
        <v>4.308764</v>
      </c>
      <c r="E6491">
        <v>0.54636130000000005</v>
      </c>
      <c r="F6491" t="s">
        <v>41</v>
      </c>
      <c r="G6491">
        <v>-187.30789999999999</v>
      </c>
      <c r="H6491">
        <v>0.95474610000000004</v>
      </c>
      <c r="I6491">
        <v>-8.5360069999999997</v>
      </c>
      <c r="J6491">
        <v>-187.41749999999999</v>
      </c>
      <c r="K6491">
        <v>1.107945</v>
      </c>
      <c r="L6491">
        <v>-8.9477539999999998</v>
      </c>
      <c r="M6491">
        <v>-6.2537219999999998E-3</v>
      </c>
      <c r="N6491">
        <v>0</v>
      </c>
      <c r="O6491">
        <v>0.99994780000000005</v>
      </c>
      <c r="P6491">
        <v>4.0120049999999997E-2</v>
      </c>
      <c r="Q6491">
        <v>0.1022988</v>
      </c>
      <c r="R6491">
        <v>0.9939443</v>
      </c>
      <c r="S6491">
        <v>0.45429989999999998</v>
      </c>
      <c r="T6491">
        <v>-0.64535810000000005</v>
      </c>
      <c r="U6491">
        <v>3.0668030000000002</v>
      </c>
      <c r="V6491">
        <v>4.638482E-2</v>
      </c>
      <c r="W6491">
        <v>0.1102958</v>
      </c>
      <c r="X6491">
        <v>0.99281589999999997</v>
      </c>
      <c r="Y6491">
        <v>0.14964620000000001</v>
      </c>
      <c r="Z6491">
        <v>-0.2036926</v>
      </c>
      <c r="AA6491">
        <v>0.96753049999999996</v>
      </c>
      <c r="AB6491">
        <v>31</v>
      </c>
      <c r="AC6491">
        <v>0.1096</v>
      </c>
      <c r="AD6491">
        <v>-0.1531989</v>
      </c>
      <c r="AE6491">
        <v>0.41174699999999798</v>
      </c>
      <c r="AF6491">
        <v>9.9331622837101896E-2</v>
      </c>
      <c r="AG6491">
        <v>-0.1531989</v>
      </c>
      <c r="AH6491">
        <v>0.36399714981521097</v>
      </c>
      <c r="AI6491">
        <v>112.09874174973901</v>
      </c>
      <c r="AJ6491">
        <v>74.736138998171</v>
      </c>
      <c r="AK6491">
        <v>0.40722303388961101</v>
      </c>
      <c r="AL6491">
        <v>83.667632983619697</v>
      </c>
      <c r="AM6491">
        <v>87.325059724441601</v>
      </c>
      <c r="AN6491">
        <v>1.00000006315843</v>
      </c>
    </row>
    <row r="6492" spans="1:40" x14ac:dyDescent="0.25">
      <c r="A6492" t="str">
        <f>"20190312164630812"</f>
        <v>20190312164630812</v>
      </c>
      <c r="B6492" t="str">
        <f>"1552380390807232"</f>
        <v>1552380390807232</v>
      </c>
      <c r="C6492" t="s">
        <v>40</v>
      </c>
      <c r="D6492">
        <v>4.2224959999999996</v>
      </c>
      <c r="E6492">
        <v>0.54572299999999996</v>
      </c>
      <c r="F6492" t="s">
        <v>41</v>
      </c>
      <c r="G6492">
        <v>-187.31649999999999</v>
      </c>
      <c r="H6492">
        <v>0.96604570000000001</v>
      </c>
      <c r="I6492">
        <v>-8.2530160000000006</v>
      </c>
      <c r="J6492">
        <v>-187.41929999999999</v>
      </c>
      <c r="K6492">
        <v>1.1079380000000001</v>
      </c>
      <c r="L6492">
        <v>-8.627167</v>
      </c>
      <c r="M6492">
        <v>-6.0440049999999999E-3</v>
      </c>
      <c r="N6492">
        <v>0</v>
      </c>
      <c r="O6492">
        <v>0.99994919999999998</v>
      </c>
      <c r="P6492">
        <v>4.0457510000000002E-2</v>
      </c>
      <c r="Q6492">
        <v>0.1025205</v>
      </c>
      <c r="R6492">
        <v>0.99390780000000001</v>
      </c>
      <c r="S6492">
        <v>0.44490049999999998</v>
      </c>
      <c r="T6492">
        <v>-0.62595109999999998</v>
      </c>
      <c r="U6492">
        <v>3.0647579999999999</v>
      </c>
      <c r="V6492">
        <v>4.6513880000000001E-2</v>
      </c>
      <c r="W6492">
        <v>0.1105091</v>
      </c>
      <c r="X6492">
        <v>0.9927861</v>
      </c>
      <c r="Y6492">
        <v>0.14679410000000001</v>
      </c>
      <c r="Z6492">
        <v>-0.1980238</v>
      </c>
      <c r="AA6492">
        <v>0.96914299999999998</v>
      </c>
      <c r="AB6492">
        <v>31</v>
      </c>
      <c r="AC6492">
        <v>0.102800000000001</v>
      </c>
      <c r="AD6492">
        <v>-0.141892299999999</v>
      </c>
      <c r="AE6492">
        <v>0.37415099999999901</v>
      </c>
      <c r="AF6492">
        <v>9.2667475628219295E-2</v>
      </c>
      <c r="AG6492">
        <v>-0.141892299999999</v>
      </c>
      <c r="AH6492">
        <v>0.32946468553549202</v>
      </c>
      <c r="AI6492">
        <v>112.51831732723601</v>
      </c>
      <c r="AJ6492">
        <v>74.290470517341802</v>
      </c>
      <c r="AK6492">
        <v>0.37049651125698502</v>
      </c>
      <c r="AL6492">
        <v>83.655336359776101</v>
      </c>
      <c r="AM6492">
        <v>87.317547492713103</v>
      </c>
      <c r="AN6492">
        <v>1.0000000212843301</v>
      </c>
    </row>
    <row r="6493" spans="1:40" x14ac:dyDescent="0.25">
      <c r="A6493" t="str">
        <f>"20190312164630833"</f>
        <v>20190312164630833</v>
      </c>
      <c r="B6493" t="str">
        <f>"1552380390827728"</f>
        <v>1552380390827728</v>
      </c>
      <c r="C6493" t="s">
        <v>40</v>
      </c>
      <c r="D6493">
        <v>4.2383249999999997</v>
      </c>
      <c r="E6493">
        <v>0.54539569999999904</v>
      </c>
      <c r="F6493" t="s">
        <v>41</v>
      </c>
      <c r="G6493">
        <v>-187.28749999999999</v>
      </c>
      <c r="H6493">
        <v>0.92600870000000002</v>
      </c>
      <c r="I6493">
        <v>-7.7128990000000002</v>
      </c>
      <c r="J6493">
        <v>-187.42099999999999</v>
      </c>
      <c r="K6493">
        <v>1.107934</v>
      </c>
      <c r="L6493">
        <v>-8.3222959999999997</v>
      </c>
      <c r="M6493">
        <v>-5.8448619999999897E-3</v>
      </c>
      <c r="N6493">
        <v>0</v>
      </c>
      <c r="O6493">
        <v>0.99995049999999996</v>
      </c>
      <c r="P6493">
        <v>4.0566140000000001E-2</v>
      </c>
      <c r="Q6493">
        <v>0.10271180000000001</v>
      </c>
      <c r="R6493">
        <v>0.99388359999999998</v>
      </c>
      <c r="S6493">
        <v>0.4416351</v>
      </c>
      <c r="T6493">
        <v>-0.60955059999999905</v>
      </c>
      <c r="U6493">
        <v>3.0632929999999998</v>
      </c>
      <c r="V6493">
        <v>4.6424710000000001E-2</v>
      </c>
      <c r="W6493">
        <v>0.1106944</v>
      </c>
      <c r="X6493">
        <v>0.99276960000000003</v>
      </c>
      <c r="Y6493">
        <v>0.1457898</v>
      </c>
      <c r="Z6493">
        <v>-0.1931503</v>
      </c>
      <c r="AA6493">
        <v>0.97027739999999996</v>
      </c>
      <c r="AB6493">
        <v>31</v>
      </c>
      <c r="AC6493">
        <v>0.13349999999999701</v>
      </c>
      <c r="AD6493">
        <v>-0.18192530000000001</v>
      </c>
      <c r="AE6493">
        <v>0.60939700000000097</v>
      </c>
      <c r="AF6493">
        <v>0.126317518898898</v>
      </c>
      <c r="AG6493">
        <v>-0.18192530000000001</v>
      </c>
      <c r="AH6493">
        <v>0.56090629119430202</v>
      </c>
      <c r="AI6493">
        <v>107.558266951844</v>
      </c>
      <c r="AJ6493">
        <v>77.308571729904401</v>
      </c>
      <c r="AK6493">
        <v>0.60304958159525301</v>
      </c>
      <c r="AL6493">
        <v>83.644653721735494</v>
      </c>
      <c r="AM6493">
        <v>87.322637998641099</v>
      </c>
      <c r="AN6493">
        <v>0.99999999128705197</v>
      </c>
    </row>
    <row r="6494" spans="1:40" x14ac:dyDescent="0.25">
      <c r="A6494" t="str">
        <f>"20190312164630856"</f>
        <v>20190312164630856</v>
      </c>
      <c r="B6494" t="str">
        <f>"1552380390847247"</f>
        <v>1552380390847247</v>
      </c>
      <c r="C6494" t="s">
        <v>40</v>
      </c>
      <c r="D6494">
        <v>4.1611840000000004</v>
      </c>
      <c r="E6494">
        <v>0.54538149999999996</v>
      </c>
      <c r="F6494" t="s">
        <v>41</v>
      </c>
      <c r="G6494">
        <v>-187.2929</v>
      </c>
      <c r="H6494">
        <v>0.93284900000000004</v>
      </c>
      <c r="I6494">
        <v>-7.4304119999999996</v>
      </c>
      <c r="J6494">
        <v>-187.42259999999999</v>
      </c>
      <c r="K6494">
        <v>1.1079330000000001</v>
      </c>
      <c r="L6494">
        <v>-8.0062870000000004</v>
      </c>
      <c r="M6494">
        <v>-5.6386709999999996E-3</v>
      </c>
      <c r="N6494">
        <v>0</v>
      </c>
      <c r="O6494">
        <v>0.9999517</v>
      </c>
      <c r="P6494">
        <v>4.0405999999999997E-2</v>
      </c>
      <c r="Q6494">
        <v>0.10295120000000001</v>
      </c>
      <c r="R6494">
        <v>0.99386540000000001</v>
      </c>
      <c r="S6494">
        <v>0.43977359999999999</v>
      </c>
      <c r="T6494">
        <v>-0.60122679999999995</v>
      </c>
      <c r="U6494">
        <v>3.0626530000000001</v>
      </c>
      <c r="V6494">
        <v>4.6059879999999997E-2</v>
      </c>
      <c r="W6494">
        <v>0.110930399999999</v>
      </c>
      <c r="X6494">
        <v>0.99276019999999998</v>
      </c>
      <c r="Y6494">
        <v>0.14510580000000001</v>
      </c>
      <c r="Z6494">
        <v>-0.19066610000000001</v>
      </c>
      <c r="AA6494">
        <v>0.97087120000000005</v>
      </c>
      <c r="AB6494">
        <v>31</v>
      </c>
      <c r="AC6494">
        <v>0.12969999999998499</v>
      </c>
      <c r="AD6494">
        <v>-0.17508399999999999</v>
      </c>
      <c r="AE6494">
        <v>0.57587500000000003</v>
      </c>
      <c r="AF6494">
        <v>0.12219537069519899</v>
      </c>
      <c r="AG6494">
        <v>-0.17508399999999999</v>
      </c>
      <c r="AH6494">
        <v>0.52862957684259604</v>
      </c>
      <c r="AI6494">
        <v>107.88460705475499</v>
      </c>
      <c r="AJ6494">
        <v>76.984399510146602</v>
      </c>
      <c r="AK6494">
        <v>0.57011871148745796</v>
      </c>
      <c r="AL6494">
        <v>83.631047800257406</v>
      </c>
      <c r="AM6494">
        <v>87.343622758006504</v>
      </c>
      <c r="AN6494">
        <v>0.99999994044690499</v>
      </c>
    </row>
    <row r="6495" spans="1:40" x14ac:dyDescent="0.25">
      <c r="A6495" t="str">
        <f>"20190312164630877"</f>
        <v>20190312164630877</v>
      </c>
      <c r="B6495" t="str">
        <f>"1552380390867744"</f>
        <v>1552380390867744</v>
      </c>
      <c r="C6495" t="s">
        <v>40</v>
      </c>
      <c r="D6495">
        <v>4.1712989999999897</v>
      </c>
      <c r="E6495">
        <v>0.5454116</v>
      </c>
      <c r="F6495" t="s">
        <v>41</v>
      </c>
      <c r="G6495">
        <v>-187.29929999999999</v>
      </c>
      <c r="H6495">
        <v>0.94032979999999999</v>
      </c>
      <c r="I6495">
        <v>-7.1468990000000003</v>
      </c>
      <c r="J6495">
        <v>-187.42410000000001</v>
      </c>
      <c r="K6495">
        <v>1.1079319999999999</v>
      </c>
      <c r="L6495">
        <v>-7.7022089999999999</v>
      </c>
      <c r="M6495">
        <v>-5.4403849999999998E-3</v>
      </c>
      <c r="N6495">
        <v>0</v>
      </c>
      <c r="O6495">
        <v>0.99995270000000003</v>
      </c>
      <c r="P6495">
        <v>4.0129339999999999E-2</v>
      </c>
      <c r="Q6495">
        <v>0.10366010000000001</v>
      </c>
      <c r="R6495">
        <v>0.99380290000000004</v>
      </c>
      <c r="S6495">
        <v>0.43905640000000001</v>
      </c>
      <c r="T6495">
        <v>-0.59725819999999996</v>
      </c>
      <c r="U6495">
        <v>3.0625309999999999</v>
      </c>
      <c r="V6495">
        <v>4.5586370000000001E-2</v>
      </c>
      <c r="W6495">
        <v>0.11164399999999999</v>
      </c>
      <c r="X6495">
        <v>0.99270210000000003</v>
      </c>
      <c r="Y6495">
        <v>0.1447253</v>
      </c>
      <c r="Z6495">
        <v>-0.1894692</v>
      </c>
      <c r="AA6495">
        <v>0.97116219999999998</v>
      </c>
      <c r="AB6495">
        <v>31</v>
      </c>
      <c r="AC6495">
        <v>0.12480000000002101</v>
      </c>
      <c r="AD6495">
        <v>-0.16760219999999901</v>
      </c>
      <c r="AE6495">
        <v>0.55530999999999897</v>
      </c>
      <c r="AF6495">
        <v>0.117620047643152</v>
      </c>
      <c r="AG6495">
        <v>-0.16760219999999901</v>
      </c>
      <c r="AH6495">
        <v>0.51036685283515504</v>
      </c>
      <c r="AI6495">
        <v>107.745049472321</v>
      </c>
      <c r="AJ6495">
        <v>77.022109896961595</v>
      </c>
      <c r="AK6495">
        <v>0.54990844467536404</v>
      </c>
      <c r="AL6495">
        <v>83.589906219416505</v>
      </c>
      <c r="AM6495">
        <v>87.370738974587994</v>
      </c>
      <c r="AN6495">
        <v>0.99999997960509301</v>
      </c>
    </row>
    <row r="6496" spans="1:40" x14ac:dyDescent="0.25">
      <c r="A6496" t="str">
        <f>"20190312164630901"</f>
        <v>20190312164630901</v>
      </c>
      <c r="B6496" t="str">
        <f>"1552380390898000"</f>
        <v>1552380390898000</v>
      </c>
      <c r="C6496" t="s">
        <v>40</v>
      </c>
      <c r="D6496">
        <v>4.2862879999999999</v>
      </c>
      <c r="E6496">
        <v>0.54554130000000001</v>
      </c>
      <c r="F6496" t="s">
        <v>41</v>
      </c>
      <c r="G6496">
        <v>-187.30410000000001</v>
      </c>
      <c r="H6496">
        <v>0.94594880000000003</v>
      </c>
      <c r="I6496">
        <v>-6.8636149999999896</v>
      </c>
      <c r="J6496">
        <v>-187.42570000000001</v>
      </c>
      <c r="K6496">
        <v>1.1079410000000001</v>
      </c>
      <c r="L6496">
        <v>-7.3691409999999999</v>
      </c>
      <c r="M6496">
        <v>-5.2232909999999997E-3</v>
      </c>
      <c r="N6496">
        <v>0</v>
      </c>
      <c r="O6496">
        <v>0.99995369999999995</v>
      </c>
      <c r="P6496">
        <v>3.9889819999999999E-2</v>
      </c>
      <c r="Q6496">
        <v>0.1046666</v>
      </c>
      <c r="R6496">
        <v>0.99370709999999995</v>
      </c>
      <c r="S6496">
        <v>0.43855290000000002</v>
      </c>
      <c r="T6496">
        <v>-0.59159899999999999</v>
      </c>
      <c r="U6496">
        <v>3.0627140000000002</v>
      </c>
      <c r="V6496">
        <v>4.5131329999999997E-2</v>
      </c>
      <c r="W6496">
        <v>0.1126656</v>
      </c>
      <c r="X6496">
        <v>0.99260749999999998</v>
      </c>
      <c r="Y6496">
        <v>0.1443931</v>
      </c>
      <c r="Z6496">
        <v>-0.1877345</v>
      </c>
      <c r="AA6496">
        <v>0.97154839999999998</v>
      </c>
      <c r="AB6496">
        <v>31</v>
      </c>
      <c r="AC6496">
        <v>0.1216</v>
      </c>
      <c r="AD6496">
        <v>-0.161992199999999</v>
      </c>
      <c r="AE6496">
        <v>0.50552600000000003</v>
      </c>
      <c r="AF6496">
        <v>0.113246413783417</v>
      </c>
      <c r="AG6496">
        <v>-0.161992199999999</v>
      </c>
      <c r="AH6496">
        <v>0.46021236184393699</v>
      </c>
      <c r="AI6496">
        <v>108.870334106229</v>
      </c>
      <c r="AJ6496">
        <v>76.175648852625201</v>
      </c>
      <c r="AK6496">
        <v>0.50086089994091199</v>
      </c>
      <c r="AL6496">
        <v>83.531001409115206</v>
      </c>
      <c r="AM6496">
        <v>87.396700054484398</v>
      </c>
      <c r="AN6496">
        <v>1.0000000117135801</v>
      </c>
    </row>
    <row r="6497" spans="1:40" x14ac:dyDescent="0.25">
      <c r="A6497" t="str">
        <f>"20190312164630924"</f>
        <v>20190312164630924</v>
      </c>
      <c r="B6497" t="str">
        <f>"1552380390917519"</f>
        <v>1552380390917519</v>
      </c>
      <c r="C6497" t="s">
        <v>40</v>
      </c>
      <c r="D6497">
        <v>4.695697</v>
      </c>
      <c r="E6497">
        <v>0.54535809999999996</v>
      </c>
      <c r="F6497" t="s">
        <v>41</v>
      </c>
      <c r="G6497">
        <v>-187.31219999999999</v>
      </c>
      <c r="H6497">
        <v>0.95672080000000004</v>
      </c>
      <c r="I6497">
        <v>-6.5774309999999998</v>
      </c>
      <c r="J6497">
        <v>-187.4272</v>
      </c>
      <c r="K6497">
        <v>1.1079429999999999</v>
      </c>
      <c r="L6497">
        <v>-7.0491640000000002</v>
      </c>
      <c r="M6497">
        <v>-5.0147859999999898E-3</v>
      </c>
      <c r="N6497">
        <v>0</v>
      </c>
      <c r="O6497">
        <v>0.99995460000000003</v>
      </c>
      <c r="P6497">
        <v>3.9300380000000003E-2</v>
      </c>
      <c r="Q6497">
        <v>0.10624690000000001</v>
      </c>
      <c r="R6497">
        <v>0.99356279999999997</v>
      </c>
      <c r="S6497">
        <v>0.43905640000000001</v>
      </c>
      <c r="T6497">
        <v>-0.58503499999999997</v>
      </c>
      <c r="U6497">
        <v>3.0629879999999998</v>
      </c>
      <c r="V6497">
        <v>4.433496E-2</v>
      </c>
      <c r="W6497">
        <v>0.1142731</v>
      </c>
      <c r="X6497">
        <v>0.9924596</v>
      </c>
      <c r="Y6497">
        <v>0.14438589999999901</v>
      </c>
      <c r="Z6497">
        <v>-0.18570700000000001</v>
      </c>
      <c r="AA6497">
        <v>0.97193909999999994</v>
      </c>
      <c r="AB6497">
        <v>31</v>
      </c>
      <c r="AC6497">
        <v>0.115000000000009</v>
      </c>
      <c r="AD6497">
        <v>-0.1512222</v>
      </c>
      <c r="AE6497">
        <v>0.47173300000000001</v>
      </c>
      <c r="AF6497">
        <v>0.10698668870082199</v>
      </c>
      <c r="AG6497">
        <v>-0.1512222</v>
      </c>
      <c r="AH6497">
        <v>0.42949029550893297</v>
      </c>
      <c r="AI6497">
        <v>108.86305408312199</v>
      </c>
      <c r="AJ6497">
        <v>76.012217284442997</v>
      </c>
      <c r="AK6497">
        <v>0.467735202083783</v>
      </c>
      <c r="AL6497">
        <v>83.438299602330801</v>
      </c>
      <c r="AM6497">
        <v>87.442194731677205</v>
      </c>
      <c r="AN6497">
        <v>0.99999999384698501</v>
      </c>
    </row>
    <row r="6498" spans="1:40" x14ac:dyDescent="0.25">
      <c r="A6498" t="str">
        <f>"20190312164630945"</f>
        <v>20190312164630945</v>
      </c>
      <c r="B6498" t="str">
        <f>"1552380390938017"</f>
        <v>1552380390938017</v>
      </c>
      <c r="C6498" t="s">
        <v>40</v>
      </c>
      <c r="D6498">
        <v>4.3444370000000001</v>
      </c>
      <c r="E6498">
        <v>0.51700619999999997</v>
      </c>
      <c r="F6498" t="s">
        <v>41</v>
      </c>
      <c r="G6498">
        <v>-187.31950000000001</v>
      </c>
      <c r="H6498">
        <v>0.96430830000000001</v>
      </c>
      <c r="I6498">
        <v>-6.2921300000000002</v>
      </c>
      <c r="J6498">
        <v>-187.42850000000001</v>
      </c>
      <c r="K6498">
        <v>1.1079559999999999</v>
      </c>
      <c r="L6498">
        <v>-6.7506409999999999</v>
      </c>
      <c r="M6498">
        <v>-4.8212790000000004E-3</v>
      </c>
      <c r="N6498">
        <v>0</v>
      </c>
      <c r="O6498">
        <v>0.99995520000000004</v>
      </c>
      <c r="P6498">
        <v>3.8345009999999999E-2</v>
      </c>
      <c r="Q6498">
        <v>0.1083095</v>
      </c>
      <c r="R6498">
        <v>0.99337739999999997</v>
      </c>
      <c r="S6498">
        <v>0.4355927</v>
      </c>
      <c r="T6498">
        <v>-0.5814106</v>
      </c>
      <c r="U6498">
        <v>3.0643919999999998</v>
      </c>
      <c r="V6498">
        <v>4.3187540000000003E-2</v>
      </c>
      <c r="W6498">
        <v>0.11637699999999999</v>
      </c>
      <c r="X6498">
        <v>0.99226570000000003</v>
      </c>
      <c r="Y6498">
        <v>0.14308589999999999</v>
      </c>
      <c r="Z6498">
        <v>-0.1845474</v>
      </c>
      <c r="AA6498">
        <v>0.97235210000000005</v>
      </c>
      <c r="AB6498">
        <v>31</v>
      </c>
      <c r="AC6498">
        <v>0.10900000000000799</v>
      </c>
      <c r="AD6498">
        <v>-0.14364769999999899</v>
      </c>
      <c r="AE6498">
        <v>0.458511</v>
      </c>
      <c r="AF6498">
        <v>0.10175611991321799</v>
      </c>
      <c r="AG6498">
        <v>-0.14364769999999899</v>
      </c>
      <c r="AH6498">
        <v>0.41904978141120203</v>
      </c>
      <c r="AI6498">
        <v>108.423617870282</v>
      </c>
      <c r="AJ6498">
        <v>76.351273897251502</v>
      </c>
      <c r="AK6498">
        <v>0.45452358459804798</v>
      </c>
      <c r="AL6498">
        <v>83.3169452930982</v>
      </c>
      <c r="AM6498">
        <v>87.507821705159003</v>
      </c>
      <c r="AN6498">
        <v>0.99999999456836997</v>
      </c>
    </row>
    <row r="6499" spans="1:40" x14ac:dyDescent="0.25">
      <c r="A6499" t="str">
        <f>"20190312164630968"</f>
        <v>20190312164630968</v>
      </c>
      <c r="B6499" t="str">
        <f>"1552380390957536"</f>
        <v>1552380390957536</v>
      </c>
      <c r="C6499" t="s">
        <v>40</v>
      </c>
      <c r="D6499">
        <v>4.3706129999999996</v>
      </c>
      <c r="E6499">
        <v>0.4768133</v>
      </c>
      <c r="F6499" t="s">
        <v>41</v>
      </c>
      <c r="G6499">
        <v>-187.37739999999999</v>
      </c>
      <c r="H6499">
        <v>0.97950400000000004</v>
      </c>
      <c r="I6499">
        <v>-6.0031660000000002</v>
      </c>
      <c r="J6499">
        <v>-187.4298</v>
      </c>
      <c r="K6499">
        <v>1.1079730000000001</v>
      </c>
      <c r="L6499">
        <v>-6.4260250000000001</v>
      </c>
      <c r="M6499">
        <v>-4.6127770000000002E-3</v>
      </c>
      <c r="N6499">
        <v>0</v>
      </c>
      <c r="O6499">
        <v>0.9999557</v>
      </c>
      <c r="P6499">
        <v>3.7592639999999997E-2</v>
      </c>
      <c r="Q6499">
        <v>0.11027480000000001</v>
      </c>
      <c r="R6499">
        <v>0.99318989999999996</v>
      </c>
      <c r="S6499">
        <v>0.20928959999999999</v>
      </c>
      <c r="T6499">
        <v>-0.52745710000000001</v>
      </c>
      <c r="U6499">
        <v>3.0694270000000001</v>
      </c>
      <c r="V6499">
        <v>4.2228069999999999E-2</v>
      </c>
      <c r="W6499">
        <v>0.1184081</v>
      </c>
      <c r="X6499">
        <v>0.99206669999999997</v>
      </c>
      <c r="Y6499">
        <v>7.1650779999999997E-2</v>
      </c>
      <c r="Z6499">
        <v>-0.16894879999999901</v>
      </c>
      <c r="AA6499">
        <v>0.98301700000000003</v>
      </c>
      <c r="AB6499">
        <v>32</v>
      </c>
      <c r="AC6499">
        <v>5.2400000000005699E-2</v>
      </c>
      <c r="AD6499">
        <v>-0.128468999999999</v>
      </c>
      <c r="AE6499">
        <v>0.42285899999999899</v>
      </c>
      <c r="AF6499">
        <v>4.9821081954262401E-2</v>
      </c>
      <c r="AG6499">
        <v>-0.128468999999999</v>
      </c>
      <c r="AH6499">
        <v>0.38739653970092502</v>
      </c>
      <c r="AI6499">
        <v>108.206687956389</v>
      </c>
      <c r="AJ6499">
        <v>82.671708405881802</v>
      </c>
      <c r="AK6499">
        <v>0.41117210890373301</v>
      </c>
      <c r="AL6499">
        <v>83.199761680674897</v>
      </c>
      <c r="AM6499">
        <v>87.562633108769703</v>
      </c>
      <c r="AN6499">
        <v>1.00000001264521</v>
      </c>
    </row>
    <row r="6500" spans="1:40" x14ac:dyDescent="0.25">
      <c r="A6500" t="str">
        <f>"20190312164630992"</f>
        <v>20190312164630992</v>
      </c>
      <c r="B6500" t="str">
        <f>"1552380390987792"</f>
        <v>1552380390987792</v>
      </c>
      <c r="C6500" t="s">
        <v>40</v>
      </c>
      <c r="D6500">
        <v>4.4116879999999998</v>
      </c>
      <c r="E6500">
        <v>0.47720050000000003</v>
      </c>
      <c r="F6500" t="s">
        <v>42</v>
      </c>
      <c r="G6500">
        <v>-187.89410000000001</v>
      </c>
      <c r="H6500" s="1">
        <v>-3.8256320000000003E-6</v>
      </c>
      <c r="I6500">
        <v>7.6796720000000001</v>
      </c>
      <c r="J6500">
        <v>-187.43119999999999</v>
      </c>
      <c r="K6500">
        <v>1.1080000000000001</v>
      </c>
      <c r="L6500">
        <v>-6.0839840000000001</v>
      </c>
      <c r="M6500">
        <v>-4.3961E-3</v>
      </c>
      <c r="N6500">
        <v>0</v>
      </c>
      <c r="O6500">
        <v>0.99995579999999995</v>
      </c>
      <c r="P6500">
        <v>3.6736770000000002E-2</v>
      </c>
      <c r="Q6500">
        <v>0.112014</v>
      </c>
      <c r="R6500">
        <v>0.99302729999999995</v>
      </c>
      <c r="S6500">
        <v>-0.1004181</v>
      </c>
      <c r="T6500">
        <v>-0.2396501</v>
      </c>
      <c r="U6500">
        <v>3.0509949999999999</v>
      </c>
      <c r="V6500">
        <v>4.115684E-2</v>
      </c>
      <c r="W6500">
        <v>0.12023880000000001</v>
      </c>
      <c r="X6500">
        <v>0.99189150000000004</v>
      </c>
      <c r="Y6500">
        <v>-2.8400310000000002E-2</v>
      </c>
      <c r="Z6500">
        <v>-7.826901E-2</v>
      </c>
      <c r="AA6500">
        <v>0.99652770000000002</v>
      </c>
      <c r="AB6500">
        <v>32</v>
      </c>
      <c r="AC6500">
        <v>-0.46290000000001902</v>
      </c>
      <c r="AD6500">
        <v>-1.108003825632</v>
      </c>
      <c r="AE6500">
        <v>13.763655999999999</v>
      </c>
      <c r="AF6500">
        <v>-0.39979902051454902</v>
      </c>
      <c r="AG6500">
        <v>-1.108003825632</v>
      </c>
      <c r="AH6500">
        <v>13.6770229122004</v>
      </c>
      <c r="AI6500">
        <v>94.6295658156196</v>
      </c>
      <c r="AJ6500">
        <v>91.674361122039201</v>
      </c>
      <c r="AK6500">
        <v>13.727653385603601</v>
      </c>
      <c r="AL6500">
        <v>83.094115406982993</v>
      </c>
      <c r="AM6500">
        <v>87.623972671695597</v>
      </c>
      <c r="AN6500">
        <v>1.00000000113823</v>
      </c>
    </row>
    <row r="6501" spans="1:40" x14ac:dyDescent="0.25">
      <c r="A6501" t="str">
        <f>"20190312164631012"</f>
        <v>20190312164631012</v>
      </c>
      <c r="B6501" t="str">
        <f>"1552380391007312"</f>
        <v>1552380391007312</v>
      </c>
      <c r="C6501" t="s">
        <v>40</v>
      </c>
      <c r="D6501">
        <v>4.3910850000000003</v>
      </c>
      <c r="E6501">
        <v>0.47867589999999999</v>
      </c>
      <c r="F6501" t="s">
        <v>42</v>
      </c>
      <c r="G6501">
        <v>-188.0932</v>
      </c>
      <c r="H6501" s="1">
        <v>-2.561155E-6</v>
      </c>
      <c r="I6501">
        <v>14.814450000000001</v>
      </c>
      <c r="J6501">
        <v>-187.43219999999999</v>
      </c>
      <c r="K6501">
        <v>1.108023</v>
      </c>
      <c r="L6501">
        <v>-5.7999269999999896</v>
      </c>
      <c r="M6501">
        <v>-4.2204690000000001E-3</v>
      </c>
      <c r="N6501">
        <v>0</v>
      </c>
      <c r="O6501">
        <v>0.99995590000000001</v>
      </c>
      <c r="P6501">
        <v>3.5591919999999999E-2</v>
      </c>
      <c r="Q6501">
        <v>0.1130173</v>
      </c>
      <c r="R6501">
        <v>0.99295529999999999</v>
      </c>
      <c r="S6501">
        <v>-9.638977E-2</v>
      </c>
      <c r="T6501">
        <v>-0.16132550000000001</v>
      </c>
      <c r="U6501">
        <v>3.0428160000000002</v>
      </c>
      <c r="V6501">
        <v>3.9837209999999998E-2</v>
      </c>
      <c r="W6501">
        <v>0.12132850000000001</v>
      </c>
      <c r="X6501">
        <v>0.99181269999999999</v>
      </c>
      <c r="Y6501">
        <v>-2.7398789999999999E-2</v>
      </c>
      <c r="Z6501">
        <v>-5.292024E-2</v>
      </c>
      <c r="AA6501">
        <v>0.99822279999999997</v>
      </c>
      <c r="AB6501">
        <v>32</v>
      </c>
      <c r="AC6501">
        <v>-0.66100000000000103</v>
      </c>
      <c r="AD6501">
        <v>-1.1080255611550001</v>
      </c>
      <c r="AE6501">
        <v>20.614376999999902</v>
      </c>
      <c r="AF6501">
        <v>-0.57233688444034803</v>
      </c>
      <c r="AG6501">
        <v>-1.1080255611550001</v>
      </c>
      <c r="AH6501">
        <v>20.557651581615001</v>
      </c>
      <c r="AI6501">
        <v>93.083975865318394</v>
      </c>
      <c r="AJ6501">
        <v>91.594735628479498</v>
      </c>
      <c r="AK6501">
        <v>20.5954443677368</v>
      </c>
      <c r="AL6501">
        <v>83.031219856882103</v>
      </c>
      <c r="AM6501">
        <v>87.699890590937997</v>
      </c>
      <c r="AN6501">
        <v>1.00000002004706</v>
      </c>
    </row>
    <row r="6502" spans="1:40" x14ac:dyDescent="0.25">
      <c r="A6502" t="str">
        <f>"20190312164631032"</f>
        <v>20190312164631032</v>
      </c>
      <c r="B6502" t="str">
        <f>"1552380391027808"</f>
        <v>1552380391027808</v>
      </c>
      <c r="C6502" t="s">
        <v>40</v>
      </c>
      <c r="D6502">
        <v>4.3778649999999999</v>
      </c>
      <c r="E6502">
        <v>0.47976089999999999</v>
      </c>
      <c r="F6502" t="s">
        <v>42</v>
      </c>
      <c r="G6502">
        <v>-188.13460000000001</v>
      </c>
      <c r="H6502" s="1">
        <v>-4.2505600000000002E-6</v>
      </c>
      <c r="I6502">
        <v>18.769600000000001</v>
      </c>
      <c r="J6502">
        <v>-187.4333</v>
      </c>
      <c r="K6502">
        <v>1.108042</v>
      </c>
      <c r="L6502">
        <v>-5.5046999999999997</v>
      </c>
      <c r="M6502">
        <v>-4.043179E-3</v>
      </c>
      <c r="N6502">
        <v>0</v>
      </c>
      <c r="O6502">
        <v>0.99995579999999995</v>
      </c>
      <c r="P6502">
        <v>3.469125E-2</v>
      </c>
      <c r="Q6502">
        <v>0.1134444</v>
      </c>
      <c r="R6502">
        <v>0.99293849999999995</v>
      </c>
      <c r="S6502">
        <v>-8.6898799999999998E-2</v>
      </c>
      <c r="T6502">
        <v>-0.1370971</v>
      </c>
      <c r="U6502">
        <v>3.040009</v>
      </c>
      <c r="V6502">
        <v>3.8759740000000001E-2</v>
      </c>
      <c r="W6502">
        <v>0.12185</v>
      </c>
      <c r="X6502">
        <v>0.99179139999999999</v>
      </c>
      <c r="Y6502">
        <v>-2.450248E-2</v>
      </c>
      <c r="Z6502">
        <v>-4.5035329999999998E-2</v>
      </c>
      <c r="AA6502">
        <v>0.99868489999999999</v>
      </c>
      <c r="AB6502">
        <v>32</v>
      </c>
      <c r="AC6502">
        <v>-0.70130000000000303</v>
      </c>
      <c r="AD6502">
        <v>-1.1080462505599999</v>
      </c>
      <c r="AE6502">
        <v>24.2743</v>
      </c>
      <c r="AF6502">
        <v>-0.60189231146068101</v>
      </c>
      <c r="AG6502">
        <v>-1.1080462505599999</v>
      </c>
      <c r="AH6502">
        <v>24.226499992188099</v>
      </c>
      <c r="AI6502">
        <v>92.617902604509695</v>
      </c>
      <c r="AJ6502">
        <v>91.423185206838497</v>
      </c>
      <c r="AK6502">
        <v>24.259293945196902</v>
      </c>
      <c r="AL6502">
        <v>83.001116339613702</v>
      </c>
      <c r="AM6502">
        <v>87.761989096891696</v>
      </c>
      <c r="AN6502">
        <v>0.99999996052941298</v>
      </c>
    </row>
    <row r="6503" spans="1:40" x14ac:dyDescent="0.25">
      <c r="A6503" t="str">
        <f>"20190312164631057"</f>
        <v>20190312164631057</v>
      </c>
      <c r="B6503" t="str">
        <f>"1552380391047328"</f>
        <v>1552380391047328</v>
      </c>
      <c r="C6503" t="s">
        <v>40</v>
      </c>
      <c r="D6503">
        <v>4.4463860000000004</v>
      </c>
      <c r="E6503">
        <v>0.4803963</v>
      </c>
      <c r="F6503" t="s">
        <v>42</v>
      </c>
      <c r="G6503">
        <v>-188.14109999999999</v>
      </c>
      <c r="H6503" s="1">
        <v>-9.8271179999999995E-7</v>
      </c>
      <c r="I6503">
        <v>21.082350000000002</v>
      </c>
      <c r="J6503">
        <v>-187.43450000000001</v>
      </c>
      <c r="K6503">
        <v>1.1080730000000001</v>
      </c>
      <c r="L6503">
        <v>-5.1691890000000003</v>
      </c>
      <c r="M6503">
        <v>-3.8549330000000001E-3</v>
      </c>
      <c r="N6503">
        <v>0</v>
      </c>
      <c r="O6503">
        <v>0.9999555</v>
      </c>
      <c r="P6503">
        <v>3.4348150000000001E-2</v>
      </c>
      <c r="Q6503">
        <v>0.11324430000000001</v>
      </c>
      <c r="R6503">
        <v>0.99297329999999995</v>
      </c>
      <c r="S6503">
        <v>-8.0886840000000002E-2</v>
      </c>
      <c r="T6503">
        <v>-0.12663830000000001</v>
      </c>
      <c r="U6503">
        <v>3.0386350000000002</v>
      </c>
      <c r="V6503">
        <v>3.8227829999999997E-2</v>
      </c>
      <c r="W6503">
        <v>0.1217786</v>
      </c>
      <c r="X6503">
        <v>0.99182090000000001</v>
      </c>
      <c r="Y6503">
        <v>-2.2733070000000001E-2</v>
      </c>
      <c r="Z6503">
        <v>-4.1626700000000003E-2</v>
      </c>
      <c r="AA6503">
        <v>0.99887459999999995</v>
      </c>
      <c r="AB6503">
        <v>32</v>
      </c>
      <c r="AC6503">
        <v>-0.70659999999998002</v>
      </c>
      <c r="AD6503">
        <v>-1.10807398271179</v>
      </c>
      <c r="AE6503">
        <v>26.251539000000001</v>
      </c>
      <c r="AF6503">
        <v>-0.60431715788034401</v>
      </c>
      <c r="AG6503">
        <v>-1.10807398271179</v>
      </c>
      <c r="AH6503">
        <v>26.207408700172898</v>
      </c>
      <c r="AI6503">
        <v>92.420434992393396</v>
      </c>
      <c r="AJ6503">
        <v>91.320950426728203</v>
      </c>
      <c r="AK6503">
        <v>26.237783785151699</v>
      </c>
      <c r="AL6503">
        <v>83.005238553583396</v>
      </c>
      <c r="AM6503">
        <v>87.792736900203295</v>
      </c>
      <c r="AN6503">
        <v>1.00000004604063</v>
      </c>
    </row>
    <row r="6504" spans="1:40" x14ac:dyDescent="0.25">
      <c r="A6504" t="str">
        <f>"20190312164631078"</f>
        <v>20190312164631078</v>
      </c>
      <c r="B6504" t="str">
        <f>"1552380391067828"</f>
        <v>1552380391067828</v>
      </c>
      <c r="C6504" t="s">
        <v>40</v>
      </c>
      <c r="D6504">
        <v>4.750286</v>
      </c>
      <c r="E6504">
        <v>0.48059790000000002</v>
      </c>
      <c r="F6504" t="s">
        <v>42</v>
      </c>
      <c r="G6504">
        <v>-188.0883</v>
      </c>
      <c r="H6504" s="1">
        <v>-7.8339309999999899E-7</v>
      </c>
      <c r="I6504">
        <v>20.45543</v>
      </c>
      <c r="J6504">
        <v>-187.43549999999999</v>
      </c>
      <c r="K6504">
        <v>1.1081000000000001</v>
      </c>
      <c r="L6504">
        <v>-4.8596190000000004</v>
      </c>
      <c r="M6504">
        <v>-3.6986079999999999E-3</v>
      </c>
      <c r="N6504">
        <v>0</v>
      </c>
      <c r="O6504">
        <v>0.99995489999999998</v>
      </c>
      <c r="P6504">
        <v>3.3776849999999997E-2</v>
      </c>
      <c r="Q6504">
        <v>0.1133825</v>
      </c>
      <c r="R6504">
        <v>0.99297709999999995</v>
      </c>
      <c r="S6504">
        <v>-7.7545169999999997E-2</v>
      </c>
      <c r="T6504">
        <v>-0.1314102</v>
      </c>
      <c r="U6504">
        <v>3.03891</v>
      </c>
      <c r="V6504">
        <v>3.7498110000000001E-2</v>
      </c>
      <c r="W6504">
        <v>0.1220488</v>
      </c>
      <c r="X6504">
        <v>0.99181549999999996</v>
      </c>
      <c r="Y6504">
        <v>-2.1787600000000001E-2</v>
      </c>
      <c r="Z6504">
        <v>-4.3189600000000002E-2</v>
      </c>
      <c r="AA6504">
        <v>0.99882930000000003</v>
      </c>
      <c r="AB6504">
        <v>32</v>
      </c>
      <c r="AC6504">
        <v>-0.65280000000001304</v>
      </c>
      <c r="AD6504">
        <v>-1.1081007833931</v>
      </c>
      <c r="AE6504">
        <v>25.315048999999998</v>
      </c>
      <c r="AF6504">
        <v>-0.55809290052934901</v>
      </c>
      <c r="AG6504">
        <v>-1.1081007833931</v>
      </c>
      <c r="AH6504">
        <v>25.268906716864301</v>
      </c>
      <c r="AI6504">
        <v>92.510334093325596</v>
      </c>
      <c r="AJ6504">
        <v>91.265237563262602</v>
      </c>
      <c r="AK6504">
        <v>25.299347851226599</v>
      </c>
      <c r="AL6504">
        <v>82.989640576295898</v>
      </c>
      <c r="AM6504">
        <v>87.834818440019106</v>
      </c>
      <c r="AN6504">
        <v>1.0000000019376301</v>
      </c>
    </row>
    <row r="6505" spans="1:40" x14ac:dyDescent="0.25">
      <c r="A6505" t="str">
        <f>"20190312164631101"</f>
        <v>20190312164631101</v>
      </c>
      <c r="B6505" t="str">
        <f>"1552380391098080"</f>
        <v>1552380391098080</v>
      </c>
      <c r="C6505" t="s">
        <v>40</v>
      </c>
      <c r="D6505">
        <v>4.5160879999999999</v>
      </c>
      <c r="E6505">
        <v>0.48145850000000001</v>
      </c>
      <c r="F6505" t="s">
        <v>42</v>
      </c>
      <c r="G6505">
        <v>-188.0796</v>
      </c>
      <c r="H6505" s="1">
        <v>-7.0141020000000002E-7</v>
      </c>
      <c r="I6505">
        <v>20.207689999999999</v>
      </c>
      <c r="J6505">
        <v>-187.4365</v>
      </c>
      <c r="K6505">
        <v>1.108136</v>
      </c>
      <c r="L6505">
        <v>-4.5354609999999997</v>
      </c>
      <c r="M6505">
        <v>-3.5585629999999998E-3</v>
      </c>
      <c r="N6505">
        <v>0</v>
      </c>
      <c r="O6505">
        <v>0.99995420000000002</v>
      </c>
      <c r="P6505">
        <v>3.3682410000000003E-2</v>
      </c>
      <c r="Q6505">
        <v>0.1134747</v>
      </c>
      <c r="R6505">
        <v>0.99296980000000001</v>
      </c>
      <c r="S6505">
        <v>-7.8094479999999994E-2</v>
      </c>
      <c r="T6505">
        <v>-0.13434849999999901</v>
      </c>
      <c r="U6505">
        <v>3.039215</v>
      </c>
      <c r="V6505">
        <v>3.7259609999999999E-2</v>
      </c>
      <c r="W6505">
        <v>0.122284</v>
      </c>
      <c r="X6505">
        <v>0.99179550000000005</v>
      </c>
      <c r="Y6505">
        <v>-2.21044E-2</v>
      </c>
      <c r="Z6505">
        <v>-4.414879E-2</v>
      </c>
      <c r="AA6505">
        <v>0.99878040000000001</v>
      </c>
      <c r="AB6505">
        <v>32</v>
      </c>
      <c r="AC6505">
        <v>-0.643100000000004</v>
      </c>
      <c r="AD6505">
        <v>-1.1081367014101999</v>
      </c>
      <c r="AE6505">
        <v>24.743151000000001</v>
      </c>
      <c r="AF6505">
        <v>-0.55393209189984205</v>
      </c>
      <c r="AG6505">
        <v>-1.1081367014101999</v>
      </c>
      <c r="AH6505">
        <v>24.695782811392</v>
      </c>
      <c r="AI6505">
        <v>92.568578689582907</v>
      </c>
      <c r="AJ6505">
        <v>91.284942058019496</v>
      </c>
      <c r="AK6505">
        <v>24.726837573351201</v>
      </c>
      <c r="AL6505">
        <v>82.976062784167397</v>
      </c>
      <c r="AM6505">
        <v>87.848533362865794</v>
      </c>
      <c r="AN6505">
        <v>0.99999998450680105</v>
      </c>
    </row>
    <row r="6506" spans="1:40" x14ac:dyDescent="0.25">
      <c r="A6506" t="str">
        <f>"20190312164631124"</f>
        <v>20190312164631124</v>
      </c>
      <c r="B6506" t="str">
        <f>"1552380391117600"</f>
        <v>1552380391117600</v>
      </c>
      <c r="C6506" t="s">
        <v>40</v>
      </c>
      <c r="D6506">
        <v>4.5679699999999999</v>
      </c>
      <c r="E6506">
        <v>0.48216599999999998</v>
      </c>
      <c r="F6506" t="s">
        <v>42</v>
      </c>
      <c r="G6506">
        <v>-188.0394</v>
      </c>
      <c r="H6506" s="1">
        <v>-9.9724389999999996E-7</v>
      </c>
      <c r="I6506">
        <v>21.045559999999998</v>
      </c>
      <c r="J6506">
        <v>-187.4376</v>
      </c>
      <c r="K6506">
        <v>1.108174</v>
      </c>
      <c r="L6506">
        <v>-4.2095029999999998</v>
      </c>
      <c r="M6506">
        <v>-3.4466200000000001E-3</v>
      </c>
      <c r="N6506">
        <v>0</v>
      </c>
      <c r="O6506">
        <v>0.99995319999999999</v>
      </c>
      <c r="P6506">
        <v>3.3636140000000002E-2</v>
      </c>
      <c r="Q6506">
        <v>0.1132546</v>
      </c>
      <c r="R6506">
        <v>0.99299649999999995</v>
      </c>
      <c r="S6506">
        <v>-7.1609500000000006E-2</v>
      </c>
      <c r="T6506">
        <v>-0.13163239999999901</v>
      </c>
      <c r="U6506">
        <v>3.0386959999999998</v>
      </c>
      <c r="V6506">
        <v>3.7095889999999999E-2</v>
      </c>
      <c r="W6506">
        <v>0.122213</v>
      </c>
      <c r="X6506">
        <v>0.99181039999999998</v>
      </c>
      <c r="Y6506">
        <v>-2.0091319999999999E-2</v>
      </c>
      <c r="Z6506">
        <v>-4.3267390000000003E-2</v>
      </c>
      <c r="AA6506">
        <v>0.99886149999999996</v>
      </c>
      <c r="AB6506">
        <v>32</v>
      </c>
      <c r="AC6506">
        <v>-0.601799999999997</v>
      </c>
      <c r="AD6506">
        <v>-1.1081749972438999</v>
      </c>
      <c r="AE6506">
        <v>25.255063</v>
      </c>
      <c r="AF6506">
        <v>-0.51375963446998496</v>
      </c>
      <c r="AG6506">
        <v>-1.1081749972438999</v>
      </c>
      <c r="AH6506">
        <v>25.2084785150765</v>
      </c>
      <c r="AI6506">
        <v>92.516603284187795</v>
      </c>
      <c r="AJ6506">
        <v>91.167550995591299</v>
      </c>
      <c r="AK6506">
        <v>25.238054398697201</v>
      </c>
      <c r="AL6506">
        <v>82.980161608090498</v>
      </c>
      <c r="AM6506">
        <v>87.8580103049119</v>
      </c>
      <c r="AN6506">
        <v>0.99999999598602596</v>
      </c>
    </row>
    <row r="6507" spans="1:40" x14ac:dyDescent="0.25">
      <c r="A6507" t="str">
        <f>"20190312164631146"</f>
        <v>20190312164631146</v>
      </c>
      <c r="B6507" t="str">
        <f>"1552380391138096"</f>
        <v>1552380391138096</v>
      </c>
      <c r="C6507" t="s">
        <v>40</v>
      </c>
      <c r="D6507">
        <v>4.5311059999999896</v>
      </c>
      <c r="E6507">
        <v>0.48227150000000002</v>
      </c>
      <c r="F6507" t="s">
        <v>42</v>
      </c>
      <c r="G6507">
        <v>-187.9699</v>
      </c>
      <c r="H6507" s="1">
        <v>-6.9737259999999895E-7</v>
      </c>
      <c r="I6507">
        <v>20.11007</v>
      </c>
      <c r="J6507">
        <v>-187.43860000000001</v>
      </c>
      <c r="K6507">
        <v>1.10822</v>
      </c>
      <c r="L6507">
        <v>-3.8779599999999999</v>
      </c>
      <c r="M6507">
        <v>-3.3670509999999998E-3</v>
      </c>
      <c r="N6507">
        <v>0</v>
      </c>
      <c r="O6507">
        <v>0.99995210000000001</v>
      </c>
      <c r="P6507">
        <v>3.3809029999999997E-2</v>
      </c>
      <c r="Q6507">
        <v>0.11301849999999999</v>
      </c>
      <c r="R6507">
        <v>0.9930175</v>
      </c>
      <c r="S6507">
        <v>-6.6528320000000002E-2</v>
      </c>
      <c r="T6507">
        <v>-0.13848849999999999</v>
      </c>
      <c r="U6507">
        <v>3.039215</v>
      </c>
      <c r="V6507">
        <v>3.7182359999999998E-2</v>
      </c>
      <c r="W6507">
        <v>0.1221264</v>
      </c>
      <c r="X6507">
        <v>0.99181779999999997</v>
      </c>
      <c r="Y6507">
        <v>-1.8495540000000001E-2</v>
      </c>
      <c r="Z6507">
        <v>-4.5510250000000002E-2</v>
      </c>
      <c r="AA6507">
        <v>0.99879260000000003</v>
      </c>
      <c r="AB6507">
        <v>32</v>
      </c>
      <c r="AC6507">
        <v>-0.531299999999987</v>
      </c>
      <c r="AD6507">
        <v>-1.1082206973726001</v>
      </c>
      <c r="AE6507">
        <v>23.988029999999998</v>
      </c>
      <c r="AF6507">
        <v>-0.44956560173249199</v>
      </c>
      <c r="AG6507">
        <v>-1.1082206973726001</v>
      </c>
      <c r="AH6507">
        <v>23.9386149399554</v>
      </c>
      <c r="AI6507">
        <v>92.650107198774805</v>
      </c>
      <c r="AJ6507">
        <v>91.075884470035902</v>
      </c>
      <c r="AK6507">
        <v>23.9684698632975</v>
      </c>
      <c r="AL6507">
        <v>82.985160666148502</v>
      </c>
      <c r="AM6507">
        <v>87.853038027772001</v>
      </c>
      <c r="AN6507">
        <v>0.99999996693448401</v>
      </c>
    </row>
    <row r="6508" spans="1:40" x14ac:dyDescent="0.25">
      <c r="A6508" t="str">
        <f>"20190312164631169"</f>
        <v>20190312164631169</v>
      </c>
      <c r="B6508" t="str">
        <f>"1552380391157616"</f>
        <v>1552380391157616</v>
      </c>
      <c r="C6508" t="s">
        <v>40</v>
      </c>
      <c r="D6508">
        <v>4.562907</v>
      </c>
      <c r="E6508">
        <v>0.4824407</v>
      </c>
      <c r="F6508" t="s">
        <v>42</v>
      </c>
      <c r="G6508">
        <v>-187.94540000000001</v>
      </c>
      <c r="H6508" s="1">
        <v>-5.6167049999999999E-7</v>
      </c>
      <c r="I6508">
        <v>19.692139999999998</v>
      </c>
      <c r="J6508">
        <v>-187.43960000000001</v>
      </c>
      <c r="K6508">
        <v>1.1082590000000001</v>
      </c>
      <c r="L6508">
        <v>-3.5713499999999998</v>
      </c>
      <c r="M6508">
        <v>-3.3228680000000001E-3</v>
      </c>
      <c r="N6508">
        <v>0</v>
      </c>
      <c r="O6508">
        <v>0.99995109999999998</v>
      </c>
      <c r="P6508">
        <v>3.4160839999999998E-2</v>
      </c>
      <c r="Q6508">
        <v>0.1127348</v>
      </c>
      <c r="R6508">
        <v>0.99303770000000002</v>
      </c>
      <c r="S6508">
        <v>-6.5353389999999997E-2</v>
      </c>
      <c r="T6508">
        <v>-0.14291519999999999</v>
      </c>
      <c r="U6508">
        <v>3.0395810000000001</v>
      </c>
      <c r="V6508">
        <v>3.7483490000000001E-2</v>
      </c>
      <c r="W6508">
        <v>0.121975</v>
      </c>
      <c r="X6508">
        <v>0.99182510000000002</v>
      </c>
      <c r="Y6508">
        <v>-1.8149749999999999E-2</v>
      </c>
      <c r="Z6508">
        <v>-4.6956520000000002E-2</v>
      </c>
      <c r="AA6508">
        <v>0.99873199999999995</v>
      </c>
      <c r="AB6508">
        <v>32</v>
      </c>
      <c r="AC6508">
        <v>-0.50579999999999303</v>
      </c>
      <c r="AD6508">
        <v>-1.1082595616705</v>
      </c>
      <c r="AE6508">
        <v>23.263490000000001</v>
      </c>
      <c r="AF6508">
        <v>-0.42752253671031698</v>
      </c>
      <c r="AG6508">
        <v>-1.1082595616705</v>
      </c>
      <c r="AH6508">
        <v>23.2123863476648</v>
      </c>
      <c r="AI6508">
        <v>92.733009392117694</v>
      </c>
      <c r="AJ6508">
        <v>91.055146483349006</v>
      </c>
      <c r="AK6508">
        <v>23.242760049716299</v>
      </c>
      <c r="AL6508">
        <v>82.993900615637102</v>
      </c>
      <c r="AM6508">
        <v>87.835682740678706</v>
      </c>
      <c r="AN6508">
        <v>0.99999997081879399</v>
      </c>
    </row>
    <row r="6509" spans="1:40" x14ac:dyDescent="0.25">
      <c r="A6509" t="str">
        <f>"20190312164631191"</f>
        <v>20190312164631191</v>
      </c>
      <c r="B6509" t="str">
        <f>"1552380391187873"</f>
        <v>1552380391187873</v>
      </c>
      <c r="C6509" t="s">
        <v>40</v>
      </c>
      <c r="D6509">
        <v>4.4960100000000001</v>
      </c>
      <c r="E6509">
        <v>0.482852</v>
      </c>
      <c r="F6509" t="s">
        <v>42</v>
      </c>
      <c r="G6509">
        <v>-187.91059999999999</v>
      </c>
      <c r="H6509" s="1">
        <v>-4.4305040000000003E-6</v>
      </c>
      <c r="I6509">
        <v>19.09647</v>
      </c>
      <c r="J6509">
        <v>-187.44069999999999</v>
      </c>
      <c r="K6509">
        <v>1.1082909999999999</v>
      </c>
      <c r="L6509">
        <v>-3.2473450000000001</v>
      </c>
      <c r="M6509">
        <v>-3.3006289999999998E-3</v>
      </c>
      <c r="N6509">
        <v>0</v>
      </c>
      <c r="O6509">
        <v>0.99994989999999995</v>
      </c>
      <c r="P6509">
        <v>3.4664630000000002E-2</v>
      </c>
      <c r="Q6509">
        <v>0.11293209999999999</v>
      </c>
      <c r="R6509">
        <v>0.99299780000000004</v>
      </c>
      <c r="S6509">
        <v>-6.3171389999999994E-2</v>
      </c>
      <c r="T6509">
        <v>-0.1486335</v>
      </c>
      <c r="U6509">
        <v>3.0400700000000001</v>
      </c>
      <c r="V6509">
        <v>3.7959229999999997E-2</v>
      </c>
      <c r="W6509">
        <v>0.12230249999999999</v>
      </c>
      <c r="X6509">
        <v>0.9917667</v>
      </c>
      <c r="Y6509">
        <v>-1.7450150000000001E-2</v>
      </c>
      <c r="Z6509">
        <v>-4.8823770000000002E-2</v>
      </c>
      <c r="AA6509">
        <v>0.99865499999999996</v>
      </c>
      <c r="AB6509">
        <v>32</v>
      </c>
      <c r="AC6509">
        <v>-0.46989999999999499</v>
      </c>
      <c r="AD6509">
        <v>-1.10829543050399</v>
      </c>
      <c r="AE6509">
        <v>22.343814999999999</v>
      </c>
      <c r="AF6509">
        <v>-0.39517366852201002</v>
      </c>
      <c r="AG6509">
        <v>-1.10829543050399</v>
      </c>
      <c r="AH6509">
        <v>22.290426367696401</v>
      </c>
      <c r="AI6509">
        <v>92.8459952871236</v>
      </c>
      <c r="AJ6509">
        <v>91.015656290223205</v>
      </c>
      <c r="AK6509">
        <v>22.321460271300801</v>
      </c>
      <c r="AL6509">
        <v>82.974994876634995</v>
      </c>
      <c r="AM6509">
        <v>87.808110939184402</v>
      </c>
      <c r="AN6509">
        <v>0.99999999593866595</v>
      </c>
    </row>
    <row r="6510" spans="1:40" x14ac:dyDescent="0.25">
      <c r="A6510" t="str">
        <f>"20190312164631213"</f>
        <v>20190312164631213</v>
      </c>
      <c r="B6510" t="str">
        <f>"1552380391207391"</f>
        <v>1552380391207391</v>
      </c>
      <c r="C6510" t="s">
        <v>40</v>
      </c>
      <c r="D6510">
        <v>4.4951559999999997</v>
      </c>
      <c r="E6510">
        <v>0.48298170000000001</v>
      </c>
      <c r="F6510" t="s">
        <v>42</v>
      </c>
      <c r="G6510">
        <v>-187.86340000000001</v>
      </c>
      <c r="H6510" s="1">
        <v>-4.2923469999999998E-6</v>
      </c>
      <c r="I6510">
        <v>18.754899999999999</v>
      </c>
      <c r="J6510">
        <v>-187.4417</v>
      </c>
      <c r="K6510">
        <v>1.1083080000000001</v>
      </c>
      <c r="L6510">
        <v>-2.9406129999999999</v>
      </c>
      <c r="M6510">
        <v>-3.2941630000000001E-3</v>
      </c>
      <c r="N6510">
        <v>0</v>
      </c>
      <c r="O6510">
        <v>0.99994890000000003</v>
      </c>
      <c r="P6510">
        <v>3.5064520000000002E-2</v>
      </c>
      <c r="Q6510">
        <v>0.1138774</v>
      </c>
      <c r="R6510">
        <v>0.99287579999999998</v>
      </c>
      <c r="S6510">
        <v>-5.8425900000000003E-2</v>
      </c>
      <c r="T6510">
        <v>-0.15316179999999999</v>
      </c>
      <c r="U6510">
        <v>3.040619</v>
      </c>
      <c r="V6510">
        <v>3.834825E-2</v>
      </c>
      <c r="W6510">
        <v>0.1233587</v>
      </c>
      <c r="X6510">
        <v>0.99162090000000003</v>
      </c>
      <c r="Y6510">
        <v>-1.5893460000000002E-2</v>
      </c>
      <c r="Z6510">
        <v>-5.0299910000000003E-2</v>
      </c>
      <c r="AA6510">
        <v>0.99860769999999999</v>
      </c>
      <c r="AB6510">
        <v>32</v>
      </c>
      <c r="AC6510">
        <v>-0.42170000000001501</v>
      </c>
      <c r="AD6510">
        <v>-1.1083122923469999</v>
      </c>
      <c r="AE6510">
        <v>21.695512999999998</v>
      </c>
      <c r="AF6510">
        <v>-0.34931464187698902</v>
      </c>
      <c r="AG6510">
        <v>-1.1083122923469999</v>
      </c>
      <c r="AH6510">
        <v>21.6403318379502</v>
      </c>
      <c r="AI6510">
        <v>92.931467658506904</v>
      </c>
      <c r="AJ6510">
        <v>90.924778641404501</v>
      </c>
      <c r="AK6510">
        <v>21.671509843871</v>
      </c>
      <c r="AL6510">
        <v>82.914017237320394</v>
      </c>
      <c r="AM6510">
        <v>87.785344657170896</v>
      </c>
      <c r="AN6510">
        <v>0.99999998323028105</v>
      </c>
    </row>
    <row r="6511" spans="1:40" x14ac:dyDescent="0.25">
      <c r="A6511" t="str">
        <f>"20190312164631234"</f>
        <v>20190312164631234</v>
      </c>
      <c r="B6511" t="str">
        <f>"1552380391227888"</f>
        <v>1552380391227888</v>
      </c>
      <c r="C6511" t="s">
        <v>40</v>
      </c>
      <c r="D6511">
        <v>4.4480209999999998</v>
      </c>
      <c r="E6511">
        <v>0.48323539999999998</v>
      </c>
      <c r="F6511" t="s">
        <v>42</v>
      </c>
      <c r="G6511">
        <v>-187.8501</v>
      </c>
      <c r="H6511" s="1">
        <v>-4.5022249999999999E-6</v>
      </c>
      <c r="I6511">
        <v>19.238610000000001</v>
      </c>
      <c r="J6511">
        <v>-187.4427</v>
      </c>
      <c r="K6511">
        <v>1.108331</v>
      </c>
      <c r="L6511">
        <v>-2.6197810000000001</v>
      </c>
      <c r="M6511">
        <v>-3.2970450000000002E-3</v>
      </c>
      <c r="N6511">
        <v>0</v>
      </c>
      <c r="O6511">
        <v>0.99994780000000005</v>
      </c>
      <c r="P6511">
        <v>3.5820200000000003E-2</v>
      </c>
      <c r="Q6511">
        <v>0.1150195</v>
      </c>
      <c r="R6511">
        <v>0.99271719999999997</v>
      </c>
      <c r="S6511">
        <v>-5.5999760000000003E-2</v>
      </c>
      <c r="T6511">
        <v>-0.15195729999999999</v>
      </c>
      <c r="U6511">
        <v>3.040924</v>
      </c>
      <c r="V6511">
        <v>3.9103520000000003E-2</v>
      </c>
      <c r="W6511">
        <v>0.1246041</v>
      </c>
      <c r="X6511">
        <v>0.99143570000000003</v>
      </c>
      <c r="Y6511">
        <v>-1.509257E-2</v>
      </c>
      <c r="Z6511">
        <v>-4.9901019999999997E-2</v>
      </c>
      <c r="AA6511">
        <v>0.99864010000000003</v>
      </c>
      <c r="AB6511">
        <v>32</v>
      </c>
      <c r="AC6511">
        <v>-0.40739999999999499</v>
      </c>
      <c r="AD6511">
        <v>-1.1083355022250001</v>
      </c>
      <c r="AE6511">
        <v>21.858391000000001</v>
      </c>
      <c r="AF6511">
        <v>-0.33446669309000998</v>
      </c>
      <c r="AG6511">
        <v>-1.1083355022250001</v>
      </c>
      <c r="AH6511">
        <v>21.803577410167701</v>
      </c>
      <c r="AI6511">
        <v>92.909654799550694</v>
      </c>
      <c r="AJ6511">
        <v>90.878847842074293</v>
      </c>
      <c r="AK6511">
        <v>21.834290999147498</v>
      </c>
      <c r="AL6511">
        <v>82.842106413054694</v>
      </c>
      <c r="AM6511">
        <v>87.741350271998797</v>
      </c>
      <c r="AN6511">
        <v>1.00000000712384</v>
      </c>
    </row>
    <row r="6512" spans="1:40" x14ac:dyDescent="0.25">
      <c r="A6512" t="str">
        <f>"20190312164631267"</f>
        <v>20190312164631267</v>
      </c>
      <c r="B6512" t="str">
        <f>"1552380391258144"</f>
        <v>1552380391258144</v>
      </c>
      <c r="C6512" t="s">
        <v>40</v>
      </c>
      <c r="D6512">
        <v>4.3986970000000003</v>
      </c>
      <c r="E6512">
        <v>0.48353119999999999</v>
      </c>
      <c r="F6512" t="s">
        <v>42</v>
      </c>
      <c r="G6512">
        <v>-187.8295</v>
      </c>
      <c r="H6512" s="1">
        <v>-7.8967919999999997E-7</v>
      </c>
      <c r="I6512">
        <v>20.27148</v>
      </c>
      <c r="J6512">
        <v>-187.4443</v>
      </c>
      <c r="K6512">
        <v>1.1083590000000001</v>
      </c>
      <c r="L6512">
        <v>-2.1445310000000002</v>
      </c>
      <c r="M6512">
        <v>-3.3079450000000001E-3</v>
      </c>
      <c r="N6512">
        <v>0</v>
      </c>
      <c r="O6512">
        <v>0.99994649999999996</v>
      </c>
      <c r="P6512">
        <v>3.555328E-2</v>
      </c>
      <c r="Q6512">
        <v>0.1150602</v>
      </c>
      <c r="R6512">
        <v>0.99272210000000005</v>
      </c>
      <c r="S6512">
        <v>-5.137634E-2</v>
      </c>
      <c r="T6512">
        <v>-0.14723310000000001</v>
      </c>
      <c r="U6512">
        <v>3.040924</v>
      </c>
      <c r="V6512">
        <v>3.8844919999999998E-2</v>
      </c>
      <c r="W6512">
        <v>0.124782</v>
      </c>
      <c r="X6512">
        <v>0.99142350000000001</v>
      </c>
      <c r="Y6512">
        <v>-1.356508E-2</v>
      </c>
      <c r="Z6512">
        <v>-4.835453E-2</v>
      </c>
      <c r="AA6512">
        <v>0.99873809999999996</v>
      </c>
      <c r="AB6512">
        <v>32</v>
      </c>
      <c r="AC6512">
        <v>-0.38519999999999699</v>
      </c>
      <c r="AD6512">
        <v>-1.1083597896791999</v>
      </c>
      <c r="AE6512">
        <v>22.416010999999902</v>
      </c>
      <c r="AF6512">
        <v>-0.310285035655332</v>
      </c>
      <c r="AG6512">
        <v>-1.1083597896791999</v>
      </c>
      <c r="AH6512">
        <v>22.362506717215702</v>
      </c>
      <c r="AI6512">
        <v>92.837173774071999</v>
      </c>
      <c r="AJ6512">
        <v>90.794941392660903</v>
      </c>
      <c r="AK6512">
        <v>22.3921067544848</v>
      </c>
      <c r="AL6512">
        <v>82.831833379000898</v>
      </c>
      <c r="AM6512">
        <v>87.756244310083403</v>
      </c>
      <c r="AN6512">
        <v>1.00000001584302</v>
      </c>
    </row>
    <row r="6513" spans="1:40" x14ac:dyDescent="0.25">
      <c r="A6513" t="str">
        <f>"20190312164631290"</f>
        <v>20190312164631290</v>
      </c>
      <c r="B6513" t="str">
        <f>"1552380391287424"</f>
        <v>1552380391287424</v>
      </c>
      <c r="C6513" t="s">
        <v>40</v>
      </c>
      <c r="D6513">
        <v>4.4661549999999997</v>
      </c>
      <c r="E6513">
        <v>0.48384319999999997</v>
      </c>
      <c r="F6513" t="s">
        <v>42</v>
      </c>
      <c r="G6513">
        <v>-187.8253</v>
      </c>
      <c r="H6513" s="1">
        <v>-1.050849E-6</v>
      </c>
      <c r="I6513">
        <v>21.035720000000001</v>
      </c>
      <c r="J6513">
        <v>-187.4453</v>
      </c>
      <c r="K6513">
        <v>1.1083590000000001</v>
      </c>
      <c r="L6513">
        <v>-1.8319700000000001</v>
      </c>
      <c r="M6513">
        <v>-3.3147060000000002E-3</v>
      </c>
      <c r="N6513">
        <v>0</v>
      </c>
      <c r="O6513">
        <v>0.99994570000000005</v>
      </c>
      <c r="P6513">
        <v>3.504376E-2</v>
      </c>
      <c r="Q6513">
        <v>0.1154203</v>
      </c>
      <c r="R6513">
        <v>0.99269839999999998</v>
      </c>
      <c r="S6513">
        <v>-4.9987789999999997E-2</v>
      </c>
      <c r="T6513">
        <v>-0.14538809999999999</v>
      </c>
      <c r="U6513">
        <v>3.0406490000000002</v>
      </c>
      <c r="V6513">
        <v>3.834108E-2</v>
      </c>
      <c r="W6513">
        <v>0.12521869999999999</v>
      </c>
      <c r="X6513">
        <v>0.99138800000000005</v>
      </c>
      <c r="Y6513">
        <v>-1.3104360000000001E-2</v>
      </c>
      <c r="Z6513">
        <v>-4.7754600000000001E-2</v>
      </c>
      <c r="AA6513">
        <v>0.99877320000000003</v>
      </c>
      <c r="AB6513">
        <v>32</v>
      </c>
      <c r="AC6513">
        <v>-0.37999999999999501</v>
      </c>
      <c r="AD6513">
        <v>-1.1083600508489999</v>
      </c>
      <c r="AE6513">
        <v>22.86769</v>
      </c>
      <c r="AF6513">
        <v>-0.30348180533860503</v>
      </c>
      <c r="AG6513">
        <v>-1.1083600508489999</v>
      </c>
      <c r="AH6513">
        <v>22.8152415933634</v>
      </c>
      <c r="AI6513">
        <v>92.780985799564505</v>
      </c>
      <c r="AJ6513">
        <v>90.7620870947447</v>
      </c>
      <c r="AK6513">
        <v>22.844163634767401</v>
      </c>
      <c r="AL6513">
        <v>82.8066141374252</v>
      </c>
      <c r="AM6513">
        <v>87.785238661984806</v>
      </c>
      <c r="AN6513">
        <v>0.99999996389462698</v>
      </c>
    </row>
    <row r="6514" spans="1:40" x14ac:dyDescent="0.25">
      <c r="A6514" t="str">
        <f>"20190312164631312"</f>
        <v>20190312164631312</v>
      </c>
      <c r="B6514" t="str">
        <f>"1552380391307920"</f>
        <v>1552380391307920</v>
      </c>
      <c r="C6514" t="s">
        <v>40</v>
      </c>
      <c r="D6514">
        <v>4.3671759999999997</v>
      </c>
      <c r="E6514">
        <v>0.4838481</v>
      </c>
      <c r="F6514" t="s">
        <v>42</v>
      </c>
      <c r="G6514">
        <v>-187.82380000000001</v>
      </c>
      <c r="H6514" s="1">
        <v>-1.2445830000000001E-6</v>
      </c>
      <c r="I6514">
        <v>21.60378</v>
      </c>
      <c r="J6514">
        <v>-187.44640000000001</v>
      </c>
      <c r="K6514">
        <v>1.108365</v>
      </c>
      <c r="L6514">
        <v>-1.500183</v>
      </c>
      <c r="M6514">
        <v>-3.3194399999999999E-3</v>
      </c>
      <c r="N6514">
        <v>0</v>
      </c>
      <c r="O6514">
        <v>0.99994499999999997</v>
      </c>
      <c r="P6514">
        <v>3.5000900000000001E-2</v>
      </c>
      <c r="Q6514">
        <v>0.1153288</v>
      </c>
      <c r="R6514">
        <v>0.99271050000000005</v>
      </c>
      <c r="S6514">
        <v>-4.9102779999999999E-2</v>
      </c>
      <c r="T6514">
        <v>-0.14379739999999999</v>
      </c>
      <c r="U6514">
        <v>3.040527</v>
      </c>
      <c r="V6514">
        <v>3.8302139999999998E-2</v>
      </c>
      <c r="W6514">
        <v>0.1251988</v>
      </c>
      <c r="X6514">
        <v>0.9913921</v>
      </c>
      <c r="Y6514">
        <v>-1.281004E-2</v>
      </c>
      <c r="Z6514">
        <v>-4.7235369999999999E-2</v>
      </c>
      <c r="AA6514">
        <v>0.99880159999999996</v>
      </c>
      <c r="AB6514">
        <v>32</v>
      </c>
      <c r="AC6514">
        <v>-0.37739999999999402</v>
      </c>
      <c r="AD6514">
        <v>-1.108366244583</v>
      </c>
      <c r="AE6514">
        <v>23.103963</v>
      </c>
      <c r="AF6514">
        <v>-0.30001164089565802</v>
      </c>
      <c r="AG6514">
        <v>-1.108366244583</v>
      </c>
      <c r="AH6514">
        <v>23.052050496380499</v>
      </c>
      <c r="AI6514">
        <v>92.7524872144092</v>
      </c>
      <c r="AJ6514">
        <v>90.745635639967205</v>
      </c>
      <c r="AK6514">
        <v>23.0806307280473</v>
      </c>
      <c r="AL6514">
        <v>82.807763951653598</v>
      </c>
      <c r="AM6514">
        <v>87.787494924157301</v>
      </c>
      <c r="AN6514">
        <v>1.0000000446962101</v>
      </c>
    </row>
    <row r="6515" spans="1:40" x14ac:dyDescent="0.25">
      <c r="A6515" t="str">
        <f>"20190312164631338"</f>
        <v>20190312164631338</v>
      </c>
      <c r="B6515" t="str">
        <f>"1552380391327440"</f>
        <v>1552380391327440</v>
      </c>
      <c r="C6515" t="s">
        <v>40</v>
      </c>
      <c r="D6515">
        <v>4.3527950000000004</v>
      </c>
      <c r="E6515">
        <v>0.48393350000000002</v>
      </c>
      <c r="F6515" t="s">
        <v>42</v>
      </c>
      <c r="G6515">
        <v>-187.82239999999999</v>
      </c>
      <c r="H6515" s="1">
        <v>-1.2650899999999999E-6</v>
      </c>
      <c r="I6515">
        <v>21.66301</v>
      </c>
      <c r="J6515">
        <v>-187.44759999999999</v>
      </c>
      <c r="K6515">
        <v>1.108371</v>
      </c>
      <c r="L6515">
        <v>-1.14212</v>
      </c>
      <c r="M6515">
        <v>-3.3220459999999999E-3</v>
      </c>
      <c r="N6515">
        <v>0</v>
      </c>
      <c r="O6515">
        <v>0.99994430000000001</v>
      </c>
      <c r="P6515">
        <v>3.4307850000000001E-2</v>
      </c>
      <c r="Q6515">
        <v>0.1155593</v>
      </c>
      <c r="R6515">
        <v>0.99270789999999998</v>
      </c>
      <c r="S6515">
        <v>-4.9362179999999999E-2</v>
      </c>
      <c r="T6515">
        <v>-0.1454976</v>
      </c>
      <c r="U6515">
        <v>3.04068</v>
      </c>
      <c r="V6515">
        <v>3.761105E-2</v>
      </c>
      <c r="W6515">
        <v>0.12549730000000001</v>
      </c>
      <c r="X6515">
        <v>0.99138079999999995</v>
      </c>
      <c r="Y6515">
        <v>-1.2891379999999999E-2</v>
      </c>
      <c r="Z6515">
        <v>-4.779013E-2</v>
      </c>
      <c r="AA6515">
        <v>0.99877419999999995</v>
      </c>
      <c r="AB6515">
        <v>32</v>
      </c>
      <c r="AC6515">
        <v>-0.37479999999999303</v>
      </c>
      <c r="AD6515">
        <v>-1.1083722650900001</v>
      </c>
      <c r="AE6515">
        <v>22.805129999999998</v>
      </c>
      <c r="AF6515">
        <v>-0.29832993112190997</v>
      </c>
      <c r="AG6515">
        <v>-1.1083722650900001</v>
      </c>
      <c r="AH6515">
        <v>22.752519121628001</v>
      </c>
      <c r="AI6515">
        <v>92.788677791120193</v>
      </c>
      <c r="AJ6515">
        <v>90.751216443384706</v>
      </c>
      <c r="AK6515">
        <v>22.781453338315998</v>
      </c>
      <c r="AL6515">
        <v>82.790525068916196</v>
      </c>
      <c r="AM6515">
        <v>87.827352064880401</v>
      </c>
      <c r="AN6515">
        <v>1.0000000269990099</v>
      </c>
    </row>
    <row r="6516" spans="1:40" x14ac:dyDescent="0.25">
      <c r="A6516" t="str">
        <f>"20190312164631359"</f>
        <v>20190312164631359</v>
      </c>
      <c r="B6516" t="str">
        <f>"1552380391347936"</f>
        <v>1552380391347936</v>
      </c>
      <c r="C6516" t="s">
        <v>40</v>
      </c>
      <c r="D6516">
        <v>4.3317920000000001</v>
      </c>
      <c r="E6516">
        <v>0.4840354</v>
      </c>
      <c r="F6516" t="s">
        <v>42</v>
      </c>
      <c r="G6516">
        <v>-187.83330000000001</v>
      </c>
      <c r="H6516" s="1">
        <v>-1.3025640000000001E-6</v>
      </c>
      <c r="I6516">
        <v>21.773160000000001</v>
      </c>
      <c r="J6516">
        <v>-187.4486</v>
      </c>
      <c r="K6516">
        <v>1.1083769999999999</v>
      </c>
      <c r="L6516">
        <v>-0.83770750000000005</v>
      </c>
      <c r="M6516">
        <v>-3.3229430000000001E-3</v>
      </c>
      <c r="N6516">
        <v>0</v>
      </c>
      <c r="O6516">
        <v>0.99994380000000005</v>
      </c>
      <c r="P6516">
        <v>3.4302829999999999E-2</v>
      </c>
      <c r="Q6516">
        <v>0.11624809999999999</v>
      </c>
      <c r="R6516">
        <v>0.9926277</v>
      </c>
      <c r="S6516">
        <v>-5.1177979999999998E-2</v>
      </c>
      <c r="T6516">
        <v>-0.1470842</v>
      </c>
      <c r="U6516">
        <v>3.040924</v>
      </c>
      <c r="V6516">
        <v>3.760633E-2</v>
      </c>
      <c r="W6516">
        <v>0.12623570000000001</v>
      </c>
      <c r="X6516">
        <v>0.99128720000000003</v>
      </c>
      <c r="Y6516">
        <v>-1.3484980000000001E-2</v>
      </c>
      <c r="Z6516">
        <v>-4.830578E-2</v>
      </c>
      <c r="AA6516">
        <v>0.99874160000000001</v>
      </c>
      <c r="AB6516">
        <v>32</v>
      </c>
      <c r="AC6516">
        <v>-0.38470000000000898</v>
      </c>
      <c r="AD6516">
        <v>-1.1083783025639999</v>
      </c>
      <c r="AE6516">
        <v>22.610867499999902</v>
      </c>
      <c r="AF6516">
        <v>-0.30881759096141898</v>
      </c>
      <c r="AG6516">
        <v>-1.1083783025639999</v>
      </c>
      <c r="AH6516">
        <v>22.5578317919767</v>
      </c>
      <c r="AI6516">
        <v>92.812700778634394</v>
      </c>
      <c r="AJ6516">
        <v>90.784332444092001</v>
      </c>
      <c r="AK6516">
        <v>22.5871566586234</v>
      </c>
      <c r="AL6516">
        <v>82.747878513390404</v>
      </c>
      <c r="AM6516">
        <v>87.827419535179999</v>
      </c>
      <c r="AN6516">
        <v>1.0000000004471901</v>
      </c>
    </row>
    <row r="6517" spans="1:40" x14ac:dyDescent="0.25">
      <c r="A6517" t="str">
        <f>"20190312164631380"</f>
        <v>20190312164631380</v>
      </c>
      <c r="B6517" t="str">
        <f>"1552380391378192"</f>
        <v>1552380391378192</v>
      </c>
      <c r="C6517" t="s">
        <v>40</v>
      </c>
      <c r="D6517">
        <v>4.3115420000000002</v>
      </c>
      <c r="E6517">
        <v>0.48420629999999998</v>
      </c>
      <c r="F6517" t="s">
        <v>42</v>
      </c>
      <c r="G6517">
        <v>-187.83019999999999</v>
      </c>
      <c r="H6517" s="1">
        <v>-1.406829E-6</v>
      </c>
      <c r="I6517">
        <v>22.01493</v>
      </c>
      <c r="J6517">
        <v>-187.4496</v>
      </c>
      <c r="K6517">
        <v>1.108379</v>
      </c>
      <c r="L6517">
        <v>-0.52874759999999998</v>
      </c>
      <c r="M6517">
        <v>-3.3232539999999999E-3</v>
      </c>
      <c r="N6517">
        <v>0</v>
      </c>
      <c r="O6517">
        <v>0.99994329999999998</v>
      </c>
      <c r="P6517">
        <v>3.4307490000000003E-2</v>
      </c>
      <c r="Q6517">
        <v>0.1163222</v>
      </c>
      <c r="R6517">
        <v>0.99261889999999997</v>
      </c>
      <c r="S6517">
        <v>-5.078125E-2</v>
      </c>
      <c r="T6517">
        <v>-0.14750739999999901</v>
      </c>
      <c r="U6517">
        <v>3.0413209999999999</v>
      </c>
      <c r="V6517">
        <v>3.7611060000000002E-2</v>
      </c>
      <c r="W6517">
        <v>0.12635389999999999</v>
      </c>
      <c r="X6517">
        <v>0.99127200000000004</v>
      </c>
      <c r="Y6517">
        <v>-1.335213E-2</v>
      </c>
      <c r="Z6517">
        <v>-4.843824E-2</v>
      </c>
      <c r="AA6517">
        <v>0.99873690000000004</v>
      </c>
      <c r="AB6517">
        <v>32</v>
      </c>
      <c r="AC6517">
        <v>-0.38059999999998601</v>
      </c>
      <c r="AD6517">
        <v>-1.108380406829</v>
      </c>
      <c r="AE6517">
        <v>22.543677599999999</v>
      </c>
      <c r="AF6517">
        <v>-0.30493878259712998</v>
      </c>
      <c r="AG6517">
        <v>-1.108380406829</v>
      </c>
      <c r="AH6517">
        <v>22.490467580530201</v>
      </c>
      <c r="AI6517">
        <v>92.821122276926204</v>
      </c>
      <c r="AJ6517">
        <v>90.776801757048005</v>
      </c>
      <c r="AK6517">
        <v>22.5198274144864</v>
      </c>
      <c r="AL6517">
        <v>82.741051767427606</v>
      </c>
      <c r="AM6517">
        <v>87.827113250854396</v>
      </c>
      <c r="AN6517">
        <v>1.00000003893176</v>
      </c>
    </row>
    <row r="6518" spans="1:40" x14ac:dyDescent="0.25">
      <c r="A6518" t="str">
        <f>"20190312164631401"</f>
        <v>20190312164631401</v>
      </c>
      <c r="B6518" t="str">
        <f>"1552380391397712"</f>
        <v>1552380391397712</v>
      </c>
      <c r="C6518" t="s">
        <v>40</v>
      </c>
      <c r="D6518">
        <v>4.3641639999999997</v>
      </c>
      <c r="E6518">
        <v>0.48426089999999999</v>
      </c>
      <c r="F6518" t="s">
        <v>42</v>
      </c>
      <c r="G6518">
        <v>-187.82220000000001</v>
      </c>
      <c r="H6518" s="1">
        <v>-1.5301939999999901E-6</v>
      </c>
      <c r="I6518">
        <v>22.299189999999999</v>
      </c>
      <c r="J6518">
        <v>-187.45060000000001</v>
      </c>
      <c r="K6518">
        <v>1.108384</v>
      </c>
      <c r="L6518">
        <v>-0.22491459999999999</v>
      </c>
      <c r="M6518">
        <v>-3.3280250000000001E-3</v>
      </c>
      <c r="N6518">
        <v>0</v>
      </c>
      <c r="O6518">
        <v>0.99994289999999997</v>
      </c>
      <c r="P6518">
        <v>3.4292690000000001E-2</v>
      </c>
      <c r="Q6518">
        <v>0.1162907</v>
      </c>
      <c r="R6518">
        <v>0.99262300000000003</v>
      </c>
      <c r="S6518">
        <v>-4.9636840000000002E-2</v>
      </c>
      <c r="T6518">
        <v>-0.147667299999999</v>
      </c>
      <c r="U6518">
        <v>3.0413209999999999</v>
      </c>
      <c r="V6518">
        <v>3.760028E-2</v>
      </c>
      <c r="W6518">
        <v>0.1263648</v>
      </c>
      <c r="X6518">
        <v>0.99127100000000001</v>
      </c>
      <c r="Y6518">
        <v>-1.29716E-2</v>
      </c>
      <c r="Z6518">
        <v>-4.849088E-2</v>
      </c>
      <c r="AA6518">
        <v>0.99873940000000005</v>
      </c>
      <c r="AB6518">
        <v>32</v>
      </c>
      <c r="AC6518">
        <v>-0.37159999999999999</v>
      </c>
      <c r="AD6518">
        <v>-1.108385530194</v>
      </c>
      <c r="AE6518">
        <v>22.524104600000001</v>
      </c>
      <c r="AF6518">
        <v>-0.29591692198924202</v>
      </c>
      <c r="AG6518">
        <v>-1.108385530194</v>
      </c>
      <c r="AH6518">
        <v>22.470818059786499</v>
      </c>
      <c r="AI6518">
        <v>92.823612912752694</v>
      </c>
      <c r="AJ6518">
        <v>90.754481241734197</v>
      </c>
      <c r="AK6518">
        <v>22.500083323941102</v>
      </c>
      <c r="AL6518">
        <v>82.7404220559728</v>
      </c>
      <c r="AM6518">
        <v>87.827733252907905</v>
      </c>
      <c r="AN6518">
        <v>1.0000000195880501</v>
      </c>
    </row>
    <row r="6519" spans="1:40" x14ac:dyDescent="0.25">
      <c r="A6519" t="str">
        <f>"20190312164631425"</f>
        <v>20190312164631425</v>
      </c>
      <c r="B6519" t="str">
        <f>"1552380391418208"</f>
        <v>1552380391418208</v>
      </c>
      <c r="C6519" t="s">
        <v>40</v>
      </c>
      <c r="D6519">
        <v>4.4338559999999996</v>
      </c>
      <c r="E6519">
        <v>0.48431580000000002</v>
      </c>
      <c r="F6519" t="s">
        <v>42</v>
      </c>
      <c r="G6519">
        <v>-187.81739999999999</v>
      </c>
      <c r="H6519" s="1">
        <v>-1.525377E-6</v>
      </c>
      <c r="I6519">
        <v>22.286010000000001</v>
      </c>
      <c r="J6519">
        <v>-187.45179999999999</v>
      </c>
      <c r="K6519">
        <v>1.108393</v>
      </c>
      <c r="L6519">
        <v>0.11517330000000001</v>
      </c>
      <c r="M6519">
        <v>-3.3516919999999999E-3</v>
      </c>
      <c r="N6519">
        <v>0</v>
      </c>
      <c r="O6519">
        <v>0.99994229999999995</v>
      </c>
      <c r="P6519">
        <v>3.453879E-2</v>
      </c>
      <c r="Q6519">
        <v>0.1157711</v>
      </c>
      <c r="R6519">
        <v>0.99267519999999998</v>
      </c>
      <c r="S6519">
        <v>-4.9560550000000002E-2</v>
      </c>
      <c r="T6519">
        <v>-0.14975949999999999</v>
      </c>
      <c r="U6519">
        <v>3.0415649999999999</v>
      </c>
      <c r="V6519">
        <v>3.7867039999999998E-2</v>
      </c>
      <c r="W6519">
        <v>0.1258928</v>
      </c>
      <c r="X6519">
        <v>0.99132089999999995</v>
      </c>
      <c r="Y6519">
        <v>-1.292104E-2</v>
      </c>
      <c r="Z6519">
        <v>-4.917237E-2</v>
      </c>
      <c r="AA6519">
        <v>0.99870669999999995</v>
      </c>
      <c r="AB6519">
        <v>32</v>
      </c>
      <c r="AC6519">
        <v>-0.36559999999999998</v>
      </c>
      <c r="AD6519">
        <v>-1.108394525377</v>
      </c>
      <c r="AE6519">
        <v>22.170836699999999</v>
      </c>
      <c r="AF6519">
        <v>-0.29055825459575302</v>
      </c>
      <c r="AG6519">
        <v>-1.108394525377</v>
      </c>
      <c r="AH6519">
        <v>22.116675629293901</v>
      </c>
      <c r="AI6519">
        <v>92.868775401628</v>
      </c>
      <c r="AJ6519">
        <v>90.752681112613203</v>
      </c>
      <c r="AK6519">
        <v>22.146338374878201</v>
      </c>
      <c r="AL6519">
        <v>82.7676833665614</v>
      </c>
      <c r="AM6519">
        <v>87.812446762964896</v>
      </c>
      <c r="AN6519">
        <v>1.0000000182935</v>
      </c>
    </row>
    <row r="6520" spans="1:40" x14ac:dyDescent="0.25">
      <c r="A6520" t="str">
        <f>"20190312164631446"</f>
        <v>20190312164631446</v>
      </c>
      <c r="B6520" t="str">
        <f>"1552380391437728"</f>
        <v>1552380391437728</v>
      </c>
      <c r="C6520" t="s">
        <v>40</v>
      </c>
      <c r="D6520">
        <v>4.4949430000000001</v>
      </c>
      <c r="E6520">
        <v>0.48449310000000001</v>
      </c>
      <c r="F6520" t="s">
        <v>42</v>
      </c>
      <c r="G6520">
        <v>-187.80500000000001</v>
      </c>
      <c r="H6520" s="1">
        <v>-1.53284699999999E-6</v>
      </c>
      <c r="I6520">
        <v>22.298279999999998</v>
      </c>
      <c r="J6520">
        <v>-187.4529</v>
      </c>
      <c r="K6520">
        <v>1.108419</v>
      </c>
      <c r="L6520">
        <v>0.43185420000000002</v>
      </c>
      <c r="M6520">
        <v>-3.4046409999999999E-3</v>
      </c>
      <c r="N6520">
        <v>0</v>
      </c>
      <c r="O6520">
        <v>0.99994170000000004</v>
      </c>
      <c r="P6520">
        <v>3.4242349999999998E-2</v>
      </c>
      <c r="Q6520">
        <v>0.11562119999999999</v>
      </c>
      <c r="R6520">
        <v>0.992703</v>
      </c>
      <c r="S6520">
        <v>-4.8431399999999999E-2</v>
      </c>
      <c r="T6520">
        <v>-0.15197239999999901</v>
      </c>
      <c r="U6520">
        <v>3.041534</v>
      </c>
      <c r="V6520">
        <v>3.7617209999999998E-2</v>
      </c>
      <c r="W6520">
        <v>0.1257877</v>
      </c>
      <c r="X6520">
        <v>0.99134370000000005</v>
      </c>
      <c r="Y6520">
        <v>-1.2497009999999999E-2</v>
      </c>
      <c r="Z6520">
        <v>-4.9897919999999998E-2</v>
      </c>
      <c r="AA6520">
        <v>0.99867609999999996</v>
      </c>
      <c r="AB6520">
        <v>32</v>
      </c>
      <c r="AC6520">
        <v>-0.35210000000000702</v>
      </c>
      <c r="AD6520">
        <v>-1.108420532847</v>
      </c>
      <c r="AE6520">
        <v>21.866425799999998</v>
      </c>
      <c r="AF6520">
        <v>-0.27693531144473699</v>
      </c>
      <c r="AG6520">
        <v>-1.108420532847</v>
      </c>
      <c r="AH6520">
        <v>21.811467220551201</v>
      </c>
      <c r="AI6520">
        <v>92.9089344453146</v>
      </c>
      <c r="AJ6520">
        <v>90.727432585077693</v>
      </c>
      <c r="AK6520">
        <v>21.8413688114445</v>
      </c>
      <c r="AL6520">
        <v>82.773753024791304</v>
      </c>
      <c r="AM6520">
        <v>87.826915321689796</v>
      </c>
      <c r="AN6520">
        <v>0.99999996574458105</v>
      </c>
    </row>
    <row r="6521" spans="1:40" x14ac:dyDescent="0.25">
      <c r="A6521" t="str">
        <f>"20190312164631469"</f>
        <v>20190312164631469</v>
      </c>
      <c r="B6521" t="str">
        <f>"1552380391458225"</f>
        <v>1552380391458225</v>
      </c>
      <c r="C6521" t="s">
        <v>40</v>
      </c>
      <c r="D6521">
        <v>4.4755409999999998</v>
      </c>
      <c r="E6521">
        <v>0.48441450000000003</v>
      </c>
      <c r="F6521" t="s">
        <v>42</v>
      </c>
      <c r="G6521">
        <v>-187.79580000000001</v>
      </c>
      <c r="H6521" s="1">
        <v>-1.626232E-6</v>
      </c>
      <c r="I6521">
        <v>22.512170000000001</v>
      </c>
      <c r="J6521">
        <v>-187.45410000000001</v>
      </c>
      <c r="K6521">
        <v>1.1084560000000001</v>
      </c>
      <c r="L6521">
        <v>0.75659180000000004</v>
      </c>
      <c r="M6521">
        <v>-3.500656E-3</v>
      </c>
      <c r="N6521">
        <v>0</v>
      </c>
      <c r="O6521">
        <v>0.99994090000000002</v>
      </c>
      <c r="P6521">
        <v>3.4246369999999998E-2</v>
      </c>
      <c r="Q6521">
        <v>0.1159341</v>
      </c>
      <c r="R6521">
        <v>0.99266639999999995</v>
      </c>
      <c r="S6521">
        <v>-4.7241209999999999E-2</v>
      </c>
      <c r="T6521">
        <v>-0.15268039999999999</v>
      </c>
      <c r="U6521">
        <v>3.0414729999999999</v>
      </c>
      <c r="V6521">
        <v>3.7706690000000001E-2</v>
      </c>
      <c r="W6521">
        <v>0.1261458</v>
      </c>
      <c r="X6521">
        <v>0.99129480000000003</v>
      </c>
      <c r="Y6521">
        <v>-1.2010430000000001E-2</v>
      </c>
      <c r="Z6521">
        <v>-5.013107E-2</v>
      </c>
      <c r="AA6521">
        <v>0.99867039999999996</v>
      </c>
      <c r="AB6521">
        <v>32</v>
      </c>
      <c r="AC6521">
        <v>-0.341700000000003</v>
      </c>
      <c r="AD6521">
        <v>-1.1084576262319901</v>
      </c>
      <c r="AE6521">
        <v>21.755578199999999</v>
      </c>
      <c r="AF6521">
        <v>-0.26484771337099799</v>
      </c>
      <c r="AG6521">
        <v>-1.1084576262319901</v>
      </c>
      <c r="AH6521">
        <v>21.700321983690401</v>
      </c>
      <c r="AI6521">
        <v>92.9239232630717</v>
      </c>
      <c r="AJ6521">
        <v>90.699247818208207</v>
      </c>
      <c r="AK6521">
        <v>21.730227721224299</v>
      </c>
      <c r="AL6521">
        <v>82.7530706823092</v>
      </c>
      <c r="AM6521">
        <v>87.821643833649105</v>
      </c>
      <c r="AN6521">
        <v>0.99999996891771703</v>
      </c>
    </row>
    <row r="6522" spans="1:40" x14ac:dyDescent="0.25">
      <c r="A6522" t="str">
        <f>"20190312164631491"</f>
        <v>20190312164631491</v>
      </c>
      <c r="B6522" t="str">
        <f>"1552380391487504"</f>
        <v>1552380391487504</v>
      </c>
      <c r="C6522" t="s">
        <v>40</v>
      </c>
      <c r="D6522">
        <v>4.5156390000000002</v>
      </c>
      <c r="E6522">
        <v>0.47616570000000003</v>
      </c>
      <c r="F6522" t="s">
        <v>42</v>
      </c>
      <c r="G6522">
        <v>-187.80350000000001</v>
      </c>
      <c r="H6522" s="1">
        <v>-1.833986E-6</v>
      </c>
      <c r="I6522">
        <v>22.999600000000001</v>
      </c>
      <c r="J6522">
        <v>-187.4554</v>
      </c>
      <c r="K6522">
        <v>1.1085050000000001</v>
      </c>
      <c r="L6522">
        <v>1.0803830000000001</v>
      </c>
      <c r="M6522">
        <v>-3.6504049999999998E-3</v>
      </c>
      <c r="N6522">
        <v>0</v>
      </c>
      <c r="O6522">
        <v>0.99994000000000005</v>
      </c>
      <c r="P6522">
        <v>3.4492179999999997E-2</v>
      </c>
      <c r="Q6522">
        <v>0.1156877</v>
      </c>
      <c r="R6522">
        <v>0.99268659999999997</v>
      </c>
      <c r="S6522">
        <v>-4.7775270000000002E-2</v>
      </c>
      <c r="T6522">
        <v>-0.15157029999999999</v>
      </c>
      <c r="U6522">
        <v>3.0415040000000002</v>
      </c>
      <c r="V6522">
        <v>3.8089240000000003E-2</v>
      </c>
      <c r="W6522">
        <v>0.12594149999999901</v>
      </c>
      <c r="X6522">
        <v>0.99130620000000003</v>
      </c>
      <c r="Y6522">
        <v>-1.2036130000000001E-2</v>
      </c>
      <c r="Z6522">
        <v>-4.9766890000000001E-2</v>
      </c>
      <c r="AA6522">
        <v>0.99868829999999997</v>
      </c>
      <c r="AB6522">
        <v>32</v>
      </c>
      <c r="AC6522">
        <v>-0.34810000000001601</v>
      </c>
      <c r="AD6522">
        <v>-1.10850683398599</v>
      </c>
      <c r="AE6522">
        <v>21.919217</v>
      </c>
      <c r="AF6522">
        <v>-0.267395683788056</v>
      </c>
      <c r="AG6522">
        <v>-1.10850683398599</v>
      </c>
      <c r="AH6522">
        <v>21.864436099542299</v>
      </c>
      <c r="AI6522">
        <v>92.902141724640302</v>
      </c>
      <c r="AJ6522">
        <v>90.700675760636699</v>
      </c>
      <c r="AK6522">
        <v>21.894151132292698</v>
      </c>
      <c r="AL6522">
        <v>82.764870665075605</v>
      </c>
      <c r="AM6522">
        <v>87.799590403101305</v>
      </c>
      <c r="AN6522">
        <v>1.0000000168922301</v>
      </c>
    </row>
    <row r="6523" spans="1:40" x14ac:dyDescent="0.25">
      <c r="A6523" t="str">
        <f>"20190312164631513"</f>
        <v>20190312164631513</v>
      </c>
      <c r="B6523" t="str">
        <f>"1552380391508000"</f>
        <v>1552380391508000</v>
      </c>
      <c r="C6523" t="s">
        <v>40</v>
      </c>
      <c r="D6523">
        <v>4.4084599999999998</v>
      </c>
      <c r="E6523">
        <v>0.47501199999999999</v>
      </c>
      <c r="F6523" t="s">
        <v>42</v>
      </c>
      <c r="G6523">
        <v>-188.00919999999999</v>
      </c>
      <c r="H6523" s="1">
        <v>-2.8280779999999999E-6</v>
      </c>
      <c r="I6523">
        <v>15.401949999999999</v>
      </c>
      <c r="J6523">
        <v>-187.45670000000001</v>
      </c>
      <c r="K6523">
        <v>1.108541</v>
      </c>
      <c r="L6523">
        <v>1.405273</v>
      </c>
      <c r="M6523">
        <v>-3.84484E-3</v>
      </c>
      <c r="N6523">
        <v>0</v>
      </c>
      <c r="O6523">
        <v>0.99993889999999996</v>
      </c>
      <c r="P6523">
        <v>3.390224E-2</v>
      </c>
      <c r="Q6523">
        <v>0.11550539999999899</v>
      </c>
      <c r="R6523">
        <v>0.9927281</v>
      </c>
      <c r="S6523">
        <v>-0.118103</v>
      </c>
      <c r="T6523">
        <v>-0.23636360000000001</v>
      </c>
      <c r="U6523">
        <v>3.053741</v>
      </c>
      <c r="V6523">
        <v>3.7680829999999998E-2</v>
      </c>
      <c r="W6523">
        <v>0.1257982</v>
      </c>
      <c r="X6523">
        <v>0.99134</v>
      </c>
      <c r="Y6523">
        <v>-3.4688419999999998E-2</v>
      </c>
      <c r="Z6523">
        <v>-7.7117790000000006E-2</v>
      </c>
      <c r="AA6523">
        <v>0.99641840000000004</v>
      </c>
      <c r="AB6523">
        <v>32</v>
      </c>
      <c r="AC6523">
        <v>-0.55249999999998001</v>
      </c>
      <c r="AD6523">
        <v>-1.108543828078</v>
      </c>
      <c r="AE6523">
        <v>13.996676999999901</v>
      </c>
      <c r="AF6523">
        <v>-0.495574279567706</v>
      </c>
      <c r="AG6523">
        <v>-1.108543828078</v>
      </c>
      <c r="AH6523">
        <v>13.911570305344499</v>
      </c>
      <c r="AI6523">
        <v>94.553112936828498</v>
      </c>
      <c r="AJ6523">
        <v>92.040194764081605</v>
      </c>
      <c r="AK6523">
        <v>13.964463886805</v>
      </c>
      <c r="AL6523">
        <v>82.773146951383595</v>
      </c>
      <c r="AM6523">
        <v>87.823235514278593</v>
      </c>
      <c r="AN6523">
        <v>1.0000000138363601</v>
      </c>
    </row>
    <row r="6524" spans="1:40" x14ac:dyDescent="0.25">
      <c r="A6524" t="str">
        <f>"20190312164631538"</f>
        <v>20190312164631538</v>
      </c>
      <c r="B6524" t="str">
        <f>"1552380391527520"</f>
        <v>1552380391527520</v>
      </c>
      <c r="C6524" t="s">
        <v>40</v>
      </c>
      <c r="D6524">
        <v>4.6866960000000004</v>
      </c>
      <c r="E6524">
        <v>0.47465869999999999</v>
      </c>
      <c r="F6524" t="s">
        <v>42</v>
      </c>
      <c r="G6524">
        <v>-188.0583</v>
      </c>
      <c r="H6524" s="1">
        <v>-2.9387100000000002E-6</v>
      </c>
      <c r="I6524">
        <v>15.680129999999901</v>
      </c>
      <c r="J6524">
        <v>-187.45840000000001</v>
      </c>
      <c r="K6524">
        <v>1.1085830000000001</v>
      </c>
      <c r="L6524">
        <v>1.7584529999999901</v>
      </c>
      <c r="M6524">
        <v>-4.1062140000000004E-3</v>
      </c>
      <c r="N6524">
        <v>0</v>
      </c>
      <c r="O6524">
        <v>0.99993750000000003</v>
      </c>
      <c r="P6524">
        <v>3.3372609999999997E-2</v>
      </c>
      <c r="Q6524">
        <v>0.11511299999999999</v>
      </c>
      <c r="R6524">
        <v>0.99279170000000005</v>
      </c>
      <c r="S6524">
        <v>-0.12870789999999999</v>
      </c>
      <c r="T6524">
        <v>-0.23716129999999999</v>
      </c>
      <c r="U6524">
        <v>3.0539550000000002</v>
      </c>
      <c r="V6524">
        <v>3.7399719999999997E-2</v>
      </c>
      <c r="W6524">
        <v>0.12544340000000001</v>
      </c>
      <c r="X6524">
        <v>0.99139560000000004</v>
      </c>
      <c r="Y6524">
        <v>-3.7877939999999999E-2</v>
      </c>
      <c r="Z6524">
        <v>-7.7361109999999997E-2</v>
      </c>
      <c r="AA6524">
        <v>0.99628340000000004</v>
      </c>
      <c r="AB6524">
        <v>32</v>
      </c>
      <c r="AC6524">
        <v>-0.599899999999991</v>
      </c>
      <c r="AD6524">
        <v>-1.1085859387100001</v>
      </c>
      <c r="AE6524">
        <v>13.921677000000001</v>
      </c>
      <c r="AF6524">
        <v>-0.53931303691995403</v>
      </c>
      <c r="AG6524">
        <v>-1.1085859387100001</v>
      </c>
      <c r="AH6524">
        <v>13.8364491875847</v>
      </c>
      <c r="AI6524">
        <v>94.577331611568297</v>
      </c>
      <c r="AJ6524">
        <v>92.232128063067293</v>
      </c>
      <c r="AK6524">
        <v>13.8912615501945</v>
      </c>
      <c r="AL6524">
        <v>82.793637792758801</v>
      </c>
      <c r="AM6524">
        <v>87.839580419572599</v>
      </c>
      <c r="AN6524">
        <v>1.00000001067949</v>
      </c>
    </row>
    <row r="6525" spans="1:40" x14ac:dyDescent="0.25">
      <c r="A6525" t="str">
        <f>"20190312164631561"</f>
        <v>20190312164631561</v>
      </c>
      <c r="B6525" t="str">
        <f>"1552380391557776"</f>
        <v>1552380391557776</v>
      </c>
      <c r="C6525" t="s">
        <v>40</v>
      </c>
      <c r="D6525">
        <v>4.6684000000000001</v>
      </c>
      <c r="E6525">
        <v>0.47451310000000002</v>
      </c>
      <c r="F6525" t="s">
        <v>42</v>
      </c>
      <c r="G6525">
        <v>-188.09639999999999</v>
      </c>
      <c r="H6525" s="1">
        <v>-3.3026989999999999E-6</v>
      </c>
      <c r="I6525">
        <v>16.544329999999999</v>
      </c>
      <c r="J6525">
        <v>-187.46</v>
      </c>
      <c r="K6525">
        <v>1.108606</v>
      </c>
      <c r="L6525">
        <v>2.0899350000000001</v>
      </c>
      <c r="M6525">
        <v>-4.390527E-3</v>
      </c>
      <c r="N6525">
        <v>0</v>
      </c>
      <c r="O6525">
        <v>0.99993600000000005</v>
      </c>
      <c r="P6525">
        <v>3.2672479999999997E-2</v>
      </c>
      <c r="Q6525">
        <v>0.1152021</v>
      </c>
      <c r="R6525">
        <v>0.99280460000000004</v>
      </c>
      <c r="S6525">
        <v>-0.13172909999999999</v>
      </c>
      <c r="T6525">
        <v>-0.228882</v>
      </c>
      <c r="U6525">
        <v>3.0527340000000001</v>
      </c>
      <c r="V6525">
        <v>3.6972919999999999E-2</v>
      </c>
      <c r="W6525">
        <v>0.12556629999999999</v>
      </c>
      <c r="X6525">
        <v>0.99139600000000005</v>
      </c>
      <c r="Y6525">
        <v>-3.8603520000000002E-2</v>
      </c>
      <c r="Z6525">
        <v>-7.4702699999999997E-2</v>
      </c>
      <c r="AA6525">
        <v>0.99645839999999997</v>
      </c>
      <c r="AB6525">
        <v>32</v>
      </c>
      <c r="AC6525">
        <v>-0.63639999999997998</v>
      </c>
      <c r="AD6525">
        <v>-1.108609302699</v>
      </c>
      <c r="AE6525">
        <v>14.4543949999999</v>
      </c>
      <c r="AF6525">
        <v>-0.56958394521956501</v>
      </c>
      <c r="AG6525">
        <v>-1.108609302699</v>
      </c>
      <c r="AH6525">
        <v>14.3726672316477</v>
      </c>
      <c r="AI6525">
        <v>94.407225681934804</v>
      </c>
      <c r="AJ6525">
        <v>92.269424824885803</v>
      </c>
      <c r="AK6525">
        <v>14.426607494777199</v>
      </c>
      <c r="AL6525">
        <v>82.786539656763793</v>
      </c>
      <c r="AM6525">
        <v>87.864212700922295</v>
      </c>
      <c r="AN6525">
        <v>0.99999996066250696</v>
      </c>
    </row>
    <row r="6526" spans="1:40" x14ac:dyDescent="0.25">
      <c r="A6526" t="str">
        <f>"20190312164631582"</f>
        <v>20190312164631582</v>
      </c>
      <c r="B6526" t="str">
        <f>"1552380391577296"</f>
        <v>1552380391577296</v>
      </c>
      <c r="C6526" t="s">
        <v>40</v>
      </c>
      <c r="D6526">
        <v>4.5679040000000004</v>
      </c>
      <c r="E6526">
        <v>0.47466730000000001</v>
      </c>
      <c r="F6526" t="s">
        <v>42</v>
      </c>
      <c r="G6526">
        <v>-188.14</v>
      </c>
      <c r="H6526" s="1">
        <v>-3.723553E-6</v>
      </c>
      <c r="I6526">
        <v>17.543369999999999</v>
      </c>
      <c r="J6526">
        <v>-187.4616</v>
      </c>
      <c r="K6526">
        <v>1.1086309999999999</v>
      </c>
      <c r="L6526">
        <v>2.400299</v>
      </c>
      <c r="M6526">
        <v>-4.6802320000000003E-3</v>
      </c>
      <c r="N6526">
        <v>0</v>
      </c>
      <c r="O6526">
        <v>0.99993430000000005</v>
      </c>
      <c r="P6526">
        <v>3.231941E-2</v>
      </c>
      <c r="Q6526">
        <v>0.11523799999999999</v>
      </c>
      <c r="R6526">
        <v>0.99281200000000003</v>
      </c>
      <c r="S6526">
        <v>-0.13427729999999999</v>
      </c>
      <c r="T6526">
        <v>-0.2189161</v>
      </c>
      <c r="U6526">
        <v>3.0515750000000001</v>
      </c>
      <c r="V6526">
        <v>3.690094E-2</v>
      </c>
      <c r="W6526">
        <v>0.12563489999999999</v>
      </c>
      <c r="X6526">
        <v>0.99138999999999999</v>
      </c>
      <c r="Y6526">
        <v>-3.917118E-2</v>
      </c>
      <c r="Z6526">
        <v>-7.149179E-2</v>
      </c>
      <c r="AA6526">
        <v>0.99667169999999905</v>
      </c>
      <c r="AB6526">
        <v>33</v>
      </c>
      <c r="AC6526">
        <v>-0.67839999999998202</v>
      </c>
      <c r="AD6526">
        <v>-1.1086347235530001</v>
      </c>
      <c r="AE6526">
        <v>15.143071000000001</v>
      </c>
      <c r="AF6526">
        <v>-0.60428324987983595</v>
      </c>
      <c r="AG6526">
        <v>-1.1086347235530001</v>
      </c>
      <c r="AH6526">
        <v>15.0654939896282</v>
      </c>
      <c r="AI6526">
        <v>94.205308115214805</v>
      </c>
      <c r="AJ6526">
        <v>92.296926350571297</v>
      </c>
      <c r="AK6526">
        <v>15.118311359006899</v>
      </c>
      <c r="AL6526">
        <v>82.7825778578745</v>
      </c>
      <c r="AM6526">
        <v>87.868353987801797</v>
      </c>
      <c r="AN6526">
        <v>0.99999996978544603</v>
      </c>
    </row>
    <row r="6527" spans="1:40" x14ac:dyDescent="0.25">
      <c r="A6527" t="str">
        <f>"20190312164631602"</f>
        <v>20190312164631602</v>
      </c>
      <c r="B6527" t="str">
        <f>"1552380391597793"</f>
        <v>1552380391597793</v>
      </c>
      <c r="C6527" t="s">
        <v>40</v>
      </c>
      <c r="D6527">
        <v>4.486389</v>
      </c>
      <c r="E6527">
        <v>0.47464400000000001</v>
      </c>
      <c r="F6527" t="s">
        <v>42</v>
      </c>
      <c r="G6527">
        <v>-188.14959999999999</v>
      </c>
      <c r="H6527" s="1">
        <v>-3.9399610000000004E-6</v>
      </c>
      <c r="I6527">
        <v>18.05179</v>
      </c>
      <c r="J6527">
        <v>-187.4633</v>
      </c>
      <c r="K6527">
        <v>1.1086549999999999</v>
      </c>
      <c r="L6527">
        <v>2.6948850000000002</v>
      </c>
      <c r="M6527">
        <v>-4.9673030000000002E-3</v>
      </c>
      <c r="N6527">
        <v>0</v>
      </c>
      <c r="O6527">
        <v>0.99993259999999995</v>
      </c>
      <c r="P6527">
        <v>3.2092309999999999E-2</v>
      </c>
      <c r="Q6527">
        <v>0.115365</v>
      </c>
      <c r="R6527">
        <v>0.99280460000000004</v>
      </c>
      <c r="S6527">
        <v>-0.13410949999999999</v>
      </c>
      <c r="T6527">
        <v>-0.2161227</v>
      </c>
      <c r="U6527">
        <v>3.0511780000000002</v>
      </c>
      <c r="V6527">
        <v>3.6954090000000002E-2</v>
      </c>
      <c r="W6527">
        <v>0.12579389999999999</v>
      </c>
      <c r="X6527">
        <v>0.99136789999999997</v>
      </c>
      <c r="Y6527">
        <v>-3.8838079999999997E-2</v>
      </c>
      <c r="Z6527">
        <v>-7.0593680000000006E-2</v>
      </c>
      <c r="AA6527">
        <v>0.99674879999999999</v>
      </c>
      <c r="AB6527">
        <v>33</v>
      </c>
      <c r="AC6527">
        <v>-0.68629999999998803</v>
      </c>
      <c r="AD6527">
        <v>-1.1086589399609901</v>
      </c>
      <c r="AE6527">
        <v>15.356904999999999</v>
      </c>
      <c r="AF6527">
        <v>-0.60684845687010502</v>
      </c>
      <c r="AG6527">
        <v>-1.1086589399609901</v>
      </c>
      <c r="AH6527">
        <v>15.2806437023713</v>
      </c>
      <c r="AI6527">
        <v>94.146461429412597</v>
      </c>
      <c r="AJ6527">
        <v>92.274223132762302</v>
      </c>
      <c r="AK6527">
        <v>15.3328230164436</v>
      </c>
      <c r="AL6527">
        <v>82.773395279786698</v>
      </c>
      <c r="AM6527">
        <v>87.865238981594004</v>
      </c>
      <c r="AN6527">
        <v>1.0000000115976699</v>
      </c>
    </row>
    <row r="6528" spans="1:40" x14ac:dyDescent="0.25">
      <c r="A6528" t="str">
        <f>"20190312164631626"</f>
        <v>20190312164631626</v>
      </c>
      <c r="B6528" t="str">
        <f>"1552380391617312"</f>
        <v>1552380391617312</v>
      </c>
      <c r="C6528" t="s">
        <v>40</v>
      </c>
      <c r="D6528">
        <v>4.5662149999999997</v>
      </c>
      <c r="E6528">
        <v>0.47484159999999997</v>
      </c>
      <c r="F6528" t="s">
        <v>42</v>
      </c>
      <c r="G6528">
        <v>-188.15260000000001</v>
      </c>
      <c r="H6528" s="1">
        <v>-3.9996510000000001E-6</v>
      </c>
      <c r="I6528">
        <v>18.192170000000001</v>
      </c>
      <c r="J6528">
        <v>-187.46530000000001</v>
      </c>
      <c r="K6528">
        <v>1.1086739999999999</v>
      </c>
      <c r="L6528">
        <v>3.032715</v>
      </c>
      <c r="M6528">
        <v>-5.303444E-3</v>
      </c>
      <c r="N6528">
        <v>0</v>
      </c>
      <c r="O6528">
        <v>0.9999304</v>
      </c>
      <c r="P6528">
        <v>3.1834540000000001E-2</v>
      </c>
      <c r="Q6528">
        <v>0.116004</v>
      </c>
      <c r="R6528">
        <v>0.99273840000000002</v>
      </c>
      <c r="S6528">
        <v>-0.13572690000000001</v>
      </c>
      <c r="T6528">
        <v>-0.21829970000000001</v>
      </c>
      <c r="U6528">
        <v>3.0514830000000002</v>
      </c>
      <c r="V6528">
        <v>3.7025469999999998E-2</v>
      </c>
      <c r="W6528">
        <v>0.1264731</v>
      </c>
      <c r="X6528">
        <v>0.99127880000000002</v>
      </c>
      <c r="Y6528">
        <v>-3.9022889999999998E-2</v>
      </c>
      <c r="Z6528">
        <v>-7.1292820000000007E-2</v>
      </c>
      <c r="AA6528">
        <v>0.99669180000000002</v>
      </c>
      <c r="AB6528">
        <v>33</v>
      </c>
      <c r="AC6528">
        <v>-0.68729999999999303</v>
      </c>
      <c r="AD6528">
        <v>-1.1086779996509999</v>
      </c>
      <c r="AE6528">
        <v>15.159454999999999</v>
      </c>
      <c r="AF6528">
        <v>-0.60366637417770197</v>
      </c>
      <c r="AG6528">
        <v>-1.1086779996509999</v>
      </c>
      <c r="AH6528">
        <v>15.082382232284401</v>
      </c>
      <c r="AI6528">
        <v>94.200793912181496</v>
      </c>
      <c r="AJ6528">
        <v>92.292017486928401</v>
      </c>
      <c r="AK6528">
        <v>15.135119219846001</v>
      </c>
      <c r="AL6528">
        <v>82.734166555952299</v>
      </c>
      <c r="AM6528">
        <v>87.860927261059999</v>
      </c>
      <c r="AN6528">
        <v>0.99999999489088498</v>
      </c>
    </row>
    <row r="6529" spans="1:40" x14ac:dyDescent="0.25">
      <c r="A6529" t="str">
        <f>"20190312164631648"</f>
        <v>20190312164631648</v>
      </c>
      <c r="B6529" t="str">
        <f>"1552380391637808"</f>
        <v>1552380391637808</v>
      </c>
      <c r="C6529" t="s">
        <v>40</v>
      </c>
      <c r="D6529">
        <v>4.4682750000000002</v>
      </c>
      <c r="E6529">
        <v>0.47508280000000003</v>
      </c>
      <c r="F6529" t="s">
        <v>42</v>
      </c>
      <c r="G6529">
        <v>-188.16220000000001</v>
      </c>
      <c r="H6529" s="1">
        <v>-4.2453190000000001E-6</v>
      </c>
      <c r="I6529">
        <v>18.768820000000002</v>
      </c>
      <c r="J6529">
        <v>-187.46729999999999</v>
      </c>
      <c r="K6529">
        <v>1.108695</v>
      </c>
      <c r="L6529">
        <v>3.3625790000000002</v>
      </c>
      <c r="M6529">
        <v>-5.633585E-3</v>
      </c>
      <c r="N6529">
        <v>0</v>
      </c>
      <c r="O6529">
        <v>0.99992820000000004</v>
      </c>
      <c r="P6529">
        <v>3.1403189999999997E-2</v>
      </c>
      <c r="Q6529">
        <v>0.11618339999999901</v>
      </c>
      <c r="R6529">
        <v>0.99273120000000004</v>
      </c>
      <c r="S6529">
        <v>-0.13514709999999999</v>
      </c>
      <c r="T6529">
        <v>-0.21498410000000001</v>
      </c>
      <c r="U6529">
        <v>3.0513919999999999</v>
      </c>
      <c r="V6529">
        <v>3.691908E-2</v>
      </c>
      <c r="W6529">
        <v>0.12669359999999999</v>
      </c>
      <c r="X6529">
        <v>0.99125459999999999</v>
      </c>
      <c r="Y6529">
        <v>-3.8508639999999997E-2</v>
      </c>
      <c r="Z6529">
        <v>-7.0218249999999996E-2</v>
      </c>
      <c r="AA6529">
        <v>0.99678809999999995</v>
      </c>
      <c r="AB6529">
        <v>33</v>
      </c>
      <c r="AC6529">
        <v>-0.69490000000001795</v>
      </c>
      <c r="AD6529">
        <v>-1.1086992453190001</v>
      </c>
      <c r="AE6529">
        <v>15.406241</v>
      </c>
      <c r="AF6529">
        <v>-0.60496508071212096</v>
      </c>
      <c r="AG6529">
        <v>-1.1086992453190001</v>
      </c>
      <c r="AH6529">
        <v>15.3306772677668</v>
      </c>
      <c r="AI6529">
        <v>94.133166742593801</v>
      </c>
      <c r="AJ6529">
        <v>92.259780860982801</v>
      </c>
      <c r="AK6529">
        <v>15.3826155855847</v>
      </c>
      <c r="AL6529">
        <v>82.721430309523896</v>
      </c>
      <c r="AM6529">
        <v>87.867016021809505</v>
      </c>
      <c r="AN6529">
        <v>0.99999998438508297</v>
      </c>
    </row>
    <row r="6530" spans="1:40" x14ac:dyDescent="0.25">
      <c r="A6530" t="str">
        <f>"20190312164631670"</f>
        <v>20190312164631670</v>
      </c>
      <c r="B6530" t="str">
        <f>"1552380391668065"</f>
        <v>1552380391668065</v>
      </c>
      <c r="C6530" t="s">
        <v>40</v>
      </c>
      <c r="D6530">
        <v>4.4961310000000001</v>
      </c>
      <c r="E6530">
        <v>0.47529559999999998</v>
      </c>
      <c r="F6530" t="s">
        <v>42</v>
      </c>
      <c r="G6530">
        <v>-188.17240000000001</v>
      </c>
      <c r="H6530" s="1">
        <v>-4.5219790000000001E-6</v>
      </c>
      <c r="I6530">
        <v>19.417919999999999</v>
      </c>
      <c r="J6530">
        <v>-187.46950000000001</v>
      </c>
      <c r="K6530">
        <v>1.1087129999999901</v>
      </c>
      <c r="L6530">
        <v>3.6839599999999999</v>
      </c>
      <c r="M6530">
        <v>-5.9481830000000001E-3</v>
      </c>
      <c r="N6530">
        <v>0</v>
      </c>
      <c r="O6530">
        <v>0.99992590000000003</v>
      </c>
      <c r="P6530">
        <v>3.1129339999999998E-2</v>
      </c>
      <c r="Q6530">
        <v>0.11650629999999999</v>
      </c>
      <c r="R6530">
        <v>0.99270199999999997</v>
      </c>
      <c r="S6530">
        <v>-0.13397220000000001</v>
      </c>
      <c r="T6530">
        <v>-0.21067749999999999</v>
      </c>
      <c r="U6530">
        <v>3.0508730000000002</v>
      </c>
      <c r="V6530">
        <v>3.6956089999999997E-2</v>
      </c>
      <c r="W6530">
        <v>0.12706489999999901</v>
      </c>
      <c r="X6530">
        <v>0.99120569999999997</v>
      </c>
      <c r="Y6530">
        <v>-3.7822849999999998E-2</v>
      </c>
      <c r="Z6530">
        <v>-6.8831290000000003E-2</v>
      </c>
      <c r="AA6530">
        <v>0.99691099999999999</v>
      </c>
      <c r="AB6530">
        <v>33</v>
      </c>
      <c r="AC6530">
        <v>-0.70289999999999897</v>
      </c>
      <c r="AD6530">
        <v>-1.10871752197899</v>
      </c>
      <c r="AE6530">
        <v>15.73396</v>
      </c>
      <c r="AF6530">
        <v>-0.60628925901328301</v>
      </c>
      <c r="AG6530">
        <v>-1.10871752197899</v>
      </c>
      <c r="AH6530">
        <v>15.660256229119399</v>
      </c>
      <c r="AI6530">
        <v>94.046657847899695</v>
      </c>
      <c r="AJ6530">
        <v>92.217107756330194</v>
      </c>
      <c r="AK6530">
        <v>15.711157384827301</v>
      </c>
      <c r="AL6530">
        <v>82.699983098336602</v>
      </c>
      <c r="AM6530">
        <v>87.864774526746899</v>
      </c>
      <c r="AN6530">
        <v>0.99999999055629396</v>
      </c>
    </row>
    <row r="6531" spans="1:40" x14ac:dyDescent="0.25">
      <c r="A6531" t="str">
        <f>"20190312164631692"</f>
        <v>20190312164631692</v>
      </c>
      <c r="B6531" t="str">
        <f>"1552380391687585"</f>
        <v>1552380391687585</v>
      </c>
      <c r="C6531" t="s">
        <v>40</v>
      </c>
      <c r="D6531">
        <v>4.4874090000000004</v>
      </c>
      <c r="E6531">
        <v>0.4754873</v>
      </c>
      <c r="F6531" t="s">
        <v>42</v>
      </c>
      <c r="G6531">
        <v>-188.1797</v>
      </c>
      <c r="H6531" s="1">
        <v>-6.1177219999999996E-7</v>
      </c>
      <c r="I6531">
        <v>20.02252</v>
      </c>
      <c r="J6531">
        <v>-187.4716</v>
      </c>
      <c r="K6531">
        <v>1.108724</v>
      </c>
      <c r="L6531">
        <v>3.9956969999999998</v>
      </c>
      <c r="M6531">
        <v>-6.2403609999999998E-3</v>
      </c>
      <c r="N6531">
        <v>0</v>
      </c>
      <c r="O6531">
        <v>0.99992349999999997</v>
      </c>
      <c r="P6531">
        <v>3.0682890000000001E-2</v>
      </c>
      <c r="Q6531">
        <v>0.1172951</v>
      </c>
      <c r="R6531">
        <v>0.99262300000000003</v>
      </c>
      <c r="S6531">
        <v>-0.13259889999999999</v>
      </c>
      <c r="T6531">
        <v>-0.2070034</v>
      </c>
      <c r="U6531">
        <v>3.0505070000000001</v>
      </c>
      <c r="V6531">
        <v>3.679934E-2</v>
      </c>
      <c r="W6531">
        <v>0.1279119</v>
      </c>
      <c r="X6531">
        <v>0.99110259999999994</v>
      </c>
      <c r="Y6531">
        <v>-3.7091680000000002E-2</v>
      </c>
      <c r="Z6531">
        <v>-6.7645940000000002E-2</v>
      </c>
      <c r="AA6531">
        <v>0.99701960000000001</v>
      </c>
      <c r="AB6531">
        <v>33</v>
      </c>
      <c r="AC6531">
        <v>-0.70810000000000095</v>
      </c>
      <c r="AD6531">
        <v>-1.1087246117722001</v>
      </c>
      <c r="AE6531">
        <v>16.026823</v>
      </c>
      <c r="AF6531">
        <v>-0.60517674722892201</v>
      </c>
      <c r="AG6531">
        <v>-1.1087246117722001</v>
      </c>
      <c r="AH6531">
        <v>15.954722962190599</v>
      </c>
      <c r="AI6531">
        <v>93.972356590847994</v>
      </c>
      <c r="AJ6531">
        <v>92.172238199792503</v>
      </c>
      <c r="AK6531">
        <v>16.0046460117176</v>
      </c>
      <c r="AL6531">
        <v>82.651054419413896</v>
      </c>
      <c r="AM6531">
        <v>87.873601825125903</v>
      </c>
      <c r="AN6531">
        <v>1.0000000046563999</v>
      </c>
    </row>
    <row r="6532" spans="1:40" x14ac:dyDescent="0.25">
      <c r="A6532" t="str">
        <f>"20190312164631714"</f>
        <v>20190312164631714</v>
      </c>
      <c r="B6532" t="str">
        <f>"1552380391708080"</f>
        <v>1552380391708080</v>
      </c>
      <c r="C6532" t="s">
        <v>40</v>
      </c>
      <c r="D6532">
        <v>4.5483010000000004</v>
      </c>
      <c r="E6532">
        <v>0.47535620000000001</v>
      </c>
      <c r="F6532" t="s">
        <v>42</v>
      </c>
      <c r="G6532">
        <v>-188.19579999999999</v>
      </c>
      <c r="H6532" s="1">
        <v>-8.4697359999999995E-7</v>
      </c>
      <c r="I6532">
        <v>20.726310000000002</v>
      </c>
      <c r="J6532">
        <v>-187.47409999999999</v>
      </c>
      <c r="K6532">
        <v>1.1087290000000001</v>
      </c>
      <c r="L6532">
        <v>4.3371279999999999</v>
      </c>
      <c r="M6532">
        <v>-6.5442410000000001E-3</v>
      </c>
      <c r="N6532">
        <v>0</v>
      </c>
      <c r="O6532">
        <v>0.99992080000000005</v>
      </c>
      <c r="P6532">
        <v>3.040145E-2</v>
      </c>
      <c r="Q6532">
        <v>0.1180016</v>
      </c>
      <c r="R6532">
        <v>0.99254790000000004</v>
      </c>
      <c r="S6532">
        <v>-0.13203429999999999</v>
      </c>
      <c r="T6532">
        <v>-0.2021385</v>
      </c>
      <c r="U6532">
        <v>3.050262</v>
      </c>
      <c r="V6532">
        <v>3.6820690000000003E-2</v>
      </c>
      <c r="W6532">
        <v>0.1286841</v>
      </c>
      <c r="X6532">
        <v>0.99100180000000004</v>
      </c>
      <c r="Y6532">
        <v>-3.66118E-2</v>
      </c>
      <c r="Z6532">
        <v>-6.606911E-2</v>
      </c>
      <c r="AA6532">
        <v>0.99714309999999995</v>
      </c>
      <c r="AB6532">
        <v>33</v>
      </c>
      <c r="AC6532">
        <v>-0.72169999999999801</v>
      </c>
      <c r="AD6532">
        <v>-1.1087298469736</v>
      </c>
      <c r="AE6532">
        <v>16.389182000000002</v>
      </c>
      <c r="AF6532">
        <v>-0.61162985999964303</v>
      </c>
      <c r="AG6532">
        <v>-1.1087298469736</v>
      </c>
      <c r="AH6532">
        <v>16.319014234179701</v>
      </c>
      <c r="AI6532">
        <v>93.884039773886499</v>
      </c>
      <c r="AJ6532">
        <v>92.146417302637701</v>
      </c>
      <c r="AK6532">
        <v>16.3680664262635</v>
      </c>
      <c r="AL6532">
        <v>82.606441624014906</v>
      </c>
      <c r="AM6532">
        <v>87.872153065264101</v>
      </c>
      <c r="AN6532">
        <v>0.99999996420406201</v>
      </c>
    </row>
    <row r="6533" spans="1:40" x14ac:dyDescent="0.25">
      <c r="A6533" t="str">
        <f>"20190312164631740"</f>
        <v>20190312164631740</v>
      </c>
      <c r="B6533" t="str">
        <f>"1552380391727600"</f>
        <v>1552380391727600</v>
      </c>
      <c r="C6533" t="s">
        <v>40</v>
      </c>
      <c r="D6533">
        <v>4.552899</v>
      </c>
      <c r="E6533">
        <v>0.4757113</v>
      </c>
      <c r="F6533" t="s">
        <v>42</v>
      </c>
      <c r="G6533">
        <v>-188.20769999999999</v>
      </c>
      <c r="H6533" s="1">
        <v>-9.7700810000000008E-7</v>
      </c>
      <c r="I6533">
        <v>21.11769</v>
      </c>
      <c r="J6533">
        <v>-187.47669999999999</v>
      </c>
      <c r="K6533">
        <v>1.1087320000000001</v>
      </c>
      <c r="L6533">
        <v>4.6928409999999996</v>
      </c>
      <c r="M6533">
        <v>-6.8341410000000002E-3</v>
      </c>
      <c r="N6533">
        <v>0</v>
      </c>
      <c r="O6533">
        <v>0.99991790000000003</v>
      </c>
      <c r="P6533">
        <v>3.0093439999999999E-2</v>
      </c>
      <c r="Q6533">
        <v>0.11890340000000001</v>
      </c>
      <c r="R6533">
        <v>0.99244969999999999</v>
      </c>
      <c r="S6533">
        <v>-0.1333618</v>
      </c>
      <c r="T6533">
        <v>-0.20155799999999999</v>
      </c>
      <c r="U6533">
        <v>3.0505680000000002</v>
      </c>
      <c r="V6533">
        <v>3.6803450000000001E-2</v>
      </c>
      <c r="W6533">
        <v>0.12966859999999999</v>
      </c>
      <c r="X6533">
        <v>0.99087409999999998</v>
      </c>
      <c r="Y6533">
        <v>-3.6751440000000003E-2</v>
      </c>
      <c r="Z6533">
        <v>-6.5872650000000005E-2</v>
      </c>
      <c r="AA6533">
        <v>0.99715100000000001</v>
      </c>
      <c r="AB6533">
        <v>33</v>
      </c>
      <c r="AC6533">
        <v>-0.73099999999999399</v>
      </c>
      <c r="AD6533">
        <v>-1.1087329770081</v>
      </c>
      <c r="AE6533">
        <v>16.424848999999998</v>
      </c>
      <c r="AF6533">
        <v>-0.61592555396607096</v>
      </c>
      <c r="AG6533">
        <v>-1.1087329770081</v>
      </c>
      <c r="AH6533">
        <v>16.355083428268301</v>
      </c>
      <c r="AI6533">
        <v>93.875484933826897</v>
      </c>
      <c r="AJ6533">
        <v>92.156715728706104</v>
      </c>
      <c r="AK6533">
        <v>16.404188704350801</v>
      </c>
      <c r="AL6533">
        <v>82.549557302574996</v>
      </c>
      <c r="AM6533">
        <v>87.872874591393199</v>
      </c>
      <c r="AN6533">
        <v>0.99999996090433496</v>
      </c>
    </row>
    <row r="6534" spans="1:40" x14ac:dyDescent="0.25">
      <c r="A6534" t="str">
        <f>"20190312164631762"</f>
        <v>20190312164631762</v>
      </c>
      <c r="B6534" t="str">
        <f>"1552380391757856"</f>
        <v>1552380391757856</v>
      </c>
      <c r="C6534" t="s">
        <v>40</v>
      </c>
      <c r="D6534">
        <v>4.458761</v>
      </c>
      <c r="E6534">
        <v>0.47602670000000002</v>
      </c>
      <c r="F6534" t="s">
        <v>42</v>
      </c>
      <c r="G6534">
        <v>-188.21</v>
      </c>
      <c r="H6534" s="1">
        <v>-1.2000430000000001E-6</v>
      </c>
      <c r="I6534">
        <v>21.689959999999999</v>
      </c>
      <c r="J6534">
        <v>-187.47919999999999</v>
      </c>
      <c r="K6534">
        <v>1.1087290000000001</v>
      </c>
      <c r="L6534">
        <v>5.0234990000000002</v>
      </c>
      <c r="M6534">
        <v>-7.0672510000000001E-3</v>
      </c>
      <c r="N6534">
        <v>0</v>
      </c>
      <c r="O6534">
        <v>0.9999152</v>
      </c>
      <c r="P6534">
        <v>2.9566749999999999E-2</v>
      </c>
      <c r="Q6534">
        <v>0.11909939999999999</v>
      </c>
      <c r="R6534">
        <v>0.99244200000000005</v>
      </c>
      <c r="S6534">
        <v>-0.1316071</v>
      </c>
      <c r="T6534">
        <v>-0.19899649999999999</v>
      </c>
      <c r="U6534">
        <v>3.050659</v>
      </c>
      <c r="V6534">
        <v>3.6514459999999999E-2</v>
      </c>
      <c r="W6534">
        <v>0.12996740000000001</v>
      </c>
      <c r="X6534">
        <v>0.99084570000000005</v>
      </c>
      <c r="Y6534">
        <v>-3.5947010000000001E-2</v>
      </c>
      <c r="Z6534">
        <v>-6.5038760000000001E-2</v>
      </c>
      <c r="AA6534">
        <v>0.99723510000000004</v>
      </c>
      <c r="AB6534">
        <v>33</v>
      </c>
      <c r="AC6534">
        <v>-0.73080000000001599</v>
      </c>
      <c r="AD6534">
        <v>-1.1087302000429999</v>
      </c>
      <c r="AE6534">
        <v>16.666460999999899</v>
      </c>
      <c r="AF6534">
        <v>-0.61029295231576597</v>
      </c>
      <c r="AG6534">
        <v>-1.1087302000429999</v>
      </c>
      <c r="AH6534">
        <v>16.597896313905299</v>
      </c>
      <c r="AI6534">
        <v>93.819075389073902</v>
      </c>
      <c r="AJ6534">
        <v>92.105776792927898</v>
      </c>
      <c r="AK6534">
        <v>16.646077681883</v>
      </c>
      <c r="AL6534">
        <v>82.532291628507195</v>
      </c>
      <c r="AM6534">
        <v>87.889501719546899</v>
      </c>
      <c r="AN6534">
        <v>1.0000000160301701</v>
      </c>
    </row>
    <row r="6535" spans="1:40" x14ac:dyDescent="0.25">
      <c r="A6535" t="str">
        <f>"20190312164631782"</f>
        <v>20190312164631782</v>
      </c>
      <c r="B6535" t="str">
        <f>"1552380391777716"</f>
        <v>1552380391777716</v>
      </c>
      <c r="C6535" t="s">
        <v>40</v>
      </c>
      <c r="D6535">
        <v>4.5224640000000003</v>
      </c>
      <c r="E6535">
        <v>0.4761184</v>
      </c>
      <c r="F6535" t="s">
        <v>42</v>
      </c>
      <c r="G6535">
        <v>-188.19450000000001</v>
      </c>
      <c r="H6535" s="1">
        <v>-1.219228E-6</v>
      </c>
      <c r="I6535">
        <v>21.728300000000001</v>
      </c>
      <c r="J6535">
        <v>-187.48150000000001</v>
      </c>
      <c r="K6535">
        <v>1.1087359999999999</v>
      </c>
      <c r="L6535">
        <v>5.316071</v>
      </c>
      <c r="M6535">
        <v>-7.2319119999999897E-3</v>
      </c>
      <c r="N6535">
        <v>0</v>
      </c>
      <c r="O6535">
        <v>0.99991260000000004</v>
      </c>
      <c r="P6535">
        <v>2.8533679999999999E-2</v>
      </c>
      <c r="Q6535">
        <v>0.1195156</v>
      </c>
      <c r="R6535">
        <v>0.99242220000000003</v>
      </c>
      <c r="S6535">
        <v>-0.13064580000000001</v>
      </c>
      <c r="T6535">
        <v>-0.2025025</v>
      </c>
      <c r="U6535">
        <v>3.0510250000000001</v>
      </c>
      <c r="V6535">
        <v>3.5652570000000001E-2</v>
      </c>
      <c r="W6535">
        <v>0.1305026</v>
      </c>
      <c r="X6535">
        <v>0.99080670000000004</v>
      </c>
      <c r="Y6535">
        <v>-3.5460459999999999E-2</v>
      </c>
      <c r="Z6535">
        <v>-6.6172640000000005E-2</v>
      </c>
      <c r="AA6535">
        <v>0.99717789999999995</v>
      </c>
      <c r="AB6535">
        <v>33</v>
      </c>
      <c r="AC6535">
        <v>-0.71299999999999297</v>
      </c>
      <c r="AD6535">
        <v>-1.1087372192280001</v>
      </c>
      <c r="AE6535">
        <v>16.412229</v>
      </c>
      <c r="AF6535">
        <v>-0.59158751310122903</v>
      </c>
      <c r="AG6535">
        <v>-1.1087372192280001</v>
      </c>
      <c r="AH6535">
        <v>16.342513729652499</v>
      </c>
      <c r="AI6535">
        <v>93.878679667917197</v>
      </c>
      <c r="AJ6535">
        <v>92.073161723222</v>
      </c>
      <c r="AK6535">
        <v>16.390760476891799</v>
      </c>
      <c r="AL6535">
        <v>82.501363212244598</v>
      </c>
      <c r="AM6535">
        <v>87.9391935637247</v>
      </c>
      <c r="AN6535">
        <v>0.99999997555962705</v>
      </c>
    </row>
    <row r="6536" spans="1:40" x14ac:dyDescent="0.25">
      <c r="A6536" t="str">
        <f>"20190312164631805"</f>
        <v>20190312164631805</v>
      </c>
      <c r="B6536" t="str">
        <f>"1552380391798213"</f>
        <v>1552380391798213</v>
      </c>
      <c r="C6536" t="s">
        <v>40</v>
      </c>
      <c r="D6536">
        <v>4.4586110000000003</v>
      </c>
      <c r="E6536">
        <v>0.47612349999999998</v>
      </c>
      <c r="F6536" t="s">
        <v>42</v>
      </c>
      <c r="G6536">
        <v>-188.20750000000001</v>
      </c>
      <c r="H6536" s="1">
        <v>-1.354344E-6</v>
      </c>
      <c r="I6536">
        <v>22.048590000000001</v>
      </c>
      <c r="J6536">
        <v>-187.48410000000001</v>
      </c>
      <c r="K6536">
        <v>1.1087309999999999</v>
      </c>
      <c r="L6536">
        <v>5.6522519999999998</v>
      </c>
      <c r="M6536">
        <v>-7.3695080000000003E-3</v>
      </c>
      <c r="N6536">
        <v>0</v>
      </c>
      <c r="O6536">
        <v>0.99990970000000001</v>
      </c>
      <c r="P6536">
        <v>2.781575E-2</v>
      </c>
      <c r="Q6536">
        <v>0.1199292</v>
      </c>
      <c r="R6536">
        <v>0.99239270000000002</v>
      </c>
      <c r="S6536">
        <v>-0.13236999999999999</v>
      </c>
      <c r="T6536">
        <v>-0.2021704</v>
      </c>
      <c r="U6536">
        <v>3.051056</v>
      </c>
      <c r="V6536">
        <v>3.508232E-2</v>
      </c>
      <c r="W6536">
        <v>0.1310827</v>
      </c>
      <c r="X6536">
        <v>0.99075049999999998</v>
      </c>
      <c r="Y6536">
        <v>-3.5885300000000002E-2</v>
      </c>
      <c r="Z6536">
        <v>-6.6062549999999998E-2</v>
      </c>
      <c r="AA6536">
        <v>0.99717</v>
      </c>
      <c r="AB6536">
        <v>33</v>
      </c>
      <c r="AC6536">
        <v>-0.72339999999999705</v>
      </c>
      <c r="AD6536">
        <v>-1.108732354344</v>
      </c>
      <c r="AE6536">
        <v>16.396338</v>
      </c>
      <c r="AF6536">
        <v>-0.59980247270293097</v>
      </c>
      <c r="AG6536">
        <v>-1.108732354344</v>
      </c>
      <c r="AH6536">
        <v>16.3267142404802</v>
      </c>
      <c r="AI6536">
        <v>93.882328775068999</v>
      </c>
      <c r="AJ6536">
        <v>92.103956837284002</v>
      </c>
      <c r="AK6536">
        <v>16.375306053021699</v>
      </c>
      <c r="AL6536">
        <v>82.467838111106005</v>
      </c>
      <c r="AM6536">
        <v>87.972012741843699</v>
      </c>
      <c r="AN6536">
        <v>0.99999999833306097</v>
      </c>
    </row>
    <row r="6537" spans="1:40" x14ac:dyDescent="0.25">
      <c r="A6537" t="str">
        <f>"20190312164631826"</f>
        <v>20190312164631826</v>
      </c>
      <c r="B6537" t="str">
        <f>"1552380391817732"</f>
        <v>1552380391817732</v>
      </c>
      <c r="C6537" t="s">
        <v>40</v>
      </c>
      <c r="D6537">
        <v>4.4886970000000002</v>
      </c>
      <c r="E6537">
        <v>0.47610940000000002</v>
      </c>
      <c r="F6537" t="s">
        <v>42</v>
      </c>
      <c r="G6537">
        <v>-188.22130000000001</v>
      </c>
      <c r="H6537" s="1">
        <v>-1.505016E-6</v>
      </c>
      <c r="I6537">
        <v>22.405539999999998</v>
      </c>
      <c r="J6537">
        <v>-187.48660000000001</v>
      </c>
      <c r="K6537">
        <v>1.1087279999999999</v>
      </c>
      <c r="L6537">
        <v>5.9692080000000001</v>
      </c>
      <c r="M6537">
        <v>-7.4497859999999999E-3</v>
      </c>
      <c r="N6537">
        <v>0</v>
      </c>
      <c r="O6537">
        <v>0.99990699999999999</v>
      </c>
      <c r="P6537">
        <v>2.721968E-2</v>
      </c>
      <c r="Q6537">
        <v>0.1201091</v>
      </c>
      <c r="R6537">
        <v>0.99238749999999998</v>
      </c>
      <c r="S6537">
        <v>-0.1342621</v>
      </c>
      <c r="T6537">
        <v>-0.20192689999999999</v>
      </c>
      <c r="U6537">
        <v>3.0511780000000002</v>
      </c>
      <c r="V6537">
        <v>3.457814E-2</v>
      </c>
      <c r="W6537">
        <v>0.131441</v>
      </c>
      <c r="X6537">
        <v>0.99072070000000001</v>
      </c>
      <c r="Y6537">
        <v>-3.6420760000000003E-2</v>
      </c>
      <c r="Z6537">
        <v>-6.597915E-2</v>
      </c>
      <c r="AA6537">
        <v>0.99715609999999999</v>
      </c>
      <c r="AB6537">
        <v>33</v>
      </c>
      <c r="AC6537">
        <v>-0.73470000000000302</v>
      </c>
      <c r="AD6537">
        <v>-1.108729505016</v>
      </c>
      <c r="AE6537">
        <v>16.436332</v>
      </c>
      <c r="AF6537">
        <v>-0.60945677352045302</v>
      </c>
      <c r="AG6537">
        <v>-1.108729505016</v>
      </c>
      <c r="AH6537">
        <v>16.367022956732999</v>
      </c>
      <c r="AI6537">
        <v>93.872715364527096</v>
      </c>
      <c r="AJ6537">
        <v>92.132530448620102</v>
      </c>
      <c r="AK6537">
        <v>16.415850850330902</v>
      </c>
      <c r="AL6537">
        <v>82.447129453347998</v>
      </c>
      <c r="AM6537">
        <v>88.001073749537596</v>
      </c>
      <c r="AN6537">
        <v>0.99999994482767296</v>
      </c>
    </row>
    <row r="6538" spans="1:40" x14ac:dyDescent="0.25">
      <c r="A6538" t="str">
        <f>"20190312164631849"</f>
        <v>20190312164631849</v>
      </c>
      <c r="B6538" t="str">
        <f>"1552380391837252"</f>
        <v>1552380391837252</v>
      </c>
      <c r="C6538" t="s">
        <v>40</v>
      </c>
      <c r="D6538">
        <v>4.6037809999999997</v>
      </c>
      <c r="E6538">
        <v>0.47607949999999999</v>
      </c>
      <c r="F6538" t="s">
        <v>42</v>
      </c>
      <c r="G6538">
        <v>-188.23830000000001</v>
      </c>
      <c r="H6538" s="1">
        <v>-1.6673990000000001E-6</v>
      </c>
      <c r="I6538">
        <v>22.791080000000001</v>
      </c>
      <c r="J6538">
        <v>-187.48910000000001</v>
      </c>
      <c r="K6538">
        <v>1.1087260000000001</v>
      </c>
      <c r="L6538">
        <v>6.294098</v>
      </c>
      <c r="M6538">
        <v>-7.4975419999999899E-3</v>
      </c>
      <c r="N6538">
        <v>0</v>
      </c>
      <c r="O6538">
        <v>0.99990429999999997</v>
      </c>
      <c r="P6538">
        <v>2.6699420000000001E-2</v>
      </c>
      <c r="Q6538">
        <v>0.1206411</v>
      </c>
      <c r="R6538">
        <v>0.99233700000000002</v>
      </c>
      <c r="S6538">
        <v>-0.13633729999999999</v>
      </c>
      <c r="T6538">
        <v>-0.201097</v>
      </c>
      <c r="U6538">
        <v>3.0510860000000002</v>
      </c>
      <c r="V6538">
        <v>3.4117410000000001E-2</v>
      </c>
      <c r="W6538">
        <v>0.1321765</v>
      </c>
      <c r="X6538">
        <v>0.99063889999999999</v>
      </c>
      <c r="Y6538">
        <v>-3.7051979999999998E-2</v>
      </c>
      <c r="Z6538">
        <v>-6.5709279999999995E-2</v>
      </c>
      <c r="AA6538">
        <v>0.99715069999999995</v>
      </c>
      <c r="AB6538">
        <v>33</v>
      </c>
      <c r="AC6538">
        <v>-0.74920000000000098</v>
      </c>
      <c r="AD6538">
        <v>-1.1087276673989901</v>
      </c>
      <c r="AE6538">
        <v>16.4969819999999</v>
      </c>
      <c r="AF6538">
        <v>-0.622676980636924</v>
      </c>
      <c r="AG6538">
        <v>-1.1087276673989901</v>
      </c>
      <c r="AH6538">
        <v>16.428084458860699</v>
      </c>
      <c r="AI6538">
        <v>93.858261901694902</v>
      </c>
      <c r="AJ6538">
        <v>92.170654329999394</v>
      </c>
      <c r="AK6538">
        <v>16.477225575021201</v>
      </c>
      <c r="AL6538">
        <v>82.404618125991107</v>
      </c>
      <c r="AM6538">
        <v>88.0275241623347</v>
      </c>
      <c r="AN6538">
        <v>1.0000000275052801</v>
      </c>
    </row>
    <row r="6539" spans="1:40" x14ac:dyDescent="0.25">
      <c r="A6539" t="str">
        <f>"20190312164631871"</f>
        <v>20190312164631871</v>
      </c>
      <c r="B6539" t="str">
        <f>"1552380391867509"</f>
        <v>1552380391867509</v>
      </c>
      <c r="C6539" t="s">
        <v>40</v>
      </c>
      <c r="D6539">
        <v>4.4517049999999996</v>
      </c>
      <c r="E6539">
        <v>0.47604020000000002</v>
      </c>
      <c r="F6539" t="s">
        <v>42</v>
      </c>
      <c r="G6539">
        <v>-188.26660000000001</v>
      </c>
      <c r="H6539" s="1">
        <v>-1.9486350000000002E-6</v>
      </c>
      <c r="I6539">
        <v>23.458369999999999</v>
      </c>
      <c r="J6539">
        <v>-187.4915</v>
      </c>
      <c r="K6539">
        <v>1.1087320000000001</v>
      </c>
      <c r="L6539">
        <v>6.6088559999999896</v>
      </c>
      <c r="M6539">
        <v>-7.51957199999999E-3</v>
      </c>
      <c r="N6539">
        <v>0</v>
      </c>
      <c r="O6539">
        <v>0.9999017</v>
      </c>
      <c r="P6539">
        <v>2.649352E-2</v>
      </c>
      <c r="Q6539">
        <v>0.1211333</v>
      </c>
      <c r="R6539">
        <v>0.99228260000000001</v>
      </c>
      <c r="S6539">
        <v>-0.13819890000000001</v>
      </c>
      <c r="T6539">
        <v>-0.19706950000000001</v>
      </c>
      <c r="U6539">
        <v>3.0508419999999998</v>
      </c>
      <c r="V6539">
        <v>3.3943050000000002E-2</v>
      </c>
      <c r="W6539">
        <v>0.1328693</v>
      </c>
      <c r="X6539">
        <v>0.99055219999999999</v>
      </c>
      <c r="Y6539">
        <v>-3.7644579999999997E-2</v>
      </c>
      <c r="Z6539">
        <v>-6.4402329999999994E-2</v>
      </c>
      <c r="AA6539">
        <v>0.99721369999999998</v>
      </c>
      <c r="AB6539">
        <v>33</v>
      </c>
      <c r="AC6539">
        <v>-0.775100000000009</v>
      </c>
      <c r="AD6539">
        <v>-1.1087339486350001</v>
      </c>
      <c r="AE6539">
        <v>16.849513999999999</v>
      </c>
      <c r="AF6539">
        <v>-0.64557867467693497</v>
      </c>
      <c r="AG6539">
        <v>-1.1087339486350001</v>
      </c>
      <c r="AH6539">
        <v>16.782353573174099</v>
      </c>
      <c r="AI6539">
        <v>93.776994016582606</v>
      </c>
      <c r="AJ6539">
        <v>92.202951120801202</v>
      </c>
      <c r="AK6539">
        <v>16.831323603599401</v>
      </c>
      <c r="AL6539">
        <v>82.364570338658496</v>
      </c>
      <c r="AM6539">
        <v>88.037425141410694</v>
      </c>
      <c r="AN6539">
        <v>1.00000002122531</v>
      </c>
    </row>
    <row r="6540" spans="1:40" x14ac:dyDescent="0.25">
      <c r="A6540" t="str">
        <f>"20190312164631893"</f>
        <v>20190312164631893</v>
      </c>
      <c r="B6540" t="str">
        <f>"1552380391888004"</f>
        <v>1552380391888004</v>
      </c>
      <c r="C6540" t="s">
        <v>40</v>
      </c>
      <c r="D6540">
        <v>4.6452080000000002</v>
      </c>
      <c r="E6540">
        <v>0.47612090000000001</v>
      </c>
      <c r="F6540" t="s">
        <v>42</v>
      </c>
      <c r="G6540">
        <v>-188.28360000000001</v>
      </c>
      <c r="H6540" s="1">
        <v>-2.1417210000000001E-6</v>
      </c>
      <c r="I6540">
        <v>23.915479999999999</v>
      </c>
      <c r="J6540">
        <v>-187.4941</v>
      </c>
      <c r="K6540">
        <v>1.108738</v>
      </c>
      <c r="L6540">
        <v>6.9417419999999996</v>
      </c>
      <c r="M6540">
        <v>-7.5244169999999898E-3</v>
      </c>
      <c r="N6540">
        <v>0</v>
      </c>
      <c r="O6540">
        <v>0.99989919999999999</v>
      </c>
      <c r="P6540">
        <v>2.6466690000000001E-2</v>
      </c>
      <c r="Q6540">
        <v>0.1216604</v>
      </c>
      <c r="R6540">
        <v>0.99221890000000001</v>
      </c>
      <c r="S6540">
        <v>-0.13963320000000001</v>
      </c>
      <c r="T6540">
        <v>-0.19545560000000001</v>
      </c>
      <c r="U6540">
        <v>3.0509339999999998</v>
      </c>
      <c r="V6540">
        <v>3.392792E-2</v>
      </c>
      <c r="W6540">
        <v>0.13359799999999999</v>
      </c>
      <c r="X6540">
        <v>0.99045470000000002</v>
      </c>
      <c r="Y6540">
        <v>-3.8107759999999997E-2</v>
      </c>
      <c r="Z6540">
        <v>-6.3873899999999997E-2</v>
      </c>
      <c r="AA6540">
        <v>0.99723010000000001</v>
      </c>
      <c r="AB6540">
        <v>33</v>
      </c>
      <c r="AC6540">
        <v>-0.78950000000000298</v>
      </c>
      <c r="AD6540">
        <v>-1.1087401417209899</v>
      </c>
      <c r="AE6540">
        <v>16.973737999999901</v>
      </c>
      <c r="AF6540">
        <v>-0.65894537225004601</v>
      </c>
      <c r="AG6540">
        <v>-1.1087401417209899</v>
      </c>
      <c r="AH6540">
        <v>16.907214039446</v>
      </c>
      <c r="AI6540">
        <v>93.749128281915404</v>
      </c>
      <c r="AJ6540">
        <v>92.231928317785801</v>
      </c>
      <c r="AK6540">
        <v>16.956338056346699</v>
      </c>
      <c r="AL6540">
        <v>82.322443325912104</v>
      </c>
      <c r="AM6540">
        <v>88.038106310670599</v>
      </c>
      <c r="AN6540">
        <v>1.0000000210558</v>
      </c>
    </row>
    <row r="6541" spans="1:40" x14ac:dyDescent="0.25">
      <c r="A6541" t="str">
        <f>"20190312164631915"</f>
        <v>20190312164631915</v>
      </c>
      <c r="B6541" t="str">
        <f>"1552380391907524"</f>
        <v>1552380391907524</v>
      </c>
      <c r="C6541" t="s">
        <v>40</v>
      </c>
      <c r="D6541">
        <v>4.629054</v>
      </c>
      <c r="E6541">
        <v>0.47615170000000001</v>
      </c>
      <c r="F6541" t="s">
        <v>42</v>
      </c>
      <c r="G6541">
        <v>-188.2955</v>
      </c>
      <c r="H6541" s="1">
        <v>-2.3853319999999999E-6</v>
      </c>
      <c r="I6541">
        <v>24.488250000000001</v>
      </c>
      <c r="J6541">
        <v>-187.4965</v>
      </c>
      <c r="K6541">
        <v>1.1087469999999999</v>
      </c>
      <c r="L6541">
        <v>7.2601929999999903</v>
      </c>
      <c r="M6541">
        <v>-7.5167979999999999E-3</v>
      </c>
      <c r="N6541">
        <v>0</v>
      </c>
      <c r="O6541">
        <v>0.99989689999999998</v>
      </c>
      <c r="P6541">
        <v>2.6777059999999998E-2</v>
      </c>
      <c r="Q6541">
        <v>0.1222186</v>
      </c>
      <c r="R6541">
        <v>0.99214190000000002</v>
      </c>
      <c r="S6541">
        <v>-0.1393433</v>
      </c>
      <c r="T6541">
        <v>-0.19278049999999999</v>
      </c>
      <c r="U6541">
        <v>3.0508730000000002</v>
      </c>
      <c r="V6541">
        <v>3.423445E-2</v>
      </c>
      <c r="W6541">
        <v>0.134342299999999</v>
      </c>
      <c r="X6541">
        <v>0.99034350000000004</v>
      </c>
      <c r="Y6541">
        <v>-3.8024219999999997E-2</v>
      </c>
      <c r="Z6541">
        <v>-6.3004690000000002E-2</v>
      </c>
      <c r="AA6541">
        <v>0.99728859999999997</v>
      </c>
      <c r="AB6541">
        <v>33</v>
      </c>
      <c r="AC6541">
        <v>-0.79900000000000604</v>
      </c>
      <c r="AD6541">
        <v>-1.1087493853319901</v>
      </c>
      <c r="AE6541">
        <v>17.228057</v>
      </c>
      <c r="AF6541">
        <v>-0.66671241109810697</v>
      </c>
      <c r="AG6541">
        <v>-1.1087493853319901</v>
      </c>
      <c r="AH6541">
        <v>17.162644080839002</v>
      </c>
      <c r="AI6541">
        <v>93.693534918878498</v>
      </c>
      <c r="AJ6541">
        <v>92.224634452664006</v>
      </c>
      <c r="AK6541">
        <v>17.2113387766363</v>
      </c>
      <c r="AL6541">
        <v>82.279410370250602</v>
      </c>
      <c r="AM6541">
        <v>88.020173045796398</v>
      </c>
      <c r="AN6541">
        <v>1.0000000495641601</v>
      </c>
    </row>
    <row r="6542" spans="1:40" x14ac:dyDescent="0.25">
      <c r="A6542" t="str">
        <f>"20190312164631940"</f>
        <v>20190312164631940</v>
      </c>
      <c r="B6542" t="str">
        <f>"1552380391937780"</f>
        <v>1552380391937780</v>
      </c>
      <c r="C6542" t="s">
        <v>40</v>
      </c>
      <c r="D6542">
        <v>4.5309780000000002</v>
      </c>
      <c r="E6542">
        <v>0.4762846</v>
      </c>
      <c r="F6542" t="s">
        <v>42</v>
      </c>
      <c r="G6542">
        <v>-188.3039</v>
      </c>
      <c r="H6542" s="1">
        <v>-2.6273759999999998E-6</v>
      </c>
      <c r="I6542">
        <v>25.05592</v>
      </c>
      <c r="J6542">
        <v>-187.4992</v>
      </c>
      <c r="K6542">
        <v>1.108754</v>
      </c>
      <c r="L6542">
        <v>7.6165469999999997</v>
      </c>
      <c r="M6542">
        <v>-7.5012339999999999E-3</v>
      </c>
      <c r="N6542">
        <v>0</v>
      </c>
      <c r="O6542">
        <v>0.99989459999999997</v>
      </c>
      <c r="P6542">
        <v>2.726081E-2</v>
      </c>
      <c r="Q6542">
        <v>0.1227186</v>
      </c>
      <c r="R6542">
        <v>0.99206700000000003</v>
      </c>
      <c r="S6542">
        <v>-0.13841249999999999</v>
      </c>
      <c r="T6542">
        <v>-0.19008420000000001</v>
      </c>
      <c r="U6542">
        <v>3.0509029999999999</v>
      </c>
      <c r="V6542">
        <v>3.4705029999999998E-2</v>
      </c>
      <c r="W6542">
        <v>0.1350345</v>
      </c>
      <c r="X6542">
        <v>0.99023289999999997</v>
      </c>
      <c r="Y6542">
        <v>-3.773816E-2</v>
      </c>
      <c r="Z6542">
        <v>-6.212707E-2</v>
      </c>
      <c r="AA6542">
        <v>0.99735450000000003</v>
      </c>
      <c r="AB6542">
        <v>33</v>
      </c>
      <c r="AC6542">
        <v>-0.80469999999999597</v>
      </c>
      <c r="AD6542">
        <v>-1.1087566273759999</v>
      </c>
      <c r="AE6542">
        <v>17.439373</v>
      </c>
      <c r="AF6542">
        <v>-0.67114334311673696</v>
      </c>
      <c r="AG6542">
        <v>-1.1087566273759999</v>
      </c>
      <c r="AH6542">
        <v>17.374836777105699</v>
      </c>
      <c r="AI6542">
        <v>93.648604331572102</v>
      </c>
      <c r="AJ6542">
        <v>92.212082531468496</v>
      </c>
      <c r="AK6542">
        <v>17.423109012940898</v>
      </c>
      <c r="AL6542">
        <v>82.239384950359096</v>
      </c>
      <c r="AM6542">
        <v>87.992756858241904</v>
      </c>
      <c r="AN6542">
        <v>0.99999997576998001</v>
      </c>
    </row>
    <row r="6543" spans="1:40" x14ac:dyDescent="0.25">
      <c r="A6543" t="str">
        <f>"20190312164631963"</f>
        <v>20190312164631963</v>
      </c>
      <c r="B6543" t="str">
        <f>"1552380391957302"</f>
        <v>1552380391957302</v>
      </c>
      <c r="C6543" t="s">
        <v>40</v>
      </c>
      <c r="D6543">
        <v>4.6527729999999998</v>
      </c>
      <c r="E6543">
        <v>0.47632550000000001</v>
      </c>
      <c r="F6543" t="s">
        <v>42</v>
      </c>
      <c r="G6543">
        <v>-188.30709999999999</v>
      </c>
      <c r="H6543" s="1">
        <v>-2.9183760000000001E-6</v>
      </c>
      <c r="I6543">
        <v>25.735579999999999</v>
      </c>
      <c r="J6543">
        <v>-187.5016</v>
      </c>
      <c r="K6543">
        <v>1.108765</v>
      </c>
      <c r="L6543">
        <v>7.9399410000000001</v>
      </c>
      <c r="M6543">
        <v>-7.4869180000000004E-3</v>
      </c>
      <c r="N6543">
        <v>0</v>
      </c>
      <c r="O6543">
        <v>0.99989269999999997</v>
      </c>
      <c r="P6543">
        <v>2.7997290000000001E-2</v>
      </c>
      <c r="Q6543">
        <v>0.12295639999999899</v>
      </c>
      <c r="R6543">
        <v>0.99201709999999999</v>
      </c>
      <c r="S6543">
        <v>-0.13603209999999999</v>
      </c>
      <c r="T6543">
        <v>-0.1866881</v>
      </c>
      <c r="U6543">
        <v>3.0508120000000001</v>
      </c>
      <c r="V6543">
        <v>3.542857E-2</v>
      </c>
      <c r="W6543">
        <v>0.13543039999999901</v>
      </c>
      <c r="X6543">
        <v>0.99015330000000001</v>
      </c>
      <c r="Y6543">
        <v>-3.6980220000000001E-2</v>
      </c>
      <c r="Z6543">
        <v>-6.1025009999999998E-2</v>
      </c>
      <c r="AA6543">
        <v>0.99745090000000003</v>
      </c>
      <c r="AB6543">
        <v>32</v>
      </c>
      <c r="AC6543">
        <v>-0.805499999999994</v>
      </c>
      <c r="AD6543">
        <v>-1.108767918376</v>
      </c>
      <c r="AE6543">
        <v>17.795638999999898</v>
      </c>
      <c r="AF6543">
        <v>-0.66963815618543598</v>
      </c>
      <c r="AG6543">
        <v>-1.108767918376</v>
      </c>
      <c r="AH6543">
        <v>17.7324748483659</v>
      </c>
      <c r="AI6543">
        <v>93.575363959175206</v>
      </c>
      <c r="AJ6543">
        <v>92.162654554105998</v>
      </c>
      <c r="AK6543">
        <v>17.779720071052001</v>
      </c>
      <c r="AL6543">
        <v>82.216491962412405</v>
      </c>
      <c r="AM6543">
        <v>87.950780023808704</v>
      </c>
      <c r="AN6543">
        <v>1.00000006715864</v>
      </c>
    </row>
    <row r="6544" spans="1:40" x14ac:dyDescent="0.25">
      <c r="A6544" t="str">
        <f>"20190312164631984"</f>
        <v>20190312164631984</v>
      </c>
      <c r="B6544" t="str">
        <f>"1552380391977796"</f>
        <v>1552380391977796</v>
      </c>
      <c r="C6544" t="s">
        <v>40</v>
      </c>
      <c r="D6544">
        <v>4.6480959999999998</v>
      </c>
      <c r="E6544">
        <v>0.47641929999999999</v>
      </c>
      <c r="F6544" t="s">
        <v>42</v>
      </c>
      <c r="G6544">
        <v>-188.2971</v>
      </c>
      <c r="H6544" s="1">
        <v>-3.07559E-6</v>
      </c>
      <c r="I6544">
        <v>26.097930000000002</v>
      </c>
      <c r="J6544">
        <v>-187.50399999999999</v>
      </c>
      <c r="K6544">
        <v>1.108776</v>
      </c>
      <c r="L6544">
        <v>8.2552489999999992</v>
      </c>
      <c r="M6544">
        <v>-7.4761849999999998E-3</v>
      </c>
      <c r="N6544">
        <v>0</v>
      </c>
      <c r="O6544">
        <v>0.99989099999999997</v>
      </c>
      <c r="P6544">
        <v>2.872425E-2</v>
      </c>
      <c r="Q6544">
        <v>0.1231862</v>
      </c>
      <c r="R6544">
        <v>0.99196779999999996</v>
      </c>
      <c r="S6544">
        <v>-0.13366700000000001</v>
      </c>
      <c r="T6544">
        <v>-0.18630060000000001</v>
      </c>
      <c r="U6544">
        <v>3.0509949999999999</v>
      </c>
      <c r="V6544">
        <v>3.6145740000000003E-2</v>
      </c>
      <c r="W6544">
        <v>0.13579849999999999</v>
      </c>
      <c r="X6544">
        <v>0.99007690000000004</v>
      </c>
      <c r="Y6544">
        <v>-3.6216890000000002E-2</v>
      </c>
      <c r="Z6544">
        <v>-6.0897100000000003E-2</v>
      </c>
      <c r="AA6544">
        <v>0.99748680000000001</v>
      </c>
      <c r="AB6544">
        <v>32</v>
      </c>
      <c r="AC6544">
        <v>-0.79309999999998104</v>
      </c>
      <c r="AD6544">
        <v>-1.10877907559</v>
      </c>
      <c r="AE6544">
        <v>17.842680999999999</v>
      </c>
      <c r="AF6544">
        <v>-0.65713921515363904</v>
      </c>
      <c r="AG6544">
        <v>-1.10877907559</v>
      </c>
      <c r="AH6544">
        <v>17.779589433082101</v>
      </c>
      <c r="AI6544">
        <v>93.5660563502652</v>
      </c>
      <c r="AJ6544">
        <v>92.116706522044794</v>
      </c>
      <c r="AK6544">
        <v>17.826245353285199</v>
      </c>
      <c r="AL6544">
        <v>82.195204260786895</v>
      </c>
      <c r="AM6544">
        <v>87.909173535111194</v>
      </c>
      <c r="AN6544">
        <v>1.000000007518</v>
      </c>
    </row>
    <row r="6545" spans="1:40" x14ac:dyDescent="0.25">
      <c r="A6545" t="str">
        <f>"20190312164632007"</f>
        <v>20190312164632007</v>
      </c>
      <c r="B6545" t="str">
        <f>"1552380391997316"</f>
        <v>1552380391997316</v>
      </c>
      <c r="C6545" t="s">
        <v>40</v>
      </c>
      <c r="D6545">
        <v>4.485862</v>
      </c>
      <c r="E6545">
        <v>0.47652220000000001</v>
      </c>
      <c r="F6545" t="s">
        <v>42</v>
      </c>
      <c r="G6545">
        <v>-188.28110000000001</v>
      </c>
      <c r="H6545" s="1">
        <v>-3.220626E-6</v>
      </c>
      <c r="I6545">
        <v>26.429369999999999</v>
      </c>
      <c r="J6545">
        <v>-187.50640000000001</v>
      </c>
      <c r="K6545">
        <v>1.108784</v>
      </c>
      <c r="L6545">
        <v>8.5874330000000008</v>
      </c>
      <c r="M6545">
        <v>-7.4681390000000004E-3</v>
      </c>
      <c r="N6545">
        <v>0</v>
      </c>
      <c r="O6545">
        <v>0.99988940000000004</v>
      </c>
      <c r="P6545">
        <v>2.912089E-2</v>
      </c>
      <c r="Q6545">
        <v>0.1231018</v>
      </c>
      <c r="R6545">
        <v>0.99196669999999998</v>
      </c>
      <c r="S6545">
        <v>-0.13046259999999901</v>
      </c>
      <c r="T6545">
        <v>-0.18614829999999999</v>
      </c>
      <c r="U6545">
        <v>3.0511780000000002</v>
      </c>
      <c r="V6545">
        <v>3.653526E-2</v>
      </c>
      <c r="W6545">
        <v>0.13584479999999999</v>
      </c>
      <c r="X6545">
        <v>0.9900563</v>
      </c>
      <c r="Y6545">
        <v>-3.5176819999999998E-2</v>
      </c>
      <c r="Z6545">
        <v>-6.0846369999999997E-2</v>
      </c>
      <c r="AA6545">
        <v>0.9975271</v>
      </c>
      <c r="AB6545">
        <v>32</v>
      </c>
      <c r="AC6545">
        <v>-0.77469999999999495</v>
      </c>
      <c r="AD6545">
        <v>-1.1087872206260001</v>
      </c>
      <c r="AE6545">
        <v>17.841936999999898</v>
      </c>
      <c r="AF6545">
        <v>-0.63895829084581601</v>
      </c>
      <c r="AG6545">
        <v>-1.1087872206260001</v>
      </c>
      <c r="AH6545">
        <v>17.778693273628999</v>
      </c>
      <c r="AI6545">
        <v>93.566393941253097</v>
      </c>
      <c r="AJ6545">
        <v>92.058298813330694</v>
      </c>
      <c r="AK6545">
        <v>17.8246910580758</v>
      </c>
      <c r="AL6545">
        <v>82.192527034840197</v>
      </c>
      <c r="AM6545">
        <v>87.886618397265707</v>
      </c>
      <c r="AN6545">
        <v>1.00000005603999</v>
      </c>
    </row>
    <row r="6546" spans="1:40" x14ac:dyDescent="0.25">
      <c r="A6546" t="str">
        <f>"20190312164632027"</f>
        <v>20190312164632027</v>
      </c>
      <c r="B6546" t="str">
        <f>"1552380392017812"</f>
        <v>1552380392017812</v>
      </c>
      <c r="C6546" t="s">
        <v>40</v>
      </c>
      <c r="D6546">
        <v>4.5240030000000004</v>
      </c>
      <c r="E6546">
        <v>0.47664139999999999</v>
      </c>
      <c r="F6546" t="s">
        <v>42</v>
      </c>
      <c r="G6546">
        <v>-188.27510000000001</v>
      </c>
      <c r="H6546" s="1">
        <v>-3.4133629999999998E-6</v>
      </c>
      <c r="I6546">
        <v>26.876190000000001</v>
      </c>
      <c r="J6546">
        <v>-187.5087</v>
      </c>
      <c r="K6546">
        <v>1.1087880000000001</v>
      </c>
      <c r="L6546">
        <v>8.8861690000000007</v>
      </c>
      <c r="M6546">
        <v>-7.4624019999999999E-3</v>
      </c>
      <c r="N6546">
        <v>0</v>
      </c>
      <c r="O6546">
        <v>0.99988809999999995</v>
      </c>
      <c r="P6546">
        <v>2.93853E-2</v>
      </c>
      <c r="Q6546">
        <v>0.1231728</v>
      </c>
      <c r="R6546">
        <v>0.99195009999999995</v>
      </c>
      <c r="S6546">
        <v>-0.12823490000000001</v>
      </c>
      <c r="T6546">
        <v>-0.18497369999999999</v>
      </c>
      <c r="U6546">
        <v>3.0510250000000001</v>
      </c>
      <c r="V6546">
        <v>3.6794229999999997E-2</v>
      </c>
      <c r="W6546">
        <v>0.13601949999999999</v>
      </c>
      <c r="X6546">
        <v>0.99002270000000003</v>
      </c>
      <c r="Y6546">
        <v>-3.4458559999999999E-2</v>
      </c>
      <c r="Z6546">
        <v>-6.0468540000000001E-2</v>
      </c>
      <c r="AA6546">
        <v>0.9975752</v>
      </c>
      <c r="AB6546">
        <v>32</v>
      </c>
      <c r="AC6546">
        <v>-0.76640000000000397</v>
      </c>
      <c r="AD6546">
        <v>-1.1087914133629999</v>
      </c>
      <c r="AE6546">
        <v>17.990020999999999</v>
      </c>
      <c r="AF6546">
        <v>-0.62973077075940698</v>
      </c>
      <c r="AG6546">
        <v>-1.1087914133629999</v>
      </c>
      <c r="AH6546">
        <v>17.9272625284854</v>
      </c>
      <c r="AI6546">
        <v>93.537028451570805</v>
      </c>
      <c r="AJ6546">
        <v>92.011801086090401</v>
      </c>
      <c r="AK6546">
        <v>17.9725546600149</v>
      </c>
      <c r="AL6546">
        <v>82.182423504694896</v>
      </c>
      <c r="AM6546">
        <v>87.8715798427463</v>
      </c>
      <c r="AN6546">
        <v>1.00000003312841</v>
      </c>
    </row>
    <row r="6547" spans="1:40" x14ac:dyDescent="0.25">
      <c r="A6547" t="str">
        <f>"20190312164632050"</f>
        <v>20190312164632050</v>
      </c>
      <c r="B6547" t="str">
        <f>"1552380392048069"</f>
        <v>1552380392048069</v>
      </c>
      <c r="C6547" t="s">
        <v>40</v>
      </c>
      <c r="D6547">
        <v>4.5476320000000001</v>
      </c>
      <c r="E6547">
        <v>0.47681960000000001</v>
      </c>
      <c r="F6547" t="s">
        <v>42</v>
      </c>
      <c r="G6547">
        <v>-188.2773</v>
      </c>
      <c r="H6547" s="1">
        <v>-3.6428850000000001E-6</v>
      </c>
      <c r="I6547">
        <v>27.412099999999999</v>
      </c>
      <c r="J6547">
        <v>-187.511</v>
      </c>
      <c r="K6547">
        <v>1.1087910000000001</v>
      </c>
      <c r="L6547">
        <v>9.2081599999999995</v>
      </c>
      <c r="M6547">
        <v>-7.4568419999999896E-3</v>
      </c>
      <c r="N6547">
        <v>0</v>
      </c>
      <c r="O6547">
        <v>0.99988679999999996</v>
      </c>
      <c r="P6547">
        <v>2.950668E-2</v>
      </c>
      <c r="Q6547">
        <v>0.1230591</v>
      </c>
      <c r="R6547">
        <v>0.99196059999999997</v>
      </c>
      <c r="S6547">
        <v>-0.12657169999999901</v>
      </c>
      <c r="T6547">
        <v>-0.1825917</v>
      </c>
      <c r="U6547">
        <v>3.0507810000000002</v>
      </c>
      <c r="V6547">
        <v>3.6910310000000002E-2</v>
      </c>
      <c r="W6547">
        <v>0.1360044</v>
      </c>
      <c r="X6547">
        <v>0.99002040000000002</v>
      </c>
      <c r="Y6547">
        <v>-3.3926459999999999E-2</v>
      </c>
      <c r="Z6547">
        <v>-5.9698620000000001E-2</v>
      </c>
      <c r="AA6547">
        <v>0.99763979999999997</v>
      </c>
      <c r="AB6547">
        <v>32</v>
      </c>
      <c r="AC6547">
        <v>-0.76630000000000098</v>
      </c>
      <c r="AD6547">
        <v>-1.108794642885</v>
      </c>
      <c r="AE6547">
        <v>18.203939999999999</v>
      </c>
      <c r="AF6547">
        <v>-0.62819671993155202</v>
      </c>
      <c r="AG6547">
        <v>-1.108794642885</v>
      </c>
      <c r="AH6547">
        <v>18.141961224249801</v>
      </c>
      <c r="AI6547">
        <v>93.495345252985501</v>
      </c>
      <c r="AJ6547">
        <v>91.983172895087193</v>
      </c>
      <c r="AK6547">
        <v>18.186665822552701</v>
      </c>
      <c r="AL6547">
        <v>82.183296369149005</v>
      </c>
      <c r="AM6547">
        <v>87.864866261727698</v>
      </c>
      <c r="AN6547">
        <v>0.99999998010990698</v>
      </c>
    </row>
    <row r="6548" spans="1:40" x14ac:dyDescent="0.25">
      <c r="A6548" t="str">
        <f>"20190312164632071"</f>
        <v>20190312164632071</v>
      </c>
      <c r="B6548" t="str">
        <f>"1552380392067588"</f>
        <v>1552380392067588</v>
      </c>
      <c r="C6548" t="s">
        <v>40</v>
      </c>
      <c r="D6548">
        <v>4.4251950000000004</v>
      </c>
      <c r="E6548">
        <v>0.47689150000000002</v>
      </c>
      <c r="F6548" t="s">
        <v>42</v>
      </c>
      <c r="G6548">
        <v>-188.26859999999999</v>
      </c>
      <c r="H6548" s="1">
        <v>-3.7695999999999999E-6</v>
      </c>
      <c r="I6548">
        <v>27.703900000000001</v>
      </c>
      <c r="J6548">
        <v>-187.51329999999999</v>
      </c>
      <c r="K6548">
        <v>1.1087990000000001</v>
      </c>
      <c r="L6548">
        <v>9.5123899999999999</v>
      </c>
      <c r="M6548">
        <v>-7.4503549999999997E-3</v>
      </c>
      <c r="N6548">
        <v>0</v>
      </c>
      <c r="O6548">
        <v>0.99988580000000005</v>
      </c>
      <c r="P6548">
        <v>2.9411159999999999E-2</v>
      </c>
      <c r="Q6548">
        <v>0.1227526</v>
      </c>
      <c r="R6548">
        <v>0.99200140000000003</v>
      </c>
      <c r="S6548">
        <v>-0.1249542</v>
      </c>
      <c r="T6548">
        <v>-0.18288660000000001</v>
      </c>
      <c r="U6548">
        <v>3.0507200000000001</v>
      </c>
      <c r="V6548">
        <v>3.6808800000000003E-2</v>
      </c>
      <c r="W6548">
        <v>0.1357805</v>
      </c>
      <c r="X6548">
        <v>0.99005489999999996</v>
      </c>
      <c r="Y6548">
        <v>-3.3405490000000003E-2</v>
      </c>
      <c r="Z6548">
        <v>-5.9797070000000001E-2</v>
      </c>
      <c r="AA6548">
        <v>0.99765150000000002</v>
      </c>
      <c r="AB6548">
        <v>32</v>
      </c>
      <c r="AC6548">
        <v>-0.75530000000000497</v>
      </c>
      <c r="AD6548">
        <v>-1.10880276959999</v>
      </c>
      <c r="AE6548">
        <v>18.191510000000001</v>
      </c>
      <c r="AF6548">
        <v>-0.61744418657914502</v>
      </c>
      <c r="AG6548">
        <v>-1.10880276959999</v>
      </c>
      <c r="AH6548">
        <v>18.129396054724801</v>
      </c>
      <c r="AI6548">
        <v>93.497855488131293</v>
      </c>
      <c r="AJ6548">
        <v>91.950604268124195</v>
      </c>
      <c r="AK6548">
        <v>18.1737635676952</v>
      </c>
      <c r="AL6548">
        <v>82.196244919962496</v>
      </c>
      <c r="AM6548">
        <v>87.870806980998594</v>
      </c>
      <c r="AN6548">
        <v>0.99999996847584904</v>
      </c>
    </row>
    <row r="6549" spans="1:40" x14ac:dyDescent="0.25">
      <c r="A6549" t="str">
        <f>"20190312164632095"</f>
        <v>20190312164632095</v>
      </c>
      <c r="B6549" t="str">
        <f>"1552380392088084"</f>
        <v>1552380392088084</v>
      </c>
      <c r="C6549" t="s">
        <v>40</v>
      </c>
      <c r="D6549">
        <v>4.4285389999999998</v>
      </c>
      <c r="E6549">
        <v>0.47695359999999998</v>
      </c>
      <c r="F6549" t="s">
        <v>42</v>
      </c>
      <c r="G6549">
        <v>-188.27330000000001</v>
      </c>
      <c r="H6549" s="1">
        <v>-3.9191180000000004E-6</v>
      </c>
      <c r="I6549">
        <v>28.054369999999999</v>
      </c>
      <c r="J6549">
        <v>-187.51599999999999</v>
      </c>
      <c r="K6549">
        <v>1.108798</v>
      </c>
      <c r="L6549">
        <v>9.8681339999999995</v>
      </c>
      <c r="M6549">
        <v>-7.4410619999999896E-3</v>
      </c>
      <c r="N6549">
        <v>0</v>
      </c>
      <c r="O6549">
        <v>0.99988480000000002</v>
      </c>
      <c r="P6549">
        <v>2.9383200000000002E-2</v>
      </c>
      <c r="Q6549">
        <v>0.1230295</v>
      </c>
      <c r="R6549">
        <v>0.99196790000000001</v>
      </c>
      <c r="S6549">
        <v>-0.12503049999999999</v>
      </c>
      <c r="T6549">
        <v>-0.1824172</v>
      </c>
      <c r="U6549">
        <v>3.0504760000000002</v>
      </c>
      <c r="V6549">
        <v>3.6771739999999997E-2</v>
      </c>
      <c r="W6549">
        <v>0.1361395</v>
      </c>
      <c r="X6549">
        <v>0.99000699999999997</v>
      </c>
      <c r="Y6549">
        <v>-3.3443309999999997E-2</v>
      </c>
      <c r="Z6549">
        <v>-5.9648819999999998E-2</v>
      </c>
      <c r="AA6549">
        <v>0.99765899999999996</v>
      </c>
      <c r="AB6549">
        <v>32</v>
      </c>
      <c r="AC6549">
        <v>-0.75730000000001496</v>
      </c>
      <c r="AD6549">
        <v>-1.1088019191180001</v>
      </c>
      <c r="AE6549">
        <v>18.186235999999901</v>
      </c>
      <c r="AF6549">
        <v>-0.61964289395755001</v>
      </c>
      <c r="AG6549">
        <v>-1.1088019191180001</v>
      </c>
      <c r="AH6549">
        <v>18.124112715778999</v>
      </c>
      <c r="AI6549">
        <v>93.498854321909704</v>
      </c>
      <c r="AJ6549">
        <v>91.9581151369472</v>
      </c>
      <c r="AK6549">
        <v>18.168567933277899</v>
      </c>
      <c r="AL6549">
        <v>82.175483132120604</v>
      </c>
      <c r="AM6549">
        <v>87.872845914866602</v>
      </c>
      <c r="AN6549">
        <v>0.99999999218593805</v>
      </c>
    </row>
    <row r="6550" spans="1:40" x14ac:dyDescent="0.25">
      <c r="A6550" t="str">
        <f>"20190312164632117"</f>
        <v>20190312164632117</v>
      </c>
      <c r="B6550" t="str">
        <f>"1552380392107604"</f>
        <v>1552380392107604</v>
      </c>
      <c r="C6550" t="s">
        <v>40</v>
      </c>
      <c r="D6550">
        <v>4.5693489999999999</v>
      </c>
      <c r="E6550">
        <v>0.47703960000000001</v>
      </c>
      <c r="F6550" t="s">
        <v>42</v>
      </c>
      <c r="G6550">
        <v>-188.28049999999999</v>
      </c>
      <c r="H6550" s="1">
        <v>-4.1393369999999999E-6</v>
      </c>
      <c r="I6550">
        <v>28.57067</v>
      </c>
      <c r="J6550">
        <v>-187.51830000000001</v>
      </c>
      <c r="K6550">
        <v>1.1087990000000001</v>
      </c>
      <c r="L6550">
        <v>10.182829999999999</v>
      </c>
      <c r="M6550">
        <v>-7.4293040000000003E-3</v>
      </c>
      <c r="N6550">
        <v>0</v>
      </c>
      <c r="O6550">
        <v>0.999884</v>
      </c>
      <c r="P6550">
        <v>2.934343E-2</v>
      </c>
      <c r="Q6550">
        <v>0.12314310000000001</v>
      </c>
      <c r="R6550">
        <v>0.99195500000000003</v>
      </c>
      <c r="S6550">
        <v>-0.12469479999999999</v>
      </c>
      <c r="T6550">
        <v>-0.18084739999999999</v>
      </c>
      <c r="U6550">
        <v>3.0504150000000001</v>
      </c>
      <c r="V6550">
        <v>3.6721009999999998E-2</v>
      </c>
      <c r="W6550">
        <v>0.13631660000000001</v>
      </c>
      <c r="X6550">
        <v>0.98998450000000005</v>
      </c>
      <c r="Y6550">
        <v>-3.3347509999999997E-2</v>
      </c>
      <c r="Z6550">
        <v>-5.9138740000000002E-2</v>
      </c>
      <c r="AA6550">
        <v>0.99769260000000004</v>
      </c>
      <c r="AB6550">
        <v>32</v>
      </c>
      <c r="AC6550">
        <v>-0.76219999999997801</v>
      </c>
      <c r="AD6550">
        <v>-1.1088031393369999</v>
      </c>
      <c r="AE6550">
        <v>18.387840000000001</v>
      </c>
      <c r="AF6550">
        <v>-0.62329549282111196</v>
      </c>
      <c r="AG6550">
        <v>-1.1088031393369999</v>
      </c>
      <c r="AH6550">
        <v>18.326471199534101</v>
      </c>
      <c r="AI6550">
        <v>93.460339579527002</v>
      </c>
      <c r="AJ6550">
        <v>91.947916789406804</v>
      </c>
      <c r="AK6550">
        <v>18.370560369801701</v>
      </c>
      <c r="AL6550">
        <v>82.165240460206206</v>
      </c>
      <c r="AM6550">
        <v>87.875729595166504</v>
      </c>
      <c r="AN6550">
        <v>0.999999979125615</v>
      </c>
    </row>
    <row r="6551" spans="1:40" x14ac:dyDescent="0.25">
      <c r="A6551" t="str">
        <f>"20190312164632141"</f>
        <v>20190312164632141</v>
      </c>
      <c r="B6551" t="str">
        <f>"1552380392137860"</f>
        <v>1552380392137860</v>
      </c>
      <c r="C6551" t="s">
        <v>40</v>
      </c>
      <c r="D6551">
        <v>4.5577800000000002</v>
      </c>
      <c r="E6551">
        <v>0.47713749999999999</v>
      </c>
      <c r="F6551" t="s">
        <v>42</v>
      </c>
      <c r="G6551">
        <v>-188.28749999999999</v>
      </c>
      <c r="H6551" s="1">
        <v>-4.3478930000000004E-6</v>
      </c>
      <c r="I6551">
        <v>29.059729999999998</v>
      </c>
      <c r="J6551">
        <v>-187.52080000000001</v>
      </c>
      <c r="K6551">
        <v>1.1087959999999999</v>
      </c>
      <c r="L6551">
        <v>10.52258</v>
      </c>
      <c r="M6551">
        <v>-7.4075039999999997E-3</v>
      </c>
      <c r="N6551">
        <v>0</v>
      </c>
      <c r="O6551">
        <v>0.99988339999999998</v>
      </c>
      <c r="P6551">
        <v>2.9680129999999999E-2</v>
      </c>
      <c r="Q6551">
        <v>0.12354229999999999</v>
      </c>
      <c r="R6551">
        <v>0.99189539999999998</v>
      </c>
      <c r="S6551">
        <v>-0.12429809999999999</v>
      </c>
      <c r="T6551">
        <v>-0.1791683</v>
      </c>
      <c r="U6551">
        <v>3.050262</v>
      </c>
      <c r="V6551">
        <v>3.7037569999999999E-2</v>
      </c>
      <c r="W6551">
        <v>0.13677349999999999</v>
      </c>
      <c r="X6551">
        <v>0.9899097</v>
      </c>
      <c r="Y6551">
        <v>-3.3243080000000001E-2</v>
      </c>
      <c r="Z6551">
        <v>-5.8594760000000003E-2</v>
      </c>
      <c r="AA6551">
        <v>0.99772819999999995</v>
      </c>
      <c r="AB6551">
        <v>32</v>
      </c>
      <c r="AC6551">
        <v>-0.76669999999998595</v>
      </c>
      <c r="AD6551">
        <v>-1.108800347893</v>
      </c>
      <c r="AE6551">
        <v>18.53715</v>
      </c>
      <c r="AF6551">
        <v>-0.627112827139641</v>
      </c>
      <c r="AG6551">
        <v>-1.108800347893</v>
      </c>
      <c r="AH6551">
        <v>18.476328728761001</v>
      </c>
      <c r="AI6551">
        <v>93.432340307663907</v>
      </c>
      <c r="AJ6551">
        <v>91.943953835116105</v>
      </c>
      <c r="AK6551">
        <v>18.520189847911698</v>
      </c>
      <c r="AL6551">
        <v>82.138814618593798</v>
      </c>
      <c r="AM6551">
        <v>87.857272191912799</v>
      </c>
      <c r="AN6551">
        <v>0.99999999302392195</v>
      </c>
    </row>
    <row r="6552" spans="1:40" x14ac:dyDescent="0.25">
      <c r="A6552" t="str">
        <f>"20190312164632164"</f>
        <v>20190312164632164</v>
      </c>
      <c r="B6552" t="str">
        <f>"1552380392157380"</f>
        <v>1552380392157380</v>
      </c>
      <c r="C6552" t="s">
        <v>40</v>
      </c>
      <c r="D6552">
        <v>4.4973599999999996</v>
      </c>
      <c r="E6552">
        <v>0.47721039999999998</v>
      </c>
      <c r="F6552" t="s">
        <v>42</v>
      </c>
      <c r="G6552">
        <v>-188.29150000000001</v>
      </c>
      <c r="H6552" s="1">
        <v>-4.858956E-7</v>
      </c>
      <c r="I6552">
        <v>29.740030000000001</v>
      </c>
      <c r="J6552">
        <v>-187.5232</v>
      </c>
      <c r="K6552">
        <v>1.1087929999999999</v>
      </c>
      <c r="L6552">
        <v>10.85257</v>
      </c>
      <c r="M6552">
        <v>-7.3718480000000003E-3</v>
      </c>
      <c r="N6552">
        <v>0</v>
      </c>
      <c r="O6552">
        <v>0.99988290000000002</v>
      </c>
      <c r="P6552">
        <v>2.9926930000000001E-2</v>
      </c>
      <c r="Q6552">
        <v>0.1232805</v>
      </c>
      <c r="R6552">
        <v>0.99192049999999998</v>
      </c>
      <c r="S6552">
        <v>-0.12231450000000001</v>
      </c>
      <c r="T6552">
        <v>-0.17598159999999999</v>
      </c>
      <c r="U6552">
        <v>3.0500790000000002</v>
      </c>
      <c r="V6552">
        <v>3.7252479999999998E-2</v>
      </c>
      <c r="W6552">
        <v>0.13656090000000001</v>
      </c>
      <c r="X6552">
        <v>0.98993100000000001</v>
      </c>
      <c r="Y6552">
        <v>-3.2635740000000003E-2</v>
      </c>
      <c r="Z6552">
        <v>-5.7560859999999998E-2</v>
      </c>
      <c r="AA6552">
        <v>0.99780840000000004</v>
      </c>
      <c r="AB6552">
        <v>32</v>
      </c>
      <c r="AC6552">
        <v>-0.76830000000000997</v>
      </c>
      <c r="AD6552">
        <v>-1.1087934858955999</v>
      </c>
      <c r="AE6552">
        <v>18.887460000000001</v>
      </c>
      <c r="AF6552">
        <v>-0.62687427992938505</v>
      </c>
      <c r="AG6552">
        <v>-1.1087934858955999</v>
      </c>
      <c r="AH6552">
        <v>18.8278316526734</v>
      </c>
      <c r="AI6552">
        <v>93.3684619161169</v>
      </c>
      <c r="AJ6552">
        <v>91.906963469443895</v>
      </c>
      <c r="AK6552">
        <v>18.870867470750099</v>
      </c>
      <c r="AL6552">
        <v>82.151111179156899</v>
      </c>
      <c r="AM6552">
        <v>87.8448970608477</v>
      </c>
      <c r="AN6552">
        <v>1.0000000057179801</v>
      </c>
    </row>
    <row r="6553" spans="1:40" x14ac:dyDescent="0.25">
      <c r="A6553" t="str">
        <f>"20190312164632184"</f>
        <v>20190312164632184</v>
      </c>
      <c r="B6553" t="str">
        <f>"1552380392177876"</f>
        <v>1552380392177876</v>
      </c>
      <c r="C6553" t="s">
        <v>40</v>
      </c>
      <c r="D6553">
        <v>4.4859770000000001</v>
      </c>
      <c r="E6553">
        <v>0.4772827</v>
      </c>
      <c r="F6553" t="s">
        <v>42</v>
      </c>
      <c r="G6553">
        <v>-188.2851</v>
      </c>
      <c r="H6553" s="1">
        <v>-6.1522290000000001E-7</v>
      </c>
      <c r="I6553">
        <v>30.115100000000002</v>
      </c>
      <c r="J6553">
        <v>-187.52539999999999</v>
      </c>
      <c r="K6553">
        <v>1.1087800000000001</v>
      </c>
      <c r="L6553">
        <v>11.15311</v>
      </c>
      <c r="M6553">
        <v>-7.3198309999999997E-3</v>
      </c>
      <c r="N6553">
        <v>0</v>
      </c>
      <c r="O6553">
        <v>0.99988279999999996</v>
      </c>
      <c r="P6553">
        <v>3.033433E-2</v>
      </c>
      <c r="Q6553">
        <v>0.12317690000000001</v>
      </c>
      <c r="R6553">
        <v>0.99192100000000005</v>
      </c>
      <c r="S6553">
        <v>-0.12063599999999999</v>
      </c>
      <c r="T6553">
        <v>-0.17555879999999999</v>
      </c>
      <c r="U6553">
        <v>3.0498959999999999</v>
      </c>
      <c r="V6553">
        <v>3.7612819999999998E-2</v>
      </c>
      <c r="W6553">
        <v>0.1364948</v>
      </c>
      <c r="X6553">
        <v>0.98992650000000004</v>
      </c>
      <c r="Y6553">
        <v>-3.2142169999999998E-2</v>
      </c>
      <c r="Z6553">
        <v>-5.7427569999999997E-2</v>
      </c>
      <c r="AA6553">
        <v>0.9978321</v>
      </c>
      <c r="AB6553">
        <v>32</v>
      </c>
      <c r="AC6553">
        <v>-0.75970000000000903</v>
      </c>
      <c r="AD6553">
        <v>-1.1087806152228901</v>
      </c>
      <c r="AE6553">
        <v>18.96199</v>
      </c>
      <c r="AF6553">
        <v>-0.61875627626156304</v>
      </c>
      <c r="AG6553">
        <v>-1.1087806152228901</v>
      </c>
      <c r="AH6553">
        <v>18.902515545498101</v>
      </c>
      <c r="AI6553">
        <v>93.355206654708098</v>
      </c>
      <c r="AJ6553">
        <v>91.874854628782899</v>
      </c>
      <c r="AK6553">
        <v>18.945114085956401</v>
      </c>
      <c r="AL6553">
        <v>82.154934301806804</v>
      </c>
      <c r="AM6553">
        <v>87.824060997784898</v>
      </c>
      <c r="AN6553">
        <v>1.00000001502882</v>
      </c>
    </row>
    <row r="6554" spans="1:40" x14ac:dyDescent="0.25">
      <c r="A6554" t="str">
        <f>"20190312164632206"</f>
        <v>20190312164632206</v>
      </c>
      <c r="B6554" t="str">
        <f>"1552380392197396"</f>
        <v>1552380392197396</v>
      </c>
      <c r="C6554" t="s">
        <v>40</v>
      </c>
      <c r="D6554">
        <v>4.3420139999999998</v>
      </c>
      <c r="E6554">
        <v>0.47738740000000002</v>
      </c>
      <c r="F6554" t="s">
        <v>42</v>
      </c>
      <c r="G6554">
        <v>-188.28110000000001</v>
      </c>
      <c r="H6554" s="1">
        <v>-7.5324430000000002E-7</v>
      </c>
      <c r="I6554">
        <v>30.51754</v>
      </c>
      <c r="J6554">
        <v>-187.52760000000001</v>
      </c>
      <c r="K6554">
        <v>1.108771</v>
      </c>
      <c r="L6554">
        <v>11.46069</v>
      </c>
      <c r="M6554">
        <v>-7.2432800000000004E-3</v>
      </c>
      <c r="N6554">
        <v>0</v>
      </c>
      <c r="O6554">
        <v>0.99988290000000002</v>
      </c>
      <c r="P6554">
        <v>3.0468370000000002E-2</v>
      </c>
      <c r="Q6554">
        <v>0.1231115</v>
      </c>
      <c r="R6554">
        <v>0.99192499999999995</v>
      </c>
      <c r="S6554">
        <v>-0.1190186</v>
      </c>
      <c r="T6554">
        <v>-0.1746259</v>
      </c>
      <c r="U6554">
        <v>3.0497740000000002</v>
      </c>
      <c r="V6554">
        <v>3.7676979999999999E-2</v>
      </c>
      <c r="W6554">
        <v>0.13646259999999999</v>
      </c>
      <c r="X6554">
        <v>0.98992849999999999</v>
      </c>
      <c r="Y6554">
        <v>-3.169255E-2</v>
      </c>
      <c r="Z6554">
        <v>-5.7126719999999999E-2</v>
      </c>
      <c r="AA6554">
        <v>0.99786379999999997</v>
      </c>
      <c r="AB6554">
        <v>32</v>
      </c>
      <c r="AC6554">
        <v>-0.75350000000000195</v>
      </c>
      <c r="AD6554">
        <v>-1.1087717532443</v>
      </c>
      <c r="AE6554">
        <v>19.056850000000001</v>
      </c>
      <c r="AF6554">
        <v>-0.61336048977513402</v>
      </c>
      <c r="AG6554">
        <v>-1.1087717532443</v>
      </c>
      <c r="AH6554">
        <v>18.997598348905999</v>
      </c>
      <c r="AI6554">
        <v>93.338473778135906</v>
      </c>
      <c r="AJ6554">
        <v>91.849221326125999</v>
      </c>
      <c r="AK6554">
        <v>19.0398090567517</v>
      </c>
      <c r="AL6554">
        <v>82.1567966561216</v>
      </c>
      <c r="AM6554">
        <v>87.820357254420998</v>
      </c>
      <c r="AN6554">
        <v>1.0000000155664599</v>
      </c>
    </row>
    <row r="6555" spans="1:40" x14ac:dyDescent="0.25">
      <c r="A6555" t="str">
        <f>"20190312164632230"</f>
        <v>20190312164632230</v>
      </c>
      <c r="B6555" t="str">
        <f>"1552380392227653"</f>
        <v>1552380392227653</v>
      </c>
      <c r="C6555" t="s">
        <v>40</v>
      </c>
      <c r="D6555">
        <v>4.4275099999999998</v>
      </c>
      <c r="E6555">
        <v>0.47734670000000001</v>
      </c>
      <c r="F6555" t="s">
        <v>42</v>
      </c>
      <c r="G6555">
        <v>-188.28149999999999</v>
      </c>
      <c r="H6555" s="1">
        <v>-9.0423940000000005E-7</v>
      </c>
      <c r="I6555">
        <v>30.961580000000001</v>
      </c>
      <c r="J6555">
        <v>-187.5299</v>
      </c>
      <c r="K6555">
        <v>1.108752</v>
      </c>
      <c r="L6555">
        <v>11.79565</v>
      </c>
      <c r="M6555">
        <v>-7.1293490000000001E-3</v>
      </c>
      <c r="N6555">
        <v>0</v>
      </c>
      <c r="O6555">
        <v>0.99988319999999997</v>
      </c>
      <c r="P6555">
        <v>3.0491649999999999E-2</v>
      </c>
      <c r="Q6555">
        <v>0.1234497</v>
      </c>
      <c r="R6555">
        <v>0.99188229999999999</v>
      </c>
      <c r="S6555">
        <v>-0.1179047</v>
      </c>
      <c r="T6555">
        <v>-0.1733905</v>
      </c>
      <c r="U6555">
        <v>3.0495610000000002</v>
      </c>
      <c r="V6555">
        <v>3.759477E-2</v>
      </c>
      <c r="W6555">
        <v>0.13683110000000001</v>
      </c>
      <c r="X6555">
        <v>0.98988069999999895</v>
      </c>
      <c r="Y6555">
        <v>-3.1446099999999998E-2</v>
      </c>
      <c r="Z6555">
        <v>-5.6728529999999999E-2</v>
      </c>
      <c r="AA6555">
        <v>0.99789430000000001</v>
      </c>
      <c r="AB6555">
        <v>32</v>
      </c>
      <c r="AC6555">
        <v>-0.75159999999999605</v>
      </c>
      <c r="AD6555">
        <v>-1.1087529042394</v>
      </c>
      <c r="AE6555">
        <v>19.165929999999999</v>
      </c>
      <c r="AF6555">
        <v>-0.61287986115875004</v>
      </c>
      <c r="AG6555">
        <v>-1.1087529042394</v>
      </c>
      <c r="AH6555">
        <v>19.106955707100301</v>
      </c>
      <c r="AI6555">
        <v>93.319375149797693</v>
      </c>
      <c r="AJ6555">
        <v>91.837204947241801</v>
      </c>
      <c r="AK6555">
        <v>19.148908875441599</v>
      </c>
      <c r="AL6555">
        <v>82.135482785921695</v>
      </c>
      <c r="AM6555">
        <v>87.825003673325796</v>
      </c>
      <c r="AN6555">
        <v>0.99999995844552503</v>
      </c>
    </row>
    <row r="6556" spans="1:40" x14ac:dyDescent="0.25">
      <c r="A6556" t="str">
        <f>"20190312164632251"</f>
        <v>20190312164632251</v>
      </c>
      <c r="B6556" t="str">
        <f>"1552380392248148"</f>
        <v>1552380392248148</v>
      </c>
      <c r="C6556" t="s">
        <v>40</v>
      </c>
      <c r="D6556">
        <v>4.353631</v>
      </c>
      <c r="E6556">
        <v>0.47729189999999999</v>
      </c>
      <c r="F6556" t="s">
        <v>42</v>
      </c>
      <c r="G6556">
        <v>-188.2903</v>
      </c>
      <c r="H6556" s="1">
        <v>-1.062878E-6</v>
      </c>
      <c r="I6556">
        <v>31.403420000000001</v>
      </c>
      <c r="J6556">
        <v>-187.53190000000001</v>
      </c>
      <c r="K6556">
        <v>1.1087400000000001</v>
      </c>
      <c r="L6556">
        <v>12.09863</v>
      </c>
      <c r="M6556">
        <v>-6.9981929999999998E-3</v>
      </c>
      <c r="N6556">
        <v>0</v>
      </c>
      <c r="O6556">
        <v>0.99988379999999999</v>
      </c>
      <c r="P6556">
        <v>3.067609E-2</v>
      </c>
      <c r="Q6556">
        <v>0.1241555</v>
      </c>
      <c r="R6556">
        <v>0.99178849999999996</v>
      </c>
      <c r="S6556">
        <v>-0.118270899999999</v>
      </c>
      <c r="T6556">
        <v>-0.1724474</v>
      </c>
      <c r="U6556">
        <v>3.049652</v>
      </c>
      <c r="V6556">
        <v>3.7656009999999997E-2</v>
      </c>
      <c r="W6556">
        <v>0.1375585</v>
      </c>
      <c r="X6556">
        <v>0.98977760000000004</v>
      </c>
      <c r="Y6556">
        <v>-3.1696380000000003E-2</v>
      </c>
      <c r="Z6556">
        <v>-5.6419009999999999E-2</v>
      </c>
      <c r="AA6556">
        <v>0.99790389999999995</v>
      </c>
      <c r="AB6556">
        <v>32</v>
      </c>
      <c r="AC6556">
        <v>-0.75839999999999397</v>
      </c>
      <c r="AD6556">
        <v>-1.1087410628779999</v>
      </c>
      <c r="AE6556">
        <v>19.304790000000001</v>
      </c>
      <c r="AF6556">
        <v>-0.62122437277625198</v>
      </c>
      <c r="AG6556">
        <v>-1.1087410628779999</v>
      </c>
      <c r="AH6556">
        <v>19.246237227420501</v>
      </c>
      <c r="AI6556">
        <v>93.295350162126596</v>
      </c>
      <c r="AJ6556">
        <v>91.848734427781494</v>
      </c>
      <c r="AK6556">
        <v>19.288153718798199</v>
      </c>
      <c r="AL6556">
        <v>82.093408361648699</v>
      </c>
      <c r="AM6556">
        <v>87.821237415987795</v>
      </c>
      <c r="AN6556">
        <v>1.00000000673656</v>
      </c>
    </row>
    <row r="6557" spans="1:40" x14ac:dyDescent="0.25">
      <c r="A6557" t="str">
        <f>"20190312164632272"</f>
        <v>20190312164632272</v>
      </c>
      <c r="B6557" t="str">
        <f>"1552380392267273"</f>
        <v>1552380392267273</v>
      </c>
      <c r="C6557" t="s">
        <v>40</v>
      </c>
      <c r="D6557">
        <v>4.3456409999999996</v>
      </c>
      <c r="E6557">
        <v>0.4772885</v>
      </c>
      <c r="F6557" t="s">
        <v>42</v>
      </c>
      <c r="G6557">
        <v>-188.3006</v>
      </c>
      <c r="H6557" s="1">
        <v>-1.2810939999999999E-6</v>
      </c>
      <c r="I6557">
        <v>31.916340000000002</v>
      </c>
      <c r="J6557">
        <v>-187.53389999999999</v>
      </c>
      <c r="K6557">
        <v>1.108727</v>
      </c>
      <c r="L6557">
        <v>12.40488</v>
      </c>
      <c r="M6557">
        <v>-6.8445190000000003E-3</v>
      </c>
      <c r="N6557">
        <v>0</v>
      </c>
      <c r="O6557">
        <v>0.99988460000000001</v>
      </c>
      <c r="P6557">
        <v>3.1217129999999999E-2</v>
      </c>
      <c r="Q6557">
        <v>0.12479079999999999</v>
      </c>
      <c r="R6557">
        <v>0.99169180000000001</v>
      </c>
      <c r="S6557">
        <v>-0.1183014</v>
      </c>
      <c r="T6557">
        <v>-0.1706308</v>
      </c>
      <c r="U6557">
        <v>3.0498660000000002</v>
      </c>
      <c r="V6557">
        <v>3.8050680000000003E-2</v>
      </c>
      <c r="W6557">
        <v>0.13821259999999999</v>
      </c>
      <c r="X6557">
        <v>0.98967130000000003</v>
      </c>
      <c r="Y6557">
        <v>-3.1858560000000001E-2</v>
      </c>
      <c r="Z6557">
        <v>-5.5822579999999997E-2</v>
      </c>
      <c r="AA6557">
        <v>0.99793229999999999</v>
      </c>
      <c r="AB6557">
        <v>32</v>
      </c>
      <c r="AC6557">
        <v>-0.76670000000001404</v>
      </c>
      <c r="AD6557">
        <v>-1.108728281094</v>
      </c>
      <c r="AE6557">
        <v>19.51146</v>
      </c>
      <c r="AF6557">
        <v>-0.63108853917135899</v>
      </c>
      <c r="AG6557">
        <v>-1.108728281094</v>
      </c>
      <c r="AH6557">
        <v>19.4535320572787</v>
      </c>
      <c r="AI6557">
        <v>93.260256751103199</v>
      </c>
      <c r="AJ6557">
        <v>91.858070459033499</v>
      </c>
      <c r="AK6557">
        <v>19.495318941970101</v>
      </c>
      <c r="AL6557">
        <v>82.055569146707995</v>
      </c>
      <c r="AM6557">
        <v>87.798188075065596</v>
      </c>
      <c r="AN6557">
        <v>0.99999992954545303</v>
      </c>
    </row>
    <row r="6558" spans="1:40" x14ac:dyDescent="0.25">
      <c r="A6558" t="str">
        <f>"20190312164632306"</f>
        <v>20190312164632306</v>
      </c>
      <c r="B6558" t="str">
        <f>"1552380392297530"</f>
        <v>1552380392297530</v>
      </c>
      <c r="C6558" t="s">
        <v>40</v>
      </c>
      <c r="D6558">
        <v>4.3151979999999996</v>
      </c>
      <c r="E6558">
        <v>0.47732340000000001</v>
      </c>
      <c r="F6558" t="s">
        <v>42</v>
      </c>
      <c r="G6558">
        <v>-188.3141</v>
      </c>
      <c r="H6558" s="1">
        <v>-1.548007E-6</v>
      </c>
      <c r="I6558">
        <v>32.544119999999999</v>
      </c>
      <c r="J6558">
        <v>-187.5369</v>
      </c>
      <c r="K6558">
        <v>1.1087089999999999</v>
      </c>
      <c r="L6558">
        <v>12.89865</v>
      </c>
      <c r="M6558">
        <v>-6.5635249999999997E-3</v>
      </c>
      <c r="N6558">
        <v>0</v>
      </c>
      <c r="O6558">
        <v>0.9998861</v>
      </c>
      <c r="P6558">
        <v>3.1799000000000001E-2</v>
      </c>
      <c r="Q6558">
        <v>0.1249252</v>
      </c>
      <c r="R6558">
        <v>0.99165639999999999</v>
      </c>
      <c r="S6558">
        <v>-0.11816409999999999</v>
      </c>
      <c r="T6558">
        <v>-0.16791130000000001</v>
      </c>
      <c r="U6558">
        <v>3.0499879999999999</v>
      </c>
      <c r="V6558">
        <v>3.8361579999999999E-2</v>
      </c>
      <c r="W6558">
        <v>0.13837360000000001</v>
      </c>
      <c r="X6558">
        <v>0.98963690000000004</v>
      </c>
      <c r="Y6558">
        <v>-3.2094930000000001E-2</v>
      </c>
      <c r="Z6558">
        <v>-5.49334E-2</v>
      </c>
      <c r="AA6558">
        <v>0.99797400000000003</v>
      </c>
      <c r="AB6558">
        <v>32</v>
      </c>
      <c r="AC6558">
        <v>-0.77719999999999301</v>
      </c>
      <c r="AD6558">
        <v>-1.1087105480070001</v>
      </c>
      <c r="AE6558">
        <v>19.64547</v>
      </c>
      <c r="AF6558">
        <v>-0.64617295770259697</v>
      </c>
      <c r="AG6558">
        <v>-1.1087105480070001</v>
      </c>
      <c r="AH6558">
        <v>19.587858261334102</v>
      </c>
      <c r="AI6558">
        <v>93.237837365826294</v>
      </c>
      <c r="AJ6558">
        <v>91.889413413574403</v>
      </c>
      <c r="AK6558">
        <v>19.629848950938001</v>
      </c>
      <c r="AL6558">
        <v>82.046255824914795</v>
      </c>
      <c r="AM6558">
        <v>87.780138611253705</v>
      </c>
      <c r="AN6558">
        <v>1.00000002891933</v>
      </c>
    </row>
    <row r="6559" spans="1:40" x14ac:dyDescent="0.25">
      <c r="A6559" t="str">
        <f>"20190312164632329"</f>
        <v>20190312164632329</v>
      </c>
      <c r="B6559" t="str">
        <f>"1552380392318026"</f>
        <v>1552380392318026</v>
      </c>
      <c r="C6559" t="s">
        <v>40</v>
      </c>
      <c r="D6559">
        <v>4.3362179999999997</v>
      </c>
      <c r="E6559">
        <v>0.47738320000000001</v>
      </c>
      <c r="F6559" t="s">
        <v>42</v>
      </c>
      <c r="G6559">
        <v>-188.31370000000001</v>
      </c>
      <c r="H6559" s="1">
        <v>-1.8514040000000001E-6</v>
      </c>
      <c r="I6559">
        <v>33.251159999999999</v>
      </c>
      <c r="J6559">
        <v>-187.53880000000001</v>
      </c>
      <c r="K6559">
        <v>1.108697</v>
      </c>
      <c r="L6559">
        <v>13.216799999999999</v>
      </c>
      <c r="M6559">
        <v>-6.3691900000000003E-3</v>
      </c>
      <c r="N6559">
        <v>0</v>
      </c>
      <c r="O6559">
        <v>0.99988719999999998</v>
      </c>
      <c r="P6559">
        <v>3.2730790000000003E-2</v>
      </c>
      <c r="Q6559">
        <v>0.124581399999999</v>
      </c>
      <c r="R6559">
        <v>0.99166940000000003</v>
      </c>
      <c r="S6559">
        <v>-0.116394</v>
      </c>
      <c r="T6559">
        <v>-0.16614429999999999</v>
      </c>
      <c r="U6559">
        <v>3.0498959999999999</v>
      </c>
      <c r="V6559">
        <v>3.9103880000000001E-2</v>
      </c>
      <c r="W6559">
        <v>0.138044</v>
      </c>
      <c r="X6559">
        <v>0.98965380000000003</v>
      </c>
      <c r="Y6559">
        <v>-3.171322E-2</v>
      </c>
      <c r="Z6559">
        <v>-5.435968E-2</v>
      </c>
      <c r="AA6559">
        <v>0.99801770000000001</v>
      </c>
      <c r="AB6559">
        <v>32</v>
      </c>
      <c r="AC6559">
        <v>-0.77490000000000203</v>
      </c>
      <c r="AD6559">
        <v>-1.1086988514039999</v>
      </c>
      <c r="AE6559">
        <v>20.03436</v>
      </c>
      <c r="AF6559">
        <v>-0.64529655851113399</v>
      </c>
      <c r="AG6559">
        <v>-1.1086988514039999</v>
      </c>
      <c r="AH6559">
        <v>19.9777988630542</v>
      </c>
      <c r="AI6559">
        <v>93.174807193520905</v>
      </c>
      <c r="AJ6559">
        <v>91.850049613372505</v>
      </c>
      <c r="AK6559">
        <v>20.0189427344249</v>
      </c>
      <c r="AL6559">
        <v>82.065322886353101</v>
      </c>
      <c r="AM6559">
        <v>87.737266922111701</v>
      </c>
      <c r="AN6559">
        <v>0.99999995161074595</v>
      </c>
    </row>
    <row r="6560" spans="1:40" x14ac:dyDescent="0.25">
      <c r="A6560" t="str">
        <f>"20190312164632353"</f>
        <v>20190312164632353</v>
      </c>
      <c r="B6560" t="str">
        <f>"1552380392347307"</f>
        <v>1552380392347307</v>
      </c>
      <c r="C6560" t="s">
        <v>40</v>
      </c>
      <c r="D6560">
        <v>4.2648710000000003</v>
      </c>
      <c r="E6560">
        <v>0.47740630000000001</v>
      </c>
      <c r="F6560" t="s">
        <v>42</v>
      </c>
      <c r="G6560">
        <v>-188.29060000000001</v>
      </c>
      <c r="H6560" s="1">
        <v>-1.9812359999999999E-6</v>
      </c>
      <c r="I6560">
        <v>33.544269999999997</v>
      </c>
      <c r="J6560">
        <v>-187.54069999999999</v>
      </c>
      <c r="K6560">
        <v>1.108697</v>
      </c>
      <c r="L6560">
        <v>13.553190000000001</v>
      </c>
      <c r="M6560">
        <v>-6.15892E-3</v>
      </c>
      <c r="N6560">
        <v>0</v>
      </c>
      <c r="O6560">
        <v>0.99988829999999995</v>
      </c>
      <c r="P6560">
        <v>3.3236759999999997E-2</v>
      </c>
      <c r="Q6560">
        <v>0.1241314</v>
      </c>
      <c r="R6560">
        <v>0.99170899999999995</v>
      </c>
      <c r="S6560">
        <v>-0.112793</v>
      </c>
      <c r="T6560">
        <v>-0.16634379999999999</v>
      </c>
      <c r="U6560">
        <v>3.0498349999999999</v>
      </c>
      <c r="V6560">
        <v>3.9403430000000003E-2</v>
      </c>
      <c r="W6560">
        <v>0.1376076</v>
      </c>
      <c r="X6560">
        <v>0.98970279999999999</v>
      </c>
      <c r="Y6560">
        <v>-3.074727E-2</v>
      </c>
      <c r="Z6560">
        <v>-5.4427990000000002E-2</v>
      </c>
      <c r="AA6560">
        <v>0.99804420000000005</v>
      </c>
      <c r="AB6560">
        <v>32</v>
      </c>
      <c r="AC6560">
        <v>-0.74990000000002499</v>
      </c>
      <c r="AD6560">
        <v>-1.108698981236</v>
      </c>
      <c r="AE6560">
        <v>19.99108</v>
      </c>
      <c r="AF6560">
        <v>-0.62483175117543399</v>
      </c>
      <c r="AG6560">
        <v>-1.108698981236</v>
      </c>
      <c r="AH6560">
        <v>19.9340931122941</v>
      </c>
      <c r="AI6560">
        <v>93.181850566257694</v>
      </c>
      <c r="AJ6560">
        <v>91.795341496741798</v>
      </c>
      <c r="AK6560">
        <v>19.9746763767997</v>
      </c>
      <c r="AL6560">
        <v>82.090568529847602</v>
      </c>
      <c r="AM6560">
        <v>87.720064550185398</v>
      </c>
      <c r="AN6560">
        <v>1.00000005710068</v>
      </c>
    </row>
    <row r="6561" spans="1:40" x14ac:dyDescent="0.25">
      <c r="A6561" t="str">
        <f>"20190312164632374"</f>
        <v>20190312164632374</v>
      </c>
      <c r="B6561" t="str">
        <f>"1552380392367802"</f>
        <v>1552380392367802</v>
      </c>
      <c r="C6561" t="s">
        <v>40</v>
      </c>
      <c r="D6561">
        <v>4.2392289999999999</v>
      </c>
      <c r="E6561">
        <v>0.44788899999999998</v>
      </c>
      <c r="F6561" t="s">
        <v>42</v>
      </c>
      <c r="G6561">
        <v>-188.27510000000001</v>
      </c>
      <c r="H6561" s="1">
        <v>-2.0654370000000001E-6</v>
      </c>
      <c r="I6561">
        <v>33.73413</v>
      </c>
      <c r="J6561">
        <v>-187.54239999999999</v>
      </c>
      <c r="K6561">
        <v>1.108695</v>
      </c>
      <c r="L6561">
        <v>13.860200000000001</v>
      </c>
      <c r="M6561">
        <v>-5.9669579999999996E-3</v>
      </c>
      <c r="N6561">
        <v>0</v>
      </c>
      <c r="O6561">
        <v>0.99988929999999998</v>
      </c>
      <c r="P6561">
        <v>3.3582710000000002E-2</v>
      </c>
      <c r="Q6561">
        <v>0.123978</v>
      </c>
      <c r="R6561">
        <v>0.9917165</v>
      </c>
      <c r="S6561">
        <v>-0.1109772</v>
      </c>
      <c r="T6561">
        <v>-0.16754829999999901</v>
      </c>
      <c r="U6561">
        <v>3.0497740000000002</v>
      </c>
      <c r="V6561">
        <v>3.9560230000000002E-2</v>
      </c>
      <c r="W6561">
        <v>0.137464</v>
      </c>
      <c r="X6561">
        <v>0.9897165</v>
      </c>
      <c r="Y6561">
        <v>-3.0345690000000002E-2</v>
      </c>
      <c r="Z6561">
        <v>-5.4823049999999998E-2</v>
      </c>
      <c r="AA6561">
        <v>0.9980348</v>
      </c>
      <c r="AB6561">
        <v>32</v>
      </c>
      <c r="AC6561">
        <v>-0.732700000000022</v>
      </c>
      <c r="AD6561">
        <v>-1.1086970654369901</v>
      </c>
      <c r="AE6561">
        <v>19.873929999999898</v>
      </c>
      <c r="AF6561">
        <v>-0.61218641077817004</v>
      </c>
      <c r="AG6561">
        <v>-1.1086970654369901</v>
      </c>
      <c r="AH6561">
        <v>19.816361065354702</v>
      </c>
      <c r="AI6561">
        <v>93.200754595811702</v>
      </c>
      <c r="AJ6561">
        <v>91.769474497021804</v>
      </c>
      <c r="AK6561">
        <v>19.856790960700501</v>
      </c>
      <c r="AL6561">
        <v>82.098875139823804</v>
      </c>
      <c r="AM6561">
        <v>87.711033174150998</v>
      </c>
      <c r="AN6561">
        <v>1.0000000567329499</v>
      </c>
    </row>
    <row r="6562" spans="1:40" x14ac:dyDescent="0.25">
      <c r="A6562" t="str">
        <f>"20190312164632396"</f>
        <v>20190312164632396</v>
      </c>
      <c r="B6562" t="str">
        <f>"1552380392387322"</f>
        <v>1552380392387322</v>
      </c>
      <c r="C6562" t="s">
        <v>40</v>
      </c>
      <c r="D6562">
        <v>4.2593319999999997</v>
      </c>
      <c r="E6562">
        <v>0.43897829999999899</v>
      </c>
      <c r="F6562" t="s">
        <v>42</v>
      </c>
      <c r="G6562">
        <v>-191.3245</v>
      </c>
      <c r="H6562" s="1">
        <v>-3.805881E-6</v>
      </c>
      <c r="I6562">
        <v>47.639200000000002</v>
      </c>
      <c r="J6562">
        <v>-187.54409999999999</v>
      </c>
      <c r="K6562">
        <v>1.108695</v>
      </c>
      <c r="L6562">
        <v>14.17163</v>
      </c>
      <c r="M6562">
        <v>-5.7732440000000003E-3</v>
      </c>
      <c r="N6562">
        <v>0</v>
      </c>
      <c r="O6562">
        <v>0.99989030000000001</v>
      </c>
      <c r="P6562">
        <v>3.3689869999999997E-2</v>
      </c>
      <c r="Q6562">
        <v>0.12378450000000001</v>
      </c>
      <c r="R6562">
        <v>0.99173710000000004</v>
      </c>
      <c r="S6562">
        <v>-0.34140009999999998</v>
      </c>
      <c r="T6562">
        <v>-0.1000791</v>
      </c>
      <c r="U6562">
        <v>3.0491329999999999</v>
      </c>
      <c r="V6562">
        <v>3.9476039999999997E-2</v>
      </c>
      <c r="W6562">
        <v>0.13727979999999901</v>
      </c>
      <c r="X6562">
        <v>0.9897454</v>
      </c>
      <c r="Y6562">
        <v>-0.1054721</v>
      </c>
      <c r="Z6562">
        <v>-3.2610399999999998E-2</v>
      </c>
      <c r="AA6562">
        <v>0.99388739999999998</v>
      </c>
      <c r="AB6562">
        <v>32</v>
      </c>
      <c r="AC6562">
        <v>-3.78040000000001</v>
      </c>
      <c r="AD6562">
        <v>-1.1086988058809999</v>
      </c>
      <c r="AE6562">
        <v>33.467570000000002</v>
      </c>
      <c r="AF6562">
        <v>-3.5832197530880499</v>
      </c>
      <c r="AG6562">
        <v>-1.1086988058809999</v>
      </c>
      <c r="AH6562">
        <v>33.4525898276136</v>
      </c>
      <c r="AI6562">
        <v>91.887435528450496</v>
      </c>
      <c r="AJ6562">
        <v>96.113833452370002</v>
      </c>
      <c r="AK6562">
        <v>33.662210905043601</v>
      </c>
      <c r="AL6562">
        <v>82.109529815065898</v>
      </c>
      <c r="AM6562">
        <v>87.715965891846395</v>
      </c>
      <c r="AN6562">
        <v>1.00000002902164</v>
      </c>
    </row>
    <row r="6563" spans="1:40" x14ac:dyDescent="0.25">
      <c r="A6563" t="str">
        <f>"20190312164632418"</f>
        <v>20190312164632418</v>
      </c>
      <c r="B6563" t="str">
        <f>"1552380392407821"</f>
        <v>1552380392407821</v>
      </c>
      <c r="C6563" t="s">
        <v>40</v>
      </c>
      <c r="D6563">
        <v>4.2799909999999999</v>
      </c>
      <c r="E6563">
        <v>0.43590329999999999</v>
      </c>
      <c r="F6563" t="s">
        <v>42</v>
      </c>
      <c r="G6563">
        <v>-192.05510000000001</v>
      </c>
      <c r="H6563" s="1">
        <v>-3.9532630000000004E-6</v>
      </c>
      <c r="I6563">
        <v>47.532409999999999</v>
      </c>
      <c r="J6563">
        <v>-187.54570000000001</v>
      </c>
      <c r="K6563">
        <v>1.108698</v>
      </c>
      <c r="L6563">
        <v>14.491059999999999</v>
      </c>
      <c r="M6563">
        <v>-5.5761259999999998E-3</v>
      </c>
      <c r="N6563">
        <v>0</v>
      </c>
      <c r="O6563">
        <v>0.99989130000000004</v>
      </c>
      <c r="P6563">
        <v>3.3507950000000002E-2</v>
      </c>
      <c r="Q6563">
        <v>0.1239837</v>
      </c>
      <c r="R6563">
        <v>0.9917184</v>
      </c>
      <c r="S6563">
        <v>-0.41264339999999999</v>
      </c>
      <c r="T6563">
        <v>-0.10141790000000001</v>
      </c>
      <c r="U6563">
        <v>3.051666</v>
      </c>
      <c r="V6563">
        <v>3.9099019999999998E-2</v>
      </c>
      <c r="W6563">
        <v>0.13748669999999999</v>
      </c>
      <c r="X6563">
        <v>0.98973160000000004</v>
      </c>
      <c r="Y6563">
        <v>-0.1283985</v>
      </c>
      <c r="Z6563">
        <v>-3.2927369999999997E-2</v>
      </c>
      <c r="AA6563">
        <v>0.9911759</v>
      </c>
      <c r="AB6563">
        <v>32</v>
      </c>
      <c r="AC6563">
        <v>-4.5093999999999896</v>
      </c>
      <c r="AD6563">
        <v>-1.108701953263</v>
      </c>
      <c r="AE6563">
        <v>33.041349999999902</v>
      </c>
      <c r="AF6563">
        <v>-4.3202945541800997</v>
      </c>
      <c r="AG6563">
        <v>-1.108701953263</v>
      </c>
      <c r="AH6563">
        <v>33.029474462303703</v>
      </c>
      <c r="AI6563">
        <v>91.906302206861199</v>
      </c>
      <c r="AJ6563">
        <v>97.4520493853652</v>
      </c>
      <c r="AK6563">
        <v>33.329271643887097</v>
      </c>
      <c r="AL6563">
        <v>82.097561472168394</v>
      </c>
      <c r="AM6563">
        <v>87.737725512318406</v>
      </c>
      <c r="AN6563">
        <v>0.99999998304020499</v>
      </c>
    </row>
    <row r="6564" spans="1:40" x14ac:dyDescent="0.25">
      <c r="A6564" t="str">
        <f>"20190312164632441"</f>
        <v>20190312164632441</v>
      </c>
      <c r="B6564" t="str">
        <f>"1552380392438074"</f>
        <v>1552380392438074</v>
      </c>
      <c r="C6564" t="s">
        <v>40</v>
      </c>
      <c r="D6564">
        <v>4.275442</v>
      </c>
      <c r="E6564">
        <v>0.43352210000000002</v>
      </c>
      <c r="F6564" t="s">
        <v>42</v>
      </c>
      <c r="G6564">
        <v>-192.04570000000001</v>
      </c>
      <c r="H6564" s="1">
        <v>-3.221753E-6</v>
      </c>
      <c r="I6564">
        <v>45.830309999999997</v>
      </c>
      <c r="J6564">
        <v>-187.54730000000001</v>
      </c>
      <c r="K6564">
        <v>1.1086940000000001</v>
      </c>
      <c r="L6564">
        <v>14.81021</v>
      </c>
      <c r="M6564">
        <v>-5.3804909999999899E-3</v>
      </c>
      <c r="N6564">
        <v>0</v>
      </c>
      <c r="O6564">
        <v>0.99989229999999996</v>
      </c>
      <c r="P6564">
        <v>3.293546E-2</v>
      </c>
      <c r="Q6564">
        <v>0.12419910000000001</v>
      </c>
      <c r="R6564">
        <v>0.99171050000000005</v>
      </c>
      <c r="S6564">
        <v>-0.43843080000000001</v>
      </c>
      <c r="T6564">
        <v>-0.1080204</v>
      </c>
      <c r="U6564">
        <v>3.053375</v>
      </c>
      <c r="V6564">
        <v>3.8332709999999999E-2</v>
      </c>
      <c r="W6564">
        <v>0.13770869999999999</v>
      </c>
      <c r="X6564">
        <v>0.98973069999999996</v>
      </c>
      <c r="Y6564">
        <v>-0.1367157</v>
      </c>
      <c r="Z6564">
        <v>-3.5009209999999999E-2</v>
      </c>
      <c r="AA6564">
        <v>0.98999150000000002</v>
      </c>
      <c r="AB6564">
        <v>32</v>
      </c>
      <c r="AC6564">
        <v>-4.4984000000000002</v>
      </c>
      <c r="AD6564">
        <v>-1.108697221753</v>
      </c>
      <c r="AE6564">
        <v>31.020099999999999</v>
      </c>
      <c r="AF6564">
        <v>-4.3260035663652499</v>
      </c>
      <c r="AG6564">
        <v>-1.108697221753</v>
      </c>
      <c r="AH6564">
        <v>31.005065500015</v>
      </c>
      <c r="AI6564">
        <v>92.028312132870695</v>
      </c>
      <c r="AJ6564">
        <v>97.942955850040704</v>
      </c>
      <c r="AK6564">
        <v>31.325031572944201</v>
      </c>
      <c r="AL6564">
        <v>82.084719561148503</v>
      </c>
      <c r="AM6564">
        <v>87.782017571309794</v>
      </c>
      <c r="AN6564">
        <v>0.99999997061706103</v>
      </c>
    </row>
    <row r="6565" spans="1:40" x14ac:dyDescent="0.25">
      <c r="A6565" t="str">
        <f>"20190312164632462"</f>
        <v>20190312164632462</v>
      </c>
      <c r="B6565" t="str">
        <f>"1552380392457594"</f>
        <v>1552380392457594</v>
      </c>
      <c r="C6565" t="s">
        <v>40</v>
      </c>
      <c r="D6565">
        <v>4.2904939999999998</v>
      </c>
      <c r="E6565">
        <v>0.43255209999999999</v>
      </c>
      <c r="F6565" t="s">
        <v>42</v>
      </c>
      <c r="G6565">
        <v>-192.46889999999999</v>
      </c>
      <c r="H6565" s="1">
        <v>-4.0224379999999996E-6</v>
      </c>
      <c r="I6565">
        <v>47.519959999999998</v>
      </c>
      <c r="J6565">
        <v>-187.5487</v>
      </c>
      <c r="K6565">
        <v>1.1087020000000001</v>
      </c>
      <c r="L6565">
        <v>15.116490000000001</v>
      </c>
      <c r="M6565">
        <v>-5.1938679999999999E-3</v>
      </c>
      <c r="N6565">
        <v>0</v>
      </c>
      <c r="O6565">
        <v>0.99989320000000004</v>
      </c>
      <c r="P6565">
        <v>3.2659300000000002E-2</v>
      </c>
      <c r="Q6565">
        <v>0.1247581</v>
      </c>
      <c r="R6565">
        <v>0.99164949999999996</v>
      </c>
      <c r="S6565">
        <v>-0.45941159999999998</v>
      </c>
      <c r="T6565">
        <v>-0.10349120000000001</v>
      </c>
      <c r="U6565">
        <v>3.0532840000000001</v>
      </c>
      <c r="V6565">
        <v>3.7871450000000001E-2</v>
      </c>
      <c r="W6565">
        <v>0.13827210000000001</v>
      </c>
      <c r="X6565">
        <v>0.98966989999999999</v>
      </c>
      <c r="Y6565">
        <v>-0.1435679</v>
      </c>
      <c r="Z6565">
        <v>-3.3511050000000001E-2</v>
      </c>
      <c r="AA6565">
        <v>0.98907290000000003</v>
      </c>
      <c r="AB6565">
        <v>32</v>
      </c>
      <c r="AC6565">
        <v>-4.9201999999999897</v>
      </c>
      <c r="AD6565">
        <v>-1.1087060224380001</v>
      </c>
      <c r="AE6565">
        <v>32.403469999999999</v>
      </c>
      <c r="AF6565">
        <v>-4.7463871492171599</v>
      </c>
      <c r="AG6565">
        <v>-1.1087060224380001</v>
      </c>
      <c r="AH6565">
        <v>32.391523590520599</v>
      </c>
      <c r="AI6565">
        <v>91.9396732124425</v>
      </c>
      <c r="AJ6565">
        <v>98.3363249516906</v>
      </c>
      <c r="AK6565">
        <v>32.756193620897101</v>
      </c>
      <c r="AL6565">
        <v>82.052127286477102</v>
      </c>
      <c r="AM6565">
        <v>87.808546030226594</v>
      </c>
      <c r="AN6565">
        <v>0.99999996566476002</v>
      </c>
    </row>
    <row r="6566" spans="1:40" x14ac:dyDescent="0.25">
      <c r="A6566" t="str">
        <f>"20190312164632484"</f>
        <v>20190312164632484</v>
      </c>
      <c r="B6566" t="str">
        <f>"1552380392478090"</f>
        <v>1552380392478090</v>
      </c>
      <c r="C6566" t="s">
        <v>40</v>
      </c>
      <c r="D6566">
        <v>4.1933920000000002</v>
      </c>
      <c r="E6566">
        <v>0.43221029999999999</v>
      </c>
      <c r="F6566" t="s">
        <v>42</v>
      </c>
      <c r="G6566">
        <v>-192.5513</v>
      </c>
      <c r="H6566" s="1">
        <v>-4.1063150000000002E-6</v>
      </c>
      <c r="I6566">
        <v>47.723520000000001</v>
      </c>
      <c r="J6566">
        <v>-187.55019999999999</v>
      </c>
      <c r="K6566">
        <v>1.108706</v>
      </c>
      <c r="L6566">
        <v>15.441190000000001</v>
      </c>
      <c r="M6566">
        <v>-4.9964959999999996E-3</v>
      </c>
      <c r="N6566">
        <v>0</v>
      </c>
      <c r="O6566">
        <v>0.99989410000000001</v>
      </c>
      <c r="P6566">
        <v>3.2320689999999999E-2</v>
      </c>
      <c r="Q6566">
        <v>0.12532449999999901</v>
      </c>
      <c r="R6566">
        <v>0.99158919999999995</v>
      </c>
      <c r="S6566">
        <v>-0.46850589999999998</v>
      </c>
      <c r="T6566">
        <v>-0.10383339999999899</v>
      </c>
      <c r="U6566">
        <v>3.053741</v>
      </c>
      <c r="V6566">
        <v>3.7337000000000002E-2</v>
      </c>
      <c r="W6566">
        <v>0.13884299999999999</v>
      </c>
      <c r="X6566">
        <v>0.98961030000000005</v>
      </c>
      <c r="Y6566">
        <v>-0.14661930000000001</v>
      </c>
      <c r="Z6566">
        <v>-3.3601789999999999E-2</v>
      </c>
      <c r="AA6566">
        <v>0.98862209999999995</v>
      </c>
      <c r="AB6566">
        <v>32</v>
      </c>
      <c r="AC6566">
        <v>-5.0011000000000001</v>
      </c>
      <c r="AD6566">
        <v>-1.108710106315</v>
      </c>
      <c r="AE6566">
        <v>32.282330000000002</v>
      </c>
      <c r="AF6566">
        <v>-4.8341556015084501</v>
      </c>
      <c r="AG6566">
        <v>-1.108710106315</v>
      </c>
      <c r="AH6566">
        <v>32.269746453026499</v>
      </c>
      <c r="AI6566">
        <v>91.946071614280001</v>
      </c>
      <c r="AJ6566">
        <v>98.519814568793606</v>
      </c>
      <c r="AK6566">
        <v>32.648657470439097</v>
      </c>
      <c r="AL6566">
        <v>82.019098721485193</v>
      </c>
      <c r="AM6566">
        <v>87.839312781107694</v>
      </c>
      <c r="AN6566">
        <v>0.99999998804204404</v>
      </c>
    </row>
    <row r="6567" spans="1:40" x14ac:dyDescent="0.25">
      <c r="A6567" t="str">
        <f>"20190312164632508"</f>
        <v>20190312164632508</v>
      </c>
      <c r="B6567" t="str">
        <f>"1552380392497610"</f>
        <v>1552380392497610</v>
      </c>
      <c r="C6567" t="s">
        <v>40</v>
      </c>
      <c r="D6567">
        <v>4.1812239999999896</v>
      </c>
      <c r="E6567">
        <v>0.4318147</v>
      </c>
      <c r="F6567" t="s">
        <v>42</v>
      </c>
      <c r="G6567">
        <v>-192.65719999999999</v>
      </c>
      <c r="H6567" s="1">
        <v>-4.3768150000000004E-6</v>
      </c>
      <c r="I6567">
        <v>48.463180000000001</v>
      </c>
      <c r="J6567">
        <v>-187.55160000000001</v>
      </c>
      <c r="K6567">
        <v>1.108716</v>
      </c>
      <c r="L6567">
        <v>15.76779</v>
      </c>
      <c r="M6567">
        <v>-4.7979040000000004E-3</v>
      </c>
      <c r="N6567">
        <v>0</v>
      </c>
      <c r="O6567">
        <v>0.99989510000000004</v>
      </c>
      <c r="P6567">
        <v>3.2526329999999999E-2</v>
      </c>
      <c r="Q6567">
        <v>0.12572529999999901</v>
      </c>
      <c r="R6567">
        <v>0.99153170000000002</v>
      </c>
      <c r="S6567">
        <v>-0.47228999999999999</v>
      </c>
      <c r="T6567">
        <v>-0.1025312</v>
      </c>
      <c r="U6567">
        <v>3.0538020000000001</v>
      </c>
      <c r="V6567">
        <v>3.7345440000000001E-2</v>
      </c>
      <c r="W6567">
        <v>0.13924629999999999</v>
      </c>
      <c r="X6567">
        <v>0.98955329999999997</v>
      </c>
      <c r="Y6567">
        <v>-0.14801149999999999</v>
      </c>
      <c r="Z6567">
        <v>-3.3173670000000002E-2</v>
      </c>
      <c r="AA6567">
        <v>0.98842909999999995</v>
      </c>
      <c r="AB6567">
        <v>32</v>
      </c>
      <c r="AC6567">
        <v>-5.1055999999999804</v>
      </c>
      <c r="AD6567">
        <v>-1.108720376815</v>
      </c>
      <c r="AE6567">
        <v>32.695390000000003</v>
      </c>
      <c r="AF6567">
        <v>-4.9431083159637499</v>
      </c>
      <c r="AG6567">
        <v>-1.108720376815</v>
      </c>
      <c r="AH6567">
        <v>32.6828237855051</v>
      </c>
      <c r="AI6567">
        <v>91.921104613490797</v>
      </c>
      <c r="AJ6567">
        <v>98.600507202224506</v>
      </c>
      <c r="AK6567">
        <v>33.073109186946603</v>
      </c>
      <c r="AL6567">
        <v>81.995764553628504</v>
      </c>
      <c r="AM6567">
        <v>87.838700453108103</v>
      </c>
      <c r="AN6567">
        <v>0.99999997374668603</v>
      </c>
    </row>
    <row r="6568" spans="1:40" x14ac:dyDescent="0.25">
      <c r="A6568" t="str">
        <f>"20190312164632530"</f>
        <v>20190312164632530</v>
      </c>
      <c r="B6568" t="str">
        <f>"1552380392527866"</f>
        <v>1552380392527866</v>
      </c>
      <c r="C6568" t="s">
        <v>40</v>
      </c>
      <c r="D6568">
        <v>4.2356720000000001</v>
      </c>
      <c r="E6568">
        <v>0.43200630000000001</v>
      </c>
      <c r="F6568" t="s">
        <v>42</v>
      </c>
      <c r="G6568">
        <v>-193.08879999999999</v>
      </c>
      <c r="H6568" s="1">
        <v>-1.5908409999999999E-6</v>
      </c>
      <c r="I6568">
        <v>51.381630000000001</v>
      </c>
      <c r="J6568">
        <v>-187.55289999999999</v>
      </c>
      <c r="K6568">
        <v>1.1087199999999999</v>
      </c>
      <c r="L6568">
        <v>16.0777</v>
      </c>
      <c r="M6568">
        <v>-4.609691E-3</v>
      </c>
      <c r="N6568">
        <v>0</v>
      </c>
      <c r="O6568">
        <v>0.99989589999999995</v>
      </c>
      <c r="P6568">
        <v>3.2939509999999998E-2</v>
      </c>
      <c r="Q6568">
        <v>0.12623139999999999</v>
      </c>
      <c r="R6568">
        <v>0.99145380000000005</v>
      </c>
      <c r="S6568">
        <v>-0.47471619999999998</v>
      </c>
      <c r="T6568">
        <v>-9.505284E-2</v>
      </c>
      <c r="U6568">
        <v>3.0532530000000002</v>
      </c>
      <c r="V6568">
        <v>3.7571720000000003E-2</v>
      </c>
      <c r="W6568">
        <v>0.13975379999999901</v>
      </c>
      <c r="X6568">
        <v>0.98947320000000005</v>
      </c>
      <c r="Y6568">
        <v>-0.14900329999999901</v>
      </c>
      <c r="Z6568">
        <v>-3.075781E-2</v>
      </c>
      <c r="AA6568">
        <v>0.98835819999999996</v>
      </c>
      <c r="AB6568">
        <v>32</v>
      </c>
      <c r="AC6568">
        <v>-5.5358999999999901</v>
      </c>
      <c r="AD6568">
        <v>-1.108721590841</v>
      </c>
      <c r="AE6568">
        <v>35.303930000000001</v>
      </c>
      <c r="AF6568">
        <v>-5.3679185486543304</v>
      </c>
      <c r="AG6568">
        <v>-1.108721590841</v>
      </c>
      <c r="AH6568">
        <v>35.295100664596603</v>
      </c>
      <c r="AI6568">
        <v>91.778794008232197</v>
      </c>
      <c r="AJ6568">
        <v>98.647662900756501</v>
      </c>
      <c r="AK6568">
        <v>35.718173861985001</v>
      </c>
      <c r="AL6568">
        <v>81.966399918109701</v>
      </c>
      <c r="AM6568">
        <v>87.825441589034298</v>
      </c>
      <c r="AN6568">
        <v>0.99999998613821905</v>
      </c>
    </row>
    <row r="6569" spans="1:40" x14ac:dyDescent="0.25">
      <c r="A6569" t="str">
        <f>"20190312164632553"</f>
        <v>20190312164632553</v>
      </c>
      <c r="B6569" t="str">
        <f>"1552380392547386"</f>
        <v>1552380392547386</v>
      </c>
      <c r="C6569" t="s">
        <v>40</v>
      </c>
      <c r="D6569">
        <v>4.2425639999999998</v>
      </c>
      <c r="E6569">
        <v>0.43153069999999999</v>
      </c>
      <c r="F6569" t="s">
        <v>42</v>
      </c>
      <c r="G6569">
        <v>-193.80099999999999</v>
      </c>
      <c r="H6569" s="1">
        <v>-3.9163939999999997E-6</v>
      </c>
      <c r="I6569">
        <v>56.514000000000003</v>
      </c>
      <c r="J6569">
        <v>-187.55420000000001</v>
      </c>
      <c r="K6569">
        <v>1.1087260000000001</v>
      </c>
      <c r="L6569">
        <v>16.40475</v>
      </c>
      <c r="M6569">
        <v>-4.4111999999999997E-3</v>
      </c>
      <c r="N6569">
        <v>0</v>
      </c>
      <c r="O6569">
        <v>0.99989680000000003</v>
      </c>
      <c r="P6569">
        <v>3.3331760000000002E-2</v>
      </c>
      <c r="Q6569">
        <v>0.12636700000000001</v>
      </c>
      <c r="R6569">
        <v>0.99142339999999995</v>
      </c>
      <c r="S6569">
        <v>-0.4716187</v>
      </c>
      <c r="T6569">
        <v>-8.3687899999999996E-2</v>
      </c>
      <c r="U6569">
        <v>3.0521850000000001</v>
      </c>
      <c r="V6569">
        <v>3.7767000000000002E-2</v>
      </c>
      <c r="W6569">
        <v>0.139891299999999</v>
      </c>
      <c r="X6569">
        <v>0.9894463</v>
      </c>
      <c r="Y6569">
        <v>-0.1482887</v>
      </c>
      <c r="Z6569">
        <v>-2.7096140000000001E-2</v>
      </c>
      <c r="AA6569">
        <v>0.98857280000000003</v>
      </c>
      <c r="AB6569">
        <v>32</v>
      </c>
      <c r="AC6569">
        <v>-6.2467999999999702</v>
      </c>
      <c r="AD6569">
        <v>-1.1087299163940001</v>
      </c>
      <c r="AE6569">
        <v>40.109250000000003</v>
      </c>
      <c r="AF6569">
        <v>-6.0652679028263901</v>
      </c>
      <c r="AG6569">
        <v>-1.1087299163940001</v>
      </c>
      <c r="AH6569">
        <v>40.106497671925297</v>
      </c>
      <c r="AI6569">
        <v>91.565724207983607</v>
      </c>
      <c r="AJ6569">
        <v>98.599623473202996</v>
      </c>
      <c r="AK6569">
        <v>40.577677512010403</v>
      </c>
      <c r="AL6569">
        <v>81.958443308284899</v>
      </c>
      <c r="AM6569">
        <v>87.814090830888802</v>
      </c>
      <c r="AN6569">
        <v>0.99999995134418795</v>
      </c>
    </row>
    <row r="6570" spans="1:40" x14ac:dyDescent="0.25">
      <c r="A6570" t="str">
        <f>"20190312164632577"</f>
        <v>20190312164632577</v>
      </c>
      <c r="B6570" t="str">
        <f>"1552380392567882"</f>
        <v>1552380392567882</v>
      </c>
      <c r="C6570" t="s">
        <v>40</v>
      </c>
      <c r="D6570">
        <v>4.2278219999999997</v>
      </c>
      <c r="E6570">
        <v>0.43140620000000002</v>
      </c>
      <c r="F6570" t="s">
        <v>42</v>
      </c>
      <c r="G6570">
        <v>-193.9529</v>
      </c>
      <c r="H6570" s="1">
        <v>-4.311312E-6</v>
      </c>
      <c r="I6570">
        <v>57.59534</v>
      </c>
      <c r="J6570">
        <v>-187.55539999999999</v>
      </c>
      <c r="K6570">
        <v>1.1087320000000001</v>
      </c>
      <c r="L6570">
        <v>16.73807</v>
      </c>
      <c r="M6570">
        <v>-4.2085559999999996E-3</v>
      </c>
      <c r="N6570">
        <v>0</v>
      </c>
      <c r="O6570">
        <v>0.9998977</v>
      </c>
      <c r="P6570">
        <v>3.4381960000000003E-2</v>
      </c>
      <c r="Q6570">
        <v>0.12703809999999999</v>
      </c>
      <c r="R6570">
        <v>0.99130180000000001</v>
      </c>
      <c r="S6570">
        <v>-0.4741669</v>
      </c>
      <c r="T6570">
        <v>-8.2160830000000004E-2</v>
      </c>
      <c r="U6570">
        <v>3.052368</v>
      </c>
      <c r="V6570">
        <v>3.8615919999999998E-2</v>
      </c>
      <c r="W6570">
        <v>0.1405622</v>
      </c>
      <c r="X6570">
        <v>0.98931849999999999</v>
      </c>
      <c r="Y6570">
        <v>-0.14928810000000001</v>
      </c>
      <c r="Z6570">
        <v>-2.6596829999999998E-2</v>
      </c>
      <c r="AA6570">
        <v>0.98843599999999998</v>
      </c>
      <c r="AB6570">
        <v>32</v>
      </c>
      <c r="AC6570">
        <v>-6.3975</v>
      </c>
      <c r="AD6570">
        <v>-1.1087363113119999</v>
      </c>
      <c r="AE6570">
        <v>40.85727</v>
      </c>
      <c r="AF6570">
        <v>-6.2210055966101896</v>
      </c>
      <c r="AG6570">
        <v>-1.1087363113119999</v>
      </c>
      <c r="AH6570">
        <v>40.854469318674902</v>
      </c>
      <c r="AI6570">
        <v>91.536843624579802</v>
      </c>
      <c r="AJ6570">
        <v>98.658053460062007</v>
      </c>
      <c r="AK6570">
        <v>41.340269352673801</v>
      </c>
      <c r="AL6570">
        <v>81.919620429878407</v>
      </c>
      <c r="AM6570">
        <v>87.764717205573504</v>
      </c>
      <c r="AN6570">
        <v>1.0000000078942599</v>
      </c>
    </row>
    <row r="6571" spans="1:40" x14ac:dyDescent="0.25">
      <c r="A6571" t="str">
        <f>"20190312164632599"</f>
        <v>20190312164632599</v>
      </c>
      <c r="B6571" t="str">
        <f>"1552380392588378"</f>
        <v>1552380392588378</v>
      </c>
      <c r="C6571" t="s">
        <v>40</v>
      </c>
      <c r="D6571">
        <v>4.2163789999999999</v>
      </c>
      <c r="E6571">
        <v>0.43135089999999998</v>
      </c>
      <c r="F6571" t="s">
        <v>42</v>
      </c>
      <c r="G6571">
        <v>-194.13820000000001</v>
      </c>
      <c r="H6571" s="1">
        <v>-4.9343119999999998E-6</v>
      </c>
      <c r="I6571">
        <v>59.329430000000002</v>
      </c>
      <c r="J6571">
        <v>-187.5565</v>
      </c>
      <c r="K6571">
        <v>1.1087320000000001</v>
      </c>
      <c r="L6571">
        <v>17.053129999999999</v>
      </c>
      <c r="M6571">
        <v>-4.0172189999999998E-3</v>
      </c>
      <c r="N6571">
        <v>0</v>
      </c>
      <c r="O6571">
        <v>0.99989839999999997</v>
      </c>
      <c r="P6571">
        <v>3.4878399999999997E-2</v>
      </c>
      <c r="Q6571">
        <v>0.12780069999999999</v>
      </c>
      <c r="R6571">
        <v>0.99118640000000002</v>
      </c>
      <c r="S6571">
        <v>-0.47184749999999998</v>
      </c>
      <c r="T6571">
        <v>-7.9472660000000001E-2</v>
      </c>
      <c r="U6571">
        <v>3.0528870000000001</v>
      </c>
      <c r="V6571">
        <v>3.8922470000000001E-2</v>
      </c>
      <c r="W6571">
        <v>0.14132410000000001</v>
      </c>
      <c r="X6571">
        <v>0.98919789999999996</v>
      </c>
      <c r="Y6571">
        <v>-0.14872199999999999</v>
      </c>
      <c r="Z6571">
        <v>-2.5725520000000002E-2</v>
      </c>
      <c r="AA6571">
        <v>0.98854430000000004</v>
      </c>
      <c r="AB6571">
        <v>32</v>
      </c>
      <c r="AC6571">
        <v>-6.5817000000000103</v>
      </c>
      <c r="AD6571">
        <v>-1.1087369343119999</v>
      </c>
      <c r="AE6571">
        <v>42.276299999999999</v>
      </c>
      <c r="AF6571">
        <v>-6.4074950436306901</v>
      </c>
      <c r="AG6571">
        <v>-1.1087369343119999</v>
      </c>
      <c r="AH6571">
        <v>42.2740133292967</v>
      </c>
      <c r="AI6571">
        <v>91.485416120548507</v>
      </c>
      <c r="AJ6571">
        <v>98.618750486278003</v>
      </c>
      <c r="AK6571">
        <v>42.771222723803596</v>
      </c>
      <c r="AL6571">
        <v>81.875526328233093</v>
      </c>
      <c r="AM6571">
        <v>87.746716374065798</v>
      </c>
      <c r="AN6571">
        <v>0.99999997263805995</v>
      </c>
    </row>
    <row r="6572" spans="1:40" x14ac:dyDescent="0.25">
      <c r="A6572" t="str">
        <f>"20190312164632620"</f>
        <v>20190312164632620</v>
      </c>
      <c r="B6572" t="str">
        <f>"1552380392617658"</f>
        <v>1552380392617658</v>
      </c>
      <c r="C6572" t="s">
        <v>40</v>
      </c>
      <c r="D6572">
        <v>4.2365879999999896</v>
      </c>
      <c r="E6572">
        <v>0.46538119999999999</v>
      </c>
      <c r="F6572" t="s">
        <v>42</v>
      </c>
      <c r="G6572">
        <v>-194.54830000000001</v>
      </c>
      <c r="H6572" s="1">
        <v>-2.4042300000000002E-6</v>
      </c>
      <c r="I6572">
        <v>62.372459999999997</v>
      </c>
      <c r="J6572">
        <v>-187.5575</v>
      </c>
      <c r="K6572">
        <v>1.1087279999999999</v>
      </c>
      <c r="L6572">
        <v>17.355799999999999</v>
      </c>
      <c r="M6572">
        <v>-3.8331760000000002E-3</v>
      </c>
      <c r="N6572">
        <v>0</v>
      </c>
      <c r="O6572">
        <v>0.99989910000000004</v>
      </c>
      <c r="P6572">
        <v>3.5597910000000003E-2</v>
      </c>
      <c r="Q6572">
        <v>0.1273088</v>
      </c>
      <c r="R6572">
        <v>0.99122410000000005</v>
      </c>
      <c r="S6572">
        <v>-0.47099299999999999</v>
      </c>
      <c r="T6572">
        <v>-7.4688669999999999E-2</v>
      </c>
      <c r="U6572">
        <v>3.0528870000000001</v>
      </c>
      <c r="V6572">
        <v>3.9459420000000002E-2</v>
      </c>
      <c r="W6572">
        <v>0.14083319999999999</v>
      </c>
      <c r="X6572">
        <v>0.98924670000000003</v>
      </c>
      <c r="Y6572">
        <v>-0.14863959999999901</v>
      </c>
      <c r="Z6572">
        <v>-2.4178560000000002E-2</v>
      </c>
      <c r="AA6572">
        <v>0.98859580000000002</v>
      </c>
      <c r="AB6572">
        <v>32</v>
      </c>
      <c r="AC6572">
        <v>-6.9908000000000001</v>
      </c>
      <c r="AD6572">
        <v>-1.1087304042299999</v>
      </c>
      <c r="AE6572">
        <v>45.016659999999902</v>
      </c>
      <c r="AF6572">
        <v>-6.81413955697617</v>
      </c>
      <c r="AG6572">
        <v>-1.1087304042299999</v>
      </c>
      <c r="AH6572">
        <v>45.016464551729001</v>
      </c>
      <c r="AI6572">
        <v>91.394993101662493</v>
      </c>
      <c r="AJ6572">
        <v>98.607514740380907</v>
      </c>
      <c r="AK6572">
        <v>45.542769588028797</v>
      </c>
      <c r="AL6572">
        <v>81.903937485985793</v>
      </c>
      <c r="AM6572">
        <v>87.715776760014705</v>
      </c>
      <c r="AN6572">
        <v>1.00000003475493</v>
      </c>
    </row>
    <row r="6573" spans="1:40" x14ac:dyDescent="0.25">
      <c r="A6573" t="str">
        <f>"20190312164632641"</f>
        <v>20190312164632641</v>
      </c>
      <c r="B6573" t="str">
        <f>"1552380392638155"</f>
        <v>1552380392638155</v>
      </c>
      <c r="C6573" t="s">
        <v>40</v>
      </c>
      <c r="D6573">
        <v>4.240164</v>
      </c>
      <c r="E6573">
        <v>0.47071580000000002</v>
      </c>
      <c r="F6573" t="s">
        <v>42</v>
      </c>
      <c r="G6573">
        <v>-189.40190000000001</v>
      </c>
      <c r="H6573" s="1">
        <v>-2.6292059999999999E-6</v>
      </c>
      <c r="I6573">
        <v>45.514209999999999</v>
      </c>
      <c r="J6573">
        <v>-187.55840000000001</v>
      </c>
      <c r="K6573">
        <v>1.10873</v>
      </c>
      <c r="L6573">
        <v>17.650510000000001</v>
      </c>
      <c r="M6573">
        <v>-3.6540850000000001E-3</v>
      </c>
      <c r="N6573">
        <v>0</v>
      </c>
      <c r="O6573">
        <v>0.99989980000000001</v>
      </c>
      <c r="P6573">
        <v>3.5892199999999999E-2</v>
      </c>
      <c r="Q6573">
        <v>0.12686749999999999</v>
      </c>
      <c r="R6573">
        <v>0.99127010000000004</v>
      </c>
      <c r="S6573">
        <v>-0.19972229999999999</v>
      </c>
      <c r="T6573">
        <v>-0.1200601</v>
      </c>
      <c r="U6573">
        <v>3.0491640000000002</v>
      </c>
      <c r="V6573">
        <v>3.957604E-2</v>
      </c>
      <c r="W6573">
        <v>0.14039360000000001</v>
      </c>
      <c r="X6573">
        <v>0.98930450000000003</v>
      </c>
      <c r="Y6573">
        <v>-6.1663160000000002E-2</v>
      </c>
      <c r="Z6573">
        <v>-3.9264439999999998E-2</v>
      </c>
      <c r="AA6573">
        <v>0.9973244</v>
      </c>
      <c r="AB6573">
        <v>32</v>
      </c>
      <c r="AC6573">
        <v>-1.8434999999999999</v>
      </c>
      <c r="AD6573">
        <v>-1.108732629206</v>
      </c>
      <c r="AE6573">
        <v>27.863700000000001</v>
      </c>
      <c r="AF6573">
        <v>-1.7389205239857699</v>
      </c>
      <c r="AG6573">
        <v>-1.108732629206</v>
      </c>
      <c r="AH6573">
        <v>27.826384076789001</v>
      </c>
      <c r="AI6573">
        <v>92.277285870197602</v>
      </c>
      <c r="AJ6573">
        <v>93.575865753014099</v>
      </c>
      <c r="AK6573">
        <v>27.902702080995301</v>
      </c>
      <c r="AL6573">
        <v>81.929377264079505</v>
      </c>
      <c r="AM6573">
        <v>87.709166761792204</v>
      </c>
      <c r="AN6573">
        <v>1.0000000097916399</v>
      </c>
    </row>
    <row r="6574" spans="1:40" x14ac:dyDescent="0.25">
      <c r="A6574" t="str">
        <f>"20190312164632664"</f>
        <v>20190312164632664</v>
      </c>
      <c r="B6574" t="str">
        <f>"1552380392657674"</f>
        <v>1552380392657674</v>
      </c>
      <c r="C6574" t="s">
        <v>40</v>
      </c>
      <c r="D6574">
        <v>4.3119560000000003</v>
      </c>
      <c r="E6574">
        <v>0.47339429999999999</v>
      </c>
      <c r="F6574" t="s">
        <v>42</v>
      </c>
      <c r="G6574">
        <v>-188.90440000000001</v>
      </c>
      <c r="H6574" s="1">
        <v>-2.0110650000000002E-6</v>
      </c>
      <c r="I6574">
        <v>43.867579999999997</v>
      </c>
      <c r="J6574">
        <v>-187.55940000000001</v>
      </c>
      <c r="K6574">
        <v>1.10873</v>
      </c>
      <c r="L6574">
        <v>17.970979999999901</v>
      </c>
      <c r="M6574">
        <v>-3.4597999999999999E-3</v>
      </c>
      <c r="N6574">
        <v>0</v>
      </c>
      <c r="O6574">
        <v>0.99990049999999997</v>
      </c>
      <c r="P6574">
        <v>3.63319E-2</v>
      </c>
      <c r="Q6574">
        <v>0.12670399999999901</v>
      </c>
      <c r="R6574">
        <v>0.99127500000000002</v>
      </c>
      <c r="S6574">
        <v>-0.15650939999999999</v>
      </c>
      <c r="T6574">
        <v>-0.12892600000000001</v>
      </c>
      <c r="U6574">
        <v>3.048584</v>
      </c>
      <c r="V6574">
        <v>3.9822900000000001E-2</v>
      </c>
      <c r="W6574">
        <v>0.1402303</v>
      </c>
      <c r="X6574">
        <v>0.98931780000000002</v>
      </c>
      <c r="Y6574">
        <v>-4.7769329999999999E-2</v>
      </c>
      <c r="Z6574">
        <v>-4.2200460000000002E-2</v>
      </c>
      <c r="AA6574">
        <v>0.99796649999999998</v>
      </c>
      <c r="AB6574">
        <v>32</v>
      </c>
      <c r="AC6574">
        <v>-1.34499999999999</v>
      </c>
      <c r="AD6574">
        <v>-1.1087320110650001</v>
      </c>
      <c r="AE6574">
        <v>25.896599999999999</v>
      </c>
      <c r="AF6574">
        <v>-1.25309573970445</v>
      </c>
      <c r="AG6574">
        <v>-1.1087320110650001</v>
      </c>
      <c r="AH6574">
        <v>25.8538356850576</v>
      </c>
      <c r="AI6574">
        <v>92.452727562902297</v>
      </c>
      <c r="AJ6574">
        <v>92.774866966437102</v>
      </c>
      <c r="AK6574">
        <v>25.907920704587301</v>
      </c>
      <c r="AL6574">
        <v>81.938827515277595</v>
      </c>
      <c r="AM6574">
        <v>87.694923753748199</v>
      </c>
      <c r="AN6574">
        <v>1.0000000548996599</v>
      </c>
    </row>
    <row r="6575" spans="1:40" x14ac:dyDescent="0.25">
      <c r="A6575" t="str">
        <f>"20190312164632685"</f>
        <v>20190312164632685</v>
      </c>
      <c r="B6575" t="str">
        <f>"1552380392677194"</f>
        <v>1552380392677194</v>
      </c>
      <c r="C6575" t="s">
        <v>40</v>
      </c>
      <c r="D6575">
        <v>4.2223139999999999</v>
      </c>
      <c r="E6575">
        <v>0.47466710000000001</v>
      </c>
      <c r="F6575" t="s">
        <v>42</v>
      </c>
      <c r="G6575">
        <v>-188.6985</v>
      </c>
      <c r="H6575" s="1">
        <v>-2.0629449999999999E-6</v>
      </c>
      <c r="I6575">
        <v>43.903390000000002</v>
      </c>
      <c r="J6575">
        <v>-187.56030000000001</v>
      </c>
      <c r="K6575">
        <v>1.1087359999999999</v>
      </c>
      <c r="L6575">
        <v>18.281490000000002</v>
      </c>
      <c r="M6575">
        <v>-3.2717000000000002E-3</v>
      </c>
      <c r="N6575">
        <v>0</v>
      </c>
      <c r="O6575">
        <v>0.99990109999999999</v>
      </c>
      <c r="P6575">
        <v>3.6058050000000001E-2</v>
      </c>
      <c r="Q6575">
        <v>0.12642010000000001</v>
      </c>
      <c r="R6575">
        <v>0.99132120000000001</v>
      </c>
      <c r="S6575">
        <v>-0.13388059999999999</v>
      </c>
      <c r="T6575">
        <v>-0.13031519999999999</v>
      </c>
      <c r="U6575">
        <v>3.047974</v>
      </c>
      <c r="V6575">
        <v>3.9362370000000001E-2</v>
      </c>
      <c r="W6575">
        <v>0.1399474</v>
      </c>
      <c r="X6575">
        <v>0.98937620000000004</v>
      </c>
      <c r="Y6575">
        <v>-4.0573089999999999E-2</v>
      </c>
      <c r="Z6575">
        <v>-4.267721E-2</v>
      </c>
      <c r="AA6575">
        <v>0.9982647</v>
      </c>
      <c r="AB6575">
        <v>32</v>
      </c>
      <c r="AC6575">
        <v>-1.1381999999999799</v>
      </c>
      <c r="AD6575">
        <v>-1.1087380629449901</v>
      </c>
      <c r="AE6575">
        <v>25.6219</v>
      </c>
      <c r="AF6575">
        <v>-1.05239211050785</v>
      </c>
      <c r="AG6575">
        <v>-1.1087380629449901</v>
      </c>
      <c r="AH6575">
        <v>25.577685676831798</v>
      </c>
      <c r="AI6575">
        <v>92.480000145200506</v>
      </c>
      <c r="AJ6575">
        <v>92.356101937778604</v>
      </c>
      <c r="AK6575">
        <v>25.6233259712569</v>
      </c>
      <c r="AL6575">
        <v>81.955197216591998</v>
      </c>
      <c r="AM6575">
        <v>87.721686786731595</v>
      </c>
      <c r="AN6575">
        <v>0.99999996803260705</v>
      </c>
    </row>
    <row r="6576" spans="1:40" x14ac:dyDescent="0.25">
      <c r="A6576" t="str">
        <f>"20190312164632708"</f>
        <v>20190312164632708</v>
      </c>
      <c r="B6576" t="str">
        <f>"1552380392697693"</f>
        <v>1552380392697693</v>
      </c>
      <c r="C6576" t="s">
        <v>40</v>
      </c>
      <c r="D6576">
        <v>4.3524399999999996</v>
      </c>
      <c r="E6576">
        <v>0.47505890000000001</v>
      </c>
      <c r="F6576" t="s">
        <v>42</v>
      </c>
      <c r="G6576">
        <v>-188.59870000000001</v>
      </c>
      <c r="H6576" s="1">
        <v>-1.959783E-6</v>
      </c>
      <c r="I6576">
        <v>43.621639999999999</v>
      </c>
      <c r="J6576">
        <v>-187.56110000000001</v>
      </c>
      <c r="K6576">
        <v>1.108738</v>
      </c>
      <c r="L6576">
        <v>18.598179999999999</v>
      </c>
      <c r="M6576">
        <v>-3.0824149999999998E-3</v>
      </c>
      <c r="N6576">
        <v>0</v>
      </c>
      <c r="O6576">
        <v>0.9999017</v>
      </c>
      <c r="P6576">
        <v>3.630601E-2</v>
      </c>
      <c r="Q6576">
        <v>0.12663669999999999</v>
      </c>
      <c r="R6576">
        <v>0.99128450000000001</v>
      </c>
      <c r="S6576">
        <v>-0.1248932</v>
      </c>
      <c r="T6576">
        <v>-0.133355</v>
      </c>
      <c r="U6576">
        <v>3.0478209999999999</v>
      </c>
      <c r="V6576">
        <v>3.9422249999999999E-2</v>
      </c>
      <c r="W6576">
        <v>0.1401637</v>
      </c>
      <c r="X6576">
        <v>0.98934319999999998</v>
      </c>
      <c r="Y6576">
        <v>-3.7824110000000001E-2</v>
      </c>
      <c r="Z6576">
        <v>-4.3678149999999999E-2</v>
      </c>
      <c r="AA6576">
        <v>0.99832940000000003</v>
      </c>
      <c r="AB6576">
        <v>32</v>
      </c>
      <c r="AC6576">
        <v>-1.0375999999999901</v>
      </c>
      <c r="AD6576">
        <v>-1.1087399597830001</v>
      </c>
      <c r="AE6576">
        <v>25.02346</v>
      </c>
      <c r="AF6576">
        <v>-0.95857651704482705</v>
      </c>
      <c r="AG6576">
        <v>-1.1087399597830001</v>
      </c>
      <c r="AH6576">
        <v>24.977587862743601</v>
      </c>
      <c r="AI6576">
        <v>92.539789166118297</v>
      </c>
      <c r="AJ6576">
        <v>92.197788236935494</v>
      </c>
      <c r="AK6576">
        <v>25.020552925115901</v>
      </c>
      <c r="AL6576">
        <v>81.942680804663993</v>
      </c>
      <c r="AM6576">
        <v>87.718148534474807</v>
      </c>
      <c r="AN6576">
        <v>0.99999997198949497</v>
      </c>
    </row>
    <row r="6577" spans="1:40" x14ac:dyDescent="0.25">
      <c r="A6577" t="str">
        <f>"20190312164632730"</f>
        <v>20190312164632730</v>
      </c>
      <c r="B6577" t="str">
        <f>"1552380392727946"</f>
        <v>1552380392727946</v>
      </c>
      <c r="C6577" t="s">
        <v>40</v>
      </c>
      <c r="D6577">
        <v>4.3137150000000002</v>
      </c>
      <c r="E6577">
        <v>0.47547</v>
      </c>
      <c r="F6577" t="s">
        <v>42</v>
      </c>
      <c r="G6577">
        <v>-188.6011</v>
      </c>
      <c r="H6577" s="1">
        <v>-2.454587E-6</v>
      </c>
      <c r="I6577">
        <v>44.776040000000002</v>
      </c>
      <c r="J6577">
        <v>-187.56180000000001</v>
      </c>
      <c r="K6577">
        <v>1.108746</v>
      </c>
      <c r="L6577">
        <v>18.902370000000001</v>
      </c>
      <c r="M6577">
        <v>-2.9059340000000002E-3</v>
      </c>
      <c r="N6577">
        <v>0</v>
      </c>
      <c r="O6577">
        <v>0.99990219999999996</v>
      </c>
      <c r="P6577">
        <v>3.6298700000000003E-2</v>
      </c>
      <c r="Q6577">
        <v>0.1267692</v>
      </c>
      <c r="R6577">
        <v>0.99126789999999998</v>
      </c>
      <c r="S6577">
        <v>-0.1210632</v>
      </c>
      <c r="T6577">
        <v>-0.12906580000000001</v>
      </c>
      <c r="U6577">
        <v>3.0473020000000002</v>
      </c>
      <c r="V6577">
        <v>3.9238889999999998E-2</v>
      </c>
      <c r="W6577">
        <v>0.14029539999999999</v>
      </c>
      <c r="X6577">
        <v>0.98933179999999998</v>
      </c>
      <c r="Y6577">
        <v>-3.6757100000000001E-2</v>
      </c>
      <c r="Z6577">
        <v>-4.2284960000000003E-2</v>
      </c>
      <c r="AA6577">
        <v>0.99842920000000002</v>
      </c>
      <c r="AB6577">
        <v>32</v>
      </c>
      <c r="AC6577">
        <v>-1.0392999999999899</v>
      </c>
      <c r="AD6577">
        <v>-1.1087484545870001</v>
      </c>
      <c r="AE6577">
        <v>25.873670000000001</v>
      </c>
      <c r="AF6577">
        <v>-0.96233707846166805</v>
      </c>
      <c r="AG6577">
        <v>-1.1087484545870001</v>
      </c>
      <c r="AH6577">
        <v>25.829226658044099</v>
      </c>
      <c r="AI6577">
        <v>92.456274314225595</v>
      </c>
      <c r="AJ6577">
        <v>92.133720923936195</v>
      </c>
      <c r="AK6577">
        <v>25.8709173695242</v>
      </c>
      <c r="AL6577">
        <v>81.935059468213097</v>
      </c>
      <c r="AM6577">
        <v>87.728724552585902</v>
      </c>
      <c r="AN6577">
        <v>0.99999995012041398</v>
      </c>
    </row>
    <row r="6578" spans="1:40" x14ac:dyDescent="0.25">
      <c r="A6578" t="str">
        <f>"20190312164632753"</f>
        <v>20190312164632753</v>
      </c>
      <c r="B6578" t="str">
        <f>"1552380392747466"</f>
        <v>1552380392747466</v>
      </c>
      <c r="C6578" t="s">
        <v>40</v>
      </c>
      <c r="D6578">
        <v>4.2492739999999998</v>
      </c>
      <c r="E6578">
        <v>0.47576679999999999</v>
      </c>
      <c r="F6578" t="s">
        <v>42</v>
      </c>
      <c r="G6578">
        <v>-188.62960000000001</v>
      </c>
      <c r="H6578" s="1">
        <v>-3.2209010000000002E-6</v>
      </c>
      <c r="I6578">
        <v>46.574150000000003</v>
      </c>
      <c r="J6578">
        <v>-187.5626</v>
      </c>
      <c r="K6578">
        <v>1.1087480000000001</v>
      </c>
      <c r="L6578">
        <v>19.227810000000002</v>
      </c>
      <c r="M6578">
        <v>-2.7279740000000002E-3</v>
      </c>
      <c r="N6578">
        <v>0</v>
      </c>
      <c r="O6578">
        <v>0.99990279999999998</v>
      </c>
      <c r="P6578">
        <v>3.6226590000000003E-2</v>
      </c>
      <c r="Q6578">
        <v>0.12674830000000001</v>
      </c>
      <c r="R6578">
        <v>0.99127319999999997</v>
      </c>
      <c r="S6578">
        <v>-0.1175537</v>
      </c>
      <c r="T6578">
        <v>-0.122061</v>
      </c>
      <c r="U6578">
        <v>3.0463559999999998</v>
      </c>
      <c r="V6578">
        <v>3.8988179999999997E-2</v>
      </c>
      <c r="W6578">
        <v>0.14027510000000001</v>
      </c>
      <c r="X6578">
        <v>0.98934469999999997</v>
      </c>
      <c r="Y6578">
        <v>-3.5802390000000003E-2</v>
      </c>
      <c r="Z6578">
        <v>-4.0007830000000001E-2</v>
      </c>
      <c r="AA6578">
        <v>0.99855769999999999</v>
      </c>
      <c r="AB6578">
        <v>31</v>
      </c>
      <c r="AC6578">
        <v>-1.0669999999999999</v>
      </c>
      <c r="AD6578">
        <v>-1.108751220901</v>
      </c>
      <c r="AE6578">
        <v>27.346340000000001</v>
      </c>
      <c r="AF6578">
        <v>-0.99076273221588795</v>
      </c>
      <c r="AG6578">
        <v>-1.108751220901</v>
      </c>
      <c r="AH6578">
        <v>27.3043324626877</v>
      </c>
      <c r="AI6578">
        <v>92.323813297855295</v>
      </c>
      <c r="AJ6578">
        <v>92.078118136725195</v>
      </c>
      <c r="AK6578">
        <v>27.344789472482301</v>
      </c>
      <c r="AL6578">
        <v>81.936235070152193</v>
      </c>
      <c r="AM6578">
        <v>87.743250810935194</v>
      </c>
      <c r="AN6578">
        <v>1.0000000586389</v>
      </c>
    </row>
    <row r="6579" spans="1:40" x14ac:dyDescent="0.25">
      <c r="A6579" t="str">
        <f>"20190312164632776"</f>
        <v>20190312164632776</v>
      </c>
      <c r="B6579" t="str">
        <f>"1552380392767963"</f>
        <v>1552380392767963</v>
      </c>
      <c r="C6579" t="s">
        <v>40</v>
      </c>
      <c r="D6579">
        <v>4.3112519999999996</v>
      </c>
      <c r="E6579">
        <v>0.4760605</v>
      </c>
      <c r="F6579" t="s">
        <v>42</v>
      </c>
      <c r="G6579">
        <v>-188.65530000000001</v>
      </c>
      <c r="H6579" s="1">
        <v>-3.8628139999999996E-6</v>
      </c>
      <c r="I6579">
        <v>48.08108</v>
      </c>
      <c r="J6579">
        <v>-187.5633</v>
      </c>
      <c r="K6579">
        <v>1.1087560000000001</v>
      </c>
      <c r="L6579">
        <v>19.55902</v>
      </c>
      <c r="M6579">
        <v>-2.5582000000000001E-3</v>
      </c>
      <c r="N6579">
        <v>0</v>
      </c>
      <c r="O6579">
        <v>0.99990330000000005</v>
      </c>
      <c r="P6579">
        <v>3.6244789999999999E-2</v>
      </c>
      <c r="Q6579">
        <v>0.12663740000000001</v>
      </c>
      <c r="R6579">
        <v>0.99128669999999997</v>
      </c>
      <c r="S6579">
        <v>-0.1153412</v>
      </c>
      <c r="T6579">
        <v>-0.11703379999999999</v>
      </c>
      <c r="U6579">
        <v>3.0455930000000002</v>
      </c>
      <c r="V6579">
        <v>3.8835019999999998E-2</v>
      </c>
      <c r="W6579">
        <v>0.14016419999999999</v>
      </c>
      <c r="X6579">
        <v>0.98936639999999998</v>
      </c>
      <c r="Y6579">
        <v>-3.5259770000000003E-2</v>
      </c>
      <c r="Z6579">
        <v>-3.8373070000000002E-2</v>
      </c>
      <c r="AA6579">
        <v>0.99864120000000001</v>
      </c>
      <c r="AB6579">
        <v>31</v>
      </c>
      <c r="AC6579">
        <v>-1.0920000000000101</v>
      </c>
      <c r="AD6579">
        <v>-1.1087598628140001</v>
      </c>
      <c r="AE6579">
        <v>28.5220599999999</v>
      </c>
      <c r="AF6579">
        <v>-1.0174891265153301</v>
      </c>
      <c r="AG6579">
        <v>-1.1087598628140001</v>
      </c>
      <c r="AH6579">
        <v>28.4817826616096</v>
      </c>
      <c r="AI6579">
        <v>92.227906955853101</v>
      </c>
      <c r="AJ6579">
        <v>92.045976266559194</v>
      </c>
      <c r="AK6579">
        <v>28.5215107618641</v>
      </c>
      <c r="AL6579">
        <v>81.942652241047597</v>
      </c>
      <c r="AM6579">
        <v>87.752156297555302</v>
      </c>
      <c r="AN6579">
        <v>1.0000000175945001</v>
      </c>
    </row>
    <row r="6580" spans="1:40" x14ac:dyDescent="0.25">
      <c r="A6580" t="str">
        <f>"20190312164632799"</f>
        <v>20190312164632799</v>
      </c>
      <c r="B6580" t="str">
        <f>"1552380392787482"</f>
        <v>1552380392787482</v>
      </c>
      <c r="C6580" t="s">
        <v>40</v>
      </c>
      <c r="D6580">
        <v>4.3288979999999997</v>
      </c>
      <c r="E6580">
        <v>0.47628819999999999</v>
      </c>
      <c r="F6580" t="s">
        <v>42</v>
      </c>
      <c r="G6580">
        <v>-188.6575</v>
      </c>
      <c r="H6580" s="1">
        <v>-4.3115400000000004E-6</v>
      </c>
      <c r="I6580">
        <v>49.127980000000001</v>
      </c>
      <c r="J6580">
        <v>-187.56389999999999</v>
      </c>
      <c r="K6580">
        <v>1.108768</v>
      </c>
      <c r="L6580">
        <v>19.867280000000001</v>
      </c>
      <c r="M6580">
        <v>-2.4161009999999999E-3</v>
      </c>
      <c r="N6580">
        <v>0</v>
      </c>
      <c r="O6580">
        <v>0.9999036</v>
      </c>
      <c r="P6580">
        <v>3.653613E-2</v>
      </c>
      <c r="Q6580">
        <v>0.1265106</v>
      </c>
      <c r="R6580">
        <v>0.99129219999999896</v>
      </c>
      <c r="S6580">
        <v>-0.1126862</v>
      </c>
      <c r="T6580">
        <v>-0.11418250000000001</v>
      </c>
      <c r="U6580">
        <v>3.0450740000000001</v>
      </c>
      <c r="V6580">
        <v>3.898157E-2</v>
      </c>
      <c r="W6580">
        <v>0.14003769999999999</v>
      </c>
      <c r="X6580">
        <v>0.98937850000000005</v>
      </c>
      <c r="Y6580">
        <v>-3.4540010000000003E-2</v>
      </c>
      <c r="Z6580">
        <v>-3.7446960000000001E-2</v>
      </c>
      <c r="AA6580">
        <v>0.99870150000000002</v>
      </c>
      <c r="AB6580">
        <v>31</v>
      </c>
      <c r="AC6580">
        <v>-1.0935999999999999</v>
      </c>
      <c r="AD6580">
        <v>-1.1087723115400001</v>
      </c>
      <c r="AE6580">
        <v>29.2607</v>
      </c>
      <c r="AF6580">
        <v>-1.02142879764231</v>
      </c>
      <c r="AG6580">
        <v>-1.1087723115400001</v>
      </c>
      <c r="AH6580">
        <v>29.221357510894801</v>
      </c>
      <c r="AI6580">
        <v>92.171657935406003</v>
      </c>
      <c r="AJ6580">
        <v>92.001951520575105</v>
      </c>
      <c r="AK6580">
        <v>29.260219199572301</v>
      </c>
      <c r="AL6580">
        <v>81.949971953729502</v>
      </c>
      <c r="AM6580">
        <v>87.743710025739901</v>
      </c>
      <c r="AN6580">
        <v>0.99999996824160198</v>
      </c>
    </row>
    <row r="6581" spans="1:40" x14ac:dyDescent="0.25">
      <c r="A6581" t="str">
        <f>"20190312164632821"</f>
        <v>20190312164632821</v>
      </c>
      <c r="B6581" t="str">
        <f>"1552380392817738"</f>
        <v>1552380392817738</v>
      </c>
      <c r="C6581" t="s">
        <v>40</v>
      </c>
      <c r="D6581">
        <v>4.3429859999999998</v>
      </c>
      <c r="E6581">
        <v>0.47656680000000001</v>
      </c>
      <c r="F6581" t="s">
        <v>42</v>
      </c>
      <c r="G6581">
        <v>-188.65389999999999</v>
      </c>
      <c r="H6581" s="1">
        <v>-4.8898179999999899E-7</v>
      </c>
      <c r="I6581">
        <v>50.03248</v>
      </c>
      <c r="J6581">
        <v>-187.56460000000001</v>
      </c>
      <c r="K6581">
        <v>1.108778</v>
      </c>
      <c r="L6581">
        <v>20.186070000000001</v>
      </c>
      <c r="M6581">
        <v>-2.2918869999999998E-3</v>
      </c>
      <c r="N6581">
        <v>0</v>
      </c>
      <c r="O6581">
        <v>0.99990389999999996</v>
      </c>
      <c r="P6581">
        <v>3.6796839999999997E-2</v>
      </c>
      <c r="Q6581">
        <v>0.12657399999999999</v>
      </c>
      <c r="R6581">
        <v>0.9912744</v>
      </c>
      <c r="S6581">
        <v>-0.1100159</v>
      </c>
      <c r="T6581">
        <v>-0.11191180000000001</v>
      </c>
      <c r="U6581">
        <v>3.0446780000000002</v>
      </c>
      <c r="V6581">
        <v>3.9113599999999998E-2</v>
      </c>
      <c r="W6581">
        <v>0.1401009</v>
      </c>
      <c r="X6581">
        <v>0.98936440000000003</v>
      </c>
      <c r="Y6581">
        <v>-3.3795230000000002E-2</v>
      </c>
      <c r="Z6581">
        <v>-3.6709119999999998E-2</v>
      </c>
      <c r="AA6581">
        <v>0.99875440000000004</v>
      </c>
      <c r="AB6581">
        <v>31</v>
      </c>
      <c r="AC6581">
        <v>-1.08929999999998</v>
      </c>
      <c r="AD6581">
        <v>-1.1087784889818</v>
      </c>
      <c r="AE6581">
        <v>29.846409999999999</v>
      </c>
      <c r="AF6581">
        <v>-1.0194810474560301</v>
      </c>
      <c r="AG6581">
        <v>-1.1087784889818</v>
      </c>
      <c r="AH6581">
        <v>29.807745925888302</v>
      </c>
      <c r="AI6581">
        <v>92.129043193411405</v>
      </c>
      <c r="AJ6581">
        <v>91.958859997889107</v>
      </c>
      <c r="AK6581">
        <v>29.8457777336437</v>
      </c>
      <c r="AL6581">
        <v>81.946315274848899</v>
      </c>
      <c r="AM6581">
        <v>87.736043712417697</v>
      </c>
      <c r="AN6581">
        <v>1.00000002593656</v>
      </c>
    </row>
    <row r="6582" spans="1:40" x14ac:dyDescent="0.25">
      <c r="A6582" t="str">
        <f>"20190312164632842"</f>
        <v>20190312164632842</v>
      </c>
      <c r="B6582" t="str">
        <f>"1552380392837258"</f>
        <v>1552380392837258</v>
      </c>
      <c r="C6582" t="s">
        <v>40</v>
      </c>
      <c r="D6582">
        <v>4.2163079999999997</v>
      </c>
      <c r="E6582">
        <v>0.47650749999999997</v>
      </c>
      <c r="F6582" t="s">
        <v>42</v>
      </c>
      <c r="G6582">
        <v>-188.66149999999999</v>
      </c>
      <c r="H6582" s="1">
        <v>-9.961455999999999E-7</v>
      </c>
      <c r="I6582">
        <v>51.40137</v>
      </c>
      <c r="J6582">
        <v>-187.5651</v>
      </c>
      <c r="K6582">
        <v>1.108803</v>
      </c>
      <c r="L6582">
        <v>20.470759999999999</v>
      </c>
      <c r="M6582">
        <v>-2.2028490000000002E-3</v>
      </c>
      <c r="N6582">
        <v>0</v>
      </c>
      <c r="O6582">
        <v>0.99990420000000002</v>
      </c>
      <c r="P6582">
        <v>3.7211029999999999E-2</v>
      </c>
      <c r="Q6582">
        <v>0.12577650000000001</v>
      </c>
      <c r="R6582">
        <v>0.99136049999999998</v>
      </c>
      <c r="S6582">
        <v>-0.1069794</v>
      </c>
      <c r="T6582">
        <v>-0.1081307</v>
      </c>
      <c r="U6582">
        <v>3.0441889999999998</v>
      </c>
      <c r="V6582">
        <v>3.9433610000000001E-2</v>
      </c>
      <c r="W6582">
        <v>0.13930479999999901</v>
      </c>
      <c r="X6582">
        <v>0.98946400000000001</v>
      </c>
      <c r="Y6582">
        <v>-3.2896590000000003E-2</v>
      </c>
      <c r="Z6582">
        <v>-3.5477300000000003E-2</v>
      </c>
      <c r="AA6582">
        <v>0.99882890000000002</v>
      </c>
      <c r="AB6582">
        <v>31</v>
      </c>
      <c r="AC6582">
        <v>-1.0963999999999801</v>
      </c>
      <c r="AD6582">
        <v>-1.1088039961456</v>
      </c>
      <c r="AE6582">
        <v>30.930610000000001</v>
      </c>
      <c r="AF6582">
        <v>-1.02693746532615</v>
      </c>
      <c r="AG6582">
        <v>-1.1088039961456</v>
      </c>
      <c r="AH6582">
        <v>30.893299606411698</v>
      </c>
      <c r="AI6582">
        <v>92.054410043462696</v>
      </c>
      <c r="AJ6582">
        <v>91.903892604702705</v>
      </c>
      <c r="AK6582">
        <v>30.930244218742899</v>
      </c>
      <c r="AL6582">
        <v>81.992379344820804</v>
      </c>
      <c r="AM6582">
        <v>87.717770054950805</v>
      </c>
      <c r="AN6582">
        <v>0.99999992209833299</v>
      </c>
    </row>
    <row r="6583" spans="1:40" x14ac:dyDescent="0.25">
      <c r="A6583" t="str">
        <f>"20190312164632865"</f>
        <v>20190312164632865</v>
      </c>
      <c r="B6583" t="str">
        <f>"1552380392857755"</f>
        <v>1552380392857755</v>
      </c>
      <c r="C6583" t="s">
        <v>40</v>
      </c>
      <c r="D6583">
        <v>4.3940659999999996</v>
      </c>
      <c r="E6583">
        <v>0.50366999999999995</v>
      </c>
      <c r="F6583" t="s">
        <v>42</v>
      </c>
      <c r="G6583">
        <v>-188.62710000000001</v>
      </c>
      <c r="H6583" s="1">
        <v>-8.1901690000000002E-7</v>
      </c>
      <c r="I6583">
        <v>50.974249999999998</v>
      </c>
      <c r="J6583">
        <v>-187.56569999999999</v>
      </c>
      <c r="K6583">
        <v>1.1088180000000001</v>
      </c>
      <c r="L6583">
        <v>20.80057</v>
      </c>
      <c r="M6583">
        <v>-2.1221389999999999E-3</v>
      </c>
      <c r="N6583">
        <v>0</v>
      </c>
      <c r="O6583">
        <v>0.99990429999999997</v>
      </c>
      <c r="P6583">
        <v>3.7589419999999998E-2</v>
      </c>
      <c r="Q6583">
        <v>0.12562989999999999</v>
      </c>
      <c r="R6583">
        <v>0.99136480000000005</v>
      </c>
      <c r="S6583">
        <v>-0.1059875</v>
      </c>
      <c r="T6583">
        <v>-0.1106554</v>
      </c>
      <c r="U6583">
        <v>3.0441590000000001</v>
      </c>
      <c r="V6583">
        <v>3.9724959999999997E-2</v>
      </c>
      <c r="W6583">
        <v>0.1391589</v>
      </c>
      <c r="X6583">
        <v>0.98947289999999999</v>
      </c>
      <c r="Y6583">
        <v>-3.265154E-2</v>
      </c>
      <c r="Z6583">
        <v>-3.630531E-2</v>
      </c>
      <c r="AA6583">
        <v>0.99880720000000001</v>
      </c>
      <c r="AB6583">
        <v>31</v>
      </c>
      <c r="AC6583">
        <v>-1.0614000000000201</v>
      </c>
      <c r="AD6583">
        <v>-1.1088188190168999</v>
      </c>
      <c r="AE6583">
        <v>30.173680000000001</v>
      </c>
      <c r="AF6583">
        <v>-0.99601551827885904</v>
      </c>
      <c r="AG6583">
        <v>-1.1088188190168999</v>
      </c>
      <c r="AH6583">
        <v>30.1352201791745</v>
      </c>
      <c r="AI6583">
        <v>92.1060860249341</v>
      </c>
      <c r="AJ6583">
        <v>91.893024790874406</v>
      </c>
      <c r="AK6583">
        <v>30.1720569622521</v>
      </c>
      <c r="AL6583">
        <v>82.000821214634399</v>
      </c>
      <c r="AM6583">
        <v>87.700946786681399</v>
      </c>
      <c r="AN6583">
        <v>0.99999994586530905</v>
      </c>
    </row>
    <row r="6584" spans="1:40" x14ac:dyDescent="0.25">
      <c r="A6584" t="str">
        <f>"20190312164632887"</f>
        <v>20190312164632887</v>
      </c>
      <c r="B6584" t="str">
        <f>"1552380392878250"</f>
        <v>1552380392878250</v>
      </c>
      <c r="C6584" t="s">
        <v>40</v>
      </c>
      <c r="D6584">
        <v>4.4001409999999996</v>
      </c>
      <c r="E6584">
        <v>0.51459690000000002</v>
      </c>
      <c r="F6584" t="s">
        <v>41</v>
      </c>
      <c r="G6584">
        <v>-187.5386</v>
      </c>
      <c r="H6584">
        <v>1.0490170000000001</v>
      </c>
      <c r="I6584">
        <v>21.58183</v>
      </c>
      <c r="J6584">
        <v>-187.56630000000001</v>
      </c>
      <c r="K6584">
        <v>1.108838</v>
      </c>
      <c r="L6584">
        <v>21.103580000000001</v>
      </c>
      <c r="M6584">
        <v>-2.0662749999999998E-3</v>
      </c>
      <c r="N6584">
        <v>0</v>
      </c>
      <c r="O6584">
        <v>0.99990449999999997</v>
      </c>
      <c r="P6584">
        <v>3.7993510000000001E-2</v>
      </c>
      <c r="Q6584">
        <v>0.1247678</v>
      </c>
      <c r="R6584">
        <v>0.99145819999999996</v>
      </c>
      <c r="S6584">
        <v>0.10513309999999999</v>
      </c>
      <c r="T6584">
        <v>-0.23359489999999999</v>
      </c>
      <c r="U6584">
        <v>3.051758</v>
      </c>
      <c r="V6584">
        <v>4.0068230000000003E-2</v>
      </c>
      <c r="W6584">
        <v>0.13829849999999999</v>
      </c>
      <c r="X6584">
        <v>0.98957969999999895</v>
      </c>
      <c r="Y6584">
        <v>3.6394450000000002E-2</v>
      </c>
      <c r="Z6584">
        <v>-7.6273110000000005E-2</v>
      </c>
      <c r="AA6584">
        <v>0.99642249999999999</v>
      </c>
      <c r="AB6584">
        <v>31</v>
      </c>
      <c r="AC6584">
        <v>2.7700000000010001E-2</v>
      </c>
      <c r="AD6584">
        <v>-5.9820999999999902E-2</v>
      </c>
      <c r="AE6584">
        <v>0.47825000000000201</v>
      </c>
      <c r="AF6584">
        <v>2.8247748589453298E-2</v>
      </c>
      <c r="AG6584">
        <v>-5.9820999999999902E-2</v>
      </c>
      <c r="AH6584">
        <v>0.47084955697720099</v>
      </c>
      <c r="AI6584">
        <v>97.227726646333807</v>
      </c>
      <c r="AJ6584">
        <v>86.566760646506495</v>
      </c>
      <c r="AK6584">
        <v>0.47547428179345302</v>
      </c>
      <c r="AL6584">
        <v>82.0505999622997</v>
      </c>
      <c r="AM6584">
        <v>87.681351872293007</v>
      </c>
      <c r="AN6584">
        <v>0.99999996040483496</v>
      </c>
    </row>
    <row r="6585" spans="1:40" x14ac:dyDescent="0.25">
      <c r="A6585" t="str">
        <f>"20190312164632910"</f>
        <v>20190312164632910</v>
      </c>
      <c r="B6585" t="str">
        <f>"1552380392897774"</f>
        <v>1552380392897774</v>
      </c>
      <c r="C6585" t="s">
        <v>40</v>
      </c>
      <c r="D6585">
        <v>4.2054220000000004</v>
      </c>
      <c r="E6585">
        <v>0.5204396</v>
      </c>
      <c r="F6585" t="s">
        <v>41</v>
      </c>
      <c r="G6585">
        <v>-187.5204</v>
      </c>
      <c r="H6585">
        <v>1.0285040000000001</v>
      </c>
      <c r="I6585">
        <v>21.847470000000001</v>
      </c>
      <c r="J6585">
        <v>-187.5669</v>
      </c>
      <c r="K6585">
        <v>1.108851</v>
      </c>
      <c r="L6585">
        <v>21.41696</v>
      </c>
      <c r="M6585">
        <v>-2.0218499999999999E-3</v>
      </c>
      <c r="N6585">
        <v>0</v>
      </c>
      <c r="O6585">
        <v>0.99990460000000003</v>
      </c>
      <c r="P6585">
        <v>3.8491379999999999E-2</v>
      </c>
      <c r="Q6585">
        <v>0.1241988</v>
      </c>
      <c r="R6585">
        <v>0.99151049999999996</v>
      </c>
      <c r="S6585">
        <v>0.18858340000000001</v>
      </c>
      <c r="T6585">
        <v>-0.33047339999999997</v>
      </c>
      <c r="U6585">
        <v>3.0602109999999998</v>
      </c>
      <c r="V6585">
        <v>4.0518029999999997E-2</v>
      </c>
      <c r="W6585">
        <v>0.13772989999999999</v>
      </c>
      <c r="X6585">
        <v>0.98964070000000004</v>
      </c>
      <c r="Y6585">
        <v>6.3171539999999998E-2</v>
      </c>
      <c r="Z6585">
        <v>-0.10715810000000001</v>
      </c>
      <c r="AA6585">
        <v>0.99223309999999998</v>
      </c>
      <c r="AB6585">
        <v>31</v>
      </c>
      <c r="AC6585">
        <v>4.6500000000008798E-2</v>
      </c>
      <c r="AD6585">
        <v>-8.0346999999999905E-2</v>
      </c>
      <c r="AE6585">
        <v>0.430510000000001</v>
      </c>
      <c r="AF6585">
        <v>4.5793739954263897E-2</v>
      </c>
      <c r="AG6585">
        <v>-8.0346999999999905E-2</v>
      </c>
      <c r="AH6585">
        <v>0.41608919474316097</v>
      </c>
      <c r="AI6585">
        <v>100.86529061247499</v>
      </c>
      <c r="AJ6585">
        <v>83.719445947283802</v>
      </c>
      <c r="AK6585">
        <v>0.426242800537453</v>
      </c>
      <c r="AL6585">
        <v>82.083493244728302</v>
      </c>
      <c r="AM6585">
        <v>87.655496319909801</v>
      </c>
      <c r="AN6585">
        <v>0.99999997560278997</v>
      </c>
    </row>
    <row r="6586" spans="1:40" x14ac:dyDescent="0.25">
      <c r="A6586" t="str">
        <f>"20190312164632931"</f>
        <v>20190312164632931</v>
      </c>
      <c r="B6586" t="str">
        <f>"1552380392928026"</f>
        <v>1552380392928026</v>
      </c>
      <c r="C6586" t="s">
        <v>40</v>
      </c>
      <c r="D6586">
        <v>4.6057540000000001</v>
      </c>
      <c r="E6586">
        <v>0.52494019999999997</v>
      </c>
      <c r="F6586" t="s">
        <v>41</v>
      </c>
      <c r="G6586">
        <v>-187.4931</v>
      </c>
      <c r="H6586">
        <v>0.98581169999999996</v>
      </c>
      <c r="I6586">
        <v>22.384499999999999</v>
      </c>
      <c r="J6586">
        <v>-187.56739999999999</v>
      </c>
      <c r="K6586">
        <v>1.108857</v>
      </c>
      <c r="L6586">
        <v>21.726140000000001</v>
      </c>
      <c r="M6586">
        <v>-1.9864639999999999E-3</v>
      </c>
      <c r="N6586">
        <v>0</v>
      </c>
      <c r="O6586">
        <v>0.99990460000000003</v>
      </c>
      <c r="P6586">
        <v>3.9017219999999998E-2</v>
      </c>
      <c r="Q6586">
        <v>0.1240916</v>
      </c>
      <c r="R6586">
        <v>0.99150340000000003</v>
      </c>
      <c r="S6586">
        <v>0.23323060000000001</v>
      </c>
      <c r="T6586">
        <v>-0.38982899999999998</v>
      </c>
      <c r="U6586">
        <v>3.0654599999999999</v>
      </c>
      <c r="V6586">
        <v>4.1006380000000002E-2</v>
      </c>
      <c r="W6586">
        <v>0.13762179999999999</v>
      </c>
      <c r="X6586">
        <v>0.98963559999999995</v>
      </c>
      <c r="Y6586">
        <v>7.7242329999999998E-2</v>
      </c>
      <c r="Z6586">
        <v>-0.12578449999999999</v>
      </c>
      <c r="AA6586">
        <v>0.98904590000000003</v>
      </c>
      <c r="AB6586">
        <v>31</v>
      </c>
      <c r="AC6586">
        <v>7.4299999999993802E-2</v>
      </c>
      <c r="AD6586">
        <v>-0.123045299999999</v>
      </c>
      <c r="AE6586">
        <v>0.65835999999999795</v>
      </c>
      <c r="AF6586">
        <v>7.3086937073776198E-2</v>
      </c>
      <c r="AG6586">
        <v>-0.123045299999999</v>
      </c>
      <c r="AH6586">
        <v>0.63626560868742199</v>
      </c>
      <c r="AI6586">
        <v>100.875340233701</v>
      </c>
      <c r="AJ6586">
        <v>83.447234341853502</v>
      </c>
      <c r="AK6586">
        <v>0.65216238086943601</v>
      </c>
      <c r="AL6586">
        <v>82.089746277350102</v>
      </c>
      <c r="AM6586">
        <v>87.627258706526703</v>
      </c>
      <c r="AN6586">
        <v>0.99999995191165103</v>
      </c>
    </row>
    <row r="6587" spans="1:40" x14ac:dyDescent="0.25">
      <c r="A6587" t="str">
        <f>"20190312164632954"</f>
        <v>20190312164632954</v>
      </c>
      <c r="B6587" t="str">
        <f>"1552380392947547"</f>
        <v>1552380392947547</v>
      </c>
      <c r="C6587" t="s">
        <v>40</v>
      </c>
      <c r="D6587">
        <v>4.516788</v>
      </c>
      <c r="E6587">
        <v>0.52639899999999995</v>
      </c>
      <c r="F6587" t="s">
        <v>41</v>
      </c>
      <c r="G6587">
        <v>-187.48599999999999</v>
      </c>
      <c r="H6587">
        <v>0.9768232</v>
      </c>
      <c r="I6587">
        <v>22.658850000000001</v>
      </c>
      <c r="J6587">
        <v>-187.56800000000001</v>
      </c>
      <c r="K6587">
        <v>1.1088549999999999</v>
      </c>
      <c r="L6587">
        <v>22.043030000000002</v>
      </c>
      <c r="M6587">
        <v>-1.953354E-3</v>
      </c>
      <c r="N6587">
        <v>0</v>
      </c>
      <c r="O6587">
        <v>0.99990480000000004</v>
      </c>
      <c r="P6587">
        <v>3.8787729999999999E-2</v>
      </c>
      <c r="Q6587">
        <v>0.1240647</v>
      </c>
      <c r="R6587">
        <v>0.99151579999999995</v>
      </c>
      <c r="S6587">
        <v>0.26734920000000001</v>
      </c>
      <c r="T6587">
        <v>-0.4345253</v>
      </c>
      <c r="U6587">
        <v>3.0695800000000002</v>
      </c>
      <c r="V6587">
        <v>4.0742649999999998E-2</v>
      </c>
      <c r="W6587">
        <v>0.13759389999999999</v>
      </c>
      <c r="X6587">
        <v>0.98965040000000004</v>
      </c>
      <c r="Y6587">
        <v>8.7863849999999993E-2</v>
      </c>
      <c r="Z6587">
        <v>-0.13963059999999999</v>
      </c>
      <c r="AA6587">
        <v>0.98629770000000005</v>
      </c>
      <c r="AB6587">
        <v>31</v>
      </c>
      <c r="AC6587">
        <v>8.1999999999993606E-2</v>
      </c>
      <c r="AD6587">
        <v>-0.13203179999999901</v>
      </c>
      <c r="AE6587">
        <v>0.61582000000000203</v>
      </c>
      <c r="AF6587">
        <v>7.9607285317505494E-2</v>
      </c>
      <c r="AG6587">
        <v>-0.13203179999999901</v>
      </c>
      <c r="AH6587">
        <v>0.58905314778560602</v>
      </c>
      <c r="AI6587">
        <v>102.52339934675901</v>
      </c>
      <c r="AJ6587">
        <v>82.303422080563806</v>
      </c>
      <c r="AK6587">
        <v>0.608895169140792</v>
      </c>
      <c r="AL6587">
        <v>82.091360402949405</v>
      </c>
      <c r="AM6587">
        <v>87.642536788246204</v>
      </c>
      <c r="AN6587">
        <v>0.99999997953319597</v>
      </c>
    </row>
    <row r="6588" spans="1:40" x14ac:dyDescent="0.25">
      <c r="A6588" t="str">
        <f>"20190312164632978"</f>
        <v>20190312164632978</v>
      </c>
      <c r="B6588" t="str">
        <f>"1552380392968042"</f>
        <v>1552380392968042</v>
      </c>
      <c r="C6588" t="s">
        <v>40</v>
      </c>
      <c r="D6588">
        <v>4.1162859999999997</v>
      </c>
      <c r="E6588">
        <v>0.52724930000000003</v>
      </c>
      <c r="F6588" t="s">
        <v>41</v>
      </c>
      <c r="G6588">
        <v>-187.4872</v>
      </c>
      <c r="H6588">
        <v>0.97670400000000002</v>
      </c>
      <c r="I6588">
        <v>22.9373</v>
      </c>
      <c r="J6588">
        <v>-187.5686</v>
      </c>
      <c r="K6588">
        <v>1.10886</v>
      </c>
      <c r="L6588">
        <v>22.373930000000001</v>
      </c>
      <c r="M6588">
        <v>-1.9183609999999999E-3</v>
      </c>
      <c r="N6588">
        <v>0</v>
      </c>
      <c r="O6588">
        <v>0.99990480000000004</v>
      </c>
      <c r="P6588">
        <v>3.8318020000000001E-2</v>
      </c>
      <c r="Q6588">
        <v>0.1239803</v>
      </c>
      <c r="R6588">
        <v>0.99154450000000005</v>
      </c>
      <c r="S6588">
        <v>0.27720640000000002</v>
      </c>
      <c r="T6588">
        <v>-0.4539106</v>
      </c>
      <c r="U6588">
        <v>3.071625</v>
      </c>
      <c r="V6588">
        <v>4.02374E-2</v>
      </c>
      <c r="W6588">
        <v>0.13750889999999999</v>
      </c>
      <c r="X6588">
        <v>0.98968290000000003</v>
      </c>
      <c r="Y6588">
        <v>9.0835020000000002E-2</v>
      </c>
      <c r="Z6588">
        <v>-0.14559569999999999</v>
      </c>
      <c r="AA6588">
        <v>0.98516539999999997</v>
      </c>
      <c r="AB6588">
        <v>31</v>
      </c>
      <c r="AC6588">
        <v>8.1400000000002096E-2</v>
      </c>
      <c r="AD6588">
        <v>-0.132155999999999</v>
      </c>
      <c r="AE6588">
        <v>0.56337000000000204</v>
      </c>
      <c r="AF6588">
        <v>7.8262133219117E-2</v>
      </c>
      <c r="AG6588">
        <v>-0.132155999999999</v>
      </c>
      <c r="AH6588">
        <v>0.53440666376116797</v>
      </c>
      <c r="AI6588">
        <v>103.749268029818</v>
      </c>
      <c r="AJ6588">
        <v>81.6684422800231</v>
      </c>
      <c r="AK6588">
        <v>0.55604015332019696</v>
      </c>
      <c r="AL6588">
        <v>82.096277398078797</v>
      </c>
      <c r="AM6588">
        <v>87.671815711518605</v>
      </c>
      <c r="AN6588">
        <v>0.99999999424519004</v>
      </c>
    </row>
    <row r="6589" spans="1:40" x14ac:dyDescent="0.25">
      <c r="A6589" t="str">
        <f>"20190312164633003"</f>
        <v>20190312164633003</v>
      </c>
      <c r="B6589" t="str">
        <f>"1552380392997322"</f>
        <v>1552380392997322</v>
      </c>
      <c r="C6589" t="s">
        <v>40</v>
      </c>
      <c r="D6589">
        <v>4.5188800000000002</v>
      </c>
      <c r="E6589">
        <v>0.52687259999999903</v>
      </c>
      <c r="F6589" t="s">
        <v>41</v>
      </c>
      <c r="G6589">
        <v>-187.4913</v>
      </c>
      <c r="H6589">
        <v>0.97832180000000002</v>
      </c>
      <c r="I6589">
        <v>23.216370000000001</v>
      </c>
      <c r="J6589">
        <v>-187.5692</v>
      </c>
      <c r="K6589">
        <v>1.1088579999999999</v>
      </c>
      <c r="L6589">
        <v>22.71115</v>
      </c>
      <c r="M6589">
        <v>-1.8804119999999999E-3</v>
      </c>
      <c r="N6589">
        <v>0</v>
      </c>
      <c r="O6589">
        <v>0.99990489999999999</v>
      </c>
      <c r="P6589">
        <v>3.8050710000000001E-2</v>
      </c>
      <c r="Q6589">
        <v>0.1239779</v>
      </c>
      <c r="R6589">
        <v>0.99155519999999997</v>
      </c>
      <c r="S6589">
        <v>0.28152470000000002</v>
      </c>
      <c r="T6589">
        <v>-0.47637299999999999</v>
      </c>
      <c r="U6589">
        <v>3.0742799999999999</v>
      </c>
      <c r="V6589">
        <v>3.9931969999999997E-2</v>
      </c>
      <c r="W6589">
        <v>0.13750509999999999</v>
      </c>
      <c r="X6589">
        <v>0.98969580000000001</v>
      </c>
      <c r="Y6589">
        <v>9.1998670000000005E-2</v>
      </c>
      <c r="Z6589">
        <v>-0.15249019999999999</v>
      </c>
      <c r="AA6589">
        <v>0.98401369999999999</v>
      </c>
      <c r="AB6589">
        <v>31</v>
      </c>
      <c r="AC6589">
        <v>7.7899999999999595E-2</v>
      </c>
      <c r="AD6589">
        <v>-0.13053619999999899</v>
      </c>
      <c r="AE6589">
        <v>0.505220000000001</v>
      </c>
      <c r="AF6589">
        <v>7.4023121663996105E-2</v>
      </c>
      <c r="AG6589">
        <v>-0.13053619999999899</v>
      </c>
      <c r="AH6589">
        <v>0.47415426924723397</v>
      </c>
      <c r="AI6589">
        <v>105.216777655445</v>
      </c>
      <c r="AJ6589">
        <v>81.126829319579798</v>
      </c>
      <c r="AK6589">
        <v>0.49733428707128302</v>
      </c>
      <c r="AL6589">
        <v>82.096497221222506</v>
      </c>
      <c r="AM6589">
        <v>87.689499115188099</v>
      </c>
      <c r="AN6589">
        <v>0.99999999564586495</v>
      </c>
    </row>
    <row r="6590" spans="1:40" x14ac:dyDescent="0.25">
      <c r="A6590" t="str">
        <f>"20190312164633020"</f>
        <v>20190312164633020</v>
      </c>
      <c r="B6590" t="str">
        <f>"1552380393017818"</f>
        <v>1552380393017818</v>
      </c>
      <c r="C6590" t="s">
        <v>40</v>
      </c>
      <c r="D6590">
        <v>4.37303</v>
      </c>
      <c r="E6590">
        <v>0.52724740000000003</v>
      </c>
      <c r="F6590" t="s">
        <v>41</v>
      </c>
      <c r="G6590">
        <v>-187.4984</v>
      </c>
      <c r="H6590">
        <v>0.98186949999999995</v>
      </c>
      <c r="I6590">
        <v>23.49614</v>
      </c>
      <c r="J6590">
        <v>-187.56970000000001</v>
      </c>
      <c r="K6590">
        <v>1.108867</v>
      </c>
      <c r="L6590">
        <v>22.95908</v>
      </c>
      <c r="M6590">
        <v>-1.850927E-3</v>
      </c>
      <c r="N6590">
        <v>0</v>
      </c>
      <c r="O6590">
        <v>0.99990500000000004</v>
      </c>
      <c r="P6590">
        <v>3.7739519999999999E-2</v>
      </c>
      <c r="Q6590">
        <v>0.12390180000000001</v>
      </c>
      <c r="R6590">
        <v>0.99157660000000003</v>
      </c>
      <c r="S6590">
        <v>0.27728269999999999</v>
      </c>
      <c r="T6590">
        <v>-0.49779609999999902</v>
      </c>
      <c r="U6590">
        <v>3.0771480000000002</v>
      </c>
      <c r="V6590">
        <v>3.9591359999999999E-2</v>
      </c>
      <c r="W6590">
        <v>0.1374281</v>
      </c>
      <c r="X6590">
        <v>0.98972020000000005</v>
      </c>
      <c r="Y6590">
        <v>9.0447600000000003E-2</v>
      </c>
      <c r="Z6590">
        <v>-0.159054</v>
      </c>
      <c r="AA6590">
        <v>0.98311809999999999</v>
      </c>
      <c r="AB6590">
        <v>31</v>
      </c>
      <c r="AC6590">
        <v>7.1300000000007899E-2</v>
      </c>
      <c r="AD6590">
        <v>-0.12699750000000001</v>
      </c>
      <c r="AE6590">
        <v>0.53705999999999998</v>
      </c>
      <c r="AF6590">
        <v>6.8528483032119294E-2</v>
      </c>
      <c r="AG6590">
        <v>-0.12699750000000001</v>
      </c>
      <c r="AH6590">
        <v>0.508960417680826</v>
      </c>
      <c r="AI6590">
        <v>103.890111037762</v>
      </c>
      <c r="AJ6590">
        <v>82.331583554953497</v>
      </c>
      <c r="AK6590">
        <v>0.529022896251925</v>
      </c>
      <c r="AL6590">
        <v>82.100951446081595</v>
      </c>
      <c r="AM6590">
        <v>87.709242455837398</v>
      </c>
      <c r="AN6590">
        <v>1.0000000163721401</v>
      </c>
    </row>
    <row r="6591" spans="1:40" x14ac:dyDescent="0.25">
      <c r="A6591" t="str">
        <f>"20190312164633043"</f>
        <v>20190312164633043</v>
      </c>
      <c r="B6591" t="str">
        <f>"1552380393037339"</f>
        <v>1552380393037339</v>
      </c>
      <c r="C6591" t="s">
        <v>40</v>
      </c>
      <c r="D6591">
        <v>4.14201</v>
      </c>
      <c r="E6591">
        <v>0.52916189999999996</v>
      </c>
      <c r="F6591" t="s">
        <v>41</v>
      </c>
      <c r="G6591">
        <v>-187.49590000000001</v>
      </c>
      <c r="H6591">
        <v>0.97395089999999995</v>
      </c>
      <c r="I6591">
        <v>23.77008</v>
      </c>
      <c r="J6591">
        <v>-187.5702</v>
      </c>
      <c r="K6591">
        <v>1.108865</v>
      </c>
      <c r="L6591">
        <v>23.27496</v>
      </c>
      <c r="M6591">
        <v>-1.8121120000000001E-3</v>
      </c>
      <c r="N6591">
        <v>0</v>
      </c>
      <c r="O6591">
        <v>0.99990509999999999</v>
      </c>
      <c r="P6591">
        <v>3.7830170000000003E-2</v>
      </c>
      <c r="Q6591">
        <v>0.1246497</v>
      </c>
      <c r="R6591">
        <v>0.99147940000000001</v>
      </c>
      <c r="S6591">
        <v>0.27925109999999997</v>
      </c>
      <c r="T6591">
        <v>-0.51218129999999995</v>
      </c>
      <c r="U6591">
        <v>3.0788570000000002</v>
      </c>
      <c r="V6591">
        <v>3.9643350000000001E-2</v>
      </c>
      <c r="W6591">
        <v>0.13817289999999999</v>
      </c>
      <c r="X6591">
        <v>0.98961440000000001</v>
      </c>
      <c r="Y6591">
        <v>9.0918970000000002E-2</v>
      </c>
      <c r="Z6591">
        <v>-0.16343250000000001</v>
      </c>
      <c r="AA6591">
        <v>0.98235609999999995</v>
      </c>
      <c r="AB6591">
        <v>31</v>
      </c>
      <c r="AC6591">
        <v>7.4299999999993802E-2</v>
      </c>
      <c r="AD6591">
        <v>-0.13491410000000001</v>
      </c>
      <c r="AE6591">
        <v>0.49512</v>
      </c>
      <c r="AF6591">
        <v>7.0106443829263607E-2</v>
      </c>
      <c r="AG6591">
        <v>-0.13491410000000001</v>
      </c>
      <c r="AH6591">
        <v>0.46147485811376099</v>
      </c>
      <c r="AI6591">
        <v>106.12129395992901</v>
      </c>
      <c r="AJ6591">
        <v>81.361776728229202</v>
      </c>
      <c r="AK6591">
        <v>0.48587629342900801</v>
      </c>
      <c r="AL6591">
        <v>82.057866413010998</v>
      </c>
      <c r="AM6591">
        <v>87.705992558566095</v>
      </c>
      <c r="AN6591">
        <v>1.0000000030904901</v>
      </c>
    </row>
    <row r="6592" spans="1:40" x14ac:dyDescent="0.25">
      <c r="A6592" t="str">
        <f>"20190312164633065"</f>
        <v>20190312164633065</v>
      </c>
      <c r="B6592" t="str">
        <f>"1552380393057835"</f>
        <v>1552380393057835</v>
      </c>
      <c r="C6592" t="s">
        <v>40</v>
      </c>
      <c r="D6592">
        <v>4.3610620000000004</v>
      </c>
      <c r="E6592">
        <v>0.53128140000000001</v>
      </c>
      <c r="F6592" t="s">
        <v>41</v>
      </c>
      <c r="G6592">
        <v>-187.49600000000001</v>
      </c>
      <c r="H6592">
        <v>0.97912200000000005</v>
      </c>
      <c r="I6592">
        <v>24.050249999999998</v>
      </c>
      <c r="J6592">
        <v>-187.57079999999999</v>
      </c>
      <c r="K6592">
        <v>1.108865</v>
      </c>
      <c r="L6592">
        <v>23.5946</v>
      </c>
      <c r="M6592">
        <v>-1.7722479999999999E-3</v>
      </c>
      <c r="N6592">
        <v>0</v>
      </c>
      <c r="O6592">
        <v>0.99990520000000005</v>
      </c>
      <c r="P6592">
        <v>3.7646300000000001E-2</v>
      </c>
      <c r="Q6592">
        <v>0.1241352</v>
      </c>
      <c r="R6592">
        <v>0.99155090000000001</v>
      </c>
      <c r="S6592">
        <v>0.29472350000000003</v>
      </c>
      <c r="T6592">
        <v>-0.51531959999999999</v>
      </c>
      <c r="U6592">
        <v>3.0793149999999998</v>
      </c>
      <c r="V6592">
        <v>3.94201E-2</v>
      </c>
      <c r="W6592">
        <v>0.13765810000000001</v>
      </c>
      <c r="X6592">
        <v>0.98969510000000005</v>
      </c>
      <c r="Y6592">
        <v>9.5744590000000004E-2</v>
      </c>
      <c r="Z6592">
        <v>-0.1643087</v>
      </c>
      <c r="AA6592">
        <v>0.98175129999999999</v>
      </c>
      <c r="AB6592">
        <v>31</v>
      </c>
      <c r="AC6592">
        <v>7.48000000000104E-2</v>
      </c>
      <c r="AD6592">
        <v>-0.129743</v>
      </c>
      <c r="AE6592">
        <v>0.455649999999998</v>
      </c>
      <c r="AF6592">
        <v>7.0075007635040806E-2</v>
      </c>
      <c r="AG6592">
        <v>-0.129743</v>
      </c>
      <c r="AH6592">
        <v>0.422184890664343</v>
      </c>
      <c r="AI6592">
        <v>106.865493190278</v>
      </c>
      <c r="AJ6592">
        <v>80.575861516255102</v>
      </c>
      <c r="AK6592">
        <v>0.44719552172323301</v>
      </c>
      <c r="AL6592">
        <v>82.087647187316094</v>
      </c>
      <c r="AM6592">
        <v>87.719083293041606</v>
      </c>
      <c r="AN6592">
        <v>1.00000004387181</v>
      </c>
    </row>
    <row r="6593" spans="1:40" x14ac:dyDescent="0.25">
      <c r="A6593" t="str">
        <f>"20190312164633089"</f>
        <v>20190312164633089</v>
      </c>
      <c r="B6593" t="str">
        <f>"1552380393077354"</f>
        <v>1552380393077354</v>
      </c>
      <c r="C6593" t="s">
        <v>40</v>
      </c>
      <c r="D6593">
        <v>4.2378689999999999</v>
      </c>
      <c r="E6593">
        <v>0.53293829999999998</v>
      </c>
      <c r="F6593" t="s">
        <v>41</v>
      </c>
      <c r="G6593">
        <v>-187.49639999999999</v>
      </c>
      <c r="H6593">
        <v>0.98475420000000002</v>
      </c>
      <c r="I6593">
        <v>24.33042</v>
      </c>
      <c r="J6593">
        <v>-187.57130000000001</v>
      </c>
      <c r="K6593">
        <v>1.1088659999999999</v>
      </c>
      <c r="L6593">
        <v>23.90775</v>
      </c>
      <c r="M6593">
        <v>-1.73276299999999E-3</v>
      </c>
      <c r="N6593">
        <v>0</v>
      </c>
      <c r="O6593">
        <v>0.9999053</v>
      </c>
      <c r="P6593">
        <v>3.721199E-2</v>
      </c>
      <c r="Q6593">
        <v>0.1235246</v>
      </c>
      <c r="R6593">
        <v>0.99164350000000001</v>
      </c>
      <c r="S6593">
        <v>0.31047059999999999</v>
      </c>
      <c r="T6593">
        <v>-0.51930149999999997</v>
      </c>
      <c r="U6593">
        <v>3.0787960000000001</v>
      </c>
      <c r="V6593">
        <v>3.8946840000000003E-2</v>
      </c>
      <c r="W6593">
        <v>0.1370479</v>
      </c>
      <c r="X6593">
        <v>0.98979850000000003</v>
      </c>
      <c r="Y6593">
        <v>0.1006732</v>
      </c>
      <c r="Z6593">
        <v>-0.16549</v>
      </c>
      <c r="AA6593">
        <v>0.98105960000000003</v>
      </c>
      <c r="AB6593">
        <v>31</v>
      </c>
      <c r="AC6593">
        <v>7.4900000000013706E-2</v>
      </c>
      <c r="AD6593">
        <v>-0.12411179999999999</v>
      </c>
      <c r="AE6593">
        <v>0.42266999999999999</v>
      </c>
      <c r="AF6593">
        <v>6.9797426378689797E-2</v>
      </c>
      <c r="AG6593">
        <v>-0.12411179999999999</v>
      </c>
      <c r="AH6593">
        <v>0.38994130570926899</v>
      </c>
      <c r="AI6593">
        <v>107.395975560425</v>
      </c>
      <c r="AJ6593">
        <v>79.851827927462196</v>
      </c>
      <c r="AK6593">
        <v>0.41512605498399902</v>
      </c>
      <c r="AL6593">
        <v>82.122943470355295</v>
      </c>
      <c r="AM6593">
        <v>87.746673726479301</v>
      </c>
      <c r="AN6593">
        <v>1.0000000269213201</v>
      </c>
    </row>
    <row r="6594" spans="1:40" x14ac:dyDescent="0.25">
      <c r="A6594" t="str">
        <f>"20190312164633110"</f>
        <v>20190312164633110</v>
      </c>
      <c r="B6594" t="str">
        <f>"1552380393107611"</f>
        <v>1552380393107611</v>
      </c>
      <c r="C6594" t="s">
        <v>40</v>
      </c>
      <c r="D6594">
        <v>4.766438</v>
      </c>
      <c r="E6594">
        <v>0.53490409999999999</v>
      </c>
      <c r="F6594" t="s">
        <v>41</v>
      </c>
      <c r="G6594">
        <v>-187.49760000000001</v>
      </c>
      <c r="H6594">
        <v>0.98940130000000004</v>
      </c>
      <c r="I6594">
        <v>24.609870000000001</v>
      </c>
      <c r="J6594">
        <v>-187.5718</v>
      </c>
      <c r="K6594">
        <v>1.108865</v>
      </c>
      <c r="L6594">
        <v>24.207429999999999</v>
      </c>
      <c r="M6594">
        <v>-1.694772E-3</v>
      </c>
      <c r="N6594">
        <v>0</v>
      </c>
      <c r="O6594">
        <v>0.9999053</v>
      </c>
      <c r="P6594">
        <v>3.7178370000000002E-2</v>
      </c>
      <c r="Q6594">
        <v>0.1227082</v>
      </c>
      <c r="R6594">
        <v>0.99174620000000002</v>
      </c>
      <c r="S6594">
        <v>0.32275389999999998</v>
      </c>
      <c r="T6594">
        <v>-0.52377070000000003</v>
      </c>
      <c r="U6594">
        <v>3.0783999999999998</v>
      </c>
      <c r="V6594">
        <v>3.8875710000000001E-2</v>
      </c>
      <c r="W6594">
        <v>0.13623160000000001</v>
      </c>
      <c r="X6594">
        <v>0.98991390000000001</v>
      </c>
      <c r="Y6594">
        <v>0.1044973</v>
      </c>
      <c r="Z6594">
        <v>-0.16682930000000001</v>
      </c>
      <c r="AA6594">
        <v>0.98043270000000005</v>
      </c>
      <c r="AB6594">
        <v>31</v>
      </c>
      <c r="AC6594">
        <v>7.4199999999990496E-2</v>
      </c>
      <c r="AD6594">
        <v>-0.11946369999999901</v>
      </c>
      <c r="AE6594">
        <v>0.40244000000000202</v>
      </c>
      <c r="AF6594">
        <v>6.9001553472786595E-2</v>
      </c>
      <c r="AG6594">
        <v>-0.11946369999999901</v>
      </c>
      <c r="AH6594">
        <v>0.37072015963718602</v>
      </c>
      <c r="AI6594">
        <v>107.578549571357</v>
      </c>
      <c r="AJ6594">
        <v>79.456280952889102</v>
      </c>
      <c r="AK6594">
        <v>0.39555812058503897</v>
      </c>
      <c r="AL6594">
        <v>82.170156229005002</v>
      </c>
      <c r="AM6594">
        <v>87.751046760735207</v>
      </c>
      <c r="AN6594">
        <v>0.99999994953988502</v>
      </c>
    </row>
    <row r="6595" spans="1:40" x14ac:dyDescent="0.25">
      <c r="A6595" t="str">
        <f>"20190312164633132"</f>
        <v>20190312164633132</v>
      </c>
      <c r="B6595" t="str">
        <f>"1552380393128108"</f>
        <v>1552380393128108</v>
      </c>
      <c r="C6595" t="s">
        <v>40</v>
      </c>
      <c r="D6595">
        <v>4.59131</v>
      </c>
      <c r="E6595">
        <v>0.53607419999999995</v>
      </c>
      <c r="F6595" t="s">
        <v>41</v>
      </c>
      <c r="G6595">
        <v>-187.46870000000001</v>
      </c>
      <c r="H6595">
        <v>0.94761249999999997</v>
      </c>
      <c r="I6595">
        <v>25.14349</v>
      </c>
      <c r="J6595">
        <v>-187.57230000000001</v>
      </c>
      <c r="K6595">
        <v>1.10886</v>
      </c>
      <c r="L6595">
        <v>24.522369999999999</v>
      </c>
      <c r="M6595">
        <v>-1.654712E-3</v>
      </c>
      <c r="N6595">
        <v>0</v>
      </c>
      <c r="O6595">
        <v>0.9999055</v>
      </c>
      <c r="P6595">
        <v>3.6962769999999999E-2</v>
      </c>
      <c r="Q6595">
        <v>0.1222878</v>
      </c>
      <c r="R6595">
        <v>0.99180610000000002</v>
      </c>
      <c r="S6595">
        <v>0.33874510000000002</v>
      </c>
      <c r="T6595">
        <v>-0.53021319999999905</v>
      </c>
      <c r="U6595">
        <v>3.0778810000000001</v>
      </c>
      <c r="V6595">
        <v>3.862049E-2</v>
      </c>
      <c r="W6595">
        <v>0.13581029999999999</v>
      </c>
      <c r="X6595">
        <v>0.98998180000000002</v>
      </c>
      <c r="Y6595">
        <v>0.109473</v>
      </c>
      <c r="Z6595">
        <v>-0.16875970000000001</v>
      </c>
      <c r="AA6595">
        <v>0.97955899999999996</v>
      </c>
      <c r="AB6595">
        <v>31</v>
      </c>
      <c r="AC6595">
        <v>0.1036</v>
      </c>
      <c r="AD6595">
        <v>-0.16124749999999999</v>
      </c>
      <c r="AE6595">
        <v>0.62111999999999701</v>
      </c>
      <c r="AF6595">
        <v>9.8189274094581405E-2</v>
      </c>
      <c r="AG6595">
        <v>-0.16124749999999999</v>
      </c>
      <c r="AH6595">
        <v>0.58273657725299799</v>
      </c>
      <c r="AI6595">
        <v>105.262252428765</v>
      </c>
      <c r="AJ6595">
        <v>80.435680832248494</v>
      </c>
      <c r="AK6595">
        <v>0.61255514712718695</v>
      </c>
      <c r="AL6595">
        <v>82.194521570185898</v>
      </c>
      <c r="AM6595">
        <v>87.765949265340595</v>
      </c>
      <c r="AN6595">
        <v>0.99999997208258395</v>
      </c>
    </row>
    <row r="6596" spans="1:40" x14ac:dyDescent="0.25">
      <c r="A6596" t="str">
        <f>"20190312164633154"</f>
        <v>20190312164633154</v>
      </c>
      <c r="B6596" t="str">
        <f>"1552380393147627"</f>
        <v>1552380393147627</v>
      </c>
      <c r="C6596" t="s">
        <v>40</v>
      </c>
      <c r="D6596">
        <v>4.2113519999999998</v>
      </c>
      <c r="E6596">
        <v>0.53649990000000003</v>
      </c>
      <c r="F6596" t="s">
        <v>41</v>
      </c>
      <c r="G6596">
        <v>-187.47040000000001</v>
      </c>
      <c r="H6596">
        <v>0.95271640000000002</v>
      </c>
      <c r="I6596">
        <v>25.42239</v>
      </c>
      <c r="J6596">
        <v>-187.5727</v>
      </c>
      <c r="K6596">
        <v>1.108857</v>
      </c>
      <c r="L6596">
        <v>24.82169</v>
      </c>
      <c r="M6596">
        <v>-1.616576E-3</v>
      </c>
      <c r="N6596">
        <v>0</v>
      </c>
      <c r="O6596">
        <v>0.9999055</v>
      </c>
      <c r="P6596">
        <v>3.7057519999999997E-2</v>
      </c>
      <c r="Q6596">
        <v>0.121854</v>
      </c>
      <c r="R6596">
        <v>0.99185599999999996</v>
      </c>
      <c r="S6596">
        <v>0.34779359999999998</v>
      </c>
      <c r="T6596">
        <v>-0.53393729999999995</v>
      </c>
      <c r="U6596">
        <v>3.0776669999999999</v>
      </c>
      <c r="V6596">
        <v>3.8677459999999997E-2</v>
      </c>
      <c r="W6596">
        <v>0.13537560000000001</v>
      </c>
      <c r="X6596">
        <v>0.99003909999999995</v>
      </c>
      <c r="Y6596">
        <v>0.1122652</v>
      </c>
      <c r="Z6596">
        <v>-0.16986879999999999</v>
      </c>
      <c r="AA6596">
        <v>0.97905109999999995</v>
      </c>
      <c r="AB6596">
        <v>31</v>
      </c>
      <c r="AC6596">
        <v>0.102299999999985</v>
      </c>
      <c r="AD6596">
        <v>-0.15614059999999899</v>
      </c>
      <c r="AE6596">
        <v>0.60069999999999901</v>
      </c>
      <c r="AF6596">
        <v>9.6908063740271499E-2</v>
      </c>
      <c r="AG6596">
        <v>-0.15614059999999899</v>
      </c>
      <c r="AH6596">
        <v>0.56353236540691598</v>
      </c>
      <c r="AI6596">
        <v>105.273213690796</v>
      </c>
      <c r="AJ6596">
        <v>80.242544697187</v>
      </c>
      <c r="AK6596">
        <v>0.592739223138947</v>
      </c>
      <c r="AL6596">
        <v>82.219660110715097</v>
      </c>
      <c r="AM6596">
        <v>87.762786468716698</v>
      </c>
      <c r="AN6596">
        <v>0.99999995925810903</v>
      </c>
    </row>
    <row r="6597" spans="1:40" x14ac:dyDescent="0.25">
      <c r="A6597" t="str">
        <f>"20190312164633179"</f>
        <v>20190312164633179</v>
      </c>
      <c r="B6597" t="str">
        <f>"1552380393168123"</f>
        <v>1552380393168123</v>
      </c>
      <c r="C6597" t="s">
        <v>40</v>
      </c>
      <c r="D6597">
        <v>4.1367190000000003</v>
      </c>
      <c r="E6597">
        <v>0.53730699999999998</v>
      </c>
      <c r="F6597" t="s">
        <v>41</v>
      </c>
      <c r="G6597">
        <v>-187.47239999999999</v>
      </c>
      <c r="H6597">
        <v>0.95385799999999998</v>
      </c>
      <c r="I6597">
        <v>25.699159999999999</v>
      </c>
      <c r="J6597">
        <v>-187.57320000000001</v>
      </c>
      <c r="K6597">
        <v>1.1088549999999999</v>
      </c>
      <c r="L6597">
        <v>25.157229999999998</v>
      </c>
      <c r="M6597">
        <v>-1.5738379999999999E-3</v>
      </c>
      <c r="N6597">
        <v>0</v>
      </c>
      <c r="O6597">
        <v>0.99990559999999995</v>
      </c>
      <c r="P6597">
        <v>3.6997269999999999E-2</v>
      </c>
      <c r="Q6597">
        <v>0.1216132</v>
      </c>
      <c r="R6597">
        <v>0.99188779999999999</v>
      </c>
      <c r="S6597">
        <v>0.35144039999999999</v>
      </c>
      <c r="T6597">
        <v>-0.54375719999999905</v>
      </c>
      <c r="U6597">
        <v>3.0783079999999998</v>
      </c>
      <c r="V6597">
        <v>3.8574850000000001E-2</v>
      </c>
      <c r="W6597">
        <v>0.1351337</v>
      </c>
      <c r="X6597">
        <v>0.99007619999999996</v>
      </c>
      <c r="Y6597">
        <v>0.11328630000000001</v>
      </c>
      <c r="Z6597">
        <v>-0.17284379999999999</v>
      </c>
      <c r="AA6597">
        <v>0.97841259999999997</v>
      </c>
      <c r="AB6597">
        <v>31</v>
      </c>
      <c r="AC6597">
        <v>0.10080000000002</v>
      </c>
      <c r="AD6597">
        <v>-0.154996999999999</v>
      </c>
      <c r="AE6597">
        <v>0.54193000000000002</v>
      </c>
      <c r="AF6597">
        <v>9.42045027156201E-2</v>
      </c>
      <c r="AG6597">
        <v>-0.154996999999999</v>
      </c>
      <c r="AH6597">
        <v>0.50207376681253701</v>
      </c>
      <c r="AI6597">
        <v>106.878784761188</v>
      </c>
      <c r="AJ6597">
        <v>79.373105109533697</v>
      </c>
      <c r="AK6597">
        <v>0.53383202007956299</v>
      </c>
      <c r="AL6597">
        <v>82.233648889195607</v>
      </c>
      <c r="AM6597">
        <v>87.768799239823593</v>
      </c>
      <c r="AN6597">
        <v>1.00000000886732</v>
      </c>
    </row>
    <row r="6598" spans="1:40" x14ac:dyDescent="0.25">
      <c r="A6598" t="str">
        <f>"20190312164633201"</f>
        <v>20190312164633201</v>
      </c>
      <c r="B6598" t="str">
        <f>"1552380393197402"</f>
        <v>1552380393197402</v>
      </c>
      <c r="C6598" t="s">
        <v>40</v>
      </c>
      <c r="D6598">
        <v>4.0716960000000002</v>
      </c>
      <c r="E6598">
        <v>0.53830459999999902</v>
      </c>
      <c r="F6598" t="s">
        <v>41</v>
      </c>
      <c r="G6598">
        <v>-187.47749999999999</v>
      </c>
      <c r="H6598">
        <v>0.96154810000000002</v>
      </c>
      <c r="I6598">
        <v>25.978809999999999</v>
      </c>
      <c r="J6598">
        <v>-187.5737</v>
      </c>
      <c r="K6598">
        <v>1.1088559999999901</v>
      </c>
      <c r="L6598">
        <v>25.455839999999998</v>
      </c>
      <c r="M6598">
        <v>-1.5360160000000001E-3</v>
      </c>
      <c r="N6598">
        <v>0</v>
      </c>
      <c r="O6598">
        <v>0.99990570000000001</v>
      </c>
      <c r="P6598">
        <v>3.6883369999999999E-2</v>
      </c>
      <c r="Q6598">
        <v>0.1216955</v>
      </c>
      <c r="R6598">
        <v>0.99188200000000004</v>
      </c>
      <c r="S6598">
        <v>0.3579254</v>
      </c>
      <c r="T6598">
        <v>-0.5520254</v>
      </c>
      <c r="U6598">
        <v>3.0788570000000002</v>
      </c>
      <c r="V6598">
        <v>3.842346E-2</v>
      </c>
      <c r="W6598">
        <v>0.13521449999999999</v>
      </c>
      <c r="X6598">
        <v>0.99007109999999998</v>
      </c>
      <c r="Y6598">
        <v>0.1152121</v>
      </c>
      <c r="Z6598">
        <v>-0.17532130000000001</v>
      </c>
      <c r="AA6598">
        <v>0.97774669999999997</v>
      </c>
      <c r="AB6598">
        <v>31</v>
      </c>
      <c r="AC6598">
        <v>9.6200000000010194E-2</v>
      </c>
      <c r="AD6598">
        <v>-0.14730789999999899</v>
      </c>
      <c r="AE6598">
        <v>0.52297000000000005</v>
      </c>
      <c r="AF6598">
        <v>9.0089400900634803E-2</v>
      </c>
      <c r="AG6598">
        <v>-0.14730789999999899</v>
      </c>
      <c r="AH6598">
        <v>0.48555779677694699</v>
      </c>
      <c r="AI6598">
        <v>106.609209268816</v>
      </c>
      <c r="AJ6598">
        <v>79.488982138840797</v>
      </c>
      <c r="AK6598">
        <v>0.51534657422741004</v>
      </c>
      <c r="AL6598">
        <v>82.228976852897901</v>
      </c>
      <c r="AM6598">
        <v>87.777535526119905</v>
      </c>
      <c r="AN6598">
        <v>1.00000005317191</v>
      </c>
    </row>
    <row r="6599" spans="1:40" x14ac:dyDescent="0.25">
      <c r="A6599" t="str">
        <f>"20190312164633222"</f>
        <v>20190312164633222</v>
      </c>
      <c r="B6599" t="str">
        <f>"1552380393217898"</f>
        <v>1552380393217898</v>
      </c>
      <c r="C6599" t="s">
        <v>40</v>
      </c>
      <c r="D6599">
        <v>4.0445409999999997</v>
      </c>
      <c r="E6599">
        <v>0.53906699999999996</v>
      </c>
      <c r="F6599" t="s">
        <v>41</v>
      </c>
      <c r="G6599">
        <v>-187.4787</v>
      </c>
      <c r="H6599">
        <v>0.9636228</v>
      </c>
      <c r="I6599">
        <v>26.255610000000001</v>
      </c>
      <c r="J6599">
        <v>-187.57409999999999</v>
      </c>
      <c r="K6599">
        <v>1.108859</v>
      </c>
      <c r="L6599">
        <v>25.75226</v>
      </c>
      <c r="M6599">
        <v>-1.4985279999999901E-3</v>
      </c>
      <c r="N6599">
        <v>0</v>
      </c>
      <c r="O6599">
        <v>0.99990579999999996</v>
      </c>
      <c r="P6599">
        <v>3.6402400000000001E-2</v>
      </c>
      <c r="Q6599">
        <v>0.1218728</v>
      </c>
      <c r="R6599">
        <v>0.99187800000000004</v>
      </c>
      <c r="S6599">
        <v>0.36549379999999998</v>
      </c>
      <c r="T6599">
        <v>-0.55923900000000004</v>
      </c>
      <c r="U6599">
        <v>3.07959</v>
      </c>
      <c r="V6599">
        <v>3.7905340000000003E-2</v>
      </c>
      <c r="W6599">
        <v>0.13539029999999999</v>
      </c>
      <c r="X6599">
        <v>0.99006700000000003</v>
      </c>
      <c r="Y6599">
        <v>0.1174731</v>
      </c>
      <c r="Z6599">
        <v>-0.17745129999999901</v>
      </c>
      <c r="AA6599">
        <v>0.9770932</v>
      </c>
      <c r="AB6599">
        <v>31</v>
      </c>
      <c r="AC6599">
        <v>9.5399999999983706E-2</v>
      </c>
      <c r="AD6599">
        <v>-0.14523619999999901</v>
      </c>
      <c r="AE6599">
        <v>0.50334999999999697</v>
      </c>
      <c r="AF6599">
        <v>8.9001391132785102E-2</v>
      </c>
      <c r="AG6599">
        <v>-0.14523619999999901</v>
      </c>
      <c r="AH6599">
        <v>0.46577323894686401</v>
      </c>
      <c r="AI6599">
        <v>107.028571288178</v>
      </c>
      <c r="AJ6599">
        <v>79.1821503599149</v>
      </c>
      <c r="AK6599">
        <v>0.49594305271176398</v>
      </c>
      <c r="AL6599">
        <v>82.218810404783497</v>
      </c>
      <c r="AM6599">
        <v>87.807465763891102</v>
      </c>
      <c r="AN6599">
        <v>1.0000000063118</v>
      </c>
    </row>
    <row r="6600" spans="1:40" x14ac:dyDescent="0.25">
      <c r="A6600" t="str">
        <f>"20190312164633244"</f>
        <v>20190312164633244</v>
      </c>
      <c r="B6600" t="str">
        <f>"1552380393237419"</f>
        <v>1552380393237419</v>
      </c>
      <c r="C6600" t="s">
        <v>40</v>
      </c>
      <c r="D6600">
        <v>4.0109560000000002</v>
      </c>
      <c r="E6600">
        <v>0.53978040000000005</v>
      </c>
      <c r="F6600" t="s">
        <v>41</v>
      </c>
      <c r="G6600">
        <v>-187.48009999999999</v>
      </c>
      <c r="H6600">
        <v>0.96698839999999997</v>
      </c>
      <c r="I6600">
        <v>26.532820000000001</v>
      </c>
      <c r="J6600">
        <v>-187.5745</v>
      </c>
      <c r="K6600">
        <v>1.1088659999999999</v>
      </c>
      <c r="L6600">
        <v>26.05603</v>
      </c>
      <c r="M6600">
        <v>-1.4600850000000001E-3</v>
      </c>
      <c r="N6600">
        <v>0</v>
      </c>
      <c r="O6600">
        <v>0.99990590000000001</v>
      </c>
      <c r="P6600">
        <v>3.6186839999999998E-2</v>
      </c>
      <c r="Q6600">
        <v>0.12233910000000001</v>
      </c>
      <c r="R6600">
        <v>0.99182840000000005</v>
      </c>
      <c r="S6600">
        <v>0.37028499999999998</v>
      </c>
      <c r="T6600">
        <v>-0.55975750000000002</v>
      </c>
      <c r="U6600">
        <v>3.079742</v>
      </c>
      <c r="V6600">
        <v>3.7651589999999999E-2</v>
      </c>
      <c r="W6600">
        <v>0.13585420000000001</v>
      </c>
      <c r="X6600">
        <v>0.99001309999999998</v>
      </c>
      <c r="Y6600">
        <v>0.1189253</v>
      </c>
      <c r="Z6600">
        <v>-0.177570899999999</v>
      </c>
      <c r="AA6600">
        <v>0.97689570000000003</v>
      </c>
      <c r="AB6600">
        <v>31</v>
      </c>
      <c r="AC6600">
        <v>9.4400000000007298E-2</v>
      </c>
      <c r="AD6600">
        <v>-0.14187759999999899</v>
      </c>
      <c r="AE6600">
        <v>0.47679000000000099</v>
      </c>
      <c r="AF6600">
        <v>8.7629491883628202E-2</v>
      </c>
      <c r="AG6600">
        <v>-0.14187759999999899</v>
      </c>
      <c r="AH6600">
        <v>0.43922656856029402</v>
      </c>
      <c r="AI6600">
        <v>107.576848793846</v>
      </c>
      <c r="AJ6600">
        <v>78.717140568537104</v>
      </c>
      <c r="AK6600">
        <v>0.46981715566674798</v>
      </c>
      <c r="AL6600">
        <v>82.191982754859794</v>
      </c>
      <c r="AM6600">
        <v>87.822010623747701</v>
      </c>
      <c r="AN6600">
        <v>0.99999997202938795</v>
      </c>
    </row>
    <row r="6601" spans="1:40" x14ac:dyDescent="0.25">
      <c r="A6601" t="str">
        <f>"20190312164633266"</f>
        <v>20190312164633266</v>
      </c>
      <c r="B6601" t="str">
        <f>"1552380393257915"</f>
        <v>1552380393257915</v>
      </c>
      <c r="C6601" t="s">
        <v>40</v>
      </c>
      <c r="D6601">
        <v>3.9855179999999999</v>
      </c>
      <c r="E6601">
        <v>0.54040900000000003</v>
      </c>
      <c r="F6601" t="s">
        <v>41</v>
      </c>
      <c r="G6601">
        <v>-187.48240000000001</v>
      </c>
      <c r="H6601">
        <v>0.97180880000000003</v>
      </c>
      <c r="I6601">
        <v>26.810510000000001</v>
      </c>
      <c r="J6601">
        <v>-187.57490000000001</v>
      </c>
      <c r="K6601">
        <v>1.108873</v>
      </c>
      <c r="L6601">
        <v>26.366700000000002</v>
      </c>
      <c r="M6601">
        <v>-1.4207480000000001E-3</v>
      </c>
      <c r="N6601">
        <v>0</v>
      </c>
      <c r="O6601">
        <v>0.99990590000000001</v>
      </c>
      <c r="P6601">
        <v>3.5862730000000002E-2</v>
      </c>
      <c r="Q6601">
        <v>0.12304519999999999</v>
      </c>
      <c r="R6601">
        <v>0.99175290000000005</v>
      </c>
      <c r="S6601">
        <v>0.37559510000000002</v>
      </c>
      <c r="T6601">
        <v>-0.55950759999999999</v>
      </c>
      <c r="U6601">
        <v>3.0800169999999998</v>
      </c>
      <c r="V6601">
        <v>3.7288410000000001E-2</v>
      </c>
      <c r="W6601">
        <v>0.1365576</v>
      </c>
      <c r="X6601">
        <v>0.98993010000000004</v>
      </c>
      <c r="Y6601">
        <v>0.1205383</v>
      </c>
      <c r="Z6601">
        <v>-0.17744389999999999</v>
      </c>
      <c r="AA6601">
        <v>0.97672110000000001</v>
      </c>
      <c r="AB6601">
        <v>31</v>
      </c>
      <c r="AC6601">
        <v>9.2500000000001095E-2</v>
      </c>
      <c r="AD6601">
        <v>-0.137064199999999</v>
      </c>
      <c r="AE6601">
        <v>0.44380999999999499</v>
      </c>
      <c r="AF6601">
        <v>8.5330570521913104E-2</v>
      </c>
      <c r="AG6601">
        <v>-0.137064199999999</v>
      </c>
      <c r="AH6601">
        <v>0.40651885373757501</v>
      </c>
      <c r="AI6601">
        <v>108.26157876759299</v>
      </c>
      <c r="AJ6601">
        <v>78.145403055661504</v>
      </c>
      <c r="AK6601">
        <v>0.437407681266969</v>
      </c>
      <c r="AL6601">
        <v>82.151302023863906</v>
      </c>
      <c r="AM6601">
        <v>87.842818468476906</v>
      </c>
      <c r="AN6601">
        <v>1.00000000326204</v>
      </c>
    </row>
    <row r="6602" spans="1:40" x14ac:dyDescent="0.25">
      <c r="A6602" t="str">
        <f>"20190312164633290"</f>
        <v>20190312164633290</v>
      </c>
      <c r="B6602" t="str">
        <f>"1552380393277437"</f>
        <v>1552380393277437</v>
      </c>
      <c r="C6602" t="s">
        <v>40</v>
      </c>
      <c r="D6602">
        <v>3.9875959999999999</v>
      </c>
      <c r="E6602">
        <v>0.54094600000000004</v>
      </c>
      <c r="F6602" t="s">
        <v>41</v>
      </c>
      <c r="G6602">
        <v>-187.4855</v>
      </c>
      <c r="H6602">
        <v>0.97808870000000003</v>
      </c>
      <c r="I6602">
        <v>27.08867</v>
      </c>
      <c r="J6602">
        <v>-187.5753</v>
      </c>
      <c r="K6602">
        <v>1.1088769999999999</v>
      </c>
      <c r="L6602">
        <v>26.683530000000001</v>
      </c>
      <c r="M6602">
        <v>-1.380542E-3</v>
      </c>
      <c r="N6602">
        <v>0</v>
      </c>
      <c r="O6602">
        <v>0.99990599999999996</v>
      </c>
      <c r="P6602">
        <v>3.5988680000000002E-2</v>
      </c>
      <c r="Q6602">
        <v>0.1239552</v>
      </c>
      <c r="R6602">
        <v>0.99163500000000004</v>
      </c>
      <c r="S6602">
        <v>0.38027949999999999</v>
      </c>
      <c r="T6602">
        <v>-0.55800559999999999</v>
      </c>
      <c r="U6602">
        <v>3.0804140000000002</v>
      </c>
      <c r="V6602">
        <v>3.7374369999999997E-2</v>
      </c>
      <c r="W6602">
        <v>0.13746449999999999</v>
      </c>
      <c r="X6602">
        <v>0.9898013</v>
      </c>
      <c r="Y6602">
        <v>0.12195780000000001</v>
      </c>
      <c r="Z6602">
        <v>-0.17692949999999999</v>
      </c>
      <c r="AA6602">
        <v>0.97663829999999996</v>
      </c>
      <c r="AB6602">
        <v>31</v>
      </c>
      <c r="AC6602">
        <v>8.9799999999996702E-2</v>
      </c>
      <c r="AD6602">
        <v>-0.1307883</v>
      </c>
      <c r="AE6602">
        <v>0.405140000000002</v>
      </c>
      <c r="AF6602">
        <v>8.2194555572099398E-2</v>
      </c>
      <c r="AG6602">
        <v>-0.1307883</v>
      </c>
      <c r="AH6602">
        <v>0.36841904846247903</v>
      </c>
      <c r="AI6602">
        <v>109.110208828929</v>
      </c>
      <c r="AJ6602">
        <v>77.423235588961205</v>
      </c>
      <c r="AK6602">
        <v>0.39949232740139501</v>
      </c>
      <c r="AL6602">
        <v>82.098845550658993</v>
      </c>
      <c r="AM6602">
        <v>87.837569201200196</v>
      </c>
      <c r="AN6602">
        <v>0.99999997288741804</v>
      </c>
    </row>
    <row r="6603" spans="1:40" x14ac:dyDescent="0.25">
      <c r="A6603" t="str">
        <f>"20190312164633310"</f>
        <v>20190312164633310</v>
      </c>
      <c r="B6603" t="str">
        <f>"1552380393307694"</f>
        <v>1552380393307694</v>
      </c>
      <c r="C6603" t="s">
        <v>40</v>
      </c>
      <c r="D6603">
        <v>4.0476289999999997</v>
      </c>
      <c r="E6603">
        <v>0.54168359999999904</v>
      </c>
      <c r="F6603" t="s">
        <v>41</v>
      </c>
      <c r="G6603">
        <v>-187.4581</v>
      </c>
      <c r="H6603">
        <v>0.93967639999999997</v>
      </c>
      <c r="I6603">
        <v>27.620349999999998</v>
      </c>
      <c r="J6603">
        <v>-187.57570000000001</v>
      </c>
      <c r="K6603">
        <v>1.108884</v>
      </c>
      <c r="L6603">
        <v>26.96799</v>
      </c>
      <c r="M6603">
        <v>-1.3441900000000001E-3</v>
      </c>
      <c r="N6603">
        <v>0</v>
      </c>
      <c r="O6603">
        <v>0.99990610000000002</v>
      </c>
      <c r="P6603">
        <v>3.6015789999999999E-2</v>
      </c>
      <c r="Q6603">
        <v>0.12522800000000001</v>
      </c>
      <c r="R6603">
        <v>0.99147399999999997</v>
      </c>
      <c r="S6603">
        <v>0.38479609999999997</v>
      </c>
      <c r="T6603">
        <v>-0.55644289999999996</v>
      </c>
      <c r="U6603">
        <v>3.080902</v>
      </c>
      <c r="V6603">
        <v>3.7365299999999997E-2</v>
      </c>
      <c r="W6603">
        <v>0.13873350000000001</v>
      </c>
      <c r="X6603">
        <v>0.98962459999999997</v>
      </c>
      <c r="Y6603">
        <v>0.1233248</v>
      </c>
      <c r="Z6603">
        <v>-0.1763924</v>
      </c>
      <c r="AA6603">
        <v>0.97656379999999998</v>
      </c>
      <c r="AB6603">
        <v>31</v>
      </c>
      <c r="AC6603">
        <v>0.11760000000001</v>
      </c>
      <c r="AD6603">
        <v>-0.16920759999999899</v>
      </c>
      <c r="AE6603">
        <v>0.65235999999999394</v>
      </c>
      <c r="AF6603">
        <v>0.111229251301303</v>
      </c>
      <c r="AG6603">
        <v>-0.16920759999999899</v>
      </c>
      <c r="AH6603">
        <v>0.61230401982554195</v>
      </c>
      <c r="AI6603">
        <v>105.210776202524</v>
      </c>
      <c r="AJ6603">
        <v>79.704098739107394</v>
      </c>
      <c r="AK6603">
        <v>0.64491811180748104</v>
      </c>
      <c r="AL6603">
        <v>82.025434011304498</v>
      </c>
      <c r="AM6603">
        <v>87.837707833641403</v>
      </c>
      <c r="AN6603">
        <v>0.99999999929574901</v>
      </c>
    </row>
    <row r="6604" spans="1:40" x14ac:dyDescent="0.25">
      <c r="A6604" t="str">
        <f>"20190312164633344"</f>
        <v>20190312164633344</v>
      </c>
      <c r="B6604" t="str">
        <f>"1552380393337950"</f>
        <v>1552380393337950</v>
      </c>
      <c r="C6604" t="s">
        <v>40</v>
      </c>
      <c r="D6604">
        <v>4.4052350000000002</v>
      </c>
      <c r="E6604">
        <v>0.55074849999999997</v>
      </c>
      <c r="F6604" t="s">
        <v>41</v>
      </c>
      <c r="G6604">
        <v>-187.45820000000001</v>
      </c>
      <c r="H6604">
        <v>0.94187359999999998</v>
      </c>
      <c r="I6604">
        <v>27.89584</v>
      </c>
      <c r="J6604">
        <v>-187.5762</v>
      </c>
      <c r="K6604">
        <v>1.108889</v>
      </c>
      <c r="L6604">
        <v>27.436489999999999</v>
      </c>
      <c r="M6604">
        <v>-1.284889E-3</v>
      </c>
      <c r="N6604">
        <v>0</v>
      </c>
      <c r="O6604">
        <v>0.99990619999999997</v>
      </c>
      <c r="P6604">
        <v>3.6185719999999998E-2</v>
      </c>
      <c r="Q6604">
        <v>0.12500159999999999</v>
      </c>
      <c r="R6604">
        <v>0.99149640000000006</v>
      </c>
      <c r="S6604">
        <v>0.39016719999999999</v>
      </c>
      <c r="T6604">
        <v>-0.55468709999999999</v>
      </c>
      <c r="U6604">
        <v>3.081696</v>
      </c>
      <c r="V6604">
        <v>3.7476450000000001E-2</v>
      </c>
      <c r="W6604">
        <v>0.13850489999999999</v>
      </c>
      <c r="X6604">
        <v>0.98965239999999999</v>
      </c>
      <c r="Y6604">
        <v>0.1249244</v>
      </c>
      <c r="Z6604">
        <v>-0.1757736</v>
      </c>
      <c r="AA6604">
        <v>0.97647200000000001</v>
      </c>
      <c r="AB6604">
        <v>31</v>
      </c>
      <c r="AC6604">
        <v>0.117999999999994</v>
      </c>
      <c r="AD6604">
        <v>-0.16701540000000001</v>
      </c>
      <c r="AE6604">
        <v>0.45934999999999998</v>
      </c>
      <c r="AF6604">
        <v>0.105505906193785</v>
      </c>
      <c r="AG6604">
        <v>-0.16701540000000001</v>
      </c>
      <c r="AH6604">
        <v>0.408533856837827</v>
      </c>
      <c r="AI6604">
        <v>111.595122663751</v>
      </c>
      <c r="AJ6604">
        <v>75.519474562275207</v>
      </c>
      <c r="AK6604">
        <v>0.45379020732241698</v>
      </c>
      <c r="AL6604">
        <v>82.038659371943993</v>
      </c>
      <c r="AM6604">
        <v>87.8313426907755</v>
      </c>
      <c r="AN6604">
        <v>0.999999982227186</v>
      </c>
    </row>
    <row r="6605" spans="1:40" x14ac:dyDescent="0.25">
      <c r="A6605" t="str">
        <f>"20190312164633367"</f>
        <v>20190312164633367</v>
      </c>
      <c r="B6605" t="str">
        <f>"1552380393358446"</f>
        <v>1552380393358446</v>
      </c>
      <c r="C6605" t="s">
        <v>40</v>
      </c>
      <c r="D6605">
        <v>4.3644610000000004</v>
      </c>
      <c r="E6605">
        <v>0.54393159999999996</v>
      </c>
      <c r="F6605" t="s">
        <v>41</v>
      </c>
      <c r="G6605">
        <v>-187.46940000000001</v>
      </c>
      <c r="H6605">
        <v>0.9336584</v>
      </c>
      <c r="I6605">
        <v>28.165780000000002</v>
      </c>
      <c r="J6605">
        <v>-187.57660000000001</v>
      </c>
      <c r="K6605">
        <v>1.108887</v>
      </c>
      <c r="L6605">
        <v>27.74643</v>
      </c>
      <c r="M6605">
        <v>-1.2454880000000001E-3</v>
      </c>
      <c r="N6605">
        <v>0</v>
      </c>
      <c r="O6605">
        <v>0.99990630000000003</v>
      </c>
      <c r="P6605">
        <v>3.6581219999999998E-2</v>
      </c>
      <c r="Q6605">
        <v>0.1244855</v>
      </c>
      <c r="R6605">
        <v>0.99154690000000001</v>
      </c>
      <c r="S6605">
        <v>0.45372010000000002</v>
      </c>
      <c r="T6605">
        <v>-0.7456102</v>
      </c>
      <c r="U6605">
        <v>3.10318</v>
      </c>
      <c r="V6605">
        <v>3.783284E-2</v>
      </c>
      <c r="W6605">
        <v>0.13798779999999999</v>
      </c>
      <c r="X6605">
        <v>0.98971109999999896</v>
      </c>
      <c r="Y6605">
        <v>0.1419829</v>
      </c>
      <c r="Z6605">
        <v>-0.23127719999999999</v>
      </c>
      <c r="AA6605">
        <v>0.96247169999999904</v>
      </c>
      <c r="AB6605">
        <v>31</v>
      </c>
      <c r="AC6605">
        <v>0.107200000000005</v>
      </c>
      <c r="AD6605">
        <v>-0.17522860000000001</v>
      </c>
      <c r="AE6605">
        <v>0.419349999999997</v>
      </c>
      <c r="AF6605">
        <v>9.2553269124034304E-2</v>
      </c>
      <c r="AG6605">
        <v>-0.17522860000000001</v>
      </c>
      <c r="AH6605">
        <v>0.360183907218665</v>
      </c>
      <c r="AI6605">
        <v>115.22934997544</v>
      </c>
      <c r="AJ6605">
        <v>75.588992925818602</v>
      </c>
      <c r="AK6605">
        <v>0.41110049489487299</v>
      </c>
      <c r="AL6605">
        <v>82.068574481536999</v>
      </c>
      <c r="AM6605">
        <v>87.810869090780102</v>
      </c>
      <c r="AN6605">
        <v>1.0000000090972501</v>
      </c>
    </row>
    <row r="6606" spans="1:40" x14ac:dyDescent="0.25">
      <c r="A6606" t="str">
        <f>"20190312164633391"</f>
        <v>20190312164633391</v>
      </c>
      <c r="B6606" t="str">
        <f>"1552380393387727"</f>
        <v>1552380393387727</v>
      </c>
      <c r="C6606" t="s">
        <v>40</v>
      </c>
      <c r="D6606">
        <v>4.1015519999999999</v>
      </c>
      <c r="E6606">
        <v>0.54768430000000001</v>
      </c>
      <c r="F6606" t="s">
        <v>41</v>
      </c>
      <c r="G6606">
        <v>-187.48560000000001</v>
      </c>
      <c r="H6606">
        <v>0.94710669999999997</v>
      </c>
      <c r="I6606">
        <v>28.445740000000001</v>
      </c>
      <c r="J6606">
        <v>-187.577</v>
      </c>
      <c r="K6606">
        <v>1.108881</v>
      </c>
      <c r="L6606">
        <v>28.0701</v>
      </c>
      <c r="M6606">
        <v>-1.204465E-3</v>
      </c>
      <c r="N6606">
        <v>0</v>
      </c>
      <c r="O6606">
        <v>0.99990639999999997</v>
      </c>
      <c r="P6606">
        <v>3.6287420000000001E-2</v>
      </c>
      <c r="Q6606">
        <v>0.124131199999999</v>
      </c>
      <c r="R6606">
        <v>0.99160210000000004</v>
      </c>
      <c r="S6606">
        <v>0.40293879999999999</v>
      </c>
      <c r="T6606">
        <v>-0.71734500000000001</v>
      </c>
      <c r="U6606">
        <v>3.1007690000000001</v>
      </c>
      <c r="V6606">
        <v>3.7498360000000001E-2</v>
      </c>
      <c r="W6606">
        <v>0.13763210000000001</v>
      </c>
      <c r="X6606">
        <v>0.98977329999999997</v>
      </c>
      <c r="Y6606">
        <v>0.12679649999999901</v>
      </c>
      <c r="Z6606">
        <v>-0.22358890000000001</v>
      </c>
      <c r="AA6606">
        <v>0.96640090000000001</v>
      </c>
      <c r="AB6606">
        <v>31</v>
      </c>
      <c r="AC6606">
        <v>9.1399999999993001E-2</v>
      </c>
      <c r="AD6606">
        <v>-0.16177430000000001</v>
      </c>
      <c r="AE6606">
        <v>0.37563999999999997</v>
      </c>
      <c r="AF6606">
        <v>7.8165358825477496E-2</v>
      </c>
      <c r="AG6606">
        <v>-0.16177430000000001</v>
      </c>
      <c r="AH6606">
        <v>0.31957141585820997</v>
      </c>
      <c r="AI6606">
        <v>116.18460087362899</v>
      </c>
      <c r="AJ6606">
        <v>76.255627960707201</v>
      </c>
      <c r="AK6606">
        <v>0.36661510783712498</v>
      </c>
      <c r="AL6606">
        <v>82.089150475108298</v>
      </c>
      <c r="AM6606">
        <v>87.8303408331345</v>
      </c>
      <c r="AN6606">
        <v>0.99999995367299299</v>
      </c>
    </row>
    <row r="6607" spans="1:40" x14ac:dyDescent="0.25">
      <c r="A6607" t="str">
        <f>"20190312164633413"</f>
        <v>20190312164633413</v>
      </c>
      <c r="B6607" t="str">
        <f>"1552380393408222"</f>
        <v>1552380393408222</v>
      </c>
      <c r="C6607" t="s">
        <v>40</v>
      </c>
      <c r="D6607">
        <v>4.1183389999999997</v>
      </c>
      <c r="E6607">
        <v>0.54696750000000005</v>
      </c>
      <c r="F6607" t="s">
        <v>41</v>
      </c>
      <c r="G6607">
        <v>-187.45099999999999</v>
      </c>
      <c r="H6607">
        <v>0.90188009999999996</v>
      </c>
      <c r="I6607">
        <v>28.97363</v>
      </c>
      <c r="J6607">
        <v>-187.57730000000001</v>
      </c>
      <c r="K6607">
        <v>1.1088769999999999</v>
      </c>
      <c r="L6607">
        <v>28.368230000000001</v>
      </c>
      <c r="M6607">
        <v>-1.166654E-3</v>
      </c>
      <c r="N6607">
        <v>0</v>
      </c>
      <c r="O6607">
        <v>0.99990639999999997</v>
      </c>
      <c r="P6607">
        <v>3.6241599999999999E-2</v>
      </c>
      <c r="Q6607">
        <v>0.1234784</v>
      </c>
      <c r="R6607">
        <v>0.99168529999999999</v>
      </c>
      <c r="S6607">
        <v>0.43147279999999999</v>
      </c>
      <c r="T6607">
        <v>-0.70987279999999997</v>
      </c>
      <c r="U6607">
        <v>3.0984799999999999</v>
      </c>
      <c r="V6607">
        <v>3.7415039999999997E-2</v>
      </c>
      <c r="W6607">
        <v>0.13697889999999999</v>
      </c>
      <c r="X6607">
        <v>0.9898671</v>
      </c>
      <c r="Y6607">
        <v>0.1356588</v>
      </c>
      <c r="Z6607">
        <v>-0.22127050000000001</v>
      </c>
      <c r="AA6607">
        <v>0.9657308</v>
      </c>
      <c r="AB6607">
        <v>31</v>
      </c>
      <c r="AC6607">
        <v>0.12630000000001401</v>
      </c>
      <c r="AD6607">
        <v>-0.20699690000000001</v>
      </c>
      <c r="AE6607">
        <v>0.60539999999999905</v>
      </c>
      <c r="AF6607">
        <v>0.11421102361228699</v>
      </c>
      <c r="AG6607">
        <v>-0.20699690000000001</v>
      </c>
      <c r="AH6607">
        <v>0.54427608312944598</v>
      </c>
      <c r="AI6607">
        <v>110.415746325547</v>
      </c>
      <c r="AJ6607">
        <v>78.148988141917499</v>
      </c>
      <c r="AK6607">
        <v>0.59340401851597602</v>
      </c>
      <c r="AL6607">
        <v>82.126934225007005</v>
      </c>
      <c r="AM6607">
        <v>87.835362091110497</v>
      </c>
      <c r="AN6607">
        <v>0.99999998996290995</v>
      </c>
    </row>
    <row r="6608" spans="1:40" x14ac:dyDescent="0.25">
      <c r="A6608" t="str">
        <f>"20190312164633434"</f>
        <v>20190312164633434</v>
      </c>
      <c r="B6608" t="str">
        <f>"1552380393427742"</f>
        <v>1552380393427742</v>
      </c>
      <c r="C6608" t="s">
        <v>40</v>
      </c>
      <c r="D6608">
        <v>4.355728</v>
      </c>
      <c r="E6608">
        <v>0.54756470000000002</v>
      </c>
      <c r="F6608" t="s">
        <v>41</v>
      </c>
      <c r="G6608">
        <v>-187.45580000000001</v>
      </c>
      <c r="H6608">
        <v>0.90869080000000002</v>
      </c>
      <c r="I6608">
        <v>29.249649999999999</v>
      </c>
      <c r="J6608">
        <v>-187.57759999999999</v>
      </c>
      <c r="K6608">
        <v>1.1088750000000001</v>
      </c>
      <c r="L6608">
        <v>28.661159999999999</v>
      </c>
      <c r="M6608">
        <v>-1.1294829999999999E-3</v>
      </c>
      <c r="N6608">
        <v>0</v>
      </c>
      <c r="O6608">
        <v>0.99990650000000003</v>
      </c>
      <c r="P6608">
        <v>3.6058880000000001E-2</v>
      </c>
      <c r="Q6608">
        <v>0.1238896</v>
      </c>
      <c r="R6608">
        <v>0.99164059999999998</v>
      </c>
      <c r="S6608">
        <v>0.42596440000000002</v>
      </c>
      <c r="T6608">
        <v>-0.70340570000000002</v>
      </c>
      <c r="U6608">
        <v>3.0971679999999999</v>
      </c>
      <c r="V6608">
        <v>3.7195430000000002E-2</v>
      </c>
      <c r="W6608">
        <v>0.1373885</v>
      </c>
      <c r="X6608">
        <v>0.98981859999999999</v>
      </c>
      <c r="Y6608">
        <v>0.13404720000000001</v>
      </c>
      <c r="Z6608">
        <v>-0.21949009999999999</v>
      </c>
      <c r="AA6608">
        <v>0.9663619</v>
      </c>
      <c r="AB6608">
        <v>31</v>
      </c>
      <c r="AC6608">
        <v>0.12179999999997899</v>
      </c>
      <c r="AD6608">
        <v>-0.20018419999999901</v>
      </c>
      <c r="AE6608">
        <v>0.58848999999999996</v>
      </c>
      <c r="AF6608">
        <v>0.110233232121633</v>
      </c>
      <c r="AG6608">
        <v>-0.20018419999999901</v>
      </c>
      <c r="AH6608">
        <v>0.52958902544644404</v>
      </c>
      <c r="AI6608">
        <v>110.307870637901</v>
      </c>
      <c r="AJ6608">
        <v>78.241853741728505</v>
      </c>
      <c r="AK6608">
        <v>0.57679252358793298</v>
      </c>
      <c r="AL6608">
        <v>82.103241801130494</v>
      </c>
      <c r="AM6608">
        <v>87.847950249332001</v>
      </c>
      <c r="AN6608">
        <v>0.99999998042554705</v>
      </c>
    </row>
    <row r="6609" spans="1:40" x14ac:dyDescent="0.25">
      <c r="A6609" t="str">
        <f>"20190312164633456"</f>
        <v>20190312164633456</v>
      </c>
      <c r="B6609" t="str">
        <f>"1552380393448238"</f>
        <v>1552380393448238</v>
      </c>
      <c r="C6609" t="s">
        <v>40</v>
      </c>
      <c r="D6609">
        <v>4.1682750000000004</v>
      </c>
      <c r="E6609">
        <v>0.5480254</v>
      </c>
      <c r="F6609" t="s">
        <v>41</v>
      </c>
      <c r="G6609">
        <v>-187.45650000000001</v>
      </c>
      <c r="H6609">
        <v>0.91931569999999996</v>
      </c>
      <c r="I6609">
        <v>29.527339999999999</v>
      </c>
      <c r="J6609">
        <v>-187.5779</v>
      </c>
      <c r="K6609">
        <v>1.1088690000000001</v>
      </c>
      <c r="L6609">
        <v>28.96536</v>
      </c>
      <c r="M6609">
        <v>-1.090883E-3</v>
      </c>
      <c r="N6609">
        <v>0</v>
      </c>
      <c r="O6609">
        <v>0.99990650000000003</v>
      </c>
      <c r="P6609">
        <v>3.6054639999999999E-2</v>
      </c>
      <c r="Q6609">
        <v>0.12344479999999999</v>
      </c>
      <c r="R6609">
        <v>0.99169620000000003</v>
      </c>
      <c r="S6609">
        <v>0.43193049999999999</v>
      </c>
      <c r="T6609">
        <v>-0.67714069999999904</v>
      </c>
      <c r="U6609">
        <v>3.0941770000000002</v>
      </c>
      <c r="V6609">
        <v>3.7152909999999997E-2</v>
      </c>
      <c r="W6609">
        <v>0.1369426</v>
      </c>
      <c r="X6609">
        <v>0.98988200000000004</v>
      </c>
      <c r="Y6609">
        <v>0.1361976</v>
      </c>
      <c r="Z6609">
        <v>-0.21180750000000001</v>
      </c>
      <c r="AA6609">
        <v>0.96777469999999999</v>
      </c>
      <c r="AB6609">
        <v>31</v>
      </c>
      <c r="AC6609">
        <v>0.121399999999994</v>
      </c>
      <c r="AD6609">
        <v>-0.18955330000000001</v>
      </c>
      <c r="AE6609">
        <v>0.56198000000000503</v>
      </c>
      <c r="AF6609">
        <v>0.11005095388816601</v>
      </c>
      <c r="AG6609">
        <v>-0.18955330000000001</v>
      </c>
      <c r="AH6609">
        <v>0.50676405522867496</v>
      </c>
      <c r="AI6609">
        <v>110.078701970278</v>
      </c>
      <c r="AJ6609">
        <v>77.747657916536497</v>
      </c>
      <c r="AK6609">
        <v>0.55213356505866995</v>
      </c>
      <c r="AL6609">
        <v>82.129033880995905</v>
      </c>
      <c r="AM6609">
        <v>87.850545606386802</v>
      </c>
      <c r="AN6609">
        <v>0.99999999417011398</v>
      </c>
    </row>
    <row r="6610" spans="1:40" x14ac:dyDescent="0.25">
      <c r="A6610" t="str">
        <f>"20190312164633478"</f>
        <v>20190312164633478</v>
      </c>
      <c r="B6610" t="str">
        <f>"1552380393467757"</f>
        <v>1552380393467757</v>
      </c>
      <c r="C6610" t="s">
        <v>40</v>
      </c>
      <c r="D6610">
        <v>4.7061510000000002</v>
      </c>
      <c r="E6610">
        <v>0.54771789999999998</v>
      </c>
      <c r="F6610" t="s">
        <v>41</v>
      </c>
      <c r="G6610">
        <v>-187.45930000000001</v>
      </c>
      <c r="H6610">
        <v>0.92914099999999999</v>
      </c>
      <c r="I6610">
        <v>29.80471</v>
      </c>
      <c r="J6610">
        <v>-187.57820000000001</v>
      </c>
      <c r="K6610">
        <v>1.1088709999999999</v>
      </c>
      <c r="L6610">
        <v>29.270869999999999</v>
      </c>
      <c r="M6610">
        <v>-1.0522260000000001E-3</v>
      </c>
      <c r="N6610">
        <v>0</v>
      </c>
      <c r="O6610">
        <v>0.99990659999999998</v>
      </c>
      <c r="P6610">
        <v>3.5992780000000002E-2</v>
      </c>
      <c r="Q6610">
        <v>0.12343079999999999</v>
      </c>
      <c r="R6610">
        <v>0.99170020000000003</v>
      </c>
      <c r="S6610">
        <v>0.4362335</v>
      </c>
      <c r="T6610">
        <v>-0.66201449999999995</v>
      </c>
      <c r="U6610">
        <v>3.091675</v>
      </c>
      <c r="V6610">
        <v>3.7052700000000001E-2</v>
      </c>
      <c r="W6610">
        <v>0.13692699999999999</v>
      </c>
      <c r="X6610">
        <v>0.98988799999999999</v>
      </c>
      <c r="Y6610">
        <v>0.13771929999999999</v>
      </c>
      <c r="Z6610">
        <v>-0.20740149999999999</v>
      </c>
      <c r="AA6610">
        <v>0.96851330000000002</v>
      </c>
      <c r="AB6610">
        <v>31</v>
      </c>
      <c r="AC6610">
        <v>0.118899999999996</v>
      </c>
      <c r="AD6610">
        <v>-0.179729999999999</v>
      </c>
      <c r="AE6610">
        <v>0.53383999999999399</v>
      </c>
      <c r="AF6610">
        <v>0.107818186501851</v>
      </c>
      <c r="AG6610">
        <v>-0.179729999999999</v>
      </c>
      <c r="AH6610">
        <v>0.48169526516108302</v>
      </c>
      <c r="AI6610">
        <v>110.007080398654</v>
      </c>
      <c r="AJ6610">
        <v>77.383400382290205</v>
      </c>
      <c r="AK6610">
        <v>0.52531701164073696</v>
      </c>
      <c r="AL6610">
        <v>82.129936868532397</v>
      </c>
      <c r="AM6610">
        <v>87.8563507476685</v>
      </c>
      <c r="AN6610">
        <v>1.00000007922514</v>
      </c>
    </row>
    <row r="6611" spans="1:40" x14ac:dyDescent="0.25">
      <c r="A6611" t="str">
        <f>"20190312164633501"</f>
        <v>20190312164633501</v>
      </c>
      <c r="B6611" t="str">
        <f>"1552380393498014"</f>
        <v>1552380393498014</v>
      </c>
      <c r="C6611" t="s">
        <v>40</v>
      </c>
      <c r="D6611">
        <v>4.2675689999999999</v>
      </c>
      <c r="E6611">
        <v>0.54816899999999902</v>
      </c>
      <c r="F6611" t="s">
        <v>41</v>
      </c>
      <c r="G6611">
        <v>-187.465</v>
      </c>
      <c r="H6611">
        <v>0.9329501</v>
      </c>
      <c r="I6611">
        <v>30.078959999999999</v>
      </c>
      <c r="J6611">
        <v>-187.57839999999999</v>
      </c>
      <c r="K6611">
        <v>1.1088739999999999</v>
      </c>
      <c r="L6611">
        <v>29.58099</v>
      </c>
      <c r="M6611">
        <v>-1.0130130000000001E-3</v>
      </c>
      <c r="N6611">
        <v>0</v>
      </c>
      <c r="O6611">
        <v>0.99990670000000004</v>
      </c>
      <c r="P6611">
        <v>3.623299E-2</v>
      </c>
      <c r="Q6611">
        <v>0.1232858</v>
      </c>
      <c r="R6611">
        <v>0.99170950000000002</v>
      </c>
      <c r="S6611">
        <v>0.43315120000000001</v>
      </c>
      <c r="T6611">
        <v>-0.67339589999999905</v>
      </c>
      <c r="U6611">
        <v>3.0932010000000001</v>
      </c>
      <c r="V6611">
        <v>3.725403E-2</v>
      </c>
      <c r="W6611">
        <v>0.13678009999999999</v>
      </c>
      <c r="X6611">
        <v>0.98990060000000002</v>
      </c>
      <c r="Y6611">
        <v>0.13656889999999999</v>
      </c>
      <c r="Z6611">
        <v>-0.21074090000000001</v>
      </c>
      <c r="AA6611">
        <v>0.96795520000000002</v>
      </c>
      <c r="AB6611">
        <v>31</v>
      </c>
      <c r="AC6611">
        <v>0.113399999999984</v>
      </c>
      <c r="AD6611">
        <v>-0.17592389999999899</v>
      </c>
      <c r="AE6611">
        <v>0.49796999999999503</v>
      </c>
      <c r="AF6611">
        <v>0.101822670445396</v>
      </c>
      <c r="AG6611">
        <v>-0.17592389999999899</v>
      </c>
      <c r="AH6611">
        <v>0.44504772356949601</v>
      </c>
      <c r="AI6611">
        <v>111.073451748328</v>
      </c>
      <c r="AJ6611">
        <v>77.113072890347794</v>
      </c>
      <c r="AK6611">
        <v>0.48926940540180103</v>
      </c>
      <c r="AL6611">
        <v>82.138432365925297</v>
      </c>
      <c r="AM6611">
        <v>87.844741352072205</v>
      </c>
      <c r="AN6611">
        <v>0.99999992819380301</v>
      </c>
    </row>
    <row r="6612" spans="1:40" x14ac:dyDescent="0.25">
      <c r="A6612" t="str">
        <f>"20190312164633524"</f>
        <v>20190312164633524</v>
      </c>
      <c r="B6612" t="str">
        <f>"1552380393517534"</f>
        <v>1552380393517534</v>
      </c>
      <c r="C6612" t="s">
        <v>40</v>
      </c>
      <c r="D6612">
        <v>4.2921339999999999</v>
      </c>
      <c r="E6612">
        <v>0.54819079999999998</v>
      </c>
      <c r="F6612" t="s">
        <v>41</v>
      </c>
      <c r="G6612">
        <v>-187.4691</v>
      </c>
      <c r="H6612">
        <v>0.93725849999999999</v>
      </c>
      <c r="I6612">
        <v>30.353269999999998</v>
      </c>
      <c r="J6612">
        <v>-187.5787</v>
      </c>
      <c r="K6612">
        <v>1.1088769999999999</v>
      </c>
      <c r="L6612">
        <v>29.88776</v>
      </c>
      <c r="M6612">
        <v>-9.7413359999999995E-4</v>
      </c>
      <c r="N6612">
        <v>0</v>
      </c>
      <c r="O6612">
        <v>0.99990670000000004</v>
      </c>
      <c r="P6612">
        <v>3.5908040000000002E-2</v>
      </c>
      <c r="Q6612">
        <v>0.12347329999999999</v>
      </c>
      <c r="R6612">
        <v>0.99169799999999997</v>
      </c>
      <c r="S6612">
        <v>0.43711850000000002</v>
      </c>
      <c r="T6612">
        <v>-0.68766119999999997</v>
      </c>
      <c r="U6612">
        <v>3.0946039999999999</v>
      </c>
      <c r="V6612">
        <v>3.68905E-2</v>
      </c>
      <c r="W6612">
        <v>0.13696620000000001</v>
      </c>
      <c r="X6612">
        <v>0.98988849999999995</v>
      </c>
      <c r="Y6612">
        <v>0.13756099999999999</v>
      </c>
      <c r="Z6612">
        <v>-0.21487390000000001</v>
      </c>
      <c r="AA6612">
        <v>0.96690549999999997</v>
      </c>
      <c r="AB6612">
        <v>30</v>
      </c>
      <c r="AC6612">
        <v>0.1096</v>
      </c>
      <c r="AD6612">
        <v>-0.17161850000000001</v>
      </c>
      <c r="AE6612">
        <v>0.46551000000000498</v>
      </c>
      <c r="AF6612">
        <v>9.7497925838541E-2</v>
      </c>
      <c r="AG6612">
        <v>-0.17161850000000001</v>
      </c>
      <c r="AH6612">
        <v>0.41230714588203299</v>
      </c>
      <c r="AI6612">
        <v>112.051307182035</v>
      </c>
      <c r="AJ6612">
        <v>76.695703470193905</v>
      </c>
      <c r="AK6612">
        <v>0.45711698462259798</v>
      </c>
      <c r="AL6612">
        <v>82.127668454144597</v>
      </c>
      <c r="AM6612">
        <v>87.865727056563998</v>
      </c>
      <c r="AN6612">
        <v>0.99999994568246797</v>
      </c>
    </row>
    <row r="6613" spans="1:40" x14ac:dyDescent="0.25">
      <c r="A6613" t="str">
        <f>"20190312164633546"</f>
        <v>20190312164633546</v>
      </c>
      <c r="B6613" t="str">
        <f>"1552380393538029"</f>
        <v>1552380393538029</v>
      </c>
      <c r="C6613" t="s">
        <v>40</v>
      </c>
      <c r="D6613">
        <v>4.3583879999999997</v>
      </c>
      <c r="E6613">
        <v>0.54839899999999997</v>
      </c>
      <c r="F6613" t="s">
        <v>41</v>
      </c>
      <c r="G6613">
        <v>-187.47409999999999</v>
      </c>
      <c r="H6613">
        <v>0.94375500000000001</v>
      </c>
      <c r="I6613">
        <v>30.628419999999998</v>
      </c>
      <c r="J6613">
        <v>-187.57900000000001</v>
      </c>
      <c r="K6613">
        <v>1.1088819999999999</v>
      </c>
      <c r="L6613">
        <v>30.196259999999999</v>
      </c>
      <c r="M6613">
        <v>-9.3495579999999996E-4</v>
      </c>
      <c r="N6613">
        <v>0</v>
      </c>
      <c r="O6613">
        <v>0.99990679999999998</v>
      </c>
      <c r="P6613">
        <v>3.6368989999999997E-2</v>
      </c>
      <c r="Q6613">
        <v>0.123569</v>
      </c>
      <c r="R6613">
        <v>0.99166929999999998</v>
      </c>
      <c r="S6613">
        <v>0.4365387</v>
      </c>
      <c r="T6613">
        <v>-0.69002839999999999</v>
      </c>
      <c r="U6613">
        <v>3.095215</v>
      </c>
      <c r="V6613">
        <v>3.7312560000000002E-2</v>
      </c>
      <c r="W6613">
        <v>0.13705919999999999</v>
      </c>
      <c r="X6613">
        <v>0.98985990000000001</v>
      </c>
      <c r="Y6613">
        <v>0.13729749999999999</v>
      </c>
      <c r="Z6613">
        <v>-0.2155454</v>
      </c>
      <c r="AA6613">
        <v>0.96679349999999997</v>
      </c>
      <c r="AB6613">
        <v>30</v>
      </c>
      <c r="AC6613">
        <v>0.104900000000014</v>
      </c>
      <c r="AD6613">
        <v>-0.165127</v>
      </c>
      <c r="AE6613">
        <v>0.43216000000000299</v>
      </c>
      <c r="AF6613">
        <v>9.2544513684209795E-2</v>
      </c>
      <c r="AG6613">
        <v>-0.165127</v>
      </c>
      <c r="AH6613">
        <v>0.37970947197744997</v>
      </c>
      <c r="AI6613">
        <v>112.90451301782799</v>
      </c>
      <c r="AJ6613">
        <v>76.302660327460899</v>
      </c>
      <c r="AK6613">
        <v>0.42427667417787701</v>
      </c>
      <c r="AL6613">
        <v>82.122289936565593</v>
      </c>
      <c r="AM6613">
        <v>87.841269742126897</v>
      </c>
      <c r="AN6613">
        <v>1.0000000365332</v>
      </c>
    </row>
    <row r="6614" spans="1:40" x14ac:dyDescent="0.25">
      <c r="A6614" t="str">
        <f>"20190312164633570"</f>
        <v>20190312164633570</v>
      </c>
      <c r="B6614" t="str">
        <f>"1552380393557550"</f>
        <v>1552380393557550</v>
      </c>
      <c r="C6614" t="s">
        <v>40</v>
      </c>
      <c r="D6614">
        <v>4.3155890000000001</v>
      </c>
      <c r="E6614">
        <v>0.54847250000000003</v>
      </c>
      <c r="F6614" t="s">
        <v>41</v>
      </c>
      <c r="G6614">
        <v>-187.47839999999999</v>
      </c>
      <c r="H6614">
        <v>0.95045579999999996</v>
      </c>
      <c r="I6614">
        <v>30.903500000000001</v>
      </c>
      <c r="J6614">
        <v>-187.57919999999999</v>
      </c>
      <c r="K6614">
        <v>1.1088849999999999</v>
      </c>
      <c r="L6614">
        <v>30.499790000000001</v>
      </c>
      <c r="M6614">
        <v>-8.9635569999999996E-4</v>
      </c>
      <c r="N6614">
        <v>0</v>
      </c>
      <c r="O6614">
        <v>0.99990679999999998</v>
      </c>
      <c r="P6614">
        <v>3.6351950000000001E-2</v>
      </c>
      <c r="Q6614">
        <v>0.1239238</v>
      </c>
      <c r="R6614">
        <v>0.99162570000000005</v>
      </c>
      <c r="S6614">
        <v>0.43933109999999997</v>
      </c>
      <c r="T6614">
        <v>-0.69339869999999904</v>
      </c>
      <c r="U6614">
        <v>3.0954899999999999</v>
      </c>
      <c r="V6614">
        <v>3.7257190000000003E-2</v>
      </c>
      <c r="W6614">
        <v>0.13741159999999999</v>
      </c>
      <c r="X6614">
        <v>0.9898131</v>
      </c>
      <c r="Y6614">
        <v>0.13807249999999999</v>
      </c>
      <c r="Z6614">
        <v>-0.2165057</v>
      </c>
      <c r="AA6614">
        <v>0.96646849999999995</v>
      </c>
      <c r="AB6614">
        <v>30</v>
      </c>
      <c r="AC6614">
        <v>0.10079999999999199</v>
      </c>
      <c r="AD6614">
        <v>-0.15842919999999999</v>
      </c>
      <c r="AE6614">
        <v>0.40371000000000001</v>
      </c>
      <c r="AF6614">
        <v>8.8353571635063299E-2</v>
      </c>
      <c r="AG6614">
        <v>-0.15842919999999999</v>
      </c>
      <c r="AH6614">
        <v>0.35251647266534297</v>
      </c>
      <c r="AI6614">
        <v>113.55428819285299</v>
      </c>
      <c r="AJ6614">
        <v>75.929426398917201</v>
      </c>
      <c r="AK6614">
        <v>0.396451798499802</v>
      </c>
      <c r="AL6614">
        <v>82.101905826448899</v>
      </c>
      <c r="AM6614">
        <v>87.844368346514301</v>
      </c>
      <c r="AN6614">
        <v>1.0000000094764301</v>
      </c>
    </row>
    <row r="6615" spans="1:40" x14ac:dyDescent="0.25">
      <c r="A6615" t="str">
        <f>"20190312164633592"</f>
        <v>20190312164633592</v>
      </c>
      <c r="B6615" t="str">
        <f>"1552380393587385"</f>
        <v>1552380393587385</v>
      </c>
      <c r="C6615" t="s">
        <v>40</v>
      </c>
      <c r="D6615">
        <v>4.743163</v>
      </c>
      <c r="E6615">
        <v>0.52220820000000001</v>
      </c>
      <c r="F6615" t="s">
        <v>41</v>
      </c>
      <c r="G6615">
        <v>-187.44759999999999</v>
      </c>
      <c r="H6615">
        <v>0.90080179999999999</v>
      </c>
      <c r="I6615">
        <v>31.425329999999999</v>
      </c>
      <c r="J6615">
        <v>-187.57939999999999</v>
      </c>
      <c r="K6615">
        <v>1.108878</v>
      </c>
      <c r="L6615">
        <v>30.80444</v>
      </c>
      <c r="M6615">
        <v>-8.5736609999999996E-4</v>
      </c>
      <c r="N6615">
        <v>0</v>
      </c>
      <c r="O6615">
        <v>0.99990690000000004</v>
      </c>
      <c r="P6615">
        <v>3.5980239999999997E-2</v>
      </c>
      <c r="Q6615">
        <v>0.12400360000000001</v>
      </c>
      <c r="R6615">
        <v>0.99162919999999999</v>
      </c>
      <c r="S6615">
        <v>0.43952940000000001</v>
      </c>
      <c r="T6615">
        <v>-0.69610099999999997</v>
      </c>
      <c r="U6615">
        <v>3.096222</v>
      </c>
      <c r="V6615">
        <v>3.6846759999999999E-2</v>
      </c>
      <c r="W6615">
        <v>0.13749</v>
      </c>
      <c r="X6615">
        <v>0.98981759999999996</v>
      </c>
      <c r="Y6615">
        <v>0.1380392</v>
      </c>
      <c r="Z6615">
        <v>-0.21726039999999999</v>
      </c>
      <c r="AA6615">
        <v>0.96630380000000005</v>
      </c>
      <c r="AB6615">
        <v>30</v>
      </c>
      <c r="AC6615">
        <v>0.131799999999998</v>
      </c>
      <c r="AD6615">
        <v>-0.20807619999999999</v>
      </c>
      <c r="AE6615">
        <v>0.62088999999999495</v>
      </c>
      <c r="AF6615">
        <v>0.119491027431225</v>
      </c>
      <c r="AG6615">
        <v>-0.20807619999999999</v>
      </c>
      <c r="AH6615">
        <v>0.56053764316450005</v>
      </c>
      <c r="AI6615">
        <v>109.953476399137</v>
      </c>
      <c r="AJ6615">
        <v>77.966257007705096</v>
      </c>
      <c r="AK6615">
        <v>0.60973458163976801</v>
      </c>
      <c r="AL6615">
        <v>82.097370977021299</v>
      </c>
      <c r="AM6615">
        <v>87.8681027116466</v>
      </c>
      <c r="AN6615">
        <v>1.00000003254612</v>
      </c>
    </row>
    <row r="6616" spans="1:40" x14ac:dyDescent="0.25">
      <c r="A6616" t="str">
        <f>"20190312164633613"</f>
        <v>20190312164633613</v>
      </c>
      <c r="B6616" t="str">
        <f>"1552380393607882"</f>
        <v>1552380393607882</v>
      </c>
      <c r="C6616" t="s">
        <v>40</v>
      </c>
      <c r="D6616">
        <v>4.5390649999999999</v>
      </c>
      <c r="E6616">
        <v>0.48313479999999998</v>
      </c>
      <c r="F6616" t="s">
        <v>41</v>
      </c>
      <c r="G6616">
        <v>-187.50649999999999</v>
      </c>
      <c r="H6616">
        <v>0.97366189999999997</v>
      </c>
      <c r="I6616">
        <v>31.729089999999999</v>
      </c>
      <c r="J6616">
        <v>-187.5796</v>
      </c>
      <c r="K6616">
        <v>1.1088800000000001</v>
      </c>
      <c r="L6616">
        <v>31.103909999999999</v>
      </c>
      <c r="M6616">
        <v>-8.1931500000000004E-4</v>
      </c>
      <c r="N6616">
        <v>0</v>
      </c>
      <c r="O6616">
        <v>0.99990699999999999</v>
      </c>
      <c r="P6616">
        <v>3.5538859999999999E-2</v>
      </c>
      <c r="Q6616">
        <v>0.12361610000000001</v>
      </c>
      <c r="R6616">
        <v>0.99169350000000001</v>
      </c>
      <c r="S6616">
        <v>0.24214169999999999</v>
      </c>
      <c r="T6616">
        <v>-0.44934249999999998</v>
      </c>
      <c r="U6616">
        <v>3.0727229999999999</v>
      </c>
      <c r="V6616">
        <v>3.6367669999999998E-2</v>
      </c>
      <c r="W6616">
        <v>0.13710169999999999</v>
      </c>
      <c r="X6616">
        <v>0.98988909999999997</v>
      </c>
      <c r="Y6616">
        <v>7.855521E-2</v>
      </c>
      <c r="Z6616">
        <v>-0.1442543</v>
      </c>
      <c r="AA6616">
        <v>0.98641769999999995</v>
      </c>
      <c r="AB6616">
        <v>30</v>
      </c>
      <c r="AC6616">
        <v>7.3100000000010795E-2</v>
      </c>
      <c r="AD6616">
        <v>-0.13521809999999901</v>
      </c>
      <c r="AE6616">
        <v>0.62518000000000296</v>
      </c>
      <c r="AF6616">
        <v>7.0364970302743302E-2</v>
      </c>
      <c r="AG6616">
        <v>-0.13521809999999901</v>
      </c>
      <c r="AH6616">
        <v>0.59754385030325197</v>
      </c>
      <c r="AI6616">
        <v>102.666041037762</v>
      </c>
      <c r="AJ6616">
        <v>83.283950184538597</v>
      </c>
      <c r="AK6616">
        <v>0.61667967101936405</v>
      </c>
      <c r="AL6616">
        <v>82.119831028429999</v>
      </c>
      <c r="AM6616">
        <v>87.895948896907299</v>
      </c>
      <c r="AN6616">
        <v>0.99999995693146304</v>
      </c>
    </row>
    <row r="6617" spans="1:40" x14ac:dyDescent="0.25">
      <c r="A6617" t="str">
        <f>"20190312164633635"</f>
        <v>20190312164633635</v>
      </c>
      <c r="B6617" t="str">
        <f>"1552380393628378"</f>
        <v>1552380393628378</v>
      </c>
      <c r="C6617" t="s">
        <v>40</v>
      </c>
      <c r="D6617">
        <v>4.6008449999999996</v>
      </c>
      <c r="E6617">
        <v>0.47901349999999998</v>
      </c>
      <c r="F6617" t="s">
        <v>42</v>
      </c>
      <c r="G6617">
        <v>-187.88640000000001</v>
      </c>
      <c r="H6617" s="1">
        <v>-3.5519470000000001E-6</v>
      </c>
      <c r="I6617">
        <v>47.038510000000002</v>
      </c>
      <c r="J6617">
        <v>-187.57980000000001</v>
      </c>
      <c r="K6617">
        <v>1.108876</v>
      </c>
      <c r="L6617">
        <v>31.396820000000002</v>
      </c>
      <c r="M6617">
        <v>-7.8228919999999999E-4</v>
      </c>
      <c r="N6617">
        <v>0</v>
      </c>
      <c r="O6617">
        <v>0.99990699999999999</v>
      </c>
      <c r="P6617">
        <v>3.5101930000000003E-2</v>
      </c>
      <c r="Q6617">
        <v>0.123201</v>
      </c>
      <c r="R6617">
        <v>0.99176070000000005</v>
      </c>
      <c r="S6617">
        <v>-5.8792110000000002E-2</v>
      </c>
      <c r="T6617">
        <v>-0.2125088</v>
      </c>
      <c r="U6617">
        <v>3.053741</v>
      </c>
      <c r="V6617">
        <v>3.589403E-2</v>
      </c>
      <c r="W6617">
        <v>0.13668659999999999</v>
      </c>
      <c r="X6617">
        <v>0.98996379999999995</v>
      </c>
      <c r="Y6617">
        <v>-1.8420269999999999E-2</v>
      </c>
      <c r="Z6617">
        <v>-6.9409419999999999E-2</v>
      </c>
      <c r="AA6617">
        <v>0.99741820000000003</v>
      </c>
      <c r="AB6617">
        <v>30</v>
      </c>
      <c r="AC6617">
        <v>-0.30660000000000298</v>
      </c>
      <c r="AD6617">
        <v>-1.1088795519470001</v>
      </c>
      <c r="AE6617">
        <v>15.641689999999899</v>
      </c>
      <c r="AF6617">
        <v>-0.29289101324928501</v>
      </c>
      <c r="AG6617">
        <v>-1.1088795519470001</v>
      </c>
      <c r="AH6617">
        <v>15.563735589030699</v>
      </c>
      <c r="AI6617">
        <v>94.074584100316798</v>
      </c>
      <c r="AJ6617">
        <v>91.078111241854899</v>
      </c>
      <c r="AK6617">
        <v>15.6059368347956</v>
      </c>
      <c r="AL6617">
        <v>82.143840617850103</v>
      </c>
      <c r="AM6617">
        <v>87.923483745735894</v>
      </c>
      <c r="AN6617">
        <v>0.99999996665981905</v>
      </c>
    </row>
    <row r="6618" spans="1:40" x14ac:dyDescent="0.25">
      <c r="A6618" t="str">
        <f>"20190312164633657"</f>
        <v>20190312164633657</v>
      </c>
      <c r="B6618" t="str">
        <f>"1552380393647902"</f>
        <v>1552380393647902</v>
      </c>
      <c r="C6618" t="s">
        <v>40</v>
      </c>
      <c r="D6618">
        <v>4.5674349999999997</v>
      </c>
      <c r="E6618">
        <v>0.47771249999999998</v>
      </c>
      <c r="F6618" t="s">
        <v>42</v>
      </c>
      <c r="G6618">
        <v>-188.08179999999999</v>
      </c>
      <c r="H6618" s="1">
        <v>-3.8875859999999999E-6</v>
      </c>
      <c r="I6618">
        <v>47.901670000000003</v>
      </c>
      <c r="J6618">
        <v>-187.58</v>
      </c>
      <c r="K6618">
        <v>1.1088690000000001</v>
      </c>
      <c r="L6618">
        <v>31.69434</v>
      </c>
      <c r="M6618">
        <v>-7.4457119999999895E-4</v>
      </c>
      <c r="N6618">
        <v>0</v>
      </c>
      <c r="O6618">
        <v>0.99990710000000005</v>
      </c>
      <c r="P6618">
        <v>3.5223699999999997E-2</v>
      </c>
      <c r="Q6618">
        <v>0.1227423</v>
      </c>
      <c r="R6618">
        <v>0.99181330000000001</v>
      </c>
      <c r="S6618">
        <v>-9.2864989999999994E-2</v>
      </c>
      <c r="T6618">
        <v>-0.20516180000000001</v>
      </c>
      <c r="U6618">
        <v>3.0536799999999999</v>
      </c>
      <c r="V6618">
        <v>3.5978360000000001E-2</v>
      </c>
      <c r="W6618">
        <v>0.1362265</v>
      </c>
      <c r="X6618">
        <v>0.99002420000000002</v>
      </c>
      <c r="Y6618">
        <v>-2.9584180000000002E-2</v>
      </c>
      <c r="Z6618">
        <v>-6.7003850000000004E-2</v>
      </c>
      <c r="AA6618">
        <v>0.99731400000000003</v>
      </c>
      <c r="AB6618">
        <v>30</v>
      </c>
      <c r="AC6618">
        <v>-0.50179999999997404</v>
      </c>
      <c r="AD6618">
        <v>-1.1088728875860001</v>
      </c>
      <c r="AE6618">
        <v>16.207329999999999</v>
      </c>
      <c r="AF6618">
        <v>-0.48745164577744299</v>
      </c>
      <c r="AG6618">
        <v>-1.1088728875860001</v>
      </c>
      <c r="AH6618">
        <v>16.132256059228801</v>
      </c>
      <c r="AI6618">
        <v>93.930331421395493</v>
      </c>
      <c r="AJ6618">
        <v>91.730720540730999</v>
      </c>
      <c r="AK6618">
        <v>16.177666511222199</v>
      </c>
      <c r="AL6618">
        <v>82.170451656836704</v>
      </c>
      <c r="AM6618">
        <v>87.918736302683897</v>
      </c>
      <c r="AN6618">
        <v>1.0000000091380801</v>
      </c>
    </row>
    <row r="6619" spans="1:40" x14ac:dyDescent="0.25">
      <c r="A6619" t="str">
        <f>"20190312164633679"</f>
        <v>20190312164633679</v>
      </c>
      <c r="B6619" t="str">
        <f>"1552380393667420"</f>
        <v>1552380393667420</v>
      </c>
      <c r="C6619" t="s">
        <v>40</v>
      </c>
      <c r="D6619">
        <v>4.7596829999999999</v>
      </c>
      <c r="E6619">
        <v>0.47729139999999998</v>
      </c>
      <c r="F6619" t="s">
        <v>42</v>
      </c>
      <c r="G6619">
        <v>-188.149</v>
      </c>
      <c r="H6619" s="1">
        <v>-4.1922890000000004E-6</v>
      </c>
      <c r="I6619">
        <v>48.639719999999997</v>
      </c>
      <c r="J6619">
        <v>-187.58019999999999</v>
      </c>
      <c r="K6619">
        <v>1.1088739999999999</v>
      </c>
      <c r="L6619">
        <v>31.998139999999999</v>
      </c>
      <c r="M6619">
        <v>-7.0601249999999996E-4</v>
      </c>
      <c r="N6619">
        <v>0</v>
      </c>
      <c r="O6619">
        <v>0.99990710000000005</v>
      </c>
      <c r="P6619">
        <v>3.537643E-2</v>
      </c>
      <c r="Q6619">
        <v>0.1228532</v>
      </c>
      <c r="R6619">
        <v>0.99179410000000001</v>
      </c>
      <c r="S6619">
        <v>-0.1025085</v>
      </c>
      <c r="T6619">
        <v>-0.199791</v>
      </c>
      <c r="U6619">
        <v>3.053131</v>
      </c>
      <c r="V6619">
        <v>3.6092829999999999E-2</v>
      </c>
      <c r="W6619">
        <v>0.1363356</v>
      </c>
      <c r="X6619">
        <v>0.99000500000000002</v>
      </c>
      <c r="Y6619">
        <v>-3.2778759999999997E-2</v>
      </c>
      <c r="Z6619">
        <v>-6.5262529999999999E-2</v>
      </c>
      <c r="AA6619">
        <v>0.99732960000000004</v>
      </c>
      <c r="AB6619">
        <v>30</v>
      </c>
      <c r="AC6619">
        <v>-0.56880000000000996</v>
      </c>
      <c r="AD6619">
        <v>-1.1088781922890001</v>
      </c>
      <c r="AE6619">
        <v>16.641579999999902</v>
      </c>
      <c r="AF6619">
        <v>-0.55459012408797403</v>
      </c>
      <c r="AG6619">
        <v>-1.1088781922890001</v>
      </c>
      <c r="AH6619">
        <v>16.568499913405201</v>
      </c>
      <c r="AI6619">
        <v>93.826781563747204</v>
      </c>
      <c r="AJ6619">
        <v>91.917120700226604</v>
      </c>
      <c r="AK6619">
        <v>16.614823815845298</v>
      </c>
      <c r="AL6619">
        <v>82.164141699448606</v>
      </c>
      <c r="AM6619">
        <v>87.912079876879901</v>
      </c>
      <c r="AN6619">
        <v>0.99999999411488405</v>
      </c>
    </row>
    <row r="6620" spans="1:40" x14ac:dyDescent="0.25">
      <c r="A6620" t="str">
        <f>"20190312164633702"</f>
        <v>20190312164633702</v>
      </c>
      <c r="B6620" t="str">
        <f>"1552380393698347"</f>
        <v>1552380393698347</v>
      </c>
      <c r="C6620" t="s">
        <v>40</v>
      </c>
      <c r="D6620">
        <v>4.6521420000000004</v>
      </c>
      <c r="E6620">
        <v>0.4774698</v>
      </c>
      <c r="F6620" t="s">
        <v>42</v>
      </c>
      <c r="G6620">
        <v>-188.191</v>
      </c>
      <c r="H6620" s="1">
        <v>-5.3590940000000003E-7</v>
      </c>
      <c r="I6620">
        <v>49.808480000000003</v>
      </c>
      <c r="J6620">
        <v>-187.5804</v>
      </c>
      <c r="K6620">
        <v>1.1088769999999999</v>
      </c>
      <c r="L6620">
        <v>32.296199999999999</v>
      </c>
      <c r="M6620">
        <v>-6.6808500000000001E-4</v>
      </c>
      <c r="N6620">
        <v>0</v>
      </c>
      <c r="O6620">
        <v>0.9999072</v>
      </c>
      <c r="P6620">
        <v>3.570276E-2</v>
      </c>
      <c r="Q6620">
        <v>0.1228081</v>
      </c>
      <c r="R6620">
        <v>0.991788</v>
      </c>
      <c r="S6620">
        <v>-0.1046753</v>
      </c>
      <c r="T6620">
        <v>-0.19002379999999999</v>
      </c>
      <c r="U6620">
        <v>3.0520939999999999</v>
      </c>
      <c r="V6620">
        <v>3.6381499999999997E-2</v>
      </c>
      <c r="W6620">
        <v>0.136288299999999</v>
      </c>
      <c r="X6620">
        <v>0.99000100000000002</v>
      </c>
      <c r="Y6620">
        <v>-3.354215E-2</v>
      </c>
      <c r="Z6620">
        <v>-6.2104140000000002E-2</v>
      </c>
      <c r="AA6620">
        <v>0.99750589999999995</v>
      </c>
      <c r="AB6620">
        <v>30</v>
      </c>
      <c r="AC6620">
        <v>-0.61059999999997605</v>
      </c>
      <c r="AD6620">
        <v>-1.1088775359093901</v>
      </c>
      <c r="AE6620">
        <v>17.512279999999901</v>
      </c>
      <c r="AF6620">
        <v>-0.59651033119005803</v>
      </c>
      <c r="AG6620">
        <v>-1.1088775359093901</v>
      </c>
      <c r="AH6620">
        <v>17.442833297185501</v>
      </c>
      <c r="AI6620">
        <v>93.635398554324397</v>
      </c>
      <c r="AJ6620">
        <v>91.9586388050312</v>
      </c>
      <c r="AK6620">
        <v>17.488220818547099</v>
      </c>
      <c r="AL6620">
        <v>82.166877742137601</v>
      </c>
      <c r="AM6620">
        <v>87.895387179682601</v>
      </c>
      <c r="AN6620">
        <v>1.0000000471300601</v>
      </c>
    </row>
    <row r="6621" spans="1:40" x14ac:dyDescent="0.25">
      <c r="A6621" t="str">
        <f>"20190312164633723"</f>
        <v>20190312164633723</v>
      </c>
      <c r="B6621" t="str">
        <f>"1552380393717868"</f>
        <v>1552380393717868</v>
      </c>
      <c r="C6621" t="s">
        <v>40</v>
      </c>
      <c r="D6621">
        <v>4.7291030000000003</v>
      </c>
      <c r="E6621">
        <v>0.47785559999999999</v>
      </c>
      <c r="F6621" t="s">
        <v>42</v>
      </c>
      <c r="G6621">
        <v>-188.1772</v>
      </c>
      <c r="H6621" s="1">
        <v>-6.4279049999999996E-7</v>
      </c>
      <c r="I6621">
        <v>50.111759999999997</v>
      </c>
      <c r="J6621">
        <v>-187.5805</v>
      </c>
      <c r="K6621">
        <v>1.1088769999999999</v>
      </c>
      <c r="L6621">
        <v>32.595279999999903</v>
      </c>
      <c r="M6621">
        <v>-6.2998929999999996E-4</v>
      </c>
      <c r="N6621">
        <v>0</v>
      </c>
      <c r="O6621">
        <v>0.99990730000000005</v>
      </c>
      <c r="P6621">
        <v>3.5632530000000003E-2</v>
      </c>
      <c r="Q6621">
        <v>0.1226743</v>
      </c>
      <c r="R6621">
        <v>0.99180710000000005</v>
      </c>
      <c r="S6621">
        <v>-0.1022491</v>
      </c>
      <c r="T6621">
        <v>-0.18996489999999999</v>
      </c>
      <c r="U6621">
        <v>3.0520320000000001</v>
      </c>
      <c r="V6621">
        <v>3.6273449999999999E-2</v>
      </c>
      <c r="W6621">
        <v>0.1361532</v>
      </c>
      <c r="X6621">
        <v>0.99002349999999995</v>
      </c>
      <c r="Y6621">
        <v>-3.2788909999999998E-2</v>
      </c>
      <c r="Z6621">
        <v>-6.2087820000000002E-2</v>
      </c>
      <c r="AA6621">
        <v>0.99753199999999997</v>
      </c>
      <c r="AB6621">
        <v>30</v>
      </c>
      <c r="AC6621">
        <v>-0.59669999999999801</v>
      </c>
      <c r="AD6621">
        <v>-1.1088776427904901</v>
      </c>
      <c r="AE6621">
        <v>17.516479999999898</v>
      </c>
      <c r="AF6621">
        <v>-0.58332868533677296</v>
      </c>
      <c r="AG6621">
        <v>-1.1088776427904901</v>
      </c>
      <c r="AH6621">
        <v>17.447014595786801</v>
      </c>
      <c r="AI6621">
        <v>93.6346234990732</v>
      </c>
      <c r="AJ6621">
        <v>91.914930842784003</v>
      </c>
      <c r="AK6621">
        <v>17.491946726634399</v>
      </c>
      <c r="AL6621">
        <v>82.174690815042595</v>
      </c>
      <c r="AM6621">
        <v>87.901679753522501</v>
      </c>
      <c r="AN6621">
        <v>0.99999999379869597</v>
      </c>
    </row>
    <row r="6622" spans="1:40" x14ac:dyDescent="0.25">
      <c r="A6622" t="str">
        <f>"20190312164633747"</f>
        <v>20190312164633747</v>
      </c>
      <c r="B6622" t="str">
        <f>"1552380393738363"</f>
        <v>1552380393738363</v>
      </c>
      <c r="C6622" t="s">
        <v>40</v>
      </c>
      <c r="D6622">
        <v>4.6983980000000001</v>
      </c>
      <c r="E6622">
        <v>0.47842509999999999</v>
      </c>
      <c r="F6622" t="s">
        <v>42</v>
      </c>
      <c r="G6622">
        <v>-188.1558</v>
      </c>
      <c r="H6622" s="1">
        <v>-6.9355909999999999E-7</v>
      </c>
      <c r="I6622">
        <v>50.244210000000002</v>
      </c>
      <c r="J6622">
        <v>-187.58070000000001</v>
      </c>
      <c r="K6622">
        <v>1.1088769999999999</v>
      </c>
      <c r="L6622">
        <v>32.901150000000001</v>
      </c>
      <c r="M6622">
        <v>-5.9084169999999996E-4</v>
      </c>
      <c r="N6622">
        <v>0</v>
      </c>
      <c r="O6622">
        <v>0.99990730000000005</v>
      </c>
      <c r="P6622">
        <v>3.5622580000000001E-2</v>
      </c>
      <c r="Q6622">
        <v>0.1226396</v>
      </c>
      <c r="R6622">
        <v>0.99181180000000002</v>
      </c>
      <c r="S6622">
        <v>-9.9487300000000001E-2</v>
      </c>
      <c r="T6622">
        <v>-0.19176029999999999</v>
      </c>
      <c r="U6622">
        <v>3.052063</v>
      </c>
      <c r="V6622">
        <v>3.6224600000000003E-2</v>
      </c>
      <c r="W6622">
        <v>0.13611679999999901</v>
      </c>
      <c r="X6622">
        <v>0.99003030000000003</v>
      </c>
      <c r="Y6622">
        <v>-3.1924800000000003E-2</v>
      </c>
      <c r="Z6622">
        <v>-6.2673499999999993E-2</v>
      </c>
      <c r="AA6622">
        <v>0.99752339999999995</v>
      </c>
      <c r="AB6622">
        <v>30</v>
      </c>
      <c r="AC6622">
        <v>-0.57509999999999195</v>
      </c>
      <c r="AD6622">
        <v>-1.1088776935591</v>
      </c>
      <c r="AE6622">
        <v>17.343059999999902</v>
      </c>
      <c r="AF6622">
        <v>-0.56255472443318799</v>
      </c>
      <c r="AG6622">
        <v>-1.1088776935591</v>
      </c>
      <c r="AH6622">
        <v>17.272862091111499</v>
      </c>
      <c r="AI6622">
        <v>93.671274273304405</v>
      </c>
      <c r="AJ6622">
        <v>91.8653898901171</v>
      </c>
      <c r="AK6622">
        <v>17.3175587879993</v>
      </c>
      <c r="AL6622">
        <v>82.176796027944803</v>
      </c>
      <c r="AM6622">
        <v>87.904517452027093</v>
      </c>
      <c r="AN6622">
        <v>0.99999999990274402</v>
      </c>
    </row>
    <row r="6623" spans="1:40" x14ac:dyDescent="0.25">
      <c r="A6623" t="str">
        <f>"20190312164633769"</f>
        <v>20190312164633769</v>
      </c>
      <c r="B6623" t="str">
        <f>"1552380393757886"</f>
        <v>1552380393757886</v>
      </c>
      <c r="C6623" t="s">
        <v>40</v>
      </c>
      <c r="D6623">
        <v>4.6985739999999998</v>
      </c>
      <c r="E6623">
        <v>0.47842770000000001</v>
      </c>
      <c r="F6623" t="s">
        <v>42</v>
      </c>
      <c r="G6623">
        <v>-188.1183</v>
      </c>
      <c r="H6623" s="1">
        <v>-6.5410609999999895E-7</v>
      </c>
      <c r="I6623">
        <v>50.098959999999998</v>
      </c>
      <c r="J6623">
        <v>-187.58080000000001</v>
      </c>
      <c r="K6623">
        <v>1.1088769999999999</v>
      </c>
      <c r="L6623">
        <v>33.199979999999996</v>
      </c>
      <c r="M6623">
        <v>-5.5303030000000003E-4</v>
      </c>
      <c r="N6623">
        <v>0</v>
      </c>
      <c r="O6623">
        <v>0.99990730000000005</v>
      </c>
      <c r="P6623">
        <v>3.5152410000000002E-2</v>
      </c>
      <c r="Q6623">
        <v>0.12245399999999999</v>
      </c>
      <c r="R6623">
        <v>0.99185140000000005</v>
      </c>
      <c r="S6623">
        <v>-9.5428470000000001E-2</v>
      </c>
      <c r="T6623">
        <v>-0.19681999999999999</v>
      </c>
      <c r="U6623">
        <v>3.052521</v>
      </c>
      <c r="V6623">
        <v>3.5716970000000001E-2</v>
      </c>
      <c r="W6623">
        <v>0.13593069999999999</v>
      </c>
      <c r="X6623">
        <v>0.99007429999999996</v>
      </c>
      <c r="Y6623">
        <v>-3.0629420000000001E-2</v>
      </c>
      <c r="Z6623">
        <v>-6.4313499999999996E-2</v>
      </c>
      <c r="AA6623">
        <v>0.9974596</v>
      </c>
      <c r="AB6623">
        <v>30</v>
      </c>
      <c r="AC6623">
        <v>-0.53749999999999398</v>
      </c>
      <c r="AD6623">
        <v>-1.1088776541061001</v>
      </c>
      <c r="AE6623">
        <v>16.898979999999899</v>
      </c>
      <c r="AF6623">
        <v>-0.52589134977149099</v>
      </c>
      <c r="AG6623">
        <v>-1.1088776541061001</v>
      </c>
      <c r="AH6623">
        <v>16.826895934558099</v>
      </c>
      <c r="AI6623">
        <v>93.768455416607395</v>
      </c>
      <c r="AJ6623">
        <v>91.790083590338199</v>
      </c>
      <c r="AK6623">
        <v>16.871591452971799</v>
      </c>
      <c r="AL6623">
        <v>82.187558715408997</v>
      </c>
      <c r="AM6623">
        <v>87.933948409029796</v>
      </c>
      <c r="AN6623">
        <v>0.99999998833448001</v>
      </c>
    </row>
    <row r="6624" spans="1:40" x14ac:dyDescent="0.25">
      <c r="A6624" t="str">
        <f>"20190312164633792"</f>
        <v>20190312164633792</v>
      </c>
      <c r="B6624" t="str">
        <f>"1552380393788035"</f>
        <v>1552380393788035</v>
      </c>
      <c r="C6624" t="s">
        <v>40</v>
      </c>
      <c r="D6624">
        <v>4.8982039999999998</v>
      </c>
      <c r="E6624">
        <v>0.47876679999999999</v>
      </c>
      <c r="F6624" t="s">
        <v>42</v>
      </c>
      <c r="G6624">
        <v>-188.1139</v>
      </c>
      <c r="H6624" s="1">
        <v>-6.2174390000000002E-7</v>
      </c>
      <c r="I6624">
        <v>50.000419999999998</v>
      </c>
      <c r="J6624">
        <v>-187.58099999999999</v>
      </c>
      <c r="K6624">
        <v>1.1088709999999999</v>
      </c>
      <c r="L6624">
        <v>33.52026</v>
      </c>
      <c r="M6624">
        <v>-5.1232600000000001E-4</v>
      </c>
      <c r="N6624">
        <v>0</v>
      </c>
      <c r="O6624">
        <v>0.9999074</v>
      </c>
      <c r="P6624">
        <v>3.4873120000000001E-2</v>
      </c>
      <c r="Q6624">
        <v>0.12232800000000001</v>
      </c>
      <c r="R6624">
        <v>0.9918768</v>
      </c>
      <c r="S6624">
        <v>-9.6878049999999993E-2</v>
      </c>
      <c r="T6624">
        <v>-0.2015055</v>
      </c>
      <c r="U6624">
        <v>3.0529790000000001</v>
      </c>
      <c r="V6624">
        <v>3.5397270000000002E-2</v>
      </c>
      <c r="W6624">
        <v>0.13580320000000001</v>
      </c>
      <c r="X6624">
        <v>0.99010330000000002</v>
      </c>
      <c r="Y6624">
        <v>-3.1135429999999999E-2</v>
      </c>
      <c r="Z6624">
        <v>-6.5827179999999999E-2</v>
      </c>
      <c r="AA6624">
        <v>0.99734509999999998</v>
      </c>
      <c r="AB6624">
        <v>30</v>
      </c>
      <c r="AC6624">
        <v>-0.53290000000001203</v>
      </c>
      <c r="AD6624">
        <v>-1.1088716217439001</v>
      </c>
      <c r="AE6624">
        <v>16.480159999999898</v>
      </c>
      <c r="AF6624">
        <v>-0.52209472198946605</v>
      </c>
      <c r="AG6624">
        <v>-1.1088716217439001</v>
      </c>
      <c r="AH6624">
        <v>16.4062324554525</v>
      </c>
      <c r="AI6624">
        <v>93.864701046324896</v>
      </c>
      <c r="AJ6624">
        <v>91.822705631954094</v>
      </c>
      <c r="AK6624">
        <v>16.451949506200801</v>
      </c>
      <c r="AL6624">
        <v>82.1949324741895</v>
      </c>
      <c r="AM6624">
        <v>87.952485596350897</v>
      </c>
      <c r="AN6624">
        <v>1.0000000102622899</v>
      </c>
    </row>
    <row r="6625" spans="1:40" x14ac:dyDescent="0.25">
      <c r="A6625" t="str">
        <f>"20190312164633816"</f>
        <v>20190312164633816</v>
      </c>
      <c r="B6625" t="str">
        <f>"1552380393807555"</f>
        <v>1552380393807555</v>
      </c>
      <c r="C6625" t="s">
        <v>40</v>
      </c>
      <c r="D6625">
        <v>4.6492329999999997</v>
      </c>
      <c r="E6625">
        <v>0.47856300000000002</v>
      </c>
      <c r="F6625" t="s">
        <v>42</v>
      </c>
      <c r="G6625">
        <v>-188.0898</v>
      </c>
      <c r="H6625" s="1">
        <v>-6.0647759999999999E-7</v>
      </c>
      <c r="I6625">
        <v>49.936669999999999</v>
      </c>
      <c r="J6625">
        <v>-187.58109999999999</v>
      </c>
      <c r="K6625">
        <v>1.1088800000000001</v>
      </c>
      <c r="L6625">
        <v>33.831850000000003</v>
      </c>
      <c r="M6625">
        <v>-4.7271720000000001E-4</v>
      </c>
      <c r="N6625">
        <v>0</v>
      </c>
      <c r="O6625">
        <v>0.9999074</v>
      </c>
      <c r="P6625">
        <v>3.4278540000000003E-2</v>
      </c>
      <c r="Q6625">
        <v>0.1226703</v>
      </c>
      <c r="R6625">
        <v>0.9918553</v>
      </c>
      <c r="S6625">
        <v>-9.4635010000000006E-2</v>
      </c>
      <c r="T6625">
        <v>-0.2062428</v>
      </c>
      <c r="U6625">
        <v>3.0533450000000002</v>
      </c>
      <c r="V6625">
        <v>3.4763410000000002E-2</v>
      </c>
      <c r="W6625">
        <v>0.13614329999999999</v>
      </c>
      <c r="X6625">
        <v>0.99007900000000004</v>
      </c>
      <c r="Y6625">
        <v>-3.0436100000000001E-2</v>
      </c>
      <c r="Z6625">
        <v>-6.7361229999999994E-2</v>
      </c>
      <c r="AA6625">
        <v>0.99726429999999999</v>
      </c>
      <c r="AB6625">
        <v>30</v>
      </c>
      <c r="AC6625">
        <v>-0.50870000000000404</v>
      </c>
      <c r="AD6625">
        <v>-1.10888060647759</v>
      </c>
      <c r="AE6625">
        <v>16.104819999999901</v>
      </c>
      <c r="AF6625">
        <v>-0.49872418489046599</v>
      </c>
      <c r="AG6625">
        <v>-1.10888060647759</v>
      </c>
      <c r="AH6625">
        <v>16.029142395826501</v>
      </c>
      <c r="AI6625">
        <v>93.955453812784299</v>
      </c>
      <c r="AJ6625">
        <v>91.782102555465997</v>
      </c>
      <c r="AK6625">
        <v>16.075190448567</v>
      </c>
      <c r="AL6625">
        <v>82.175263104807101</v>
      </c>
      <c r="AM6625">
        <v>87.989070811157106</v>
      </c>
      <c r="AN6625">
        <v>0.99999995952535803</v>
      </c>
    </row>
    <row r="6626" spans="1:40" x14ac:dyDescent="0.25">
      <c r="A6626" t="str">
        <f>"20190312164633836"</f>
        <v>20190312164633836</v>
      </c>
      <c r="B6626" t="str">
        <f>"1552380393828052"</f>
        <v>1552380393828052</v>
      </c>
      <c r="C6626" t="s">
        <v>40</v>
      </c>
      <c r="D6626">
        <v>4.6926990000000002</v>
      </c>
      <c r="E6626">
        <v>0.47894120000000001</v>
      </c>
      <c r="F6626" t="s">
        <v>42</v>
      </c>
      <c r="G6626">
        <v>-188.11109999999999</v>
      </c>
      <c r="H6626" s="1">
        <v>-6.9549240000000001E-7</v>
      </c>
      <c r="I6626">
        <v>50.214889999999997</v>
      </c>
      <c r="J6626">
        <v>-187.5812</v>
      </c>
      <c r="K6626">
        <v>1.1088830000000001</v>
      </c>
      <c r="L6626">
        <v>34.10962</v>
      </c>
      <c r="M6626">
        <v>-4.372836E-4</v>
      </c>
      <c r="N6626">
        <v>0</v>
      </c>
      <c r="O6626">
        <v>0.9999074</v>
      </c>
      <c r="P6626">
        <v>3.4434640000000002E-2</v>
      </c>
      <c r="Q6626">
        <v>0.12249889999999999</v>
      </c>
      <c r="R6626">
        <v>0.99187110000000001</v>
      </c>
      <c r="S6626">
        <v>-9.8785399999999995E-2</v>
      </c>
      <c r="T6626">
        <v>-0.20668320000000001</v>
      </c>
      <c r="U6626">
        <v>3.0536189999999999</v>
      </c>
      <c r="V6626">
        <v>3.48843E-2</v>
      </c>
      <c r="W6626">
        <v>0.13597089999999901</v>
      </c>
      <c r="X6626">
        <v>0.99009849999999999</v>
      </c>
      <c r="Y6626">
        <v>-3.182252E-2</v>
      </c>
      <c r="Z6626">
        <v>-6.7495459999999993E-2</v>
      </c>
      <c r="AA6626">
        <v>0.99721190000000004</v>
      </c>
      <c r="AB6626">
        <v>30</v>
      </c>
      <c r="AC6626">
        <v>-0.52989999999999704</v>
      </c>
      <c r="AD6626">
        <v>-1.1088836954924</v>
      </c>
      <c r="AE6626">
        <v>16.105270000000001</v>
      </c>
      <c r="AF6626">
        <v>-0.520392407749247</v>
      </c>
      <c r="AG6626">
        <v>-1.1088836954924</v>
      </c>
      <c r="AH6626">
        <v>16.029592023073199</v>
      </c>
      <c r="AI6626">
        <v>93.955185055496699</v>
      </c>
      <c r="AJ6626">
        <v>91.859424765458698</v>
      </c>
      <c r="AK6626">
        <v>16.0763258157561</v>
      </c>
      <c r="AL6626">
        <v>82.185234087912605</v>
      </c>
      <c r="AM6626">
        <v>87.982123272263195</v>
      </c>
      <c r="AN6626">
        <v>1.0000000198677701</v>
      </c>
    </row>
    <row r="6627" spans="1:40" x14ac:dyDescent="0.25">
      <c r="A6627" t="str">
        <f>"20190312164633859"</f>
        <v>20190312164633859</v>
      </c>
      <c r="B6627" t="str">
        <f>"1552380393847571"</f>
        <v>1552380393847571</v>
      </c>
      <c r="C6627" t="s">
        <v>40</v>
      </c>
      <c r="D6627">
        <v>4.6803189999999999</v>
      </c>
      <c r="E6627">
        <v>0.47928520000000002</v>
      </c>
      <c r="F6627" t="s">
        <v>42</v>
      </c>
      <c r="G6627">
        <v>-188.089</v>
      </c>
      <c r="H6627" s="1">
        <v>-7.2237900000000001E-7</v>
      </c>
      <c r="I6627">
        <v>50.276609999999998</v>
      </c>
      <c r="J6627">
        <v>-187.5813</v>
      </c>
      <c r="K6627">
        <v>1.108884</v>
      </c>
      <c r="L6627">
        <v>34.412689999999998</v>
      </c>
      <c r="M6627">
        <v>-3.9850299999999998E-4</v>
      </c>
      <c r="N6627">
        <v>0</v>
      </c>
      <c r="O6627">
        <v>0.99990749999999995</v>
      </c>
      <c r="P6627">
        <v>3.3864940000000003E-2</v>
      </c>
      <c r="Q6627">
        <v>0.121632</v>
      </c>
      <c r="R6627">
        <v>0.99199740000000003</v>
      </c>
      <c r="S6627">
        <v>-9.5916749999999995E-2</v>
      </c>
      <c r="T6627">
        <v>-0.20945630000000001</v>
      </c>
      <c r="U6627">
        <v>3.0537719999999999</v>
      </c>
      <c r="V6627">
        <v>3.4276029999999999E-2</v>
      </c>
      <c r="W6627">
        <v>0.13510440000000001</v>
      </c>
      <c r="X6627">
        <v>0.99023830000000002</v>
      </c>
      <c r="Y6627">
        <v>-3.092193E-2</v>
      </c>
      <c r="Z6627">
        <v>-6.8395449999999997E-2</v>
      </c>
      <c r="AA6627">
        <v>0.99717900000000004</v>
      </c>
      <c r="AB6627">
        <v>30</v>
      </c>
      <c r="AC6627">
        <v>-0.50770000000002802</v>
      </c>
      <c r="AD6627">
        <v>-1.1088847223789999</v>
      </c>
      <c r="AE6627">
        <v>15.863919999999901</v>
      </c>
      <c r="AF6627">
        <v>-0.498942227692452</v>
      </c>
      <c r="AG6627">
        <v>-1.1088847223789999</v>
      </c>
      <c r="AH6627">
        <v>15.787064702595799</v>
      </c>
      <c r="AI6627">
        <v>94.015862789277506</v>
      </c>
      <c r="AJ6627">
        <v>91.810201707880495</v>
      </c>
      <c r="AK6627">
        <v>15.8338239411093</v>
      </c>
      <c r="AL6627">
        <v>82.235342873760302</v>
      </c>
      <c r="AM6627">
        <v>88.017559914150297</v>
      </c>
      <c r="AN6627">
        <v>0.99999996795940405</v>
      </c>
    </row>
    <row r="6628" spans="1:40" x14ac:dyDescent="0.25">
      <c r="A6628" t="str">
        <f>"20190312164633880"</f>
        <v>20190312164633880</v>
      </c>
      <c r="B6628" t="str">
        <f>"1552380393877827"</f>
        <v>1552380393877827</v>
      </c>
      <c r="C6628" t="s">
        <v>40</v>
      </c>
      <c r="D6628">
        <v>4.6579759999999997</v>
      </c>
      <c r="E6628">
        <v>0.47929670000000002</v>
      </c>
      <c r="F6628" t="s">
        <v>42</v>
      </c>
      <c r="G6628">
        <v>-188.06970000000001</v>
      </c>
      <c r="H6628" s="1">
        <v>-6.9962149999999905E-7</v>
      </c>
      <c r="I6628">
        <v>50.194690000000001</v>
      </c>
      <c r="J6628">
        <v>-187.5813</v>
      </c>
      <c r="K6628">
        <v>1.1088789999999999</v>
      </c>
      <c r="L6628">
        <v>34.69876</v>
      </c>
      <c r="M6628">
        <v>-3.6199650000000002E-4</v>
      </c>
      <c r="N6628">
        <v>0</v>
      </c>
      <c r="O6628">
        <v>0.99990749999999995</v>
      </c>
      <c r="P6628">
        <v>3.3692390000000003E-2</v>
      </c>
      <c r="Q6628">
        <v>0.1211228</v>
      </c>
      <c r="R6628">
        <v>0.99206550000000004</v>
      </c>
      <c r="S6628">
        <v>-9.4512940000000004E-2</v>
      </c>
      <c r="T6628">
        <v>-0.2145638</v>
      </c>
      <c r="U6628">
        <v>3.053741</v>
      </c>
      <c r="V6628">
        <v>3.4067220000000002E-2</v>
      </c>
      <c r="W6628">
        <v>0.1345951</v>
      </c>
      <c r="X6628">
        <v>0.9903149</v>
      </c>
      <c r="Y6628">
        <v>-3.0497199999999999E-2</v>
      </c>
      <c r="Z6628">
        <v>-7.0056809999999997E-2</v>
      </c>
      <c r="AA6628">
        <v>0.99707670000000004</v>
      </c>
      <c r="AB6628">
        <v>30</v>
      </c>
      <c r="AC6628">
        <v>-0.48840000000001199</v>
      </c>
      <c r="AD6628">
        <v>-1.1088796996215</v>
      </c>
      <c r="AE6628">
        <v>15.49593</v>
      </c>
      <c r="AF6628">
        <v>-0.480332754020528</v>
      </c>
      <c r="AG6628">
        <v>-1.1088796996215</v>
      </c>
      <c r="AH6628">
        <v>15.4172363343818</v>
      </c>
      <c r="AI6628">
        <v>94.111907766469997</v>
      </c>
      <c r="AJ6628">
        <v>91.784505312274305</v>
      </c>
      <c r="AK6628">
        <v>15.464524238818299</v>
      </c>
      <c r="AL6628">
        <v>82.264792925502903</v>
      </c>
      <c r="AM6628">
        <v>88.029779701513604</v>
      </c>
      <c r="AN6628">
        <v>1.00000000879227</v>
      </c>
    </row>
    <row r="6629" spans="1:40" x14ac:dyDescent="0.25">
      <c r="A6629" t="str">
        <f>"20190312164633903"</f>
        <v>20190312164633903</v>
      </c>
      <c r="B6629" t="str">
        <f>"1552380393898323"</f>
        <v>1552380393898323</v>
      </c>
      <c r="C6629" t="s">
        <v>40</v>
      </c>
      <c r="D6629">
        <v>4.5885550000000004</v>
      </c>
      <c r="E6629">
        <v>0.47944019999999998</v>
      </c>
      <c r="F6629" t="s">
        <v>42</v>
      </c>
      <c r="G6629">
        <v>-188.07239999999999</v>
      </c>
      <c r="H6629" s="1">
        <v>-7.8770439999999997E-7</v>
      </c>
      <c r="I6629">
        <v>50.455590000000001</v>
      </c>
      <c r="J6629">
        <v>-187.5814</v>
      </c>
      <c r="K6629">
        <v>1.1088789999999999</v>
      </c>
      <c r="L6629">
        <v>34.993099999999998</v>
      </c>
      <c r="M6629">
        <v>-3.2450680000000001E-4</v>
      </c>
      <c r="N6629">
        <v>0</v>
      </c>
      <c r="O6629">
        <v>0.99990760000000001</v>
      </c>
      <c r="P6629">
        <v>3.3504529999999998E-2</v>
      </c>
      <c r="Q6629">
        <v>0.120994</v>
      </c>
      <c r="R6629">
        <v>0.99208770000000002</v>
      </c>
      <c r="S6629">
        <v>-9.5153810000000005E-2</v>
      </c>
      <c r="T6629">
        <v>-0.2148863</v>
      </c>
      <c r="U6629">
        <v>3.0534669999999999</v>
      </c>
      <c r="V6629">
        <v>3.384214E-2</v>
      </c>
      <c r="W6629">
        <v>0.13446520000000001</v>
      </c>
      <c r="X6629">
        <v>0.9903402</v>
      </c>
      <c r="Y6629">
        <v>-3.0746280000000001E-2</v>
      </c>
      <c r="Z6629">
        <v>-7.0167380000000001E-2</v>
      </c>
      <c r="AA6629">
        <v>0.99706130000000004</v>
      </c>
      <c r="AB6629">
        <v>30</v>
      </c>
      <c r="AC6629">
        <v>-0.490999999999985</v>
      </c>
      <c r="AD6629">
        <v>-1.1088797877043901</v>
      </c>
      <c r="AE6629">
        <v>15.462490000000001</v>
      </c>
      <c r="AF6629">
        <v>-0.48349774043743299</v>
      </c>
      <c r="AG6629">
        <v>-1.1088797877043901</v>
      </c>
      <c r="AH6629">
        <v>15.383611490647599</v>
      </c>
      <c r="AI6629">
        <v>94.120829641354604</v>
      </c>
      <c r="AJ6629">
        <v>91.800179613963607</v>
      </c>
      <c r="AK6629">
        <v>15.4311012874575</v>
      </c>
      <c r="AL6629">
        <v>82.272303438467105</v>
      </c>
      <c r="AM6629">
        <v>88.042836628222602</v>
      </c>
      <c r="AN6629">
        <v>0.99999994609342802</v>
      </c>
    </row>
    <row r="6630" spans="1:40" x14ac:dyDescent="0.25">
      <c r="A6630" t="str">
        <f>"20190312164633927"</f>
        <v>20190312164633927</v>
      </c>
      <c r="B6630" t="str">
        <f>"1552380393917843"</f>
        <v>1552380393917843</v>
      </c>
      <c r="C6630" t="s">
        <v>40</v>
      </c>
      <c r="D6630">
        <v>4.4373809999999896</v>
      </c>
      <c r="E6630">
        <v>0.4795065</v>
      </c>
      <c r="F6630" t="s">
        <v>42</v>
      </c>
      <c r="G6630">
        <v>-188.07329999999999</v>
      </c>
      <c r="H6630" s="1">
        <v>-9.2246509999999999E-7</v>
      </c>
      <c r="I6630">
        <v>50.852379999999997</v>
      </c>
      <c r="J6630">
        <v>-187.58150000000001</v>
      </c>
      <c r="K6630">
        <v>1.1088789999999999</v>
      </c>
      <c r="L6630">
        <v>35.320650000000001</v>
      </c>
      <c r="M6630">
        <v>-2.830598E-4</v>
      </c>
      <c r="N6630">
        <v>0</v>
      </c>
      <c r="O6630">
        <v>0.99990760000000001</v>
      </c>
      <c r="P6630">
        <v>3.3281070000000003E-2</v>
      </c>
      <c r="Q6630">
        <v>0.1208014</v>
      </c>
      <c r="R6630">
        <v>0.99211870000000002</v>
      </c>
      <c r="S6630">
        <v>-9.4711299999999998E-2</v>
      </c>
      <c r="T6630">
        <v>-0.213477</v>
      </c>
      <c r="U6630">
        <v>3.0531619999999999</v>
      </c>
      <c r="V6630">
        <v>3.3577580000000003E-2</v>
      </c>
      <c r="W6630">
        <v>0.134271</v>
      </c>
      <c r="X6630">
        <v>0.99037560000000002</v>
      </c>
      <c r="Y6630">
        <v>-3.0647420000000002E-2</v>
      </c>
      <c r="Z6630">
        <v>-6.9716630000000002E-2</v>
      </c>
      <c r="AA6630">
        <v>0.99709590000000003</v>
      </c>
      <c r="AB6630">
        <v>30</v>
      </c>
      <c r="AC6630">
        <v>-0.49179999999998297</v>
      </c>
      <c r="AD6630">
        <v>-1.1088799224651</v>
      </c>
      <c r="AE6630">
        <v>15.5317299999999</v>
      </c>
      <c r="AF6630">
        <v>-0.48493384987190702</v>
      </c>
      <c r="AG6630">
        <v>-1.1088799224651</v>
      </c>
      <c r="AH6630">
        <v>15.453179962320499</v>
      </c>
      <c r="AI6630">
        <v>94.102348336856295</v>
      </c>
      <c r="AJ6630">
        <v>91.797400147336703</v>
      </c>
      <c r="AK6630">
        <v>15.500501490889301</v>
      </c>
      <c r="AL6630">
        <v>82.283532464720096</v>
      </c>
      <c r="AM6630">
        <v>88.058194296460201</v>
      </c>
      <c r="AN6630">
        <v>0.99999999219750801</v>
      </c>
    </row>
    <row r="6631" spans="1:40" x14ac:dyDescent="0.25">
      <c r="A6631" t="str">
        <f>"20190312164633948"</f>
        <v>20190312164633948</v>
      </c>
      <c r="B6631" t="str">
        <f>"1552380393938344"</f>
        <v>1552380393938344</v>
      </c>
      <c r="C6631" t="s">
        <v>40</v>
      </c>
      <c r="D6631">
        <v>4.3990369999999999</v>
      </c>
      <c r="E6631">
        <v>0.47965289999999999</v>
      </c>
      <c r="F6631" t="s">
        <v>42</v>
      </c>
      <c r="G6631">
        <v>-188.06780000000001</v>
      </c>
      <c r="H6631" s="1">
        <v>-9.5950509999999995E-7</v>
      </c>
      <c r="I6631">
        <v>50.956870000000002</v>
      </c>
      <c r="J6631">
        <v>-187.58150000000001</v>
      </c>
      <c r="K6631">
        <v>1.108873</v>
      </c>
      <c r="L6631">
        <v>35.603580000000001</v>
      </c>
      <c r="M6631">
        <v>-2.4750059999999999E-4</v>
      </c>
      <c r="N6631">
        <v>0</v>
      </c>
      <c r="O6631">
        <v>0.99990760000000001</v>
      </c>
      <c r="P6631">
        <v>3.2881859999999999E-2</v>
      </c>
      <c r="Q6631">
        <v>0.12062489999999999</v>
      </c>
      <c r="R6631">
        <v>0.99215339999999996</v>
      </c>
      <c r="S6631">
        <v>-9.4970700000000005E-2</v>
      </c>
      <c r="T6631">
        <v>-0.21653739999999999</v>
      </c>
      <c r="U6631">
        <v>3.053375</v>
      </c>
      <c r="V6631">
        <v>3.3143010000000001E-2</v>
      </c>
      <c r="W6631">
        <v>0.13409380000000001</v>
      </c>
      <c r="X6631">
        <v>0.99041429999999997</v>
      </c>
      <c r="Y6631">
        <v>-3.0763269999999999E-2</v>
      </c>
      <c r="Z6631">
        <v>-7.0705970000000007E-2</v>
      </c>
      <c r="AA6631">
        <v>0.99702270000000004</v>
      </c>
      <c r="AB6631">
        <v>30</v>
      </c>
      <c r="AC6631">
        <v>-0.48630000000000001</v>
      </c>
      <c r="AD6631">
        <v>-1.1088739595051</v>
      </c>
      <c r="AE6631">
        <v>15.353289999999999</v>
      </c>
      <c r="AF6631">
        <v>-0.47999838574047798</v>
      </c>
      <c r="AG6631">
        <v>-1.1088739595051</v>
      </c>
      <c r="AH6631">
        <v>15.2738171400929</v>
      </c>
      <c r="AI6631">
        <v>94.150327354739403</v>
      </c>
      <c r="AJ6631">
        <v>91.799997544605404</v>
      </c>
      <c r="AK6631">
        <v>15.3215368007709</v>
      </c>
      <c r="AL6631">
        <v>82.293778347225697</v>
      </c>
      <c r="AM6631">
        <v>88.083381634256995</v>
      </c>
      <c r="AN6631">
        <v>1.0000000459773899</v>
      </c>
    </row>
    <row r="6632" spans="1:40" x14ac:dyDescent="0.25">
      <c r="A6632" t="str">
        <f>"20190312164633970"</f>
        <v>20190312164633970</v>
      </c>
      <c r="B6632" t="str">
        <f>"1552380393967620"</f>
        <v>1552380393967620</v>
      </c>
      <c r="C6632" t="s">
        <v>40</v>
      </c>
      <c r="D6632">
        <v>4.5342650000000004</v>
      </c>
      <c r="E6632">
        <v>0.47963240000000001</v>
      </c>
      <c r="F6632" t="s">
        <v>42</v>
      </c>
      <c r="G6632">
        <v>-188.0633</v>
      </c>
      <c r="H6632" s="1">
        <v>-1.0237100000000001E-6</v>
      </c>
      <c r="I6632">
        <v>51.142049999999998</v>
      </c>
      <c r="J6632">
        <v>-187.58150000000001</v>
      </c>
      <c r="K6632">
        <v>1.108876</v>
      </c>
      <c r="L6632">
        <v>35.901000000000003</v>
      </c>
      <c r="M6632">
        <v>-2.1312269999999999E-4</v>
      </c>
      <c r="N6632">
        <v>0</v>
      </c>
      <c r="O6632">
        <v>0.99990769999999995</v>
      </c>
      <c r="P6632">
        <v>3.3035960000000003E-2</v>
      </c>
      <c r="Q6632">
        <v>0.1207589</v>
      </c>
      <c r="R6632">
        <v>0.99213200000000001</v>
      </c>
      <c r="S6632">
        <v>-9.4680790000000001E-2</v>
      </c>
      <c r="T6632">
        <v>-0.21789620000000001</v>
      </c>
      <c r="U6632">
        <v>3.0533450000000002</v>
      </c>
      <c r="V6632">
        <v>3.3262479999999997E-2</v>
      </c>
      <c r="W6632">
        <v>0.13422609999999999</v>
      </c>
      <c r="X6632">
        <v>0.9903923</v>
      </c>
      <c r="Y6632">
        <v>-3.070239E-2</v>
      </c>
      <c r="Z6632">
        <v>-7.1148310000000006E-2</v>
      </c>
      <c r="AA6632">
        <v>0.99699309999999997</v>
      </c>
      <c r="AB6632">
        <v>30</v>
      </c>
      <c r="AC6632">
        <v>-0.48179999999999201</v>
      </c>
      <c r="AD6632">
        <v>-1.1088770237100001</v>
      </c>
      <c r="AE6632">
        <v>15.24105</v>
      </c>
      <c r="AF6632">
        <v>-0.47603413884051898</v>
      </c>
      <c r="AG6632">
        <v>-1.1088770237100001</v>
      </c>
      <c r="AH6632">
        <v>15.160978917262</v>
      </c>
      <c r="AI6632">
        <v>94.181122863831504</v>
      </c>
      <c r="AJ6632">
        <v>91.798418779282002</v>
      </c>
      <c r="AK6632">
        <v>15.208928249048901</v>
      </c>
      <c r="AL6632">
        <v>82.286128398317302</v>
      </c>
      <c r="AM6632">
        <v>88.076435319931605</v>
      </c>
      <c r="AN6632">
        <v>0.99999997319812495</v>
      </c>
    </row>
    <row r="6633" spans="1:40" x14ac:dyDescent="0.25">
      <c r="A6633" t="str">
        <f>"20190312164633995"</f>
        <v>20190312164633995</v>
      </c>
      <c r="B6633" t="str">
        <f>"1552380393987645"</f>
        <v>1552380393987645</v>
      </c>
      <c r="C6633" t="s">
        <v>40</v>
      </c>
      <c r="D6633">
        <v>4.3281669999999997</v>
      </c>
      <c r="E6633">
        <v>0.4797881</v>
      </c>
      <c r="F6633" t="s">
        <v>42</v>
      </c>
      <c r="G6633">
        <v>-188.06880000000001</v>
      </c>
      <c r="H6633" s="1">
        <v>-1.2329680000000001E-6</v>
      </c>
      <c r="I6633">
        <v>51.708329999999997</v>
      </c>
      <c r="J6633">
        <v>-187.58150000000001</v>
      </c>
      <c r="K6633">
        <v>1.1088899999999999</v>
      </c>
      <c r="L6633">
        <v>36.226959999999998</v>
      </c>
      <c r="M6633">
        <v>-1.818654E-4</v>
      </c>
      <c r="N6633">
        <v>0</v>
      </c>
      <c r="O6633">
        <v>0.99990769999999995</v>
      </c>
      <c r="P6633">
        <v>3.2944880000000003E-2</v>
      </c>
      <c r="Q6633">
        <v>0.12122620000000001</v>
      </c>
      <c r="R6633">
        <v>0.99207809999999996</v>
      </c>
      <c r="S6633">
        <v>-9.4116210000000006E-2</v>
      </c>
      <c r="T6633">
        <v>-0.2141672</v>
      </c>
      <c r="U6633">
        <v>3.0530089999999999</v>
      </c>
      <c r="V6633">
        <v>3.313899E-2</v>
      </c>
      <c r="W6633">
        <v>0.13469100000000001</v>
      </c>
      <c r="X6633">
        <v>0.99033329999999997</v>
      </c>
      <c r="Y6633">
        <v>-3.055546E-2</v>
      </c>
      <c r="Z6633">
        <v>-6.9944720000000002E-2</v>
      </c>
      <c r="AA6633">
        <v>0.99708280000000005</v>
      </c>
      <c r="AB6633">
        <v>30</v>
      </c>
      <c r="AC6633">
        <v>-0.48730000000000401</v>
      </c>
      <c r="AD6633">
        <v>-1.1088912329680001</v>
      </c>
      <c r="AE6633">
        <v>15.481369999999901</v>
      </c>
      <c r="AF6633">
        <v>-0.48201368630919</v>
      </c>
      <c r="AG6633">
        <v>-1.1088912329680001</v>
      </c>
      <c r="AH6633">
        <v>15.402514096586099</v>
      </c>
      <c r="AI6633">
        <v>94.115849451935006</v>
      </c>
      <c r="AJ6633">
        <v>91.792456697666296</v>
      </c>
      <c r="AK6633">
        <v>15.4499002409684</v>
      </c>
      <c r="AL6633">
        <v>82.259247321689003</v>
      </c>
      <c r="AM6633">
        <v>88.083457306857596</v>
      </c>
      <c r="AN6633">
        <v>0.99999995161405297</v>
      </c>
    </row>
    <row r="6634" spans="1:40" x14ac:dyDescent="0.25">
      <c r="A6634" t="str">
        <f>"20190312164634016"</f>
        <v>20190312164634016</v>
      </c>
      <c r="B6634" t="str">
        <f>"1552380394008141"</f>
        <v>1552380394008141</v>
      </c>
      <c r="C6634" t="s">
        <v>40</v>
      </c>
      <c r="D6634">
        <v>4.3018269999999896</v>
      </c>
      <c r="E6634">
        <v>0.47998160000000001</v>
      </c>
      <c r="F6634" t="s">
        <v>42</v>
      </c>
      <c r="G6634">
        <v>-188.0635</v>
      </c>
      <c r="H6634" s="1">
        <v>-1.3754659999999999E-6</v>
      </c>
      <c r="I6634">
        <v>52.038290000000003</v>
      </c>
      <c r="J6634">
        <v>-187.58160000000001</v>
      </c>
      <c r="K6634">
        <v>1.108905</v>
      </c>
      <c r="L6634">
        <v>36.520449999999997</v>
      </c>
      <c r="M6634">
        <v>-1.5946870000000001E-4</v>
      </c>
      <c r="N6634">
        <v>0</v>
      </c>
      <c r="O6634">
        <v>0.99990769999999995</v>
      </c>
      <c r="P6634">
        <v>3.2648040000000003E-2</v>
      </c>
      <c r="Q6634">
        <v>0.1217168</v>
      </c>
      <c r="R6634">
        <v>0.99202780000000002</v>
      </c>
      <c r="S6634">
        <v>-9.3063350000000003E-2</v>
      </c>
      <c r="T6634">
        <v>-0.21413080000000001</v>
      </c>
      <c r="U6634">
        <v>3.053223</v>
      </c>
      <c r="V6634">
        <v>3.2818319999999998E-2</v>
      </c>
      <c r="W6634">
        <v>0.13517950000000001</v>
      </c>
      <c r="X6634">
        <v>0.99027750000000003</v>
      </c>
      <c r="Y6634">
        <v>-3.0232229999999999E-2</v>
      </c>
      <c r="Z6634">
        <v>-6.9928710000000005E-2</v>
      </c>
      <c r="AA6634">
        <v>0.99709380000000003</v>
      </c>
      <c r="AB6634">
        <v>30</v>
      </c>
      <c r="AC6634">
        <v>-0.481899999999996</v>
      </c>
      <c r="AD6634">
        <v>-1.108906375466</v>
      </c>
      <c r="AE6634">
        <v>15.51784</v>
      </c>
      <c r="AF6634">
        <v>-0.47699172245393201</v>
      </c>
      <c r="AG6634">
        <v>-1.108906375466</v>
      </c>
      <c r="AH6634">
        <v>15.4391518830361</v>
      </c>
      <c r="AI6634">
        <v>94.106222476444998</v>
      </c>
      <c r="AJ6634">
        <v>91.769586982077698</v>
      </c>
      <c r="AK6634">
        <v>15.4862715112546</v>
      </c>
      <c r="AL6634">
        <v>82.231000631046101</v>
      </c>
      <c r="AM6634">
        <v>88.101882263547793</v>
      </c>
      <c r="AN6634">
        <v>1.00000003317706</v>
      </c>
    </row>
    <row r="6635" spans="1:40" x14ac:dyDescent="0.25">
      <c r="A6635" t="str">
        <f>"20190312164634039"</f>
        <v>20190312164634039</v>
      </c>
      <c r="B6635" t="str">
        <f>"1552380394027661"</f>
        <v>1552380394027661</v>
      </c>
      <c r="C6635" t="s">
        <v>40</v>
      </c>
      <c r="D6635">
        <v>4.4244629999999896</v>
      </c>
      <c r="E6635">
        <v>0.47996680000000003</v>
      </c>
      <c r="F6635" t="s">
        <v>42</v>
      </c>
      <c r="G6635">
        <v>-188.06290000000001</v>
      </c>
      <c r="H6635" s="1">
        <v>-1.509895E-6</v>
      </c>
      <c r="I6635">
        <v>52.351410000000001</v>
      </c>
      <c r="J6635">
        <v>-187.58160000000001</v>
      </c>
      <c r="K6635">
        <v>1.10891299999999</v>
      </c>
      <c r="L6635">
        <v>36.817570000000003</v>
      </c>
      <c r="M6635">
        <v>-1.4369940000000001E-4</v>
      </c>
      <c r="N6635">
        <v>0</v>
      </c>
      <c r="O6635">
        <v>0.99990769999999995</v>
      </c>
      <c r="P6635">
        <v>3.2789699999999998E-2</v>
      </c>
      <c r="Q6635">
        <v>0.1223519</v>
      </c>
      <c r="R6635">
        <v>0.99194499999999997</v>
      </c>
      <c r="S6635">
        <v>-9.2834470000000002E-2</v>
      </c>
      <c r="T6635">
        <v>-0.21388090000000001</v>
      </c>
      <c r="U6635">
        <v>3.0534059999999998</v>
      </c>
      <c r="V6635">
        <v>3.2942529999999998E-2</v>
      </c>
      <c r="W6635">
        <v>0.13581260000000001</v>
      </c>
      <c r="X6635">
        <v>0.99018669999999998</v>
      </c>
      <c r="Y6635">
        <v>-3.0171679999999999E-2</v>
      </c>
      <c r="Z6635">
        <v>-6.9843489999999994E-2</v>
      </c>
      <c r="AA6635">
        <v>0.99710160000000003</v>
      </c>
      <c r="AB6635">
        <v>30</v>
      </c>
      <c r="AC6635">
        <v>-0.481300000000004</v>
      </c>
      <c r="AD6635">
        <v>-1.10891450989499</v>
      </c>
      <c r="AE6635">
        <v>15.5338399999999</v>
      </c>
      <c r="AF6635">
        <v>-0.47664090244572599</v>
      </c>
      <c r="AG6635">
        <v>-1.10891450989499</v>
      </c>
      <c r="AH6635">
        <v>15.4552230879438</v>
      </c>
      <c r="AI6635">
        <v>94.102004078721194</v>
      </c>
      <c r="AJ6635">
        <v>91.766448707523793</v>
      </c>
      <c r="AK6635">
        <v>15.5022836588114</v>
      </c>
      <c r="AL6635">
        <v>82.194388672525605</v>
      </c>
      <c r="AM6635">
        <v>88.094529010757995</v>
      </c>
      <c r="AN6635">
        <v>0.99999998672922497</v>
      </c>
    </row>
    <row r="6636" spans="1:40" x14ac:dyDescent="0.25">
      <c r="A6636" t="str">
        <f>"20190312164634062"</f>
        <v>20190312164634062</v>
      </c>
      <c r="B6636" t="str">
        <f>"1552380394057917"</f>
        <v>1552380394057917</v>
      </c>
      <c r="C6636" t="s">
        <v>40</v>
      </c>
      <c r="D6636">
        <v>4.417211</v>
      </c>
      <c r="E6636">
        <v>0.48023290000000002</v>
      </c>
      <c r="F6636" t="s">
        <v>42</v>
      </c>
      <c r="G6636">
        <v>-188.07089999999999</v>
      </c>
      <c r="H6636" s="1">
        <v>-1.7594080000000001E-6</v>
      </c>
      <c r="I6636">
        <v>52.936329999999998</v>
      </c>
      <c r="J6636">
        <v>-187.58160000000001</v>
      </c>
      <c r="K6636">
        <v>1.108919</v>
      </c>
      <c r="L6636">
        <v>37.126220000000004</v>
      </c>
      <c r="M6636">
        <v>-1.347686E-4</v>
      </c>
      <c r="N6636">
        <v>0</v>
      </c>
      <c r="O6636">
        <v>0.99990769999999995</v>
      </c>
      <c r="P6636">
        <v>3.298947E-2</v>
      </c>
      <c r="Q6636">
        <v>0.122627</v>
      </c>
      <c r="R6636">
        <v>0.99190440000000002</v>
      </c>
      <c r="S6636">
        <v>-9.2681879999999994E-2</v>
      </c>
      <c r="T6636">
        <v>-0.21005940000000001</v>
      </c>
      <c r="U6636">
        <v>3.0533450000000002</v>
      </c>
      <c r="V6636">
        <v>3.3131630000000002E-2</v>
      </c>
      <c r="W6636">
        <v>0.1360857</v>
      </c>
      <c r="X6636">
        <v>0.99014290000000005</v>
      </c>
      <c r="Y6636">
        <v>-3.0134040000000001E-2</v>
      </c>
      <c r="Z6636">
        <v>-6.8602949999999996E-2</v>
      </c>
      <c r="AA6636">
        <v>0.99718879999999999</v>
      </c>
      <c r="AB6636">
        <v>30</v>
      </c>
      <c r="AC6636">
        <v>-0.48929999999998502</v>
      </c>
      <c r="AD6636">
        <v>-1.1089207594079999</v>
      </c>
      <c r="AE6636">
        <v>15.81011</v>
      </c>
      <c r="AF6636">
        <v>-0.48478641146422102</v>
      </c>
      <c r="AG6636">
        <v>-1.1089207594079999</v>
      </c>
      <c r="AH6636">
        <v>15.7328502792367</v>
      </c>
      <c r="AI6636">
        <v>94.029885257591005</v>
      </c>
      <c r="AJ6636">
        <v>91.764933172460104</v>
      </c>
      <c r="AK6636">
        <v>15.779331450485</v>
      </c>
      <c r="AL6636">
        <v>82.178594605127699</v>
      </c>
      <c r="AM6636">
        <v>88.083514457887802</v>
      </c>
      <c r="AN6636">
        <v>0.99999999253567795</v>
      </c>
    </row>
    <row r="6637" spans="1:40" x14ac:dyDescent="0.25">
      <c r="A6637" t="str">
        <f>"20190312164634081"</f>
        <v>20190312164634081</v>
      </c>
      <c r="B6637" t="str">
        <f>"1552380394077437"</f>
        <v>1552380394077437</v>
      </c>
      <c r="C6637" t="s">
        <v>40</v>
      </c>
      <c r="D6637">
        <v>4.4141760000000003</v>
      </c>
      <c r="E6637">
        <v>0.51127489999999998</v>
      </c>
      <c r="F6637" t="s">
        <v>42</v>
      </c>
      <c r="G6637">
        <v>-188.05869999999999</v>
      </c>
      <c r="H6637" s="1">
        <v>-1.9446189999999999E-6</v>
      </c>
      <c r="I6637">
        <v>53.363039999999998</v>
      </c>
      <c r="J6637">
        <v>-187.58170000000001</v>
      </c>
      <c r="K6637">
        <v>1.1089180000000001</v>
      </c>
      <c r="L6637">
        <v>37.383209999999998</v>
      </c>
      <c r="M6637">
        <v>-1.3186629999999901E-4</v>
      </c>
      <c r="N6637">
        <v>0</v>
      </c>
      <c r="O6637">
        <v>0.99990780000000001</v>
      </c>
      <c r="P6637">
        <v>3.3730669999999997E-2</v>
      </c>
      <c r="Q6637">
        <v>0.1226447</v>
      </c>
      <c r="R6637">
        <v>0.99187729999999996</v>
      </c>
      <c r="S6637">
        <v>-8.9721679999999998E-2</v>
      </c>
      <c r="T6637">
        <v>-0.20852699999999999</v>
      </c>
      <c r="U6637">
        <v>3.0532530000000002</v>
      </c>
      <c r="V6637">
        <v>3.3868719999999998E-2</v>
      </c>
      <c r="W6637">
        <v>0.13610220000000001</v>
      </c>
      <c r="X6637">
        <v>0.99011570000000004</v>
      </c>
      <c r="Y6637">
        <v>-2.917289E-2</v>
      </c>
      <c r="Z6637">
        <v>-6.8108790000000002E-2</v>
      </c>
      <c r="AA6637">
        <v>0.99725129999999995</v>
      </c>
      <c r="AB6637">
        <v>30</v>
      </c>
      <c r="AC6637">
        <v>-0.476999999999975</v>
      </c>
      <c r="AD6637">
        <v>-1.1089199446189999</v>
      </c>
      <c r="AE6637">
        <v>15.97983</v>
      </c>
      <c r="AF6637">
        <v>-0.47261865453943003</v>
      </c>
      <c r="AG6637">
        <v>-1.1089199446189999</v>
      </c>
      <c r="AH6637">
        <v>15.903375649811901</v>
      </c>
      <c r="AI6637">
        <v>93.986943270796203</v>
      </c>
      <c r="AJ6637">
        <v>91.702222676596605</v>
      </c>
      <c r="AK6637">
        <v>15.948994604526799</v>
      </c>
      <c r="AL6637">
        <v>82.177640398831102</v>
      </c>
      <c r="AM6637">
        <v>88.040856875084302</v>
      </c>
      <c r="AN6637">
        <v>0.99999999921288396</v>
      </c>
    </row>
    <row r="6638" spans="1:40" x14ac:dyDescent="0.25">
      <c r="A6638" t="str">
        <f>"20190312164634104"</f>
        <v>20190312164634104</v>
      </c>
      <c r="B6638" t="str">
        <f>"1552380394097933"</f>
        <v>1552380394097933</v>
      </c>
      <c r="C6638" t="s">
        <v>40</v>
      </c>
      <c r="D6638">
        <v>4.3312889999999999</v>
      </c>
      <c r="E6638">
        <v>0.51535120000000001</v>
      </c>
      <c r="F6638" t="s">
        <v>42</v>
      </c>
      <c r="G6638">
        <v>-186.6174</v>
      </c>
      <c r="H6638" s="1">
        <v>-3.1568239999999998E-6</v>
      </c>
      <c r="I6638">
        <v>55.592750000000002</v>
      </c>
      <c r="J6638">
        <v>-187.58170000000001</v>
      </c>
      <c r="K6638">
        <v>1.1089249999999999</v>
      </c>
      <c r="L6638">
        <v>37.689909999999998</v>
      </c>
      <c r="M6638">
        <v>-1.318096E-4</v>
      </c>
      <c r="N6638">
        <v>0</v>
      </c>
      <c r="O6638">
        <v>0.99990780000000001</v>
      </c>
      <c r="P6638">
        <v>3.4678E-2</v>
      </c>
      <c r="Q6638">
        <v>0.12294330000000001</v>
      </c>
      <c r="R6638">
        <v>0.99180760000000001</v>
      </c>
      <c r="S6638">
        <v>0.16108699999999901</v>
      </c>
      <c r="T6638">
        <v>-0.18525059999999999</v>
      </c>
      <c r="U6638">
        <v>3.041992</v>
      </c>
      <c r="V6638">
        <v>3.4814930000000001E-2</v>
      </c>
      <c r="W6638">
        <v>0.1363984</v>
      </c>
      <c r="X6638">
        <v>0.99004210000000004</v>
      </c>
      <c r="Y6638">
        <v>5.2914500000000003E-2</v>
      </c>
      <c r="Z6638">
        <v>-6.0700259999999999E-2</v>
      </c>
      <c r="AA6638">
        <v>0.99675250000000004</v>
      </c>
      <c r="AB6638">
        <v>30</v>
      </c>
      <c r="AC6638">
        <v>0.96430000000000804</v>
      </c>
      <c r="AD6638">
        <v>-1.1089281568239999</v>
      </c>
      <c r="AE6638">
        <v>17.902840000000001</v>
      </c>
      <c r="AF6638">
        <v>0.96297597002465896</v>
      </c>
      <c r="AG6638">
        <v>-1.1089281568239999</v>
      </c>
      <c r="AH6638">
        <v>17.834484301898001</v>
      </c>
      <c r="AI6638">
        <v>93.552844385914995</v>
      </c>
      <c r="AJ6638">
        <v>86.909306064160106</v>
      </c>
      <c r="AK6638">
        <v>17.894856095830601</v>
      </c>
      <c r="AL6638">
        <v>82.160509493846604</v>
      </c>
      <c r="AM6638">
        <v>87.986018031311005</v>
      </c>
      <c r="AN6638">
        <v>0.99999998132293699</v>
      </c>
    </row>
    <row r="6639" spans="1:40" x14ac:dyDescent="0.25">
      <c r="A6639" t="str">
        <f>"20190312164634127"</f>
        <v>20190312164634127</v>
      </c>
      <c r="B6639" t="str">
        <f>"1552380394118430"</f>
        <v>1552380394118430</v>
      </c>
      <c r="C6639" t="s">
        <v>40</v>
      </c>
      <c r="D6639">
        <v>4.3338429999999999</v>
      </c>
      <c r="E6639">
        <v>0.51624890000000001</v>
      </c>
      <c r="F6639" t="s">
        <v>42</v>
      </c>
      <c r="G6639">
        <v>-186.29470000000001</v>
      </c>
      <c r="H6639" s="1">
        <v>-4.0397380000000003E-6</v>
      </c>
      <c r="I6639">
        <v>57.517429999999997</v>
      </c>
      <c r="J6639">
        <v>-187.58170000000001</v>
      </c>
      <c r="K6639">
        <v>1.10893</v>
      </c>
      <c r="L6639">
        <v>37.984409999999997</v>
      </c>
      <c r="M6639">
        <v>-1.3374409999999999E-4</v>
      </c>
      <c r="N6639">
        <v>0</v>
      </c>
      <c r="O6639">
        <v>0.99990780000000001</v>
      </c>
      <c r="P6639">
        <v>3.5165389999999998E-2</v>
      </c>
      <c r="Q6639">
        <v>0.12306599999999999</v>
      </c>
      <c r="R6639">
        <v>0.99177530000000003</v>
      </c>
      <c r="S6639">
        <v>0.19725039999999999</v>
      </c>
      <c r="T6639">
        <v>-0.16996420000000001</v>
      </c>
      <c r="U6639">
        <v>3.0389400000000002</v>
      </c>
      <c r="V6639">
        <v>3.5303599999999997E-2</v>
      </c>
      <c r="W6639">
        <v>0.1365189</v>
      </c>
      <c r="X6639">
        <v>0.9900082</v>
      </c>
      <c r="Y6639">
        <v>6.4804139999999996E-2</v>
      </c>
      <c r="Z6639">
        <v>-5.5724360000000001E-2</v>
      </c>
      <c r="AA6639">
        <v>0.99634089999999997</v>
      </c>
      <c r="AB6639">
        <v>30</v>
      </c>
      <c r="AC6639">
        <v>1.2869999999999999</v>
      </c>
      <c r="AD6639">
        <v>-1.1089340397380001</v>
      </c>
      <c r="AE6639">
        <v>19.53302</v>
      </c>
      <c r="AF6639">
        <v>1.2854873214746101</v>
      </c>
      <c r="AG6639">
        <v>-1.1089340397380001</v>
      </c>
      <c r="AH6639">
        <v>19.470364173443301</v>
      </c>
      <c r="AI6639">
        <v>93.252691513227404</v>
      </c>
      <c r="AJ6639">
        <v>86.222656209147999</v>
      </c>
      <c r="AK6639">
        <v>19.5442393918173</v>
      </c>
      <c r="AL6639">
        <v>82.153540268672799</v>
      </c>
      <c r="AM6639">
        <v>87.957703238685397</v>
      </c>
      <c r="AN6639">
        <v>0.99999999514870497</v>
      </c>
    </row>
    <row r="6640" spans="1:40" x14ac:dyDescent="0.25">
      <c r="A6640" t="str">
        <f>"20190312164634149"</f>
        <v>20190312164634149</v>
      </c>
      <c r="B6640" t="str">
        <f>"1552380394137952"</f>
        <v>1552380394137952</v>
      </c>
      <c r="C6640" t="s">
        <v>40</v>
      </c>
      <c r="D6640">
        <v>4.2796209999999997</v>
      </c>
      <c r="E6640">
        <v>0.51621289999999997</v>
      </c>
      <c r="F6640" t="s">
        <v>42</v>
      </c>
      <c r="G6640">
        <v>-186.23949999999999</v>
      </c>
      <c r="H6640" s="1">
        <v>-4.1591620000000001E-6</v>
      </c>
      <c r="I6640">
        <v>57.772950000000002</v>
      </c>
      <c r="J6640">
        <v>-187.58179999999999</v>
      </c>
      <c r="K6640">
        <v>1.108922</v>
      </c>
      <c r="L6640">
        <v>38.284239999999997</v>
      </c>
      <c r="M6640">
        <v>-1.3628299999999901E-4</v>
      </c>
      <c r="N6640">
        <v>0</v>
      </c>
      <c r="O6640">
        <v>0.99990789999999996</v>
      </c>
      <c r="P6640">
        <v>3.5303309999999997E-2</v>
      </c>
      <c r="Q6640">
        <v>0.1227808</v>
      </c>
      <c r="R6640">
        <v>0.99180570000000001</v>
      </c>
      <c r="S6640">
        <v>0.20611570000000001</v>
      </c>
      <c r="T6640">
        <v>-0.1702861</v>
      </c>
      <c r="U6640">
        <v>3.0386959999999998</v>
      </c>
      <c r="V6640">
        <v>3.5443660000000002E-2</v>
      </c>
      <c r="W6640">
        <v>0.13623260000000001</v>
      </c>
      <c r="X6640">
        <v>0.99004259999999999</v>
      </c>
      <c r="Y6640">
        <v>6.7705269999999998E-2</v>
      </c>
      <c r="Z6640">
        <v>-5.5823270000000001E-2</v>
      </c>
      <c r="AA6640">
        <v>0.99614239999999998</v>
      </c>
      <c r="AB6640">
        <v>30</v>
      </c>
      <c r="AC6640">
        <v>1.3422999999999901</v>
      </c>
      <c r="AD6640">
        <v>-1.1089261591620001</v>
      </c>
      <c r="AE6640">
        <v>19.488710000000001</v>
      </c>
      <c r="AF6640">
        <v>1.3406361038993699</v>
      </c>
      <c r="AG6640">
        <v>-1.1089261591620001</v>
      </c>
      <c r="AH6640">
        <v>19.425928145239901</v>
      </c>
      <c r="AI6640">
        <v>93.2594391015909</v>
      </c>
      <c r="AJ6640">
        <v>86.052122168757194</v>
      </c>
      <c r="AK6640">
        <v>19.503684438935501</v>
      </c>
      <c r="AL6640">
        <v>82.170098492795105</v>
      </c>
      <c r="AM6640">
        <v>87.949678917340407</v>
      </c>
      <c r="AN6640">
        <v>0.99999996207585695</v>
      </c>
    </row>
    <row r="6641" spans="1:40" x14ac:dyDescent="0.25">
      <c r="A6641" t="str">
        <f>"20190312164634173"</f>
        <v>20190312164634173</v>
      </c>
      <c r="B6641" t="str">
        <f>"1552380394168205"</f>
        <v>1552380394168205</v>
      </c>
      <c r="C6641" t="s">
        <v>40</v>
      </c>
      <c r="D6641">
        <v>4.6156470000000001</v>
      </c>
      <c r="E6641">
        <v>0.51680230000000005</v>
      </c>
      <c r="F6641" t="s">
        <v>41</v>
      </c>
      <c r="G6641">
        <v>-187.51419999999999</v>
      </c>
      <c r="H6641">
        <v>1.0530600000000001</v>
      </c>
      <c r="I6641">
        <v>39.278260000000003</v>
      </c>
      <c r="J6641">
        <v>-187.58179999999999</v>
      </c>
      <c r="K6641">
        <v>1.1089260000000001</v>
      </c>
      <c r="L6641">
        <v>38.588290000000001</v>
      </c>
      <c r="M6641">
        <v>-1.3852299999999999E-4</v>
      </c>
      <c r="N6641">
        <v>0</v>
      </c>
      <c r="O6641">
        <v>0.99990789999999996</v>
      </c>
      <c r="P6641">
        <v>3.545835E-2</v>
      </c>
      <c r="Q6641">
        <v>0.1223119</v>
      </c>
      <c r="R6641">
        <v>0.99185809999999996</v>
      </c>
      <c r="S6641">
        <v>0.20652770000000001</v>
      </c>
      <c r="T6641">
        <v>-0.1707581</v>
      </c>
      <c r="U6641">
        <v>3.0385740000000001</v>
      </c>
      <c r="V6641">
        <v>3.560075E-2</v>
      </c>
      <c r="W6641">
        <v>0.13576350000000001</v>
      </c>
      <c r="X6641">
        <v>0.99010149999999997</v>
      </c>
      <c r="Y6641">
        <v>6.7844050000000003E-2</v>
      </c>
      <c r="Z6641">
        <v>-5.5979260000000003E-2</v>
      </c>
      <c r="AA6641">
        <v>0.99612429999999996</v>
      </c>
      <c r="AB6641">
        <v>30</v>
      </c>
      <c r="AC6641">
        <v>6.7599999999998703E-2</v>
      </c>
      <c r="AD6641">
        <v>-5.5865999999999902E-2</v>
      </c>
      <c r="AE6641">
        <v>0.68996999999999498</v>
      </c>
      <c r="AF6641">
        <v>6.7258832683873296E-2</v>
      </c>
      <c r="AG6641">
        <v>-5.5865999999999902E-2</v>
      </c>
      <c r="AH6641">
        <v>0.68550920347090305</v>
      </c>
      <c r="AI6641">
        <v>94.636891583565898</v>
      </c>
      <c r="AJ6641">
        <v>84.396351866166</v>
      </c>
      <c r="AK6641">
        <v>0.691062680639976</v>
      </c>
      <c r="AL6641">
        <v>82.197228776948904</v>
      </c>
      <c r="AM6641">
        <v>87.940721893627895</v>
      </c>
      <c r="AN6641">
        <v>1.0000000608175199</v>
      </c>
    </row>
    <row r="6642" spans="1:40" x14ac:dyDescent="0.25">
      <c r="A6642" t="str">
        <f>"20190312164634195"</f>
        <v>20190312164634195</v>
      </c>
      <c r="B6642" t="str">
        <f>"1552380394187725"</f>
        <v>1552380394187725</v>
      </c>
      <c r="C6642" t="s">
        <v>40</v>
      </c>
      <c r="D6642">
        <v>4.3338999999999999</v>
      </c>
      <c r="E6642">
        <v>0.51670740000000004</v>
      </c>
      <c r="F6642" t="s">
        <v>42</v>
      </c>
      <c r="G6642">
        <v>-186.15549999999999</v>
      </c>
      <c r="H6642" s="1">
        <v>-4.7188579999999999E-6</v>
      </c>
      <c r="I6642">
        <v>59.042909999999999</v>
      </c>
      <c r="J6642">
        <v>-187.58179999999999</v>
      </c>
      <c r="K6642">
        <v>1.1089279999999999</v>
      </c>
      <c r="L6642">
        <v>38.89273</v>
      </c>
      <c r="M6642">
        <v>-1.400757E-4</v>
      </c>
      <c r="N6642">
        <v>0</v>
      </c>
      <c r="O6642">
        <v>0.99990789999999996</v>
      </c>
      <c r="P6642">
        <v>3.5202600000000001E-2</v>
      </c>
      <c r="Q6642">
        <v>0.12186909999999999</v>
      </c>
      <c r="R6642">
        <v>0.99192170000000002</v>
      </c>
      <c r="S6642">
        <v>0.21179200000000001</v>
      </c>
      <c r="T6642">
        <v>-0.1646676</v>
      </c>
      <c r="U6642">
        <v>3.0373540000000001</v>
      </c>
      <c r="V6642">
        <v>3.5346460000000003E-2</v>
      </c>
      <c r="W6642">
        <v>0.13531940000000001</v>
      </c>
      <c r="X6642">
        <v>0.99017140000000003</v>
      </c>
      <c r="Y6642">
        <v>6.9598460000000001E-2</v>
      </c>
      <c r="Z6642">
        <v>-5.4003669999999997E-2</v>
      </c>
      <c r="AA6642">
        <v>0.99611229999999995</v>
      </c>
      <c r="AB6642">
        <v>30</v>
      </c>
      <c r="AC6642">
        <v>1.4262999999999899</v>
      </c>
      <c r="AD6642">
        <v>-1.108932718858</v>
      </c>
      <c r="AE6642">
        <v>20.150179999999999</v>
      </c>
      <c r="AF6642">
        <v>1.4248289674039101</v>
      </c>
      <c r="AG6642">
        <v>-1.108932718858</v>
      </c>
      <c r="AH6642">
        <v>20.089438960536999</v>
      </c>
      <c r="AI6642">
        <v>93.151607581035705</v>
      </c>
      <c r="AJ6642">
        <v>85.943131424636206</v>
      </c>
      <c r="AK6642">
        <v>20.170409691189899</v>
      </c>
      <c r="AL6642">
        <v>82.222910802276104</v>
      </c>
      <c r="AM6642">
        <v>87.955562644712103</v>
      </c>
      <c r="AN6642">
        <v>1.0000000568144201</v>
      </c>
    </row>
    <row r="6643" spans="1:40" x14ac:dyDescent="0.25">
      <c r="A6643" t="str">
        <f>"20190312164634217"</f>
        <v>20190312164634217</v>
      </c>
      <c r="B6643" t="str">
        <f>"1552380394208221"</f>
        <v>1552380394208221</v>
      </c>
      <c r="C6643" t="s">
        <v>40</v>
      </c>
      <c r="D6643">
        <v>4.6364650000000003</v>
      </c>
      <c r="E6643">
        <v>0.51701149999999996</v>
      </c>
      <c r="F6643" t="s">
        <v>42</v>
      </c>
      <c r="G6643">
        <v>-186.1704</v>
      </c>
      <c r="H6643" s="1">
        <v>-4.7914000000000004E-6</v>
      </c>
      <c r="I6643">
        <v>59.218150000000001</v>
      </c>
      <c r="J6643">
        <v>-187.58189999999999</v>
      </c>
      <c r="K6643">
        <v>1.1089249999999999</v>
      </c>
      <c r="L6643">
        <v>39.180660000000003</v>
      </c>
      <c r="M6643">
        <v>-1.4093680000000001E-4</v>
      </c>
      <c r="N6643">
        <v>0</v>
      </c>
      <c r="O6643">
        <v>0.99990789999999996</v>
      </c>
      <c r="P6643">
        <v>3.4731819999999997E-2</v>
      </c>
      <c r="Q6643">
        <v>0.1222062</v>
      </c>
      <c r="R6643">
        <v>0.99189689999999997</v>
      </c>
      <c r="S6643">
        <v>0.2109222</v>
      </c>
      <c r="T6643">
        <v>-0.1657131</v>
      </c>
      <c r="U6643">
        <v>3.0373230000000002</v>
      </c>
      <c r="V6643">
        <v>3.4876539999999998E-2</v>
      </c>
      <c r="W6643">
        <v>0.13565479999999899</v>
      </c>
      <c r="X6643">
        <v>0.99014210000000002</v>
      </c>
      <c r="Y6643">
        <v>6.9314870000000001E-2</v>
      </c>
      <c r="Z6643">
        <v>-5.4347149999999997E-2</v>
      </c>
      <c r="AA6643">
        <v>0.99611340000000004</v>
      </c>
      <c r="AB6643">
        <v>30</v>
      </c>
      <c r="AC6643">
        <v>1.41149999999998</v>
      </c>
      <c r="AD6643">
        <v>-1.1089297914</v>
      </c>
      <c r="AE6643">
        <v>20.037489999999998</v>
      </c>
      <c r="AF6643">
        <v>1.4100269314724501</v>
      </c>
      <c r="AG6643">
        <v>-1.1089297914</v>
      </c>
      <c r="AH6643">
        <v>19.976408816684501</v>
      </c>
      <c r="AI6643">
        <v>93.169470983905896</v>
      </c>
      <c r="AJ6643">
        <v>85.962496331707797</v>
      </c>
      <c r="AK6643">
        <v>20.056789634461499</v>
      </c>
      <c r="AL6643">
        <v>82.203514411993197</v>
      </c>
      <c r="AM6643">
        <v>87.982660539457299</v>
      </c>
      <c r="AN6643">
        <v>0.99999998799890999</v>
      </c>
    </row>
    <row r="6644" spans="1:40" x14ac:dyDescent="0.25">
      <c r="A6644" t="str">
        <f>"20190312164634239"</f>
        <v>20190312164634239</v>
      </c>
      <c r="B6644" t="str">
        <f>"1552380394227741"</f>
        <v>1552380394227741</v>
      </c>
      <c r="C6644" t="s">
        <v>40</v>
      </c>
      <c r="D6644">
        <v>4.3792030000000004</v>
      </c>
      <c r="E6644">
        <v>0.51769359999999998</v>
      </c>
      <c r="F6644" t="s">
        <v>42</v>
      </c>
      <c r="G6644">
        <v>-186.12780000000001</v>
      </c>
      <c r="H6644" s="1">
        <v>-1.154947E-6</v>
      </c>
      <c r="I6644">
        <v>60.014380000000003</v>
      </c>
      <c r="J6644">
        <v>-187.58189999999999</v>
      </c>
      <c r="K6644">
        <v>1.1089260000000001</v>
      </c>
      <c r="L6644">
        <v>39.474429999999998</v>
      </c>
      <c r="M6644">
        <v>-1.4138469999999901E-4</v>
      </c>
      <c r="N6644">
        <v>0</v>
      </c>
      <c r="O6644">
        <v>0.99990789999999996</v>
      </c>
      <c r="P6644">
        <v>3.4502390000000001E-2</v>
      </c>
      <c r="Q6644">
        <v>0.12222719999999999</v>
      </c>
      <c r="R6644">
        <v>0.99190219999999996</v>
      </c>
      <c r="S6644">
        <v>0.2119598</v>
      </c>
      <c r="T6644">
        <v>-0.1616513</v>
      </c>
      <c r="U6644">
        <v>3.0369869999999999</v>
      </c>
      <c r="V6644">
        <v>3.4647600000000001E-2</v>
      </c>
      <c r="W6644">
        <v>0.13567419999999999</v>
      </c>
      <c r="X6644">
        <v>0.99014749999999996</v>
      </c>
      <c r="Y6644">
        <v>6.9666560000000002E-2</v>
      </c>
      <c r="Z6644">
        <v>-5.3023389999999997E-2</v>
      </c>
      <c r="AA6644">
        <v>0.99616009999999999</v>
      </c>
      <c r="AB6644">
        <v>30</v>
      </c>
      <c r="AC6644">
        <v>1.45409999999998</v>
      </c>
      <c r="AD6644">
        <v>-1.1089271549469999</v>
      </c>
      <c r="AE6644">
        <v>20.539950000000001</v>
      </c>
      <c r="AF6644">
        <v>1.45279082424898</v>
      </c>
      <c r="AG6644">
        <v>-1.1089271549469999</v>
      </c>
      <c r="AH6644">
        <v>20.480345969648301</v>
      </c>
      <c r="AI6644">
        <v>93.091552876235596</v>
      </c>
      <c r="AJ6644">
        <v>85.942471548149001</v>
      </c>
      <c r="AK6644">
        <v>20.561733673270101</v>
      </c>
      <c r="AL6644">
        <v>82.202392660454393</v>
      </c>
      <c r="AM6644">
        <v>87.995903043487203</v>
      </c>
      <c r="AN6644">
        <v>1.0000000082438201</v>
      </c>
    </row>
    <row r="6645" spans="1:40" x14ac:dyDescent="0.25">
      <c r="A6645" t="str">
        <f>"20190312164634259"</f>
        <v>20190312164634259</v>
      </c>
      <c r="B6645" t="str">
        <f>"1552380394248240"</f>
        <v>1552380394248240</v>
      </c>
      <c r="C6645" t="s">
        <v>40</v>
      </c>
      <c r="D6645">
        <v>4.4142409999999996</v>
      </c>
      <c r="E6645">
        <v>0.5175554</v>
      </c>
      <c r="F6645" t="s">
        <v>42</v>
      </c>
      <c r="G6645">
        <v>-185.9975</v>
      </c>
      <c r="H6645" s="1">
        <v>-1.7379769999999999E-6</v>
      </c>
      <c r="I6645">
        <v>61.625709999999998</v>
      </c>
      <c r="J6645">
        <v>-187.58189999999999</v>
      </c>
      <c r="K6645">
        <v>1.1089230000000001</v>
      </c>
      <c r="L6645">
        <v>39.749659999999999</v>
      </c>
      <c r="M6645">
        <v>-1.41576E-4</v>
      </c>
      <c r="N6645">
        <v>0</v>
      </c>
      <c r="O6645">
        <v>0.99990800000000002</v>
      </c>
      <c r="P6645">
        <v>3.4305910000000002E-2</v>
      </c>
      <c r="Q6645">
        <v>0.1222287</v>
      </c>
      <c r="R6645">
        <v>0.99190889999999998</v>
      </c>
      <c r="S6645">
        <v>0.21713260000000001</v>
      </c>
      <c r="T6645">
        <v>-0.1519691</v>
      </c>
      <c r="U6645">
        <v>3.0356450000000001</v>
      </c>
      <c r="V6645">
        <v>3.4451370000000002E-2</v>
      </c>
      <c r="W6645">
        <v>0.13567419999999999</v>
      </c>
      <c r="X6645">
        <v>0.99015430000000004</v>
      </c>
      <c r="Y6645">
        <v>7.1397849999999999E-2</v>
      </c>
      <c r="Z6645">
        <v>-4.987159E-2</v>
      </c>
      <c r="AA6645">
        <v>0.99620039999999999</v>
      </c>
      <c r="AB6645">
        <v>30</v>
      </c>
      <c r="AC6645">
        <v>1.58439999999998</v>
      </c>
      <c r="AD6645">
        <v>-1.108924737977</v>
      </c>
      <c r="AE6645">
        <v>21.876049999999999</v>
      </c>
      <c r="AF6645">
        <v>1.5834497845622</v>
      </c>
      <c r="AG6645">
        <v>-1.108924737977</v>
      </c>
      <c r="AH6645">
        <v>21.820049122907101</v>
      </c>
      <c r="AI6645">
        <v>92.901729416783496</v>
      </c>
      <c r="AJ6645">
        <v>85.8494029059284</v>
      </c>
      <c r="AK6645">
        <v>21.905514625792499</v>
      </c>
      <c r="AL6645">
        <v>82.202392294674198</v>
      </c>
      <c r="AM6645">
        <v>88.007257935717902</v>
      </c>
      <c r="AN6645">
        <v>0.999999961624502</v>
      </c>
    </row>
    <row r="6646" spans="1:40" x14ac:dyDescent="0.25">
      <c r="A6646" t="str">
        <f>"20190312164634282"</f>
        <v>20190312164634282</v>
      </c>
      <c r="B6646" t="str">
        <f>"1552380394277517"</f>
        <v>1552380394277517</v>
      </c>
      <c r="C6646" t="s">
        <v>40</v>
      </c>
      <c r="D6646">
        <v>4.4219290000000004</v>
      </c>
      <c r="E6646">
        <v>0.51798859999999902</v>
      </c>
      <c r="F6646" t="s">
        <v>42</v>
      </c>
      <c r="G6646">
        <v>-186.03620000000001</v>
      </c>
      <c r="H6646" s="1">
        <v>-1.704863E-6</v>
      </c>
      <c r="I6646">
        <v>61.558700000000002</v>
      </c>
      <c r="J6646">
        <v>-187.58199999999999</v>
      </c>
      <c r="K6646">
        <v>1.1089180000000001</v>
      </c>
      <c r="L6646">
        <v>40.043239999999997</v>
      </c>
      <c r="M6646">
        <v>-1.416593E-4</v>
      </c>
      <c r="N6646">
        <v>0</v>
      </c>
      <c r="O6646">
        <v>0.99990800000000002</v>
      </c>
      <c r="P6646">
        <v>3.4225609999999997E-2</v>
      </c>
      <c r="Q6646">
        <v>0.1222311</v>
      </c>
      <c r="R6646">
        <v>0.9919114</v>
      </c>
      <c r="S6646">
        <v>0.21517939999999999</v>
      </c>
      <c r="T6646">
        <v>-0.1543736</v>
      </c>
      <c r="U6646">
        <v>3.036041</v>
      </c>
      <c r="V6646">
        <v>3.4371220000000001E-2</v>
      </c>
      <c r="W6646">
        <v>0.13567470000000001</v>
      </c>
      <c r="X6646">
        <v>0.99015710000000001</v>
      </c>
      <c r="Y6646">
        <v>7.0748229999999995E-2</v>
      </c>
      <c r="Z6646">
        <v>-5.065443E-2</v>
      </c>
      <c r="AA6646">
        <v>0.99620719999999996</v>
      </c>
      <c r="AB6646">
        <v>30</v>
      </c>
      <c r="AC6646">
        <v>1.5457999999999801</v>
      </c>
      <c r="AD6646">
        <v>-1.108919704863</v>
      </c>
      <c r="AE6646">
        <v>21.515460000000001</v>
      </c>
      <c r="AF6646">
        <v>1.5447656360962301</v>
      </c>
      <c r="AG6646">
        <v>-1.108919704863</v>
      </c>
      <c r="AH6646">
        <v>21.458530361183399</v>
      </c>
      <c r="AI6646">
        <v>92.950639614500602</v>
      </c>
      <c r="AJ6646">
        <v>85.8824705196336</v>
      </c>
      <c r="AK6646">
        <v>21.542621220365199</v>
      </c>
      <c r="AL6646">
        <v>82.202364024432001</v>
      </c>
      <c r="AM6646">
        <v>88.011895878609494</v>
      </c>
      <c r="AN6646">
        <v>1.0000000438323899</v>
      </c>
    </row>
    <row r="6647" spans="1:40" x14ac:dyDescent="0.25">
      <c r="A6647" t="str">
        <f>"20190312164634305"</f>
        <v>20190312164634305</v>
      </c>
      <c r="B6647" t="str">
        <f>"1552380394298013"</f>
        <v>1552380394298013</v>
      </c>
      <c r="C6647" t="s">
        <v>40</v>
      </c>
      <c r="D6647">
        <v>4.444051</v>
      </c>
      <c r="E6647">
        <v>0.51811370000000001</v>
      </c>
      <c r="F6647" t="s">
        <v>42</v>
      </c>
      <c r="G6647">
        <v>-185.98560000000001</v>
      </c>
      <c r="H6647" s="1">
        <v>-1.9400920000000001E-6</v>
      </c>
      <c r="I6647">
        <v>62.210360000000001</v>
      </c>
      <c r="J6647">
        <v>-187.58199999999999</v>
      </c>
      <c r="K6647">
        <v>1.108922</v>
      </c>
      <c r="L6647">
        <v>40.353700000000003</v>
      </c>
      <c r="M6647">
        <v>-1.416895E-4</v>
      </c>
      <c r="N6647">
        <v>0</v>
      </c>
      <c r="O6647">
        <v>0.99990800000000002</v>
      </c>
      <c r="P6647">
        <v>3.4399319999999997E-2</v>
      </c>
      <c r="Q6647">
        <v>0.1223395</v>
      </c>
      <c r="R6647">
        <v>0.991892</v>
      </c>
      <c r="S6647">
        <v>0.21861269999999999</v>
      </c>
      <c r="T6647">
        <v>-0.15185950000000001</v>
      </c>
      <c r="U6647">
        <v>3.0356450000000001</v>
      </c>
      <c r="V6647">
        <v>3.4545020000000003E-2</v>
      </c>
      <c r="W6647">
        <v>0.13578100000000001</v>
      </c>
      <c r="X6647">
        <v>0.99013640000000003</v>
      </c>
      <c r="Y6647">
        <v>7.1881319999999999E-2</v>
      </c>
      <c r="Z6647">
        <v>-4.9834000000000003E-2</v>
      </c>
      <c r="AA6647">
        <v>0.99616749999999998</v>
      </c>
      <c r="AB6647">
        <v>30</v>
      </c>
      <c r="AC6647">
        <v>1.5963999999999801</v>
      </c>
      <c r="AD6647">
        <v>-1.1089239400919999</v>
      </c>
      <c r="AE6647">
        <v>21.856659999999899</v>
      </c>
      <c r="AF6647">
        <v>1.5954120713418301</v>
      </c>
      <c r="AG6647">
        <v>-1.1089239400919999</v>
      </c>
      <c r="AH6647">
        <v>21.800613040168098</v>
      </c>
      <c r="AI6647">
        <v>92.904180986462293</v>
      </c>
      <c r="AJ6647">
        <v>85.814442713221794</v>
      </c>
      <c r="AK6647">
        <v>21.887023116665201</v>
      </c>
      <c r="AL6647">
        <v>82.196215972954207</v>
      </c>
      <c r="AM6647">
        <v>88.001809307439302</v>
      </c>
      <c r="AN6647">
        <v>0.99999996448637896</v>
      </c>
    </row>
    <row r="6648" spans="1:40" x14ac:dyDescent="0.25">
      <c r="A6648" t="str">
        <f>"20190312164634328"</f>
        <v>20190312164634328</v>
      </c>
      <c r="B6648" t="str">
        <f>"1552380394317533"</f>
        <v>1552380394317533</v>
      </c>
      <c r="C6648" t="s">
        <v>40</v>
      </c>
      <c r="D6648">
        <v>4.6487049999999996</v>
      </c>
      <c r="E6648">
        <v>0.51833399999999996</v>
      </c>
      <c r="F6648" t="s">
        <v>42</v>
      </c>
      <c r="G6648">
        <v>-185.99420000000001</v>
      </c>
      <c r="H6648" s="1">
        <v>-1.9515770000000001E-6</v>
      </c>
      <c r="I6648">
        <v>62.250819999999997</v>
      </c>
      <c r="J6648">
        <v>-187.58199999999999</v>
      </c>
      <c r="K6648">
        <v>1.1089199999999999</v>
      </c>
      <c r="L6648">
        <v>40.649839999999998</v>
      </c>
      <c r="M6648">
        <v>-1.4169240000000001E-4</v>
      </c>
      <c r="N6648">
        <v>0</v>
      </c>
      <c r="O6648">
        <v>0.99990800000000002</v>
      </c>
      <c r="P6648">
        <v>3.5396440000000001E-2</v>
      </c>
      <c r="Q6648">
        <v>0.1224147</v>
      </c>
      <c r="R6648">
        <v>0.99184760000000005</v>
      </c>
      <c r="S6648">
        <v>0.22013849999999999</v>
      </c>
      <c r="T6648">
        <v>-0.1537433</v>
      </c>
      <c r="U6648">
        <v>3.0358580000000002</v>
      </c>
      <c r="V6648">
        <v>3.5542169999999998E-2</v>
      </c>
      <c r="W6648">
        <v>0.13585369999999999</v>
      </c>
      <c r="X6648">
        <v>0.9900911</v>
      </c>
      <c r="Y6648">
        <v>7.2372149999999996E-2</v>
      </c>
      <c r="Z6648">
        <v>-5.0445249999999997E-2</v>
      </c>
      <c r="AA6648">
        <v>0.99610120000000002</v>
      </c>
      <c r="AB6648">
        <v>30</v>
      </c>
      <c r="AC6648">
        <v>1.5877999999999799</v>
      </c>
      <c r="AD6648">
        <v>-1.1089219515769999</v>
      </c>
      <c r="AE6648">
        <v>21.60098</v>
      </c>
      <c r="AF6648">
        <v>1.5867017572627</v>
      </c>
      <c r="AG6648">
        <v>-1.1089219515769999</v>
      </c>
      <c r="AH6648">
        <v>21.544281007134199</v>
      </c>
      <c r="AI6648">
        <v>92.938569305247398</v>
      </c>
      <c r="AJ6648">
        <v>85.787862374906894</v>
      </c>
      <c r="AK6648">
        <v>21.631074279276</v>
      </c>
      <c r="AL6648">
        <v>82.192011340430696</v>
      </c>
      <c r="AM6648">
        <v>87.944085889051294</v>
      </c>
      <c r="AN6648">
        <v>0.99999992997560205</v>
      </c>
    </row>
    <row r="6649" spans="1:40" x14ac:dyDescent="0.25">
      <c r="A6649" t="str">
        <f>"20190312164634349"</f>
        <v>20190312164634349</v>
      </c>
      <c r="B6649" t="str">
        <f>"1552380394338029"</f>
        <v>1552380394338029</v>
      </c>
      <c r="C6649" t="s">
        <v>40</v>
      </c>
      <c r="D6649">
        <v>4.4624290000000002</v>
      </c>
      <c r="E6649">
        <v>0.51833359999999995</v>
      </c>
      <c r="F6649" t="s">
        <v>42</v>
      </c>
      <c r="G6649">
        <v>-185.9504</v>
      </c>
      <c r="H6649" s="1">
        <v>-2.0950459999999998E-6</v>
      </c>
      <c r="I6649">
        <v>62.638190000000002</v>
      </c>
      <c r="J6649">
        <v>-187.5821</v>
      </c>
      <c r="K6649">
        <v>1.108919</v>
      </c>
      <c r="L6649">
        <v>40.922179999999997</v>
      </c>
      <c r="M6649">
        <v>-1.4167959999999901E-4</v>
      </c>
      <c r="N6649">
        <v>0</v>
      </c>
      <c r="O6649">
        <v>0.99990800000000002</v>
      </c>
      <c r="P6649">
        <v>3.6415120000000002E-2</v>
      </c>
      <c r="Q6649">
        <v>0.1222647</v>
      </c>
      <c r="R6649">
        <v>0.99182930000000002</v>
      </c>
      <c r="S6649">
        <v>0.22525020000000001</v>
      </c>
      <c r="T6649">
        <v>-0.15308820000000001</v>
      </c>
      <c r="U6649">
        <v>3.0355219999999998</v>
      </c>
      <c r="V6649">
        <v>3.6560870000000002E-2</v>
      </c>
      <c r="W6649">
        <v>0.13570160000000001</v>
      </c>
      <c r="X6649">
        <v>0.99007489999999998</v>
      </c>
      <c r="Y6649">
        <v>7.4049199999999996E-2</v>
      </c>
      <c r="Z6649">
        <v>-5.0230209999999997E-2</v>
      </c>
      <c r="AA6649">
        <v>0.99598880000000001</v>
      </c>
      <c r="AB6649">
        <v>29</v>
      </c>
      <c r="AC6649">
        <v>1.6316999999999899</v>
      </c>
      <c r="AD6649">
        <v>-1.108921095046</v>
      </c>
      <c r="AE6649">
        <v>21.716010000000001</v>
      </c>
      <c r="AF6649">
        <v>1.63054903006761</v>
      </c>
      <c r="AG6649">
        <v>-1.108921095046</v>
      </c>
      <c r="AH6649">
        <v>21.659616013676601</v>
      </c>
      <c r="AI6649">
        <v>92.922594042641194</v>
      </c>
      <c r="AJ6649">
        <v>85.694859368480095</v>
      </c>
      <c r="AK6649">
        <v>21.7491922147561</v>
      </c>
      <c r="AL6649">
        <v>82.200807758499096</v>
      </c>
      <c r="AM6649">
        <v>87.885178026578799</v>
      </c>
      <c r="AN6649">
        <v>0.99999996453386197</v>
      </c>
    </row>
    <row r="6650" spans="1:40" x14ac:dyDescent="0.25">
      <c r="A6650" t="str">
        <f>"20190312164634383"</f>
        <v>20190312164634383</v>
      </c>
      <c r="B6650" t="str">
        <f>"1552380394378046"</f>
        <v>1552380394378046</v>
      </c>
      <c r="C6650" t="s">
        <v>40</v>
      </c>
      <c r="D6650">
        <v>4.5359189999999998</v>
      </c>
      <c r="E6650">
        <v>0.51836700000000002</v>
      </c>
      <c r="F6650" t="s">
        <v>42</v>
      </c>
      <c r="G6650">
        <v>-185.94970000000001</v>
      </c>
      <c r="H6650" s="1">
        <v>-2.0830330000000001E-6</v>
      </c>
      <c r="I6650">
        <v>62.602359999999997</v>
      </c>
      <c r="J6650">
        <v>-187.5821</v>
      </c>
      <c r="K6650">
        <v>1.1089150000000001</v>
      </c>
      <c r="L6650">
        <v>41.36835</v>
      </c>
      <c r="M6650">
        <v>-1.4175799999999999E-4</v>
      </c>
      <c r="N6650">
        <v>0</v>
      </c>
      <c r="O6650">
        <v>0.99990809999999997</v>
      </c>
      <c r="P6650">
        <v>3.658492E-2</v>
      </c>
      <c r="Q6650">
        <v>0.1221672</v>
      </c>
      <c r="R6650">
        <v>0.99183509999999997</v>
      </c>
      <c r="S6650">
        <v>0.2285461</v>
      </c>
      <c r="T6650">
        <v>-0.15526099999999901</v>
      </c>
      <c r="U6650">
        <v>3.0354610000000002</v>
      </c>
      <c r="V6650">
        <v>3.6730760000000001E-2</v>
      </c>
      <c r="W6650">
        <v>0.1356019</v>
      </c>
      <c r="X6650">
        <v>0.99008229999999997</v>
      </c>
      <c r="Y6650">
        <v>7.5123460000000003E-2</v>
      </c>
      <c r="Z6650">
        <v>-5.0938219999999999E-2</v>
      </c>
      <c r="AA6650">
        <v>0.99587239999999999</v>
      </c>
      <c r="AB6650">
        <v>29</v>
      </c>
      <c r="AC6650">
        <v>1.6323999999999901</v>
      </c>
      <c r="AD6650">
        <v>-1.108917083033</v>
      </c>
      <c r="AE6650">
        <v>21.234010000000001</v>
      </c>
      <c r="AF6650">
        <v>1.6309882789268</v>
      </c>
      <c r="AG6650">
        <v>-1.108917083033</v>
      </c>
      <c r="AH6650">
        <v>21.176363229253202</v>
      </c>
      <c r="AI6650">
        <v>92.988765620440603</v>
      </c>
      <c r="AJ6650">
        <v>85.595814998089196</v>
      </c>
      <c r="AK6650">
        <v>21.2680083571619</v>
      </c>
      <c r="AL6650">
        <v>82.206573661030603</v>
      </c>
      <c r="AM6650">
        <v>87.875375783252196</v>
      </c>
      <c r="AN6650">
        <v>0.99999999239353798</v>
      </c>
    </row>
    <row r="6651" spans="1:40" x14ac:dyDescent="0.25">
      <c r="A6651" t="str">
        <f>"20190312164634407"</f>
        <v>20190312164634407</v>
      </c>
      <c r="B6651" t="str">
        <f>"1552380394397565"</f>
        <v>1552380394397565</v>
      </c>
      <c r="C6651" t="s">
        <v>40</v>
      </c>
      <c r="D6651">
        <v>4.7582240000000002</v>
      </c>
      <c r="E6651">
        <v>0.51853470000000002</v>
      </c>
      <c r="F6651" t="s">
        <v>42</v>
      </c>
      <c r="G6651">
        <v>-185.9785</v>
      </c>
      <c r="H6651" s="1">
        <v>-2.0767040000000001E-6</v>
      </c>
      <c r="I6651">
        <v>62.606279999999998</v>
      </c>
      <c r="J6651">
        <v>-187.5822</v>
      </c>
      <c r="K6651">
        <v>1.1089230000000001</v>
      </c>
      <c r="L6651">
        <v>41.680149999999998</v>
      </c>
      <c r="M6651">
        <v>-1.418278E-4</v>
      </c>
      <c r="N6651">
        <v>0</v>
      </c>
      <c r="O6651">
        <v>0.99990809999999997</v>
      </c>
      <c r="P6651">
        <v>3.6270959999999998E-2</v>
      </c>
      <c r="Q6651">
        <v>0.1221788</v>
      </c>
      <c r="R6651">
        <v>0.99184510000000004</v>
      </c>
      <c r="S6651">
        <v>0.22921749999999999</v>
      </c>
      <c r="T6651">
        <v>-0.1585095</v>
      </c>
      <c r="U6651">
        <v>3.0357669999999999</v>
      </c>
      <c r="V6651">
        <v>3.6416869999999997E-2</v>
      </c>
      <c r="W6651">
        <v>0.1356118</v>
      </c>
      <c r="X6651">
        <v>0.99009250000000004</v>
      </c>
      <c r="Y6651">
        <v>7.5330930000000004E-2</v>
      </c>
      <c r="Z6651">
        <v>-5.1995079999999999E-2</v>
      </c>
      <c r="AA6651">
        <v>0.99580199999999996</v>
      </c>
      <c r="AB6651">
        <v>29</v>
      </c>
      <c r="AC6651">
        <v>1.6036999999999999</v>
      </c>
      <c r="AD6651">
        <v>-1.108925076704</v>
      </c>
      <c r="AE6651">
        <v>20.926130000000001</v>
      </c>
      <c r="AF6651">
        <v>1.6021951647302599</v>
      </c>
      <c r="AG6651">
        <v>-1.108925076704</v>
      </c>
      <c r="AH6651">
        <v>20.867644155394601</v>
      </c>
      <c r="AI6651">
        <v>93.032977367686001</v>
      </c>
      <c r="AJ6651">
        <v>85.609505777904502</v>
      </c>
      <c r="AK6651">
        <v>20.9584187563805</v>
      </c>
      <c r="AL6651">
        <v>82.206000840378806</v>
      </c>
      <c r="AM6651">
        <v>87.893537435833807</v>
      </c>
      <c r="AN6651">
        <v>0.99999995363804195</v>
      </c>
    </row>
    <row r="6652" spans="1:40" x14ac:dyDescent="0.25">
      <c r="A6652" t="str">
        <f>"20190312164634429"</f>
        <v>20190312164634429</v>
      </c>
      <c r="B6652" t="str">
        <f>"1552380394418061"</f>
        <v>1552380394418061</v>
      </c>
      <c r="C6652" t="s">
        <v>40</v>
      </c>
      <c r="D6652">
        <v>4.5649300000000004</v>
      </c>
      <c r="E6652">
        <v>0.51857569999999997</v>
      </c>
      <c r="F6652" t="s">
        <v>42</v>
      </c>
      <c r="G6652">
        <v>-185.9734</v>
      </c>
      <c r="H6652" s="1">
        <v>-2.1931889999999999E-6</v>
      </c>
      <c r="I6652">
        <v>62.944540000000003</v>
      </c>
      <c r="J6652">
        <v>-187.5822</v>
      </c>
      <c r="K6652">
        <v>1.108924</v>
      </c>
      <c r="L6652">
        <v>41.97681</v>
      </c>
      <c r="M6652">
        <v>-1.4191289999999999E-4</v>
      </c>
      <c r="N6652">
        <v>0</v>
      </c>
      <c r="O6652">
        <v>0.99990809999999997</v>
      </c>
      <c r="P6652">
        <v>3.5687009999999998E-2</v>
      </c>
      <c r="Q6652">
        <v>0.1217738</v>
      </c>
      <c r="R6652">
        <v>0.99191609999999997</v>
      </c>
      <c r="S6652">
        <v>0.2296753</v>
      </c>
      <c r="T6652">
        <v>-0.15831339999999999</v>
      </c>
      <c r="U6652">
        <v>3.0357669999999999</v>
      </c>
      <c r="V6652">
        <v>3.5832999999999997E-2</v>
      </c>
      <c r="W6652">
        <v>0.13520650000000001</v>
      </c>
      <c r="X6652">
        <v>0.99016930000000003</v>
      </c>
      <c r="Y6652">
        <v>7.5480569999999997E-2</v>
      </c>
      <c r="Z6652">
        <v>-5.1930329999999997E-2</v>
      </c>
      <c r="AA6652">
        <v>0.99579410000000002</v>
      </c>
      <c r="AB6652">
        <v>29</v>
      </c>
      <c r="AC6652">
        <v>1.6088</v>
      </c>
      <c r="AD6652">
        <v>-1.108926193189</v>
      </c>
      <c r="AE6652">
        <v>20.96773</v>
      </c>
      <c r="AF6652">
        <v>1.60730642114656</v>
      </c>
      <c r="AG6652">
        <v>-1.108926193189</v>
      </c>
      <c r="AH6652">
        <v>20.909358927481801</v>
      </c>
      <c r="AI6652">
        <v>93.026919735327198</v>
      </c>
      <c r="AJ6652">
        <v>85.604306954757106</v>
      </c>
      <c r="AK6652">
        <v>21.000343854129198</v>
      </c>
      <c r="AL6652">
        <v>82.229439224383896</v>
      </c>
      <c r="AM6652">
        <v>87.927441180912894</v>
      </c>
      <c r="AN6652">
        <v>1.0000000220968599</v>
      </c>
    </row>
    <row r="6653" spans="1:40" x14ac:dyDescent="0.25">
      <c r="A6653" t="str">
        <f>"20190312164634450"</f>
        <v>20190312164634450</v>
      </c>
      <c r="B6653" t="str">
        <f>"1552380394437581"</f>
        <v>1552380394437581</v>
      </c>
      <c r="C6653" t="s">
        <v>40</v>
      </c>
      <c r="D6653">
        <v>4.7179679999999999</v>
      </c>
      <c r="E6653">
        <v>0.51849809999999996</v>
      </c>
      <c r="F6653" t="s">
        <v>42</v>
      </c>
      <c r="G6653">
        <v>-185.99789999999999</v>
      </c>
      <c r="H6653" s="1">
        <v>-2.2116059999999999E-6</v>
      </c>
      <c r="I6653">
        <v>63.017809999999997</v>
      </c>
      <c r="J6653">
        <v>-187.5822</v>
      </c>
      <c r="K6653">
        <v>1.10893</v>
      </c>
      <c r="L6653">
        <v>42.243769999999998</v>
      </c>
      <c r="M6653">
        <v>-1.4200509999999999E-4</v>
      </c>
      <c r="N6653">
        <v>0</v>
      </c>
      <c r="O6653">
        <v>0.99990809999999997</v>
      </c>
      <c r="P6653">
        <v>3.5361579999999997E-2</v>
      </c>
      <c r="Q6653">
        <v>0.12201430000000001</v>
      </c>
      <c r="R6653">
        <v>0.99189819999999995</v>
      </c>
      <c r="S6653">
        <v>0.22859189999999999</v>
      </c>
      <c r="T6653">
        <v>-0.15999910000000001</v>
      </c>
      <c r="U6653">
        <v>3.0358580000000002</v>
      </c>
      <c r="V6653">
        <v>3.550768E-2</v>
      </c>
      <c r="W6653">
        <v>0.1354455</v>
      </c>
      <c r="X6653">
        <v>0.99014829999999998</v>
      </c>
      <c r="Y6653">
        <v>7.5122889999999998E-2</v>
      </c>
      <c r="Z6653">
        <v>-5.248162E-2</v>
      </c>
      <c r="AA6653">
        <v>0.99579229999999996</v>
      </c>
      <c r="AB6653">
        <v>29</v>
      </c>
      <c r="AC6653">
        <v>1.58430000000001</v>
      </c>
      <c r="AD6653">
        <v>-1.1089322116060001</v>
      </c>
      <c r="AE6653">
        <v>20.774039999999999</v>
      </c>
      <c r="AF6653">
        <v>1.58276626790258</v>
      </c>
      <c r="AG6653">
        <v>-1.1089322116060001</v>
      </c>
      <c r="AH6653">
        <v>20.71512843947</v>
      </c>
      <c r="AI6653">
        <v>93.055371743184807</v>
      </c>
      <c r="AJ6653">
        <v>85.630730908921095</v>
      </c>
      <c r="AK6653">
        <v>20.805081734338099</v>
      </c>
      <c r="AL6653">
        <v>82.215617968911502</v>
      </c>
      <c r="AM6653">
        <v>87.946197783090199</v>
      </c>
      <c r="AN6653">
        <v>0.99999996740106001</v>
      </c>
    </row>
    <row r="6654" spans="1:40" x14ac:dyDescent="0.25">
      <c r="A6654" t="str">
        <f>"20190312164634472"</f>
        <v>20190312164634472</v>
      </c>
      <c r="B6654" t="str">
        <f>"1552380394467838"</f>
        <v>1552380394467838</v>
      </c>
      <c r="C6654" t="s">
        <v>40</v>
      </c>
      <c r="D6654">
        <v>4.8593339999999996</v>
      </c>
      <c r="E6654">
        <v>0.51881920000000004</v>
      </c>
      <c r="F6654" t="s">
        <v>42</v>
      </c>
      <c r="G6654">
        <v>-186.00819999999999</v>
      </c>
      <c r="H6654" s="1">
        <v>-2.3078880000000001E-6</v>
      </c>
      <c r="I6654">
        <v>63.308790000000002</v>
      </c>
      <c r="J6654">
        <v>-187.5823</v>
      </c>
      <c r="K6654">
        <v>1.1089359999999999</v>
      </c>
      <c r="L6654">
        <v>42.536380000000001</v>
      </c>
      <c r="M6654">
        <v>-1.421146E-4</v>
      </c>
      <c r="N6654">
        <v>0</v>
      </c>
      <c r="O6654">
        <v>0.99990809999999997</v>
      </c>
      <c r="P6654">
        <v>3.4924070000000002E-2</v>
      </c>
      <c r="Q6654">
        <v>0.122195</v>
      </c>
      <c r="R6654">
        <v>0.99189139999999998</v>
      </c>
      <c r="S6654">
        <v>0.22686770000000001</v>
      </c>
      <c r="T6654">
        <v>-0.1598289</v>
      </c>
      <c r="U6654">
        <v>3.0360719999999999</v>
      </c>
      <c r="V6654">
        <v>3.5070259999999999E-2</v>
      </c>
      <c r="W6654">
        <v>0.13562460000000001</v>
      </c>
      <c r="X6654">
        <v>0.9901394</v>
      </c>
      <c r="Y6654">
        <v>7.45556E-2</v>
      </c>
      <c r="Z6654">
        <v>-5.2424489999999997E-2</v>
      </c>
      <c r="AA6654">
        <v>0.99583790000000005</v>
      </c>
      <c r="AB6654">
        <v>29</v>
      </c>
      <c r="AC6654">
        <v>1.57410000000001</v>
      </c>
      <c r="AD6654">
        <v>-1.108938307888</v>
      </c>
      <c r="AE6654">
        <v>20.772410000000001</v>
      </c>
      <c r="AF6654">
        <v>1.5725960487487201</v>
      </c>
      <c r="AG6654">
        <v>-1.108938307888</v>
      </c>
      <c r="AH6654">
        <v>20.713490197750399</v>
      </c>
      <c r="AI6654">
        <v>93.055741703127694</v>
      </c>
      <c r="AJ6654">
        <v>85.658356354370497</v>
      </c>
      <c r="AK6654">
        <v>20.802679603251601</v>
      </c>
      <c r="AL6654">
        <v>82.205260927002797</v>
      </c>
      <c r="AM6654">
        <v>87.971459136741004</v>
      </c>
      <c r="AN6654">
        <v>0.99999999334699297</v>
      </c>
    </row>
    <row r="6655" spans="1:40" x14ac:dyDescent="0.25">
      <c r="A6655" t="str">
        <f>"20190312164634495"</f>
        <v>20190312164634495</v>
      </c>
      <c r="B6655" t="str">
        <f>"1552380394488334"</f>
        <v>1552380394488334</v>
      </c>
      <c r="C6655" t="s">
        <v>40</v>
      </c>
      <c r="D6655">
        <v>4.6101539999999996</v>
      </c>
      <c r="E6655">
        <v>0.51874179999999903</v>
      </c>
      <c r="F6655" t="s">
        <v>42</v>
      </c>
      <c r="G6655">
        <v>-185.95269999999999</v>
      </c>
      <c r="H6655" s="1">
        <v>-2.6809699999999998E-6</v>
      </c>
      <c r="I6655">
        <v>64.208659999999995</v>
      </c>
      <c r="J6655">
        <v>-187.5823</v>
      </c>
      <c r="K6655">
        <v>1.10894</v>
      </c>
      <c r="L6655">
        <v>42.838099999999997</v>
      </c>
      <c r="M6655">
        <v>-1.4222179999999999E-4</v>
      </c>
      <c r="N6655">
        <v>0</v>
      </c>
      <c r="O6655">
        <v>0.99990820000000002</v>
      </c>
      <c r="P6655">
        <v>3.4631179999999998E-2</v>
      </c>
      <c r="Q6655">
        <v>0.1223236</v>
      </c>
      <c r="R6655">
        <v>0.99188589999999999</v>
      </c>
      <c r="S6655">
        <v>0.22825619999999999</v>
      </c>
      <c r="T6655">
        <v>-0.15532789999999999</v>
      </c>
      <c r="U6655">
        <v>3.0356139999999998</v>
      </c>
      <c r="V6655">
        <v>3.4777490000000001E-2</v>
      </c>
      <c r="W6655">
        <v>0.13575119999999999</v>
      </c>
      <c r="X6655">
        <v>0.99013240000000002</v>
      </c>
      <c r="Y6655">
        <v>7.5025519999999998E-2</v>
      </c>
      <c r="Z6655">
        <v>-5.0957929999999999E-2</v>
      </c>
      <c r="AA6655">
        <v>0.99587879999999995</v>
      </c>
      <c r="AB6655">
        <v>29</v>
      </c>
      <c r="AC6655">
        <v>1.6296000000000099</v>
      </c>
      <c r="AD6655">
        <v>-1.10894268097</v>
      </c>
      <c r="AE6655">
        <v>21.370560000000001</v>
      </c>
      <c r="AF6655">
        <v>1.6282805140985801</v>
      </c>
      <c r="AG6655">
        <v>-1.10894268097</v>
      </c>
      <c r="AH6655">
        <v>21.313269743834599</v>
      </c>
      <c r="AI6655">
        <v>92.969810646999903</v>
      </c>
      <c r="AJ6655">
        <v>85.631232077526505</v>
      </c>
      <c r="AK6655">
        <v>21.404123866108701</v>
      </c>
      <c r="AL6655">
        <v>82.197939747090004</v>
      </c>
      <c r="AM6655">
        <v>87.988365415106699</v>
      </c>
      <c r="AN6655">
        <v>1.0000000158209501</v>
      </c>
    </row>
    <row r="6656" spans="1:40" x14ac:dyDescent="0.25">
      <c r="A6656" t="str">
        <f>"20190312164634518"</f>
        <v>20190312164634518</v>
      </c>
      <c r="B6656" t="str">
        <f>"1552380394507853"</f>
        <v>1552380394507853</v>
      </c>
      <c r="C6656" t="s">
        <v>40</v>
      </c>
      <c r="D6656">
        <v>4.7428900000000001</v>
      </c>
      <c r="E6656">
        <v>0.51867059999999998</v>
      </c>
      <c r="F6656" t="s">
        <v>42</v>
      </c>
      <c r="G6656">
        <v>-185.9727</v>
      </c>
      <c r="H6656" s="1">
        <v>-2.7768560000000001E-6</v>
      </c>
      <c r="I6656">
        <v>64.440479999999994</v>
      </c>
      <c r="J6656">
        <v>-187.5823</v>
      </c>
      <c r="K6656">
        <v>1.10894</v>
      </c>
      <c r="L6656">
        <v>43.141330000000004</v>
      </c>
      <c r="M6656">
        <v>-1.4236040000000001E-4</v>
      </c>
      <c r="N6656">
        <v>0</v>
      </c>
      <c r="O6656">
        <v>0.99990820000000002</v>
      </c>
      <c r="P6656">
        <v>3.4535839999999998E-2</v>
      </c>
      <c r="Q6656">
        <v>0.1223656</v>
      </c>
      <c r="R6656">
        <v>0.99188410000000005</v>
      </c>
      <c r="S6656">
        <v>0.22619629999999999</v>
      </c>
      <c r="T6656">
        <v>-0.1558436</v>
      </c>
      <c r="U6656">
        <v>3.0358580000000002</v>
      </c>
      <c r="V6656">
        <v>3.4682280000000003E-2</v>
      </c>
      <c r="W6656">
        <v>0.13579179999999999</v>
      </c>
      <c r="X6656">
        <v>0.99013010000000001</v>
      </c>
      <c r="Y6656">
        <v>7.4347040000000003E-2</v>
      </c>
      <c r="Z6656">
        <v>-5.1125169999999998E-2</v>
      </c>
      <c r="AA6656">
        <v>0.9959211</v>
      </c>
      <c r="AB6656">
        <v>29</v>
      </c>
      <c r="AC6656">
        <v>1.6095999999999999</v>
      </c>
      <c r="AD6656">
        <v>-1.1089427768560001</v>
      </c>
      <c r="AE6656">
        <v>21.299150000000001</v>
      </c>
      <c r="AF6656">
        <v>1.6082974394905201</v>
      </c>
      <c r="AG6656">
        <v>-1.1089427768560001</v>
      </c>
      <c r="AH6656">
        <v>21.241666187535799</v>
      </c>
      <c r="AI6656">
        <v>92.979957506033898</v>
      </c>
      <c r="AJ6656">
        <v>85.670152591955997</v>
      </c>
      <c r="AK6656">
        <v>21.331309316563701</v>
      </c>
      <c r="AL6656">
        <v>82.195591234511099</v>
      </c>
      <c r="AM6656">
        <v>87.993863485342501</v>
      </c>
      <c r="AN6656">
        <v>0.99999994420962202</v>
      </c>
    </row>
    <row r="6657" spans="1:40" x14ac:dyDescent="0.25">
      <c r="A6657" t="str">
        <f>"20190312164634541"</f>
        <v>20190312164634541</v>
      </c>
      <c r="B6657" t="str">
        <f>"1552380394538110"</f>
        <v>1552380394538110</v>
      </c>
      <c r="C6657" t="s">
        <v>40</v>
      </c>
      <c r="D6657">
        <v>4.697419</v>
      </c>
      <c r="E6657">
        <v>0.51861369999999996</v>
      </c>
      <c r="F6657" t="s">
        <v>42</v>
      </c>
      <c r="G6657">
        <v>-185.97790000000001</v>
      </c>
      <c r="H6657" s="1">
        <v>-2.9269490000000002E-6</v>
      </c>
      <c r="I6657">
        <v>64.792469999999994</v>
      </c>
      <c r="J6657">
        <v>-187.58240000000001</v>
      </c>
      <c r="K6657">
        <v>1.108943</v>
      </c>
      <c r="L6657">
        <v>43.43085</v>
      </c>
      <c r="M6657">
        <v>-1.4248350000000001E-4</v>
      </c>
      <c r="N6657">
        <v>0</v>
      </c>
      <c r="O6657">
        <v>0.99990820000000002</v>
      </c>
      <c r="P6657">
        <v>3.4766119999999998E-2</v>
      </c>
      <c r="Q6657">
        <v>0.12250519999999999</v>
      </c>
      <c r="R6657">
        <v>0.99185880000000004</v>
      </c>
      <c r="S6657">
        <v>0.2249756</v>
      </c>
      <c r="T6657">
        <v>-0.1554942</v>
      </c>
      <c r="U6657">
        <v>3.0358890000000001</v>
      </c>
      <c r="V6657">
        <v>3.4912690000000003E-2</v>
      </c>
      <c r="W6657">
        <v>0.13592979999999999</v>
      </c>
      <c r="X6657">
        <v>0.99010310000000001</v>
      </c>
      <c r="Y6657">
        <v>7.3948600000000003E-2</v>
      </c>
      <c r="Z6657">
        <v>-5.1011859999999999E-2</v>
      </c>
      <c r="AA6657">
        <v>0.99595650000000002</v>
      </c>
      <c r="AB6657">
        <v>29</v>
      </c>
      <c r="AC6657">
        <v>1.6045</v>
      </c>
      <c r="AD6657">
        <v>-1.1089459269490001</v>
      </c>
      <c r="AE6657">
        <v>21.361619999999899</v>
      </c>
      <c r="AF6657">
        <v>1.6032474925107001</v>
      </c>
      <c r="AG6657">
        <v>-1.1089459269490001</v>
      </c>
      <c r="AH6657">
        <v>21.3042990051255</v>
      </c>
      <c r="AI6657">
        <v>92.971323152569994</v>
      </c>
      <c r="AJ6657">
        <v>85.696338382740393</v>
      </c>
      <c r="AK6657">
        <v>21.393300813360401</v>
      </c>
      <c r="AL6657">
        <v>82.187610679856903</v>
      </c>
      <c r="AM6657">
        <v>87.980491791412206</v>
      </c>
      <c r="AN6657">
        <v>0.99999997754034198</v>
      </c>
    </row>
    <row r="6658" spans="1:40" x14ac:dyDescent="0.25">
      <c r="A6658" t="str">
        <f>"20190312164634563"</f>
        <v>20190312164634563</v>
      </c>
      <c r="B6658" t="str">
        <f>"1552380394557630"</f>
        <v>1552380394557630</v>
      </c>
      <c r="C6658" t="s">
        <v>40</v>
      </c>
      <c r="D6658">
        <v>4.8240150000000002</v>
      </c>
      <c r="E6658">
        <v>0.51841539999999997</v>
      </c>
      <c r="F6658" t="s">
        <v>42</v>
      </c>
      <c r="G6658">
        <v>-185.98009999999999</v>
      </c>
      <c r="H6658" s="1">
        <v>-3.0225010000000001E-6</v>
      </c>
      <c r="I6658">
        <v>65.016139999999993</v>
      </c>
      <c r="J6658">
        <v>-187.58240000000001</v>
      </c>
      <c r="K6658">
        <v>1.1089439999999999</v>
      </c>
      <c r="L6658">
        <v>43.718989999999998</v>
      </c>
      <c r="M6658">
        <v>-1.4258059999999999E-4</v>
      </c>
      <c r="N6658">
        <v>0</v>
      </c>
      <c r="O6658">
        <v>0.99990829999999997</v>
      </c>
      <c r="P6658">
        <v>3.4778450000000002E-2</v>
      </c>
      <c r="Q6658">
        <v>0.12246360000000001</v>
      </c>
      <c r="R6658">
        <v>0.99186350000000001</v>
      </c>
      <c r="S6658">
        <v>0.2253571</v>
      </c>
      <c r="T6658">
        <v>-0.15597520000000001</v>
      </c>
      <c r="U6658">
        <v>3.0360109999999998</v>
      </c>
      <c r="V6658">
        <v>3.4925119999999997E-2</v>
      </c>
      <c r="W6658">
        <v>0.13588629999999999</v>
      </c>
      <c r="X6658">
        <v>0.99010869999999995</v>
      </c>
      <c r="Y6658">
        <v>7.4069620000000003E-2</v>
      </c>
      <c r="Z6658">
        <v>-5.1166730000000001E-2</v>
      </c>
      <c r="AA6658">
        <v>0.99593960000000004</v>
      </c>
      <c r="AB6658">
        <v>29</v>
      </c>
      <c r="AC6658">
        <v>1.60230000000001</v>
      </c>
      <c r="AD6658">
        <v>-1.1089470225010001</v>
      </c>
      <c r="AE6658">
        <v>21.297149999999998</v>
      </c>
      <c r="AF6658">
        <v>1.6010203980861899</v>
      </c>
      <c r="AG6658">
        <v>-1.1089470225010001</v>
      </c>
      <c r="AH6658">
        <v>21.239658211979201</v>
      </c>
      <c r="AI6658">
        <v>92.980325074217802</v>
      </c>
      <c r="AJ6658">
        <v>85.689263834598407</v>
      </c>
      <c r="AK6658">
        <v>21.328762523304</v>
      </c>
      <c r="AL6658">
        <v>82.190126912094499</v>
      </c>
      <c r="AM6658">
        <v>87.979784796381793</v>
      </c>
      <c r="AN6658">
        <v>1.00000004417519</v>
      </c>
    </row>
    <row r="6659" spans="1:40" x14ac:dyDescent="0.25">
      <c r="A6659" t="str">
        <f>"20190312164634584"</f>
        <v>20190312164634584</v>
      </c>
      <c r="B6659" t="str">
        <f>"1552380394578126"</f>
        <v>1552380394578126</v>
      </c>
      <c r="C6659" t="s">
        <v>40</v>
      </c>
      <c r="D6659">
        <v>4.6533509999999998</v>
      </c>
      <c r="E6659">
        <v>0.48152919999999999</v>
      </c>
      <c r="F6659" t="s">
        <v>42</v>
      </c>
      <c r="G6659">
        <v>-186.00129999999999</v>
      </c>
      <c r="H6659" s="1">
        <v>-3.076082E-6</v>
      </c>
      <c r="I6659">
        <v>65.149789999999996</v>
      </c>
      <c r="J6659">
        <v>-187.58240000000001</v>
      </c>
      <c r="K6659">
        <v>1.1089420000000001</v>
      </c>
      <c r="L6659">
        <v>44.00226</v>
      </c>
      <c r="M6659">
        <v>-1.4268700000000001E-4</v>
      </c>
      <c r="N6659">
        <v>0</v>
      </c>
      <c r="O6659">
        <v>0.99990829999999997</v>
      </c>
      <c r="P6659">
        <v>3.5253189999999997E-2</v>
      </c>
      <c r="Q6659">
        <v>0.1229013</v>
      </c>
      <c r="R6659">
        <v>0.99179260000000002</v>
      </c>
      <c r="S6659">
        <v>0.223999</v>
      </c>
      <c r="T6659">
        <v>-0.15710629999999901</v>
      </c>
      <c r="U6659">
        <v>3.036133</v>
      </c>
      <c r="V6659">
        <v>3.5399960000000001E-2</v>
      </c>
      <c r="W6659">
        <v>0.1363219</v>
      </c>
      <c r="X6659">
        <v>0.99003189999999996</v>
      </c>
      <c r="Y6659">
        <v>7.3622300000000002E-2</v>
      </c>
      <c r="Z6659">
        <v>-5.1536409999999998E-2</v>
      </c>
      <c r="AA6659">
        <v>0.99595370000000005</v>
      </c>
      <c r="AB6659">
        <v>29</v>
      </c>
      <c r="AC6659">
        <v>1.5811000000000199</v>
      </c>
      <c r="AD6659">
        <v>-1.1089450760819899</v>
      </c>
      <c r="AE6659">
        <v>21.14753</v>
      </c>
      <c r="AF6659">
        <v>1.57979776163866</v>
      </c>
      <c r="AG6659">
        <v>-1.1089450760819899</v>
      </c>
      <c r="AH6659">
        <v>21.089634295023401</v>
      </c>
      <c r="AI6659">
        <v>93.001587363483097</v>
      </c>
      <c r="AJ6659">
        <v>85.716046732363495</v>
      </c>
      <c r="AK6659">
        <v>21.177775965555799</v>
      </c>
      <c r="AL6659">
        <v>82.164934019229193</v>
      </c>
      <c r="AM6659">
        <v>87.9521825788987</v>
      </c>
      <c r="AN6659">
        <v>0.99999999030261</v>
      </c>
    </row>
    <row r="6660" spans="1:40" x14ac:dyDescent="0.25">
      <c r="A6660" t="str">
        <f>"20190312164634608"</f>
        <v>20190312164634608</v>
      </c>
      <c r="B6660" t="str">
        <f>"1552380394597646"</f>
        <v>1552380394597646</v>
      </c>
      <c r="C6660" t="s">
        <v>40</v>
      </c>
      <c r="D6660">
        <v>4.7547550000000003</v>
      </c>
      <c r="E6660">
        <v>0.48085260000000002</v>
      </c>
      <c r="F6660" t="s">
        <v>42</v>
      </c>
      <c r="G6660">
        <v>-187.9838</v>
      </c>
      <c r="H6660" s="1">
        <v>-1.1182740000000001E-6</v>
      </c>
      <c r="I6660">
        <v>61.357759999999999</v>
      </c>
      <c r="J6660">
        <v>-187.58250000000001</v>
      </c>
      <c r="K6660">
        <v>1.10894</v>
      </c>
      <c r="L6660">
        <v>44.306269999999998</v>
      </c>
      <c r="M6660">
        <v>-1.4280629999999901E-4</v>
      </c>
      <c r="N6660">
        <v>0</v>
      </c>
      <c r="O6660">
        <v>0.99990829999999997</v>
      </c>
      <c r="P6660">
        <v>3.5439709999999999E-2</v>
      </c>
      <c r="Q6660">
        <v>0.122712</v>
      </c>
      <c r="R6660">
        <v>0.99180939999999995</v>
      </c>
      <c r="S6660">
        <v>-7.0571899999999896E-2</v>
      </c>
      <c r="T6660">
        <v>-0.19497880000000001</v>
      </c>
      <c r="U6660">
        <v>3.0515140000000001</v>
      </c>
      <c r="V6660">
        <v>3.5586600000000003E-2</v>
      </c>
      <c r="W6660">
        <v>0.136131</v>
      </c>
      <c r="X6660">
        <v>0.99005149999999997</v>
      </c>
      <c r="Y6660">
        <v>-2.2930860000000001E-2</v>
      </c>
      <c r="Z6660">
        <v>-6.3748860000000004E-2</v>
      </c>
      <c r="AA6660">
        <v>0.99770250000000005</v>
      </c>
      <c r="AB6660">
        <v>29</v>
      </c>
      <c r="AC6660">
        <v>-0.401299999999992</v>
      </c>
      <c r="AD6660">
        <v>-1.1089411182739899</v>
      </c>
      <c r="AE6660">
        <v>17.051490000000001</v>
      </c>
      <c r="AF6660">
        <v>-0.39718573264414703</v>
      </c>
      <c r="AG6660">
        <v>-1.1089411182739899</v>
      </c>
      <c r="AH6660">
        <v>16.9797704144646</v>
      </c>
      <c r="AI6660">
        <v>93.735635769067201</v>
      </c>
      <c r="AJ6660">
        <v>91.3400014426377</v>
      </c>
      <c r="AK6660">
        <v>17.020579021817699</v>
      </c>
      <c r="AL6660">
        <v>82.175974894230805</v>
      </c>
      <c r="AM6660">
        <v>87.941435809527505</v>
      </c>
      <c r="AN6660">
        <v>1.0000000139564</v>
      </c>
    </row>
    <row r="6661" spans="1:40" x14ac:dyDescent="0.25">
      <c r="A6661" t="str">
        <f>"20190312164634631"</f>
        <v>20190312164634631</v>
      </c>
      <c r="B6661" t="str">
        <f>"1552380394627901"</f>
        <v>1552380394627901</v>
      </c>
      <c r="C6661" t="s">
        <v>40</v>
      </c>
      <c r="D6661">
        <v>4.6851409999999998</v>
      </c>
      <c r="E6661">
        <v>0.47942960000000001</v>
      </c>
      <c r="F6661" t="s">
        <v>42</v>
      </c>
      <c r="G6661">
        <v>-188.11150000000001</v>
      </c>
      <c r="H6661" s="1">
        <v>-3.1645450000000001E-6</v>
      </c>
      <c r="I6661">
        <v>66.228530000000006</v>
      </c>
      <c r="J6661">
        <v>-187.58250000000001</v>
      </c>
      <c r="K6661">
        <v>1.1089389999999999</v>
      </c>
      <c r="L6661">
        <v>44.61392</v>
      </c>
      <c r="M6661">
        <v>-1.429159E-4</v>
      </c>
      <c r="N6661">
        <v>0</v>
      </c>
      <c r="O6661">
        <v>0.99990829999999997</v>
      </c>
      <c r="P6661">
        <v>3.6123120000000002E-2</v>
      </c>
      <c r="Q6661">
        <v>0.1228612</v>
      </c>
      <c r="R6661">
        <v>0.99176620000000004</v>
      </c>
      <c r="S6661">
        <v>-7.3516849999999995E-2</v>
      </c>
      <c r="T6661">
        <v>-0.15410699999999999</v>
      </c>
      <c r="U6661">
        <v>3.046478</v>
      </c>
      <c r="V6661">
        <v>3.6270120000000003E-2</v>
      </c>
      <c r="W6661">
        <v>0.13627800000000001</v>
      </c>
      <c r="X6661">
        <v>0.99000639999999995</v>
      </c>
      <c r="Y6661">
        <v>-2.3951050000000002E-2</v>
      </c>
      <c r="Z6661">
        <v>-5.050611E-2</v>
      </c>
      <c r="AA6661">
        <v>0.99843649999999995</v>
      </c>
      <c r="AB6661">
        <v>29</v>
      </c>
      <c r="AC6661">
        <v>-0.52899999999999603</v>
      </c>
      <c r="AD6661">
        <v>-1.1089421645449999</v>
      </c>
      <c r="AE6661">
        <v>21.614609999999999</v>
      </c>
      <c r="AF6661">
        <v>-0.52453078344194604</v>
      </c>
      <c r="AG6661">
        <v>-1.1089421645449999</v>
      </c>
      <c r="AH6661">
        <v>21.557973923237899</v>
      </c>
      <c r="AI6661">
        <v>92.943829673659394</v>
      </c>
      <c r="AJ6661">
        <v>91.393798495687705</v>
      </c>
      <c r="AK6661">
        <v>21.592848930654998</v>
      </c>
      <c r="AL6661">
        <v>82.167472629548399</v>
      </c>
      <c r="AM6661">
        <v>87.901836005014204</v>
      </c>
      <c r="AN6661">
        <v>0.99999994346488497</v>
      </c>
    </row>
    <row r="6662" spans="1:40" x14ac:dyDescent="0.25">
      <c r="A6662" t="str">
        <f>"20190312164634651"</f>
        <v>20190312164634651</v>
      </c>
      <c r="B6662" t="str">
        <f>"1552380394648398"</f>
        <v>1552380394648398</v>
      </c>
      <c r="C6662" t="s">
        <v>40</v>
      </c>
      <c r="D6662">
        <v>4.8648669999999896</v>
      </c>
      <c r="E6662">
        <v>0.47924159999999999</v>
      </c>
      <c r="F6662" t="s">
        <v>42</v>
      </c>
      <c r="G6662">
        <v>-188.36269999999999</v>
      </c>
      <c r="H6662" s="1">
        <v>-1.9977960000000001E-6</v>
      </c>
      <c r="I6662">
        <v>73.612669999999994</v>
      </c>
      <c r="J6662">
        <v>-187.58250000000001</v>
      </c>
      <c r="K6662">
        <v>1.1089450000000001</v>
      </c>
      <c r="L6662">
        <v>44.867429999999999</v>
      </c>
      <c r="M6662">
        <v>-1.4301489999999999E-4</v>
      </c>
      <c r="N6662">
        <v>0</v>
      </c>
      <c r="O6662">
        <v>0.99990829999999997</v>
      </c>
      <c r="P6662">
        <v>3.6001440000000003E-2</v>
      </c>
      <c r="Q6662">
        <v>0.1229523</v>
      </c>
      <c r="R6662">
        <v>0.99175939999999996</v>
      </c>
      <c r="S6662">
        <v>-8.184814E-2</v>
      </c>
      <c r="T6662">
        <v>-0.1163405</v>
      </c>
      <c r="U6662">
        <v>3.042297</v>
      </c>
      <c r="V6662">
        <v>3.614854E-2</v>
      </c>
      <c r="W6662">
        <v>0.13636770000000001</v>
      </c>
      <c r="X6662">
        <v>0.98999859999999995</v>
      </c>
      <c r="Y6662">
        <v>-2.6731069999999999E-2</v>
      </c>
      <c r="Z6662">
        <v>-3.8199360000000002E-2</v>
      </c>
      <c r="AA6662">
        <v>0.99891249999999998</v>
      </c>
      <c r="AB6662">
        <v>29</v>
      </c>
      <c r="AC6662">
        <v>-0.78019999999997902</v>
      </c>
      <c r="AD6662">
        <v>-1.108946997796</v>
      </c>
      <c r="AE6662">
        <v>28.7452399999999</v>
      </c>
      <c r="AF6662">
        <v>-0.77493613107005499</v>
      </c>
      <c r="AG6662">
        <v>-1.108946997796</v>
      </c>
      <c r="AH6662">
        <v>28.702664643929101</v>
      </c>
      <c r="AI6662">
        <v>92.211755832245998</v>
      </c>
      <c r="AJ6662">
        <v>91.546538853722694</v>
      </c>
      <c r="AK6662">
        <v>28.734530570604701</v>
      </c>
      <c r="AL6662">
        <v>82.162285585090302</v>
      </c>
      <c r="AM6662">
        <v>87.908846483145297</v>
      </c>
      <c r="AN6662">
        <v>1.0000000472746799</v>
      </c>
    </row>
    <row r="6663" spans="1:40" x14ac:dyDescent="0.25">
      <c r="A6663" t="str">
        <f>"20190312164634673"</f>
        <v>20190312164634673</v>
      </c>
      <c r="B6663" t="str">
        <f>"1552380394667919"</f>
        <v>1552380394667919</v>
      </c>
      <c r="C6663" t="s">
        <v>40</v>
      </c>
      <c r="D6663">
        <v>4.7277040000000001</v>
      </c>
      <c r="E6663">
        <v>0.47929749999999999</v>
      </c>
      <c r="F6663" t="s">
        <v>42</v>
      </c>
      <c r="G6663">
        <v>-188.4348</v>
      </c>
      <c r="H6663" s="1">
        <v>-3.0585169999999999E-6</v>
      </c>
      <c r="I6663">
        <v>76.115049999999997</v>
      </c>
      <c r="J6663">
        <v>-187.58260000000001</v>
      </c>
      <c r="K6663">
        <v>1.108949</v>
      </c>
      <c r="L6663">
        <v>45.164029999999997</v>
      </c>
      <c r="M6663">
        <v>-1.4313149999999999E-4</v>
      </c>
      <c r="N6663">
        <v>0</v>
      </c>
      <c r="O6663">
        <v>0.99990829999999997</v>
      </c>
      <c r="P6663">
        <v>3.5826690000000001E-2</v>
      </c>
      <c r="Q6663">
        <v>0.12261039999999999</v>
      </c>
      <c r="R6663">
        <v>0.99180800000000002</v>
      </c>
      <c r="S6663">
        <v>-8.2946779999999998E-2</v>
      </c>
      <c r="T6663">
        <v>-0.1079335</v>
      </c>
      <c r="U6663">
        <v>3.0413209999999999</v>
      </c>
      <c r="V6663">
        <v>3.5973890000000001E-2</v>
      </c>
      <c r="W6663">
        <v>0.13602520000000001</v>
      </c>
      <c r="X6663">
        <v>0.99005200000000004</v>
      </c>
      <c r="Y6663">
        <v>-2.7102910000000001E-2</v>
      </c>
      <c r="Z6663">
        <v>-3.5453610000000003E-2</v>
      </c>
      <c r="AA6663">
        <v>0.9990038</v>
      </c>
      <c r="AB6663">
        <v>29</v>
      </c>
      <c r="AC6663">
        <v>-0.85219999999998197</v>
      </c>
      <c r="AD6663">
        <v>-1.1089520585169901</v>
      </c>
      <c r="AE6663">
        <v>30.95102</v>
      </c>
      <c r="AF6663">
        <v>-0.84668342478224001</v>
      </c>
      <c r="AG6663">
        <v>-1.1089520585169901</v>
      </c>
      <c r="AH6663">
        <v>30.9114895495211</v>
      </c>
      <c r="AI6663">
        <v>92.053839709636506</v>
      </c>
      <c r="AJ6663">
        <v>91.568971964929801</v>
      </c>
      <c r="AK6663">
        <v>30.942960971116602</v>
      </c>
      <c r="AL6663">
        <v>82.182093352406497</v>
      </c>
      <c r="AM6663">
        <v>87.919053036202797</v>
      </c>
      <c r="AN6663">
        <v>0.99999996925038503</v>
      </c>
    </row>
    <row r="6664" spans="1:40" x14ac:dyDescent="0.25">
      <c r="A6664" t="str">
        <f>"20190312164634696"</f>
        <v>20190312164634696</v>
      </c>
      <c r="B6664" t="str">
        <f>"1552380394687439"</f>
        <v>1552380394687439</v>
      </c>
      <c r="C6664" t="s">
        <v>40</v>
      </c>
      <c r="D6664">
        <v>4.7088970000000003</v>
      </c>
      <c r="E6664">
        <v>0.47934969999999999</v>
      </c>
      <c r="F6664" t="s">
        <v>42</v>
      </c>
      <c r="G6664">
        <v>-188.47550000000001</v>
      </c>
      <c r="H6664" s="1">
        <v>-3.916165E-6</v>
      </c>
      <c r="I6664">
        <v>78.13109</v>
      </c>
      <c r="J6664">
        <v>-187.58260000000001</v>
      </c>
      <c r="K6664">
        <v>1.108946</v>
      </c>
      <c r="L6664">
        <v>45.453220000000002</v>
      </c>
      <c r="M6664">
        <v>-1.432374E-4</v>
      </c>
      <c r="N6664">
        <v>0</v>
      </c>
      <c r="O6664">
        <v>0.99990840000000003</v>
      </c>
      <c r="P6664">
        <v>3.6012170000000003E-2</v>
      </c>
      <c r="Q6664">
        <v>0.1224394</v>
      </c>
      <c r="R6664">
        <v>0.99182239999999999</v>
      </c>
      <c r="S6664">
        <v>-8.2351679999999997E-2</v>
      </c>
      <c r="T6664">
        <v>-0.10227269999999999</v>
      </c>
      <c r="U6664">
        <v>3.040375</v>
      </c>
      <c r="V6664">
        <v>3.6159490000000002E-2</v>
      </c>
      <c r="W6664">
        <v>0.135852799999999</v>
      </c>
      <c r="X6664">
        <v>0.99006899999999998</v>
      </c>
      <c r="Y6664">
        <v>-2.6917610000000002E-2</v>
      </c>
      <c r="Z6664">
        <v>-3.3606940000000002E-2</v>
      </c>
      <c r="AA6664">
        <v>0.99907259999999998</v>
      </c>
      <c r="AB6664">
        <v>29</v>
      </c>
      <c r="AC6664">
        <v>-0.89289999999999703</v>
      </c>
      <c r="AD6664">
        <v>-1.108949916165</v>
      </c>
      <c r="AE6664">
        <v>32.677869999999999</v>
      </c>
      <c r="AF6664">
        <v>-0.88719789948509797</v>
      </c>
      <c r="AG6664">
        <v>-1.108949916165</v>
      </c>
      <c r="AH6664">
        <v>32.640435617180799</v>
      </c>
      <c r="AI6664">
        <v>91.945142199885396</v>
      </c>
      <c r="AJ6664">
        <v>91.556970100306799</v>
      </c>
      <c r="AK6664">
        <v>32.671316583644703</v>
      </c>
      <c r="AL6664">
        <v>82.192064397951896</v>
      </c>
      <c r="AM6664">
        <v>87.908362207021995</v>
      </c>
      <c r="AN6664">
        <v>1.00000005837294</v>
      </c>
    </row>
    <row r="6665" spans="1:40" x14ac:dyDescent="0.25">
      <c r="A6665" t="str">
        <f>"20190312164634718"</f>
        <v>20190312164634718</v>
      </c>
      <c r="B6665" t="str">
        <f>"1552380394707934"</f>
        <v>1552380394707934</v>
      </c>
      <c r="C6665" t="s">
        <v>40</v>
      </c>
      <c r="D6665">
        <v>4.7205149999999998</v>
      </c>
      <c r="E6665">
        <v>0.4795915</v>
      </c>
      <c r="F6665" t="s">
        <v>42</v>
      </c>
      <c r="G6665">
        <v>-188.48840000000001</v>
      </c>
      <c r="H6665" s="1">
        <v>-4.4099209999999999E-6</v>
      </c>
      <c r="I6665">
        <v>79.287400000000005</v>
      </c>
      <c r="J6665">
        <v>-187.58269999999999</v>
      </c>
      <c r="K6665">
        <v>1.1089370000000001</v>
      </c>
      <c r="L6665">
        <v>45.746459999999999</v>
      </c>
      <c r="M6665">
        <v>-1.4334410000000001E-4</v>
      </c>
      <c r="N6665">
        <v>0</v>
      </c>
      <c r="O6665">
        <v>0.99990840000000003</v>
      </c>
      <c r="P6665">
        <v>3.5611049999999998E-2</v>
      </c>
      <c r="Q6665">
        <v>0.1222651</v>
      </c>
      <c r="R6665">
        <v>0.99185840000000003</v>
      </c>
      <c r="S6665">
        <v>-8.1390379999999998E-2</v>
      </c>
      <c r="T6665">
        <v>-9.9639420000000006E-2</v>
      </c>
      <c r="U6665">
        <v>3.040009</v>
      </c>
      <c r="V6665">
        <v>3.5758470000000001E-2</v>
      </c>
      <c r="W6665">
        <v>0.13567750000000001</v>
      </c>
      <c r="X6665">
        <v>0.99010750000000003</v>
      </c>
      <c r="Y6665">
        <v>-2.660583E-2</v>
      </c>
      <c r="Z6665">
        <v>-3.2746780000000003E-2</v>
      </c>
      <c r="AA6665">
        <v>0.99910949999999998</v>
      </c>
      <c r="AB6665">
        <v>29</v>
      </c>
      <c r="AC6665">
        <v>-0.90570000000002404</v>
      </c>
      <c r="AD6665">
        <v>-1.108941409921</v>
      </c>
      <c r="AE6665">
        <v>33.540939999999999</v>
      </c>
      <c r="AF6665">
        <v>-0.89990866551596504</v>
      </c>
      <c r="AG6665">
        <v>-1.108941409921</v>
      </c>
      <c r="AH6665">
        <v>33.5044718635097</v>
      </c>
      <c r="AI6665">
        <v>91.895018516651803</v>
      </c>
      <c r="AJ6665">
        <v>91.538558044671305</v>
      </c>
      <c r="AK6665">
        <v>33.5348955792265</v>
      </c>
      <c r="AL6665">
        <v>82.202201416635504</v>
      </c>
      <c r="AM6665">
        <v>87.931619219963196</v>
      </c>
      <c r="AN6665">
        <v>0.99999995686961896</v>
      </c>
    </row>
    <row r="6666" spans="1:40" x14ac:dyDescent="0.25">
      <c r="A6666" t="str">
        <f>"20190312164634741"</f>
        <v>20190312164634741</v>
      </c>
      <c r="B6666" t="str">
        <f>"1552380394738190"</f>
        <v>1552380394738190</v>
      </c>
      <c r="C6666" t="s">
        <v>40</v>
      </c>
      <c r="D6666">
        <v>4.7362640000000003</v>
      </c>
      <c r="E6666">
        <v>0.47966180000000003</v>
      </c>
      <c r="F6666" t="s">
        <v>42</v>
      </c>
      <c r="G6666">
        <v>-188.45009999999999</v>
      </c>
      <c r="H6666" s="1">
        <v>-4.0282400000000001E-6</v>
      </c>
      <c r="I6666">
        <v>78.381839999999997</v>
      </c>
      <c r="J6666">
        <v>-187.58269999999999</v>
      </c>
      <c r="K6666">
        <v>1.1089389999999999</v>
      </c>
      <c r="L6666">
        <v>46.035400000000003</v>
      </c>
      <c r="M6666">
        <v>-1.434548E-4</v>
      </c>
      <c r="N6666">
        <v>0</v>
      </c>
      <c r="O6666">
        <v>0.99990840000000003</v>
      </c>
      <c r="P6666">
        <v>3.5334789999999998E-2</v>
      </c>
      <c r="Q6666">
        <v>0.12241200000000001</v>
      </c>
      <c r="R6666">
        <v>0.99185020000000002</v>
      </c>
      <c r="S6666">
        <v>-8.0810549999999995E-2</v>
      </c>
      <c r="T6666">
        <v>-0.10330689999999999</v>
      </c>
      <c r="U6666">
        <v>3.0402529999999999</v>
      </c>
      <c r="V6666">
        <v>3.5482319999999998E-2</v>
      </c>
      <c r="W6666">
        <v>0.13582249999999901</v>
      </c>
      <c r="X6666">
        <v>0.99009760000000002</v>
      </c>
      <c r="Y6666">
        <v>-2.6412089999999999E-2</v>
      </c>
      <c r="Z6666">
        <v>-3.3948190000000003E-2</v>
      </c>
      <c r="AA6666">
        <v>0.99907449999999998</v>
      </c>
      <c r="AB6666">
        <v>29</v>
      </c>
      <c r="AC6666">
        <v>-0.86740000000000295</v>
      </c>
      <c r="AD6666">
        <v>-1.1089430282399999</v>
      </c>
      <c r="AE6666">
        <v>32.346439999999902</v>
      </c>
      <c r="AF6666">
        <v>-0.86174719121933696</v>
      </c>
      <c r="AG6666">
        <v>-1.1089430282399999</v>
      </c>
      <c r="AH6666">
        <v>32.3086176151185</v>
      </c>
      <c r="AI6666">
        <v>91.965118413099304</v>
      </c>
      <c r="AJ6666">
        <v>91.527851611192105</v>
      </c>
      <c r="AK6666">
        <v>32.339126999061101</v>
      </c>
      <c r="AL6666">
        <v>82.193816259332806</v>
      </c>
      <c r="AM6666">
        <v>87.947558373518802</v>
      </c>
      <c r="AN6666">
        <v>1.0000000020322899</v>
      </c>
    </row>
    <row r="6667" spans="1:40" x14ac:dyDescent="0.25">
      <c r="A6667" t="str">
        <f>"20190312164634763"</f>
        <v>20190312164634763</v>
      </c>
      <c r="B6667" t="str">
        <f>"1552380394757710"</f>
        <v>1552380394757710</v>
      </c>
      <c r="C6667" t="s">
        <v>40</v>
      </c>
      <c r="D6667">
        <v>4.6259880000000004</v>
      </c>
      <c r="E6667">
        <v>0.47926540000000001</v>
      </c>
      <c r="F6667" t="s">
        <v>42</v>
      </c>
      <c r="G6667">
        <v>-188.36879999999999</v>
      </c>
      <c r="H6667" s="1">
        <v>-2.809709E-6</v>
      </c>
      <c r="I6667">
        <v>75.507800000000003</v>
      </c>
      <c r="J6667">
        <v>-187.58269999999999</v>
      </c>
      <c r="K6667">
        <v>1.1089420000000001</v>
      </c>
      <c r="L6667">
        <v>46.318179999999998</v>
      </c>
      <c r="M6667">
        <v>-1.435532E-4</v>
      </c>
      <c r="N6667">
        <v>0</v>
      </c>
      <c r="O6667">
        <v>0.99990840000000003</v>
      </c>
      <c r="P6667">
        <v>3.4746720000000002E-2</v>
      </c>
      <c r="Q6667">
        <v>0.1223791</v>
      </c>
      <c r="R6667">
        <v>0.99187499999999995</v>
      </c>
      <c r="S6667">
        <v>-8.1130980000000005E-2</v>
      </c>
      <c r="T6667">
        <v>-0.1144468</v>
      </c>
      <c r="U6667">
        <v>3.0416560000000001</v>
      </c>
      <c r="V6667">
        <v>3.4894349999999998E-2</v>
      </c>
      <c r="W6667">
        <v>0.13578809999999999</v>
      </c>
      <c r="X6667">
        <v>0.99012319999999998</v>
      </c>
      <c r="Y6667">
        <v>-2.6501449999999999E-2</v>
      </c>
      <c r="Z6667">
        <v>-3.7586580000000001E-2</v>
      </c>
      <c r="AA6667">
        <v>0.99894190000000005</v>
      </c>
      <c r="AB6667">
        <v>29</v>
      </c>
      <c r="AC6667">
        <v>-0.78610000000000402</v>
      </c>
      <c r="AD6667">
        <v>-1.108944809709</v>
      </c>
      <c r="AE6667">
        <v>29.189620000000001</v>
      </c>
      <c r="AF6667">
        <v>-0.78078324046586001</v>
      </c>
      <c r="AG6667">
        <v>-1.108944809709</v>
      </c>
      <c r="AH6667">
        <v>29.147693562966701</v>
      </c>
      <c r="AI6667">
        <v>92.178027452424701</v>
      </c>
      <c r="AJ6667">
        <v>91.534422917022198</v>
      </c>
      <c r="AK6667">
        <v>29.179229275294201</v>
      </c>
      <c r="AL6667">
        <v>82.195805550553899</v>
      </c>
      <c r="AM6667">
        <v>87.981592724008806</v>
      </c>
      <c r="AN6667">
        <v>0.99999998747088603</v>
      </c>
    </row>
    <row r="6668" spans="1:40" x14ac:dyDescent="0.25">
      <c r="A6668" t="str">
        <f>"20190312164634785"</f>
        <v>20190312164634785</v>
      </c>
      <c r="B6668" t="str">
        <f>"1552380394778206"</f>
        <v>1552380394778206</v>
      </c>
      <c r="C6668" t="s">
        <v>40</v>
      </c>
      <c r="D6668">
        <v>4.8355509999999997</v>
      </c>
      <c r="E6668">
        <v>0.47957719999999998</v>
      </c>
      <c r="F6668" t="s">
        <v>42</v>
      </c>
      <c r="G6668">
        <v>-188.37909999999999</v>
      </c>
      <c r="H6668" s="1">
        <v>-2.319109E-6</v>
      </c>
      <c r="I6668">
        <v>74.368449999999996</v>
      </c>
      <c r="J6668">
        <v>-187.58269999999999</v>
      </c>
      <c r="K6668">
        <v>1.10894</v>
      </c>
      <c r="L6668">
        <v>46.606050000000003</v>
      </c>
      <c r="M6668">
        <v>-1.4364299999999999E-4</v>
      </c>
      <c r="N6668">
        <v>0</v>
      </c>
      <c r="O6668">
        <v>0.99990840000000003</v>
      </c>
      <c r="P6668">
        <v>3.4186880000000003E-2</v>
      </c>
      <c r="Q6668">
        <v>0.1230869</v>
      </c>
      <c r="R6668">
        <v>0.99180690000000005</v>
      </c>
      <c r="S6668">
        <v>-8.6379999999999998E-2</v>
      </c>
      <c r="T6668">
        <v>-0.1202807</v>
      </c>
      <c r="U6668">
        <v>3.0424500000000001</v>
      </c>
      <c r="V6668">
        <v>3.4334620000000003E-2</v>
      </c>
      <c r="W6668">
        <v>0.1364938</v>
      </c>
      <c r="X6668">
        <v>0.99004570000000003</v>
      </c>
      <c r="Y6668">
        <v>-2.821442E-2</v>
      </c>
      <c r="Z6668">
        <v>-3.9487500000000002E-2</v>
      </c>
      <c r="AA6668">
        <v>0.99882170000000003</v>
      </c>
      <c r="AB6668">
        <v>29</v>
      </c>
      <c r="AC6668">
        <v>-0.79640000000000499</v>
      </c>
      <c r="AD6668">
        <v>-1.108942319109</v>
      </c>
      <c r="AE6668">
        <v>27.7623999999999</v>
      </c>
      <c r="AF6668">
        <v>-0.79115048875828997</v>
      </c>
      <c r="AG6668">
        <v>-1.108942319109</v>
      </c>
      <c r="AH6668">
        <v>27.7183251745539</v>
      </c>
      <c r="AI6668">
        <v>92.290110350692103</v>
      </c>
      <c r="AJ6668">
        <v>91.634921304656899</v>
      </c>
      <c r="AK6668">
        <v>27.751778729394701</v>
      </c>
      <c r="AL6668">
        <v>82.154991671541694</v>
      </c>
      <c r="AM6668">
        <v>88.013787919314794</v>
      </c>
      <c r="AN6668">
        <v>0.99999995582873602</v>
      </c>
    </row>
    <row r="6669" spans="1:40" x14ac:dyDescent="0.25">
      <c r="A6669" t="str">
        <f>"20190312164634809"</f>
        <v>20190312164634809</v>
      </c>
      <c r="B6669" t="str">
        <f>"1552380394797728"</f>
        <v>1552380394797728</v>
      </c>
      <c r="C6669" t="s">
        <v>40</v>
      </c>
      <c r="D6669">
        <v>4.7106640000000004</v>
      </c>
      <c r="E6669">
        <v>0.47946339999999998</v>
      </c>
      <c r="F6669" t="s">
        <v>42</v>
      </c>
      <c r="G6669">
        <v>-188.36949999999999</v>
      </c>
      <c r="H6669" s="1">
        <v>-2.361561E-6</v>
      </c>
      <c r="I6669">
        <v>74.463459999999998</v>
      </c>
      <c r="J6669">
        <v>-187.58279999999999</v>
      </c>
      <c r="K6669">
        <v>1.1089439999999999</v>
      </c>
      <c r="L6669">
        <v>46.908810000000003</v>
      </c>
      <c r="M6669">
        <v>-1.437427E-4</v>
      </c>
      <c r="N6669">
        <v>0</v>
      </c>
      <c r="O6669">
        <v>0.99990849999999998</v>
      </c>
      <c r="P6669">
        <v>3.4001360000000001E-2</v>
      </c>
      <c r="Q6669">
        <v>0.12365520000000001</v>
      </c>
      <c r="R6669">
        <v>0.99174260000000003</v>
      </c>
      <c r="S6669">
        <v>-8.59375E-2</v>
      </c>
      <c r="T6669">
        <v>-0.1211267</v>
      </c>
      <c r="U6669">
        <v>3.042786</v>
      </c>
      <c r="V6669">
        <v>3.4149199999999998E-2</v>
      </c>
      <c r="W6669">
        <v>0.13705919999999999</v>
      </c>
      <c r="X6669">
        <v>0.98997400000000002</v>
      </c>
      <c r="Y6669">
        <v>-2.806575E-2</v>
      </c>
      <c r="Z6669">
        <v>-3.9760570000000002E-2</v>
      </c>
      <c r="AA6669">
        <v>0.99881500000000001</v>
      </c>
      <c r="AB6669">
        <v>29</v>
      </c>
      <c r="AC6669">
        <v>-0.78669999999999596</v>
      </c>
      <c r="AD6669">
        <v>-1.108946361561</v>
      </c>
      <c r="AE6669">
        <v>27.554649999999999</v>
      </c>
      <c r="AF6669">
        <v>-0.78147413654575104</v>
      </c>
      <c r="AG6669">
        <v>-1.108946361561</v>
      </c>
      <c r="AH6669">
        <v>27.510241100136898</v>
      </c>
      <c r="AI6669">
        <v>92.307431121131899</v>
      </c>
      <c r="AJ6669">
        <v>91.627144301825297</v>
      </c>
      <c r="AK6669">
        <v>27.543671310240601</v>
      </c>
      <c r="AL6669">
        <v>82.122289301454998</v>
      </c>
      <c r="AM6669">
        <v>88.024362733609394</v>
      </c>
      <c r="AN6669">
        <v>0.99999995642063899</v>
      </c>
    </row>
    <row r="6670" spans="1:40" x14ac:dyDescent="0.25">
      <c r="A6670" t="str">
        <f>"20190312164634831"</f>
        <v>20190312164634831</v>
      </c>
      <c r="B6670" t="str">
        <f>"1552380394827981"</f>
        <v>1552380394827981</v>
      </c>
      <c r="C6670" t="s">
        <v>40</v>
      </c>
      <c r="D6670">
        <v>4.6714760000000002</v>
      </c>
      <c r="E6670">
        <v>0.47928130000000002</v>
      </c>
      <c r="F6670" t="s">
        <v>42</v>
      </c>
      <c r="G6670">
        <v>-188.37899999999999</v>
      </c>
      <c r="H6670" s="1">
        <v>-2.3653789999999999E-6</v>
      </c>
      <c r="I6670">
        <v>74.476240000000004</v>
      </c>
      <c r="J6670">
        <v>-187.58279999999999</v>
      </c>
      <c r="K6670">
        <v>1.108948</v>
      </c>
      <c r="L6670">
        <v>47.200290000000003</v>
      </c>
      <c r="M6670">
        <v>-1.424242E-4</v>
      </c>
      <c r="N6670">
        <v>0</v>
      </c>
      <c r="O6670">
        <v>0.99990849999999998</v>
      </c>
      <c r="P6670">
        <v>3.367038E-2</v>
      </c>
      <c r="Q6670">
        <v>0.1239986</v>
      </c>
      <c r="R6670">
        <v>0.99171100000000001</v>
      </c>
      <c r="S6670">
        <v>-8.7890629999999997E-2</v>
      </c>
      <c r="T6670">
        <v>-0.1224196</v>
      </c>
      <c r="U6670">
        <v>3.0432429999999999</v>
      </c>
      <c r="V6670">
        <v>3.3817130000000001E-2</v>
      </c>
      <c r="W6670">
        <v>0.13740069999999999</v>
      </c>
      <c r="X6670">
        <v>0.98993810000000004</v>
      </c>
      <c r="Y6670">
        <v>-2.8702849999999999E-2</v>
      </c>
      <c r="Z6670">
        <v>-4.0177530000000003E-2</v>
      </c>
      <c r="AA6670">
        <v>0.99878020000000001</v>
      </c>
      <c r="AB6670">
        <v>29</v>
      </c>
      <c r="AC6670">
        <v>-0.796200000000027</v>
      </c>
      <c r="AD6670">
        <v>-1.108950365379</v>
      </c>
      <c r="AE6670">
        <v>27.275950000000002</v>
      </c>
      <c r="AF6670">
        <v>-0.79100848257660905</v>
      </c>
      <c r="AG6670">
        <v>-1.108950365379</v>
      </c>
      <c r="AH6670">
        <v>27.231089334276401</v>
      </c>
      <c r="AI6670">
        <v>92.331024676843995</v>
      </c>
      <c r="AJ6670">
        <v>91.663859506500899</v>
      </c>
      <c r="AK6670">
        <v>27.265136927287301</v>
      </c>
      <c r="AL6670">
        <v>82.102536225679501</v>
      </c>
      <c r="AM6670">
        <v>88.043488116388204</v>
      </c>
      <c r="AN6670">
        <v>0.99999999623676805</v>
      </c>
    </row>
    <row r="6671" spans="1:40" x14ac:dyDescent="0.25">
      <c r="A6671" t="str">
        <f>"20190312164634852"</f>
        <v>20190312164634852</v>
      </c>
      <c r="B6671" t="str">
        <f>"1552380394847503"</f>
        <v>1552380394847503</v>
      </c>
      <c r="C6671" t="s">
        <v>40</v>
      </c>
      <c r="D6671">
        <v>4.7610710000000003</v>
      </c>
      <c r="E6671">
        <v>0.4793907</v>
      </c>
      <c r="F6671" t="s">
        <v>42</v>
      </c>
      <c r="G6671">
        <v>-188.38579999999999</v>
      </c>
      <c r="H6671" s="1">
        <v>-2.2377510000000001E-6</v>
      </c>
      <c r="I6671">
        <v>74.18159</v>
      </c>
      <c r="J6671">
        <v>-187.58279999999999</v>
      </c>
      <c r="K6671">
        <v>1.108951</v>
      </c>
      <c r="L6671">
        <v>47.472560000000001</v>
      </c>
      <c r="M6671">
        <v>-1.3813890000000001E-4</v>
      </c>
      <c r="N6671">
        <v>0</v>
      </c>
      <c r="O6671">
        <v>0.99990849999999998</v>
      </c>
      <c r="P6671">
        <v>3.3622730000000003E-2</v>
      </c>
      <c r="Q6671">
        <v>0.12431250000000001</v>
      </c>
      <c r="R6671">
        <v>0.99167329999999998</v>
      </c>
      <c r="S6671">
        <v>-9.0591430000000001E-2</v>
      </c>
      <c r="T6671">
        <v>-0.12510189999999999</v>
      </c>
      <c r="U6671">
        <v>3.043793</v>
      </c>
      <c r="V6671">
        <v>3.3765870000000003E-2</v>
      </c>
      <c r="W6671">
        <v>0.13771240000000001</v>
      </c>
      <c r="X6671">
        <v>0.98989649999999996</v>
      </c>
      <c r="Y6671">
        <v>-2.9586350000000001E-2</v>
      </c>
      <c r="Z6671">
        <v>-4.104795E-2</v>
      </c>
      <c r="AA6671">
        <v>0.99871900000000002</v>
      </c>
      <c r="AB6671">
        <v>29</v>
      </c>
      <c r="AC6671">
        <v>-0.80299999999999705</v>
      </c>
      <c r="AD6671">
        <v>-1.1089532377509901</v>
      </c>
      <c r="AE6671">
        <v>26.709029999999998</v>
      </c>
      <c r="AF6671">
        <v>-0.79793578526064501</v>
      </c>
      <c r="AG6671">
        <v>-1.1089532377509901</v>
      </c>
      <c r="AH6671">
        <v>26.663217663371402</v>
      </c>
      <c r="AI6671">
        <v>92.380558799595605</v>
      </c>
      <c r="AJ6671">
        <v>91.714148396349103</v>
      </c>
      <c r="AK6671">
        <v>26.698195724903201</v>
      </c>
      <c r="AL6671">
        <v>82.084505442193006</v>
      </c>
      <c r="AM6671">
        <v>88.046369463640801</v>
      </c>
      <c r="AN6671">
        <v>0.99999995990143198</v>
      </c>
    </row>
    <row r="6672" spans="1:40" x14ac:dyDescent="0.25">
      <c r="A6672" t="str">
        <f>"20190312164634874"</f>
        <v>20190312164634874</v>
      </c>
      <c r="B6672" t="str">
        <f>"1552380394867998"</f>
        <v>1552380394867998</v>
      </c>
      <c r="C6672" t="s">
        <v>40</v>
      </c>
      <c r="D6672">
        <v>4.760669</v>
      </c>
      <c r="E6672">
        <v>0.47928609999999999</v>
      </c>
      <c r="F6672" t="s">
        <v>42</v>
      </c>
      <c r="G6672">
        <v>-188.3758</v>
      </c>
      <c r="H6672" s="1">
        <v>-2.3064719999999999E-6</v>
      </c>
      <c r="I6672">
        <v>74.337620000000001</v>
      </c>
      <c r="J6672">
        <v>-187.5829</v>
      </c>
      <c r="K6672">
        <v>1.1089519999999999</v>
      </c>
      <c r="L6672">
        <v>47.754730000000002</v>
      </c>
      <c r="M6672">
        <v>-1.3025619999999999E-4</v>
      </c>
      <c r="N6672">
        <v>0</v>
      </c>
      <c r="O6672">
        <v>0.99990860000000004</v>
      </c>
      <c r="P6672">
        <v>3.399543E-2</v>
      </c>
      <c r="Q6672">
        <v>0.1247065</v>
      </c>
      <c r="R6672">
        <v>0.99161109999999997</v>
      </c>
      <c r="S6672">
        <v>-8.984375E-2</v>
      </c>
      <c r="T6672">
        <v>-0.12565119999999999</v>
      </c>
      <c r="U6672">
        <v>3.0439759999999998</v>
      </c>
      <c r="V6672">
        <v>3.4131740000000001E-2</v>
      </c>
      <c r="W6672">
        <v>0.138104</v>
      </c>
      <c r="X6672">
        <v>0.98982939999999997</v>
      </c>
      <c r="Y6672">
        <v>-2.9347129999999999E-2</v>
      </c>
      <c r="Z6672">
        <v>-4.1225690000000002E-2</v>
      </c>
      <c r="AA6672">
        <v>0.99871880000000002</v>
      </c>
      <c r="AB6672">
        <v>29</v>
      </c>
      <c r="AC6672">
        <v>-0.79290000000000205</v>
      </c>
      <c r="AD6672">
        <v>-1.108954306472</v>
      </c>
      <c r="AE6672">
        <v>26.582889999999999</v>
      </c>
      <c r="AF6672">
        <v>-0.78806684071828703</v>
      </c>
      <c r="AG6672">
        <v>-1.108954306472</v>
      </c>
      <c r="AH6672">
        <v>26.536852158859698</v>
      </c>
      <c r="AI6672">
        <v>92.391900243936504</v>
      </c>
      <c r="AJ6672">
        <v>91.701017023596705</v>
      </c>
      <c r="AK6672">
        <v>26.5717020813583</v>
      </c>
      <c r="AL6672">
        <v>82.061852007299194</v>
      </c>
      <c r="AM6672">
        <v>88.025083812319295</v>
      </c>
      <c r="AN6672">
        <v>0.99999996579789296</v>
      </c>
    </row>
    <row r="6673" spans="1:40" x14ac:dyDescent="0.25">
      <c r="A6673" t="str">
        <f>"20190312164634898"</f>
        <v>20190312164634898</v>
      </c>
      <c r="B6673" t="str">
        <f>"1552380394887521"</f>
        <v>1552380394887521</v>
      </c>
      <c r="C6673" t="s">
        <v>40</v>
      </c>
      <c r="D6673">
        <v>4.6598560000000004</v>
      </c>
      <c r="E6673">
        <v>0.4794446</v>
      </c>
      <c r="F6673" t="s">
        <v>42</v>
      </c>
      <c r="G6673">
        <v>-188.40049999999999</v>
      </c>
      <c r="H6673" s="1">
        <v>-2.8274919999999998E-6</v>
      </c>
      <c r="I6673">
        <v>75.562340000000006</v>
      </c>
      <c r="J6673">
        <v>-187.5829</v>
      </c>
      <c r="K6673">
        <v>1.108948</v>
      </c>
      <c r="L6673">
        <v>48.056730000000002</v>
      </c>
      <c r="M6673">
        <v>-1.165791E-4</v>
      </c>
      <c r="N6673">
        <v>0</v>
      </c>
      <c r="O6673">
        <v>0.99990860000000004</v>
      </c>
      <c r="P6673">
        <v>3.4484109999999998E-2</v>
      </c>
      <c r="Q6673">
        <v>0.1252809</v>
      </c>
      <c r="R6673">
        <v>0.99152180000000001</v>
      </c>
      <c r="S6673">
        <v>-8.9492799999999997E-2</v>
      </c>
      <c r="T6673">
        <v>-0.12138259999999999</v>
      </c>
      <c r="U6673">
        <v>3.0437319999999999</v>
      </c>
      <c r="V6673">
        <v>3.4608229999999997E-2</v>
      </c>
      <c r="W6673">
        <v>0.13867489999999999</v>
      </c>
      <c r="X6673">
        <v>0.98973299999999997</v>
      </c>
      <c r="Y6673">
        <v>-2.924976E-2</v>
      </c>
      <c r="Z6673">
        <v>-3.9830740000000003E-2</v>
      </c>
      <c r="AA6673">
        <v>0.99877819999999995</v>
      </c>
      <c r="AB6673">
        <v>29</v>
      </c>
      <c r="AC6673">
        <v>-0.817599999999998</v>
      </c>
      <c r="AD6673">
        <v>-1.1089508274919999</v>
      </c>
      <c r="AE6673">
        <v>27.505610000000001</v>
      </c>
      <c r="AF6673">
        <v>-0.81307265430434394</v>
      </c>
      <c r="AG6673">
        <v>-1.1089508274919999</v>
      </c>
      <c r="AH6673">
        <v>27.461107022256101</v>
      </c>
      <c r="AI6673">
        <v>92.311484050882299</v>
      </c>
      <c r="AJ6673">
        <v>91.695926739672402</v>
      </c>
      <c r="AK6673">
        <v>27.495513415224199</v>
      </c>
      <c r="AL6673">
        <v>82.028823794346195</v>
      </c>
      <c r="AM6673">
        <v>87.997340761131596</v>
      </c>
      <c r="AN6673">
        <v>0.99999993438136903</v>
      </c>
    </row>
    <row r="6674" spans="1:40" x14ac:dyDescent="0.25">
      <c r="A6674" t="str">
        <f>"20190312164634918"</f>
        <v>20190312164634918</v>
      </c>
      <c r="B6674" t="str">
        <f>"1552380394908017"</f>
        <v>1552380394908017</v>
      </c>
      <c r="C6674" t="s">
        <v>40</v>
      </c>
      <c r="D6674">
        <v>4.7088660000000004</v>
      </c>
      <c r="E6674">
        <v>0.47994189999999998</v>
      </c>
      <c r="F6674" t="s">
        <v>42</v>
      </c>
      <c r="G6674">
        <v>-188.36420000000001</v>
      </c>
      <c r="H6674" s="1">
        <v>-2.7167280000000001E-6</v>
      </c>
      <c r="I6674">
        <v>75.289150000000006</v>
      </c>
      <c r="J6674">
        <v>-187.5829</v>
      </c>
      <c r="K6674">
        <v>1.108949</v>
      </c>
      <c r="L6674">
        <v>48.326419999999999</v>
      </c>
      <c r="M6674">
        <v>-1.0008469999999999E-4</v>
      </c>
      <c r="N6674">
        <v>0</v>
      </c>
      <c r="O6674">
        <v>0.99990860000000004</v>
      </c>
      <c r="P6674">
        <v>3.4868120000000002E-2</v>
      </c>
      <c r="Q6674">
        <v>0.1255105</v>
      </c>
      <c r="R6674">
        <v>0.99147929999999995</v>
      </c>
      <c r="S6674">
        <v>-8.7341310000000005E-2</v>
      </c>
      <c r="T6674">
        <v>-0.123970899999999</v>
      </c>
      <c r="U6674">
        <v>3.0443419999999999</v>
      </c>
      <c r="V6674">
        <v>3.4977179999999997E-2</v>
      </c>
      <c r="W6674">
        <v>0.138902</v>
      </c>
      <c r="X6674">
        <v>0.98968820000000002</v>
      </c>
      <c r="Y6674">
        <v>-2.8554139999999999E-2</v>
      </c>
      <c r="Z6674">
        <v>-4.0671359999999997E-2</v>
      </c>
      <c r="AA6674">
        <v>0.99876450000000006</v>
      </c>
      <c r="AB6674">
        <v>29</v>
      </c>
      <c r="AC6674">
        <v>-0.78130000000001498</v>
      </c>
      <c r="AD6674">
        <v>-1.1089517167280001</v>
      </c>
      <c r="AE6674">
        <v>26.962730000000001</v>
      </c>
      <c r="AF6674">
        <v>-0.77728743676165701</v>
      </c>
      <c r="AG6674">
        <v>-1.1089517167280001</v>
      </c>
      <c r="AH6674">
        <v>26.917312955784499</v>
      </c>
      <c r="AI6674">
        <v>92.358181576609198</v>
      </c>
      <c r="AJ6674">
        <v>91.6540624591089</v>
      </c>
      <c r="AK6674">
        <v>26.951357784516699</v>
      </c>
      <c r="AL6674">
        <v>82.015684896381799</v>
      </c>
      <c r="AM6674">
        <v>87.975917013611294</v>
      </c>
      <c r="AN6674">
        <v>0.99999995097199501</v>
      </c>
    </row>
    <row r="6675" spans="1:40" x14ac:dyDescent="0.25">
      <c r="A6675" t="str">
        <f>"20190312164634941"</f>
        <v>20190312164634941</v>
      </c>
      <c r="B6675" t="str">
        <f>"1552380394938274"</f>
        <v>1552380394938274</v>
      </c>
      <c r="C6675" t="s">
        <v>40</v>
      </c>
      <c r="D6675">
        <v>4.5161369999999996</v>
      </c>
      <c r="E6675">
        <v>0.47966829999999999</v>
      </c>
      <c r="F6675" t="s">
        <v>42</v>
      </c>
      <c r="G6675">
        <v>-188.31299999999999</v>
      </c>
      <c r="H6675" s="1">
        <v>-2.7013479999999999E-6</v>
      </c>
      <c r="I6675">
        <v>75.232119999999995</v>
      </c>
      <c r="J6675">
        <v>-187.5829</v>
      </c>
      <c r="K6675">
        <v>1.108949</v>
      </c>
      <c r="L6675">
        <v>48.605159999999998</v>
      </c>
      <c r="M6675" s="1">
        <v>-7.9342519999999996E-5</v>
      </c>
      <c r="N6675">
        <v>0</v>
      </c>
      <c r="O6675">
        <v>0.99990860000000004</v>
      </c>
      <c r="P6675">
        <v>3.505759E-2</v>
      </c>
      <c r="Q6675">
        <v>0.1256795</v>
      </c>
      <c r="R6675">
        <v>0.99145130000000004</v>
      </c>
      <c r="S6675">
        <v>-8.2611080000000003E-2</v>
      </c>
      <c r="T6675">
        <v>-0.12548519999999999</v>
      </c>
      <c r="U6675">
        <v>3.044556</v>
      </c>
      <c r="V6675">
        <v>3.5147169999999998E-2</v>
      </c>
      <c r="W6675">
        <v>0.1390692</v>
      </c>
      <c r="X6675">
        <v>0.9896587</v>
      </c>
      <c r="Y6675">
        <v>-2.7021739999999999E-2</v>
      </c>
      <c r="Z6675">
        <v>-4.1166210000000002E-2</v>
      </c>
      <c r="AA6675">
        <v>0.99878690000000003</v>
      </c>
      <c r="AB6675">
        <v>29</v>
      </c>
      <c r="AC6675">
        <v>-0.73009999999999298</v>
      </c>
      <c r="AD6675">
        <v>-1.1089517013479999</v>
      </c>
      <c r="AE6675">
        <v>26.62696</v>
      </c>
      <c r="AF6675">
        <v>-0.72672756991354903</v>
      </c>
      <c r="AG6675">
        <v>-1.1089517013479999</v>
      </c>
      <c r="AH6675">
        <v>26.580947007754101</v>
      </c>
      <c r="AI6675">
        <v>92.388091535512501</v>
      </c>
      <c r="AJ6675">
        <v>91.5660861350798</v>
      </c>
      <c r="AK6675">
        <v>26.613993512170001</v>
      </c>
      <c r="AL6675">
        <v>82.006011178192196</v>
      </c>
      <c r="AM6675">
        <v>87.966027583518397</v>
      </c>
      <c r="AN6675">
        <v>0.99999995421666799</v>
      </c>
    </row>
    <row r="6676" spans="1:40" x14ac:dyDescent="0.25">
      <c r="A6676" t="str">
        <f>"20190312164634964"</f>
        <v>20190312164634964</v>
      </c>
      <c r="B6676" t="str">
        <f>"1552380394957793"</f>
        <v>1552380394957793</v>
      </c>
      <c r="C6676" t="s">
        <v>40</v>
      </c>
      <c r="D6676">
        <v>4.549607</v>
      </c>
      <c r="E6676">
        <v>0.47965049999999998</v>
      </c>
      <c r="F6676" t="s">
        <v>42</v>
      </c>
      <c r="G6676">
        <v>-188.33690000000001</v>
      </c>
      <c r="H6676" s="1">
        <v>-2.9721599999999998E-6</v>
      </c>
      <c r="I6676">
        <v>75.873269999999906</v>
      </c>
      <c r="J6676">
        <v>-187.5829</v>
      </c>
      <c r="K6676">
        <v>1.1089469999999999</v>
      </c>
      <c r="L6676">
        <v>48.910249999999998</v>
      </c>
      <c r="M6676" s="1">
        <v>-5.3715879999999997E-5</v>
      </c>
      <c r="N6676">
        <v>0</v>
      </c>
      <c r="O6676">
        <v>0.99990860000000004</v>
      </c>
      <c r="P6676">
        <v>3.5305950000000003E-2</v>
      </c>
      <c r="Q6676">
        <v>0.1261641</v>
      </c>
      <c r="R6676">
        <v>0.99138090000000001</v>
      </c>
      <c r="S6676">
        <v>-8.4182740000000006E-2</v>
      </c>
      <c r="T6676">
        <v>-0.12381739999999999</v>
      </c>
      <c r="U6676">
        <v>3.044556</v>
      </c>
      <c r="V6676">
        <v>3.5370930000000002E-2</v>
      </c>
      <c r="W6676">
        <v>0.139550799999999</v>
      </c>
      <c r="X6676">
        <v>0.98958299999999999</v>
      </c>
      <c r="Y6676">
        <v>-2.756318E-2</v>
      </c>
      <c r="Z6676">
        <v>-4.0619410000000002E-2</v>
      </c>
      <c r="AA6676">
        <v>0.99879439999999997</v>
      </c>
      <c r="AB6676">
        <v>29</v>
      </c>
      <c r="AC6676">
        <v>-0.75400000000001899</v>
      </c>
      <c r="AD6676">
        <v>-1.10894997215999</v>
      </c>
      <c r="AE6676">
        <v>26.96302</v>
      </c>
      <c r="AF6676">
        <v>-0.75128168080771995</v>
      </c>
      <c r="AG6676">
        <v>-1.10894997215999</v>
      </c>
      <c r="AH6676">
        <v>26.917563430894099</v>
      </c>
      <c r="AI6676">
        <v>92.358220534609202</v>
      </c>
      <c r="AJ6676">
        <v>91.598736733068407</v>
      </c>
      <c r="AK6676">
        <v>26.9508703989477</v>
      </c>
      <c r="AL6676">
        <v>81.9781463496508</v>
      </c>
      <c r="AM6676">
        <v>87.952933087356101</v>
      </c>
      <c r="AN6676">
        <v>1.0000000211793501</v>
      </c>
    </row>
    <row r="6677" spans="1:40" x14ac:dyDescent="0.25">
      <c r="A6677" t="str">
        <f>"20190312164634988"</f>
        <v>20190312164634988</v>
      </c>
      <c r="B6677" t="str">
        <f>"1552380394978289"</f>
        <v>1552380394978289</v>
      </c>
      <c r="C6677" t="s">
        <v>40</v>
      </c>
      <c r="D6677">
        <v>4.491212</v>
      </c>
      <c r="E6677">
        <v>0.47982530000000001</v>
      </c>
      <c r="F6677" t="s">
        <v>42</v>
      </c>
      <c r="G6677">
        <v>-188.33969999999999</v>
      </c>
      <c r="H6677" s="1">
        <v>-3.2020820000000002E-6</v>
      </c>
      <c r="I6677">
        <v>76.410399999999996</v>
      </c>
      <c r="J6677">
        <v>-187.5829</v>
      </c>
      <c r="K6677">
        <v>1.1089469999999999</v>
      </c>
      <c r="L6677">
        <v>49.21078</v>
      </c>
      <c r="M6677" s="1">
        <v>-2.65277E-5</v>
      </c>
      <c r="N6677">
        <v>0</v>
      </c>
      <c r="O6677">
        <v>0.99990860000000004</v>
      </c>
      <c r="P6677">
        <v>3.5172780000000001E-2</v>
      </c>
      <c r="Q6677">
        <v>0.1260001</v>
      </c>
      <c r="R6677">
        <v>0.99140649999999997</v>
      </c>
      <c r="S6677">
        <v>-8.3786009999999994E-2</v>
      </c>
      <c r="T6677">
        <v>-0.12277730000000001</v>
      </c>
      <c r="U6677">
        <v>3.0446780000000002</v>
      </c>
      <c r="V6677">
        <v>3.5211190000000003E-2</v>
      </c>
      <c r="W6677">
        <v>0.1393856</v>
      </c>
      <c r="X6677">
        <v>0.98961200000000005</v>
      </c>
      <c r="Y6677">
        <v>-2.7459589999999999E-2</v>
      </c>
      <c r="Z6677">
        <v>-4.0277279999999999E-2</v>
      </c>
      <c r="AA6677">
        <v>0.99881109999999995</v>
      </c>
      <c r="AB6677">
        <v>29</v>
      </c>
      <c r="AC6677">
        <v>-0.75679999999999803</v>
      </c>
      <c r="AD6677">
        <v>-1.1089502020819999</v>
      </c>
      <c r="AE6677">
        <v>27.199619999999999</v>
      </c>
      <c r="AF6677">
        <v>-0.75482464776747704</v>
      </c>
      <c r="AG6677">
        <v>-1.1089502020819999</v>
      </c>
      <c r="AH6677">
        <v>27.154537140870701</v>
      </c>
      <c r="AI6677">
        <v>92.337671451451399</v>
      </c>
      <c r="AJ6677">
        <v>91.592261812695696</v>
      </c>
      <c r="AK6677">
        <v>27.187651942278901</v>
      </c>
      <c r="AL6677">
        <v>81.987705201193805</v>
      </c>
      <c r="AM6677">
        <v>87.962229778867297</v>
      </c>
      <c r="AN6677">
        <v>1.00000004196628</v>
      </c>
    </row>
    <row r="6678" spans="1:40" x14ac:dyDescent="0.25">
      <c r="A6678" t="str">
        <f>"20190312164635011"</f>
        <v>20190312164635011</v>
      </c>
      <c r="B6678" t="str">
        <f>"1552380395007569"</f>
        <v>1552380395007569</v>
      </c>
      <c r="C6678" t="s">
        <v>40</v>
      </c>
      <c r="D6678">
        <v>4.5887609999999999</v>
      </c>
      <c r="E6678">
        <v>0.47968699999999997</v>
      </c>
      <c r="F6678" t="s">
        <v>42</v>
      </c>
      <c r="G6678">
        <v>-188.31960000000001</v>
      </c>
      <c r="H6678" s="1">
        <v>-3.1366569999999998E-6</v>
      </c>
      <c r="I6678">
        <v>76.249589999999998</v>
      </c>
      <c r="J6678">
        <v>-187.5829</v>
      </c>
      <c r="K6678">
        <v>1.1089450000000001</v>
      </c>
      <c r="L6678">
        <v>49.498199999999997</v>
      </c>
      <c r="M6678" s="1">
        <v>1.011537E-7</v>
      </c>
      <c r="N6678">
        <v>0</v>
      </c>
      <c r="O6678">
        <v>0.99990869999999998</v>
      </c>
      <c r="P6678">
        <v>3.5243030000000002E-2</v>
      </c>
      <c r="Q6678">
        <v>0.12586820000000001</v>
      </c>
      <c r="R6678">
        <v>0.99142070000000004</v>
      </c>
      <c r="S6678">
        <v>-8.2962040000000001E-2</v>
      </c>
      <c r="T6678">
        <v>-0.1248785</v>
      </c>
      <c r="U6678">
        <v>3.0448300000000001</v>
      </c>
      <c r="V6678">
        <v>3.5255179999999997E-2</v>
      </c>
      <c r="W6678">
        <v>0.1392524</v>
      </c>
      <c r="X6678">
        <v>0.98962910000000004</v>
      </c>
      <c r="Y6678">
        <v>-2.7213979999999999E-2</v>
      </c>
      <c r="Z6678">
        <v>-4.0963670000000001E-2</v>
      </c>
      <c r="AA6678">
        <v>0.99878999999999996</v>
      </c>
      <c r="AB6678">
        <v>29</v>
      </c>
      <c r="AC6678">
        <v>-0.73670000000001301</v>
      </c>
      <c r="AD6678">
        <v>-1.108948136657</v>
      </c>
      <c r="AE6678">
        <v>26.751390000000001</v>
      </c>
      <c r="AF6678">
        <v>-0.73543986808621997</v>
      </c>
      <c r="AG6678">
        <v>-1.108948136657</v>
      </c>
      <c r="AH6678">
        <v>26.705533332544601</v>
      </c>
      <c r="AI6678">
        <v>92.376942882448802</v>
      </c>
      <c r="AJ6678">
        <v>91.577461592729193</v>
      </c>
      <c r="AK6678">
        <v>26.7386639222123</v>
      </c>
      <c r="AL6678">
        <v>81.995411476598903</v>
      </c>
      <c r="AM6678">
        <v>87.959721329842495</v>
      </c>
      <c r="AN6678">
        <v>0.99999995709470002</v>
      </c>
    </row>
    <row r="6679" spans="1:40" x14ac:dyDescent="0.25">
      <c r="A6679" t="str">
        <f>"20190312164635032"</f>
        <v>20190312164635032</v>
      </c>
      <c r="B6679" t="str">
        <f>"1552380395028064"</f>
        <v>1552380395028064</v>
      </c>
      <c r="C6679" t="s">
        <v>40</v>
      </c>
      <c r="D6679">
        <v>4.7524230000000003</v>
      </c>
      <c r="E6679">
        <v>0.4795469</v>
      </c>
      <c r="F6679" t="s">
        <v>42</v>
      </c>
      <c r="G6679">
        <v>-188.3442</v>
      </c>
      <c r="H6679" s="1">
        <v>-3.5026020000000002E-6</v>
      </c>
      <c r="I6679">
        <v>77.112790000000004</v>
      </c>
      <c r="J6679">
        <v>-187.58279999999999</v>
      </c>
      <c r="K6679">
        <v>1.1089439999999999</v>
      </c>
      <c r="L6679">
        <v>49.782679999999999</v>
      </c>
      <c r="M6679" s="1">
        <v>2.6066789999999998E-5</v>
      </c>
      <c r="N6679">
        <v>0</v>
      </c>
      <c r="O6679">
        <v>0.99990869999999998</v>
      </c>
      <c r="P6679">
        <v>3.5378050000000001E-2</v>
      </c>
      <c r="Q6679">
        <v>0.12593850000000001</v>
      </c>
      <c r="R6679">
        <v>0.99140700000000004</v>
      </c>
      <c r="S6679">
        <v>-8.3938600000000002E-2</v>
      </c>
      <c r="T6679">
        <v>-0.1222597</v>
      </c>
      <c r="U6679">
        <v>3.0444640000000001</v>
      </c>
      <c r="V6679">
        <v>3.5364489999999998E-2</v>
      </c>
      <c r="W6679">
        <v>0.139320899999999</v>
      </c>
      <c r="X6679">
        <v>0.98961560000000004</v>
      </c>
      <c r="Y6679">
        <v>-2.75643E-2</v>
      </c>
      <c r="Z6679">
        <v>-4.0110479999999997E-2</v>
      </c>
      <c r="AA6679">
        <v>0.99881500000000001</v>
      </c>
      <c r="AB6679">
        <v>29</v>
      </c>
      <c r="AC6679">
        <v>-0.76140000000000896</v>
      </c>
      <c r="AD6679">
        <v>-1.1089475026019999</v>
      </c>
      <c r="AE6679">
        <v>27.330110000000001</v>
      </c>
      <c r="AF6679">
        <v>-0.76086075227537098</v>
      </c>
      <c r="AG6679">
        <v>-1.1089475026019999</v>
      </c>
      <c r="AH6679">
        <v>27.285202225218001</v>
      </c>
      <c r="AI6679">
        <v>92.326477641395897</v>
      </c>
      <c r="AJ6679">
        <v>91.597305939856199</v>
      </c>
      <c r="AK6679">
        <v>27.318325975779</v>
      </c>
      <c r="AL6679">
        <v>81.991448410876302</v>
      </c>
      <c r="AM6679">
        <v>87.953372845720907</v>
      </c>
      <c r="AN6679">
        <v>0.99999999804656503</v>
      </c>
    </row>
    <row r="6680" spans="1:40" x14ac:dyDescent="0.25">
      <c r="A6680" t="str">
        <f>"20190312164635054"</f>
        <v>20190312164635054</v>
      </c>
      <c r="B6680" t="str">
        <f>"1552380395047585"</f>
        <v>1552380395047585</v>
      </c>
      <c r="C6680" t="s">
        <v>40</v>
      </c>
      <c r="D6680">
        <v>4.5984069999999999</v>
      </c>
      <c r="E6680">
        <v>0.46401880000000001</v>
      </c>
      <c r="F6680" t="s">
        <v>42</v>
      </c>
      <c r="G6680">
        <v>-188.36449999999999</v>
      </c>
      <c r="H6680" s="1">
        <v>-3.8268229999999999E-6</v>
      </c>
      <c r="I6680">
        <v>77.876940000000005</v>
      </c>
      <c r="J6680">
        <v>-187.58279999999999</v>
      </c>
      <c r="K6680">
        <v>1.1089469999999999</v>
      </c>
      <c r="L6680">
        <v>50.06277</v>
      </c>
      <c r="M6680" s="1">
        <v>5.09199E-5</v>
      </c>
      <c r="N6680">
        <v>0</v>
      </c>
      <c r="O6680">
        <v>0.99990869999999998</v>
      </c>
      <c r="P6680">
        <v>3.5512729999999999E-2</v>
      </c>
      <c r="Q6680">
        <v>0.125806</v>
      </c>
      <c r="R6680">
        <v>0.99141900000000005</v>
      </c>
      <c r="S6680">
        <v>-8.4701540000000006E-2</v>
      </c>
      <c r="T6680">
        <v>-0.1201651</v>
      </c>
      <c r="U6680">
        <v>3.0442809999999998</v>
      </c>
      <c r="V6680">
        <v>3.5474539999999999E-2</v>
      </c>
      <c r="W6680">
        <v>0.1391868</v>
      </c>
      <c r="X6680">
        <v>0.98963049999999997</v>
      </c>
      <c r="Y6680">
        <v>-2.7841680000000001E-2</v>
      </c>
      <c r="Z6680">
        <v>-3.9426429999999998E-2</v>
      </c>
      <c r="AA6680">
        <v>0.99883449999999996</v>
      </c>
      <c r="AB6680">
        <v>29</v>
      </c>
      <c r="AC6680">
        <v>-0.78169999999999995</v>
      </c>
      <c r="AD6680">
        <v>-1.1089508268229999</v>
      </c>
      <c r="AE6680">
        <v>27.814170000000001</v>
      </c>
      <c r="AF6680">
        <v>-0.78187452331910701</v>
      </c>
      <c r="AG6680">
        <v>-1.1089508268229999</v>
      </c>
      <c r="AH6680">
        <v>27.7700213111038</v>
      </c>
      <c r="AI6680">
        <v>92.285894212425205</v>
      </c>
      <c r="AJ6680">
        <v>91.612756357526493</v>
      </c>
      <c r="AK6680">
        <v>27.803150600708602</v>
      </c>
      <c r="AL6680">
        <v>81.9992071259406</v>
      </c>
      <c r="AM6680">
        <v>87.947040315530103</v>
      </c>
      <c r="AN6680">
        <v>0.99999996740635</v>
      </c>
    </row>
    <row r="6681" spans="1:40" x14ac:dyDescent="0.25">
      <c r="A6681" t="str">
        <f>"20190312164635075"</f>
        <v>20190312164635075</v>
      </c>
      <c r="B6681" t="str">
        <f>"1552380395068081"</f>
        <v>1552380395068081</v>
      </c>
      <c r="C6681" t="s">
        <v>40</v>
      </c>
      <c r="D6681">
        <v>4.4813960000000002</v>
      </c>
      <c r="E6681">
        <v>0.45989190000000002</v>
      </c>
      <c r="F6681" t="s">
        <v>42</v>
      </c>
      <c r="G6681">
        <v>-189.05359999999999</v>
      </c>
      <c r="H6681" s="1">
        <v>-9.2043959999999998E-7</v>
      </c>
      <c r="I6681">
        <v>71.387010000000004</v>
      </c>
      <c r="J6681">
        <v>-187.58279999999999</v>
      </c>
      <c r="K6681">
        <v>1.1089439999999999</v>
      </c>
      <c r="L6681">
        <v>50.339359999999999</v>
      </c>
      <c r="M6681" s="1">
        <v>7.4881899999999999E-5</v>
      </c>
      <c r="N6681">
        <v>0</v>
      </c>
      <c r="O6681">
        <v>0.99990869999999998</v>
      </c>
      <c r="P6681">
        <v>3.5585169999999999E-2</v>
      </c>
      <c r="Q6681">
        <v>0.1258638</v>
      </c>
      <c r="R6681">
        <v>0.99140910000000004</v>
      </c>
      <c r="S6681">
        <v>-0.2106171</v>
      </c>
      <c r="T6681">
        <v>-0.15880239999999901</v>
      </c>
      <c r="U6681">
        <v>3.0536500000000002</v>
      </c>
      <c r="V6681">
        <v>3.552321E-2</v>
      </c>
      <c r="W6681">
        <v>0.13924300000000001</v>
      </c>
      <c r="X6681">
        <v>0.98962090000000003</v>
      </c>
      <c r="Y6681">
        <v>-6.8791069999999996E-2</v>
      </c>
      <c r="Z6681">
        <v>-5.1811059999999999E-2</v>
      </c>
      <c r="AA6681">
        <v>0.99628479999999997</v>
      </c>
      <c r="AB6681">
        <v>29</v>
      </c>
      <c r="AC6681">
        <v>-1.4707999999999899</v>
      </c>
      <c r="AD6681">
        <v>-1.1089449204396</v>
      </c>
      <c r="AE6681">
        <v>21.047650000000001</v>
      </c>
      <c r="AF6681">
        <v>-1.46832004155609</v>
      </c>
      <c r="AG6681">
        <v>-1.1089449204396</v>
      </c>
      <c r="AH6681">
        <v>20.989556828145201</v>
      </c>
      <c r="AI6681">
        <v>93.016946758754699</v>
      </c>
      <c r="AJ6681">
        <v>94.001595225126394</v>
      </c>
      <c r="AK6681">
        <v>21.070055017083899</v>
      </c>
      <c r="AL6681">
        <v>81.995955851224295</v>
      </c>
      <c r="AM6681">
        <v>87.944206206470795</v>
      </c>
      <c r="AN6681">
        <v>1.00000001860725</v>
      </c>
    </row>
    <row r="6682" spans="1:40" x14ac:dyDescent="0.25">
      <c r="A6682" t="str">
        <f>"20190312164635099"</f>
        <v>20190312164635099</v>
      </c>
      <c r="B6682" t="str">
        <f>"1552380395087601"</f>
        <v>1552380395087601</v>
      </c>
      <c r="C6682" t="s">
        <v>40</v>
      </c>
      <c r="D6682">
        <v>4.479482</v>
      </c>
      <c r="E6682">
        <v>0.4572985</v>
      </c>
      <c r="F6682" t="s">
        <v>42</v>
      </c>
      <c r="G6682">
        <v>-189.2955</v>
      </c>
      <c r="H6682" s="1">
        <v>-1.0674449999999999E-6</v>
      </c>
      <c r="I6682">
        <v>71.829700000000003</v>
      </c>
      <c r="J6682">
        <v>-187.58269999999999</v>
      </c>
      <c r="K6682">
        <v>1.108941</v>
      </c>
      <c r="L6682">
        <v>50.630830000000003</v>
      </c>
      <c r="M6682">
        <v>1.000158E-4</v>
      </c>
      <c r="N6682">
        <v>0</v>
      </c>
      <c r="O6682">
        <v>0.99990869999999998</v>
      </c>
      <c r="P6682">
        <v>3.5993520000000001E-2</v>
      </c>
      <c r="Q6682">
        <v>0.12616459999999999</v>
      </c>
      <c r="R6682">
        <v>0.99135609999999996</v>
      </c>
      <c r="S6682">
        <v>-0.243454</v>
      </c>
      <c r="T6682">
        <v>-0.1576312</v>
      </c>
      <c r="U6682">
        <v>3.0547490000000002</v>
      </c>
      <c r="V6682">
        <v>3.5906550000000002E-2</v>
      </c>
      <c r="W6682">
        <v>0.1395409</v>
      </c>
      <c r="X6682">
        <v>0.98956509999999998</v>
      </c>
      <c r="Y6682">
        <v>-7.9439830000000003E-2</v>
      </c>
      <c r="Z6682">
        <v>-5.1370800000000001E-2</v>
      </c>
      <c r="AA6682">
        <v>0.99551509999999999</v>
      </c>
      <c r="AB6682">
        <v>29</v>
      </c>
      <c r="AC6682">
        <v>-1.7128000000000101</v>
      </c>
      <c r="AD6682">
        <v>-1.1089420674449999</v>
      </c>
      <c r="AE6682">
        <v>21.198869999999999</v>
      </c>
      <c r="AF6682">
        <v>-1.7102706396102201</v>
      </c>
      <c r="AG6682">
        <v>-1.1089420674449999</v>
      </c>
      <c r="AH6682">
        <v>21.141221258590999</v>
      </c>
      <c r="AI6682">
        <v>92.992882730663695</v>
      </c>
      <c r="AJ6682">
        <v>94.625010029754094</v>
      </c>
      <c r="AK6682">
        <v>21.239256448246</v>
      </c>
      <c r="AL6682">
        <v>81.978719133768294</v>
      </c>
      <c r="AM6682">
        <v>87.921923886676595</v>
      </c>
      <c r="AN6682">
        <v>1.00000001512186</v>
      </c>
    </row>
    <row r="6683" spans="1:40" x14ac:dyDescent="0.25">
      <c r="A6683" t="str">
        <f>"20190312164635120"</f>
        <v>20190312164635120</v>
      </c>
      <c r="B6683" t="str">
        <f>"1552380395117857"</f>
        <v>1552380395117857</v>
      </c>
      <c r="C6683" t="s">
        <v>40</v>
      </c>
      <c r="D6683">
        <v>4.484693</v>
      </c>
      <c r="E6683">
        <v>0.45700410000000002</v>
      </c>
      <c r="F6683" t="s">
        <v>42</v>
      </c>
      <c r="G6683">
        <v>-189.47669999999999</v>
      </c>
      <c r="H6683" s="1">
        <v>-1.386975E-6</v>
      </c>
      <c r="I6683">
        <v>72.649450000000002</v>
      </c>
      <c r="J6683">
        <v>-187.58269999999999</v>
      </c>
      <c r="K6683">
        <v>1.108948</v>
      </c>
      <c r="L6683">
        <v>50.902920000000002</v>
      </c>
      <c r="M6683">
        <v>1.2322139999999999E-4</v>
      </c>
      <c r="N6683">
        <v>0</v>
      </c>
      <c r="O6683">
        <v>0.99990880000000004</v>
      </c>
      <c r="P6683">
        <v>3.6499169999999997E-2</v>
      </c>
      <c r="Q6683">
        <v>0.12633730000000001</v>
      </c>
      <c r="R6683">
        <v>0.99131570000000002</v>
      </c>
      <c r="S6683">
        <v>-0.26280209999999998</v>
      </c>
      <c r="T6683">
        <v>-0.15387500000000001</v>
      </c>
      <c r="U6683">
        <v>3.0552670000000002</v>
      </c>
      <c r="V6683">
        <v>3.6389129999999999E-2</v>
      </c>
      <c r="W6683">
        <v>0.1397119</v>
      </c>
      <c r="X6683">
        <v>0.98952340000000005</v>
      </c>
      <c r="Y6683">
        <v>-8.571471E-2</v>
      </c>
      <c r="Z6683">
        <v>-5.0115229999999997E-2</v>
      </c>
      <c r="AA6683">
        <v>0.99505849999999996</v>
      </c>
      <c r="AB6683">
        <v>29</v>
      </c>
      <c r="AC6683">
        <v>-1.8939999999999999</v>
      </c>
      <c r="AD6683">
        <v>-1.108949386975</v>
      </c>
      <c r="AE6683">
        <v>21.74653</v>
      </c>
      <c r="AF6683">
        <v>-1.8917974351414499</v>
      </c>
      <c r="AG6683">
        <v>-1.108949386975</v>
      </c>
      <c r="AH6683">
        <v>21.690317122657301</v>
      </c>
      <c r="AI6683">
        <v>92.915732836883194</v>
      </c>
      <c r="AJ6683">
        <v>94.984639332457505</v>
      </c>
      <c r="AK6683">
        <v>21.8008835408091</v>
      </c>
      <c r="AL6683">
        <v>81.968825087092497</v>
      </c>
      <c r="AM6683">
        <v>87.893931089781901</v>
      </c>
      <c r="AN6683">
        <v>1.0000000714656601</v>
      </c>
    </row>
    <row r="6684" spans="1:40" x14ac:dyDescent="0.25">
      <c r="A6684" t="str">
        <f>"20190312164635142"</f>
        <v>20190312164635142</v>
      </c>
      <c r="B6684" t="str">
        <f>"1552380395137377"</f>
        <v>1552380395137377</v>
      </c>
      <c r="C6684" t="s">
        <v>40</v>
      </c>
      <c r="D6684">
        <v>4.6967720000000002</v>
      </c>
      <c r="E6684">
        <v>0.45691939999999998</v>
      </c>
      <c r="F6684" t="s">
        <v>42</v>
      </c>
      <c r="G6684">
        <v>-189.52850000000001</v>
      </c>
      <c r="H6684" s="1">
        <v>-1.7313850000000001E-6</v>
      </c>
      <c r="I6684">
        <v>73.473709999999997</v>
      </c>
      <c r="J6684">
        <v>-187.58260000000001</v>
      </c>
      <c r="K6684">
        <v>1.108943</v>
      </c>
      <c r="L6684">
        <v>51.181089999999998</v>
      </c>
      <c r="M6684">
        <v>1.4686729999999901E-4</v>
      </c>
      <c r="N6684">
        <v>0</v>
      </c>
      <c r="O6684">
        <v>0.99990880000000004</v>
      </c>
      <c r="P6684">
        <v>3.6509510000000002E-2</v>
      </c>
      <c r="Q6684">
        <v>0.12639520000000001</v>
      </c>
      <c r="R6684">
        <v>0.99130790000000002</v>
      </c>
      <c r="S6684">
        <v>-0.26338200000000001</v>
      </c>
      <c r="T6684">
        <v>-0.15010419999999999</v>
      </c>
      <c r="U6684">
        <v>3.0551149999999998</v>
      </c>
      <c r="V6684">
        <v>3.6375940000000002E-2</v>
      </c>
      <c r="W6684">
        <v>0.139768</v>
      </c>
      <c r="X6684">
        <v>0.9895159</v>
      </c>
      <c r="Y6684">
        <v>-8.5935209999999998E-2</v>
      </c>
      <c r="Z6684">
        <v>-4.8891669999999998E-2</v>
      </c>
      <c r="AA6684">
        <v>0.9951004</v>
      </c>
      <c r="AB6684">
        <v>29</v>
      </c>
      <c r="AC6684">
        <v>-1.94589999999999</v>
      </c>
      <c r="AD6684">
        <v>-1.108944731385</v>
      </c>
      <c r="AE6684">
        <v>22.2926199999999</v>
      </c>
      <c r="AF6684">
        <v>-1.94439919016712</v>
      </c>
      <c r="AG6684">
        <v>-1.108944731385</v>
      </c>
      <c r="AH6684">
        <v>22.237721532185901</v>
      </c>
      <c r="AI6684">
        <v>92.844012718096806</v>
      </c>
      <c r="AJ6684">
        <v>94.997061174901305</v>
      </c>
      <c r="AK6684">
        <v>22.3500940841651</v>
      </c>
      <c r="AL6684">
        <v>81.965578443320595</v>
      </c>
      <c r="AM6684">
        <v>87.894677848631602</v>
      </c>
      <c r="AN6684">
        <v>1.0000000095938399</v>
      </c>
    </row>
    <row r="6685" spans="1:40" x14ac:dyDescent="0.25">
      <c r="A6685" t="str">
        <f>"20190312164635165"</f>
        <v>20190312164635165</v>
      </c>
      <c r="B6685" t="str">
        <f>"1552380395157874"</f>
        <v>1552380395157874</v>
      </c>
      <c r="C6685" t="s">
        <v>40</v>
      </c>
      <c r="D6685">
        <v>4.497382</v>
      </c>
      <c r="E6685">
        <v>0.45695940000000002</v>
      </c>
      <c r="F6685" t="s">
        <v>42</v>
      </c>
      <c r="G6685">
        <v>-189.58959999999999</v>
      </c>
      <c r="H6685" s="1">
        <v>-2.1310279999999999E-6</v>
      </c>
      <c r="I6685">
        <v>74.43056</v>
      </c>
      <c r="J6685">
        <v>-187.58250000000001</v>
      </c>
      <c r="K6685">
        <v>1.1089439999999999</v>
      </c>
      <c r="L6685">
        <v>51.48236</v>
      </c>
      <c r="M6685">
        <v>1.723966E-4</v>
      </c>
      <c r="N6685">
        <v>0</v>
      </c>
      <c r="O6685">
        <v>0.99990880000000004</v>
      </c>
      <c r="P6685">
        <v>3.6562770000000001E-2</v>
      </c>
      <c r="Q6685">
        <v>0.12688759999999999</v>
      </c>
      <c r="R6685">
        <v>0.99124299999999999</v>
      </c>
      <c r="S6685">
        <v>-0.26368709999999901</v>
      </c>
      <c r="T6685">
        <v>-0.1456971</v>
      </c>
      <c r="U6685">
        <v>3.0545960000000001</v>
      </c>
      <c r="V6685">
        <v>3.6403860000000003E-2</v>
      </c>
      <c r="W6685">
        <v>0.14025760000000001</v>
      </c>
      <c r="X6685">
        <v>0.98944560000000004</v>
      </c>
      <c r="Y6685">
        <v>-8.607969E-2</v>
      </c>
      <c r="Z6685">
        <v>-4.7467019999999999E-2</v>
      </c>
      <c r="AA6685">
        <v>0.99515690000000001</v>
      </c>
      <c r="AB6685">
        <v>28</v>
      </c>
      <c r="AC6685">
        <v>-2.0070999999999799</v>
      </c>
      <c r="AD6685">
        <v>-1.108946131028</v>
      </c>
      <c r="AE6685">
        <v>22.9482</v>
      </c>
      <c r="AF6685">
        <v>-2.0064067354593398</v>
      </c>
      <c r="AG6685">
        <v>-1.108946131028</v>
      </c>
      <c r="AH6685">
        <v>22.894795611282799</v>
      </c>
      <c r="AI6685">
        <v>92.762474480166603</v>
      </c>
      <c r="AJ6685">
        <v>95.0083736203987</v>
      </c>
      <c r="AK6685">
        <v>23.0092828135089</v>
      </c>
      <c r="AL6685">
        <v>81.937247406672199</v>
      </c>
      <c r="AM6685">
        <v>87.892913822150305</v>
      </c>
      <c r="AN6685">
        <v>1.0000000153699999</v>
      </c>
    </row>
    <row r="6686" spans="1:40" x14ac:dyDescent="0.25">
      <c r="A6686" t="str">
        <f>"20190312164635188"</f>
        <v>20190312164635188</v>
      </c>
      <c r="B6686" t="str">
        <f>"1552380395177393"</f>
        <v>1552380395177393</v>
      </c>
      <c r="C6686" t="s">
        <v>40</v>
      </c>
      <c r="D6686">
        <v>4.5392609999999998</v>
      </c>
      <c r="E6686">
        <v>0.45661849999999998</v>
      </c>
      <c r="F6686" t="s">
        <v>42</v>
      </c>
      <c r="G6686">
        <v>-189.7989</v>
      </c>
      <c r="H6686" s="1">
        <v>-3.306091E-6</v>
      </c>
      <c r="I6686">
        <v>77.256209999999996</v>
      </c>
      <c r="J6686">
        <v>-187.58240000000001</v>
      </c>
      <c r="K6686">
        <v>1.108954</v>
      </c>
      <c r="L6686">
        <v>51.760280000000002</v>
      </c>
      <c r="M6686">
        <v>1.959164E-4</v>
      </c>
      <c r="N6686">
        <v>0</v>
      </c>
      <c r="O6686">
        <v>0.99990880000000004</v>
      </c>
      <c r="P6686">
        <v>3.6610530000000002E-2</v>
      </c>
      <c r="Q6686">
        <v>0.1269882</v>
      </c>
      <c r="R6686">
        <v>0.99122829999999995</v>
      </c>
      <c r="S6686">
        <v>-0.26254270000000002</v>
      </c>
      <c r="T6686">
        <v>-0.131359</v>
      </c>
      <c r="U6686">
        <v>3.0530089999999999</v>
      </c>
      <c r="V6686">
        <v>3.6428250000000002E-2</v>
      </c>
      <c r="W6686">
        <v>0.1403568</v>
      </c>
      <c r="X6686">
        <v>0.98943060000000005</v>
      </c>
      <c r="Y6686">
        <v>-8.5795129999999997E-2</v>
      </c>
      <c r="Z6686">
        <v>-4.2828159999999997E-2</v>
      </c>
      <c r="AA6686">
        <v>0.99539180000000005</v>
      </c>
      <c r="AB6686">
        <v>28</v>
      </c>
      <c r="AC6686">
        <v>-2.2164999999999901</v>
      </c>
      <c r="AD6686">
        <v>-1.1089573060910001</v>
      </c>
      <c r="AE6686">
        <v>25.495929999999898</v>
      </c>
      <c r="AF6686">
        <v>-2.2173320781930799</v>
      </c>
      <c r="AG6686">
        <v>-1.1089573060910001</v>
      </c>
      <c r="AH6686">
        <v>25.447712956806701</v>
      </c>
      <c r="AI6686">
        <v>92.485843010562206</v>
      </c>
      <c r="AJ6686">
        <v>94.979768341861003</v>
      </c>
      <c r="AK6686">
        <v>25.568192008504301</v>
      </c>
      <c r="AL6686">
        <v>81.931506596708502</v>
      </c>
      <c r="AM6686">
        <v>87.891471445666099</v>
      </c>
      <c r="AN6686">
        <v>0.99999998046033101</v>
      </c>
    </row>
    <row r="6687" spans="1:40" x14ac:dyDescent="0.25">
      <c r="A6687" t="str">
        <f>"20190312164635209"</f>
        <v>20190312164635209</v>
      </c>
      <c r="B6687" t="str">
        <f>"1552380395197893"</f>
        <v>1552380395197893</v>
      </c>
      <c r="C6687" t="s">
        <v>40</v>
      </c>
      <c r="D6687">
        <v>4.526205</v>
      </c>
      <c r="E6687">
        <v>0.45685940000000003</v>
      </c>
      <c r="F6687" t="s">
        <v>42</v>
      </c>
      <c r="G6687">
        <v>-189.77019999999999</v>
      </c>
      <c r="H6687" s="1">
        <v>-3.1769110000000001E-6</v>
      </c>
      <c r="I6687">
        <v>76.943190000000001</v>
      </c>
      <c r="J6687">
        <v>-187.58240000000001</v>
      </c>
      <c r="K6687">
        <v>1.108951</v>
      </c>
      <c r="L6687">
        <v>52.032319999999999</v>
      </c>
      <c r="M6687">
        <v>2.1895319999999999E-4</v>
      </c>
      <c r="N6687">
        <v>0</v>
      </c>
      <c r="O6687">
        <v>0.99990889999999999</v>
      </c>
      <c r="P6687">
        <v>3.6480779999999997E-2</v>
      </c>
      <c r="Q6687">
        <v>0.1271851</v>
      </c>
      <c r="R6687">
        <v>0.99120790000000003</v>
      </c>
      <c r="S6687">
        <v>-0.26527399999999901</v>
      </c>
      <c r="T6687">
        <v>-0.1344668</v>
      </c>
      <c r="U6687">
        <v>3.0535580000000002</v>
      </c>
      <c r="V6687">
        <v>3.627565E-2</v>
      </c>
      <c r="W6687">
        <v>0.14055179999999901</v>
      </c>
      <c r="X6687">
        <v>0.98940859999999997</v>
      </c>
      <c r="Y6687">
        <v>-8.6682770000000006E-2</v>
      </c>
      <c r="Z6687">
        <v>-4.3828289999999999E-2</v>
      </c>
      <c r="AA6687">
        <v>0.99527140000000003</v>
      </c>
      <c r="AB6687">
        <v>28</v>
      </c>
      <c r="AC6687">
        <v>-2.1877999999999802</v>
      </c>
      <c r="AD6687">
        <v>-1.1089541769110001</v>
      </c>
      <c r="AE6687">
        <v>24.910869999999999</v>
      </c>
      <c r="AF6687">
        <v>-2.1889500055817601</v>
      </c>
      <c r="AG6687">
        <v>-1.1089541769110001</v>
      </c>
      <c r="AH6687">
        <v>24.8614981155899</v>
      </c>
      <c r="AI6687">
        <v>92.544172315348007</v>
      </c>
      <c r="AJ6687">
        <v>95.031676443239903</v>
      </c>
      <c r="AK6687">
        <v>24.982301135902301</v>
      </c>
      <c r="AL6687">
        <v>81.920222659964395</v>
      </c>
      <c r="AM6687">
        <v>87.900249622240395</v>
      </c>
      <c r="AN6687">
        <v>1.00000005451005</v>
      </c>
    </row>
    <row r="6688" spans="1:40" x14ac:dyDescent="0.25">
      <c r="A6688" t="str">
        <f>"20190312164635233"</f>
        <v>20190312164635233</v>
      </c>
      <c r="B6688" t="str">
        <f>"1552380395228147"</f>
        <v>1552380395228147</v>
      </c>
      <c r="C6688" t="s">
        <v>40</v>
      </c>
      <c r="D6688">
        <v>4.5959529999999997</v>
      </c>
      <c r="E6688">
        <v>0.45681080000000002</v>
      </c>
      <c r="F6688" t="s">
        <v>42</v>
      </c>
      <c r="G6688">
        <v>-189.76849999999999</v>
      </c>
      <c r="H6688" s="1">
        <v>-3.3439829999999998E-6</v>
      </c>
      <c r="I6688">
        <v>77.331969999999998</v>
      </c>
      <c r="J6688">
        <v>-187.5823</v>
      </c>
      <c r="K6688">
        <v>1.1089519999999999</v>
      </c>
      <c r="L6688">
        <v>52.331049999999998</v>
      </c>
      <c r="M6688">
        <v>2.4427340000000001E-4</v>
      </c>
      <c r="N6688">
        <v>0</v>
      </c>
      <c r="O6688">
        <v>0.99990889999999999</v>
      </c>
      <c r="P6688">
        <v>3.6463370000000002E-2</v>
      </c>
      <c r="Q6688">
        <v>0.1275124</v>
      </c>
      <c r="R6688">
        <v>0.99116649999999995</v>
      </c>
      <c r="S6688">
        <v>-0.26385500000000001</v>
      </c>
      <c r="T6688">
        <v>-0.1338433</v>
      </c>
      <c r="U6688">
        <v>3.0534970000000001</v>
      </c>
      <c r="V6688">
        <v>3.6233149999999999E-2</v>
      </c>
      <c r="W6688">
        <v>0.14087659999999999</v>
      </c>
      <c r="X6688">
        <v>0.98936389999999996</v>
      </c>
      <c r="Y6688">
        <v>-8.6251359999999999E-2</v>
      </c>
      <c r="Z6688">
        <v>-4.3628020000000003E-2</v>
      </c>
      <c r="AA6688">
        <v>0.99531769999999997</v>
      </c>
      <c r="AB6688">
        <v>28</v>
      </c>
      <c r="AC6688">
        <v>-2.1861999999999799</v>
      </c>
      <c r="AD6688">
        <v>-1.108955343983</v>
      </c>
      <c r="AE6688">
        <v>25.000920000000001</v>
      </c>
      <c r="AF6688">
        <v>-2.1880352461096799</v>
      </c>
      <c r="AG6688">
        <v>-1.108955343983</v>
      </c>
      <c r="AH6688">
        <v>24.9516651579982</v>
      </c>
      <c r="AI6688">
        <v>92.5350715299152</v>
      </c>
      <c r="AJ6688">
        <v>95.011501974180405</v>
      </c>
      <c r="AK6688">
        <v>25.071953939612101</v>
      </c>
      <c r="AL6688">
        <v>81.901425460723701</v>
      </c>
      <c r="AM6688">
        <v>87.902612787497304</v>
      </c>
      <c r="AN6688">
        <v>0.99999999210484602</v>
      </c>
    </row>
    <row r="6689" spans="1:40" x14ac:dyDescent="0.25">
      <c r="A6689" t="str">
        <f>"20190312164635254"</f>
        <v>20190312164635254</v>
      </c>
      <c r="B6689" t="str">
        <f>"1552380395247666"</f>
        <v>1552380395247666</v>
      </c>
      <c r="C6689" t="s">
        <v>40</v>
      </c>
      <c r="D6689">
        <v>4.6068629999999997</v>
      </c>
      <c r="E6689">
        <v>0.45700439999999998</v>
      </c>
      <c r="F6689" t="s">
        <v>42</v>
      </c>
      <c r="G6689">
        <v>-189.7664</v>
      </c>
      <c r="H6689" s="1">
        <v>-3.4495690000000002E-6</v>
      </c>
      <c r="I6689">
        <v>77.577219999999997</v>
      </c>
      <c r="J6689">
        <v>-187.5822</v>
      </c>
      <c r="K6689">
        <v>1.1089560000000001</v>
      </c>
      <c r="L6689">
        <v>52.610259999999997</v>
      </c>
      <c r="M6689">
        <v>2.6796410000000002E-4</v>
      </c>
      <c r="N6689">
        <v>0</v>
      </c>
      <c r="O6689">
        <v>0.99990889999999999</v>
      </c>
      <c r="P6689">
        <v>3.6389030000000003E-2</v>
      </c>
      <c r="Q6689">
        <v>0.12777279999999999</v>
      </c>
      <c r="R6689">
        <v>0.99113569999999995</v>
      </c>
      <c r="S6689">
        <v>-0.2641907</v>
      </c>
      <c r="T6689">
        <v>-0.13413630000000001</v>
      </c>
      <c r="U6689">
        <v>3.0537109999999998</v>
      </c>
      <c r="V6689">
        <v>3.6135319999999999E-2</v>
      </c>
      <c r="W6689">
        <v>0.1411348</v>
      </c>
      <c r="X6689">
        <v>0.98933070000000001</v>
      </c>
      <c r="Y6689">
        <v>-8.6377250000000003E-2</v>
      </c>
      <c r="Z6689">
        <v>-4.3719859999999999E-2</v>
      </c>
      <c r="AA6689">
        <v>0.99530269999999998</v>
      </c>
      <c r="AB6689">
        <v>28</v>
      </c>
      <c r="AC6689">
        <v>-2.1842000000000001</v>
      </c>
      <c r="AD6689">
        <v>-1.1089594495690001</v>
      </c>
      <c r="AE6689">
        <v>24.96696</v>
      </c>
      <c r="AF6689">
        <v>-2.1866096333212202</v>
      </c>
      <c r="AG6689">
        <v>-1.1089594495690001</v>
      </c>
      <c r="AH6689">
        <v>24.917587805737</v>
      </c>
      <c r="AI6689">
        <v>92.538529512809802</v>
      </c>
      <c r="AJ6689">
        <v>95.015067738806906</v>
      </c>
      <c r="AK6689">
        <v>25.037915943742899</v>
      </c>
      <c r="AL6689">
        <v>81.886482565959199</v>
      </c>
      <c r="AM6689">
        <v>87.9082005924367</v>
      </c>
      <c r="AN6689">
        <v>1.00000001354251</v>
      </c>
    </row>
    <row r="6690" spans="1:40" x14ac:dyDescent="0.25">
      <c r="A6690" t="str">
        <f>"20190312164635277"</f>
        <v>20190312164635277</v>
      </c>
      <c r="B6690" t="str">
        <f>"1552380395268161"</f>
        <v>1552380395268161</v>
      </c>
      <c r="C6690" t="s">
        <v>40</v>
      </c>
      <c r="D6690">
        <v>4.2772810000000003</v>
      </c>
      <c r="E6690">
        <v>0.45721230000000002</v>
      </c>
      <c r="F6690" t="s">
        <v>42</v>
      </c>
      <c r="G6690">
        <v>-189.82429999999999</v>
      </c>
      <c r="H6690" s="1">
        <v>-3.921459E-6</v>
      </c>
      <c r="I6690">
        <v>78.701130000000006</v>
      </c>
      <c r="J6690">
        <v>-187.5821</v>
      </c>
      <c r="K6690">
        <v>1.1089610000000001</v>
      </c>
      <c r="L6690">
        <v>52.898350000000001</v>
      </c>
      <c r="M6690">
        <v>2.9246410000000002E-4</v>
      </c>
      <c r="N6690">
        <v>0</v>
      </c>
      <c r="O6690">
        <v>0.99990889999999999</v>
      </c>
      <c r="P6690">
        <v>3.6390550000000001E-2</v>
      </c>
      <c r="Q6690">
        <v>0.12757859999999999</v>
      </c>
      <c r="R6690">
        <v>0.99116059999999995</v>
      </c>
      <c r="S6690">
        <v>-0.26237490000000002</v>
      </c>
      <c r="T6690">
        <v>-0.1297721</v>
      </c>
      <c r="U6690">
        <v>3.0531920000000001</v>
      </c>
      <c r="V6690">
        <v>3.6112529999999997E-2</v>
      </c>
      <c r="W6690">
        <v>0.1409398</v>
      </c>
      <c r="X6690">
        <v>0.98935930000000005</v>
      </c>
      <c r="Y6690">
        <v>-8.5833800000000002E-2</v>
      </c>
      <c r="Z6690">
        <v>-4.230921E-2</v>
      </c>
      <c r="AA6690">
        <v>0.99541069999999998</v>
      </c>
      <c r="AB6690">
        <v>28</v>
      </c>
      <c r="AC6690">
        <v>-2.2421999999999902</v>
      </c>
      <c r="AD6690">
        <v>-1.1089649214590001</v>
      </c>
      <c r="AE6690">
        <v>25.802779999999998</v>
      </c>
      <c r="AF6690">
        <v>-2.2456300460132201</v>
      </c>
      <c r="AG6690">
        <v>-1.1089649214590001</v>
      </c>
      <c r="AH6690">
        <v>25.7549063908242</v>
      </c>
      <c r="AI6690">
        <v>92.456233706322607</v>
      </c>
      <c r="AJ6690">
        <v>94.983149324115502</v>
      </c>
      <c r="AK6690">
        <v>25.876395821302101</v>
      </c>
      <c r="AL6690">
        <v>81.897767802420304</v>
      </c>
      <c r="AM6690">
        <v>87.909579065001907</v>
      </c>
      <c r="AN6690">
        <v>0.99999998327176498</v>
      </c>
    </row>
    <row r="6691" spans="1:40" x14ac:dyDescent="0.25">
      <c r="A6691" t="str">
        <f>"20190312164635299"</f>
        <v>20190312164635299</v>
      </c>
      <c r="B6691" t="str">
        <f>"1552380395287681"</f>
        <v>1552380395287681</v>
      </c>
      <c r="C6691" t="s">
        <v>40</v>
      </c>
      <c r="D6691">
        <v>4.7048139999999998</v>
      </c>
      <c r="E6691">
        <v>0.4577003</v>
      </c>
      <c r="F6691" t="s">
        <v>42</v>
      </c>
      <c r="G6691">
        <v>-189.87100000000001</v>
      </c>
      <c r="H6691" s="1">
        <v>-6.8037099999999995E-8</v>
      </c>
      <c r="I6691">
        <v>79.738039999999998</v>
      </c>
      <c r="J6691">
        <v>-187.58199999999999</v>
      </c>
      <c r="K6691">
        <v>1.1089629999999999</v>
      </c>
      <c r="L6691">
        <v>53.178100000000001</v>
      </c>
      <c r="M6691">
        <v>3.1627069999999997E-4</v>
      </c>
      <c r="N6691">
        <v>0</v>
      </c>
      <c r="O6691">
        <v>0.99990889999999999</v>
      </c>
      <c r="P6691">
        <v>3.6237270000000002E-2</v>
      </c>
      <c r="Q6691">
        <v>0.1278657</v>
      </c>
      <c r="R6691">
        <v>0.99112929999999999</v>
      </c>
      <c r="S6691">
        <v>-0.26033020000000001</v>
      </c>
      <c r="T6691">
        <v>-0.12612519999999999</v>
      </c>
      <c r="U6691">
        <v>3.0525509999999998</v>
      </c>
      <c r="V6691">
        <v>3.5935670000000003E-2</v>
      </c>
      <c r="W6691">
        <v>0.14122499999999999</v>
      </c>
      <c r="X6691">
        <v>0.98932509999999996</v>
      </c>
      <c r="Y6691">
        <v>-8.5217609999999999E-2</v>
      </c>
      <c r="Z6691">
        <v>-4.1133129999999997E-2</v>
      </c>
      <c r="AA6691">
        <v>0.99551299999999998</v>
      </c>
      <c r="AB6691">
        <v>28</v>
      </c>
      <c r="AC6691">
        <v>-2.2889999999999802</v>
      </c>
      <c r="AD6691">
        <v>-1.1089630680371001</v>
      </c>
      <c r="AE6691">
        <v>26.559940000000001</v>
      </c>
      <c r="AF6691">
        <v>-2.2934320462220601</v>
      </c>
      <c r="AG6691">
        <v>-1.1089630680371001</v>
      </c>
      <c r="AH6691">
        <v>26.513333905872301</v>
      </c>
      <c r="AI6691">
        <v>92.386192305040495</v>
      </c>
      <c r="AJ6691">
        <v>94.9438407185621</v>
      </c>
      <c r="AK6691">
        <v>26.6354370048848</v>
      </c>
      <c r="AL6691">
        <v>81.881262196883497</v>
      </c>
      <c r="AM6691">
        <v>87.919735973643597</v>
      </c>
      <c r="AN6691">
        <v>1.00000001324667</v>
      </c>
    </row>
    <row r="6692" spans="1:40" x14ac:dyDescent="0.25">
      <c r="A6692" t="str">
        <f>"20190312164635320"</f>
        <v>20190312164635320</v>
      </c>
      <c r="B6692" t="str">
        <f>"1552380395308177"</f>
        <v>1552380395308177</v>
      </c>
      <c r="C6692" t="s">
        <v>40</v>
      </c>
      <c r="D6692">
        <v>4.5935930000000003</v>
      </c>
      <c r="E6692">
        <v>0.48044710000000002</v>
      </c>
      <c r="F6692" t="s">
        <v>42</v>
      </c>
      <c r="G6692">
        <v>-189.84049999999999</v>
      </c>
      <c r="H6692" s="1">
        <v>-1.900796E-7</v>
      </c>
      <c r="I6692">
        <v>80.009900000000002</v>
      </c>
      <c r="J6692">
        <v>-187.58179999999999</v>
      </c>
      <c r="K6692">
        <v>1.1089580000000001</v>
      </c>
      <c r="L6692">
        <v>53.438389999999998</v>
      </c>
      <c r="M6692">
        <v>3.3841909999999999E-4</v>
      </c>
      <c r="N6692">
        <v>0</v>
      </c>
      <c r="O6692">
        <v>0.99990889999999999</v>
      </c>
      <c r="P6692">
        <v>3.6306999999999999E-2</v>
      </c>
      <c r="Q6692">
        <v>0.1283311</v>
      </c>
      <c r="R6692">
        <v>0.99106660000000002</v>
      </c>
      <c r="S6692">
        <v>-0.25694270000000002</v>
      </c>
      <c r="T6692">
        <v>-0.1261612</v>
      </c>
      <c r="U6692">
        <v>3.052521</v>
      </c>
      <c r="V6692">
        <v>3.5983499999999898E-2</v>
      </c>
      <c r="W6692">
        <v>0.14168800000000001</v>
      </c>
      <c r="X6692">
        <v>0.98925719999999995</v>
      </c>
      <c r="Y6692">
        <v>-8.4143560000000006E-2</v>
      </c>
      <c r="Z6692">
        <v>-4.1149060000000001E-2</v>
      </c>
      <c r="AA6692">
        <v>0.99560360000000003</v>
      </c>
      <c r="AB6692">
        <v>28</v>
      </c>
      <c r="AC6692">
        <v>-2.2587000000000002</v>
      </c>
      <c r="AD6692">
        <v>-1.1089581900795999</v>
      </c>
      <c r="AE6692">
        <v>26.57151</v>
      </c>
      <c r="AF6692">
        <v>-2.26377823786417</v>
      </c>
      <c r="AG6692">
        <v>-1.1089581900795999</v>
      </c>
      <c r="AH6692">
        <v>26.524874481797301</v>
      </c>
      <c r="AI6692">
        <v>92.385379660242606</v>
      </c>
      <c r="AJ6692">
        <v>94.878115101519896</v>
      </c>
      <c r="AK6692">
        <v>26.644388648506698</v>
      </c>
      <c r="AL6692">
        <v>81.854465128820706</v>
      </c>
      <c r="AM6692">
        <v>87.916826753795704</v>
      </c>
      <c r="AN6692">
        <v>1.00000005468404</v>
      </c>
    </row>
    <row r="6693" spans="1:40" x14ac:dyDescent="0.25">
      <c r="A6693" t="str">
        <f>"20190312164635343"</f>
        <v>20190312164635343</v>
      </c>
      <c r="B6693" t="str">
        <f>"1552380395337457"</f>
        <v>1552380395337457</v>
      </c>
      <c r="C6693" t="s">
        <v>40</v>
      </c>
      <c r="D6693">
        <v>4.6400220000000001</v>
      </c>
      <c r="E6693">
        <v>0.48171829999999999</v>
      </c>
      <c r="F6693" t="s">
        <v>42</v>
      </c>
      <c r="G6693">
        <v>-188.10980000000001</v>
      </c>
      <c r="H6693" s="1">
        <v>-2.310503E-6</v>
      </c>
      <c r="I6693">
        <v>74.237020000000001</v>
      </c>
      <c r="J6693">
        <v>-187.58170000000001</v>
      </c>
      <c r="K6693">
        <v>1.108965</v>
      </c>
      <c r="L6693">
        <v>53.7264699999999</v>
      </c>
      <c r="M6693">
        <v>3.6276329999999999E-4</v>
      </c>
      <c r="N6693">
        <v>0</v>
      </c>
      <c r="O6693">
        <v>0.99990889999999999</v>
      </c>
      <c r="P6693">
        <v>3.6295729999999998E-2</v>
      </c>
      <c r="Q6693">
        <v>0.12824929999999901</v>
      </c>
      <c r="R6693">
        <v>0.99107749999999994</v>
      </c>
      <c r="S6693">
        <v>-7.7438350000000003E-2</v>
      </c>
      <c r="T6693">
        <v>-0.16267239999999999</v>
      </c>
      <c r="U6693">
        <v>3.0509339999999998</v>
      </c>
      <c r="V6693">
        <v>3.594812E-2</v>
      </c>
      <c r="W6693">
        <v>0.14160539999999999</v>
      </c>
      <c r="X6693">
        <v>0.98927030000000005</v>
      </c>
      <c r="Y6693">
        <v>-2.5700400000000002E-2</v>
      </c>
      <c r="Z6693">
        <v>-5.3225920000000003E-2</v>
      </c>
      <c r="AA6693">
        <v>0.99825169999999996</v>
      </c>
      <c r="AB6693">
        <v>28</v>
      </c>
      <c r="AC6693">
        <v>-0.52809999999999402</v>
      </c>
      <c r="AD6693">
        <v>-1.108967310503</v>
      </c>
      <c r="AE6693">
        <v>20.510549999999999</v>
      </c>
      <c r="AF6693">
        <v>-0.53398113048572504</v>
      </c>
      <c r="AG6693">
        <v>-1.108967310503</v>
      </c>
      <c r="AH6693">
        <v>20.450612084467899</v>
      </c>
      <c r="AI6693">
        <v>93.102860262949207</v>
      </c>
      <c r="AJ6693">
        <v>91.495696799921802</v>
      </c>
      <c r="AK6693">
        <v>20.487617698816699</v>
      </c>
      <c r="AL6693">
        <v>81.859245856152597</v>
      </c>
      <c r="AM6693">
        <v>87.918900721231694</v>
      </c>
      <c r="AN6693">
        <v>1.0000000415513901</v>
      </c>
    </row>
    <row r="6694" spans="1:40" x14ac:dyDescent="0.25">
      <c r="A6694" t="str">
        <f>"20190312164635365"</f>
        <v>20190312164635365</v>
      </c>
      <c r="B6694" t="str">
        <f>"1552380395357954"</f>
        <v>1552380395357954</v>
      </c>
      <c r="C6694" t="s">
        <v>40</v>
      </c>
      <c r="D6694">
        <v>4.7254839999999998</v>
      </c>
      <c r="E6694">
        <v>0.48188170000000002</v>
      </c>
      <c r="F6694" t="s">
        <v>42</v>
      </c>
      <c r="G6694">
        <v>-188.0591</v>
      </c>
      <c r="H6694" s="1">
        <v>-2.857961E-6</v>
      </c>
      <c r="I6694">
        <v>75.49221</v>
      </c>
      <c r="J6694">
        <v>-187.58160000000001</v>
      </c>
      <c r="K6694">
        <v>1.1089639999999901</v>
      </c>
      <c r="L6694">
        <v>54.018949999999997</v>
      </c>
      <c r="M6694">
        <v>3.8775579999999999E-4</v>
      </c>
      <c r="N6694">
        <v>0</v>
      </c>
      <c r="O6694">
        <v>0.99990889999999999</v>
      </c>
      <c r="P6694">
        <v>3.6564659999999999E-2</v>
      </c>
      <c r="Q6694">
        <v>0.12842339999999999</v>
      </c>
      <c r="R6694">
        <v>0.99104510000000001</v>
      </c>
      <c r="S6694">
        <v>-6.6879270000000005E-2</v>
      </c>
      <c r="T6694">
        <v>-0.1553756</v>
      </c>
      <c r="U6694">
        <v>3.0495610000000002</v>
      </c>
      <c r="V6694">
        <v>3.619228E-2</v>
      </c>
      <c r="W6694">
        <v>0.14177719999999999</v>
      </c>
      <c r="X6694">
        <v>0.98923680000000003</v>
      </c>
      <c r="Y6694">
        <v>-2.2284829999999999E-2</v>
      </c>
      <c r="Z6694">
        <v>-5.0871739999999999E-2</v>
      </c>
      <c r="AA6694">
        <v>0.99845649999999997</v>
      </c>
      <c r="AB6694">
        <v>28</v>
      </c>
      <c r="AC6694">
        <v>-0.47749999999999199</v>
      </c>
      <c r="AD6694">
        <v>-1.1089668579609999</v>
      </c>
      <c r="AE6694">
        <v>21.47326</v>
      </c>
      <c r="AF6694">
        <v>-0.484535431876774</v>
      </c>
      <c r="AG6694">
        <v>-1.1089668579609999</v>
      </c>
      <c r="AH6694">
        <v>21.4159826322371</v>
      </c>
      <c r="AI6694">
        <v>92.963497351606705</v>
      </c>
      <c r="AJ6694">
        <v>91.296092746120294</v>
      </c>
      <c r="AK6694">
        <v>21.450149047992198</v>
      </c>
      <c r="AL6694">
        <v>81.849302195921396</v>
      </c>
      <c r="AM6694">
        <v>87.904707538674202</v>
      </c>
      <c r="AN6694">
        <v>1.00000005102283</v>
      </c>
    </row>
    <row r="6695" spans="1:40" x14ac:dyDescent="0.25">
      <c r="A6695" t="str">
        <f>"20190312164635390"</f>
        <v>20190312164635390</v>
      </c>
      <c r="B6695" t="str">
        <f>"1552380395377473"</f>
        <v>1552380395377473</v>
      </c>
      <c r="C6695" t="s">
        <v>40</v>
      </c>
      <c r="D6695">
        <v>4.750032</v>
      </c>
      <c r="E6695">
        <v>0.48150110000000002</v>
      </c>
      <c r="F6695" t="s">
        <v>42</v>
      </c>
      <c r="G6695">
        <v>-188.04390000000001</v>
      </c>
      <c r="H6695" s="1">
        <v>-2.9563110000000001E-6</v>
      </c>
      <c r="I6695">
        <v>75.715190000000007</v>
      </c>
      <c r="J6695">
        <v>-187.58150000000001</v>
      </c>
      <c r="K6695">
        <v>1.1089690000000001</v>
      </c>
      <c r="L6695">
        <v>54.31671</v>
      </c>
      <c r="M6695">
        <v>4.1312240000000001E-4</v>
      </c>
      <c r="N6695">
        <v>0</v>
      </c>
      <c r="O6695">
        <v>0.99990889999999999</v>
      </c>
      <c r="P6695">
        <v>3.6895520000000001E-2</v>
      </c>
      <c r="Q6695">
        <v>0.12871669999999999</v>
      </c>
      <c r="R6695">
        <v>0.99099479999999995</v>
      </c>
      <c r="S6695">
        <v>-6.4987180000000005E-2</v>
      </c>
      <c r="T6695">
        <v>-0.15588089999999999</v>
      </c>
      <c r="U6695">
        <v>3.0497130000000001</v>
      </c>
      <c r="V6695">
        <v>3.6498030000000001E-2</v>
      </c>
      <c r="W6695">
        <v>0.14206849999999999</v>
      </c>
      <c r="X6695">
        <v>0.9891837</v>
      </c>
      <c r="Y6695">
        <v>-2.1689739999999999E-2</v>
      </c>
      <c r="Z6695">
        <v>-5.1034889999999999E-2</v>
      </c>
      <c r="AA6695">
        <v>0.9984613</v>
      </c>
      <c r="AB6695">
        <v>28</v>
      </c>
      <c r="AC6695">
        <v>-0.46240000000000198</v>
      </c>
      <c r="AD6695">
        <v>-1.1089719563110001</v>
      </c>
      <c r="AE6695">
        <v>21.398479999999999</v>
      </c>
      <c r="AF6695">
        <v>-0.469979270752856</v>
      </c>
      <c r="AG6695">
        <v>-1.1089719563110001</v>
      </c>
      <c r="AH6695">
        <v>21.34099602117</v>
      </c>
      <c r="AI6695">
        <v>92.973945197897294</v>
      </c>
      <c r="AJ6695">
        <v>91.2615848256292</v>
      </c>
      <c r="AK6695">
        <v>21.3749575552892</v>
      </c>
      <c r="AL6695">
        <v>81.832440669700205</v>
      </c>
      <c r="AM6695">
        <v>87.886909300244795</v>
      </c>
      <c r="AN6695">
        <v>0.99999997861590995</v>
      </c>
    </row>
    <row r="6696" spans="1:40" x14ac:dyDescent="0.25">
      <c r="A6696" t="str">
        <f>"20190312164635421"</f>
        <v>20190312164635421</v>
      </c>
      <c r="B6696" t="str">
        <f>"1552380395417490"</f>
        <v>1552380395417490</v>
      </c>
      <c r="C6696" t="s">
        <v>40</v>
      </c>
      <c r="D6696">
        <v>4.8167619999999998</v>
      </c>
      <c r="E6696">
        <v>0.4809061</v>
      </c>
      <c r="F6696" t="s">
        <v>42</v>
      </c>
      <c r="G6696">
        <v>-188.06829999999999</v>
      </c>
      <c r="H6696" s="1">
        <v>-3.2819409999999999E-6</v>
      </c>
      <c r="I6696">
        <v>76.484309999999994</v>
      </c>
      <c r="J6696">
        <v>-187.5812</v>
      </c>
      <c r="K6696">
        <v>1.1089659999999999</v>
      </c>
      <c r="L6696">
        <v>54.708559999999999</v>
      </c>
      <c r="M6696">
        <v>4.4644539999999999E-4</v>
      </c>
      <c r="N6696">
        <v>0</v>
      </c>
      <c r="O6696">
        <v>0.99990900000000005</v>
      </c>
      <c r="P6696">
        <v>3.7060580000000003E-2</v>
      </c>
      <c r="Q6696">
        <v>0.1292181</v>
      </c>
      <c r="R6696">
        <v>0.99092340000000001</v>
      </c>
      <c r="S6696">
        <v>-6.6970829999999995E-2</v>
      </c>
      <c r="T6696">
        <v>-0.15255949999999999</v>
      </c>
      <c r="U6696">
        <v>3.0495610000000002</v>
      </c>
      <c r="V6696">
        <v>3.6630129999999997E-2</v>
      </c>
      <c r="W6696">
        <v>0.14256640000000001</v>
      </c>
      <c r="X6696">
        <v>0.98910719999999996</v>
      </c>
      <c r="Y6696">
        <v>-2.2374479999999999E-2</v>
      </c>
      <c r="Z6696">
        <v>-4.9951969999999998E-2</v>
      </c>
      <c r="AA6696">
        <v>0.99850090000000002</v>
      </c>
      <c r="AB6696">
        <v>28</v>
      </c>
      <c r="AC6696">
        <v>-0.48709999999999798</v>
      </c>
      <c r="AD6696">
        <v>-1.108969281941</v>
      </c>
      <c r="AE6696">
        <v>21.775749999999899</v>
      </c>
      <c r="AF6696">
        <v>-0.49553796434775799</v>
      </c>
      <c r="AG6696">
        <v>-1.108969281941</v>
      </c>
      <c r="AH6696">
        <v>21.7192288498042</v>
      </c>
      <c r="AI6696">
        <v>92.922186647491003</v>
      </c>
      <c r="AJ6696">
        <v>91.307012745464903</v>
      </c>
      <c r="AK6696">
        <v>21.753166955010599</v>
      </c>
      <c r="AL6696">
        <v>81.803619901657996</v>
      </c>
      <c r="AM6696">
        <v>87.879104333885707</v>
      </c>
      <c r="AN6696">
        <v>0.99999999896230796</v>
      </c>
    </row>
    <row r="6697" spans="1:40" x14ac:dyDescent="0.25">
      <c r="A6697" t="str">
        <f>"20190312164635446"</f>
        <v>20190312164635446</v>
      </c>
      <c r="B6697" t="str">
        <f>"1552380395437986"</f>
        <v>1552380395437986</v>
      </c>
      <c r="C6697" t="s">
        <v>40</v>
      </c>
      <c r="D6697">
        <v>4.629073</v>
      </c>
      <c r="E6697">
        <v>0.48056149999999997</v>
      </c>
      <c r="F6697" t="s">
        <v>42</v>
      </c>
      <c r="G6697">
        <v>-188.15369999999999</v>
      </c>
      <c r="H6697" s="1">
        <v>-4.5703570000000002E-6</v>
      </c>
      <c r="I6697">
        <v>79.522959999999998</v>
      </c>
      <c r="J6697">
        <v>-187.58109999999999</v>
      </c>
      <c r="K6697">
        <v>1.1089719999999901</v>
      </c>
      <c r="L6697">
        <v>55.028559999999999</v>
      </c>
      <c r="M6697">
        <v>4.7199660000000001E-4</v>
      </c>
      <c r="N6697">
        <v>0</v>
      </c>
      <c r="O6697">
        <v>0.99990900000000005</v>
      </c>
      <c r="P6697">
        <v>3.7344839999999997E-2</v>
      </c>
      <c r="Q6697">
        <v>0.12958</v>
      </c>
      <c r="R6697">
        <v>0.99086549999999995</v>
      </c>
      <c r="S6697">
        <v>-7.03125E-2</v>
      </c>
      <c r="T6697">
        <v>-0.13621159999999999</v>
      </c>
      <c r="U6697">
        <v>3.047882</v>
      </c>
      <c r="V6697">
        <v>3.6888820000000003E-2</v>
      </c>
      <c r="W6697">
        <v>0.1429261</v>
      </c>
      <c r="X6697">
        <v>0.98904570000000003</v>
      </c>
      <c r="Y6697">
        <v>-2.3512089999999999E-2</v>
      </c>
      <c r="Z6697">
        <v>-4.4633920000000001E-2</v>
      </c>
      <c r="AA6697">
        <v>0.99872669999999997</v>
      </c>
      <c r="AB6697">
        <v>28</v>
      </c>
      <c r="AC6697">
        <v>-0.572599999999994</v>
      </c>
      <c r="AD6697">
        <v>-1.10897657035699</v>
      </c>
      <c r="AE6697">
        <v>24.494399999999999</v>
      </c>
      <c r="AF6697">
        <v>-0.58296794655961304</v>
      </c>
      <c r="AG6697">
        <v>-1.10897657035699</v>
      </c>
      <c r="AH6697">
        <v>24.4440489773256</v>
      </c>
      <c r="AI6697">
        <v>92.596873870111807</v>
      </c>
      <c r="AJ6697">
        <v>91.366192336530204</v>
      </c>
      <c r="AK6697">
        <v>24.476135541915301</v>
      </c>
      <c r="AL6697">
        <v>81.782797595577605</v>
      </c>
      <c r="AM6697">
        <v>87.864007240739497</v>
      </c>
      <c r="AN6697">
        <v>1.0000000258953401</v>
      </c>
    </row>
    <row r="6698" spans="1:40" x14ac:dyDescent="0.25">
      <c r="A6698" t="str">
        <f>"20190312164635467"</f>
        <v>20190312164635467</v>
      </c>
      <c r="B6698" t="str">
        <f>"1552380395457505"</f>
        <v>1552380395457505</v>
      </c>
      <c r="C6698" t="s">
        <v>40</v>
      </c>
      <c r="D6698">
        <v>4.7731579999999996</v>
      </c>
      <c r="E6698">
        <v>0.48020550000000001</v>
      </c>
      <c r="F6698" t="s">
        <v>42</v>
      </c>
      <c r="G6698">
        <v>-188.20160000000001</v>
      </c>
      <c r="H6698" s="1">
        <v>-1.0691019999999999E-6</v>
      </c>
      <c r="I6698">
        <v>81.381240000000005</v>
      </c>
      <c r="J6698">
        <v>-187.58090000000001</v>
      </c>
      <c r="K6698">
        <v>1.108976</v>
      </c>
      <c r="L6698">
        <v>55.293489999999998</v>
      </c>
      <c r="M6698">
        <v>4.8853820000000002E-4</v>
      </c>
      <c r="N6698">
        <v>0</v>
      </c>
      <c r="O6698">
        <v>0.99990900000000005</v>
      </c>
      <c r="P6698">
        <v>3.8220240000000003E-2</v>
      </c>
      <c r="Q6698">
        <v>0.12965689999999999</v>
      </c>
      <c r="R6698">
        <v>0.99082199999999998</v>
      </c>
      <c r="S6698">
        <v>-7.1746829999999998E-2</v>
      </c>
      <c r="T6698">
        <v>-0.1282288</v>
      </c>
      <c r="U6698">
        <v>3.0471189999999999</v>
      </c>
      <c r="V6698">
        <v>3.7747040000000003E-2</v>
      </c>
      <c r="W6698">
        <v>0.14300160000000001</v>
      </c>
      <c r="X6698">
        <v>0.98900239999999995</v>
      </c>
      <c r="Y6698">
        <v>-2.4006909999999999E-2</v>
      </c>
      <c r="Z6698">
        <v>-4.2032890000000003E-2</v>
      </c>
      <c r="AA6698">
        <v>0.99882780000000004</v>
      </c>
      <c r="AB6698">
        <v>28</v>
      </c>
      <c r="AC6698">
        <v>-0.62069999999999903</v>
      </c>
      <c r="AD6698">
        <v>-1.108977069102</v>
      </c>
      <c r="AE6698">
        <v>26.08775</v>
      </c>
      <c r="AF6698">
        <v>-0.63230398374442598</v>
      </c>
      <c r="AG6698">
        <v>-1.108977069102</v>
      </c>
      <c r="AH6698">
        <v>26.040413731034299</v>
      </c>
      <c r="AI6698">
        <v>92.437850880236098</v>
      </c>
      <c r="AJ6698">
        <v>91.390962235635897</v>
      </c>
      <c r="AK6698">
        <v>26.071685518030701</v>
      </c>
      <c r="AL6698">
        <v>81.778426834910903</v>
      </c>
      <c r="AM6698">
        <v>87.814265326133196</v>
      </c>
      <c r="AN6698">
        <v>1.0000000219185401</v>
      </c>
    </row>
    <row r="6699" spans="1:40" x14ac:dyDescent="0.25">
      <c r="A6699" t="str">
        <f>"20190312164635489"</f>
        <v>20190312164635489</v>
      </c>
      <c r="B6699" t="str">
        <f>"1552380395478001"</f>
        <v>1552380395478001</v>
      </c>
      <c r="C6699" t="s">
        <v>40</v>
      </c>
      <c r="D6699">
        <v>4.6405709999999996</v>
      </c>
      <c r="E6699">
        <v>0.4802534</v>
      </c>
      <c r="F6699" t="s">
        <v>42</v>
      </c>
      <c r="G6699">
        <v>-188.23869999999999</v>
      </c>
      <c r="H6699" s="1">
        <v>-1.7724270000000001E-6</v>
      </c>
      <c r="I6699">
        <v>83.036079999999998</v>
      </c>
      <c r="J6699">
        <v>-187.58070000000001</v>
      </c>
      <c r="K6699">
        <v>1.1089800000000001</v>
      </c>
      <c r="L6699">
        <v>55.561610000000002</v>
      </c>
      <c r="M6699">
        <v>5.004629E-4</v>
      </c>
      <c r="N6699">
        <v>0</v>
      </c>
      <c r="O6699">
        <v>0.99990900000000005</v>
      </c>
      <c r="P6699">
        <v>3.9019360000000003E-2</v>
      </c>
      <c r="Q6699">
        <v>0.1294237</v>
      </c>
      <c r="R6699">
        <v>0.99082139999999996</v>
      </c>
      <c r="S6699">
        <v>-7.2235110000000005E-2</v>
      </c>
      <c r="T6699">
        <v>-0.1217806</v>
      </c>
      <c r="U6699">
        <v>3.0465089999999999</v>
      </c>
      <c r="V6699">
        <v>3.8532940000000002E-2</v>
      </c>
      <c r="W6699">
        <v>0.14276749999999999</v>
      </c>
      <c r="X6699">
        <v>0.98900589999999999</v>
      </c>
      <c r="Y6699">
        <v>-2.4185580000000002E-2</v>
      </c>
      <c r="Z6699">
        <v>-3.9930500000000001E-2</v>
      </c>
      <c r="AA6699">
        <v>0.99890970000000001</v>
      </c>
      <c r="AB6699">
        <v>28</v>
      </c>
      <c r="AC6699">
        <v>-0.65799999999998704</v>
      </c>
      <c r="AD6699">
        <v>-1.1089817724269999</v>
      </c>
      <c r="AE6699">
        <v>27.47447</v>
      </c>
      <c r="AF6699">
        <v>-0.67065906910301598</v>
      </c>
      <c r="AG6699">
        <v>-1.1089817724269999</v>
      </c>
      <c r="AH6699">
        <v>27.429473122445799</v>
      </c>
      <c r="AI6699">
        <v>92.314533515484698</v>
      </c>
      <c r="AJ6699">
        <v>91.400620401743097</v>
      </c>
      <c r="AK6699">
        <v>27.460073196069999</v>
      </c>
      <c r="AL6699">
        <v>81.791978716818804</v>
      </c>
      <c r="AM6699">
        <v>87.768811358948497</v>
      </c>
      <c r="AN6699">
        <v>1.00000000837805</v>
      </c>
    </row>
    <row r="6700" spans="1:40" x14ac:dyDescent="0.25">
      <c r="A6700" t="str">
        <f>"20190312164635512"</f>
        <v>20190312164635512</v>
      </c>
      <c r="B6700" t="str">
        <f>"1552380395508258"</f>
        <v>1552380395508258</v>
      </c>
      <c r="C6700" t="s">
        <v>40</v>
      </c>
      <c r="D6700">
        <v>4.9177900000000001</v>
      </c>
      <c r="E6700">
        <v>0.48208050000000002</v>
      </c>
      <c r="F6700" t="s">
        <v>42</v>
      </c>
      <c r="G6700">
        <v>-188.18950000000001</v>
      </c>
      <c r="H6700" s="1">
        <v>-1.4435470000000001E-6</v>
      </c>
      <c r="I6700">
        <v>82.249099999999999</v>
      </c>
      <c r="J6700">
        <v>-187.5806</v>
      </c>
      <c r="K6700">
        <v>1.108984</v>
      </c>
      <c r="L6700">
        <v>55.846919999999997</v>
      </c>
      <c r="M6700">
        <v>5.0774290000000003E-4</v>
      </c>
      <c r="N6700">
        <v>0</v>
      </c>
      <c r="O6700">
        <v>0.99990900000000005</v>
      </c>
      <c r="P6700">
        <v>4.0381599999999997E-2</v>
      </c>
      <c r="Q6700">
        <v>0.12957650000000001</v>
      </c>
      <c r="R6700">
        <v>0.99074680000000004</v>
      </c>
      <c r="S6700">
        <v>-6.9503780000000001E-2</v>
      </c>
      <c r="T6700">
        <v>-0.1266186</v>
      </c>
      <c r="U6700">
        <v>3.0470579999999998</v>
      </c>
      <c r="V6700">
        <v>3.9886409999999997E-2</v>
      </c>
      <c r="W6700">
        <v>0.1429175</v>
      </c>
      <c r="X6700">
        <v>0.98893059999999999</v>
      </c>
      <c r="Y6700">
        <v>-2.3292199999999999E-2</v>
      </c>
      <c r="Z6700">
        <v>-4.1507530000000001E-2</v>
      </c>
      <c r="AA6700">
        <v>0.9988667</v>
      </c>
      <c r="AB6700">
        <v>28</v>
      </c>
      <c r="AC6700">
        <v>-0.60890000000000499</v>
      </c>
      <c r="AD6700">
        <v>-1.1089854435469999</v>
      </c>
      <c r="AE6700">
        <v>26.402179999999898</v>
      </c>
      <c r="AF6700">
        <v>-0.62121123966427705</v>
      </c>
      <c r="AG6700">
        <v>-1.1089854435469999</v>
      </c>
      <c r="AH6700">
        <v>26.3553933354879</v>
      </c>
      <c r="AI6700">
        <v>92.408809144779497</v>
      </c>
      <c r="AJ6700">
        <v>91.350243288818604</v>
      </c>
      <c r="AK6700">
        <v>26.3860286891864</v>
      </c>
      <c r="AL6700">
        <v>81.783295521961406</v>
      </c>
      <c r="AM6700">
        <v>87.690348592766796</v>
      </c>
      <c r="AN6700">
        <v>1.0000000345626401</v>
      </c>
    </row>
    <row r="6701" spans="1:40" x14ac:dyDescent="0.25">
      <c r="A6701" t="str">
        <f>"20190312164635535"</f>
        <v>20190312164635535</v>
      </c>
      <c r="B6701" t="str">
        <f>"1552380395527778"</f>
        <v>1552380395527778</v>
      </c>
      <c r="C6701" t="s">
        <v>40</v>
      </c>
      <c r="D6701">
        <v>4.8987669999999897</v>
      </c>
      <c r="E6701">
        <v>0.4856203</v>
      </c>
      <c r="F6701" t="s">
        <v>42</v>
      </c>
      <c r="G6701">
        <v>-188.00470000000001</v>
      </c>
      <c r="H6701" s="1">
        <v>-1.0827349999999999E-6</v>
      </c>
      <c r="I6701">
        <v>81.269689999999997</v>
      </c>
      <c r="J6701">
        <v>-187.5804</v>
      </c>
      <c r="K6701">
        <v>1.108989</v>
      </c>
      <c r="L6701">
        <v>56.139279999999999</v>
      </c>
      <c r="M6701">
        <v>5.1124169999999997E-4</v>
      </c>
      <c r="N6701">
        <v>0</v>
      </c>
      <c r="O6701">
        <v>0.99990900000000005</v>
      </c>
      <c r="P6701">
        <v>4.1552699999999998E-2</v>
      </c>
      <c r="Q6701">
        <v>0.12915009999999999</v>
      </c>
      <c r="R6701">
        <v>0.99075409999999997</v>
      </c>
      <c r="S6701">
        <v>-5.0842289999999998E-2</v>
      </c>
      <c r="T6701">
        <v>-0.13293659999999999</v>
      </c>
      <c r="U6701">
        <v>3.047485</v>
      </c>
      <c r="V6701">
        <v>4.1052659999999998E-2</v>
      </c>
      <c r="W6701">
        <v>0.14249000000000001</v>
      </c>
      <c r="X6701">
        <v>0.9889445</v>
      </c>
      <c r="Y6701">
        <v>-1.717641E-2</v>
      </c>
      <c r="Z6701">
        <v>-4.3574050000000003E-2</v>
      </c>
      <c r="AA6701">
        <v>0.99890259999999997</v>
      </c>
      <c r="AB6701">
        <v>28</v>
      </c>
      <c r="AC6701">
        <v>-0.424300000000016</v>
      </c>
      <c r="AD6701">
        <v>-1.1089900827349899</v>
      </c>
      <c r="AE6701">
        <v>25.130409999999902</v>
      </c>
      <c r="AF6701">
        <v>-0.43629941631703301</v>
      </c>
      <c r="AG6701">
        <v>-1.1089900827349899</v>
      </c>
      <c r="AH6701">
        <v>25.081360140970499</v>
      </c>
      <c r="AI6701">
        <v>92.531341957091399</v>
      </c>
      <c r="AJ6701">
        <v>90.996580488867394</v>
      </c>
      <c r="AK6701">
        <v>25.109656363744801</v>
      </c>
      <c r="AL6701">
        <v>81.808042232193898</v>
      </c>
      <c r="AM6701">
        <v>87.622925786225906</v>
      </c>
      <c r="AN6701">
        <v>0.99999997253666195</v>
      </c>
    </row>
    <row r="6702" spans="1:40" x14ac:dyDescent="0.25">
      <c r="A6702" t="str">
        <f>"20190312164635557"</f>
        <v>20190312164635557</v>
      </c>
      <c r="B6702" t="str">
        <f>"1552380395548274"</f>
        <v>1552380395548274</v>
      </c>
      <c r="C6702" t="s">
        <v>40</v>
      </c>
      <c r="D6702">
        <v>4.5606949999999999</v>
      </c>
      <c r="E6702">
        <v>0.4894153</v>
      </c>
      <c r="F6702" t="s">
        <v>42</v>
      </c>
      <c r="G6702">
        <v>-187.73769999999999</v>
      </c>
      <c r="H6702" s="1">
        <v>-1.1086069999999901E-6</v>
      </c>
      <c r="I6702">
        <v>81.136930000000007</v>
      </c>
      <c r="J6702">
        <v>-187.58029999999999</v>
      </c>
      <c r="K6702">
        <v>1.108981</v>
      </c>
      <c r="L6702">
        <v>56.41263</v>
      </c>
      <c r="M6702">
        <v>5.1118810000000002E-4</v>
      </c>
      <c r="N6702">
        <v>0</v>
      </c>
      <c r="O6702">
        <v>0.99990900000000005</v>
      </c>
      <c r="P6702">
        <v>4.3230360000000002E-2</v>
      </c>
      <c r="Q6702">
        <v>0.12951979999999999</v>
      </c>
      <c r="R6702">
        <v>0.99063400000000001</v>
      </c>
      <c r="S6702">
        <v>-1.9165040000000001E-2</v>
      </c>
      <c r="T6702">
        <v>-0.13515060000000001</v>
      </c>
      <c r="U6702">
        <v>3.0464169999999999</v>
      </c>
      <c r="V6702">
        <v>4.2729650000000001E-2</v>
      </c>
      <c r="W6702">
        <v>0.14285709999999999</v>
      </c>
      <c r="X6702">
        <v>0.98882049999999999</v>
      </c>
      <c r="Y6702">
        <v>-6.7959279999999997E-3</v>
      </c>
      <c r="Z6702">
        <v>-4.4319219999999999E-2</v>
      </c>
      <c r="AA6702">
        <v>0.9989943</v>
      </c>
      <c r="AB6702">
        <v>28</v>
      </c>
      <c r="AC6702">
        <v>-0.15739999999999499</v>
      </c>
      <c r="AD6702">
        <v>-1.108982108607</v>
      </c>
      <c r="AE6702">
        <v>24.724299999999999</v>
      </c>
      <c r="AF6702">
        <v>-0.16969849756428301</v>
      </c>
      <c r="AG6702">
        <v>-1.108982108607</v>
      </c>
      <c r="AH6702">
        <v>24.674576140973699</v>
      </c>
      <c r="AI6702">
        <v>92.573327409653402</v>
      </c>
      <c r="AJ6702">
        <v>90.394043421501095</v>
      </c>
      <c r="AK6702">
        <v>24.700067745534501</v>
      </c>
      <c r="AL6702">
        <v>81.786791594118498</v>
      </c>
      <c r="AM6702">
        <v>87.525631378779195</v>
      </c>
      <c r="AN6702">
        <v>0.99999997761489101</v>
      </c>
    </row>
    <row r="6703" spans="1:40" x14ac:dyDescent="0.25">
      <c r="A6703" t="str">
        <f>"20190312164635579"</f>
        <v>20190312164635579</v>
      </c>
      <c r="B6703" t="str">
        <f>"1552380395567793"</f>
        <v>1552380395567793</v>
      </c>
      <c r="C6703" t="s">
        <v>40</v>
      </c>
      <c r="D6703">
        <v>4.5564519999999904</v>
      </c>
      <c r="E6703">
        <v>0.49275069999999999</v>
      </c>
      <c r="F6703" t="s">
        <v>42</v>
      </c>
      <c r="G6703">
        <v>-187.45150000000001</v>
      </c>
      <c r="H6703" s="1">
        <v>-1.1301870000000001E-6</v>
      </c>
      <c r="I6703">
        <v>80.976529999999997</v>
      </c>
      <c r="J6703">
        <v>-187.58019999999999</v>
      </c>
      <c r="K6703">
        <v>1.1089869999999999</v>
      </c>
      <c r="L6703">
        <v>56.691160000000004</v>
      </c>
      <c r="M6703">
        <v>5.0906080000000004E-4</v>
      </c>
      <c r="N6703">
        <v>0</v>
      </c>
      <c r="O6703">
        <v>0.9999091</v>
      </c>
      <c r="P6703">
        <v>4.4653310000000002E-2</v>
      </c>
      <c r="Q6703">
        <v>0.12959229999999999</v>
      </c>
      <c r="R6703">
        <v>0.99056140000000004</v>
      </c>
      <c r="S6703">
        <v>1.5975949999999999E-2</v>
      </c>
      <c r="T6703">
        <v>-0.1375016</v>
      </c>
      <c r="U6703">
        <v>3.0456539999999999</v>
      </c>
      <c r="V6703">
        <v>4.415434E-2</v>
      </c>
      <c r="W6703">
        <v>0.142927</v>
      </c>
      <c r="X6703">
        <v>0.98874779999999995</v>
      </c>
      <c r="Y6703">
        <v>4.7309819999999999E-3</v>
      </c>
      <c r="Z6703">
        <v>-4.5100319999999999E-2</v>
      </c>
      <c r="AA6703">
        <v>0.99897130000000001</v>
      </c>
      <c r="AB6703">
        <v>28</v>
      </c>
      <c r="AC6703">
        <v>0.12869999999998</v>
      </c>
      <c r="AD6703">
        <v>-1.1089881301869999</v>
      </c>
      <c r="AE6703">
        <v>24.28537</v>
      </c>
      <c r="AF6703">
        <v>0.11609404938557701</v>
      </c>
      <c r="AG6703">
        <v>-1.1089881301869999</v>
      </c>
      <c r="AH6703">
        <v>24.234897251184901</v>
      </c>
      <c r="AI6703">
        <v>92.619995299968906</v>
      </c>
      <c r="AJ6703">
        <v>89.725534294289403</v>
      </c>
      <c r="AK6703">
        <v>24.260535387263999</v>
      </c>
      <c r="AL6703">
        <v>81.782745052983401</v>
      </c>
      <c r="AM6703">
        <v>87.443051068367197</v>
      </c>
      <c r="AN6703">
        <v>0.99999997253733697</v>
      </c>
    </row>
    <row r="6704" spans="1:40" x14ac:dyDescent="0.25">
      <c r="A6704" t="str">
        <f>"20190312164635600"</f>
        <v>20190312164635600</v>
      </c>
      <c r="B6704" t="str">
        <f>"1552380395598049"</f>
        <v>1552380395598049</v>
      </c>
      <c r="C6704" t="s">
        <v>40</v>
      </c>
      <c r="D6704">
        <v>4.8387919999999998</v>
      </c>
      <c r="E6704">
        <v>0.49634850000000003</v>
      </c>
      <c r="F6704" t="s">
        <v>42</v>
      </c>
      <c r="G6704">
        <v>-187.18600000000001</v>
      </c>
      <c r="H6704" s="1">
        <v>-1.5410900000000001E-6</v>
      </c>
      <c r="I6704">
        <v>81.976399999999998</v>
      </c>
      <c r="J6704">
        <v>-187.58</v>
      </c>
      <c r="K6704">
        <v>1.1089899999999999</v>
      </c>
      <c r="L6704">
        <v>56.961239999999997</v>
      </c>
      <c r="M6704">
        <v>5.0629799999999997E-4</v>
      </c>
      <c r="N6704">
        <v>0</v>
      </c>
      <c r="O6704">
        <v>0.9999091</v>
      </c>
      <c r="P6704">
        <v>4.5991169999999998E-2</v>
      </c>
      <c r="Q6704">
        <v>0.1300395</v>
      </c>
      <c r="R6704">
        <v>0.99044160000000003</v>
      </c>
      <c r="S6704">
        <v>4.7454830000000003E-2</v>
      </c>
      <c r="T6704">
        <v>-0.13350339999999999</v>
      </c>
      <c r="U6704">
        <v>3.0439150000000001</v>
      </c>
      <c r="V6704">
        <v>4.5494850000000003E-2</v>
      </c>
      <c r="W6704">
        <v>0.14336960000000001</v>
      </c>
      <c r="X6704">
        <v>0.98862300000000003</v>
      </c>
      <c r="Y6704">
        <v>1.5066919999999999E-2</v>
      </c>
      <c r="Z6704">
        <v>-4.3811860000000001E-2</v>
      </c>
      <c r="AA6704">
        <v>0.99892619999999999</v>
      </c>
      <c r="AB6704">
        <v>28</v>
      </c>
      <c r="AC6704">
        <v>0.39400000000003299</v>
      </c>
      <c r="AD6704">
        <v>-1.10899154109</v>
      </c>
      <c r="AE6704">
        <v>25.015159999999899</v>
      </c>
      <c r="AF6704">
        <v>0.38058585816039803</v>
      </c>
      <c r="AG6704">
        <v>-1.10899154109</v>
      </c>
      <c r="AH6704">
        <v>24.966299816044199</v>
      </c>
      <c r="AI6704">
        <v>92.543085168995106</v>
      </c>
      <c r="AJ6704">
        <v>89.126651737413198</v>
      </c>
      <c r="AK6704">
        <v>24.993815921908599</v>
      </c>
      <c r="AL6704">
        <v>81.757122530934097</v>
      </c>
      <c r="AM6704">
        <v>87.365198673763899</v>
      </c>
      <c r="AN6704">
        <v>1.0000000298548399</v>
      </c>
    </row>
    <row r="6705" spans="1:40" x14ac:dyDescent="0.25">
      <c r="A6705" t="str">
        <f>"20190312164635622"</f>
        <v>20190312164635622</v>
      </c>
      <c r="B6705" t="str">
        <f>"1552380395617569"</f>
        <v>1552380395617569</v>
      </c>
      <c r="C6705" t="s">
        <v>40</v>
      </c>
      <c r="D6705">
        <v>6.7293310000000002</v>
      </c>
      <c r="E6705">
        <v>0.49873689999999998</v>
      </c>
      <c r="F6705" t="s">
        <v>42</v>
      </c>
      <c r="G6705">
        <v>-186.9066</v>
      </c>
      <c r="H6705" s="1">
        <v>-1.8284299999999999E-6</v>
      </c>
      <c r="I6705">
        <v>82.602319999999906</v>
      </c>
      <c r="J6705">
        <v>-187.57990000000001</v>
      </c>
      <c r="K6705">
        <v>1.108986</v>
      </c>
      <c r="L6705">
        <v>57.230379999999997</v>
      </c>
      <c r="M6705">
        <v>5.0387890000000001E-4</v>
      </c>
      <c r="N6705">
        <v>0</v>
      </c>
      <c r="O6705">
        <v>0.99990919999999905</v>
      </c>
      <c r="P6705">
        <v>4.776122E-2</v>
      </c>
      <c r="Q6705">
        <v>0.1301706</v>
      </c>
      <c r="R6705">
        <v>0.99034060000000002</v>
      </c>
      <c r="S6705">
        <v>7.991028E-2</v>
      </c>
      <c r="T6705">
        <v>-0.1315904</v>
      </c>
      <c r="U6705">
        <v>3.0425110000000002</v>
      </c>
      <c r="V6705">
        <v>4.726727E-2</v>
      </c>
      <c r="W6705">
        <v>0.14349519999999999</v>
      </c>
      <c r="X6705">
        <v>0.9885216</v>
      </c>
      <c r="Y6705">
        <v>2.5727259999999998E-2</v>
      </c>
      <c r="Z6705">
        <v>-4.3195589999999999E-2</v>
      </c>
      <c r="AA6705">
        <v>0.99873529999999999</v>
      </c>
      <c r="AB6705">
        <v>28</v>
      </c>
      <c r="AC6705">
        <v>0.673300000000011</v>
      </c>
      <c r="AD6705">
        <v>-1.1089878284299901</v>
      </c>
      <c r="AE6705">
        <v>25.371939999999899</v>
      </c>
      <c r="AF6705">
        <v>0.65925575064444897</v>
      </c>
      <c r="AG6705">
        <v>-1.1089878284299901</v>
      </c>
      <c r="AH6705">
        <v>25.323928845025598</v>
      </c>
      <c r="AI6705">
        <v>92.506651797110905</v>
      </c>
      <c r="AJ6705">
        <v>88.508760514780406</v>
      </c>
      <c r="AK6705">
        <v>25.3567711725346</v>
      </c>
      <c r="AL6705">
        <v>81.749850833205798</v>
      </c>
      <c r="AM6705">
        <v>87.2624230946561</v>
      </c>
      <c r="AN6705">
        <v>1.00000001045142</v>
      </c>
    </row>
    <row r="6706" spans="1:40" x14ac:dyDescent="0.25">
      <c r="A6706" t="str">
        <f>"20190312164635646"</f>
        <v>20190312164635646</v>
      </c>
      <c r="B6706" t="str">
        <f>"1552380395638066"</f>
        <v>1552380395638066</v>
      </c>
      <c r="C6706" t="s">
        <v>40</v>
      </c>
      <c r="D6706">
        <v>4.5972119999999999</v>
      </c>
      <c r="E6706">
        <v>0.50086019999999998</v>
      </c>
      <c r="F6706" t="s">
        <v>42</v>
      </c>
      <c r="G6706">
        <v>-186.673</v>
      </c>
      <c r="H6706" s="1">
        <v>-2.3380069999999999E-6</v>
      </c>
      <c r="I6706">
        <v>83.707070000000002</v>
      </c>
      <c r="J6706">
        <v>-187.5797</v>
      </c>
      <c r="K6706">
        <v>1.1089929999999999</v>
      </c>
      <c r="L6706">
        <v>57.533909999999999</v>
      </c>
      <c r="M6706">
        <v>5.0210680000000005E-4</v>
      </c>
      <c r="N6706">
        <v>0</v>
      </c>
      <c r="O6706">
        <v>0.99990919999999905</v>
      </c>
      <c r="P6706">
        <v>4.8939169999999997E-2</v>
      </c>
      <c r="Q6706">
        <v>0.13089519999999999</v>
      </c>
      <c r="R6706">
        <v>0.99018759999999995</v>
      </c>
      <c r="S6706">
        <v>0.1041565</v>
      </c>
      <c r="T6706">
        <v>-0.12737309999999999</v>
      </c>
      <c r="U6706">
        <v>3.040985</v>
      </c>
      <c r="V6706">
        <v>4.8447049999999998E-2</v>
      </c>
      <c r="W6706">
        <v>0.14421339999999999</v>
      </c>
      <c r="X6706">
        <v>0.98835989999999996</v>
      </c>
      <c r="Y6706">
        <v>3.3699020000000003E-2</v>
      </c>
      <c r="Z6706">
        <v>-4.182466E-2</v>
      </c>
      <c r="AA6706">
        <v>0.99855649999999996</v>
      </c>
      <c r="AB6706">
        <v>28</v>
      </c>
      <c r="AC6706">
        <v>0.90669999999999995</v>
      </c>
      <c r="AD6706">
        <v>-1.1089953380069999</v>
      </c>
      <c r="AE6706">
        <v>26.173159999999999</v>
      </c>
      <c r="AF6706">
        <v>0.89195752329368205</v>
      </c>
      <c r="AG6706">
        <v>-1.1089953380069999</v>
      </c>
      <c r="AH6706">
        <v>26.126761761146199</v>
      </c>
      <c r="AI6706">
        <v>92.429145380731896</v>
      </c>
      <c r="AJ6706">
        <v>88.044703692816796</v>
      </c>
      <c r="AK6706">
        <v>26.165495198959501</v>
      </c>
      <c r="AL6706">
        <v>81.708268051790398</v>
      </c>
      <c r="AM6706">
        <v>87.193743370303196</v>
      </c>
      <c r="AN6706">
        <v>0.99999995666063501</v>
      </c>
    </row>
    <row r="6707" spans="1:40" x14ac:dyDescent="0.25">
      <c r="A6707" t="str">
        <f>"20190312164635668"</f>
        <v>20190312164635668</v>
      </c>
      <c r="B6707" t="str">
        <f>"1552380395657585"</f>
        <v>1552380395657585</v>
      </c>
      <c r="C6707" t="s">
        <v>40</v>
      </c>
      <c r="D6707">
        <v>4.6925540000000003</v>
      </c>
      <c r="E6707">
        <v>0.50267980000000001</v>
      </c>
      <c r="F6707" t="s">
        <v>42</v>
      </c>
      <c r="G6707">
        <v>-186.4443</v>
      </c>
      <c r="H6707" s="1">
        <v>-3.0291209999999999E-6</v>
      </c>
      <c r="I6707">
        <v>85.223479999999995</v>
      </c>
      <c r="J6707">
        <v>-187.5796</v>
      </c>
      <c r="K6707">
        <v>1.1089960000000001</v>
      </c>
      <c r="L6707">
        <v>57.806759999999997</v>
      </c>
      <c r="M6707">
        <v>5.0077569999999998E-4</v>
      </c>
      <c r="N6707">
        <v>0</v>
      </c>
      <c r="O6707">
        <v>0.9999093</v>
      </c>
      <c r="P6707">
        <v>5.0593409999999998E-2</v>
      </c>
      <c r="Q6707">
        <v>0.1313887</v>
      </c>
      <c r="R6707">
        <v>0.99003909999999995</v>
      </c>
      <c r="S6707">
        <v>0.124649</v>
      </c>
      <c r="T6707">
        <v>-0.121742</v>
      </c>
      <c r="U6707">
        <v>3.0396730000000001</v>
      </c>
      <c r="V6707">
        <v>5.0102630000000002E-2</v>
      </c>
      <c r="W6707">
        <v>0.14470079999999999</v>
      </c>
      <c r="X6707">
        <v>0.98820609999999998</v>
      </c>
      <c r="Y6707">
        <v>4.0439780000000002E-2</v>
      </c>
      <c r="Z6707">
        <v>-3.998579E-2</v>
      </c>
      <c r="AA6707">
        <v>0.99838159999999998</v>
      </c>
      <c r="AB6707">
        <v>28</v>
      </c>
      <c r="AC6707">
        <v>1.1353</v>
      </c>
      <c r="AD6707">
        <v>-1.1089990291209999</v>
      </c>
      <c r="AE6707">
        <v>27.416720000000002</v>
      </c>
      <c r="AF6707">
        <v>1.1197400256118599</v>
      </c>
      <c r="AG6707">
        <v>-1.1089990291209999</v>
      </c>
      <c r="AH6707">
        <v>27.372575321137798</v>
      </c>
      <c r="AI6707">
        <v>92.318131160384695</v>
      </c>
      <c r="AJ6707">
        <v>87.657486515072307</v>
      </c>
      <c r="AK6707">
        <v>27.417906125065599</v>
      </c>
      <c r="AL6707">
        <v>81.680045975785902</v>
      </c>
      <c r="AM6707">
        <v>87.097555564850197</v>
      </c>
      <c r="AN6707">
        <v>0.99999994556538196</v>
      </c>
    </row>
    <row r="6708" spans="1:40" x14ac:dyDescent="0.25">
      <c r="A6708" t="str">
        <f>"20190312164635689"</f>
        <v>20190312164635689</v>
      </c>
      <c r="B6708" t="str">
        <f>"1552380395678082"</f>
        <v>1552380395678082</v>
      </c>
      <c r="C6708" t="s">
        <v>40</v>
      </c>
      <c r="D6708">
        <v>4.6955710000000002</v>
      </c>
      <c r="E6708">
        <v>0.50413160000000001</v>
      </c>
      <c r="F6708" t="s">
        <v>42</v>
      </c>
      <c r="G6708">
        <v>-186.2149</v>
      </c>
      <c r="H6708" s="1">
        <v>-3.6333099999999999E-6</v>
      </c>
      <c r="I6708">
        <v>86.537040000000005</v>
      </c>
      <c r="J6708">
        <v>-187.57939999999999</v>
      </c>
      <c r="K6708">
        <v>1.108992</v>
      </c>
      <c r="L6708">
        <v>58.066769999999998</v>
      </c>
      <c r="M6708">
        <v>4.943514E-4</v>
      </c>
      <c r="N6708">
        <v>0</v>
      </c>
      <c r="O6708">
        <v>0.9999093</v>
      </c>
      <c r="P6708">
        <v>5.2775830000000003E-2</v>
      </c>
      <c r="Q6708">
        <v>0.13219229999999901</v>
      </c>
      <c r="R6708">
        <v>0.98981810000000003</v>
      </c>
      <c r="S6708">
        <v>0.14431759999999999</v>
      </c>
      <c r="T6708">
        <v>-0.1172831</v>
      </c>
      <c r="U6708">
        <v>3.0383909999999998</v>
      </c>
      <c r="V6708">
        <v>5.2290629999999998E-2</v>
      </c>
      <c r="W6708">
        <v>0.14549770000000001</v>
      </c>
      <c r="X6708">
        <v>0.98797579999999996</v>
      </c>
      <c r="Y6708">
        <v>4.6915480000000002E-2</v>
      </c>
      <c r="Z6708">
        <v>-3.852875E-2</v>
      </c>
      <c r="AA6708">
        <v>0.99815549999999997</v>
      </c>
      <c r="AB6708">
        <v>28</v>
      </c>
      <c r="AC6708">
        <v>1.3644999999999901</v>
      </c>
      <c r="AD6708">
        <v>-1.10899563331</v>
      </c>
      <c r="AE6708">
        <v>28.470269999999999</v>
      </c>
      <c r="AF6708">
        <v>1.3483830039343301</v>
      </c>
      <c r="AG6708">
        <v>-1.10899563331</v>
      </c>
      <c r="AH6708">
        <v>28.427905814564301</v>
      </c>
      <c r="AI6708">
        <v>92.231515712441904</v>
      </c>
      <c r="AJ6708">
        <v>87.284400845987506</v>
      </c>
      <c r="AK6708">
        <v>28.481464798035599</v>
      </c>
      <c r="AL6708">
        <v>81.633899354656805</v>
      </c>
      <c r="AM6708">
        <v>86.970331122033798</v>
      </c>
      <c r="AN6708">
        <v>1.0000000360383601</v>
      </c>
    </row>
    <row r="6709" spans="1:40" x14ac:dyDescent="0.25">
      <c r="A6709" t="str">
        <f>"20190312164635713"</f>
        <v>20190312164635713</v>
      </c>
      <c r="B6709" t="str">
        <f>"1552380395708338"</f>
        <v>1552380395708338</v>
      </c>
      <c r="C6709" t="s">
        <v>40</v>
      </c>
      <c r="D6709">
        <v>4.8259650000000001</v>
      </c>
      <c r="E6709">
        <v>0.50578299999999998</v>
      </c>
      <c r="F6709" t="s">
        <v>42</v>
      </c>
      <c r="G6709">
        <v>-186.0026</v>
      </c>
      <c r="H6709" s="1">
        <v>-4.086218E-6</v>
      </c>
      <c r="I6709">
        <v>87.50497</v>
      </c>
      <c r="J6709">
        <v>-187.57929999999999</v>
      </c>
      <c r="K6709">
        <v>1.109</v>
      </c>
      <c r="L6709">
        <v>58.350560000000002</v>
      </c>
      <c r="M6709">
        <v>4.7618770000000001E-4</v>
      </c>
      <c r="N6709">
        <v>0</v>
      </c>
      <c r="O6709">
        <v>0.99990939999999995</v>
      </c>
      <c r="P6709">
        <v>5.5174300000000003E-2</v>
      </c>
      <c r="Q6709">
        <v>0.1336272</v>
      </c>
      <c r="R6709">
        <v>0.9894946</v>
      </c>
      <c r="S6709">
        <v>0.1627045</v>
      </c>
      <c r="T6709">
        <v>-0.1144278</v>
      </c>
      <c r="U6709">
        <v>3.0374759999999998</v>
      </c>
      <c r="V6709">
        <v>5.470481E-2</v>
      </c>
      <c r="W6709">
        <v>0.1469251</v>
      </c>
      <c r="X6709">
        <v>0.98763380000000001</v>
      </c>
      <c r="Y6709">
        <v>5.2975639999999997E-2</v>
      </c>
      <c r="Z6709">
        <v>-3.7591960000000001E-2</v>
      </c>
      <c r="AA6709">
        <v>0.997888</v>
      </c>
      <c r="AB6709">
        <v>28</v>
      </c>
      <c r="AC6709">
        <v>1.57669999999998</v>
      </c>
      <c r="AD6709">
        <v>-1.109004086218</v>
      </c>
      <c r="AE6709">
        <v>29.154409999999999</v>
      </c>
      <c r="AF6709">
        <v>1.5605640981570601</v>
      </c>
      <c r="AG6709">
        <v>-1.109004086218</v>
      </c>
      <c r="AH6709">
        <v>29.1131547231974</v>
      </c>
      <c r="AI6709">
        <v>92.178382502379193</v>
      </c>
      <c r="AJ6709">
        <v>86.931687876413804</v>
      </c>
      <c r="AK6709">
        <v>29.176035171087499</v>
      </c>
      <c r="AL6709">
        <v>81.551227125630106</v>
      </c>
      <c r="AM6709">
        <v>86.829639496202603</v>
      </c>
      <c r="AN6709">
        <v>1.00000006207479</v>
      </c>
    </row>
    <row r="6710" spans="1:40" x14ac:dyDescent="0.25">
      <c r="A6710" t="str">
        <f>"20190312164635734"</f>
        <v>20190312164635734</v>
      </c>
      <c r="B6710" t="str">
        <f>"1552380395727858"</f>
        <v>1552380395727858</v>
      </c>
      <c r="C6710" t="s">
        <v>40</v>
      </c>
      <c r="D6710">
        <v>4.7041430000000002</v>
      </c>
      <c r="E6710">
        <v>0.50676790000000005</v>
      </c>
      <c r="F6710" t="s">
        <v>42</v>
      </c>
      <c r="G6710">
        <v>-185.79570000000001</v>
      </c>
      <c r="H6710" s="1">
        <v>-4.3223180000000002E-6</v>
      </c>
      <c r="I6710">
        <v>87.969809999999995</v>
      </c>
      <c r="J6710">
        <v>-187.57919999999999</v>
      </c>
      <c r="K6710">
        <v>1.109011</v>
      </c>
      <c r="L6710">
        <v>58.628169999999997</v>
      </c>
      <c r="M6710">
        <v>4.4756149999999997E-4</v>
      </c>
      <c r="N6710">
        <v>0</v>
      </c>
      <c r="O6710">
        <v>0.99990950000000001</v>
      </c>
      <c r="P6710">
        <v>5.7573770000000003E-2</v>
      </c>
      <c r="Q6710">
        <v>0.13474820000000001</v>
      </c>
      <c r="R6710">
        <v>0.98920580000000002</v>
      </c>
      <c r="S6710">
        <v>0.1828766</v>
      </c>
      <c r="T6710">
        <v>-0.1137121</v>
      </c>
      <c r="U6710">
        <v>3.0370180000000002</v>
      </c>
      <c r="V6710">
        <v>5.7129550000000001E-2</v>
      </c>
      <c r="W6710">
        <v>0.14803759999999999</v>
      </c>
      <c r="X6710">
        <v>0.98733029999999999</v>
      </c>
      <c r="Y6710">
        <v>5.9618230000000001E-2</v>
      </c>
      <c r="Z6710">
        <v>-3.7348739999999998E-2</v>
      </c>
      <c r="AA6710">
        <v>0.99752229999999997</v>
      </c>
      <c r="AB6710">
        <v>28</v>
      </c>
      <c r="AC6710">
        <v>1.7834999999999701</v>
      </c>
      <c r="AD6710">
        <v>-1.1090153223179999</v>
      </c>
      <c r="AE6710">
        <v>29.341640000000002</v>
      </c>
      <c r="AF6710">
        <v>1.76785021665983</v>
      </c>
      <c r="AG6710">
        <v>-1.1090153223179999</v>
      </c>
      <c r="AH6710">
        <v>29.300730836375099</v>
      </c>
      <c r="AI6710">
        <v>92.163645864343707</v>
      </c>
      <c r="AJ6710">
        <v>86.547263058277096</v>
      </c>
      <c r="AK6710">
        <v>29.374955947530999</v>
      </c>
      <c r="AL6710">
        <v>81.486780470432905</v>
      </c>
      <c r="AM6710">
        <v>86.688406762952397</v>
      </c>
      <c r="AN6710">
        <v>1.00000001889752</v>
      </c>
    </row>
    <row r="6711" spans="1:40" x14ac:dyDescent="0.25">
      <c r="A6711" t="str">
        <f>"20190312164635757"</f>
        <v>20190312164635757</v>
      </c>
      <c r="B6711" t="str">
        <f>"1552380395748354"</f>
        <v>1552380395748354</v>
      </c>
      <c r="C6711" t="s">
        <v>40</v>
      </c>
      <c r="D6711">
        <v>4.6120390000000002</v>
      </c>
      <c r="E6711">
        <v>0.50774010000000003</v>
      </c>
      <c r="F6711" t="s">
        <v>42</v>
      </c>
      <c r="G6711">
        <v>-185.63630000000001</v>
      </c>
      <c r="H6711" s="1">
        <v>-4.5827449999999999E-6</v>
      </c>
      <c r="I6711">
        <v>88.510940000000005</v>
      </c>
      <c r="J6711">
        <v>-187.57910000000001</v>
      </c>
      <c r="K6711">
        <v>1.1090249999999999</v>
      </c>
      <c r="L6711">
        <v>58.907499999999999</v>
      </c>
      <c r="M6711">
        <v>4.0364369999999999E-4</v>
      </c>
      <c r="N6711">
        <v>0</v>
      </c>
      <c r="O6711">
        <v>0.99990959999999995</v>
      </c>
      <c r="P6711">
        <v>6.0065140000000003E-2</v>
      </c>
      <c r="Q6711">
        <v>0.13559889999999999</v>
      </c>
      <c r="R6711">
        <v>0.98894139999999997</v>
      </c>
      <c r="S6711">
        <v>0.19743350000000001</v>
      </c>
      <c r="T6711">
        <v>-0.11269460000000001</v>
      </c>
      <c r="U6711">
        <v>3.036591</v>
      </c>
      <c r="V6711">
        <v>5.9660570000000003E-2</v>
      </c>
      <c r="W6711">
        <v>0.14887549999999999</v>
      </c>
      <c r="X6711">
        <v>0.98705449999999995</v>
      </c>
      <c r="Y6711">
        <v>6.4433870000000004E-2</v>
      </c>
      <c r="Z6711">
        <v>-3.7009130000000001E-2</v>
      </c>
      <c r="AA6711">
        <v>0.99723550000000005</v>
      </c>
      <c r="AB6711">
        <v>28</v>
      </c>
      <c r="AC6711">
        <v>1.9428000000000001</v>
      </c>
      <c r="AD6711">
        <v>-1.1090295827450001</v>
      </c>
      <c r="AE6711">
        <v>29.603439999999999</v>
      </c>
      <c r="AF6711">
        <v>1.9281550253673101</v>
      </c>
      <c r="AG6711">
        <v>-1.1090295827450001</v>
      </c>
      <c r="AH6711">
        <v>29.562909251401599</v>
      </c>
      <c r="AI6711">
        <v>92.1438484462074</v>
      </c>
      <c r="AJ6711">
        <v>86.268334351535898</v>
      </c>
      <c r="AK6711">
        <v>29.646472502202698</v>
      </c>
      <c r="AL6711">
        <v>81.438233730800405</v>
      </c>
      <c r="AM6711">
        <v>86.541077310252604</v>
      </c>
      <c r="AN6711">
        <v>0.99999994204161002</v>
      </c>
    </row>
    <row r="6712" spans="1:40" x14ac:dyDescent="0.25">
      <c r="A6712" t="str">
        <f>"20190312164635779"</f>
        <v>20190312164635779</v>
      </c>
      <c r="B6712" t="str">
        <f>"1552380395767873"</f>
        <v>1552380395767873</v>
      </c>
      <c r="C6712" t="s">
        <v>40</v>
      </c>
      <c r="D6712">
        <v>4.6134219999999999</v>
      </c>
      <c r="E6712">
        <v>0.50839279999999998</v>
      </c>
      <c r="F6712" t="s">
        <v>42</v>
      </c>
      <c r="G6712">
        <v>-185.4573</v>
      </c>
      <c r="H6712" s="1">
        <v>-4.8982500000000001E-6</v>
      </c>
      <c r="I6712">
        <v>89.172359999999998</v>
      </c>
      <c r="J6712">
        <v>-187.57910000000001</v>
      </c>
      <c r="K6712">
        <v>1.1090469999999999</v>
      </c>
      <c r="L6712">
        <v>59.180599999999998</v>
      </c>
      <c r="M6712">
        <v>3.4259049999999999E-4</v>
      </c>
      <c r="N6712">
        <v>0</v>
      </c>
      <c r="O6712">
        <v>0.99990979999999996</v>
      </c>
      <c r="P6712">
        <v>6.2491690000000003E-2</v>
      </c>
      <c r="Q6712">
        <v>0.13640659999999999</v>
      </c>
      <c r="R6712">
        <v>0.98867989999999994</v>
      </c>
      <c r="S6712">
        <v>0.2128448</v>
      </c>
      <c r="T6712">
        <v>-0.1112465</v>
      </c>
      <c r="U6712">
        <v>3.0358580000000002</v>
      </c>
      <c r="V6712">
        <v>6.2143120000000003E-2</v>
      </c>
      <c r="W6712">
        <v>0.14967049999999901</v>
      </c>
      <c r="X6712">
        <v>0.98678109999999997</v>
      </c>
      <c r="Y6712">
        <v>6.9550119999999993E-2</v>
      </c>
      <c r="Z6712">
        <v>-3.6530460000000001E-2</v>
      </c>
      <c r="AA6712">
        <v>0.99690939999999995</v>
      </c>
      <c r="AB6712">
        <v>28</v>
      </c>
      <c r="AC6712">
        <v>2.1217999999999999</v>
      </c>
      <c r="AD6712">
        <v>-1.1090518982499999</v>
      </c>
      <c r="AE6712">
        <v>29.991759999999999</v>
      </c>
      <c r="AF6712">
        <v>2.1086550135809499</v>
      </c>
      <c r="AG6712">
        <v>-1.1090518982499999</v>
      </c>
      <c r="AH6712">
        <v>29.9517327789893</v>
      </c>
      <c r="AI6712">
        <v>92.115346664841596</v>
      </c>
      <c r="AJ6712">
        <v>85.972920201261203</v>
      </c>
      <c r="AK6712">
        <v>30.046342848062199</v>
      </c>
      <c r="AL6712">
        <v>81.392167808505107</v>
      </c>
      <c r="AM6712">
        <v>86.396523273438405</v>
      </c>
      <c r="AN6712">
        <v>0.99999998262539702</v>
      </c>
    </row>
    <row r="6713" spans="1:40" x14ac:dyDescent="0.25">
      <c r="A6713" t="str">
        <f>"20190312164635801"</f>
        <v>20190312164635801</v>
      </c>
      <c r="B6713" t="str">
        <f>"1552380395798130"</f>
        <v>1552380395798130</v>
      </c>
      <c r="C6713" t="s">
        <v>40</v>
      </c>
      <c r="D6713">
        <v>4.5479409999999998</v>
      </c>
      <c r="E6713">
        <v>0.5095596</v>
      </c>
      <c r="F6713" t="s">
        <v>42</v>
      </c>
      <c r="G6713">
        <v>-185.35769999999999</v>
      </c>
      <c r="H6713" s="1">
        <v>-4.8711209999999998E-6</v>
      </c>
      <c r="I6713">
        <v>89.067969999999903</v>
      </c>
      <c r="J6713">
        <v>-187.57900000000001</v>
      </c>
      <c r="K6713">
        <v>1.1090580000000001</v>
      </c>
      <c r="L6713">
        <v>59.4452199999999</v>
      </c>
      <c r="M6713">
        <v>2.6644670000000001E-4</v>
      </c>
      <c r="N6713">
        <v>0</v>
      </c>
      <c r="O6713">
        <v>0.99990999999999997</v>
      </c>
      <c r="P6713">
        <v>6.4868270000000006E-2</v>
      </c>
      <c r="Q6713">
        <v>0.1374224</v>
      </c>
      <c r="R6713">
        <v>0.98838619999999999</v>
      </c>
      <c r="S6713">
        <v>0.2256165</v>
      </c>
      <c r="T6713">
        <v>-0.1126447</v>
      </c>
      <c r="U6713">
        <v>3.0356139999999998</v>
      </c>
      <c r="V6713">
        <v>6.4590449999999994E-2</v>
      </c>
      <c r="W6713">
        <v>0.15067469999999999</v>
      </c>
      <c r="X6713">
        <v>0.98647110000000005</v>
      </c>
      <c r="Y6713">
        <v>7.3802309999999996E-2</v>
      </c>
      <c r="Z6713">
        <v>-3.6980689999999997E-2</v>
      </c>
      <c r="AA6713">
        <v>0.996587</v>
      </c>
      <c r="AB6713">
        <v>28</v>
      </c>
      <c r="AC6713">
        <v>2.22130000000001</v>
      </c>
      <c r="AD6713">
        <v>-1.109062871121</v>
      </c>
      <c r="AE6713">
        <v>29.62275</v>
      </c>
      <c r="AF6713">
        <v>2.2103253913747198</v>
      </c>
      <c r="AG6713">
        <v>-1.109062871121</v>
      </c>
      <c r="AH6713">
        <v>29.582106855069799</v>
      </c>
      <c r="AI6713">
        <v>92.141107868037906</v>
      </c>
      <c r="AJ6713">
        <v>85.726895683193504</v>
      </c>
      <c r="AK6713">
        <v>29.685292735168101</v>
      </c>
      <c r="AL6713">
        <v>81.333971674468899</v>
      </c>
      <c r="AM6713">
        <v>86.253833303052005</v>
      </c>
      <c r="AN6713">
        <v>1.0000000112932499</v>
      </c>
    </row>
    <row r="6714" spans="1:40" x14ac:dyDescent="0.25">
      <c r="A6714" t="str">
        <f>"20190312164635824"</f>
        <v>20190312164635824</v>
      </c>
      <c r="B6714" t="str">
        <f>"1552380395817650"</f>
        <v>1552380395817650</v>
      </c>
      <c r="C6714" t="s">
        <v>40</v>
      </c>
      <c r="D6714">
        <v>5.0778220000000003</v>
      </c>
      <c r="E6714">
        <v>0.51038609999999995</v>
      </c>
      <c r="F6714" t="s">
        <v>42</v>
      </c>
      <c r="G6714">
        <v>-185.16550000000001</v>
      </c>
      <c r="H6714" s="1">
        <v>-1.297542E-6</v>
      </c>
      <c r="I6714">
        <v>89.680980000000005</v>
      </c>
      <c r="J6714">
        <v>-187.57900000000001</v>
      </c>
      <c r="K6714">
        <v>1.1090719999999901</v>
      </c>
      <c r="L6714">
        <v>59.723939999999999</v>
      </c>
      <c r="M6714">
        <v>1.7193119999999999E-4</v>
      </c>
      <c r="N6714">
        <v>0</v>
      </c>
      <c r="O6714">
        <v>0.99991019999999997</v>
      </c>
      <c r="P6714">
        <v>6.7564699999999894E-2</v>
      </c>
      <c r="Q6714">
        <v>0.138564299999999</v>
      </c>
      <c r="R6714">
        <v>0.98804610000000004</v>
      </c>
      <c r="S6714">
        <v>0.24224850000000001</v>
      </c>
      <c r="T6714">
        <v>-0.1113183</v>
      </c>
      <c r="U6714">
        <v>3.034821</v>
      </c>
      <c r="V6714">
        <v>6.7375889999999994E-2</v>
      </c>
      <c r="W6714">
        <v>0.1518002</v>
      </c>
      <c r="X6714">
        <v>0.98611219999999999</v>
      </c>
      <c r="Y6714">
        <v>7.9345410000000005E-2</v>
      </c>
      <c r="Z6714">
        <v>-3.6539910000000002E-2</v>
      </c>
      <c r="AA6714">
        <v>0.99617730000000004</v>
      </c>
      <c r="AB6714">
        <v>28</v>
      </c>
      <c r="AC6714">
        <v>2.4134999999999902</v>
      </c>
      <c r="AD6714">
        <v>-1.1090732975419999</v>
      </c>
      <c r="AE6714">
        <v>29.957039999999999</v>
      </c>
      <c r="AF6714">
        <v>2.4050737258475001</v>
      </c>
      <c r="AG6714">
        <v>-1.1090732975419999</v>
      </c>
      <c r="AH6714">
        <v>29.916714009602</v>
      </c>
      <c r="AI6714">
        <v>92.116277138662596</v>
      </c>
      <c r="AJ6714">
        <v>85.403744712905294</v>
      </c>
      <c r="AK6714">
        <v>30.033717724224601</v>
      </c>
      <c r="AL6714">
        <v>81.268735145573302</v>
      </c>
      <c r="AM6714">
        <v>86.091353657719495</v>
      </c>
      <c r="AN6714">
        <v>1.0000000411310801</v>
      </c>
    </row>
    <row r="6715" spans="1:40" x14ac:dyDescent="0.25">
      <c r="A6715" t="str">
        <f>"20190312164635847"</f>
        <v>20190312164635847</v>
      </c>
      <c r="B6715" t="str">
        <f>"1552380395838146"</f>
        <v>1552380395838146</v>
      </c>
      <c r="C6715" t="s">
        <v>40</v>
      </c>
      <c r="D6715">
        <v>4.7747719999999996</v>
      </c>
      <c r="E6715">
        <v>0.51116609999999996</v>
      </c>
      <c r="F6715" t="s">
        <v>42</v>
      </c>
      <c r="G6715">
        <v>-184.8897</v>
      </c>
      <c r="H6715" s="1">
        <v>-1.9621849999999998E-6</v>
      </c>
      <c r="I6715">
        <v>91.418450000000007</v>
      </c>
      <c r="J6715">
        <v>-187.57910000000001</v>
      </c>
      <c r="K6715">
        <v>1.109083</v>
      </c>
      <c r="L6715">
        <v>60.022280000000002</v>
      </c>
      <c r="M6715" s="1">
        <v>6.0053940000000001E-5</v>
      </c>
      <c r="N6715">
        <v>0</v>
      </c>
      <c r="O6715">
        <v>0.99991050000000004</v>
      </c>
      <c r="P6715">
        <v>6.9836040000000002E-2</v>
      </c>
      <c r="Q6715">
        <v>0.1399658</v>
      </c>
      <c r="R6715">
        <v>0.98769050000000003</v>
      </c>
      <c r="S6715">
        <v>0.25740049999999998</v>
      </c>
      <c r="T6715">
        <v>-0.1061525</v>
      </c>
      <c r="U6715">
        <v>3.033569</v>
      </c>
      <c r="V6715">
        <v>6.9754029999999995E-2</v>
      </c>
      <c r="W6715">
        <v>0.15318010000000001</v>
      </c>
      <c r="X6715">
        <v>0.98573330000000003</v>
      </c>
      <c r="Y6715">
        <v>8.4435720000000006E-2</v>
      </c>
      <c r="Z6715">
        <v>-3.4846250000000002E-2</v>
      </c>
      <c r="AA6715">
        <v>0.99581940000000002</v>
      </c>
      <c r="AB6715">
        <v>28</v>
      </c>
      <c r="AC6715">
        <v>2.6894</v>
      </c>
      <c r="AD6715">
        <v>-1.1090849621850001</v>
      </c>
      <c r="AE6715">
        <v>31.396170000000001</v>
      </c>
      <c r="AF6715">
        <v>2.6841891889336602</v>
      </c>
      <c r="AG6715">
        <v>-1.1090849621850001</v>
      </c>
      <c r="AH6715">
        <v>31.3574858113892</v>
      </c>
      <c r="AI6715">
        <v>92.018279136809696</v>
      </c>
      <c r="AJ6715">
        <v>85.107428975752498</v>
      </c>
      <c r="AK6715">
        <v>31.491695055471499</v>
      </c>
      <c r="AL6715">
        <v>81.188736337521206</v>
      </c>
      <c r="AM6715">
        <v>85.952292062813697</v>
      </c>
      <c r="AN6715">
        <v>0.99999995323306901</v>
      </c>
    </row>
    <row r="6716" spans="1:40" x14ac:dyDescent="0.25">
      <c r="A6716" t="str">
        <f>"20190312164635871"</f>
        <v>20190312164635871</v>
      </c>
      <c r="B6716" t="str">
        <f>"1552380395868403"</f>
        <v>1552380395868403</v>
      </c>
      <c r="C6716" t="s">
        <v>40</v>
      </c>
      <c r="D6716">
        <v>4.8081050000000003</v>
      </c>
      <c r="E6716">
        <v>0.51207939999999996</v>
      </c>
      <c r="F6716" t="s">
        <v>42</v>
      </c>
      <c r="G6716">
        <v>-184.5744</v>
      </c>
      <c r="H6716" s="1">
        <v>-2.823602E-6</v>
      </c>
      <c r="I6716">
        <v>93.703209999999999</v>
      </c>
      <c r="J6716">
        <v>-187.57919999999999</v>
      </c>
      <c r="K6716">
        <v>1.1090880000000001</v>
      </c>
      <c r="L6716">
        <v>60.303919999999998</v>
      </c>
      <c r="M6716" s="1">
        <v>-5.231409E-5</v>
      </c>
      <c r="N6716">
        <v>0</v>
      </c>
      <c r="O6716">
        <v>0.99991079999999999</v>
      </c>
      <c r="P6716">
        <v>7.2211849999999994E-2</v>
      </c>
      <c r="Q6716">
        <v>0.1411394</v>
      </c>
      <c r="R6716">
        <v>0.98735260000000002</v>
      </c>
      <c r="S6716">
        <v>0.27052310000000002</v>
      </c>
      <c r="T6716">
        <v>-9.9854830000000006E-2</v>
      </c>
      <c r="U6716">
        <v>3.03241</v>
      </c>
      <c r="V6716">
        <v>7.223868E-2</v>
      </c>
      <c r="W6716">
        <v>0.15432779999999999</v>
      </c>
      <c r="X6716">
        <v>0.98537529999999995</v>
      </c>
      <c r="Y6716">
        <v>8.8862079999999996E-2</v>
      </c>
      <c r="Z6716">
        <v>-3.2781240000000003E-2</v>
      </c>
      <c r="AA6716">
        <v>0.99550439999999996</v>
      </c>
      <c r="AB6716">
        <v>28</v>
      </c>
      <c r="AC6716">
        <v>3.0047999999999799</v>
      </c>
      <c r="AD6716">
        <v>-1.1090908236019901</v>
      </c>
      <c r="AE6716">
        <v>33.399290000000001</v>
      </c>
      <c r="AF6716">
        <v>3.0032622791630099</v>
      </c>
      <c r="AG6716">
        <v>-1.1090908236019901</v>
      </c>
      <c r="AH6716">
        <v>33.362638939746397</v>
      </c>
      <c r="AI6716">
        <v>91.896348676250298</v>
      </c>
      <c r="AJ6716">
        <v>84.856171099990206</v>
      </c>
      <c r="AK6716">
        <v>33.515896881872798</v>
      </c>
      <c r="AL6716">
        <v>81.122186955473495</v>
      </c>
      <c r="AM6716">
        <v>85.807099726890598</v>
      </c>
      <c r="AN6716">
        <v>0.99999998929553602</v>
      </c>
    </row>
    <row r="6717" spans="1:40" x14ac:dyDescent="0.25">
      <c r="A6717" t="str">
        <f>"20190312164635890"</f>
        <v>20190312164635890</v>
      </c>
      <c r="B6717" t="str">
        <f>"1552380395878175"</f>
        <v>1552380395878175</v>
      </c>
      <c r="C6717" t="s">
        <v>40</v>
      </c>
      <c r="D6717">
        <v>4.7142080000000002</v>
      </c>
      <c r="E6717">
        <v>0.51235029999999904</v>
      </c>
      <c r="F6717" t="s">
        <v>42</v>
      </c>
      <c r="G6717">
        <v>-184.31</v>
      </c>
      <c r="H6717" s="1">
        <v>-3.3641399999999999E-6</v>
      </c>
      <c r="I6717">
        <v>95.084919999999997</v>
      </c>
      <c r="J6717">
        <v>-187.57929999999999</v>
      </c>
      <c r="K6717">
        <v>1.1090880000000001</v>
      </c>
      <c r="L6717">
        <v>60.555419999999998</v>
      </c>
      <c r="M6717">
        <v>-1.546427E-4</v>
      </c>
      <c r="N6717">
        <v>0</v>
      </c>
      <c r="O6717">
        <v>0.99991110000000005</v>
      </c>
      <c r="P6717">
        <v>7.4810310000000005E-2</v>
      </c>
      <c r="Q6717">
        <v>0.142068</v>
      </c>
      <c r="R6717">
        <v>0.98702590000000001</v>
      </c>
      <c r="S6717">
        <v>0.2849274</v>
      </c>
      <c r="T6717">
        <v>-9.6664910000000007E-2</v>
      </c>
      <c r="U6717">
        <v>3.0314030000000001</v>
      </c>
      <c r="V6717">
        <v>7.4937110000000001E-2</v>
      </c>
      <c r="W6717">
        <v>0.15522529999999901</v>
      </c>
      <c r="X6717">
        <v>0.98503269999999998</v>
      </c>
      <c r="Y6717">
        <v>9.3686329999999998E-2</v>
      </c>
      <c r="Z6717">
        <v>-3.1731710000000003E-2</v>
      </c>
      <c r="AA6717">
        <v>0.99509599999999998</v>
      </c>
      <c r="AB6717">
        <v>28</v>
      </c>
      <c r="AC6717">
        <v>3.2692999999999799</v>
      </c>
      <c r="AD6717">
        <v>-1.10909136413999</v>
      </c>
      <c r="AE6717">
        <v>34.529499999999999</v>
      </c>
      <c r="AF6717">
        <v>3.2712951570980802</v>
      </c>
      <c r="AG6717">
        <v>-1.10909136413999</v>
      </c>
      <c r="AH6717">
        <v>34.493722931855899</v>
      </c>
      <c r="AI6717">
        <v>91.833400311521999</v>
      </c>
      <c r="AJ6717">
        <v>84.582420348948503</v>
      </c>
      <c r="AK6717">
        <v>34.6662426195644</v>
      </c>
      <c r="AL6717">
        <v>81.070136335636505</v>
      </c>
      <c r="AM6717">
        <v>85.649559943789598</v>
      </c>
      <c r="AN6717">
        <v>0.99999994214226395</v>
      </c>
    </row>
    <row r="6718" spans="1:40" x14ac:dyDescent="0.25">
      <c r="A6718" t="str">
        <f>"20190312164635913"</f>
        <v>20190312164635913</v>
      </c>
      <c r="B6718" t="str">
        <f>"1552380395908418"</f>
        <v>1552380395908418</v>
      </c>
      <c r="C6718" t="s">
        <v>40</v>
      </c>
      <c r="D6718">
        <v>4.8697350000000004</v>
      </c>
      <c r="E6718">
        <v>0.51322789999999996</v>
      </c>
      <c r="F6718" t="s">
        <v>42</v>
      </c>
      <c r="G6718">
        <v>-184.1086</v>
      </c>
      <c r="H6718" s="1">
        <v>-3.8812680000000004E-6</v>
      </c>
      <c r="I6718">
        <v>96.244110000000006</v>
      </c>
      <c r="J6718">
        <v>-187.5795</v>
      </c>
      <c r="K6718">
        <v>1.109091</v>
      </c>
      <c r="L6718">
        <v>60.8292199999999</v>
      </c>
      <c r="M6718">
        <v>-2.6452749999999998E-4</v>
      </c>
      <c r="N6718">
        <v>0</v>
      </c>
      <c r="O6718">
        <v>0.99991149999999995</v>
      </c>
      <c r="P6718">
        <v>7.6246750000000002E-2</v>
      </c>
      <c r="Q6718">
        <v>0.1429223</v>
      </c>
      <c r="R6718">
        <v>0.98679260000000002</v>
      </c>
      <c r="S6718">
        <v>0.29472350000000003</v>
      </c>
      <c r="T6718">
        <v>-9.4182730000000006E-2</v>
      </c>
      <c r="U6718">
        <v>3.03064</v>
      </c>
      <c r="V6718">
        <v>7.6481259999999995E-2</v>
      </c>
      <c r="W6718">
        <v>0.1560472</v>
      </c>
      <c r="X6718">
        <v>0.9847842</v>
      </c>
      <c r="Y6718">
        <v>9.700839E-2</v>
      </c>
      <c r="Z6718">
        <v>-3.0915749999999999E-2</v>
      </c>
      <c r="AA6718">
        <v>0.99480329999999995</v>
      </c>
      <c r="AB6718">
        <v>28</v>
      </c>
      <c r="AC6718">
        <v>3.4708999999999999</v>
      </c>
      <c r="AD6718">
        <v>-1.1090948812679999</v>
      </c>
      <c r="AE6718">
        <v>35.41489</v>
      </c>
      <c r="AF6718">
        <v>3.4768913439952098</v>
      </c>
      <c r="AG6718">
        <v>-1.1090948812679999</v>
      </c>
      <c r="AH6718">
        <v>35.379601529959601</v>
      </c>
      <c r="AI6718">
        <v>91.786942009583797</v>
      </c>
      <c r="AJ6718">
        <v>84.387342685309406</v>
      </c>
      <c r="AK6718">
        <v>35.567331489617303</v>
      </c>
      <c r="AL6718">
        <v>81.0224646860745</v>
      </c>
      <c r="AM6718">
        <v>85.559153989798304</v>
      </c>
      <c r="AN6718">
        <v>1.0000000161643301</v>
      </c>
    </row>
    <row r="6719" spans="1:40" x14ac:dyDescent="0.25">
      <c r="A6719" t="str">
        <f>"20190312164635936"</f>
        <v>20190312164635936</v>
      </c>
      <c r="B6719" t="str">
        <f>"1552380395927938"</f>
        <v>1552380395927938</v>
      </c>
      <c r="C6719" t="s">
        <v>40</v>
      </c>
      <c r="D6719">
        <v>4.7045659999999998</v>
      </c>
      <c r="E6719">
        <v>0.51372390000000001</v>
      </c>
      <c r="F6719" t="s">
        <v>42</v>
      </c>
      <c r="G6719">
        <v>-183.7919</v>
      </c>
      <c r="H6719" s="1">
        <v>-4.8287430000000002E-6</v>
      </c>
      <c r="I6719">
        <v>98.321719999999999</v>
      </c>
      <c r="J6719">
        <v>-187.5796</v>
      </c>
      <c r="K6719">
        <v>1.1090899999999999</v>
      </c>
      <c r="L6719">
        <v>61.118769999999998</v>
      </c>
      <c r="M6719">
        <v>-3.7800589999999998E-4</v>
      </c>
      <c r="N6719">
        <v>0</v>
      </c>
      <c r="O6719">
        <v>0.99991200000000002</v>
      </c>
      <c r="P6719">
        <v>7.919329E-2</v>
      </c>
      <c r="Q6719">
        <v>0.1453468</v>
      </c>
      <c r="R6719">
        <v>0.98620620000000003</v>
      </c>
      <c r="S6719">
        <v>0.30604550000000003</v>
      </c>
      <c r="T6719">
        <v>-8.9617489999999994E-2</v>
      </c>
      <c r="U6719">
        <v>3.02948</v>
      </c>
      <c r="V6719">
        <v>7.9538949999999997E-2</v>
      </c>
      <c r="W6719">
        <v>0.15842719999999999</v>
      </c>
      <c r="X6719">
        <v>0.98416179999999998</v>
      </c>
      <c r="Y6719">
        <v>0.1008435</v>
      </c>
      <c r="Z6719">
        <v>-2.9418699999999999E-2</v>
      </c>
      <c r="AA6719">
        <v>0.99446730000000005</v>
      </c>
      <c r="AB6719">
        <v>28</v>
      </c>
      <c r="AC6719">
        <v>3.7877000000000001</v>
      </c>
      <c r="AD6719">
        <v>-1.10909482874299</v>
      </c>
      <c r="AE6719">
        <v>37.202950000000001</v>
      </c>
      <c r="AF6719">
        <v>3.79842266328395</v>
      </c>
      <c r="AG6719">
        <v>-1.10909482874299</v>
      </c>
      <c r="AH6719">
        <v>37.168820332206799</v>
      </c>
      <c r="AI6719">
        <v>91.700313435521494</v>
      </c>
      <c r="AJ6719">
        <v>84.164983612932105</v>
      </c>
      <c r="AK6719">
        <v>37.378861819964001</v>
      </c>
      <c r="AL6719">
        <v>80.884383258980407</v>
      </c>
      <c r="AM6719">
        <v>85.379456256278999</v>
      </c>
      <c r="AN6719">
        <v>1.00000003542309</v>
      </c>
    </row>
    <row r="6720" spans="1:40" x14ac:dyDescent="0.25">
      <c r="A6720" t="str">
        <f>"20190312164635958"</f>
        <v>20190312164635958</v>
      </c>
      <c r="B6720" t="str">
        <f>"1552380395948438"</f>
        <v>1552380395948438</v>
      </c>
      <c r="C6720" t="s">
        <v>40</v>
      </c>
      <c r="D6720">
        <v>4.7778400000000003</v>
      </c>
      <c r="E6720">
        <v>0.51415859999999902</v>
      </c>
      <c r="F6720" t="s">
        <v>42</v>
      </c>
      <c r="G6720">
        <v>-183.2114</v>
      </c>
      <c r="H6720" s="1">
        <v>-2.7898930000000002E-6</v>
      </c>
      <c r="I6720">
        <v>102.5385</v>
      </c>
      <c r="J6720">
        <v>-187.57980000000001</v>
      </c>
      <c r="K6720">
        <v>1.109102</v>
      </c>
      <c r="L6720">
        <v>61.389339999999997</v>
      </c>
      <c r="M6720">
        <v>-4.8099580000000001E-4</v>
      </c>
      <c r="N6720">
        <v>0</v>
      </c>
      <c r="O6720">
        <v>0.99991249999999998</v>
      </c>
      <c r="P6720">
        <v>8.2210030000000003E-2</v>
      </c>
      <c r="Q6720">
        <v>0.14773129999999901</v>
      </c>
      <c r="R6720">
        <v>0.98560490000000001</v>
      </c>
      <c r="S6720">
        <v>0.3193665</v>
      </c>
      <c r="T6720">
        <v>-8.1087469999999995E-2</v>
      </c>
      <c r="U6720">
        <v>3.0282589999999998</v>
      </c>
      <c r="V6720">
        <v>8.2656460000000001E-2</v>
      </c>
      <c r="W6720">
        <v>0.16076199999999999</v>
      </c>
      <c r="X6720">
        <v>0.98352609999999996</v>
      </c>
      <c r="Y6720">
        <v>0.1053216</v>
      </c>
      <c r="Z6720">
        <v>-2.6619130000000001E-2</v>
      </c>
      <c r="AA6720">
        <v>0.99408189999999996</v>
      </c>
      <c r="AB6720">
        <v>28</v>
      </c>
      <c r="AC6720">
        <v>4.3684000000000003</v>
      </c>
      <c r="AD6720">
        <v>-1.109104789893</v>
      </c>
      <c r="AE6720">
        <v>41.149160000000002</v>
      </c>
      <c r="AF6720">
        <v>4.3850436562106898</v>
      </c>
      <c r="AG6720">
        <v>-1.109104789893</v>
      </c>
      <c r="AH6720">
        <v>41.117515745358801</v>
      </c>
      <c r="AI6720">
        <v>91.536414677523297</v>
      </c>
      <c r="AJ6720">
        <v>83.912608096035697</v>
      </c>
      <c r="AK6720">
        <v>41.365551155178203</v>
      </c>
      <c r="AL6720">
        <v>80.748872287390597</v>
      </c>
      <c r="AM6720">
        <v>85.196097285991996</v>
      </c>
      <c r="AN6720">
        <v>1.00000005020246</v>
      </c>
    </row>
    <row r="6721" spans="1:40" x14ac:dyDescent="0.25">
      <c r="A6721" t="str">
        <f>"20190312164635979"</f>
        <v>20190312164635979</v>
      </c>
      <c r="B6721" t="str">
        <f>"1552380395967957"</f>
        <v>1552380395967957</v>
      </c>
      <c r="C6721" t="s">
        <v>40</v>
      </c>
      <c r="D6721">
        <v>5.119745</v>
      </c>
      <c r="E6721">
        <v>0.51456329999999995</v>
      </c>
      <c r="F6721" t="s">
        <v>42</v>
      </c>
      <c r="G6721">
        <v>-182.5171</v>
      </c>
      <c r="H6721" s="1">
        <v>-4.6934169999999997E-6</v>
      </c>
      <c r="I6721">
        <v>107.47920000000001</v>
      </c>
      <c r="J6721">
        <v>-187.58009999999999</v>
      </c>
      <c r="K6721">
        <v>1.1091120000000001</v>
      </c>
      <c r="L6721">
        <v>61.651179999999997</v>
      </c>
      <c r="M6721">
        <v>-5.7620060000000001E-4</v>
      </c>
      <c r="N6721">
        <v>0</v>
      </c>
      <c r="O6721">
        <v>0.99991300000000005</v>
      </c>
      <c r="P6721">
        <v>8.5596889999999995E-2</v>
      </c>
      <c r="Q6721">
        <v>0.15020839999999999</v>
      </c>
      <c r="R6721">
        <v>0.98494190000000004</v>
      </c>
      <c r="S6721">
        <v>0.33250429999999997</v>
      </c>
      <c r="T6721">
        <v>-7.2841999999999907E-2</v>
      </c>
      <c r="U6721">
        <v>3.0270079999999999</v>
      </c>
      <c r="V6721">
        <v>8.6135980000000001E-2</v>
      </c>
      <c r="W6721">
        <v>0.1631852</v>
      </c>
      <c r="X6721">
        <v>0.98282809999999998</v>
      </c>
      <c r="Y6721">
        <v>0.1097307</v>
      </c>
      <c r="Z6721">
        <v>-2.3912550000000001E-2</v>
      </c>
      <c r="AA6721">
        <v>0.99367369999999999</v>
      </c>
      <c r="AB6721">
        <v>28</v>
      </c>
      <c r="AC6721">
        <v>5.0629999999999802</v>
      </c>
      <c r="AD6721">
        <v>-1.109116693417</v>
      </c>
      <c r="AE6721">
        <v>45.828020000000002</v>
      </c>
      <c r="AF6721">
        <v>5.0864642506360802</v>
      </c>
      <c r="AG6721">
        <v>-1.109116693417</v>
      </c>
      <c r="AH6721">
        <v>45.798593010273599</v>
      </c>
      <c r="AI6721">
        <v>91.378801782510195</v>
      </c>
      <c r="AJ6721">
        <v>83.662611399820094</v>
      </c>
      <c r="AK6721">
        <v>46.093528614473598</v>
      </c>
      <c r="AL6721">
        <v>80.608174238534403</v>
      </c>
      <c r="AM6721">
        <v>84.991341505585197</v>
      </c>
      <c r="AN6721">
        <v>0.99999994534960301</v>
      </c>
    </row>
    <row r="6722" spans="1:40" x14ac:dyDescent="0.25">
      <c r="A6722" t="str">
        <f>"20190312164636002"</f>
        <v>20190312164636002</v>
      </c>
      <c r="B6722" t="str">
        <f>"1552380395998210"</f>
        <v>1552380395998210</v>
      </c>
      <c r="C6722" t="s">
        <v>40</v>
      </c>
      <c r="D6722">
        <v>4.8112640000000004</v>
      </c>
      <c r="E6722">
        <v>0.51516030000000002</v>
      </c>
      <c r="F6722" t="s">
        <v>42</v>
      </c>
      <c r="G6722">
        <v>-181.59630000000001</v>
      </c>
      <c r="H6722" s="1">
        <v>-3.6848510000000002E-6</v>
      </c>
      <c r="I6722">
        <v>113.90560000000001</v>
      </c>
      <c r="J6722">
        <v>-187.5804</v>
      </c>
      <c r="K6722">
        <v>1.1091169999999999</v>
      </c>
      <c r="L6722">
        <v>61.926789999999997</v>
      </c>
      <c r="M6722">
        <v>-6.699907E-4</v>
      </c>
      <c r="N6722">
        <v>0</v>
      </c>
      <c r="O6722">
        <v>0.99991370000000002</v>
      </c>
      <c r="P6722">
        <v>8.8771279999999994E-2</v>
      </c>
      <c r="Q6722">
        <v>0.15330170000000001</v>
      </c>
      <c r="R6722">
        <v>0.98418410000000001</v>
      </c>
      <c r="S6722">
        <v>0.346466099999999</v>
      </c>
      <c r="T6722">
        <v>-6.421876E-2</v>
      </c>
      <c r="U6722">
        <v>3.0255740000000002</v>
      </c>
      <c r="V6722">
        <v>8.9400960000000002E-2</v>
      </c>
      <c r="W6722">
        <v>0.16621839999999999</v>
      </c>
      <c r="X6722">
        <v>0.98202789999999995</v>
      </c>
      <c r="Y6722">
        <v>0.11440939999999999</v>
      </c>
      <c r="Z6722">
        <v>-2.1082E-2</v>
      </c>
      <c r="AA6722">
        <v>0.99321000000000004</v>
      </c>
      <c r="AB6722">
        <v>28</v>
      </c>
      <c r="AC6722">
        <v>5.9840999999999802</v>
      </c>
      <c r="AD6722">
        <v>-1.109120684851</v>
      </c>
      <c r="AE6722">
        <v>51.978809999999903</v>
      </c>
      <c r="AF6722">
        <v>6.0162235719662904</v>
      </c>
      <c r="AG6722">
        <v>-1.109120684851</v>
      </c>
      <c r="AH6722">
        <v>51.951444211756801</v>
      </c>
      <c r="AI6722">
        <v>91.214915198534797</v>
      </c>
      <c r="AJ6722">
        <v>83.394301291684798</v>
      </c>
      <c r="AK6722">
        <v>52.310397154377704</v>
      </c>
      <c r="AL6722">
        <v>80.431978330992706</v>
      </c>
      <c r="AM6722">
        <v>84.798297615681506</v>
      </c>
      <c r="AN6722">
        <v>0.99999994226294397</v>
      </c>
    </row>
    <row r="6723" spans="1:40" x14ac:dyDescent="0.25">
      <c r="A6723" t="str">
        <f>"20190312164636023"</f>
        <v>20190312164636023</v>
      </c>
      <c r="B6723" t="str">
        <f>"1552380396017729"</f>
        <v>1552380396017729</v>
      </c>
      <c r="C6723" t="s">
        <v>40</v>
      </c>
      <c r="D6723">
        <v>4.7748699999999999</v>
      </c>
      <c r="E6723">
        <v>0.51554489999999997</v>
      </c>
      <c r="F6723" t="s">
        <v>71</v>
      </c>
      <c r="G6723">
        <v>-180.55500000000001</v>
      </c>
      <c r="H6723" s="1">
        <v>-2.8402389999999999E-6</v>
      </c>
      <c r="I6723">
        <v>120.7653</v>
      </c>
      <c r="J6723">
        <v>-187.58070000000001</v>
      </c>
      <c r="K6723">
        <v>1.109119</v>
      </c>
      <c r="L6723">
        <v>62.202300000000001</v>
      </c>
      <c r="M6723">
        <v>-7.7458589999999895E-4</v>
      </c>
      <c r="N6723">
        <v>0</v>
      </c>
      <c r="O6723">
        <v>0.99991419999999998</v>
      </c>
      <c r="P6723">
        <v>9.2175579999999993E-2</v>
      </c>
      <c r="Q6723">
        <v>0.1561157</v>
      </c>
      <c r="R6723">
        <v>0.98342850000000004</v>
      </c>
      <c r="S6723">
        <v>0.3611298</v>
      </c>
      <c r="T6723">
        <v>-5.7012680000000003E-2</v>
      </c>
      <c r="U6723">
        <v>3.0245060000000001</v>
      </c>
      <c r="V6723">
        <v>9.2909630000000007E-2</v>
      </c>
      <c r="W6723">
        <v>0.1689755</v>
      </c>
      <c r="X6723">
        <v>0.98123139999999998</v>
      </c>
      <c r="Y6723">
        <v>0.1193075</v>
      </c>
      <c r="Z6723">
        <v>-1.8713150000000001E-2</v>
      </c>
      <c r="AA6723">
        <v>0.99268100000000004</v>
      </c>
      <c r="AB6723">
        <v>28</v>
      </c>
      <c r="AC6723">
        <v>7.0256999999999996</v>
      </c>
      <c r="AD6723">
        <v>-1.109121840239</v>
      </c>
      <c r="AE6723">
        <v>58.563000000000002</v>
      </c>
      <c r="AF6723">
        <v>7.0685644370074598</v>
      </c>
      <c r="AG6723">
        <v>-1.109121840239</v>
      </c>
      <c r="AH6723">
        <v>58.536841630611498</v>
      </c>
      <c r="AI6723">
        <v>91.077650427269901</v>
      </c>
      <c r="AJ6723">
        <v>83.114636211658393</v>
      </c>
      <c r="AK6723">
        <v>58.972507005755801</v>
      </c>
      <c r="AL6723">
        <v>80.271742085131805</v>
      </c>
      <c r="AM6723">
        <v>84.590974370932003</v>
      </c>
      <c r="AN6723">
        <v>0.99999998964647296</v>
      </c>
    </row>
    <row r="6724" spans="1:40" x14ac:dyDescent="0.25">
      <c r="A6724" t="str">
        <f>"20190312164636048"</f>
        <v>20190312164636048</v>
      </c>
      <c r="B6724" t="str">
        <f>"1552380396038226"</f>
        <v>1552380396038226</v>
      </c>
      <c r="C6724" t="s">
        <v>40</v>
      </c>
      <c r="D6724">
        <v>4.7945010000000003</v>
      </c>
      <c r="E6724">
        <v>0.51593520000000004</v>
      </c>
      <c r="F6724" t="s">
        <v>71</v>
      </c>
      <c r="G6724">
        <v>-179.7423</v>
      </c>
      <c r="H6724">
        <v>7.998856E-2</v>
      </c>
      <c r="I6724">
        <v>125.4156</v>
      </c>
      <c r="J6724">
        <v>-187.58109999999999</v>
      </c>
      <c r="K6724">
        <v>1.1091219999999999</v>
      </c>
      <c r="L6724">
        <v>62.504849999999998</v>
      </c>
      <c r="M6724">
        <v>-8.9090009999999995E-4</v>
      </c>
      <c r="N6724">
        <v>0</v>
      </c>
      <c r="O6724">
        <v>0.99991479999999999</v>
      </c>
      <c r="P6724">
        <v>9.5497289999999999E-2</v>
      </c>
      <c r="Q6724">
        <v>0.1591794</v>
      </c>
      <c r="R6724">
        <v>0.9826201</v>
      </c>
      <c r="S6724">
        <v>0.37487789999999999</v>
      </c>
      <c r="T6724">
        <v>-4.9218890000000001E-2</v>
      </c>
      <c r="U6724">
        <v>3.0232239999999999</v>
      </c>
      <c r="V6724">
        <v>9.6346100000000004E-2</v>
      </c>
      <c r="W6724">
        <v>0.17197970000000001</v>
      </c>
      <c r="X6724">
        <v>0.98037770000000002</v>
      </c>
      <c r="Y6724">
        <v>0.1239251</v>
      </c>
      <c r="Z6724">
        <v>-1.6153520000000001E-2</v>
      </c>
      <c r="AA6724">
        <v>0.99216009999999999</v>
      </c>
      <c r="AB6724">
        <v>28</v>
      </c>
      <c r="AC6724">
        <v>7.8387999999999902</v>
      </c>
      <c r="AD6724">
        <v>-1.0291334399999901</v>
      </c>
      <c r="AE6724">
        <v>62.91075</v>
      </c>
      <c r="AF6724">
        <v>7.8927689848079403</v>
      </c>
      <c r="AG6724">
        <v>-1.0291334399999901</v>
      </c>
      <c r="AH6724">
        <v>62.887169235542899</v>
      </c>
      <c r="AI6724">
        <v>90.930251283675204</v>
      </c>
      <c r="AJ6724">
        <v>82.846393219655297</v>
      </c>
      <c r="AK6724">
        <v>63.3888868205199</v>
      </c>
      <c r="AL6724">
        <v>80.097057127821898</v>
      </c>
      <c r="AM6724">
        <v>84.387310147152704</v>
      </c>
      <c r="AN6724">
        <v>1.00000001142729</v>
      </c>
    </row>
    <row r="6725" spans="1:40" x14ac:dyDescent="0.25">
      <c r="A6725" t="str">
        <f>"20190312164636070"</f>
        <v>20190312164636070</v>
      </c>
      <c r="B6725" t="str">
        <f>"1552380396067505"</f>
        <v>1552380396067505</v>
      </c>
      <c r="C6725" t="s">
        <v>40</v>
      </c>
      <c r="D6725">
        <v>4.9052040000000003</v>
      </c>
      <c r="E6725">
        <v>0.51618359999999996</v>
      </c>
      <c r="F6725" t="s">
        <v>71</v>
      </c>
      <c r="G6725">
        <v>-177.2509</v>
      </c>
      <c r="H6725" s="1">
        <v>-8.2882419999999996E-6</v>
      </c>
      <c r="I6725">
        <v>142.84440000000001</v>
      </c>
      <c r="J6725">
        <v>-187.5814</v>
      </c>
      <c r="K6725">
        <v>1.109132</v>
      </c>
      <c r="L6725">
        <v>62.76999</v>
      </c>
      <c r="M6725">
        <v>-9.8572510000000005E-4</v>
      </c>
      <c r="N6725">
        <v>0</v>
      </c>
      <c r="O6725">
        <v>0.9999152</v>
      </c>
      <c r="P6725">
        <v>9.8795480000000005E-2</v>
      </c>
      <c r="Q6725">
        <v>0.16224640000000001</v>
      </c>
      <c r="R6725">
        <v>0.981792</v>
      </c>
      <c r="S6725">
        <v>0.38858029999999999</v>
      </c>
      <c r="T6725">
        <v>-4.1721220000000003E-2</v>
      </c>
      <c r="U6725">
        <v>3.0220639999999999</v>
      </c>
      <c r="V6725">
        <v>9.9735820000000003E-2</v>
      </c>
      <c r="W6725">
        <v>0.17499879999999901</v>
      </c>
      <c r="X6725">
        <v>0.97950400000000004</v>
      </c>
      <c r="Y6725">
        <v>0.1284969</v>
      </c>
      <c r="Z6725">
        <v>-1.369065E-2</v>
      </c>
      <c r="AA6725">
        <v>0.99161540000000004</v>
      </c>
      <c r="AB6725">
        <v>28</v>
      </c>
      <c r="AC6725">
        <v>10.330500000000001</v>
      </c>
      <c r="AD6725">
        <v>-1.1091402882420001</v>
      </c>
      <c r="AE6725">
        <v>80.07441</v>
      </c>
      <c r="AF6725">
        <v>10.4074689001578</v>
      </c>
      <c r="AG6725">
        <v>-1.1091402882420001</v>
      </c>
      <c r="AH6725">
        <v>80.049080382854001</v>
      </c>
      <c r="AI6725">
        <v>90.787200859416998</v>
      </c>
      <c r="AJ6725">
        <v>82.592321753055103</v>
      </c>
      <c r="AK6725">
        <v>80.730420977642396</v>
      </c>
      <c r="AL6725">
        <v>79.921411214598706</v>
      </c>
      <c r="AM6725">
        <v>84.186022085020795</v>
      </c>
      <c r="AN6725">
        <v>0.999999949904255</v>
      </c>
    </row>
    <row r="6726" spans="1:40" x14ac:dyDescent="0.25">
      <c r="A6726" t="str">
        <f>"20190312164636090"</f>
        <v>20190312164636090</v>
      </c>
      <c r="B6726" t="str">
        <f>"1552380396088002"</f>
        <v>1552380396088002</v>
      </c>
      <c r="C6726" t="s">
        <v>40</v>
      </c>
      <c r="D6726">
        <v>4.8551089999999997</v>
      </c>
      <c r="E6726">
        <v>0.51635889999999995</v>
      </c>
      <c r="F6726" t="s">
        <v>71</v>
      </c>
      <c r="G6726">
        <v>-175.00210000000001</v>
      </c>
      <c r="H6726">
        <v>7.9984719999999995E-2</v>
      </c>
      <c r="I6726">
        <v>157.55789999999999</v>
      </c>
      <c r="J6726">
        <v>-187.58179999999999</v>
      </c>
      <c r="K6726">
        <v>1.109137</v>
      </c>
      <c r="L6726">
        <v>63.023989999999998</v>
      </c>
      <c r="M6726">
        <v>-1.074682E-3</v>
      </c>
      <c r="N6726">
        <v>0</v>
      </c>
      <c r="O6726">
        <v>0.99991549999999996</v>
      </c>
      <c r="P6726">
        <v>0.1015037</v>
      </c>
      <c r="Q6726">
        <v>0.16456850000000001</v>
      </c>
      <c r="R6726">
        <v>0.98112909999999998</v>
      </c>
      <c r="S6726">
        <v>0.40087889999999998</v>
      </c>
      <c r="T6726">
        <v>-3.2797100000000003E-2</v>
      </c>
      <c r="U6726">
        <v>3.020721</v>
      </c>
      <c r="V6726">
        <v>0.1025302</v>
      </c>
      <c r="W6726">
        <v>0.1772791</v>
      </c>
      <c r="X6726">
        <v>0.97880520000000004</v>
      </c>
      <c r="Y6726">
        <v>0.13261400000000001</v>
      </c>
      <c r="Z6726">
        <v>-1.076161E-2</v>
      </c>
      <c r="AA6726">
        <v>0.99110929999999997</v>
      </c>
      <c r="AB6726">
        <v>28</v>
      </c>
      <c r="AC6726">
        <v>12.5796999999999</v>
      </c>
      <c r="AD6726">
        <v>-1.0291522799999999</v>
      </c>
      <c r="AE6726">
        <v>94.533910000000006</v>
      </c>
      <c r="AF6726">
        <v>12.679818514834</v>
      </c>
      <c r="AG6726">
        <v>-1.0291522799999999</v>
      </c>
      <c r="AH6726">
        <v>94.509328933997296</v>
      </c>
      <c r="AI6726">
        <v>90.618353474590194</v>
      </c>
      <c r="AJ6726">
        <v>82.358558330388803</v>
      </c>
      <c r="AK6726">
        <v>95.361681023034905</v>
      </c>
      <c r="AL6726">
        <v>79.788684680036198</v>
      </c>
      <c r="AM6726">
        <v>84.020054591675702</v>
      </c>
      <c r="AN6726">
        <v>0.99999997037794397</v>
      </c>
    </row>
    <row r="6727" spans="1:40" x14ac:dyDescent="0.25">
      <c r="A6727" t="str">
        <f>"20190312164636114"</f>
        <v>20190312164636114</v>
      </c>
      <c r="B6727" t="str">
        <f>"1552380396107522"</f>
        <v>1552380396107522</v>
      </c>
      <c r="C6727" t="s">
        <v>40</v>
      </c>
      <c r="D6727">
        <v>4.8790559999999896</v>
      </c>
      <c r="E6727">
        <v>0.51657089999999894</v>
      </c>
      <c r="F6727" t="s">
        <v>43</v>
      </c>
      <c r="G6727">
        <v>-170.07579999999999</v>
      </c>
      <c r="H6727">
        <v>-0.05</v>
      </c>
      <c r="I6727">
        <v>191.8219</v>
      </c>
      <c r="J6727">
        <v>-187.5822</v>
      </c>
      <c r="K6727">
        <v>1.109135</v>
      </c>
      <c r="L6727">
        <v>63.30341</v>
      </c>
      <c r="M6727">
        <v>-1.1765409999999999E-3</v>
      </c>
      <c r="N6727">
        <v>0</v>
      </c>
      <c r="O6727">
        <v>0.99991580000000002</v>
      </c>
      <c r="P6727">
        <v>0.1038563</v>
      </c>
      <c r="Q6727">
        <v>0.16642799999999999</v>
      </c>
      <c r="R6727">
        <v>0.98056900000000002</v>
      </c>
      <c r="S6727">
        <v>0.41044619999999998</v>
      </c>
      <c r="T6727">
        <v>-2.717721E-2</v>
      </c>
      <c r="U6727">
        <v>3.019806</v>
      </c>
      <c r="V6727">
        <v>0.10498250000000001</v>
      </c>
      <c r="W6727">
        <v>0.179096799999999</v>
      </c>
      <c r="X6727">
        <v>0.97821420000000003</v>
      </c>
      <c r="Y6727">
        <v>0.13584019999999999</v>
      </c>
      <c r="Z6727">
        <v>-8.9165870000000001E-3</v>
      </c>
      <c r="AA6727">
        <v>0.99069059999999998</v>
      </c>
      <c r="AB6727">
        <v>28</v>
      </c>
      <c r="AC6727">
        <v>17.506399999999999</v>
      </c>
      <c r="AD6727">
        <v>-1.159135</v>
      </c>
      <c r="AE6727">
        <v>128.51849000000001</v>
      </c>
      <c r="AF6727">
        <v>17.656197683555298</v>
      </c>
      <c r="AG6727">
        <v>-1.159135</v>
      </c>
      <c r="AH6727">
        <v>128.48754075856399</v>
      </c>
      <c r="AI6727">
        <v>90.512061237748298</v>
      </c>
      <c r="AJ6727">
        <v>82.175667311998694</v>
      </c>
      <c r="AK6727">
        <v>129.70016592422999</v>
      </c>
      <c r="AL6727">
        <v>79.682844664526897</v>
      </c>
      <c r="AM6727">
        <v>83.874430307493199</v>
      </c>
      <c r="AN6727">
        <v>1.0000000050790601</v>
      </c>
    </row>
    <row r="6728" spans="1:40" x14ac:dyDescent="0.25">
      <c r="A6728" t="str">
        <f>"20190312164636136"</f>
        <v>20190312164636136</v>
      </c>
      <c r="B6728" t="str">
        <f>"1552380396128018"</f>
        <v>1552380396128018</v>
      </c>
      <c r="C6728" t="s">
        <v>40</v>
      </c>
      <c r="D6728">
        <v>5.0245329999999999</v>
      </c>
      <c r="E6728">
        <v>0.5167178</v>
      </c>
      <c r="F6728" t="s">
        <v>60</v>
      </c>
      <c r="G6728">
        <v>-168.41220000000001</v>
      </c>
      <c r="H6728">
        <v>-8.3961490000000003E-3</v>
      </c>
      <c r="I6728">
        <v>201.35470000000001</v>
      </c>
      <c r="J6728">
        <v>-187.58269999999999</v>
      </c>
      <c r="K6728">
        <v>1.1091390000000001</v>
      </c>
      <c r="L6728">
        <v>63.584809999999997</v>
      </c>
      <c r="M6728">
        <v>-1.2801939999999999E-3</v>
      </c>
      <c r="N6728">
        <v>0</v>
      </c>
      <c r="O6728">
        <v>0.99991620000000003</v>
      </c>
      <c r="P6728">
        <v>0.10575130000000001</v>
      </c>
      <c r="Q6728">
        <v>0.1676077</v>
      </c>
      <c r="R6728">
        <v>0.98016550000000002</v>
      </c>
      <c r="S6728">
        <v>0.41925050000000003</v>
      </c>
      <c r="T6728">
        <v>-2.4439809999999999E-2</v>
      </c>
      <c r="U6728">
        <v>3.019196</v>
      </c>
      <c r="V6728">
        <v>0.10697859999999999</v>
      </c>
      <c r="W6728">
        <v>0.1802348</v>
      </c>
      <c r="X6728">
        <v>0.97778889999999996</v>
      </c>
      <c r="Y6728">
        <v>0.1388055</v>
      </c>
      <c r="Z6728">
        <v>-8.0168959999999904E-3</v>
      </c>
      <c r="AA6728">
        <v>0.99028720000000003</v>
      </c>
      <c r="AB6728">
        <v>27</v>
      </c>
      <c r="AC6728">
        <v>19.170499999999901</v>
      </c>
      <c r="AD6728">
        <v>-1.1175351489999901</v>
      </c>
      <c r="AE6728">
        <v>137.76989</v>
      </c>
      <c r="AF6728">
        <v>19.3456223833062</v>
      </c>
      <c r="AG6728">
        <v>-1.1175351489999901</v>
      </c>
      <c r="AH6728">
        <v>137.73634243606699</v>
      </c>
      <c r="AI6728">
        <v>90.4603455007218</v>
      </c>
      <c r="AJ6728">
        <v>82.004878079616205</v>
      </c>
      <c r="AK6728">
        <v>139.092782048071</v>
      </c>
      <c r="AL6728">
        <v>79.616564183079603</v>
      </c>
      <c r="AM6728">
        <v>83.756178336832704</v>
      </c>
      <c r="AN6728">
        <v>1.0000000684760999</v>
      </c>
    </row>
    <row r="6729" spans="1:40" x14ac:dyDescent="0.25">
      <c r="A6729" t="str">
        <f>"20190312164636159"</f>
        <v>20190312164636159</v>
      </c>
      <c r="B6729" t="str">
        <f>"1552380396147540"</f>
        <v>1552380396147540</v>
      </c>
      <c r="C6729" t="s">
        <v>40</v>
      </c>
      <c r="D6729">
        <v>4.7710800000000004</v>
      </c>
      <c r="E6729">
        <v>0.51641579999999998</v>
      </c>
      <c r="F6729" t="s">
        <v>60</v>
      </c>
      <c r="G6729">
        <v>-168.41290000000001</v>
      </c>
      <c r="H6729">
        <v>0.18704509999999999</v>
      </c>
      <c r="I6729">
        <v>199.39150000000001</v>
      </c>
      <c r="J6729">
        <v>-187.58320000000001</v>
      </c>
      <c r="K6729">
        <v>1.109137</v>
      </c>
      <c r="L6729">
        <v>63.859529999999999</v>
      </c>
      <c r="M6729">
        <v>-1.379988E-3</v>
      </c>
      <c r="N6729">
        <v>0</v>
      </c>
      <c r="O6729">
        <v>0.99991660000000004</v>
      </c>
      <c r="P6729">
        <v>0.1070458</v>
      </c>
      <c r="Q6729">
        <v>0.16858299999999901</v>
      </c>
      <c r="R6729">
        <v>0.9798576</v>
      </c>
      <c r="S6729">
        <v>0.42604059999999999</v>
      </c>
      <c r="T6729">
        <v>-2.0492429999999999E-2</v>
      </c>
      <c r="U6729">
        <v>3.0182500000000001</v>
      </c>
      <c r="V6729">
        <v>0.10836999999999999</v>
      </c>
      <c r="W6729">
        <v>0.18117040000000001</v>
      </c>
      <c r="X6729">
        <v>0.97746259999999996</v>
      </c>
      <c r="Y6729">
        <v>0.1411326</v>
      </c>
      <c r="Z6729">
        <v>-6.7220480000000004E-3</v>
      </c>
      <c r="AA6729">
        <v>0.98996790000000001</v>
      </c>
      <c r="AB6729">
        <v>27</v>
      </c>
      <c r="AC6729">
        <v>19.170300000000001</v>
      </c>
      <c r="AD6729">
        <v>-0.92209189999999996</v>
      </c>
      <c r="AE6729">
        <v>135.53197</v>
      </c>
      <c r="AF6729">
        <v>19.356451266695199</v>
      </c>
      <c r="AG6729">
        <v>-0.92209189999999996</v>
      </c>
      <c r="AH6729">
        <v>135.49923504334799</v>
      </c>
      <c r="AI6729">
        <v>90.385981709534505</v>
      </c>
      <c r="AJ6729">
        <v>81.870138951257402</v>
      </c>
      <c r="AK6729">
        <v>136.87792063165099</v>
      </c>
      <c r="AL6729">
        <v>79.562059786859805</v>
      </c>
      <c r="AM6729">
        <v>83.673528822142003</v>
      </c>
      <c r="AN6729">
        <v>0.99999995256745799</v>
      </c>
    </row>
    <row r="6730" spans="1:40" x14ac:dyDescent="0.25">
      <c r="A6730" t="str">
        <f>"20190312164636180"</f>
        <v>20190312164636180</v>
      </c>
      <c r="B6730" t="str">
        <f>"1552380396177794"</f>
        <v>1552380396177794</v>
      </c>
      <c r="C6730" t="s">
        <v>40</v>
      </c>
      <c r="D6730">
        <v>4.981033</v>
      </c>
      <c r="E6730">
        <v>0.46598679999999898</v>
      </c>
      <c r="F6730" t="s">
        <v>60</v>
      </c>
      <c r="G6730">
        <v>-168.41299999999899</v>
      </c>
      <c r="H6730">
        <v>0.33849810000000002</v>
      </c>
      <c r="I6730">
        <v>199.1498</v>
      </c>
      <c r="J6730">
        <v>-187.58359999999999</v>
      </c>
      <c r="K6730">
        <v>1.109127</v>
      </c>
      <c r="L6730">
        <v>64.122339999999994</v>
      </c>
      <c r="M6730">
        <v>-1.48042799999999E-3</v>
      </c>
      <c r="N6730">
        <v>0</v>
      </c>
      <c r="O6730">
        <v>0.9999169</v>
      </c>
      <c r="P6730">
        <v>0.1076315</v>
      </c>
      <c r="Q6730">
        <v>0.168879799999999</v>
      </c>
      <c r="R6730">
        <v>0.97974229999999995</v>
      </c>
      <c r="S6730">
        <v>0.4276276</v>
      </c>
      <c r="T6730">
        <v>-1.7189860000000001E-2</v>
      </c>
      <c r="U6730">
        <v>3.0179140000000002</v>
      </c>
      <c r="V6730">
        <v>0.1090546</v>
      </c>
      <c r="W6730">
        <v>0.18143020000000001</v>
      </c>
      <c r="X6730">
        <v>0.97733829999999999</v>
      </c>
      <c r="Y6730">
        <v>0.14175850000000001</v>
      </c>
      <c r="Z6730">
        <v>-5.6389169999999898E-3</v>
      </c>
      <c r="AA6730">
        <v>0.98988520000000002</v>
      </c>
      <c r="AB6730">
        <v>27</v>
      </c>
      <c r="AC6730">
        <v>19.1706</v>
      </c>
      <c r="AD6730">
        <v>-0.77062889999999995</v>
      </c>
      <c r="AE6730">
        <v>135.02745999999999</v>
      </c>
      <c r="AF6730">
        <v>19.369875362890401</v>
      </c>
      <c r="AG6730">
        <v>-0.77062889999999995</v>
      </c>
      <c r="AH6730">
        <v>134.99461880355199</v>
      </c>
      <c r="AI6730">
        <v>90.323758776253101</v>
      </c>
      <c r="AJ6730">
        <v>81.834574925174493</v>
      </c>
      <c r="AK6730">
        <v>136.37937177737601</v>
      </c>
      <c r="AL6730">
        <v>79.546923874737601</v>
      </c>
      <c r="AM6730">
        <v>83.633087037781607</v>
      </c>
      <c r="AN6730">
        <v>0.99999998795004497</v>
      </c>
    </row>
    <row r="6731" spans="1:40" x14ac:dyDescent="0.25">
      <c r="A6731" t="str">
        <f>"20190312164636203"</f>
        <v>20190312164636203</v>
      </c>
      <c r="B6731" t="str">
        <f>"1552380396198290"</f>
        <v>1552380396198290</v>
      </c>
      <c r="C6731" t="s">
        <v>40</v>
      </c>
      <c r="D6731">
        <v>4.8616080000000004</v>
      </c>
      <c r="E6731">
        <v>0.46569909999999998</v>
      </c>
      <c r="F6731" t="s">
        <v>42</v>
      </c>
      <c r="G6731">
        <v>-185.68279999999999</v>
      </c>
      <c r="H6731" s="1">
        <v>-3.8811680000000002E-6</v>
      </c>
      <c r="I6731">
        <v>266.89479999999998</v>
      </c>
      <c r="J6731">
        <v>-187.58420000000001</v>
      </c>
      <c r="K6731">
        <v>1.109118</v>
      </c>
      <c r="L6731">
        <v>64.396029999999996</v>
      </c>
      <c r="M6731">
        <v>-1.5887430000000001E-3</v>
      </c>
      <c r="N6731">
        <v>0</v>
      </c>
      <c r="O6731">
        <v>0.99991719999999895</v>
      </c>
      <c r="P6731">
        <v>0.1077328</v>
      </c>
      <c r="Q6731">
        <v>0.16919809999999999</v>
      </c>
      <c r="R6731">
        <v>0.97967630000000006</v>
      </c>
      <c r="S6731">
        <v>2.870178E-2</v>
      </c>
      <c r="T6731">
        <v>-1.6747359999999999E-2</v>
      </c>
      <c r="U6731">
        <v>3.0617679999999998</v>
      </c>
      <c r="V6731">
        <v>0.1092622</v>
      </c>
      <c r="W6731">
        <v>0.1817097</v>
      </c>
      <c r="X6731">
        <v>0.9772632</v>
      </c>
      <c r="Y6731">
        <v>1.096249E-2</v>
      </c>
      <c r="Z6731">
        <v>-5.4694560000000001E-3</v>
      </c>
      <c r="AA6731">
        <v>0.99992499999999995</v>
      </c>
      <c r="AB6731">
        <v>27</v>
      </c>
      <c r="AC6731">
        <v>1.90140000000002</v>
      </c>
      <c r="AD6731">
        <v>-1.1091218811679999</v>
      </c>
      <c r="AE6731">
        <v>202.49877000000001</v>
      </c>
      <c r="AF6731">
        <v>2.22307565241913</v>
      </c>
      <c r="AG6731">
        <v>-1.1091218811679999</v>
      </c>
      <c r="AH6731">
        <v>202.48941926954899</v>
      </c>
      <c r="AI6731">
        <v>90.313811645733196</v>
      </c>
      <c r="AJ6731">
        <v>89.370990663449007</v>
      </c>
      <c r="AK6731">
        <v>202.50465953360899</v>
      </c>
      <c r="AL6731">
        <v>79.530639174406801</v>
      </c>
      <c r="AM6731">
        <v>83.620580419180399</v>
      </c>
      <c r="AN6731">
        <v>1.00000000274858</v>
      </c>
    </row>
    <row r="6732" spans="1:40" x14ac:dyDescent="0.25">
      <c r="A6732" t="str">
        <f>"20190312164636215"</f>
        <v>20190312164636215</v>
      </c>
      <c r="B6732" t="str">
        <f>"1552380396208051"</f>
        <v>1552380396208051</v>
      </c>
      <c r="C6732" t="s">
        <v>40</v>
      </c>
      <c r="D6732">
        <v>4.8482349999999999</v>
      </c>
      <c r="E6732">
        <v>0.46569909999999998</v>
      </c>
      <c r="F6732" t="s">
        <v>46</v>
      </c>
      <c r="G6732">
        <v>-186.26339999999999</v>
      </c>
      <c r="H6732" s="1">
        <v>3.0121829999999999E-6</v>
      </c>
      <c r="I6732">
        <v>218.10040000000001</v>
      </c>
      <c r="J6732">
        <v>-187.58449999999999</v>
      </c>
      <c r="K6732">
        <v>1.1091219999999999</v>
      </c>
      <c r="L6732">
        <v>64.558530000000005</v>
      </c>
      <c r="M6732">
        <v>-1.6535429999999999E-3</v>
      </c>
      <c r="N6732">
        <v>0</v>
      </c>
      <c r="O6732">
        <v>0.99991739999999996</v>
      </c>
      <c r="P6732">
        <v>0.10781300000000001</v>
      </c>
      <c r="Q6732">
        <v>0.16898529999999901</v>
      </c>
      <c r="R6732">
        <v>0.97970420000000003</v>
      </c>
      <c r="S6732">
        <v>2.632141E-2</v>
      </c>
      <c r="T6732">
        <v>-2.2103310000000001E-2</v>
      </c>
      <c r="U6732">
        <v>3.0631409999999999</v>
      </c>
      <c r="V6732">
        <v>0.1094059</v>
      </c>
      <c r="W6732">
        <v>0.18147469999999999</v>
      </c>
      <c r="X6732">
        <v>0.97729080000000002</v>
      </c>
      <c r="Y6732">
        <v>1.024601E-2</v>
      </c>
      <c r="Z6732">
        <v>-7.2153729999999998E-3</v>
      </c>
      <c r="AA6732">
        <v>0.99992150000000002</v>
      </c>
      <c r="AB6732">
        <v>27</v>
      </c>
      <c r="AC6732">
        <v>1.3210999999999999</v>
      </c>
      <c r="AD6732">
        <v>-1.109118987817</v>
      </c>
      <c r="AE6732">
        <v>153.54186999999999</v>
      </c>
      <c r="AF6732">
        <v>1.5749247304682801</v>
      </c>
      <c r="AG6732">
        <v>-1.109118987817</v>
      </c>
      <c r="AH6732">
        <v>153.53146473306501</v>
      </c>
      <c r="AI6732">
        <v>90.413878605616006</v>
      </c>
      <c r="AJ6732">
        <v>89.412280893862501</v>
      </c>
      <c r="AK6732">
        <v>153.543548206742</v>
      </c>
      <c r="AL6732">
        <v>79.544331434943601</v>
      </c>
      <c r="AM6732">
        <v>83.612438514936997</v>
      </c>
      <c r="AN6732">
        <v>1.0000000127297699</v>
      </c>
    </row>
    <row r="6733" spans="1:40" x14ac:dyDescent="0.25">
      <c r="A6733" t="str">
        <f>"20190312164636238"</f>
        <v>20190312164636238</v>
      </c>
      <c r="B6733" t="str">
        <f>"1552380396227570"</f>
        <v>1552380396227570</v>
      </c>
      <c r="C6733" t="s">
        <v>40</v>
      </c>
      <c r="D6733">
        <v>4.8858699999999997</v>
      </c>
      <c r="E6733">
        <v>0.4658487</v>
      </c>
      <c r="F6733" t="s">
        <v>46</v>
      </c>
      <c r="G6733">
        <v>-186.291</v>
      </c>
      <c r="H6733" s="1">
        <v>3.3861099999999999E-6</v>
      </c>
      <c r="I6733">
        <v>213.8792</v>
      </c>
      <c r="J6733">
        <v>-187.58510000000001</v>
      </c>
      <c r="K6733">
        <v>1.1091169999999999</v>
      </c>
      <c r="L6733">
        <v>64.825680000000006</v>
      </c>
      <c r="M6733">
        <v>-1.761224E-3</v>
      </c>
      <c r="N6733">
        <v>0</v>
      </c>
      <c r="O6733">
        <v>0.99991770000000002</v>
      </c>
      <c r="P6733">
        <v>0.10694140000000001</v>
      </c>
      <c r="Q6733">
        <v>0.168733299999999</v>
      </c>
      <c r="R6733">
        <v>0.97984309999999997</v>
      </c>
      <c r="S6733">
        <v>2.6535030000000001E-2</v>
      </c>
      <c r="T6733">
        <v>-2.2752519999999998E-2</v>
      </c>
      <c r="U6733">
        <v>3.0631710000000001</v>
      </c>
      <c r="V6733">
        <v>0.10863920000000001</v>
      </c>
      <c r="W6733">
        <v>0.18118680000000001</v>
      </c>
      <c r="X6733">
        <v>0.97742969999999896</v>
      </c>
      <c r="Y6733">
        <v>1.042333E-2</v>
      </c>
      <c r="Z6733">
        <v>-7.4272050000000001E-3</v>
      </c>
      <c r="AA6733">
        <v>0.99991810000000003</v>
      </c>
      <c r="AB6733">
        <v>27</v>
      </c>
      <c r="AC6733">
        <v>1.29410000000001</v>
      </c>
      <c r="AD6733">
        <v>-1.10911361389</v>
      </c>
      <c r="AE6733">
        <v>149.05351999999999</v>
      </c>
      <c r="AF6733">
        <v>1.5565496506543399</v>
      </c>
      <c r="AG6733">
        <v>-1.10911361389</v>
      </c>
      <c r="AH6733">
        <v>149.04275765924299</v>
      </c>
      <c r="AI6733">
        <v>90.426340011462401</v>
      </c>
      <c r="AJ6733">
        <v>89.401644972334395</v>
      </c>
      <c r="AK6733">
        <v>149.05501196033401</v>
      </c>
      <c r="AL6733">
        <v>79.561104563868099</v>
      </c>
      <c r="AM6733">
        <v>83.657729510297898</v>
      </c>
      <c r="AN6733">
        <v>0.99999997535648399</v>
      </c>
    </row>
    <row r="6734" spans="1:40" x14ac:dyDescent="0.25">
      <c r="A6734" t="str">
        <f>"20190312164636261"</f>
        <v>20190312164636261</v>
      </c>
      <c r="B6734" t="str">
        <f>"1552380396257826"</f>
        <v>1552380396257826</v>
      </c>
      <c r="C6734" t="s">
        <v>40</v>
      </c>
      <c r="D6734">
        <v>5.0606859999999996</v>
      </c>
      <c r="E6734">
        <v>0.46586680000000003</v>
      </c>
      <c r="F6734" t="s">
        <v>42</v>
      </c>
      <c r="G6734">
        <v>-186.76050000000001</v>
      </c>
      <c r="H6734" s="1">
        <v>-3.4973649999999998E-6</v>
      </c>
      <c r="I6734">
        <v>165.8142</v>
      </c>
      <c r="J6734">
        <v>-187.5857</v>
      </c>
      <c r="K6734">
        <v>1.1091150000000001</v>
      </c>
      <c r="L6734">
        <v>65.109069999999903</v>
      </c>
      <c r="M6734">
        <v>-1.8782569999999999E-3</v>
      </c>
      <c r="N6734">
        <v>0</v>
      </c>
      <c r="O6734">
        <v>0.99991799999999997</v>
      </c>
      <c r="P6734">
        <v>0.105797</v>
      </c>
      <c r="Q6734">
        <v>0.16842670000000001</v>
      </c>
      <c r="R6734">
        <v>0.98002009999999995</v>
      </c>
      <c r="S6734">
        <v>2.502441E-2</v>
      </c>
      <c r="T6734">
        <v>-3.3659460000000002E-2</v>
      </c>
      <c r="U6734">
        <v>3.0647890000000002</v>
      </c>
      <c r="V6734">
        <v>0.1076083</v>
      </c>
      <c r="W6734">
        <v>0.18084169999999999</v>
      </c>
      <c r="X6734">
        <v>0.97760769999999997</v>
      </c>
      <c r="Y6734">
        <v>1.00427E-2</v>
      </c>
      <c r="Z6734">
        <v>-1.098149E-2</v>
      </c>
      <c r="AA6734">
        <v>0.99988929999999998</v>
      </c>
      <c r="AB6734">
        <v>27</v>
      </c>
      <c r="AC6734">
        <v>0.82519999999999505</v>
      </c>
      <c r="AD6734">
        <v>-1.1091184973649999</v>
      </c>
      <c r="AE6734">
        <v>100.70513</v>
      </c>
      <c r="AF6734">
        <v>1.0142408205275699</v>
      </c>
      <c r="AG6734">
        <v>-1.1091184973649999</v>
      </c>
      <c r="AH6734">
        <v>100.69118947937299</v>
      </c>
      <c r="AI6734">
        <v>90.631058348845897</v>
      </c>
      <c r="AJ6734">
        <v>89.422891382174399</v>
      </c>
      <c r="AK6734">
        <v>100.70240546806301</v>
      </c>
      <c r="AL6734">
        <v>79.581210151829396</v>
      </c>
      <c r="AM6734">
        <v>83.718563880794207</v>
      </c>
      <c r="AN6734">
        <v>1.0000000408935299</v>
      </c>
    </row>
    <row r="6735" spans="1:40" x14ac:dyDescent="0.25">
      <c r="A6735" t="str">
        <f>"20190312164636282"</f>
        <v>20190312164636282</v>
      </c>
      <c r="B6735" t="str">
        <f>"1552380396278323"</f>
        <v>1552380396278323</v>
      </c>
      <c r="C6735" t="s">
        <v>40</v>
      </c>
      <c r="D6735">
        <v>5.0624149999999997</v>
      </c>
      <c r="E6735">
        <v>0.46593590000000001</v>
      </c>
      <c r="F6735" t="s">
        <v>71</v>
      </c>
      <c r="G6735">
        <v>-187.0299</v>
      </c>
      <c r="H6735" s="1">
        <v>-1.0030050000000001E-5</v>
      </c>
      <c r="I6735">
        <v>146.14789999999999</v>
      </c>
      <c r="J6735">
        <v>-187.58629999999999</v>
      </c>
      <c r="K6735">
        <v>1.109119</v>
      </c>
      <c r="L6735">
        <v>65.364719999999906</v>
      </c>
      <c r="M6735">
        <v>-1.9840220000000002E-3</v>
      </c>
      <c r="N6735">
        <v>0</v>
      </c>
      <c r="O6735">
        <v>0.99991830000000004</v>
      </c>
      <c r="P6735">
        <v>0.1045836</v>
      </c>
      <c r="Q6735">
        <v>0.16826529999999901</v>
      </c>
      <c r="R6735">
        <v>0.98017810000000005</v>
      </c>
      <c r="S6735">
        <v>2.1026610000000001E-2</v>
      </c>
      <c r="T6735">
        <v>-4.1963699999999902E-2</v>
      </c>
      <c r="U6735">
        <v>3.0661010000000002</v>
      </c>
      <c r="V6735">
        <v>0.106498</v>
      </c>
      <c r="W6735">
        <v>0.18064749999999999</v>
      </c>
      <c r="X6735">
        <v>0.97776510000000005</v>
      </c>
      <c r="Y6735">
        <v>8.8410869999999992E-3</v>
      </c>
      <c r="Z6735">
        <v>-1.368459E-2</v>
      </c>
      <c r="AA6735">
        <v>0.99986730000000001</v>
      </c>
      <c r="AB6735">
        <v>27</v>
      </c>
      <c r="AC6735">
        <v>0.55639999999999601</v>
      </c>
      <c r="AD6735">
        <v>-1.1091290300499901</v>
      </c>
      <c r="AE6735">
        <v>80.783180000000002</v>
      </c>
      <c r="AF6735">
        <v>0.71655222406711205</v>
      </c>
      <c r="AG6735">
        <v>-1.1091290300499901</v>
      </c>
      <c r="AH6735">
        <v>80.766692799948203</v>
      </c>
      <c r="AI6735">
        <v>90.7867341794217</v>
      </c>
      <c r="AJ6735">
        <v>89.491692185142995</v>
      </c>
      <c r="AK6735">
        <v>80.777486220705796</v>
      </c>
      <c r="AL6735">
        <v>79.592522541466494</v>
      </c>
      <c r="AM6735">
        <v>83.783858433375798</v>
      </c>
      <c r="AN6735">
        <v>0.99999996701912897</v>
      </c>
    </row>
    <row r="6736" spans="1:40" x14ac:dyDescent="0.25">
      <c r="A6736" t="str">
        <f>"20190312164636304"</f>
        <v>20190312164636304</v>
      </c>
      <c r="B6736" t="str">
        <f>"1552380396297842"</f>
        <v>1552380396297842</v>
      </c>
      <c r="C6736" t="s">
        <v>40</v>
      </c>
      <c r="D6736">
        <v>4.9230450000000001</v>
      </c>
      <c r="E6736">
        <v>0.46609339999999999</v>
      </c>
      <c r="F6736" t="s">
        <v>71</v>
      </c>
      <c r="G6736">
        <v>-187.19489999999999</v>
      </c>
      <c r="H6736" s="1">
        <v>-7.0710730000000003E-6</v>
      </c>
      <c r="I6736">
        <v>136.05350000000001</v>
      </c>
      <c r="J6736">
        <v>-187.58699999999999</v>
      </c>
      <c r="K6736">
        <v>1.1091169999999999</v>
      </c>
      <c r="L6736">
        <v>65.636840000000007</v>
      </c>
      <c r="M6736">
        <v>-2.097626E-3</v>
      </c>
      <c r="N6736">
        <v>0</v>
      </c>
      <c r="O6736">
        <v>0.99991850000000004</v>
      </c>
      <c r="P6736">
        <v>0.1035457</v>
      </c>
      <c r="Q6736">
        <v>0.1676474</v>
      </c>
      <c r="R6736">
        <v>0.98039410000000005</v>
      </c>
      <c r="S6736">
        <v>1.698303E-2</v>
      </c>
      <c r="T6736">
        <v>-4.8123720000000002E-2</v>
      </c>
      <c r="U6736">
        <v>3.0671080000000002</v>
      </c>
      <c r="V6736">
        <v>0.1055715</v>
      </c>
      <c r="W6736">
        <v>0.17999419999999999</v>
      </c>
      <c r="X6736">
        <v>0.97798609999999997</v>
      </c>
      <c r="Y6736">
        <v>7.6341309999999997E-3</v>
      </c>
      <c r="Z6736">
        <v>-1.5687929999999999E-2</v>
      </c>
      <c r="AA6736">
        <v>0.99984779999999995</v>
      </c>
      <c r="AB6736">
        <v>27</v>
      </c>
      <c r="AC6736">
        <v>0.39210000000002698</v>
      </c>
      <c r="AD6736">
        <v>-1.1091240710729999</v>
      </c>
      <c r="AE6736">
        <v>70.416659999999993</v>
      </c>
      <c r="AF6736">
        <v>0.53968478191939595</v>
      </c>
      <c r="AG6736">
        <v>-1.1091240710729999</v>
      </c>
      <c r="AH6736">
        <v>70.398217954215696</v>
      </c>
      <c r="AI6736">
        <v>90.902593930109205</v>
      </c>
      <c r="AJ6736">
        <v>89.560769357035099</v>
      </c>
      <c r="AK6736">
        <v>70.409022908986003</v>
      </c>
      <c r="AL6736">
        <v>79.630578370863802</v>
      </c>
      <c r="AM6736">
        <v>83.838900914724803</v>
      </c>
      <c r="AN6736">
        <v>1.00000003271954</v>
      </c>
    </row>
    <row r="6737" spans="1:40" x14ac:dyDescent="0.25">
      <c r="A6737" t="str">
        <f>"20190312164636326"</f>
        <v>20190312164636326</v>
      </c>
      <c r="B6737" t="str">
        <f>"1552380396318338"</f>
        <v>1552380396318338</v>
      </c>
      <c r="C6737" t="s">
        <v>40</v>
      </c>
      <c r="D6737">
        <v>4.8168240000000004</v>
      </c>
      <c r="E6737">
        <v>0.46615770000000001</v>
      </c>
      <c r="F6737" t="s">
        <v>71</v>
      </c>
      <c r="G6737">
        <v>-187.2851</v>
      </c>
      <c r="H6737" s="1">
        <v>-4.0869370000000002E-6</v>
      </c>
      <c r="I6737">
        <v>127.43729999999999</v>
      </c>
      <c r="J6737">
        <v>-187.58770000000001</v>
      </c>
      <c r="K6737">
        <v>1.109111</v>
      </c>
      <c r="L6737">
        <v>65.909480000000002</v>
      </c>
      <c r="M6737">
        <v>-2.2093299999999998E-3</v>
      </c>
      <c r="N6737">
        <v>0</v>
      </c>
      <c r="O6737">
        <v>0.9999188</v>
      </c>
      <c r="P6737">
        <v>0.1022303</v>
      </c>
      <c r="Q6737">
        <v>0.1672971</v>
      </c>
      <c r="R6737">
        <v>0.98059200000000002</v>
      </c>
      <c r="S6737">
        <v>1.498413E-2</v>
      </c>
      <c r="T6737">
        <v>-5.5057879999999997E-2</v>
      </c>
      <c r="U6737">
        <v>3.067841</v>
      </c>
      <c r="V6737">
        <v>0.10436670000000001</v>
      </c>
      <c r="W6737">
        <v>0.17960200000000001</v>
      </c>
      <c r="X6737">
        <v>0.97818740000000004</v>
      </c>
      <c r="Y6737">
        <v>7.0928809999999997E-3</v>
      </c>
      <c r="Z6737">
        <v>-1.7943500000000001E-2</v>
      </c>
      <c r="AA6737">
        <v>0.99981390000000003</v>
      </c>
      <c r="AB6737">
        <v>27</v>
      </c>
      <c r="AC6737">
        <v>0.30260000000001203</v>
      </c>
      <c r="AD6737">
        <v>-1.1091150869369999</v>
      </c>
      <c r="AE6737">
        <v>61.527819999999899</v>
      </c>
      <c r="AF6737">
        <v>0.43840277348156298</v>
      </c>
      <c r="AG6737">
        <v>-1.1091150869369999</v>
      </c>
      <c r="AH6737">
        <v>61.507015289321998</v>
      </c>
      <c r="AI6737">
        <v>91.033038476188494</v>
      </c>
      <c r="AJ6737">
        <v>89.591620514064104</v>
      </c>
      <c r="AK6737">
        <v>61.518576568941803</v>
      </c>
      <c r="AL6737">
        <v>79.653421055305003</v>
      </c>
      <c r="AM6737">
        <v>83.909924915890599</v>
      </c>
      <c r="AN6737">
        <v>0.99999993799582299</v>
      </c>
    </row>
    <row r="6738" spans="1:40" x14ac:dyDescent="0.25">
      <c r="A6738" t="str">
        <f>"20190312164636349"</f>
        <v>20190312164636349</v>
      </c>
      <c r="B6738" t="str">
        <f>"1552380396337858"</f>
        <v>1552380396337858</v>
      </c>
      <c r="C6738" t="s">
        <v>40</v>
      </c>
      <c r="D6738">
        <v>4.7725900000000001</v>
      </c>
      <c r="E6738">
        <v>0.46621479999999998</v>
      </c>
      <c r="F6738" t="s">
        <v>71</v>
      </c>
      <c r="G6738">
        <v>-187.36199999999999</v>
      </c>
      <c r="H6738" s="1">
        <v>-3.0616929999999999E-6</v>
      </c>
      <c r="I6738">
        <v>124.542</v>
      </c>
      <c r="J6738">
        <v>-187.58840000000001</v>
      </c>
      <c r="K6738">
        <v>1.1090979999999999</v>
      </c>
      <c r="L6738">
        <v>66.189639999999997</v>
      </c>
      <c r="M6738">
        <v>-2.3217540000000001E-3</v>
      </c>
      <c r="N6738">
        <v>0</v>
      </c>
      <c r="O6738">
        <v>0.99991920000000001</v>
      </c>
      <c r="P6738">
        <v>0.1014438</v>
      </c>
      <c r="Q6738">
        <v>0.16726959999999999</v>
      </c>
      <c r="R6738">
        <v>0.98067839999999995</v>
      </c>
      <c r="S6738">
        <v>1.1810299999999999E-2</v>
      </c>
      <c r="T6738">
        <v>-5.8036450000000003E-2</v>
      </c>
      <c r="U6738">
        <v>3.0680540000000001</v>
      </c>
      <c r="V6738">
        <v>0.1036921</v>
      </c>
      <c r="W6738">
        <v>0.17952460000000001</v>
      </c>
      <c r="X6738">
        <v>0.97827339999999996</v>
      </c>
      <c r="Y6738">
        <v>6.1706349999999998E-3</v>
      </c>
      <c r="Z6738">
        <v>-1.8912660000000001E-2</v>
      </c>
      <c r="AA6738">
        <v>0.99980210000000003</v>
      </c>
      <c r="AB6738">
        <v>27</v>
      </c>
      <c r="AC6738">
        <v>0.22640000000001201</v>
      </c>
      <c r="AD6738">
        <v>-1.1091010616929999</v>
      </c>
      <c r="AE6738">
        <v>58.352359999999997</v>
      </c>
      <c r="AF6738">
        <v>0.36175910855908</v>
      </c>
      <c r="AG6738">
        <v>-1.1091010616929999</v>
      </c>
      <c r="AH6738">
        <v>58.330604549115002</v>
      </c>
      <c r="AI6738">
        <v>91.089272643333004</v>
      </c>
      <c r="AJ6738">
        <v>89.644663302547002</v>
      </c>
      <c r="AK6738">
        <v>58.342269426916502</v>
      </c>
      <c r="AL6738">
        <v>79.657929556716496</v>
      </c>
      <c r="AM6738">
        <v>83.949524633135297</v>
      </c>
      <c r="AN6738">
        <v>0.99999998937756496</v>
      </c>
    </row>
    <row r="6739" spans="1:40" x14ac:dyDescent="0.25">
      <c r="A6739" t="str">
        <f>"20190312164636370"</f>
        <v>20190312164636370</v>
      </c>
      <c r="B6739" t="str">
        <f>"1552380396368114"</f>
        <v>1552380396368114</v>
      </c>
      <c r="C6739" t="s">
        <v>40</v>
      </c>
      <c r="D6739">
        <v>4.7337290000000003</v>
      </c>
      <c r="E6739">
        <v>0.46380379999999899</v>
      </c>
      <c r="F6739" t="s">
        <v>71</v>
      </c>
      <c r="G6739">
        <v>-187.4109</v>
      </c>
      <c r="H6739" s="1">
        <v>-2.6741770000000002E-6</v>
      </c>
      <c r="I6739">
        <v>123.8475</v>
      </c>
      <c r="J6739">
        <v>-187.5891</v>
      </c>
      <c r="K6739">
        <v>1.1090869999999999</v>
      </c>
      <c r="L6739">
        <v>66.4465</v>
      </c>
      <c r="M6739">
        <v>-2.4231769999999999E-3</v>
      </c>
      <c r="N6739">
        <v>0</v>
      </c>
      <c r="O6739">
        <v>0.99991960000000002</v>
      </c>
      <c r="P6739">
        <v>0.1004534</v>
      </c>
      <c r="Q6739">
        <v>0.16734489999999999</v>
      </c>
      <c r="R6739">
        <v>0.98076739999999996</v>
      </c>
      <c r="S6739">
        <v>9.4451899999999991E-3</v>
      </c>
      <c r="T6739">
        <v>-5.9019090000000003E-2</v>
      </c>
      <c r="U6739">
        <v>3.0681759999999998</v>
      </c>
      <c r="V6739">
        <v>0.1028024</v>
      </c>
      <c r="W6739">
        <v>0.1795504</v>
      </c>
      <c r="X6739">
        <v>0.97836259999999997</v>
      </c>
      <c r="Y6739">
        <v>5.501199E-3</v>
      </c>
      <c r="Z6739">
        <v>-1.9232050000000001E-2</v>
      </c>
      <c r="AA6739">
        <v>0.99979989999999996</v>
      </c>
      <c r="AB6739">
        <v>27</v>
      </c>
      <c r="AC6739">
        <v>0.17820000000000299</v>
      </c>
      <c r="AD6739">
        <v>-1.109089674177</v>
      </c>
      <c r="AE6739">
        <v>57.401000000000003</v>
      </c>
      <c r="AF6739">
        <v>0.31718462141259901</v>
      </c>
      <c r="AG6739">
        <v>-1.109089674177</v>
      </c>
      <c r="AH6739">
        <v>57.378978444448499</v>
      </c>
      <c r="AI6739">
        <v>91.107326697177001</v>
      </c>
      <c r="AJ6739">
        <v>89.683278519093307</v>
      </c>
      <c r="AK6739">
        <v>57.390572861036297</v>
      </c>
      <c r="AL6739">
        <v>79.656427316632602</v>
      </c>
      <c r="AM6739">
        <v>84.001601744420398</v>
      </c>
      <c r="AN6739">
        <v>1.00000002833233</v>
      </c>
    </row>
    <row r="6740" spans="1:40" x14ac:dyDescent="0.25">
      <c r="A6740" t="str">
        <f>"20190312164636392"</f>
        <v>20190312164636392</v>
      </c>
      <c r="B6740" t="str">
        <f>"1552380396387634"</f>
        <v>1552380396387634</v>
      </c>
      <c r="C6740" t="s">
        <v>40</v>
      </c>
      <c r="D6740">
        <v>4.9081289999999997</v>
      </c>
      <c r="E6740">
        <v>0.46452969999999999</v>
      </c>
      <c r="F6740" t="s">
        <v>42</v>
      </c>
      <c r="G6740">
        <v>-187.73869999999999</v>
      </c>
      <c r="H6740" s="1">
        <v>-3.497493E-6</v>
      </c>
      <c r="I6740">
        <v>96.850520000000003</v>
      </c>
      <c r="J6740">
        <v>-187.59</v>
      </c>
      <c r="K6740">
        <v>1.1090770000000001</v>
      </c>
      <c r="L6740">
        <v>66.725560000000002</v>
      </c>
      <c r="M6740">
        <v>-2.5317989999999999E-3</v>
      </c>
      <c r="N6740">
        <v>0</v>
      </c>
      <c r="O6740">
        <v>0.99992000000000003</v>
      </c>
      <c r="P6740">
        <v>9.9755730000000001E-2</v>
      </c>
      <c r="Q6740">
        <v>0.167526799999999</v>
      </c>
      <c r="R6740">
        <v>0.9808076</v>
      </c>
      <c r="S6740">
        <v>-1.5151980000000001E-2</v>
      </c>
      <c r="T6740">
        <v>-0.11233750000000001</v>
      </c>
      <c r="U6740">
        <v>3.0795590000000002</v>
      </c>
      <c r="V6740">
        <v>0.10221180000000001</v>
      </c>
      <c r="W6740">
        <v>0.1796799</v>
      </c>
      <c r="X6740">
        <v>0.97840070000000001</v>
      </c>
      <c r="Y6740">
        <v>-2.3848699999999999E-3</v>
      </c>
      <c r="Z6740">
        <v>-3.6453739999999998E-2</v>
      </c>
      <c r="AA6740">
        <v>0.99933249999999996</v>
      </c>
      <c r="AB6740">
        <v>27</v>
      </c>
      <c r="AC6740">
        <v>-0.14869999999999001</v>
      </c>
      <c r="AD6740">
        <v>-1.109080497493</v>
      </c>
      <c r="AE6740">
        <v>30.124959999999898</v>
      </c>
      <c r="AF6740">
        <v>-7.2325293527025103E-2</v>
      </c>
      <c r="AG6740">
        <v>-1.109080497493</v>
      </c>
      <c r="AH6740">
        <v>30.084463917976802</v>
      </c>
      <c r="AI6740">
        <v>92.111278573903903</v>
      </c>
      <c r="AJ6740">
        <v>90.137743058978103</v>
      </c>
      <c r="AK6740">
        <v>30.104987289983299</v>
      </c>
      <c r="AL6740">
        <v>79.648884806072203</v>
      </c>
      <c r="AM6740">
        <v>84.036044024212302</v>
      </c>
      <c r="AN6740">
        <v>1.0000000241418601</v>
      </c>
    </row>
    <row r="6741" spans="1:40" x14ac:dyDescent="0.25">
      <c r="A6741" t="str">
        <f>"20190312164636415"</f>
        <v>20190312164636415</v>
      </c>
      <c r="B6741" t="str">
        <f>"1552380396408130"</f>
        <v>1552380396408130</v>
      </c>
      <c r="C6741" t="s">
        <v>40</v>
      </c>
      <c r="D6741">
        <v>4.8810750000000001</v>
      </c>
      <c r="E6741">
        <v>0.46548640000000002</v>
      </c>
      <c r="F6741" t="s">
        <v>42</v>
      </c>
      <c r="G6741">
        <v>-187.71080000000001</v>
      </c>
      <c r="H6741" s="1">
        <v>-4.6261849999999997E-6</v>
      </c>
      <c r="I6741">
        <v>99.46996</v>
      </c>
      <c r="J6741">
        <v>-187.5908</v>
      </c>
      <c r="K6741">
        <v>1.109062</v>
      </c>
      <c r="L6741">
        <v>67.00864</v>
      </c>
      <c r="M6741">
        <v>-2.6397619999999999E-3</v>
      </c>
      <c r="N6741">
        <v>0</v>
      </c>
      <c r="O6741">
        <v>0.99992040000000004</v>
      </c>
      <c r="P6741">
        <v>9.9052500000000002E-2</v>
      </c>
      <c r="Q6741">
        <v>0.1672112</v>
      </c>
      <c r="R6741">
        <v>0.98093269999999999</v>
      </c>
      <c r="S6741">
        <v>-1.135254E-2</v>
      </c>
      <c r="T6741">
        <v>-0.1042433</v>
      </c>
      <c r="U6741">
        <v>3.0776669999999999</v>
      </c>
      <c r="V6741">
        <v>0.1016147</v>
      </c>
      <c r="W6741">
        <v>0.17930929999999901</v>
      </c>
      <c r="X6741">
        <v>0.97853080000000003</v>
      </c>
      <c r="Y6741">
        <v>-1.046586E-3</v>
      </c>
      <c r="Z6741">
        <v>-3.385117E-2</v>
      </c>
      <c r="AA6741">
        <v>0.99942640000000005</v>
      </c>
      <c r="AB6741">
        <v>27</v>
      </c>
      <c r="AC6741">
        <v>-0.12000000000000401</v>
      </c>
      <c r="AD6741">
        <v>-1.109066626185</v>
      </c>
      <c r="AE6741">
        <v>32.461320000000001</v>
      </c>
      <c r="AF6741">
        <v>-3.4262905395412803E-2</v>
      </c>
      <c r="AG6741">
        <v>-1.109066626185</v>
      </c>
      <c r="AH6741">
        <v>32.423675999524903</v>
      </c>
      <c r="AI6741">
        <v>91.9590633726731</v>
      </c>
      <c r="AJ6741">
        <v>90.060545853663299</v>
      </c>
      <c r="AK6741">
        <v>32.442656612092897</v>
      </c>
      <c r="AL6741">
        <v>79.670468394033506</v>
      </c>
      <c r="AM6741">
        <v>84.071417993009504</v>
      </c>
      <c r="AN6741">
        <v>0.99999994943560799</v>
      </c>
    </row>
    <row r="6742" spans="1:40" x14ac:dyDescent="0.25">
      <c r="A6742" t="str">
        <f>"20190312164636451"</f>
        <v>20190312164636451</v>
      </c>
      <c r="B6742" t="str">
        <f>"1552380396448146"</f>
        <v>1552380396448146</v>
      </c>
      <c r="C6742" t="s">
        <v>40</v>
      </c>
      <c r="D6742">
        <v>4.9841240000000004</v>
      </c>
      <c r="E6742">
        <v>0.46593869999999998</v>
      </c>
      <c r="F6742" t="s">
        <v>42</v>
      </c>
      <c r="G6742">
        <v>-187.6514</v>
      </c>
      <c r="H6742" s="1">
        <v>-3.9156119999999997E-6</v>
      </c>
      <c r="I6742">
        <v>97.78904</v>
      </c>
      <c r="J6742">
        <v>-187.59209999999999</v>
      </c>
      <c r="K6742">
        <v>1.1090530000000001</v>
      </c>
      <c r="L6742">
        <v>67.434809999999999</v>
      </c>
      <c r="M6742">
        <v>-2.8002830000000002E-3</v>
      </c>
      <c r="N6742">
        <v>0</v>
      </c>
      <c r="O6742">
        <v>0.99992119999999995</v>
      </c>
      <c r="P6742">
        <v>9.9190819999999999E-2</v>
      </c>
      <c r="Q6742">
        <v>0.16696329999999901</v>
      </c>
      <c r="R6742">
        <v>0.98096099999999997</v>
      </c>
      <c r="S6742">
        <v>-6.0577390000000004E-3</v>
      </c>
      <c r="T6742">
        <v>-0.11089980000000001</v>
      </c>
      <c r="U6742">
        <v>3.0778500000000002</v>
      </c>
      <c r="V6742">
        <v>0.10191020000000001</v>
      </c>
      <c r="W6742">
        <v>0.178967299999999</v>
      </c>
      <c r="X6742">
        <v>0.97856270000000001</v>
      </c>
      <c r="Y6742">
        <v>8.3360319999999999E-4</v>
      </c>
      <c r="Z6742">
        <v>-3.6007959999999999E-2</v>
      </c>
      <c r="AA6742">
        <v>0.99935110000000005</v>
      </c>
      <c r="AB6742">
        <v>27</v>
      </c>
      <c r="AC6742">
        <v>-5.9300000000007402E-2</v>
      </c>
      <c r="AD6742">
        <v>-1.109056915612</v>
      </c>
      <c r="AE6742">
        <v>30.354229999999902</v>
      </c>
      <c r="AF6742">
        <v>2.56727599478025E-2</v>
      </c>
      <c r="AG6742">
        <v>-1.109056915612</v>
      </c>
      <c r="AH6742">
        <v>30.3138093791984</v>
      </c>
      <c r="AI6742">
        <v>92.095280333163103</v>
      </c>
      <c r="AJ6742">
        <v>89.951476225788994</v>
      </c>
      <c r="AK6742">
        <v>30.334101361521299</v>
      </c>
      <c r="AL6742">
        <v>79.690385957050196</v>
      </c>
      <c r="AM6742">
        <v>84.054493179520094</v>
      </c>
      <c r="AN6742">
        <v>0.99999997058230905</v>
      </c>
    </row>
    <row r="6743" spans="1:40" x14ac:dyDescent="0.25">
      <c r="A6743" t="str">
        <f>"20190312164636472"</f>
        <v>20190312164636472</v>
      </c>
      <c r="B6743" t="str">
        <f>"1552380396467666"</f>
        <v>1552380396467666</v>
      </c>
      <c r="C6743" t="s">
        <v>40</v>
      </c>
      <c r="D6743">
        <v>4.7927339999999896</v>
      </c>
      <c r="E6743">
        <v>0.46657490000000001</v>
      </c>
      <c r="F6743" t="s">
        <v>42</v>
      </c>
      <c r="G6743">
        <v>-187.61240000000001</v>
      </c>
      <c r="H6743" s="1">
        <v>-4.329515E-6</v>
      </c>
      <c r="I6743">
        <v>98.737750000000005</v>
      </c>
      <c r="J6743">
        <v>-187.59299999999999</v>
      </c>
      <c r="K6743">
        <v>1.1090439999999999</v>
      </c>
      <c r="L6743">
        <v>67.695099999999996</v>
      </c>
      <c r="M6743">
        <v>-2.8991360000000001E-3</v>
      </c>
      <c r="N6743">
        <v>0</v>
      </c>
      <c r="O6743">
        <v>0.99992170000000002</v>
      </c>
      <c r="P6743">
        <v>9.9157809999999999E-2</v>
      </c>
      <c r="Q6743">
        <v>0.16725119999999999</v>
      </c>
      <c r="R6743">
        <v>0.98091519999999999</v>
      </c>
      <c r="S6743">
        <v>-1.998901E-3</v>
      </c>
      <c r="T6743">
        <v>-0.1090163</v>
      </c>
      <c r="U6743">
        <v>3.076965</v>
      </c>
      <c r="V6743">
        <v>0.10197390000000001</v>
      </c>
      <c r="W6743">
        <v>0.17918729999999999</v>
      </c>
      <c r="X6743">
        <v>0.97851580000000005</v>
      </c>
      <c r="Y6743">
        <v>2.2501259999999999E-3</v>
      </c>
      <c r="Z6743">
        <v>-3.5407319999999999E-2</v>
      </c>
      <c r="AA6743">
        <v>0.99937050000000005</v>
      </c>
      <c r="AB6743">
        <v>27</v>
      </c>
      <c r="AC6743">
        <v>-1.9400000000018701E-2</v>
      </c>
      <c r="AD6743">
        <v>-1.109048329515</v>
      </c>
      <c r="AE6743">
        <v>31.042649999999998</v>
      </c>
      <c r="AF6743">
        <v>7.0513611870892001E-2</v>
      </c>
      <c r="AG6743">
        <v>-1.109048329515</v>
      </c>
      <c r="AH6743">
        <v>31.003003864912099</v>
      </c>
      <c r="AI6743">
        <v>92.048722141316802</v>
      </c>
      <c r="AJ6743">
        <v>89.869686001731196</v>
      </c>
      <c r="AK6743">
        <v>31.0229142572779</v>
      </c>
      <c r="AL6743">
        <v>79.677573747359602</v>
      </c>
      <c r="AM6743">
        <v>84.050520427509596</v>
      </c>
      <c r="AN6743">
        <v>0.99999996780606903</v>
      </c>
    </row>
    <row r="6744" spans="1:40" x14ac:dyDescent="0.25">
      <c r="A6744" t="str">
        <f>"20190312164636493"</f>
        <v>20190312164636493</v>
      </c>
      <c r="B6744" t="str">
        <f>"1552380396488163"</f>
        <v>1552380396488163</v>
      </c>
      <c r="C6744" t="s">
        <v>40</v>
      </c>
      <c r="D6744">
        <v>4.7723230000000001</v>
      </c>
      <c r="E6744">
        <v>0.46641919999999998</v>
      </c>
      <c r="F6744" t="s">
        <v>42</v>
      </c>
      <c r="G6744">
        <v>-187.56780000000001</v>
      </c>
      <c r="H6744" s="1">
        <v>-3.770846E-6</v>
      </c>
      <c r="I6744">
        <v>97.417019999999994</v>
      </c>
      <c r="J6744">
        <v>-187.59379999999999</v>
      </c>
      <c r="K6744">
        <v>1.1090340000000001</v>
      </c>
      <c r="L6744">
        <v>67.957400000000007</v>
      </c>
      <c r="M6744">
        <v>-2.9998619999999998E-3</v>
      </c>
      <c r="N6744">
        <v>0</v>
      </c>
      <c r="O6744">
        <v>0.99992230000000004</v>
      </c>
      <c r="P6744">
        <v>9.8622979999999999E-2</v>
      </c>
      <c r="Q6744">
        <v>0.16758339999999999</v>
      </c>
      <c r="R6744">
        <v>0.98091249999999997</v>
      </c>
      <c r="S6744">
        <v>2.6092530000000002E-3</v>
      </c>
      <c r="T6744">
        <v>-0.1148405</v>
      </c>
      <c r="U6744">
        <v>3.0776669999999999</v>
      </c>
      <c r="V6744">
        <v>0.10153769999999999</v>
      </c>
      <c r="W6744">
        <v>0.17945150000000001</v>
      </c>
      <c r="X6744">
        <v>0.97851279999999996</v>
      </c>
      <c r="Y6744">
        <v>3.8472889999999998E-3</v>
      </c>
      <c r="Z6744">
        <v>-3.7287790000000001E-2</v>
      </c>
      <c r="AA6744">
        <v>0.99929710000000005</v>
      </c>
      <c r="AB6744">
        <v>27</v>
      </c>
      <c r="AC6744">
        <v>2.5999999999981999E-2</v>
      </c>
      <c r="AD6744">
        <v>-1.109037770846</v>
      </c>
      <c r="AE6744">
        <v>29.459619999999902</v>
      </c>
      <c r="AF6744">
        <v>0.114219272951176</v>
      </c>
      <c r="AG6744">
        <v>-1.109037770846</v>
      </c>
      <c r="AH6744">
        <v>29.417717968684599</v>
      </c>
      <c r="AI6744">
        <v>92.158992317168398</v>
      </c>
      <c r="AJ6744">
        <v>89.777540548823794</v>
      </c>
      <c r="AK6744">
        <v>29.4388372953917</v>
      </c>
      <c r="AL6744">
        <v>79.662187365671798</v>
      </c>
      <c r="AM6744">
        <v>84.075770298789195</v>
      </c>
      <c r="AN6744">
        <v>1.00000002256868</v>
      </c>
    </row>
    <row r="6745" spans="1:40" x14ac:dyDescent="0.25">
      <c r="A6745" t="str">
        <f>"20190312164636516"</f>
        <v>20190312164636516</v>
      </c>
      <c r="B6745" t="str">
        <f>"1552380396508659"</f>
        <v>1552380396508659</v>
      </c>
      <c r="C6745" t="s">
        <v>40</v>
      </c>
      <c r="D6745">
        <v>4.6807850000000002</v>
      </c>
      <c r="E6745">
        <v>0.46654459999999998</v>
      </c>
      <c r="F6745" t="s">
        <v>42</v>
      </c>
      <c r="G6745">
        <v>-187.5976</v>
      </c>
      <c r="H6745" s="1">
        <v>-2.7889710000000002E-6</v>
      </c>
      <c r="I6745">
        <v>95.14058</v>
      </c>
      <c r="J6745">
        <v>-187.59479999999999</v>
      </c>
      <c r="K6745">
        <v>1.1090199999999999</v>
      </c>
      <c r="L6745">
        <v>68.245729999999995</v>
      </c>
      <c r="M6745">
        <v>-3.111118E-3</v>
      </c>
      <c r="N6745">
        <v>0</v>
      </c>
      <c r="O6745">
        <v>0.99992289999999995</v>
      </c>
      <c r="P6745">
        <v>9.8128530000000005E-2</v>
      </c>
      <c r="Q6745">
        <v>0.16778499999999999</v>
      </c>
      <c r="R6745">
        <v>0.98092760000000001</v>
      </c>
      <c r="S6745">
        <v>-4.2724609999999998E-4</v>
      </c>
      <c r="T6745">
        <v>-0.1256555</v>
      </c>
      <c r="U6745">
        <v>3.079895</v>
      </c>
      <c r="V6745">
        <v>0.1011524</v>
      </c>
      <c r="W6745">
        <v>0.17957339999999999</v>
      </c>
      <c r="X6745">
        <v>0.97853029999999996</v>
      </c>
      <c r="Y6745">
        <v>2.972737E-3</v>
      </c>
      <c r="Z6745">
        <v>-4.0764340000000003E-2</v>
      </c>
      <c r="AA6745">
        <v>0.99916430000000001</v>
      </c>
      <c r="AB6745">
        <v>27</v>
      </c>
      <c r="AC6745">
        <v>-2.80000000000768E-3</v>
      </c>
      <c r="AD6745">
        <v>-1.109022788971</v>
      </c>
      <c r="AE6745">
        <v>26.894849999999899</v>
      </c>
      <c r="AF6745">
        <v>8.0741821422349896E-2</v>
      </c>
      <c r="AG6745">
        <v>-1.109022788971</v>
      </c>
      <c r="AH6745">
        <v>26.849075251098402</v>
      </c>
      <c r="AI6745">
        <v>92.365293281579</v>
      </c>
      <c r="AJ6745">
        <v>89.827697914774504</v>
      </c>
      <c r="AK6745">
        <v>26.872091333339299</v>
      </c>
      <c r="AL6745">
        <v>79.655087246313997</v>
      </c>
      <c r="AM6745">
        <v>84.098196497805802</v>
      </c>
      <c r="AN6745">
        <v>0.99999998101570398</v>
      </c>
    </row>
    <row r="6746" spans="1:40" x14ac:dyDescent="0.25">
      <c r="A6746" t="str">
        <f>"20190312164636539"</f>
        <v>20190312164636539</v>
      </c>
      <c r="B6746" t="str">
        <f>"1552380396528179"</f>
        <v>1552380396528179</v>
      </c>
      <c r="C6746" t="s">
        <v>40</v>
      </c>
      <c r="D6746">
        <v>4.8492920000000002</v>
      </c>
      <c r="E6746">
        <v>0.46652670000000002</v>
      </c>
      <c r="F6746" t="s">
        <v>42</v>
      </c>
      <c r="G6746">
        <v>-187.60329999999999</v>
      </c>
      <c r="H6746" s="1">
        <v>-2.8232879999999998E-6</v>
      </c>
      <c r="I6746">
        <v>95.222909999999999</v>
      </c>
      <c r="J6746">
        <v>-187.5958</v>
      </c>
      <c r="K6746">
        <v>1.1090059999999999</v>
      </c>
      <c r="L6746">
        <v>68.527010000000004</v>
      </c>
      <c r="M6746">
        <v>-3.2196630000000002E-3</v>
      </c>
      <c r="N6746">
        <v>0</v>
      </c>
      <c r="O6746">
        <v>0.99992349999999997</v>
      </c>
      <c r="P6746">
        <v>9.7577300000000006E-2</v>
      </c>
      <c r="Q6746">
        <v>0.167782399999999</v>
      </c>
      <c r="R6746">
        <v>0.9809831</v>
      </c>
      <c r="S6746">
        <v>-9.6130369999999996E-4</v>
      </c>
      <c r="T6746">
        <v>-0.12662100000000001</v>
      </c>
      <c r="U6746">
        <v>3.0800779999999999</v>
      </c>
      <c r="V6746">
        <v>0.10070759999999999</v>
      </c>
      <c r="W6746">
        <v>0.1794974</v>
      </c>
      <c r="X6746">
        <v>0.97859010000000002</v>
      </c>
      <c r="Y6746">
        <v>2.9080540000000002E-3</v>
      </c>
      <c r="Z6746">
        <v>-4.1074569999999998E-2</v>
      </c>
      <c r="AA6746">
        <v>0.99915180000000003</v>
      </c>
      <c r="AB6746">
        <v>27</v>
      </c>
      <c r="AC6746">
        <v>-7.4999999999931797E-3</v>
      </c>
      <c r="AD6746">
        <v>-1.109008823288</v>
      </c>
      <c r="AE6746">
        <v>26.695899999999899</v>
      </c>
      <c r="AF6746">
        <v>7.8322804081562794E-2</v>
      </c>
      <c r="AG6746">
        <v>-1.109008823288</v>
      </c>
      <c r="AH6746">
        <v>26.649794565509101</v>
      </c>
      <c r="AI6746">
        <v>92.3829305656608</v>
      </c>
      <c r="AJ6746">
        <v>89.831610214402602</v>
      </c>
      <c r="AK6746">
        <v>26.672974813762401</v>
      </c>
      <c r="AL6746">
        <v>79.659513434136002</v>
      </c>
      <c r="AM6746">
        <v>84.124323223080097</v>
      </c>
      <c r="AN6746">
        <v>0.99999996056126395</v>
      </c>
    </row>
    <row r="6747" spans="1:40" x14ac:dyDescent="0.25">
      <c r="A6747" t="str">
        <f>"20190312164636561"</f>
        <v>20190312164636561</v>
      </c>
      <c r="B6747" t="str">
        <f>"1552380396547699"</f>
        <v>1552380396547699</v>
      </c>
      <c r="C6747" t="s">
        <v>40</v>
      </c>
      <c r="D6747">
        <v>5.3821110000000001</v>
      </c>
      <c r="E6747">
        <v>0.46586610000000001</v>
      </c>
      <c r="F6747" t="s">
        <v>42</v>
      </c>
      <c r="G6747">
        <v>-187.62719999999999</v>
      </c>
      <c r="H6747" s="1">
        <v>-3.207225E-6</v>
      </c>
      <c r="I6747">
        <v>96.127750000000006</v>
      </c>
      <c r="J6747">
        <v>-187.5968</v>
      </c>
      <c r="K6747">
        <v>1.1089979999999999</v>
      </c>
      <c r="L6747">
        <v>68.786410000000004</v>
      </c>
      <c r="M6747">
        <v>-3.3197869999999998E-3</v>
      </c>
      <c r="N6747">
        <v>0</v>
      </c>
      <c r="O6747">
        <v>0.99992389999999998</v>
      </c>
      <c r="P6747">
        <v>9.6819600000000006E-2</v>
      </c>
      <c r="Q6747">
        <v>0.1674195</v>
      </c>
      <c r="R6747">
        <v>0.98112010000000005</v>
      </c>
      <c r="S6747">
        <v>-3.4942630000000001E-3</v>
      </c>
      <c r="T6747">
        <v>-0.1237428</v>
      </c>
      <c r="U6747">
        <v>3.0796809999999999</v>
      </c>
      <c r="V6747">
        <v>0.1000484</v>
      </c>
      <c r="W6747">
        <v>0.17907379999999901</v>
      </c>
      <c r="X6747">
        <v>0.97873529999999997</v>
      </c>
      <c r="Y6747">
        <v>2.186323E-3</v>
      </c>
      <c r="Z6747">
        <v>-4.014761E-2</v>
      </c>
      <c r="AA6747">
        <v>0.9991913</v>
      </c>
      <c r="AB6747">
        <v>27</v>
      </c>
      <c r="AC6747">
        <v>-3.03999999999859E-2</v>
      </c>
      <c r="AD6747">
        <v>-1.109001207225</v>
      </c>
      <c r="AE6747">
        <v>27.341339999999999</v>
      </c>
      <c r="AF6747">
        <v>6.02748349332837E-2</v>
      </c>
      <c r="AG6747">
        <v>-1.109001207225</v>
      </c>
      <c r="AH6747">
        <v>27.296381696897001</v>
      </c>
      <c r="AI6747">
        <v>92.326535729397193</v>
      </c>
      <c r="AJ6747">
        <v>89.873481838075193</v>
      </c>
      <c r="AK6747">
        <v>27.3189672293088</v>
      </c>
      <c r="AL6747">
        <v>79.684183524654003</v>
      </c>
      <c r="AM6747">
        <v>84.163377114160596</v>
      </c>
      <c r="AN6747">
        <v>0.99999994782754298</v>
      </c>
    </row>
    <row r="6748" spans="1:40" x14ac:dyDescent="0.25">
      <c r="A6748" t="str">
        <f>"20190312164636582"</f>
        <v>20190312164636582</v>
      </c>
      <c r="B6748" t="str">
        <f>"1552380396577955"</f>
        <v>1552380396577955</v>
      </c>
      <c r="C6748" t="s">
        <v>40</v>
      </c>
      <c r="D6748">
        <v>4.5902820000000002</v>
      </c>
      <c r="E6748">
        <v>0.43797039999999998</v>
      </c>
      <c r="F6748" t="s">
        <v>42</v>
      </c>
      <c r="G6748">
        <v>-187.69470000000001</v>
      </c>
      <c r="H6748" s="1">
        <v>-3.3744720000000001E-6</v>
      </c>
      <c r="I6748">
        <v>96.545550000000006</v>
      </c>
      <c r="J6748">
        <v>-187.59780000000001</v>
      </c>
      <c r="K6748">
        <v>1.1089929999999999</v>
      </c>
      <c r="L6748">
        <v>69.057400000000001</v>
      </c>
      <c r="M6748">
        <v>-3.4241839999999998E-3</v>
      </c>
      <c r="N6748">
        <v>0</v>
      </c>
      <c r="O6748">
        <v>0.99992440000000005</v>
      </c>
      <c r="P6748">
        <v>9.6009890000000001E-2</v>
      </c>
      <c r="Q6748">
        <v>0.16696629999999901</v>
      </c>
      <c r="R6748">
        <v>0.98127690000000001</v>
      </c>
      <c r="S6748">
        <v>-1.0864260000000001E-2</v>
      </c>
      <c r="T6748">
        <v>-0.1230396</v>
      </c>
      <c r="U6748">
        <v>3.0797729999999999</v>
      </c>
      <c r="V6748">
        <v>9.9341440000000003E-2</v>
      </c>
      <c r="W6748">
        <v>0.17855960000000001</v>
      </c>
      <c r="X6748">
        <v>0.97890129999999997</v>
      </c>
      <c r="Y6748">
        <v>-1.003602E-4</v>
      </c>
      <c r="Z6748">
        <v>-3.9918549999999997E-2</v>
      </c>
      <c r="AA6748">
        <v>0.9992029</v>
      </c>
      <c r="AB6748">
        <v>27</v>
      </c>
      <c r="AC6748">
        <v>-9.6900000000005093E-2</v>
      </c>
      <c r="AD6748">
        <v>-1.1089963744719999</v>
      </c>
      <c r="AE6748">
        <v>27.488150000000001</v>
      </c>
      <c r="AF6748">
        <v>-2.7638853322941399E-3</v>
      </c>
      <c r="AG6748">
        <v>-1.1089963744719999</v>
      </c>
      <c r="AH6748">
        <v>27.443651705205401</v>
      </c>
      <c r="AI6748">
        <v>92.314060073118398</v>
      </c>
      <c r="AJ6748">
        <v>90.005770331359798</v>
      </c>
      <c r="AK6748">
        <v>27.466049943781002</v>
      </c>
      <c r="AL6748">
        <v>79.714128225569496</v>
      </c>
      <c r="AM6748">
        <v>84.205314126381694</v>
      </c>
      <c r="AN6748">
        <v>1.00000000379756</v>
      </c>
    </row>
    <row r="6749" spans="1:40" x14ac:dyDescent="0.25">
      <c r="A6749" t="str">
        <f>"20190312164636606"</f>
        <v>20190312164636606</v>
      </c>
      <c r="B6749" t="str">
        <f>"1552380396597475"</f>
        <v>1552380396597475</v>
      </c>
      <c r="C6749" t="s">
        <v>40</v>
      </c>
      <c r="D6749">
        <v>4.7005879999999998</v>
      </c>
      <c r="E6749">
        <v>0.43667919999999999</v>
      </c>
      <c r="F6749" t="s">
        <v>71</v>
      </c>
      <c r="G6749">
        <v>-191.8638</v>
      </c>
      <c r="H6749" s="1">
        <v>-3.6959480000000001E-6</v>
      </c>
      <c r="I6749">
        <v>125.87730000000001</v>
      </c>
      <c r="J6749">
        <v>-187.59889999999999</v>
      </c>
      <c r="K6749">
        <v>1.108986</v>
      </c>
      <c r="L6749">
        <v>69.344939999999994</v>
      </c>
      <c r="M6749">
        <v>-3.5349510000000002E-3</v>
      </c>
      <c r="N6749">
        <v>0</v>
      </c>
      <c r="O6749">
        <v>0.99992479999999995</v>
      </c>
      <c r="P6749">
        <v>9.5037689999999994E-2</v>
      </c>
      <c r="Q6749">
        <v>0.16616320000000001</v>
      </c>
      <c r="R6749">
        <v>0.98150780000000004</v>
      </c>
      <c r="S6749">
        <v>-0.23200989999999999</v>
      </c>
      <c r="T6749">
        <v>-6.031334E-2</v>
      </c>
      <c r="U6749">
        <v>3.090179</v>
      </c>
      <c r="V6749">
        <v>9.8478659999999996E-2</v>
      </c>
      <c r="W6749">
        <v>0.17769299999999999</v>
      </c>
      <c r="X6749">
        <v>0.97914610000000002</v>
      </c>
      <c r="Y6749">
        <v>-7.1329100000000006E-2</v>
      </c>
      <c r="Z6749">
        <v>-1.9461619999999999E-2</v>
      </c>
      <c r="AA6749">
        <v>0.99726300000000001</v>
      </c>
      <c r="AB6749">
        <v>28</v>
      </c>
      <c r="AC6749">
        <v>-4.2649000000000097</v>
      </c>
      <c r="AD6749">
        <v>-1.1089896959479999</v>
      </c>
      <c r="AE6749">
        <v>56.532359999999997</v>
      </c>
      <c r="AF6749">
        <v>-4.0634655819730101</v>
      </c>
      <c r="AG6749">
        <v>-1.1089896959479999</v>
      </c>
      <c r="AH6749">
        <v>56.525454809576701</v>
      </c>
      <c r="AI6749">
        <v>91.1210664844577</v>
      </c>
      <c r="AJ6749">
        <v>94.111769001305603</v>
      </c>
      <c r="AK6749">
        <v>56.682172259989301</v>
      </c>
      <c r="AL6749">
        <v>79.764587335001806</v>
      </c>
      <c r="AM6749">
        <v>84.256729533778994</v>
      </c>
      <c r="AN6749">
        <v>0.99999996693480198</v>
      </c>
    </row>
    <row r="6750" spans="1:40" x14ac:dyDescent="0.25">
      <c r="A6750" t="str">
        <f>"20190312164636627"</f>
        <v>20190312164636627</v>
      </c>
      <c r="B6750" t="str">
        <f>"1552380396617970"</f>
        <v>1552380396617970</v>
      </c>
      <c r="C6750" t="s">
        <v>40</v>
      </c>
      <c r="D6750">
        <v>4.5568280000000003</v>
      </c>
      <c r="E6750">
        <v>0.43670490000000001</v>
      </c>
      <c r="F6750" t="s">
        <v>71</v>
      </c>
      <c r="G6750">
        <v>-191.5959</v>
      </c>
      <c r="H6750" s="1">
        <v>-4.7103079999999999E-7</v>
      </c>
      <c r="I6750">
        <v>119.68049999999999</v>
      </c>
      <c r="J6750">
        <v>-187.6</v>
      </c>
      <c r="K6750">
        <v>1.108981</v>
      </c>
      <c r="L6750">
        <v>69.614230000000006</v>
      </c>
      <c r="M6750">
        <v>-3.6388900000000001E-3</v>
      </c>
      <c r="N6750">
        <v>0</v>
      </c>
      <c r="O6750">
        <v>0.99992499999999995</v>
      </c>
      <c r="P6750">
        <v>9.3947959999999997E-2</v>
      </c>
      <c r="Q6750">
        <v>0.16518459999999999</v>
      </c>
      <c r="R6750">
        <v>0.98177789999999998</v>
      </c>
      <c r="S6750">
        <v>-0.24551390000000001</v>
      </c>
      <c r="T6750">
        <v>-6.8118810000000002E-2</v>
      </c>
      <c r="U6750">
        <v>3.0918269999999999</v>
      </c>
      <c r="V6750">
        <v>9.7491969999999997E-2</v>
      </c>
      <c r="W6750">
        <v>0.1766624</v>
      </c>
      <c r="X6750">
        <v>0.9794313</v>
      </c>
      <c r="Y6750">
        <v>-7.5510869999999994E-2</v>
      </c>
      <c r="Z6750">
        <v>-2.1960339999999998E-2</v>
      </c>
      <c r="AA6750">
        <v>0.99690310000000004</v>
      </c>
      <c r="AB6750">
        <v>28</v>
      </c>
      <c r="AC6750">
        <v>-3.9958999999999998</v>
      </c>
      <c r="AD6750">
        <v>-1.1089814710307999</v>
      </c>
      <c r="AE6750">
        <v>50.066269999999903</v>
      </c>
      <c r="AF6750">
        <v>-3.8118170614278899</v>
      </c>
      <c r="AG6750">
        <v>-1.1089814710307999</v>
      </c>
      <c r="AH6750">
        <v>50.056076324319797</v>
      </c>
      <c r="AI6750">
        <v>91.265505086471194</v>
      </c>
      <c r="AJ6750">
        <v>94.354722584692595</v>
      </c>
      <c r="AK6750">
        <v>50.213250902515803</v>
      </c>
      <c r="AL6750">
        <v>79.824585740704705</v>
      </c>
      <c r="AM6750">
        <v>84.315539163097696</v>
      </c>
      <c r="AN6750">
        <v>0.99999997960396503</v>
      </c>
    </row>
    <row r="6751" spans="1:40" x14ac:dyDescent="0.25">
      <c r="A6751" t="str">
        <f>"20190312164636651"</f>
        <v>20190312164636651</v>
      </c>
      <c r="B6751" t="str">
        <f>"1552380396648227"</f>
        <v>1552380396648227</v>
      </c>
      <c r="C6751" t="s">
        <v>40</v>
      </c>
      <c r="D6751">
        <v>4.5341440000000004</v>
      </c>
      <c r="E6751">
        <v>0.43706469999999997</v>
      </c>
      <c r="F6751" t="s">
        <v>42</v>
      </c>
      <c r="G6751">
        <v>-191.08150000000001</v>
      </c>
      <c r="H6751" s="1">
        <v>-1.675242E-6</v>
      </c>
      <c r="I6751">
        <v>112.82340000000001</v>
      </c>
      <c r="J6751">
        <v>-187.6011</v>
      </c>
      <c r="K6751">
        <v>1.1089709999999999</v>
      </c>
      <c r="L6751">
        <v>69.892910000000001</v>
      </c>
      <c r="M6751">
        <v>-3.7466000000000001E-3</v>
      </c>
      <c r="N6751">
        <v>0</v>
      </c>
      <c r="O6751">
        <v>0.99992530000000002</v>
      </c>
      <c r="P6751">
        <v>9.2507919999999993E-2</v>
      </c>
      <c r="Q6751">
        <v>0.1644765</v>
      </c>
      <c r="R6751">
        <v>0.9820335</v>
      </c>
      <c r="S6751">
        <v>-0.2492065</v>
      </c>
      <c r="T6751">
        <v>-7.9380629999999994E-2</v>
      </c>
      <c r="U6751">
        <v>3.0928960000000001</v>
      </c>
      <c r="V6751">
        <v>9.6158649999999998E-2</v>
      </c>
      <c r="W6751">
        <v>0.17590629999999999</v>
      </c>
      <c r="X6751">
        <v>0.97969919999999999</v>
      </c>
      <c r="Y6751">
        <v>-7.6551999999999995E-2</v>
      </c>
      <c r="Z6751">
        <v>-2.557769E-2</v>
      </c>
      <c r="AA6751">
        <v>0.99673750000000005</v>
      </c>
      <c r="AB6751">
        <v>28</v>
      </c>
      <c r="AC6751">
        <v>-3.4803999999999999</v>
      </c>
      <c r="AD6751">
        <v>-1.1089726752419999</v>
      </c>
      <c r="AE6751">
        <v>42.930489999999999</v>
      </c>
      <c r="AF6751">
        <v>-3.3173221701169502</v>
      </c>
      <c r="AG6751">
        <v>-1.1089726752419999</v>
      </c>
      <c r="AH6751">
        <v>42.914779881877998</v>
      </c>
      <c r="AI6751">
        <v>91.475865757080896</v>
      </c>
      <c r="AJ6751">
        <v>94.420186654837494</v>
      </c>
      <c r="AK6751">
        <v>43.057087443123997</v>
      </c>
      <c r="AL6751">
        <v>79.868596705918407</v>
      </c>
      <c r="AM6751">
        <v>84.394305710478505</v>
      </c>
      <c r="AN6751">
        <v>1.0000000174150701</v>
      </c>
    </row>
    <row r="6752" spans="1:40" x14ac:dyDescent="0.25">
      <c r="A6752" t="str">
        <f>"20190312164636672"</f>
        <v>20190312164636672</v>
      </c>
      <c r="B6752" t="str">
        <f>"1552380396667746"</f>
        <v>1552380396667746</v>
      </c>
      <c r="C6752" t="s">
        <v>40</v>
      </c>
      <c r="D6752">
        <v>4.7698780000000003</v>
      </c>
      <c r="E6752">
        <v>0.43742340000000002</v>
      </c>
      <c r="F6752" t="s">
        <v>42</v>
      </c>
      <c r="G6752">
        <v>-190.95840000000001</v>
      </c>
      <c r="H6752" s="1">
        <v>-9.629504E-7</v>
      </c>
      <c r="I6752">
        <v>111.2394</v>
      </c>
      <c r="J6752">
        <v>-187.60220000000001</v>
      </c>
      <c r="K6752">
        <v>1.108954</v>
      </c>
      <c r="L6752">
        <v>70.160030000000006</v>
      </c>
      <c r="M6752">
        <v>-3.8499860000000001E-3</v>
      </c>
      <c r="N6752">
        <v>0</v>
      </c>
      <c r="O6752">
        <v>0.99992539999999996</v>
      </c>
      <c r="P6752">
        <v>9.0939049999999994E-2</v>
      </c>
      <c r="Q6752">
        <v>0.1641494</v>
      </c>
      <c r="R6752">
        <v>0.98223470000000002</v>
      </c>
      <c r="S6752">
        <v>-0.25109860000000001</v>
      </c>
      <c r="T6752">
        <v>-8.2943680000000006E-2</v>
      </c>
      <c r="U6752">
        <v>3.092438</v>
      </c>
      <c r="V6752">
        <v>9.4692100000000001E-2</v>
      </c>
      <c r="W6752">
        <v>0.17553779999999999</v>
      </c>
      <c r="X6752">
        <v>0.97990809999999995</v>
      </c>
      <c r="Y6752">
        <v>-7.7064160000000007E-2</v>
      </c>
      <c r="Z6752">
        <v>-2.67277E-2</v>
      </c>
      <c r="AA6752">
        <v>0.99666779999999999</v>
      </c>
      <c r="AB6752">
        <v>28</v>
      </c>
      <c r="AC6752">
        <v>-3.3561999999999999</v>
      </c>
      <c r="AD6752">
        <v>-1.1089549629503901</v>
      </c>
      <c r="AE6752">
        <v>41.079369999999997</v>
      </c>
      <c r="AF6752">
        <v>-3.1956960662518901</v>
      </c>
      <c r="AG6752">
        <v>-1.1089549629503901</v>
      </c>
      <c r="AH6752">
        <v>41.062261879806599</v>
      </c>
      <c r="AI6752">
        <v>91.542330686315296</v>
      </c>
      <c r="AJ6752">
        <v>94.450109621416999</v>
      </c>
      <c r="AK6752">
        <v>41.201354409091103</v>
      </c>
      <c r="AL6752">
        <v>79.890043732156698</v>
      </c>
      <c r="AM6752">
        <v>84.480437583126701</v>
      </c>
      <c r="AN6752">
        <v>0.99999999873842904</v>
      </c>
    </row>
    <row r="6753" spans="1:40" x14ac:dyDescent="0.25">
      <c r="A6753" t="str">
        <f>"20190312164636695"</f>
        <v>20190312164636695</v>
      </c>
      <c r="B6753" t="str">
        <f>"1552380396688243"</f>
        <v>1552380396688243</v>
      </c>
      <c r="C6753" t="s">
        <v>40</v>
      </c>
      <c r="D6753">
        <v>4.5364570000000004</v>
      </c>
      <c r="E6753">
        <v>0.43791550000000001</v>
      </c>
      <c r="F6753" t="s">
        <v>42</v>
      </c>
      <c r="G6753">
        <v>-190.44669999999999</v>
      </c>
      <c r="H6753" s="1">
        <v>-2.374152E-6</v>
      </c>
      <c r="I6753">
        <v>104.8462</v>
      </c>
      <c r="J6753">
        <v>-187.6035</v>
      </c>
      <c r="K6753">
        <v>1.1089530000000001</v>
      </c>
      <c r="L6753">
        <v>70.443600000000004</v>
      </c>
      <c r="M6753">
        <v>-3.9592749999999999E-3</v>
      </c>
      <c r="N6753">
        <v>0</v>
      </c>
      <c r="O6753">
        <v>0.99992539999999996</v>
      </c>
      <c r="P6753">
        <v>8.9726479999999997E-2</v>
      </c>
      <c r="Q6753">
        <v>0.16304739999999901</v>
      </c>
      <c r="R6753">
        <v>0.98252980000000001</v>
      </c>
      <c r="S6753">
        <v>-0.25375370000000003</v>
      </c>
      <c r="T6753">
        <v>-9.8928210000000003E-2</v>
      </c>
      <c r="U6753">
        <v>3.0942989999999999</v>
      </c>
      <c r="V6753">
        <v>9.3588060000000001E-2</v>
      </c>
      <c r="W6753">
        <v>0.17439830000000001</v>
      </c>
      <c r="X6753">
        <v>0.98021760000000002</v>
      </c>
      <c r="Y6753">
        <v>-7.774404E-2</v>
      </c>
      <c r="Z6753">
        <v>-3.1852650000000003E-2</v>
      </c>
      <c r="AA6753">
        <v>0.99646440000000003</v>
      </c>
      <c r="AB6753">
        <v>28</v>
      </c>
      <c r="AC6753">
        <v>-2.8431999999999902</v>
      </c>
      <c r="AD6753">
        <v>-1.108955374152</v>
      </c>
      <c r="AE6753">
        <v>34.4025999999999</v>
      </c>
      <c r="AF6753">
        <v>-2.7041684997471802</v>
      </c>
      <c r="AG6753">
        <v>-1.108955374152</v>
      </c>
      <c r="AH6753">
        <v>34.378109080326396</v>
      </c>
      <c r="AI6753">
        <v>91.841898321053904</v>
      </c>
      <c r="AJ6753">
        <v>94.497602615897705</v>
      </c>
      <c r="AK6753">
        <v>34.502125923422597</v>
      </c>
      <c r="AL6753">
        <v>79.956355382379797</v>
      </c>
      <c r="AM6753">
        <v>84.546113263635704</v>
      </c>
      <c r="AN6753">
        <v>1.0000000176835999</v>
      </c>
    </row>
    <row r="6754" spans="1:40" x14ac:dyDescent="0.25">
      <c r="A6754" t="str">
        <f>"20190312164636717"</f>
        <v>20190312164636717</v>
      </c>
      <c r="B6754" t="str">
        <f>"1552380396707762"</f>
        <v>1552380396707762</v>
      </c>
      <c r="C6754" t="s">
        <v>40</v>
      </c>
      <c r="D6754">
        <v>4.6087490000000004</v>
      </c>
      <c r="E6754">
        <v>0.43851649999999998</v>
      </c>
      <c r="F6754" t="s">
        <v>42</v>
      </c>
      <c r="G6754">
        <v>-190.03890000000001</v>
      </c>
      <c r="H6754" s="1">
        <v>-2.1700919999999999E-7</v>
      </c>
      <c r="I6754">
        <v>100.07080000000001</v>
      </c>
      <c r="J6754">
        <v>-187.60470000000001</v>
      </c>
      <c r="K6754">
        <v>1.108949</v>
      </c>
      <c r="L6754">
        <v>70.721310000000003</v>
      </c>
      <c r="M6754">
        <v>-4.0663670000000004E-3</v>
      </c>
      <c r="N6754">
        <v>0</v>
      </c>
      <c r="O6754">
        <v>0.99992539999999996</v>
      </c>
      <c r="P6754">
        <v>8.7917239999999994E-2</v>
      </c>
      <c r="Q6754">
        <v>0.16239100000000001</v>
      </c>
      <c r="R6754">
        <v>0.98280199999999995</v>
      </c>
      <c r="S6754">
        <v>-0.25448609999999999</v>
      </c>
      <c r="T6754">
        <v>-0.1158763</v>
      </c>
      <c r="U6754">
        <v>3.0957949999999999</v>
      </c>
      <c r="V6754">
        <v>9.1885159999999994E-2</v>
      </c>
      <c r="W6754">
        <v>0.173709</v>
      </c>
      <c r="X6754">
        <v>0.98050110000000001</v>
      </c>
      <c r="Y6754">
        <v>-7.7816860000000002E-2</v>
      </c>
      <c r="Z6754">
        <v>-3.7284079999999997E-2</v>
      </c>
      <c r="AA6754">
        <v>0.99627019999999999</v>
      </c>
      <c r="AB6754">
        <v>28</v>
      </c>
      <c r="AC6754">
        <v>-2.4342000000000001</v>
      </c>
      <c r="AD6754">
        <v>-1.1089492170091999</v>
      </c>
      <c r="AE6754">
        <v>29.349489999999999</v>
      </c>
      <c r="AF6754">
        <v>-2.3115486172186901</v>
      </c>
      <c r="AG6754">
        <v>-1.1089492170091999</v>
      </c>
      <c r="AH6754">
        <v>29.317576986257201</v>
      </c>
      <c r="AI6754">
        <v>92.1595077631614</v>
      </c>
      <c r="AJ6754">
        <v>94.508167736170407</v>
      </c>
      <c r="AK6754">
        <v>29.429463904746701</v>
      </c>
      <c r="AL6754">
        <v>79.996461895831104</v>
      </c>
      <c r="AM6754">
        <v>84.646307694449604</v>
      </c>
      <c r="AN6754">
        <v>1.00000005320521</v>
      </c>
    </row>
    <row r="6755" spans="1:40" x14ac:dyDescent="0.25">
      <c r="A6755" t="str">
        <f>"20190312164636738"</f>
        <v>20190312164636738</v>
      </c>
      <c r="B6755" t="str">
        <f>"1552380396728258"</f>
        <v>1552380396728258</v>
      </c>
      <c r="C6755" t="s">
        <v>40</v>
      </c>
      <c r="D6755">
        <v>4.6014569999999999</v>
      </c>
      <c r="E6755">
        <v>0.43876359999999998</v>
      </c>
      <c r="F6755" t="s">
        <v>42</v>
      </c>
      <c r="G6755">
        <v>-189.9306</v>
      </c>
      <c r="H6755" s="1">
        <v>-4.0046989999999997E-6</v>
      </c>
      <c r="I6755">
        <v>98.939109999999999</v>
      </c>
      <c r="J6755">
        <v>-187.60589999999999</v>
      </c>
      <c r="K6755">
        <v>1.1089420000000001</v>
      </c>
      <c r="L6755">
        <v>70.985810000000001</v>
      </c>
      <c r="M6755">
        <v>-4.1683390000000001E-3</v>
      </c>
      <c r="N6755">
        <v>0</v>
      </c>
      <c r="O6755">
        <v>0.99992530000000002</v>
      </c>
      <c r="P6755">
        <v>8.6537299999999998E-2</v>
      </c>
      <c r="Q6755">
        <v>0.16202820000000001</v>
      </c>
      <c r="R6755">
        <v>0.98298430000000003</v>
      </c>
      <c r="S6755">
        <v>-0.25514219999999999</v>
      </c>
      <c r="T6755">
        <v>-0.1216496</v>
      </c>
      <c r="U6755">
        <v>3.0954280000000001</v>
      </c>
      <c r="V6755">
        <v>9.0606179999999995E-2</v>
      </c>
      <c r="W6755">
        <v>0.1733188</v>
      </c>
      <c r="X6755">
        <v>0.98068909999999998</v>
      </c>
      <c r="Y6755">
        <v>-7.7928720000000007E-2</v>
      </c>
      <c r="Z6755">
        <v>-3.9142969999999999E-2</v>
      </c>
      <c r="AA6755">
        <v>0.99619020000000003</v>
      </c>
      <c r="AB6755">
        <v>28</v>
      </c>
      <c r="AC6755">
        <v>-2.3247</v>
      </c>
      <c r="AD6755">
        <v>-1.1089460046990001</v>
      </c>
      <c r="AE6755">
        <v>27.953299999999999</v>
      </c>
      <c r="AF6755">
        <v>-2.2047073027063302</v>
      </c>
      <c r="AG6755">
        <v>-1.1089460046990001</v>
      </c>
      <c r="AH6755">
        <v>27.9191100967465</v>
      </c>
      <c r="AI6755">
        <v>92.267538849786305</v>
      </c>
      <c r="AJ6755">
        <v>94.515144914891593</v>
      </c>
      <c r="AK6755">
        <v>28.027971816137502</v>
      </c>
      <c r="AL6755">
        <v>80.019162501373302</v>
      </c>
      <c r="AM6755">
        <v>84.721409844854506</v>
      </c>
      <c r="AN6755">
        <v>0.99999999857322097</v>
      </c>
    </row>
    <row r="6756" spans="1:40" x14ac:dyDescent="0.25">
      <c r="A6756" t="str">
        <f>"20190312164636760"</f>
        <v>20190312164636760</v>
      </c>
      <c r="B6756" t="str">
        <f>"1552380396757540"</f>
        <v>1552380396757540</v>
      </c>
      <c r="C6756" t="s">
        <v>40</v>
      </c>
      <c r="D6756">
        <v>4.6600869999999999</v>
      </c>
      <c r="E6756">
        <v>0.4393435</v>
      </c>
      <c r="F6756" t="s">
        <v>42</v>
      </c>
      <c r="G6756">
        <v>-189.75739999999999</v>
      </c>
      <c r="H6756" s="1">
        <v>-3.122984E-6</v>
      </c>
      <c r="I6756">
        <v>96.812219999999996</v>
      </c>
      <c r="J6756">
        <v>-187.6071</v>
      </c>
      <c r="K6756">
        <v>1.1089420000000001</v>
      </c>
      <c r="L6756">
        <v>71.249080000000006</v>
      </c>
      <c r="M6756">
        <v>-4.2698689999999999E-3</v>
      </c>
      <c r="N6756">
        <v>0</v>
      </c>
      <c r="O6756">
        <v>0.99992519999999996</v>
      </c>
      <c r="P6756">
        <v>8.543075E-2</v>
      </c>
      <c r="Q6756">
        <v>0.16179250000000001</v>
      </c>
      <c r="R6756">
        <v>0.98311990000000005</v>
      </c>
      <c r="S6756">
        <v>-0.2579651</v>
      </c>
      <c r="T6756">
        <v>-0.13296129999999901</v>
      </c>
      <c r="U6756">
        <v>3.0965579999999999</v>
      </c>
      <c r="V6756">
        <v>8.9600020000000002E-2</v>
      </c>
      <c r="W6756">
        <v>0.17305860000000001</v>
      </c>
      <c r="X6756">
        <v>0.98082749999999996</v>
      </c>
      <c r="Y6756">
        <v>-7.8687380000000001E-2</v>
      </c>
      <c r="Z6756">
        <v>-4.2757870000000003E-2</v>
      </c>
      <c r="AA6756">
        <v>0.99598189999999998</v>
      </c>
      <c r="AB6756">
        <v>28</v>
      </c>
      <c r="AC6756">
        <v>-2.1502999999999801</v>
      </c>
      <c r="AD6756">
        <v>-1.1089451229839999</v>
      </c>
      <c r="AE6756">
        <v>25.563139999999901</v>
      </c>
      <c r="AF6756">
        <v>-2.0373149236877999</v>
      </c>
      <c r="AG6756">
        <v>-1.1089451229839999</v>
      </c>
      <c r="AH6756">
        <v>25.5243927045878</v>
      </c>
      <c r="AI6756">
        <v>92.479858566610503</v>
      </c>
      <c r="AJ6756">
        <v>94.5635795480909</v>
      </c>
      <c r="AK6756">
        <v>25.629573432308401</v>
      </c>
      <c r="AL6756">
        <v>80.034299757339895</v>
      </c>
      <c r="AM6756">
        <v>84.7804342071679</v>
      </c>
      <c r="AN6756">
        <v>1.0000000136870999</v>
      </c>
    </row>
    <row r="6757" spans="1:40" x14ac:dyDescent="0.25">
      <c r="A6757" t="str">
        <f>"20190312164636783"</f>
        <v>20190312164636783</v>
      </c>
      <c r="B6757" t="str">
        <f>"1552380396778035"</f>
        <v>1552380396778035</v>
      </c>
      <c r="C6757" t="s">
        <v>40</v>
      </c>
      <c r="D6757">
        <v>4.6402679999999998</v>
      </c>
      <c r="E6757">
        <v>0.43907289999999999</v>
      </c>
      <c r="F6757" t="s">
        <v>42</v>
      </c>
      <c r="G6757">
        <v>-189.6378</v>
      </c>
      <c r="H6757" s="1">
        <v>-2.6893420000000001E-6</v>
      </c>
      <c r="I6757">
        <v>95.751909999999995</v>
      </c>
      <c r="J6757">
        <v>-187.60849999999999</v>
      </c>
      <c r="K6757">
        <v>1.1089439999999999</v>
      </c>
      <c r="L6757">
        <v>71.534790000000001</v>
      </c>
      <c r="M6757">
        <v>-4.380086E-3</v>
      </c>
      <c r="N6757">
        <v>0</v>
      </c>
      <c r="O6757">
        <v>0.99992499999999995</v>
      </c>
      <c r="P6757">
        <v>8.4123009999999998E-2</v>
      </c>
      <c r="Q6757">
        <v>0.1621639</v>
      </c>
      <c r="R6757">
        <v>0.98317149999999998</v>
      </c>
      <c r="S6757">
        <v>-0.25665280000000001</v>
      </c>
      <c r="T6757">
        <v>-0.1401587</v>
      </c>
      <c r="U6757">
        <v>3.0968930000000001</v>
      </c>
      <c r="V6757">
        <v>8.8400759999999995E-2</v>
      </c>
      <c r="W6757">
        <v>0.1734057</v>
      </c>
      <c r="X6757">
        <v>0.98087500000000005</v>
      </c>
      <c r="Y6757">
        <v>-7.8141070000000007E-2</v>
      </c>
      <c r="Z6757">
        <v>-4.5064699999999999E-2</v>
      </c>
      <c r="AA6757">
        <v>0.99592329999999996</v>
      </c>
      <c r="AB6757">
        <v>28</v>
      </c>
      <c r="AC6757">
        <v>-2.0293000000000001</v>
      </c>
      <c r="AD6757">
        <v>-1.1089466893419999</v>
      </c>
      <c r="AE6757">
        <v>24.217119999999898</v>
      </c>
      <c r="AF6757">
        <v>-1.9192042190871601</v>
      </c>
      <c r="AG6757">
        <v>-1.1089466893419999</v>
      </c>
      <c r="AH6757">
        <v>24.1754369155849</v>
      </c>
      <c r="AI6757">
        <v>92.618136775488694</v>
      </c>
      <c r="AJ6757">
        <v>94.538994246732898</v>
      </c>
      <c r="AK6757">
        <v>24.276837884160098</v>
      </c>
      <c r="AL6757">
        <v>80.014106945752999</v>
      </c>
      <c r="AM6757">
        <v>84.850165824011796</v>
      </c>
      <c r="AN6757">
        <v>0.999999998393033</v>
      </c>
    </row>
    <row r="6758" spans="1:40" x14ac:dyDescent="0.25">
      <c r="A6758" t="str">
        <f>"20190312164636806"</f>
        <v>20190312164636806</v>
      </c>
      <c r="B6758" t="str">
        <f>"1552380396797557"</f>
        <v>1552380396797557</v>
      </c>
      <c r="C6758" t="s">
        <v>40</v>
      </c>
      <c r="D6758">
        <v>4.8335140000000001</v>
      </c>
      <c r="E6758">
        <v>0.43597429999999898</v>
      </c>
      <c r="F6758" t="s">
        <v>42</v>
      </c>
      <c r="G6758">
        <v>-189.7072</v>
      </c>
      <c r="H6758" s="1">
        <v>-2.9132089999999999E-6</v>
      </c>
      <c r="I6758">
        <v>96.30247</v>
      </c>
      <c r="J6758">
        <v>-187.60980000000001</v>
      </c>
      <c r="K6758">
        <v>1.108938</v>
      </c>
      <c r="L6758">
        <v>71.816929999999999</v>
      </c>
      <c r="M6758">
        <v>-4.4891480000000001E-3</v>
      </c>
      <c r="N6758">
        <v>0</v>
      </c>
      <c r="O6758">
        <v>0.99992479999999995</v>
      </c>
      <c r="P6758">
        <v>8.3044469999999995E-2</v>
      </c>
      <c r="Q6758">
        <v>0.161498799999999</v>
      </c>
      <c r="R6758">
        <v>0.98337260000000004</v>
      </c>
      <c r="S6758">
        <v>-0.26240540000000001</v>
      </c>
      <c r="T6758">
        <v>-0.13865069999999999</v>
      </c>
      <c r="U6758">
        <v>3.0966800000000001</v>
      </c>
      <c r="V6758">
        <v>8.7430460000000002E-2</v>
      </c>
      <c r="W6758">
        <v>0.17272190000000001</v>
      </c>
      <c r="X6758">
        <v>0.98108260000000003</v>
      </c>
      <c r="Y6758">
        <v>-7.9876879999999997E-2</v>
      </c>
      <c r="Z6758">
        <v>-4.4577319999999997E-2</v>
      </c>
      <c r="AA6758">
        <v>0.99580749999999996</v>
      </c>
      <c r="AB6758">
        <v>28</v>
      </c>
      <c r="AC6758">
        <v>-2.0973999999999902</v>
      </c>
      <c r="AD6758">
        <v>-1.108940913209</v>
      </c>
      <c r="AE6758">
        <v>24.48554</v>
      </c>
      <c r="AF6758">
        <v>-1.9834138453436101</v>
      </c>
      <c r="AG6758">
        <v>-1.108940913209</v>
      </c>
      <c r="AH6758">
        <v>24.444934387607798</v>
      </c>
      <c r="AI6758">
        <v>92.588937547292005</v>
      </c>
      <c r="AJ6758">
        <v>94.6387050935856</v>
      </c>
      <c r="AK6758">
        <v>24.550325815461999</v>
      </c>
      <c r="AL6758">
        <v>80.053886099614502</v>
      </c>
      <c r="AM6758">
        <v>84.907464342510295</v>
      </c>
      <c r="AN6758">
        <v>1.00000000404909</v>
      </c>
    </row>
    <row r="6759" spans="1:40" x14ac:dyDescent="0.25">
      <c r="A6759" t="str">
        <f>"20190312164636829"</f>
        <v>20190312164636829</v>
      </c>
      <c r="B6759" t="str">
        <f>"1552380396818054"</f>
        <v>1552380396818054</v>
      </c>
      <c r="C6759" t="s">
        <v>40</v>
      </c>
      <c r="D6759">
        <v>4.7151740000000002</v>
      </c>
      <c r="E6759">
        <v>0.43380350000000001</v>
      </c>
      <c r="F6759" t="s">
        <v>42</v>
      </c>
      <c r="G6759">
        <v>-189.65469999999999</v>
      </c>
      <c r="H6759" s="1">
        <v>-1.7584639999999901E-6</v>
      </c>
      <c r="I6759">
        <v>93.589020000000005</v>
      </c>
      <c r="J6759">
        <v>-187.6112</v>
      </c>
      <c r="K6759">
        <v>1.1089329999999999</v>
      </c>
      <c r="L6759">
        <v>72.095640000000003</v>
      </c>
      <c r="M6759">
        <v>-4.5967220000000001E-3</v>
      </c>
      <c r="N6759">
        <v>0</v>
      </c>
      <c r="O6759">
        <v>0.99992449999999999</v>
      </c>
      <c r="P6759">
        <v>8.2565079999999999E-2</v>
      </c>
      <c r="Q6759">
        <v>0.16070419999999999</v>
      </c>
      <c r="R6759">
        <v>0.98354319999999895</v>
      </c>
      <c r="S6759">
        <v>-0.29127500000000001</v>
      </c>
      <c r="T6759">
        <v>-0.1579595</v>
      </c>
      <c r="U6759">
        <v>3.1012569999999999</v>
      </c>
      <c r="V6759">
        <v>8.7057720000000005E-2</v>
      </c>
      <c r="W6759">
        <v>0.17191119999999999</v>
      </c>
      <c r="X6759">
        <v>0.98125819999999997</v>
      </c>
      <c r="Y6759">
        <v>-8.8812160000000001E-2</v>
      </c>
      <c r="Z6759">
        <v>-5.065559E-2</v>
      </c>
      <c r="AA6759">
        <v>0.99475950000000002</v>
      </c>
      <c r="AB6759">
        <v>28</v>
      </c>
      <c r="AC6759">
        <v>-2.0434999999999901</v>
      </c>
      <c r="AD6759">
        <v>-1.1089347584639999</v>
      </c>
      <c r="AE6759">
        <v>21.493379999999899</v>
      </c>
      <c r="AF6759">
        <v>-1.9395561186477299</v>
      </c>
      <c r="AG6759">
        <v>-1.1089347584639999</v>
      </c>
      <c r="AH6759">
        <v>21.445969877612001</v>
      </c>
      <c r="AI6759">
        <v>92.948021022829707</v>
      </c>
      <c r="AJ6759">
        <v>95.167725054008699</v>
      </c>
      <c r="AK6759">
        <v>21.562032330635098</v>
      </c>
      <c r="AL6759">
        <v>80.101041923401695</v>
      </c>
      <c r="AM6759">
        <v>84.929964513247597</v>
      </c>
      <c r="AN6759">
        <v>1.0000000811821299</v>
      </c>
    </row>
    <row r="6760" spans="1:40" x14ac:dyDescent="0.25">
      <c r="A6760" t="str">
        <f>"20190312164636852"</f>
        <v>20190312164636852</v>
      </c>
      <c r="B6760" t="str">
        <f>"1552380396848310"</f>
        <v>1552380396848310</v>
      </c>
      <c r="C6760" t="s">
        <v>40</v>
      </c>
      <c r="D6760">
        <v>4.6681049999999997</v>
      </c>
      <c r="E6760">
        <v>0.43144739999999998</v>
      </c>
      <c r="F6760" t="s">
        <v>42</v>
      </c>
      <c r="G6760">
        <v>-189.57910000000001</v>
      </c>
      <c r="H6760" s="1">
        <v>-9.836068000000001E-7</v>
      </c>
      <c r="I6760">
        <v>91.751540000000006</v>
      </c>
      <c r="J6760">
        <v>-187.61259999999999</v>
      </c>
      <c r="K6760">
        <v>1.1089310000000001</v>
      </c>
      <c r="L6760">
        <v>72.379669999999905</v>
      </c>
      <c r="M6760">
        <v>-4.7060359999999898E-3</v>
      </c>
      <c r="N6760">
        <v>0</v>
      </c>
      <c r="O6760">
        <v>0.99992420000000004</v>
      </c>
      <c r="P6760">
        <v>8.1946069999999996E-2</v>
      </c>
      <c r="Q6760">
        <v>0.1601677</v>
      </c>
      <c r="R6760">
        <v>0.98368250000000002</v>
      </c>
      <c r="S6760">
        <v>-0.31085210000000002</v>
      </c>
      <c r="T6760">
        <v>-0.17516970000000001</v>
      </c>
      <c r="U6760">
        <v>3.104889</v>
      </c>
      <c r="V6760">
        <v>8.6546849999999995E-2</v>
      </c>
      <c r="W6760">
        <v>0.17136109999999999</v>
      </c>
      <c r="X6760">
        <v>0.98139949999999998</v>
      </c>
      <c r="Y6760">
        <v>-9.4778269999999998E-2</v>
      </c>
      <c r="Z6760">
        <v>-5.6060409999999998E-2</v>
      </c>
      <c r="AA6760">
        <v>0.99391870000000004</v>
      </c>
      <c r="AB6760">
        <v>28</v>
      </c>
      <c r="AC6760">
        <v>-1.9665000000000199</v>
      </c>
      <c r="AD6760">
        <v>-1.1089319836067999</v>
      </c>
      <c r="AE6760">
        <v>19.371870000000001</v>
      </c>
      <c r="AF6760">
        <v>-1.8692447023936201</v>
      </c>
      <c r="AG6760">
        <v>-1.1089319836067999</v>
      </c>
      <c r="AH6760">
        <v>19.318251677113999</v>
      </c>
      <c r="AI6760">
        <v>93.270123752019401</v>
      </c>
      <c r="AJ6760">
        <v>95.526765818409302</v>
      </c>
      <c r="AK6760">
        <v>19.4401299831563</v>
      </c>
      <c r="AL6760">
        <v>80.133034098897596</v>
      </c>
      <c r="AM6760">
        <v>84.960284634042196</v>
      </c>
      <c r="AN6760">
        <v>0.99999998121919098</v>
      </c>
    </row>
    <row r="6761" spans="1:40" x14ac:dyDescent="0.25">
      <c r="A6761" t="str">
        <f>"20190312164636875"</f>
        <v>20190312164636875</v>
      </c>
      <c r="B6761" t="str">
        <f>"1552380396867830"</f>
        <v>1552380396867830</v>
      </c>
      <c r="C6761" t="s">
        <v>40</v>
      </c>
      <c r="D6761">
        <v>4.5658640000000004</v>
      </c>
      <c r="E6761">
        <v>0.43018450000000003</v>
      </c>
      <c r="F6761" t="s">
        <v>42</v>
      </c>
      <c r="G6761">
        <v>-189.58709999999999</v>
      </c>
      <c r="H6761" s="1">
        <v>-6.0069860000000003E-7</v>
      </c>
      <c r="I6761">
        <v>90.862290000000002</v>
      </c>
      <c r="J6761">
        <v>-187.61410000000001</v>
      </c>
      <c r="K6761">
        <v>1.1089290000000001</v>
      </c>
      <c r="L6761">
        <v>72.665440000000004</v>
      </c>
      <c r="M6761">
        <v>-4.816135E-3</v>
      </c>
      <c r="N6761">
        <v>0</v>
      </c>
      <c r="O6761">
        <v>0.99992380000000003</v>
      </c>
      <c r="P6761">
        <v>8.1331059999999997E-2</v>
      </c>
      <c r="Q6761">
        <v>0.15939610000000001</v>
      </c>
      <c r="R6761">
        <v>0.98385880000000003</v>
      </c>
      <c r="S6761">
        <v>-0.33200069999999998</v>
      </c>
      <c r="T6761">
        <v>-0.18646299999999999</v>
      </c>
      <c r="U6761">
        <v>3.1077880000000002</v>
      </c>
      <c r="V6761">
        <v>8.6041030000000004E-2</v>
      </c>
      <c r="W6761">
        <v>0.17057829999999999</v>
      </c>
      <c r="X6761">
        <v>0.98158029999999996</v>
      </c>
      <c r="Y6761">
        <v>-0.10124519999999999</v>
      </c>
      <c r="Z6761">
        <v>-5.9567160000000001E-2</v>
      </c>
      <c r="AA6761">
        <v>0.99307659999999998</v>
      </c>
      <c r="AB6761">
        <v>28</v>
      </c>
      <c r="AC6761">
        <v>-1.9729999999999801</v>
      </c>
      <c r="AD6761">
        <v>-1.1089296006986</v>
      </c>
      <c r="AE6761">
        <v>18.196850000000001</v>
      </c>
      <c r="AF6761">
        <v>-1.8784379304482399</v>
      </c>
      <c r="AG6761">
        <v>-1.1089296006986</v>
      </c>
      <c r="AH6761">
        <v>18.139558311608301</v>
      </c>
      <c r="AI6761">
        <v>93.479759825321693</v>
      </c>
      <c r="AJ6761">
        <v>95.9121785492067</v>
      </c>
      <c r="AK6761">
        <v>18.270244378718299</v>
      </c>
      <c r="AL6761">
        <v>80.178555174451503</v>
      </c>
      <c r="AM6761">
        <v>84.990506887179393</v>
      </c>
      <c r="AN6761">
        <v>0.99999995031121902</v>
      </c>
    </row>
    <row r="6762" spans="1:40" x14ac:dyDescent="0.25">
      <c r="A6762" t="str">
        <f>"20190312164636896"</f>
        <v>20190312164636896</v>
      </c>
      <c r="B6762" t="str">
        <f>"1552380396888326"</f>
        <v>1552380396888326</v>
      </c>
      <c r="C6762" t="s">
        <v>40</v>
      </c>
      <c r="D6762">
        <v>4.6730450000000001</v>
      </c>
      <c r="E6762">
        <v>0.4291046</v>
      </c>
      <c r="F6762" t="s">
        <v>42</v>
      </c>
      <c r="G6762">
        <v>-189.61799999999999</v>
      </c>
      <c r="H6762" s="1">
        <v>-5.5747889999999997E-7</v>
      </c>
      <c r="I6762">
        <v>90.77431</v>
      </c>
      <c r="J6762">
        <v>-187.6155</v>
      </c>
      <c r="K6762">
        <v>1.108924</v>
      </c>
      <c r="L6762">
        <v>72.928889999999996</v>
      </c>
      <c r="M6762">
        <v>-4.9176439999999997E-3</v>
      </c>
      <c r="N6762">
        <v>0</v>
      </c>
      <c r="O6762">
        <v>0.99992340000000002</v>
      </c>
      <c r="P6762">
        <v>8.1519170000000002E-2</v>
      </c>
      <c r="Q6762">
        <v>0.1585606</v>
      </c>
      <c r="R6762">
        <v>0.98397820000000003</v>
      </c>
      <c r="S6762">
        <v>-0.34397889999999998</v>
      </c>
      <c r="T6762">
        <v>-0.19035389999999999</v>
      </c>
      <c r="U6762">
        <v>3.1084900000000002</v>
      </c>
      <c r="V6762">
        <v>8.6329680000000006E-2</v>
      </c>
      <c r="W6762">
        <v>0.16973350000000001</v>
      </c>
      <c r="X6762">
        <v>0.98170139999999995</v>
      </c>
      <c r="Y6762">
        <v>-0.1048938</v>
      </c>
      <c r="Z6762">
        <v>-6.076782E-2</v>
      </c>
      <c r="AA6762">
        <v>0.99262510000000004</v>
      </c>
      <c r="AB6762">
        <v>28</v>
      </c>
      <c r="AC6762">
        <v>-2.0024999999999902</v>
      </c>
      <c r="AD6762">
        <v>-1.1089245574789</v>
      </c>
      <c r="AE6762">
        <v>17.845420000000001</v>
      </c>
      <c r="AF6762">
        <v>-1.9074388111678899</v>
      </c>
      <c r="AG6762">
        <v>-1.1089245574789</v>
      </c>
      <c r="AH6762">
        <v>17.787222047192699</v>
      </c>
      <c r="AI6762">
        <v>93.547139686426902</v>
      </c>
      <c r="AJ6762">
        <v>96.120805968056899</v>
      </c>
      <c r="AK6762">
        <v>17.9235405165572</v>
      </c>
      <c r="AL6762">
        <v>80.2276750224854</v>
      </c>
      <c r="AM6762">
        <v>84.974403854247001</v>
      </c>
      <c r="AN6762">
        <v>0.99999995671655495</v>
      </c>
    </row>
    <row r="6763" spans="1:40" x14ac:dyDescent="0.25">
      <c r="A6763" t="str">
        <f>"20190312164636918"</f>
        <v>20190312164636918</v>
      </c>
      <c r="B6763" t="str">
        <f>"1552380396907849"</f>
        <v>1552380396907849</v>
      </c>
      <c r="C6763" t="s">
        <v>40</v>
      </c>
      <c r="D6763">
        <v>4.8765850000000004</v>
      </c>
      <c r="E6763">
        <v>0.42819380000000001</v>
      </c>
      <c r="F6763" t="s">
        <v>42</v>
      </c>
      <c r="G6763">
        <v>-189.64660000000001</v>
      </c>
      <c r="H6763" s="1">
        <v>-5.9829549999999898E-7</v>
      </c>
      <c r="I6763">
        <v>90.881290000000007</v>
      </c>
      <c r="J6763">
        <v>-187.61699999999999</v>
      </c>
      <c r="K6763">
        <v>1.1089199999999999</v>
      </c>
      <c r="L6763">
        <v>73.202609999999893</v>
      </c>
      <c r="M6763">
        <v>-5.0231590000000001E-3</v>
      </c>
      <c r="N6763">
        <v>0</v>
      </c>
      <c r="O6763">
        <v>0.99992300000000001</v>
      </c>
      <c r="P6763">
        <v>8.1777320000000001E-2</v>
      </c>
      <c r="Q6763">
        <v>0.1579644</v>
      </c>
      <c r="R6763">
        <v>0.9840527</v>
      </c>
      <c r="S6763">
        <v>-0.35174559999999999</v>
      </c>
      <c r="T6763">
        <v>-0.19204060000000001</v>
      </c>
      <c r="U6763">
        <v>3.1089479999999998</v>
      </c>
      <c r="V6763">
        <v>8.6692069999999996E-2</v>
      </c>
      <c r="W6763">
        <v>0.16912869999999999</v>
      </c>
      <c r="X6763">
        <v>0.98177389999999998</v>
      </c>
      <c r="Y6763">
        <v>-0.1072182</v>
      </c>
      <c r="Z6763">
        <v>-6.1279189999999997E-2</v>
      </c>
      <c r="AA6763">
        <v>0.99234529999999999</v>
      </c>
      <c r="AB6763">
        <v>28</v>
      </c>
      <c r="AC6763">
        <v>-2.0295999999999799</v>
      </c>
      <c r="AD6763">
        <v>-1.1089205982954999</v>
      </c>
      <c r="AE6763">
        <v>17.67868</v>
      </c>
      <c r="AF6763">
        <v>-1.9332581959302999</v>
      </c>
      <c r="AG6763">
        <v>-1.1089205982954999</v>
      </c>
      <c r="AH6763">
        <v>17.620225827988801</v>
      </c>
      <c r="AI6763">
        <v>93.579707892447999</v>
      </c>
      <c r="AJ6763">
        <v>96.261341014949807</v>
      </c>
      <c r="AK6763">
        <v>17.760617961511901</v>
      </c>
      <c r="AL6763">
        <v>80.262836404397206</v>
      </c>
      <c r="AM6763">
        <v>84.953787141902396</v>
      </c>
      <c r="AN6763">
        <v>1.00000001144289</v>
      </c>
    </row>
    <row r="6764" spans="1:40" x14ac:dyDescent="0.25">
      <c r="A6764" t="str">
        <f>"20190312164636940"</f>
        <v>20190312164636940</v>
      </c>
      <c r="B6764" t="str">
        <f>"1552380396928345"</f>
        <v>1552380396928345</v>
      </c>
      <c r="C6764" t="s">
        <v>40</v>
      </c>
      <c r="D6764">
        <v>4.6464169999999996</v>
      </c>
      <c r="E6764">
        <v>0.42741089999999998</v>
      </c>
      <c r="F6764" t="s">
        <v>42</v>
      </c>
      <c r="G6764">
        <v>-189.67699999999999</v>
      </c>
      <c r="H6764" s="1">
        <v>-6.783478E-7</v>
      </c>
      <c r="I6764">
        <v>91.080470000000005</v>
      </c>
      <c r="J6764">
        <v>-187.61840000000001</v>
      </c>
      <c r="K6764">
        <v>1.1089169999999999</v>
      </c>
      <c r="L6764">
        <v>73.466709999999907</v>
      </c>
      <c r="M6764">
        <v>-5.1251389999999999E-3</v>
      </c>
      <c r="N6764">
        <v>0</v>
      </c>
      <c r="O6764">
        <v>0.99992259999999999</v>
      </c>
      <c r="P6764">
        <v>8.2065920000000001E-2</v>
      </c>
      <c r="Q6764">
        <v>0.15769520000000001</v>
      </c>
      <c r="R6764">
        <v>0.9840719</v>
      </c>
      <c r="S6764">
        <v>-0.35829159999999999</v>
      </c>
      <c r="T6764">
        <v>-0.19286700000000001</v>
      </c>
      <c r="U6764">
        <v>3.109375</v>
      </c>
      <c r="V6764">
        <v>8.7081130000000007E-2</v>
      </c>
      <c r="W6764">
        <v>0.1688519</v>
      </c>
      <c r="X6764">
        <v>0.98178710000000002</v>
      </c>
      <c r="Y6764">
        <v>-0.10916190000000001</v>
      </c>
      <c r="Z6764">
        <v>-6.1519669999999999E-2</v>
      </c>
      <c r="AA6764">
        <v>0.99211839999999996</v>
      </c>
      <c r="AB6764">
        <v>28</v>
      </c>
      <c r="AC6764">
        <v>-2.05860000000001</v>
      </c>
      <c r="AD6764">
        <v>-1.1089176783478001</v>
      </c>
      <c r="AE6764">
        <v>17.613759999999999</v>
      </c>
      <c r="AF6764">
        <v>-1.96062768436178</v>
      </c>
      <c r="AG6764">
        <v>-1.1089176783478001</v>
      </c>
      <c r="AH6764">
        <v>17.555434142029899</v>
      </c>
      <c r="AI6764">
        <v>93.5921059375694</v>
      </c>
      <c r="AJ6764">
        <v>96.372505788263894</v>
      </c>
      <c r="AK6764">
        <v>17.699351040340101</v>
      </c>
      <c r="AL6764">
        <v>80.278927173159104</v>
      </c>
      <c r="AM6764">
        <v>84.931326060445201</v>
      </c>
      <c r="AN6764">
        <v>0.99999999853104804</v>
      </c>
    </row>
    <row r="6765" spans="1:40" x14ac:dyDescent="0.25">
      <c r="A6765" t="str">
        <f>"20190312164636962"</f>
        <v>20190312164636962</v>
      </c>
      <c r="B6765" t="str">
        <f>"1552380396957622"</f>
        <v>1552380396957622</v>
      </c>
      <c r="C6765" t="s">
        <v>40</v>
      </c>
      <c r="D6765">
        <v>4.6074869999999999</v>
      </c>
      <c r="E6765">
        <v>0.42660090000000001</v>
      </c>
      <c r="F6765" t="s">
        <v>42</v>
      </c>
      <c r="G6765">
        <v>-189.71889999999999</v>
      </c>
      <c r="H6765" s="1">
        <v>-8.1935840000000002E-7</v>
      </c>
      <c r="I6765">
        <v>91.426479999999998</v>
      </c>
      <c r="J6765">
        <v>-187.6199</v>
      </c>
      <c r="K6765">
        <v>1.108914</v>
      </c>
      <c r="L6765">
        <v>73.74091</v>
      </c>
      <c r="M6765">
        <v>-5.2310179999999996E-3</v>
      </c>
      <c r="N6765">
        <v>0</v>
      </c>
      <c r="O6765">
        <v>0.99992210000000004</v>
      </c>
      <c r="P6765">
        <v>8.2532939999999999E-2</v>
      </c>
      <c r="Q6765">
        <v>0.15758910000000001</v>
      </c>
      <c r="R6765">
        <v>0.98404979999999997</v>
      </c>
      <c r="S6765">
        <v>-0.36369319999999999</v>
      </c>
      <c r="T6765">
        <v>-0.1920037</v>
      </c>
      <c r="U6765">
        <v>3.1096499999999998</v>
      </c>
      <c r="V6765">
        <v>8.7652209999999994E-2</v>
      </c>
      <c r="W6765">
        <v>0.16873859999999999</v>
      </c>
      <c r="X6765">
        <v>0.98175570000000001</v>
      </c>
      <c r="Y6765">
        <v>-0.1107491</v>
      </c>
      <c r="Z6765">
        <v>-6.1228449999999997E-2</v>
      </c>
      <c r="AA6765">
        <v>0.99196050000000002</v>
      </c>
      <c r="AB6765">
        <v>28</v>
      </c>
      <c r="AC6765">
        <v>-2.0989999999999802</v>
      </c>
      <c r="AD6765">
        <v>-1.1089148193584</v>
      </c>
      <c r="AE6765">
        <v>17.685569999999998</v>
      </c>
      <c r="AF6765">
        <v>-1.9987030498704501</v>
      </c>
      <c r="AG6765">
        <v>-1.1089148193584</v>
      </c>
      <c r="AH6765">
        <v>17.627966920749</v>
      </c>
      <c r="AI6765">
        <v>93.576680817733006</v>
      </c>
      <c r="AJ6765">
        <v>96.468713691991894</v>
      </c>
      <c r="AK6765">
        <v>17.775537227245099</v>
      </c>
      <c r="AL6765">
        <v>80.285512711841307</v>
      </c>
      <c r="AM6765">
        <v>84.898098125980994</v>
      </c>
      <c r="AN6765">
        <v>0.99999993976516499</v>
      </c>
    </row>
    <row r="6766" spans="1:40" x14ac:dyDescent="0.25">
      <c r="A6766" t="str">
        <f>"20190312164636985"</f>
        <v>20190312164636985</v>
      </c>
      <c r="B6766" t="str">
        <f>"1552380396978118"</f>
        <v>1552380396978118</v>
      </c>
      <c r="C6766" t="s">
        <v>40</v>
      </c>
      <c r="D6766">
        <v>4.8782129999999997</v>
      </c>
      <c r="E6766">
        <v>0.42746800000000001</v>
      </c>
      <c r="F6766" t="s">
        <v>42</v>
      </c>
      <c r="G6766">
        <v>-189.77420000000001</v>
      </c>
      <c r="H6766" s="1">
        <v>-1.0226299999999999E-6</v>
      </c>
      <c r="I6766">
        <v>91.923180000000002</v>
      </c>
      <c r="J6766">
        <v>-187.6216</v>
      </c>
      <c r="K6766">
        <v>1.108911</v>
      </c>
      <c r="L6766">
        <v>74.035640000000001</v>
      </c>
      <c r="M6766">
        <v>-5.3444900000000004E-3</v>
      </c>
      <c r="N6766">
        <v>0</v>
      </c>
      <c r="O6766">
        <v>0.99992159999999997</v>
      </c>
      <c r="P6766">
        <v>8.3330139999999997E-2</v>
      </c>
      <c r="Q6766">
        <v>0.1568186</v>
      </c>
      <c r="R6766">
        <v>0.98410569999999997</v>
      </c>
      <c r="S6766">
        <v>-0.3684692</v>
      </c>
      <c r="T6766">
        <v>-0.1896687</v>
      </c>
      <c r="U6766">
        <v>3.1098940000000002</v>
      </c>
      <c r="V6766">
        <v>8.8561329999999994E-2</v>
      </c>
      <c r="W6766">
        <v>0.1679621</v>
      </c>
      <c r="X6766">
        <v>0.9818074</v>
      </c>
      <c r="Y6766">
        <v>-0.1121352</v>
      </c>
      <c r="Z6766">
        <v>-6.0471709999999998E-2</v>
      </c>
      <c r="AA6766">
        <v>0.99185120000000004</v>
      </c>
      <c r="AB6766">
        <v>28</v>
      </c>
      <c r="AC6766">
        <v>-2.1526000000000001</v>
      </c>
      <c r="AD6766">
        <v>-1.10891202263</v>
      </c>
      <c r="AE6766">
        <v>17.887539999999898</v>
      </c>
      <c r="AF6766">
        <v>-2.0492002822411099</v>
      </c>
      <c r="AG6766">
        <v>-1.10891202263</v>
      </c>
      <c r="AH6766">
        <v>17.831239037240898</v>
      </c>
      <c r="AI6766">
        <v>93.535390838085803</v>
      </c>
      <c r="AJ6766">
        <v>96.555781276755297</v>
      </c>
      <c r="AK6766">
        <v>17.982824952545499</v>
      </c>
      <c r="AL6766">
        <v>80.330648386471196</v>
      </c>
      <c r="AM6766">
        <v>84.845735277925598</v>
      </c>
      <c r="AN6766">
        <v>1.00000007345126</v>
      </c>
    </row>
    <row r="6767" spans="1:40" x14ac:dyDescent="0.25">
      <c r="A6767" t="str">
        <f>"20190312164637008"</f>
        <v>20190312164637008</v>
      </c>
      <c r="B6767" t="str">
        <f>"1552380396997638"</f>
        <v>1552380396997638</v>
      </c>
      <c r="C6767" t="s">
        <v>40</v>
      </c>
      <c r="D6767">
        <v>4.9382099999999998</v>
      </c>
      <c r="E6767">
        <v>0.49913980000000002</v>
      </c>
      <c r="F6767" t="s">
        <v>42</v>
      </c>
      <c r="G6767">
        <v>-189.71789999999999</v>
      </c>
      <c r="H6767" s="1">
        <v>-1.138655E-6</v>
      </c>
      <c r="I6767">
        <v>92.170370000000005</v>
      </c>
      <c r="J6767">
        <v>-187.6232</v>
      </c>
      <c r="K6767">
        <v>1.108903</v>
      </c>
      <c r="L6767">
        <v>74.320650000000001</v>
      </c>
      <c r="M6767">
        <v>-5.4542180000000003E-3</v>
      </c>
      <c r="N6767">
        <v>0</v>
      </c>
      <c r="O6767">
        <v>0.99992110000000001</v>
      </c>
      <c r="P6767">
        <v>8.4035479999999996E-2</v>
      </c>
      <c r="Q6767">
        <v>0.15662479999999901</v>
      </c>
      <c r="R6767">
        <v>0.98407659999999997</v>
      </c>
      <c r="S6767">
        <v>-0.35942079999999998</v>
      </c>
      <c r="T6767">
        <v>-0.1901226</v>
      </c>
      <c r="U6767">
        <v>3.1091920000000002</v>
      </c>
      <c r="V6767">
        <v>8.9374419999999996E-2</v>
      </c>
      <c r="W6767">
        <v>0.167762299999999</v>
      </c>
      <c r="X6767">
        <v>0.98176779999999997</v>
      </c>
      <c r="Y6767">
        <v>-0.1092031</v>
      </c>
      <c r="Z6767">
        <v>-6.0649509999999997E-2</v>
      </c>
      <c r="AA6767">
        <v>0.99216749999999998</v>
      </c>
      <c r="AB6767">
        <v>28</v>
      </c>
      <c r="AC6767">
        <v>-2.09469999999998</v>
      </c>
      <c r="AD6767">
        <v>-1.108904138655</v>
      </c>
      <c r="AE6767">
        <v>17.849719999999898</v>
      </c>
      <c r="AF6767">
        <v>-1.9897313944188699</v>
      </c>
      <c r="AG6767">
        <v>-1.108904138655</v>
      </c>
      <c r="AH6767">
        <v>17.7931413059537</v>
      </c>
      <c r="AI6767">
        <v>93.544141193019698</v>
      </c>
      <c r="AJ6767">
        <v>96.380635093490596</v>
      </c>
      <c r="AK6767">
        <v>17.938354911872398</v>
      </c>
      <c r="AL6767">
        <v>80.342260089892406</v>
      </c>
      <c r="AM6767">
        <v>84.798463225396105</v>
      </c>
      <c r="AN6767">
        <v>0.99999999468423295</v>
      </c>
    </row>
    <row r="6768" spans="1:40" x14ac:dyDescent="0.25">
      <c r="A6768" t="str">
        <f>"20190312164637029"</f>
        <v>20190312164637029</v>
      </c>
      <c r="B6768" t="str">
        <f>"1552380397018134"</f>
        <v>1552380397018134</v>
      </c>
      <c r="C6768" t="s">
        <v>40</v>
      </c>
      <c r="D6768">
        <v>4.9738670000000003</v>
      </c>
      <c r="E6768">
        <v>0.50547629999999999</v>
      </c>
      <c r="F6768" t="s">
        <v>42</v>
      </c>
      <c r="G6768">
        <v>-186.02289999999999</v>
      </c>
      <c r="H6768" s="1">
        <v>-3.8737120000000002E-6</v>
      </c>
      <c r="I6768">
        <v>97.018039999999999</v>
      </c>
      <c r="J6768">
        <v>-187.62469999999999</v>
      </c>
      <c r="K6768">
        <v>1.1089009999999999</v>
      </c>
      <c r="L6768">
        <v>74.578669999999903</v>
      </c>
      <c r="M6768">
        <v>-5.5535419999999999E-3</v>
      </c>
      <c r="N6768">
        <v>0</v>
      </c>
      <c r="O6768">
        <v>0.99992049999999999</v>
      </c>
      <c r="P6768">
        <v>8.4590330000000005E-2</v>
      </c>
      <c r="Q6768">
        <v>0.15601999999999999</v>
      </c>
      <c r="R6768">
        <v>0.98412509999999997</v>
      </c>
      <c r="S6768">
        <v>0.2153168</v>
      </c>
      <c r="T6768">
        <v>-0.14920310000000001</v>
      </c>
      <c r="U6768">
        <v>3.053925</v>
      </c>
      <c r="V6768">
        <v>9.0027309999999999E-2</v>
      </c>
      <c r="W6768">
        <v>0.16715450000000001</v>
      </c>
      <c r="X6768">
        <v>0.98181180000000001</v>
      </c>
      <c r="Y6768">
        <v>7.5786080000000006E-2</v>
      </c>
      <c r="Z6768">
        <v>-4.866641E-2</v>
      </c>
      <c r="AA6768">
        <v>0.99593569999999998</v>
      </c>
      <c r="AB6768">
        <v>28</v>
      </c>
      <c r="AC6768">
        <v>1.6017999999999899</v>
      </c>
      <c r="AD6768">
        <v>-1.108904873712</v>
      </c>
      <c r="AE6768">
        <v>22.43937</v>
      </c>
      <c r="AF6768">
        <v>1.72221672521533</v>
      </c>
      <c r="AG6768">
        <v>-1.108904873712</v>
      </c>
      <c r="AH6768">
        <v>22.375760392384201</v>
      </c>
      <c r="AI6768">
        <v>92.828807816435699</v>
      </c>
      <c r="AJ6768">
        <v>85.598737929815101</v>
      </c>
      <c r="AK6768">
        <v>22.469320274653199</v>
      </c>
      <c r="AL6768">
        <v>80.377583087282801</v>
      </c>
      <c r="AM6768">
        <v>84.760909628173494</v>
      </c>
      <c r="AN6768">
        <v>0.99999997701766197</v>
      </c>
    </row>
    <row r="6769" spans="1:40" x14ac:dyDescent="0.25">
      <c r="A6769" t="str">
        <f>"20190312164637053"</f>
        <v>20190312164637053</v>
      </c>
      <c r="B6769" t="str">
        <f>"1552380397048390"</f>
        <v>1552380397048390</v>
      </c>
      <c r="C6769" t="s">
        <v>40</v>
      </c>
      <c r="D6769">
        <v>5.2367850000000002</v>
      </c>
      <c r="E6769">
        <v>0.50864790000000004</v>
      </c>
      <c r="F6769" t="s">
        <v>42</v>
      </c>
      <c r="G6769">
        <v>-185.46199999999999</v>
      </c>
      <c r="H6769" s="1">
        <v>-4.879735E-6</v>
      </c>
      <c r="I6769">
        <v>99.131140000000002</v>
      </c>
      <c r="J6769">
        <v>-187.62639999999999</v>
      </c>
      <c r="K6769">
        <v>1.1088979999999999</v>
      </c>
      <c r="L6769">
        <v>74.866879999999995</v>
      </c>
      <c r="M6769">
        <v>-5.6648030000000004E-3</v>
      </c>
      <c r="N6769">
        <v>0</v>
      </c>
      <c r="O6769">
        <v>0.99992000000000003</v>
      </c>
      <c r="P6769">
        <v>8.4757659999999999E-2</v>
      </c>
      <c r="Q6769">
        <v>0.15580260000000001</v>
      </c>
      <c r="R6769">
        <v>0.98414520000000005</v>
      </c>
      <c r="S6769">
        <v>0.26841739999999997</v>
      </c>
      <c r="T6769">
        <v>-0.13762369999999999</v>
      </c>
      <c r="U6769">
        <v>3.0471499999999998</v>
      </c>
      <c r="V6769">
        <v>9.0304270000000006E-2</v>
      </c>
      <c r="W6769">
        <v>0.16693350000000001</v>
      </c>
      <c r="X6769">
        <v>0.98182400000000003</v>
      </c>
      <c r="Y6769">
        <v>9.3301510000000004E-2</v>
      </c>
      <c r="Z6769">
        <v>-4.4932420000000001E-2</v>
      </c>
      <c r="AA6769">
        <v>0.99462349999999999</v>
      </c>
      <c r="AB6769">
        <v>28</v>
      </c>
      <c r="AC6769">
        <v>2.1643999999999699</v>
      </c>
      <c r="AD6769">
        <v>-1.108902879735</v>
      </c>
      <c r="AE6769">
        <v>24.26426</v>
      </c>
      <c r="AF6769">
        <v>2.2970665569080801</v>
      </c>
      <c r="AG6769">
        <v>-1.108902879735</v>
      </c>
      <c r="AH6769">
        <v>24.201461064534101</v>
      </c>
      <c r="AI6769">
        <v>92.611717228073204</v>
      </c>
      <c r="AJ6769">
        <v>84.578049597743998</v>
      </c>
      <c r="AK6769">
        <v>24.335506939895701</v>
      </c>
      <c r="AL6769">
        <v>80.390426231228005</v>
      </c>
      <c r="AM6769">
        <v>84.744947127518898</v>
      </c>
      <c r="AN6769">
        <v>1.0000000107892399</v>
      </c>
    </row>
    <row r="6770" spans="1:40" x14ac:dyDescent="0.25">
      <c r="A6770" t="str">
        <f>"20190312164637074"</f>
        <v>20190312164637074</v>
      </c>
      <c r="B6770" t="str">
        <f>"1552380397067910"</f>
        <v>1552380397067910</v>
      </c>
      <c r="C6770" t="s">
        <v>40</v>
      </c>
      <c r="D6770">
        <v>5.0546129999999998</v>
      </c>
      <c r="E6770">
        <v>0.50964030000000005</v>
      </c>
      <c r="F6770" t="s">
        <v>42</v>
      </c>
      <c r="G6770">
        <v>-184.89279999999999</v>
      </c>
      <c r="H6770" s="1">
        <v>-2.5177189999999999E-6</v>
      </c>
      <c r="I6770">
        <v>103.05329999999999</v>
      </c>
      <c r="J6770">
        <v>-187.62819999999999</v>
      </c>
      <c r="K6770">
        <v>1.1088899999999999</v>
      </c>
      <c r="L6770">
        <v>75.146730000000005</v>
      </c>
      <c r="M6770">
        <v>-5.7727280000000004E-3</v>
      </c>
      <c r="N6770">
        <v>0</v>
      </c>
      <c r="O6770">
        <v>0.99991940000000001</v>
      </c>
      <c r="P6770">
        <v>8.5246730000000007E-2</v>
      </c>
      <c r="Q6770">
        <v>0.15518299999999999</v>
      </c>
      <c r="R6770">
        <v>0.98420079999999999</v>
      </c>
      <c r="S6770">
        <v>0.29501339999999998</v>
      </c>
      <c r="T6770">
        <v>-0.11967220000000001</v>
      </c>
      <c r="U6770">
        <v>3.0418699999999999</v>
      </c>
      <c r="V6770">
        <v>9.0899880000000002E-2</v>
      </c>
      <c r="W6770">
        <v>0.1663115</v>
      </c>
      <c r="X6770">
        <v>0.98187460000000004</v>
      </c>
      <c r="Y6770">
        <v>0.102202</v>
      </c>
      <c r="Z6770">
        <v>-3.9115700000000003E-2</v>
      </c>
      <c r="AA6770">
        <v>0.99399439999999994</v>
      </c>
      <c r="AB6770">
        <v>28</v>
      </c>
      <c r="AC6770">
        <v>2.7353999999999901</v>
      </c>
      <c r="AD6770">
        <v>-1.1088925177190001</v>
      </c>
      <c r="AE6770">
        <v>27.906569999999899</v>
      </c>
      <c r="AF6770">
        <v>2.8919390069026401</v>
      </c>
      <c r="AG6770">
        <v>-1.1088925177190001</v>
      </c>
      <c r="AH6770">
        <v>27.846763241675099</v>
      </c>
      <c r="AI6770">
        <v>92.268198026799894</v>
      </c>
      <c r="AJ6770">
        <v>84.070979274768206</v>
      </c>
      <c r="AK6770">
        <v>28.018479203436598</v>
      </c>
      <c r="AL6770">
        <v>80.426569517991197</v>
      </c>
      <c r="AM6770">
        <v>84.710753956973306</v>
      </c>
      <c r="AN6770">
        <v>1.0000000166707099</v>
      </c>
    </row>
    <row r="6771" spans="1:40" x14ac:dyDescent="0.25">
      <c r="A6771" t="str">
        <f>"20190312164637098"</f>
        <v>20190312164637098</v>
      </c>
      <c r="B6771" t="str">
        <f>"1552380397088423"</f>
        <v>1552380397088423</v>
      </c>
      <c r="C6771" t="s">
        <v>40</v>
      </c>
      <c r="D6771">
        <v>4.9087379999999996</v>
      </c>
      <c r="E6771">
        <v>0.50982919999999998</v>
      </c>
      <c r="F6771" t="s">
        <v>42</v>
      </c>
      <c r="G6771">
        <v>-184.63040000000001</v>
      </c>
      <c r="H6771" s="1">
        <v>-3.315467E-6</v>
      </c>
      <c r="I6771">
        <v>105.14100000000001</v>
      </c>
      <c r="J6771">
        <v>-187.62989999999999</v>
      </c>
      <c r="K6771">
        <v>1.1088880000000001</v>
      </c>
      <c r="L6771">
        <v>75.429199999999994</v>
      </c>
      <c r="M6771">
        <v>-5.8816299999999997E-3</v>
      </c>
      <c r="N6771">
        <v>0</v>
      </c>
      <c r="O6771">
        <v>0.9999188</v>
      </c>
      <c r="P6771">
        <v>8.5435839999999999E-2</v>
      </c>
      <c r="Q6771">
        <v>0.15442549999999999</v>
      </c>
      <c r="R6771">
        <v>0.9843035</v>
      </c>
      <c r="S6771">
        <v>0.30378719999999998</v>
      </c>
      <c r="T6771">
        <v>-0.1123729</v>
      </c>
      <c r="U6771">
        <v>3.0395509999999999</v>
      </c>
      <c r="V6771">
        <v>9.1196830000000006E-2</v>
      </c>
      <c r="W6771">
        <v>0.16555249999999999</v>
      </c>
      <c r="X6771">
        <v>0.9819753</v>
      </c>
      <c r="Y6771">
        <v>0.1052332</v>
      </c>
      <c r="Z6771">
        <v>-3.6750030000000003E-2</v>
      </c>
      <c r="AA6771">
        <v>0.99376830000000005</v>
      </c>
      <c r="AB6771">
        <v>28</v>
      </c>
      <c r="AC6771">
        <v>2.9994999999999798</v>
      </c>
      <c r="AD6771">
        <v>-1.1088913154669999</v>
      </c>
      <c r="AE6771">
        <v>29.7118</v>
      </c>
      <c r="AF6771">
        <v>3.1698423632941202</v>
      </c>
      <c r="AG6771">
        <v>-1.1088913154669999</v>
      </c>
      <c r="AH6771">
        <v>29.652756298638401</v>
      </c>
      <c r="AI6771">
        <v>92.129507440784394</v>
      </c>
      <c r="AJ6771">
        <v>83.898324783668002</v>
      </c>
      <c r="AK6771">
        <v>29.8423105114884</v>
      </c>
      <c r="AL6771">
        <v>80.470668100919994</v>
      </c>
      <c r="AM6771">
        <v>84.694114685313593</v>
      </c>
      <c r="AN6771">
        <v>0.99999999093419401</v>
      </c>
    </row>
    <row r="6772" spans="1:40" x14ac:dyDescent="0.25">
      <c r="A6772" t="str">
        <f>"20190312164637119"</f>
        <v>20190312164637119</v>
      </c>
      <c r="B6772" t="str">
        <f>"1552380397107929"</f>
        <v>1552380397107929</v>
      </c>
      <c r="C6772" t="s">
        <v>40</v>
      </c>
      <c r="D6772">
        <v>5.0791000000000004</v>
      </c>
      <c r="E6772">
        <v>0.51025659999999995</v>
      </c>
      <c r="F6772" t="s">
        <v>42</v>
      </c>
      <c r="G6772">
        <v>-184.76009999999999</v>
      </c>
      <c r="H6772" s="1">
        <v>-2.8517320000000002E-6</v>
      </c>
      <c r="I6772">
        <v>103.9311</v>
      </c>
      <c r="J6772">
        <v>-187.63159999999999</v>
      </c>
      <c r="K6772">
        <v>1.1088880000000001</v>
      </c>
      <c r="L6772">
        <v>75.698119999999903</v>
      </c>
      <c r="M6772">
        <v>-5.9851100000000001E-3</v>
      </c>
      <c r="N6772">
        <v>0</v>
      </c>
      <c r="O6772">
        <v>0.99991819999999998</v>
      </c>
      <c r="P6772">
        <v>8.5465299999999994E-2</v>
      </c>
      <c r="Q6772">
        <v>0.15364059999999999</v>
      </c>
      <c r="R6772">
        <v>0.98442379999999996</v>
      </c>
      <c r="S6772">
        <v>0.30607600000000001</v>
      </c>
      <c r="T6772">
        <v>-0.1182671</v>
      </c>
      <c r="U6772">
        <v>3.039825</v>
      </c>
      <c r="V6772">
        <v>9.1328900000000005E-2</v>
      </c>
      <c r="W6772">
        <v>0.16476389999999999</v>
      </c>
      <c r="X6772">
        <v>0.98209570000000002</v>
      </c>
      <c r="Y6772">
        <v>0.1060608</v>
      </c>
      <c r="Z6772">
        <v>-3.866816E-2</v>
      </c>
      <c r="AA6772">
        <v>0.99360749999999998</v>
      </c>
      <c r="AB6772">
        <v>28</v>
      </c>
      <c r="AC6772">
        <v>2.8714999999999899</v>
      </c>
      <c r="AD6772">
        <v>-1.108890851732</v>
      </c>
      <c r="AE6772">
        <v>28.232980000000001</v>
      </c>
      <c r="AF6772">
        <v>3.03580165318261</v>
      </c>
      <c r="AG6772">
        <v>-1.108890851732</v>
      </c>
      <c r="AH6772">
        <v>28.172272243600599</v>
      </c>
      <c r="AI6772">
        <v>92.241098945933999</v>
      </c>
      <c r="AJ6772">
        <v>83.849625599402003</v>
      </c>
      <c r="AK6772">
        <v>28.357056510965201</v>
      </c>
      <c r="AL6772">
        <v>80.516481138825398</v>
      </c>
      <c r="AM6772">
        <v>84.687122407944997</v>
      </c>
      <c r="AN6772">
        <v>1.0000000373384501</v>
      </c>
    </row>
    <row r="6773" spans="1:40" x14ac:dyDescent="0.25">
      <c r="A6773" t="str">
        <f>"20190312164637140"</f>
        <v>20190312164637140</v>
      </c>
      <c r="B6773" t="str">
        <f>"1552380397128422"</f>
        <v>1552380397128422</v>
      </c>
      <c r="C6773" t="s">
        <v>40</v>
      </c>
      <c r="D6773">
        <v>5.2317109999999998</v>
      </c>
      <c r="E6773">
        <v>0.51074750000000002</v>
      </c>
      <c r="F6773" t="s">
        <v>42</v>
      </c>
      <c r="G6773">
        <v>-184.8801</v>
      </c>
      <c r="H6773" s="1">
        <v>-2.4162019999999999E-6</v>
      </c>
      <c r="I6773">
        <v>102.74509999999999</v>
      </c>
      <c r="J6773">
        <v>-187.63329999999999</v>
      </c>
      <c r="K6773">
        <v>1.1088769999999999</v>
      </c>
      <c r="L6773">
        <v>75.961429999999993</v>
      </c>
      <c r="M6773">
        <v>-6.0863419999999998E-3</v>
      </c>
      <c r="N6773">
        <v>0</v>
      </c>
      <c r="O6773">
        <v>0.99991770000000002</v>
      </c>
      <c r="P6773">
        <v>8.5825620000000005E-2</v>
      </c>
      <c r="Q6773">
        <v>0.15297430000000001</v>
      </c>
      <c r="R6773">
        <v>0.98449620000000004</v>
      </c>
      <c r="S6773">
        <v>0.30926510000000001</v>
      </c>
      <c r="T6773">
        <v>-0.124638899999999</v>
      </c>
      <c r="U6773">
        <v>3.0400700000000001</v>
      </c>
      <c r="V6773">
        <v>9.1789319999999994E-2</v>
      </c>
      <c r="W6773">
        <v>0.16408989999999901</v>
      </c>
      <c r="X6773">
        <v>0.98216559999999997</v>
      </c>
      <c r="Y6773">
        <v>0.1071768</v>
      </c>
      <c r="Z6773">
        <v>-4.0740220000000001E-2</v>
      </c>
      <c r="AA6773">
        <v>0.99340490000000004</v>
      </c>
      <c r="AB6773">
        <v>28</v>
      </c>
      <c r="AC6773">
        <v>2.7531999999999899</v>
      </c>
      <c r="AD6773">
        <v>-1.1088794162019999</v>
      </c>
      <c r="AE6773">
        <v>26.783669999999901</v>
      </c>
      <c r="AF6773">
        <v>2.9112360868717002</v>
      </c>
      <c r="AG6773">
        <v>-1.1088794162019999</v>
      </c>
      <c r="AH6773">
        <v>26.721092959171301</v>
      </c>
      <c r="AI6773">
        <v>92.362349809186497</v>
      </c>
      <c r="AJ6773">
        <v>83.782206797323596</v>
      </c>
      <c r="AK6773">
        <v>26.902076463460102</v>
      </c>
      <c r="AL6773">
        <v>80.555631193060506</v>
      </c>
      <c r="AM6773">
        <v>84.660870621512601</v>
      </c>
      <c r="AN6773">
        <v>1.00000002018571</v>
      </c>
    </row>
    <row r="6774" spans="1:40" x14ac:dyDescent="0.25">
      <c r="A6774" t="str">
        <f>"20190312164637163"</f>
        <v>20190312164637163</v>
      </c>
      <c r="B6774" t="str">
        <f>"1552380397157704"</f>
        <v>1552380397157704</v>
      </c>
      <c r="C6774" t="s">
        <v>40</v>
      </c>
      <c r="D6774">
        <v>5.0868039999999999</v>
      </c>
      <c r="E6774">
        <v>0.51092740000000003</v>
      </c>
      <c r="F6774" t="s">
        <v>42</v>
      </c>
      <c r="G6774">
        <v>-184.97</v>
      </c>
      <c r="H6774" s="1">
        <v>-2.0669410000000001E-6</v>
      </c>
      <c r="I6774">
        <v>101.7891</v>
      </c>
      <c r="J6774">
        <v>-187.63509999999999</v>
      </c>
      <c r="K6774">
        <v>1.108868</v>
      </c>
      <c r="L6774">
        <v>76.247219999999999</v>
      </c>
      <c r="M6774">
        <v>-6.1963799999999996E-3</v>
      </c>
      <c r="N6774">
        <v>0</v>
      </c>
      <c r="O6774">
        <v>0.9999171</v>
      </c>
      <c r="P6774">
        <v>8.6145180000000002E-2</v>
      </c>
      <c r="Q6774">
        <v>0.15227599999999999</v>
      </c>
      <c r="R6774">
        <v>0.98457660000000002</v>
      </c>
      <c r="S6774">
        <v>0.31349179999999999</v>
      </c>
      <c r="T6774">
        <v>-0.130527</v>
      </c>
      <c r="U6774">
        <v>3.0401919999999998</v>
      </c>
      <c r="V6774">
        <v>9.2217770000000004E-2</v>
      </c>
      <c r="W6774">
        <v>0.16338329999999901</v>
      </c>
      <c r="X6774">
        <v>0.98224319999999998</v>
      </c>
      <c r="Y6774">
        <v>0.10864070000000001</v>
      </c>
      <c r="Z6774">
        <v>-4.2653240000000002E-2</v>
      </c>
      <c r="AA6774">
        <v>0.99316559999999998</v>
      </c>
      <c r="AB6774">
        <v>28</v>
      </c>
      <c r="AC6774">
        <v>2.66509999999999</v>
      </c>
      <c r="AD6774">
        <v>-1.1088700669410001</v>
      </c>
      <c r="AE6774">
        <v>25.541879999999999</v>
      </c>
      <c r="AF6774">
        <v>2.8180719266968799</v>
      </c>
      <c r="AG6774">
        <v>-1.1088700669410001</v>
      </c>
      <c r="AH6774">
        <v>25.477373048030501</v>
      </c>
      <c r="AI6774">
        <v>92.4770645871575</v>
      </c>
      <c r="AJ6774">
        <v>83.688127468621801</v>
      </c>
      <c r="AK6774">
        <v>25.656727375834699</v>
      </c>
      <c r="AL6774">
        <v>80.596669697052505</v>
      </c>
      <c r="AM6774">
        <v>84.636515194236196</v>
      </c>
      <c r="AN6774">
        <v>0.99999996188444995</v>
      </c>
    </row>
    <row r="6775" spans="1:40" x14ac:dyDescent="0.25">
      <c r="A6775" t="str">
        <f>"20190312164637186"</f>
        <v>20190312164637186</v>
      </c>
      <c r="B6775" t="str">
        <f>"1552380397178198"</f>
        <v>1552380397178198</v>
      </c>
      <c r="C6775" t="s">
        <v>40</v>
      </c>
      <c r="D6775">
        <v>5.1443789999999998</v>
      </c>
      <c r="E6775">
        <v>0.51128019999999996</v>
      </c>
      <c r="F6775" t="s">
        <v>42</v>
      </c>
      <c r="G6775">
        <v>-185.1011</v>
      </c>
      <c r="H6775" s="1">
        <v>-1.6533220000000001E-6</v>
      </c>
      <c r="I6775">
        <v>100.67610000000001</v>
      </c>
      <c r="J6775">
        <v>-187.637</v>
      </c>
      <c r="K6775">
        <v>1.108865</v>
      </c>
      <c r="L6775">
        <v>76.536319999999904</v>
      </c>
      <c r="M6775">
        <v>-6.3077609999999899E-3</v>
      </c>
      <c r="N6775">
        <v>0</v>
      </c>
      <c r="O6775">
        <v>0.99991660000000004</v>
      </c>
      <c r="P6775">
        <v>8.6673769999999997E-2</v>
      </c>
      <c r="Q6775">
        <v>0.1513149</v>
      </c>
      <c r="R6775">
        <v>0.98467839999999995</v>
      </c>
      <c r="S6775">
        <v>0.31541439999999998</v>
      </c>
      <c r="T6775">
        <v>-0.13802429999999999</v>
      </c>
      <c r="U6775">
        <v>3.0407410000000001</v>
      </c>
      <c r="V6775">
        <v>9.2856720000000004E-2</v>
      </c>
      <c r="W6775">
        <v>0.16241510000000001</v>
      </c>
      <c r="X6775">
        <v>0.98234359999999998</v>
      </c>
      <c r="Y6775">
        <v>0.10934339999999999</v>
      </c>
      <c r="Z6775">
        <v>-4.5086979999999999E-2</v>
      </c>
      <c r="AA6775">
        <v>0.992981</v>
      </c>
      <c r="AB6775">
        <v>28</v>
      </c>
      <c r="AC6775">
        <v>2.5358999999999901</v>
      </c>
      <c r="AD6775">
        <v>-1.108866653322</v>
      </c>
      <c r="AE6775">
        <v>24.139779999999998</v>
      </c>
      <c r="AF6775">
        <v>2.6825286996943101</v>
      </c>
      <c r="AG6775">
        <v>-1.108866653322</v>
      </c>
      <c r="AH6775">
        <v>24.073061991483101</v>
      </c>
      <c r="AI6775">
        <v>92.621125017923504</v>
      </c>
      <c r="AJ6775">
        <v>83.641602261309103</v>
      </c>
      <c r="AK6775">
        <v>24.2474299488693</v>
      </c>
      <c r="AL6775">
        <v>80.652894767998802</v>
      </c>
      <c r="AM6775">
        <v>84.600120819823601</v>
      </c>
      <c r="AN6775">
        <v>0.99999999180906396</v>
      </c>
    </row>
    <row r="6776" spans="1:40" x14ac:dyDescent="0.25">
      <c r="A6776" t="str">
        <f>"20190312164637208"</f>
        <v>20190312164637208</v>
      </c>
      <c r="B6776" t="str">
        <f>"1552380397197718"</f>
        <v>1552380397197718</v>
      </c>
      <c r="C6776" t="s">
        <v>40</v>
      </c>
      <c r="D6776">
        <v>5.1515630000000003</v>
      </c>
      <c r="E6776">
        <v>0.51133790000000001</v>
      </c>
      <c r="F6776" t="s">
        <v>42</v>
      </c>
      <c r="G6776">
        <v>-185.13679999999999</v>
      </c>
      <c r="H6776" s="1">
        <v>-1.5178819999999901E-6</v>
      </c>
      <c r="I6776">
        <v>100.3061</v>
      </c>
      <c r="J6776">
        <v>-187.63890000000001</v>
      </c>
      <c r="K6776">
        <v>1.1088559999999901</v>
      </c>
      <c r="L6776">
        <v>76.807040000000001</v>
      </c>
      <c r="M6776">
        <v>-6.4120999999999996E-3</v>
      </c>
      <c r="N6776">
        <v>0</v>
      </c>
      <c r="O6776">
        <v>0.99991600000000003</v>
      </c>
      <c r="P6776">
        <v>8.7140969999999998E-2</v>
      </c>
      <c r="Q6776">
        <v>0.15056029999999901</v>
      </c>
      <c r="R6776">
        <v>0.98475279999999998</v>
      </c>
      <c r="S6776">
        <v>0.31979370000000001</v>
      </c>
      <c r="T6776">
        <v>-0.14183180000000001</v>
      </c>
      <c r="U6776">
        <v>3.040314</v>
      </c>
      <c r="V6776">
        <v>9.3427170000000004E-2</v>
      </c>
      <c r="W6776">
        <v>0.1616542</v>
      </c>
      <c r="X6776">
        <v>0.98241500000000004</v>
      </c>
      <c r="Y6776">
        <v>0.1108702</v>
      </c>
      <c r="Z6776">
        <v>-4.6327100000000003E-2</v>
      </c>
      <c r="AA6776">
        <v>0.99275460000000004</v>
      </c>
      <c r="AB6776">
        <v>28</v>
      </c>
      <c r="AC6776">
        <v>2.5021000000000102</v>
      </c>
      <c r="AD6776">
        <v>-1.1088575178819999</v>
      </c>
      <c r="AE6776">
        <v>23.49906</v>
      </c>
      <c r="AF6776">
        <v>2.6469087882045299</v>
      </c>
      <c r="AG6776">
        <v>-1.1088575178819999</v>
      </c>
      <c r="AH6776">
        <v>23.430944640088299</v>
      </c>
      <c r="AI6776">
        <v>92.692372739282007</v>
      </c>
      <c r="AJ6776">
        <v>83.554827503285907</v>
      </c>
      <c r="AK6776">
        <v>23.606034352574301</v>
      </c>
      <c r="AL6776">
        <v>80.697074802565297</v>
      </c>
      <c r="AM6776">
        <v>84.567537920913793</v>
      </c>
      <c r="AN6776">
        <v>0.99999997434842403</v>
      </c>
    </row>
    <row r="6777" spans="1:40" x14ac:dyDescent="0.25">
      <c r="A6777" t="str">
        <f>"20190312164637229"</f>
        <v>20190312164637229</v>
      </c>
      <c r="B6777" t="str">
        <f>"1552380397218218"</f>
        <v>1552380397218218</v>
      </c>
      <c r="C6777" t="s">
        <v>40</v>
      </c>
      <c r="D6777">
        <v>5.124752</v>
      </c>
      <c r="E6777">
        <v>0.51164730000000003</v>
      </c>
      <c r="F6777" t="s">
        <v>42</v>
      </c>
      <c r="G6777">
        <v>-185.20179999999999</v>
      </c>
      <c r="H6777" s="1">
        <v>-1.341637E-6</v>
      </c>
      <c r="I6777">
        <v>99.838899999999995</v>
      </c>
      <c r="J6777">
        <v>-187.64070000000001</v>
      </c>
      <c r="K6777">
        <v>1.1088530000000001</v>
      </c>
      <c r="L6777">
        <v>77.074680000000001</v>
      </c>
      <c r="M6777">
        <v>-6.515168E-3</v>
      </c>
      <c r="N6777">
        <v>0</v>
      </c>
      <c r="O6777">
        <v>0.99991540000000001</v>
      </c>
      <c r="P6777">
        <v>8.7624209999999994E-2</v>
      </c>
      <c r="Q6777">
        <v>0.150177799999999</v>
      </c>
      <c r="R6777">
        <v>0.98476830000000004</v>
      </c>
      <c r="S6777">
        <v>0.32171630000000001</v>
      </c>
      <c r="T6777">
        <v>-0.14637729999999999</v>
      </c>
      <c r="U6777">
        <v>3.040375</v>
      </c>
      <c r="V6777">
        <v>9.4011979999999995E-2</v>
      </c>
      <c r="W6777">
        <v>0.16126460000000001</v>
      </c>
      <c r="X6777">
        <v>0.98242320000000005</v>
      </c>
      <c r="Y6777">
        <v>0.11158410000000001</v>
      </c>
      <c r="Z6777">
        <v>-4.7803980000000003E-2</v>
      </c>
      <c r="AA6777">
        <v>0.99260459999999995</v>
      </c>
      <c r="AB6777">
        <v>28</v>
      </c>
      <c r="AC6777">
        <v>2.4389000000000101</v>
      </c>
      <c r="AD6777">
        <v>-1.108854341637</v>
      </c>
      <c r="AE6777">
        <v>22.764219999999899</v>
      </c>
      <c r="AF6777">
        <v>2.5811156248163498</v>
      </c>
      <c r="AG6777">
        <v>-1.108854341637</v>
      </c>
      <c r="AH6777">
        <v>22.694609436425399</v>
      </c>
      <c r="AI6777">
        <v>92.779347047336401</v>
      </c>
      <c r="AJ6777">
        <v>83.511485994351503</v>
      </c>
      <c r="AK6777">
        <v>22.8678161023638</v>
      </c>
      <c r="AL6777">
        <v>80.719693637571098</v>
      </c>
      <c r="AM6777">
        <v>84.533783950432706</v>
      </c>
      <c r="AN6777">
        <v>0.99999993374745799</v>
      </c>
    </row>
    <row r="6778" spans="1:40" x14ac:dyDescent="0.25">
      <c r="A6778" t="str">
        <f>"20190312164637254"</f>
        <v>20190312164637254</v>
      </c>
      <c r="B6778" t="str">
        <f>"1552380397248471"</f>
        <v>1552380397248471</v>
      </c>
      <c r="C6778" t="s">
        <v>40</v>
      </c>
      <c r="D6778">
        <v>4.8945499999999997</v>
      </c>
      <c r="E6778">
        <v>0.51169120000000001</v>
      </c>
      <c r="F6778" t="s">
        <v>42</v>
      </c>
      <c r="G6778">
        <v>-185.21520000000001</v>
      </c>
      <c r="H6778" s="1">
        <v>-1.305574E-6</v>
      </c>
      <c r="I6778">
        <v>99.743449999999996</v>
      </c>
      <c r="J6778">
        <v>-187.64279999999999</v>
      </c>
      <c r="K6778">
        <v>1.1088499999999999</v>
      </c>
      <c r="L6778">
        <v>77.374790000000004</v>
      </c>
      <c r="M6778">
        <v>-6.6306350000000002E-3</v>
      </c>
      <c r="N6778">
        <v>0</v>
      </c>
      <c r="O6778">
        <v>0.99991470000000005</v>
      </c>
      <c r="P6778">
        <v>8.8013259999999996E-2</v>
      </c>
      <c r="Q6778">
        <v>0.14988959999999901</v>
      </c>
      <c r="R6778">
        <v>0.98477749999999997</v>
      </c>
      <c r="S6778">
        <v>0.32528689999999999</v>
      </c>
      <c r="T6778">
        <v>-0.14871099999999901</v>
      </c>
      <c r="U6778">
        <v>3.0401609999999999</v>
      </c>
      <c r="V6778">
        <v>9.4514710000000002E-2</v>
      </c>
      <c r="W6778">
        <v>0.16096949999999999</v>
      </c>
      <c r="X6778">
        <v>0.98242339999999995</v>
      </c>
      <c r="Y6778">
        <v>0.11285489999999999</v>
      </c>
      <c r="Z6778">
        <v>-4.8561130000000001E-2</v>
      </c>
      <c r="AA6778">
        <v>0.99242410000000003</v>
      </c>
      <c r="AB6778">
        <v>28</v>
      </c>
      <c r="AC6778">
        <v>2.42759999999998</v>
      </c>
      <c r="AD6778">
        <v>-1.1088513055739999</v>
      </c>
      <c r="AE6778">
        <v>22.368659999999899</v>
      </c>
      <c r="AF6778">
        <v>2.5696334616357701</v>
      </c>
      <c r="AG6778">
        <v>-1.1088513055739999</v>
      </c>
      <c r="AH6778">
        <v>22.2979147737618</v>
      </c>
      <c r="AI6778">
        <v>92.828224768414998</v>
      </c>
      <c r="AJ6778">
        <v>83.426177276777594</v>
      </c>
      <c r="AK6778">
        <v>22.472862981893901</v>
      </c>
      <c r="AL6778">
        <v>80.736825817595999</v>
      </c>
      <c r="AM6778">
        <v>84.504732875216504</v>
      </c>
      <c r="AN6778">
        <v>0.99999997360209603</v>
      </c>
    </row>
    <row r="6779" spans="1:40" x14ac:dyDescent="0.25">
      <c r="A6779" t="str">
        <f>"20190312164637276"</f>
        <v>20190312164637276</v>
      </c>
      <c r="B6779" t="str">
        <f>"1552380397267990"</f>
        <v>1552380397267990</v>
      </c>
      <c r="C6779" t="s">
        <v>40</v>
      </c>
      <c r="D6779">
        <v>4.8666489999999998</v>
      </c>
      <c r="E6779">
        <v>0.5116079</v>
      </c>
      <c r="F6779" t="s">
        <v>42</v>
      </c>
      <c r="G6779">
        <v>-185.2705</v>
      </c>
      <c r="H6779" s="1">
        <v>-5.0644839999999999E-6</v>
      </c>
      <c r="I6779">
        <v>99.482640000000004</v>
      </c>
      <c r="J6779">
        <v>-187.6448</v>
      </c>
      <c r="K6779">
        <v>1.1088530000000001</v>
      </c>
      <c r="L6779">
        <v>77.659300000000002</v>
      </c>
      <c r="M6779">
        <v>-6.7399460000000001E-3</v>
      </c>
      <c r="N6779">
        <v>0</v>
      </c>
      <c r="O6779">
        <v>0.99991410000000003</v>
      </c>
      <c r="P6779">
        <v>8.8472200000000001E-2</v>
      </c>
      <c r="Q6779">
        <v>0.14942800000000001</v>
      </c>
      <c r="R6779">
        <v>0.98480650000000003</v>
      </c>
      <c r="S6779">
        <v>0.32624819999999999</v>
      </c>
      <c r="T6779">
        <v>-0.15249799999999999</v>
      </c>
      <c r="U6779">
        <v>3.0404360000000001</v>
      </c>
      <c r="V6779">
        <v>9.508142E-2</v>
      </c>
      <c r="W6779">
        <v>0.16050220000000001</v>
      </c>
      <c r="X6779">
        <v>0.98244520000000002</v>
      </c>
      <c r="Y6779">
        <v>0.11325780000000001</v>
      </c>
      <c r="Z6779">
        <v>-4.9788230000000003E-2</v>
      </c>
      <c r="AA6779">
        <v>0.99231740000000002</v>
      </c>
      <c r="AB6779">
        <v>28</v>
      </c>
      <c r="AC6779">
        <v>2.3742999999999999</v>
      </c>
      <c r="AD6779">
        <v>-1.108858064484</v>
      </c>
      <c r="AE6779">
        <v>21.823339999999899</v>
      </c>
      <c r="AF6779">
        <v>2.5149266045436001</v>
      </c>
      <c r="AG6779">
        <v>-1.108858064484</v>
      </c>
      <c r="AH6779">
        <v>21.751341588005602</v>
      </c>
      <c r="AI6779">
        <v>92.899065478112703</v>
      </c>
      <c r="AJ6779">
        <v>83.404651500602199</v>
      </c>
      <c r="AK6779">
        <v>21.9243080372338</v>
      </c>
      <c r="AL6779">
        <v>80.763953119652797</v>
      </c>
      <c r="AM6779">
        <v>84.472108667353893</v>
      </c>
      <c r="AN6779">
        <v>1.00000000181854</v>
      </c>
    </row>
    <row r="6780" spans="1:40" x14ac:dyDescent="0.25">
      <c r="A6780" t="str">
        <f>"20190312164637298"</f>
        <v>20190312164637298</v>
      </c>
      <c r="B6780" t="str">
        <f>"1552380397287510"</f>
        <v>1552380397287510</v>
      </c>
      <c r="C6780" t="s">
        <v>40</v>
      </c>
      <c r="D6780">
        <v>4.6703219999999996</v>
      </c>
      <c r="E6780">
        <v>0.51148800000000005</v>
      </c>
      <c r="F6780" t="s">
        <v>42</v>
      </c>
      <c r="G6780">
        <v>-185.31729999999999</v>
      </c>
      <c r="H6780" s="1">
        <v>-4.9871659999999998E-6</v>
      </c>
      <c r="I6780">
        <v>99.321730000000002</v>
      </c>
      <c r="J6780">
        <v>-187.64670000000001</v>
      </c>
      <c r="K6780">
        <v>1.108849</v>
      </c>
      <c r="L6780">
        <v>77.931550000000001</v>
      </c>
      <c r="M6780">
        <v>-6.8448190000000003E-3</v>
      </c>
      <c r="N6780">
        <v>0</v>
      </c>
      <c r="O6780">
        <v>0.99991339999999995</v>
      </c>
      <c r="P6780">
        <v>8.9044029999999996E-2</v>
      </c>
      <c r="Q6780">
        <v>0.1488825</v>
      </c>
      <c r="R6780">
        <v>0.98483770000000004</v>
      </c>
      <c r="S6780">
        <v>0.3266907</v>
      </c>
      <c r="T6780">
        <v>-0.15564020000000001</v>
      </c>
      <c r="U6780">
        <v>3.0405579999999999</v>
      </c>
      <c r="V6780">
        <v>9.5756759999999996E-2</v>
      </c>
      <c r="W6780">
        <v>0.15995239999999999</v>
      </c>
      <c r="X6780">
        <v>0.98246929999999999</v>
      </c>
      <c r="Y6780">
        <v>0.113495</v>
      </c>
      <c r="Z6780">
        <v>-5.0808329999999999E-2</v>
      </c>
      <c r="AA6780">
        <v>0.99223859999999997</v>
      </c>
      <c r="AB6780">
        <v>28</v>
      </c>
      <c r="AC6780">
        <v>2.3294000000000201</v>
      </c>
      <c r="AD6780">
        <v>-1.1088539871659999</v>
      </c>
      <c r="AE6780">
        <v>21.390179999999901</v>
      </c>
      <c r="AF6780">
        <v>2.4692087943357399</v>
      </c>
      <c r="AG6780">
        <v>-1.1088539871659999</v>
      </c>
      <c r="AH6780">
        <v>21.3171189490754</v>
      </c>
      <c r="AI6780">
        <v>92.957932803927605</v>
      </c>
      <c r="AJ6780">
        <v>83.392748841238998</v>
      </c>
      <c r="AK6780">
        <v>21.488278421593201</v>
      </c>
      <c r="AL6780">
        <v>80.795866886090906</v>
      </c>
      <c r="AM6780">
        <v>84.433226885851099</v>
      </c>
      <c r="AN6780">
        <v>1.0000000263969699</v>
      </c>
    </row>
    <row r="6781" spans="1:40" x14ac:dyDescent="0.25">
      <c r="A6781" t="str">
        <f>"20190312164637319"</f>
        <v>20190312164637319</v>
      </c>
      <c r="B6781" t="str">
        <f>"1552380397308006"</f>
        <v>1552380397308006</v>
      </c>
      <c r="C6781" t="s">
        <v>40</v>
      </c>
      <c r="D6781">
        <v>4.6767640000000004</v>
      </c>
      <c r="E6781">
        <v>0.51156120000000005</v>
      </c>
      <c r="F6781" t="s">
        <v>42</v>
      </c>
      <c r="G6781">
        <v>-185.41409999999999</v>
      </c>
      <c r="H6781" s="1">
        <v>-4.6990140000000002E-6</v>
      </c>
      <c r="I6781">
        <v>98.690079999999995</v>
      </c>
      <c r="J6781">
        <v>-187.64869999999999</v>
      </c>
      <c r="K6781">
        <v>1.1088450000000001</v>
      </c>
      <c r="L6781">
        <v>78.199740000000006</v>
      </c>
      <c r="M6781">
        <v>-6.9482210000000001E-3</v>
      </c>
      <c r="N6781">
        <v>0</v>
      </c>
      <c r="O6781">
        <v>0.99991269999999999</v>
      </c>
      <c r="P6781">
        <v>8.966702E-2</v>
      </c>
      <c r="Q6781">
        <v>0.14874949999999901</v>
      </c>
      <c r="R6781">
        <v>0.98480120000000004</v>
      </c>
      <c r="S6781">
        <v>0.32708739999999997</v>
      </c>
      <c r="T6781">
        <v>-0.1624495</v>
      </c>
      <c r="U6781">
        <v>3.0411679999999999</v>
      </c>
      <c r="V6781">
        <v>9.6481289999999997E-2</v>
      </c>
      <c r="W6781">
        <v>0.1598145</v>
      </c>
      <c r="X6781">
        <v>0.98242079999999998</v>
      </c>
      <c r="Y6781">
        <v>0.1136923</v>
      </c>
      <c r="Z6781">
        <v>-5.3013440000000002E-2</v>
      </c>
      <c r="AA6781">
        <v>0.9921006</v>
      </c>
      <c r="AB6781">
        <v>28</v>
      </c>
      <c r="AC6781">
        <v>2.2345999999999999</v>
      </c>
      <c r="AD6781">
        <v>-1.108849699014</v>
      </c>
      <c r="AE6781">
        <v>20.49034</v>
      </c>
      <c r="AF6781">
        <v>2.3700672624624999</v>
      </c>
      <c r="AG6781">
        <v>-1.108849699014</v>
      </c>
      <c r="AH6781">
        <v>20.415234276487801</v>
      </c>
      <c r="AI6781">
        <v>93.088253975405607</v>
      </c>
      <c r="AJ6781">
        <v>83.378000329361996</v>
      </c>
      <c r="AK6781">
        <v>20.582238873540501</v>
      </c>
      <c r="AL6781">
        <v>80.803870424980005</v>
      </c>
      <c r="AM6781">
        <v>84.391099120693994</v>
      </c>
      <c r="AN6781">
        <v>0.99999997100147597</v>
      </c>
    </row>
    <row r="6782" spans="1:40" x14ac:dyDescent="0.25">
      <c r="A6782" t="str">
        <f>"20190312164637342"</f>
        <v>20190312164637342</v>
      </c>
      <c r="B6782" t="str">
        <f>"1552380397338262"</f>
        <v>1552380397338262</v>
      </c>
      <c r="C6782" t="s">
        <v>40</v>
      </c>
      <c r="D6782">
        <v>4.643472</v>
      </c>
      <c r="E6782">
        <v>0.51147229999999999</v>
      </c>
      <c r="F6782" t="s">
        <v>42</v>
      </c>
      <c r="G6782">
        <v>-185.38079999999999</v>
      </c>
      <c r="H6782" s="1">
        <v>-4.896997E-6</v>
      </c>
      <c r="I6782">
        <v>99.137839999999997</v>
      </c>
      <c r="J6782">
        <v>-187.6507</v>
      </c>
      <c r="K6782">
        <v>1.108843</v>
      </c>
      <c r="L6782">
        <v>78.475830000000002</v>
      </c>
      <c r="M6782">
        <v>-7.0546109999999997E-3</v>
      </c>
      <c r="N6782">
        <v>0</v>
      </c>
      <c r="O6782">
        <v>0.99991200000000002</v>
      </c>
      <c r="P6782">
        <v>9.0459529999999996E-2</v>
      </c>
      <c r="Q6782">
        <v>0.14790429999999999</v>
      </c>
      <c r="R6782">
        <v>0.98485599999999995</v>
      </c>
      <c r="S6782">
        <v>0.32933040000000002</v>
      </c>
      <c r="T6782">
        <v>-0.16102659999999999</v>
      </c>
      <c r="U6782">
        <v>3.040619</v>
      </c>
      <c r="V6782">
        <v>9.7379010000000002E-2</v>
      </c>
      <c r="W6782">
        <v>0.15896669999999999</v>
      </c>
      <c r="X6782">
        <v>0.98246979999999995</v>
      </c>
      <c r="Y6782">
        <v>0.11454309999999999</v>
      </c>
      <c r="Z6782">
        <v>-5.2555110000000002E-2</v>
      </c>
      <c r="AA6782">
        <v>0.9920272</v>
      </c>
      <c r="AB6782">
        <v>28</v>
      </c>
      <c r="AC6782">
        <v>2.2698999999999998</v>
      </c>
      <c r="AD6782">
        <v>-1.1088478969969999</v>
      </c>
      <c r="AE6782">
        <v>20.662009999999899</v>
      </c>
      <c r="AF6782">
        <v>2.4087605479407301</v>
      </c>
      <c r="AG6782">
        <v>-1.1088478969969999</v>
      </c>
      <c r="AH6782">
        <v>20.586897425236799</v>
      </c>
      <c r="AI6782">
        <v>93.062226583204307</v>
      </c>
      <c r="AJ6782">
        <v>83.3264767042768</v>
      </c>
      <c r="AK6782">
        <v>20.756975132066099</v>
      </c>
      <c r="AL6782">
        <v>80.8530750658974</v>
      </c>
      <c r="AM6782">
        <v>84.339528429797497</v>
      </c>
      <c r="AN6782">
        <v>0.99999999560475505</v>
      </c>
    </row>
    <row r="6783" spans="1:40" x14ac:dyDescent="0.25">
      <c r="A6783" t="str">
        <f>"20190312164637365"</f>
        <v>20190312164637365</v>
      </c>
      <c r="B6783" t="str">
        <f>"1552380397357782"</f>
        <v>1552380397357782</v>
      </c>
      <c r="C6783" t="s">
        <v>40</v>
      </c>
      <c r="D6783">
        <v>4.8690860000000002</v>
      </c>
      <c r="E6783">
        <v>0.51414910000000003</v>
      </c>
      <c r="F6783" t="s">
        <v>42</v>
      </c>
      <c r="G6783">
        <v>-185.44800000000001</v>
      </c>
      <c r="H6783" s="1">
        <v>-4.7141850000000003E-6</v>
      </c>
      <c r="I6783">
        <v>98.739469999999997</v>
      </c>
      <c r="J6783">
        <v>-187.65289999999999</v>
      </c>
      <c r="K6783">
        <v>1.1088359999999999</v>
      </c>
      <c r="L6783">
        <v>78.772549999999995</v>
      </c>
      <c r="M6783">
        <v>-7.1702859999999997E-3</v>
      </c>
      <c r="N6783">
        <v>0</v>
      </c>
      <c r="O6783">
        <v>0.9999112</v>
      </c>
      <c r="P6783">
        <v>9.1259549999999995E-2</v>
      </c>
      <c r="Q6783">
        <v>0.14701939999999999</v>
      </c>
      <c r="R6783">
        <v>0.98491470000000003</v>
      </c>
      <c r="S6783">
        <v>0.33053589999999999</v>
      </c>
      <c r="T6783">
        <v>-0.16639419999999999</v>
      </c>
      <c r="U6783">
        <v>3.0407709999999999</v>
      </c>
      <c r="V6783">
        <v>9.8293220000000001E-2</v>
      </c>
      <c r="W6783">
        <v>0.15807879999999999</v>
      </c>
      <c r="X6783">
        <v>0.98252200000000001</v>
      </c>
      <c r="Y6783">
        <v>0.1150313</v>
      </c>
      <c r="Z6783">
        <v>-5.4296400000000002E-2</v>
      </c>
      <c r="AA6783">
        <v>0.9918768</v>
      </c>
      <c r="AB6783">
        <v>28</v>
      </c>
      <c r="AC6783">
        <v>2.2048999999999999</v>
      </c>
      <c r="AD6783">
        <v>-1.1088407141850001</v>
      </c>
      <c r="AE6783">
        <v>19.966919999999998</v>
      </c>
      <c r="AF6783">
        <v>2.3408885157847399</v>
      </c>
      <c r="AG6783">
        <v>-1.1088407141850001</v>
      </c>
      <c r="AH6783">
        <v>19.8899938889463</v>
      </c>
      <c r="AI6783">
        <v>93.169033446571206</v>
      </c>
      <c r="AJ6783">
        <v>83.287636616227999</v>
      </c>
      <c r="AK6783">
        <v>20.057944652309001</v>
      </c>
      <c r="AL6783">
        <v>80.904599286528907</v>
      </c>
      <c r="AM6783">
        <v>84.287038474589494</v>
      </c>
      <c r="AN6783">
        <v>0.99999997229570303</v>
      </c>
    </row>
    <row r="6784" spans="1:40" x14ac:dyDescent="0.25">
      <c r="A6784" t="str">
        <f>"20190312164637387"</f>
        <v>20190312164637387</v>
      </c>
      <c r="B6784" t="str">
        <f>"1552380397378281"</f>
        <v>1552380397378281</v>
      </c>
      <c r="C6784" t="s">
        <v>40</v>
      </c>
      <c r="D6784">
        <v>4.8887470000000004</v>
      </c>
      <c r="E6784">
        <v>0.51768449999999999</v>
      </c>
      <c r="F6784" t="s">
        <v>41</v>
      </c>
      <c r="G6784">
        <v>-187.56800000000001</v>
      </c>
      <c r="H6784">
        <v>1.017145</v>
      </c>
      <c r="I6784">
        <v>79.530550000000005</v>
      </c>
      <c r="J6784">
        <v>-187.655</v>
      </c>
      <c r="K6784">
        <v>1.1088290000000001</v>
      </c>
      <c r="L6784">
        <v>79.050049999999999</v>
      </c>
      <c r="M6784">
        <v>-7.2798990000000003E-3</v>
      </c>
      <c r="N6784">
        <v>0</v>
      </c>
      <c r="O6784">
        <v>0.99991050000000004</v>
      </c>
      <c r="P6784">
        <v>9.1922309999999993E-2</v>
      </c>
      <c r="Q6784">
        <v>0.14556350000000001</v>
      </c>
      <c r="R6784">
        <v>0.98506930000000004</v>
      </c>
      <c r="S6784">
        <v>0.34355160000000001</v>
      </c>
      <c r="T6784">
        <v>-0.3713436</v>
      </c>
      <c r="U6784">
        <v>3.06955</v>
      </c>
      <c r="V6784">
        <v>9.9064799999999995E-2</v>
      </c>
      <c r="W6784">
        <v>0.15662179999999901</v>
      </c>
      <c r="X6784">
        <v>0.98267789999999999</v>
      </c>
      <c r="Y6784">
        <v>0.11766550000000001</v>
      </c>
      <c r="Z6784">
        <v>-0.11931170000000001</v>
      </c>
      <c r="AA6784">
        <v>0.98585979999999995</v>
      </c>
      <c r="AB6784">
        <v>28</v>
      </c>
      <c r="AC6784">
        <v>8.7000000000017494E-2</v>
      </c>
      <c r="AD6784">
        <v>-9.1684000000000099E-2</v>
      </c>
      <c r="AE6784">
        <v>0.48050000000000598</v>
      </c>
      <c r="AF6784">
        <v>8.74143240322897E-2</v>
      </c>
      <c r="AG6784">
        <v>-9.1684000000000099E-2</v>
      </c>
      <c r="AH6784">
        <v>0.46351380806722597</v>
      </c>
      <c r="AI6784">
        <v>100.999743832731</v>
      </c>
      <c r="AJ6784">
        <v>79.319994845750202</v>
      </c>
      <c r="AK6784">
        <v>0.48051250781951899</v>
      </c>
      <c r="AL6784">
        <v>80.9891328939608</v>
      </c>
      <c r="AM6784">
        <v>84.243400396616295</v>
      </c>
      <c r="AN6784">
        <v>1.0000000389913399</v>
      </c>
    </row>
    <row r="6785" spans="1:40" x14ac:dyDescent="0.25">
      <c r="A6785" t="str">
        <f>"20190312164637408"</f>
        <v>20190312164637408</v>
      </c>
      <c r="B6785" t="str">
        <f>"1552380397397816"</f>
        <v>1552380397397816</v>
      </c>
      <c r="C6785" t="s">
        <v>40</v>
      </c>
      <c r="D6785">
        <v>4.8495780000000002</v>
      </c>
      <c r="E6785">
        <v>0.51844749999999995</v>
      </c>
      <c r="F6785" t="s">
        <v>41</v>
      </c>
      <c r="G6785">
        <v>-187.5668</v>
      </c>
      <c r="H6785">
        <v>1.0115270000000001</v>
      </c>
      <c r="I6785">
        <v>79.778450000000007</v>
      </c>
      <c r="J6785">
        <v>-187.65700000000001</v>
      </c>
      <c r="K6785">
        <v>1.108819</v>
      </c>
      <c r="L6785">
        <v>79.316220000000001</v>
      </c>
      <c r="M6785">
        <v>-7.3865850000000002E-3</v>
      </c>
      <c r="N6785">
        <v>0</v>
      </c>
      <c r="O6785">
        <v>0.99990979999999996</v>
      </c>
      <c r="P6785">
        <v>9.2811950000000004E-2</v>
      </c>
      <c r="Q6785">
        <v>0.14443780000000001</v>
      </c>
      <c r="R6785">
        <v>0.98515160000000002</v>
      </c>
      <c r="S6785">
        <v>0.37146000000000001</v>
      </c>
      <c r="T6785">
        <v>-0.4103212</v>
      </c>
      <c r="U6785">
        <v>3.0714419999999998</v>
      </c>
      <c r="V6785">
        <v>0.1000598</v>
      </c>
      <c r="W6785">
        <v>0.15549470000000001</v>
      </c>
      <c r="X6785">
        <v>0.98275599999999996</v>
      </c>
      <c r="Y6785">
        <v>0.12635389999999999</v>
      </c>
      <c r="Z6785">
        <v>-0.13140929999999901</v>
      </c>
      <c r="AA6785">
        <v>0.98324279999999997</v>
      </c>
      <c r="AB6785">
        <v>28</v>
      </c>
      <c r="AC6785">
        <v>9.0200000000009994E-2</v>
      </c>
      <c r="AD6785">
        <v>-9.7291999999999906E-2</v>
      </c>
      <c r="AE6785">
        <v>0.46223000000000503</v>
      </c>
      <c r="AF6785">
        <v>8.9780380293782699E-2</v>
      </c>
      <c r="AG6785">
        <v>-9.7291999999999906E-2</v>
      </c>
      <c r="AH6785">
        <v>0.442659133847495</v>
      </c>
      <c r="AI6785">
        <v>102.15600764227899</v>
      </c>
      <c r="AJ6785">
        <v>78.534760730426797</v>
      </c>
      <c r="AK6785">
        <v>0.462031772422969</v>
      </c>
      <c r="AL6785">
        <v>81.054511294009899</v>
      </c>
      <c r="AM6785">
        <v>84.186434526931706</v>
      </c>
      <c r="AN6785">
        <v>0.999999960420064</v>
      </c>
    </row>
    <row r="6786" spans="1:40" x14ac:dyDescent="0.25">
      <c r="A6786" t="str">
        <f>"20190312164637430"</f>
        <v>20190312164637430</v>
      </c>
      <c r="B6786" t="str">
        <f>"1552380397428054"</f>
        <v>1552380397428054</v>
      </c>
      <c r="C6786" t="s">
        <v>40</v>
      </c>
      <c r="D6786">
        <v>4.8839689999999996</v>
      </c>
      <c r="E6786">
        <v>0.5186035</v>
      </c>
      <c r="F6786" t="s">
        <v>41</v>
      </c>
      <c r="G6786">
        <v>-187.5692</v>
      </c>
      <c r="H6786">
        <v>1.009274</v>
      </c>
      <c r="I6786">
        <v>80.028090000000006</v>
      </c>
      <c r="J6786">
        <v>-187.6592</v>
      </c>
      <c r="K6786">
        <v>1.1088150000000001</v>
      </c>
      <c r="L6786">
        <v>79.591160000000002</v>
      </c>
      <c r="M6786">
        <v>-7.4980899999999998E-3</v>
      </c>
      <c r="N6786">
        <v>0</v>
      </c>
      <c r="O6786">
        <v>0.99990889999999999</v>
      </c>
      <c r="P6786">
        <v>9.3667520000000004E-2</v>
      </c>
      <c r="Q6786">
        <v>0.14345429999999901</v>
      </c>
      <c r="R6786">
        <v>0.98521440000000005</v>
      </c>
      <c r="S6786">
        <v>0.37875370000000003</v>
      </c>
      <c r="T6786">
        <v>-0.42966650000000001</v>
      </c>
      <c r="U6786">
        <v>3.0725099999999999</v>
      </c>
      <c r="V6786">
        <v>0.1010254</v>
      </c>
      <c r="W6786">
        <v>0.15451010000000001</v>
      </c>
      <c r="X6786">
        <v>0.98281249999999998</v>
      </c>
      <c r="Y6786">
        <v>0.12862370000000001</v>
      </c>
      <c r="Z6786">
        <v>-0.1374031</v>
      </c>
      <c r="AA6786">
        <v>0.98212840000000001</v>
      </c>
      <c r="AB6786">
        <v>28</v>
      </c>
      <c r="AC6786">
        <v>9.0000000000003397E-2</v>
      </c>
      <c r="AD6786">
        <v>-9.9540999999999796E-2</v>
      </c>
      <c r="AE6786">
        <v>0.43693000000000298</v>
      </c>
      <c r="AF6786">
        <v>8.8850056547301298E-2</v>
      </c>
      <c r="AG6786">
        <v>-9.9540999999999796E-2</v>
      </c>
      <c r="AH6786">
        <v>0.41555286272831199</v>
      </c>
      <c r="AI6786">
        <v>103.183509832884</v>
      </c>
      <c r="AJ6786">
        <v>77.931213099335494</v>
      </c>
      <c r="AK6786">
        <v>0.43644807818474102</v>
      </c>
      <c r="AL6786">
        <v>81.111614834917802</v>
      </c>
      <c r="AM6786">
        <v>84.131057148068905</v>
      </c>
      <c r="AN6786">
        <v>0.99999995630170901</v>
      </c>
    </row>
    <row r="6787" spans="1:40" x14ac:dyDescent="0.25">
      <c r="A6787" t="str">
        <f>"20190312164637443"</f>
        <v>20190312164637443</v>
      </c>
      <c r="B6787" t="str">
        <f>"1552380397437814"</f>
        <v>1552380397437814</v>
      </c>
      <c r="C6787" t="s">
        <v>40</v>
      </c>
      <c r="D6787">
        <v>4.6351550000000001</v>
      </c>
      <c r="E6787">
        <v>0.51853959999999999</v>
      </c>
      <c r="F6787" t="s">
        <v>41</v>
      </c>
      <c r="G6787">
        <v>-187.5445</v>
      </c>
      <c r="H6787">
        <v>0.9756764</v>
      </c>
      <c r="I6787">
        <v>80.514340000000004</v>
      </c>
      <c r="J6787">
        <v>-187.66050000000001</v>
      </c>
      <c r="K6787">
        <v>1.108816</v>
      </c>
      <c r="L6787">
        <v>79.754429999999999</v>
      </c>
      <c r="M6787">
        <v>-7.5649530000000001E-3</v>
      </c>
      <c r="N6787">
        <v>0</v>
      </c>
      <c r="O6787">
        <v>0.99990840000000003</v>
      </c>
      <c r="P6787">
        <v>9.3712359999999995E-2</v>
      </c>
      <c r="Q6787">
        <v>0.1433729</v>
      </c>
      <c r="R6787">
        <v>0.98522189999999998</v>
      </c>
      <c r="S6787">
        <v>0.38182070000000001</v>
      </c>
      <c r="T6787">
        <v>-0.44323220000000002</v>
      </c>
      <c r="U6787">
        <v>3.0732729999999999</v>
      </c>
      <c r="V6787">
        <v>0.1011359</v>
      </c>
      <c r="W6787">
        <v>0.15442819999999999</v>
      </c>
      <c r="X6787">
        <v>0.98281410000000002</v>
      </c>
      <c r="Y6787">
        <v>0.12955269999999999</v>
      </c>
      <c r="Z6787">
        <v>-0.14160349999999999</v>
      </c>
      <c r="AA6787">
        <v>0.98140950000000005</v>
      </c>
      <c r="AB6787">
        <v>28</v>
      </c>
      <c r="AC6787">
        <v>0.116000000000013</v>
      </c>
      <c r="AD6787">
        <v>-0.133139599999999</v>
      </c>
      <c r="AE6787">
        <v>0.75991000000000497</v>
      </c>
      <c r="AF6787">
        <v>0.11820001017463699</v>
      </c>
      <c r="AG6787">
        <v>-0.133139599999999</v>
      </c>
      <c r="AH6787">
        <v>0.73690527923474902</v>
      </c>
      <c r="AI6787">
        <v>100.11480043551801</v>
      </c>
      <c r="AJ6787">
        <v>80.887347649548204</v>
      </c>
      <c r="AK6787">
        <v>0.75810737106130799</v>
      </c>
      <c r="AL6787">
        <v>81.116365179139706</v>
      </c>
      <c r="AM6787">
        <v>84.124692170028098</v>
      </c>
      <c r="AN6787">
        <v>1.0000000471914201</v>
      </c>
    </row>
    <row r="6788" spans="1:40" x14ac:dyDescent="0.25">
      <c r="A6788" t="str">
        <f>"20190312164637467"</f>
        <v>20190312164637467</v>
      </c>
      <c r="B6788" t="str">
        <f>"1552380397458310"</f>
        <v>1552380397458310</v>
      </c>
      <c r="C6788" t="s">
        <v>40</v>
      </c>
      <c r="D6788">
        <v>4.620476</v>
      </c>
      <c r="E6788">
        <v>0.51843700000000004</v>
      </c>
      <c r="F6788" t="s">
        <v>41</v>
      </c>
      <c r="G6788">
        <v>-187.5651</v>
      </c>
      <c r="H6788">
        <v>0.99697389999999997</v>
      </c>
      <c r="I6788">
        <v>80.524119999999996</v>
      </c>
      <c r="J6788">
        <v>-187.6628</v>
      </c>
      <c r="K6788">
        <v>1.108814</v>
      </c>
      <c r="L6788">
        <v>80.045100000000005</v>
      </c>
      <c r="M6788">
        <v>-7.6843850000000002E-3</v>
      </c>
      <c r="N6788">
        <v>0</v>
      </c>
      <c r="O6788">
        <v>0.99990760000000001</v>
      </c>
      <c r="P6788">
        <v>9.4954860000000002E-2</v>
      </c>
      <c r="Q6788">
        <v>0.14226459999999999</v>
      </c>
      <c r="R6788">
        <v>0.98526360000000002</v>
      </c>
      <c r="S6788">
        <v>0.38096619999999998</v>
      </c>
      <c r="T6788">
        <v>-0.44666119999999998</v>
      </c>
      <c r="U6788">
        <v>3.0737610000000002</v>
      </c>
      <c r="V6788">
        <v>0.1024962</v>
      </c>
      <c r="W6788">
        <v>0.15331910000000001</v>
      </c>
      <c r="X6788">
        <v>0.98284680000000002</v>
      </c>
      <c r="Y6788">
        <v>0.1293647</v>
      </c>
      <c r="Z6788">
        <v>-0.14265849999999999</v>
      </c>
      <c r="AA6788">
        <v>0.98128150000000003</v>
      </c>
      <c r="AB6788">
        <v>28</v>
      </c>
      <c r="AC6788">
        <v>9.7700000000003201E-2</v>
      </c>
      <c r="AD6788">
        <v>-0.1118401</v>
      </c>
      <c r="AE6788">
        <v>0.47901999999999101</v>
      </c>
      <c r="AF6788">
        <v>9.6336601854345297E-2</v>
      </c>
      <c r="AG6788">
        <v>-0.1118401</v>
      </c>
      <c r="AH6788">
        <v>0.45447059531921902</v>
      </c>
      <c r="AI6788">
        <v>103.535790957087</v>
      </c>
      <c r="AJ6788">
        <v>78.031860602019606</v>
      </c>
      <c r="AK6788">
        <v>0.477841470400653</v>
      </c>
      <c r="AL6788">
        <v>81.180677659923106</v>
      </c>
      <c r="AM6788">
        <v>84.046428567608402</v>
      </c>
      <c r="AN6788">
        <v>1.00000002485474</v>
      </c>
    </row>
    <row r="6789" spans="1:40" x14ac:dyDescent="0.25">
      <c r="A6789" t="str">
        <f>"20190312164637490"</f>
        <v>20190312164637490</v>
      </c>
      <c r="B6789" t="str">
        <f>"1552380397488566"</f>
        <v>1552380397488566</v>
      </c>
      <c r="C6789" t="s">
        <v>40</v>
      </c>
      <c r="D6789">
        <v>4.6123370000000001</v>
      </c>
      <c r="E6789">
        <v>0.51125200000000004</v>
      </c>
      <c r="F6789" t="s">
        <v>41</v>
      </c>
      <c r="G6789">
        <v>-187.57140000000001</v>
      </c>
      <c r="H6789">
        <v>1.000993</v>
      </c>
      <c r="I6789">
        <v>80.777109999999993</v>
      </c>
      <c r="J6789">
        <v>-187.6652</v>
      </c>
      <c r="K6789">
        <v>1.108816</v>
      </c>
      <c r="L6789">
        <v>80.335909999999998</v>
      </c>
      <c r="M6789">
        <v>-7.8043269999999998E-3</v>
      </c>
      <c r="N6789">
        <v>0</v>
      </c>
      <c r="O6789">
        <v>0.99990670000000004</v>
      </c>
      <c r="P6789">
        <v>9.5688620000000002E-2</v>
      </c>
      <c r="Q6789">
        <v>0.14179240000000001</v>
      </c>
      <c r="R6789">
        <v>0.98526069999999999</v>
      </c>
      <c r="S6789">
        <v>0.38357540000000001</v>
      </c>
      <c r="T6789">
        <v>-0.45271689999999998</v>
      </c>
      <c r="U6789">
        <v>3.0732729999999999</v>
      </c>
      <c r="V6789">
        <v>0.10334790000000001</v>
      </c>
      <c r="W6789">
        <v>0.15284500000000001</v>
      </c>
      <c r="X6789">
        <v>0.98283140000000002</v>
      </c>
      <c r="Y6789">
        <v>0.13028890000000001</v>
      </c>
      <c r="Z6789">
        <v>-0.14455799999999999</v>
      </c>
      <c r="AA6789">
        <v>0.98088120000000001</v>
      </c>
      <c r="AB6789">
        <v>28</v>
      </c>
      <c r="AC6789">
        <v>9.3799999999987393E-2</v>
      </c>
      <c r="AD6789">
        <v>-0.107823</v>
      </c>
      <c r="AE6789">
        <v>0.44119999999999399</v>
      </c>
      <c r="AF6789">
        <v>9.1984485646494293E-2</v>
      </c>
      <c r="AG6789">
        <v>-0.107823</v>
      </c>
      <c r="AH6789">
        <v>0.41664660643778301</v>
      </c>
      <c r="AI6789">
        <v>104.18188162702999</v>
      </c>
      <c r="AJ6789">
        <v>77.550321793699794</v>
      </c>
      <c r="AK6789">
        <v>0.44009242163978501</v>
      </c>
      <c r="AL6789">
        <v>81.208165103850803</v>
      </c>
      <c r="AM6789">
        <v>83.997223278674298</v>
      </c>
      <c r="AN6789">
        <v>0.99999997164268395</v>
      </c>
    </row>
    <row r="6790" spans="1:40" x14ac:dyDescent="0.25">
      <c r="A6790" t="str">
        <f>"20190312164637511"</f>
        <v>20190312164637511</v>
      </c>
      <c r="B6790" t="str">
        <f>"1552380397508087"</f>
        <v>1552380397508087</v>
      </c>
      <c r="C6790" t="s">
        <v>40</v>
      </c>
      <c r="D6790">
        <v>4.6494609999999996</v>
      </c>
      <c r="E6790">
        <v>0.5117121</v>
      </c>
      <c r="F6790" t="s">
        <v>41</v>
      </c>
      <c r="G6790">
        <v>-187.57140000000001</v>
      </c>
      <c r="H6790">
        <v>0.92884710000000004</v>
      </c>
      <c r="I6790">
        <v>81.244950000000003</v>
      </c>
      <c r="J6790">
        <v>-187.66730000000001</v>
      </c>
      <c r="K6790">
        <v>1.1088129999999901</v>
      </c>
      <c r="L6790">
        <v>80.594880000000003</v>
      </c>
      <c r="M6790">
        <v>-7.9110259999999998E-3</v>
      </c>
      <c r="N6790">
        <v>0</v>
      </c>
      <c r="O6790">
        <v>0.99990579999999996</v>
      </c>
      <c r="P6790">
        <v>9.6097719999999998E-2</v>
      </c>
      <c r="Q6790">
        <v>0.14161219999999999</v>
      </c>
      <c r="R6790">
        <v>0.98524679999999998</v>
      </c>
      <c r="S6790">
        <v>0.3196869</v>
      </c>
      <c r="T6790">
        <v>-0.61418090000000003</v>
      </c>
      <c r="U6790">
        <v>3.1022029999999998</v>
      </c>
      <c r="V6790">
        <v>0.1038618</v>
      </c>
      <c r="W6790">
        <v>0.1526641</v>
      </c>
      <c r="X6790">
        <v>0.98280540000000005</v>
      </c>
      <c r="Y6790">
        <v>0.10844479999999999</v>
      </c>
      <c r="Z6790">
        <v>-0.1931378</v>
      </c>
      <c r="AA6790">
        <v>0.97516020000000003</v>
      </c>
      <c r="AB6790">
        <v>28</v>
      </c>
      <c r="AC6790">
        <v>9.5900000000000304E-2</v>
      </c>
      <c r="AD6790">
        <v>-0.17996589999999901</v>
      </c>
      <c r="AE6790">
        <v>0.65006999999999904</v>
      </c>
      <c r="AF6790">
        <v>9.3990000669317494E-2</v>
      </c>
      <c r="AG6790">
        <v>-0.17996589999999901</v>
      </c>
      <c r="AH6790">
        <v>0.60398683682718401</v>
      </c>
      <c r="AI6790">
        <v>106.405468734685</v>
      </c>
      <c r="AJ6790">
        <v>81.154805463435594</v>
      </c>
      <c r="AK6790">
        <v>0.63719851259174698</v>
      </c>
      <c r="AL6790">
        <v>81.218653490157905</v>
      </c>
      <c r="AM6790">
        <v>83.967435469740707</v>
      </c>
      <c r="AN6790">
        <v>1.0000000275986001</v>
      </c>
    </row>
    <row r="6791" spans="1:40" x14ac:dyDescent="0.25">
      <c r="A6791" t="str">
        <f>"20190312164637532"</f>
        <v>20190312164637532</v>
      </c>
      <c r="B6791" t="str">
        <f>"1552380397527606"</f>
        <v>1552380397527606</v>
      </c>
      <c r="C6791" t="s">
        <v>40</v>
      </c>
      <c r="D6791">
        <v>4.6388189999999998</v>
      </c>
      <c r="E6791">
        <v>0.51225589999999999</v>
      </c>
      <c r="F6791" t="s">
        <v>41</v>
      </c>
      <c r="G6791">
        <v>-187.5737</v>
      </c>
      <c r="H6791">
        <v>0.92469849999999998</v>
      </c>
      <c r="I6791">
        <v>81.494479999999996</v>
      </c>
      <c r="J6791">
        <v>-187.6696</v>
      </c>
      <c r="K6791">
        <v>1.108814</v>
      </c>
      <c r="L6791">
        <v>80.868530000000007</v>
      </c>
      <c r="M6791">
        <v>-8.0238089999999998E-3</v>
      </c>
      <c r="N6791">
        <v>0</v>
      </c>
      <c r="O6791">
        <v>0.99990489999999999</v>
      </c>
      <c r="P6791">
        <v>9.6424650000000001E-2</v>
      </c>
      <c r="Q6791">
        <v>0.14090459999999999</v>
      </c>
      <c r="R6791">
        <v>0.98531630000000003</v>
      </c>
      <c r="S6791">
        <v>0.32298280000000001</v>
      </c>
      <c r="T6791">
        <v>-0.63542849999999995</v>
      </c>
      <c r="U6791">
        <v>3.1047359999999999</v>
      </c>
      <c r="V6791">
        <v>0.1043004</v>
      </c>
      <c r="W6791">
        <v>0.1519567</v>
      </c>
      <c r="X6791">
        <v>0.98286859999999998</v>
      </c>
      <c r="Y6791">
        <v>0.1093706</v>
      </c>
      <c r="Z6791">
        <v>-0.19937969999999999</v>
      </c>
      <c r="AA6791">
        <v>0.97379970000000005</v>
      </c>
      <c r="AB6791">
        <v>28</v>
      </c>
      <c r="AC6791">
        <v>9.5900000000000304E-2</v>
      </c>
      <c r="AD6791">
        <v>-0.18411549999999899</v>
      </c>
      <c r="AE6791">
        <v>0.625950000000003</v>
      </c>
      <c r="AF6791">
        <v>9.3053646133265999E-2</v>
      </c>
      <c r="AG6791">
        <v>-0.18411549999999899</v>
      </c>
      <c r="AH6791">
        <v>0.57643283250599098</v>
      </c>
      <c r="AI6791">
        <v>107.5012495581</v>
      </c>
      <c r="AJ6791">
        <v>80.829844008658498</v>
      </c>
      <c r="AK6791">
        <v>0.61223550108583602</v>
      </c>
      <c r="AL6791">
        <v>81.259663178250406</v>
      </c>
      <c r="AM6791">
        <v>83.942536104167004</v>
      </c>
      <c r="AN6791">
        <v>1.0000000484905001</v>
      </c>
    </row>
    <row r="6792" spans="1:40" x14ac:dyDescent="0.25">
      <c r="A6792" t="str">
        <f>"20190312164637555"</f>
        <v>20190312164637555</v>
      </c>
      <c r="B6792" t="str">
        <f>"1552380397548103"</f>
        <v>1552380397548103</v>
      </c>
      <c r="C6792" t="s">
        <v>40</v>
      </c>
      <c r="D6792">
        <v>4.8795310000000001</v>
      </c>
      <c r="E6792">
        <v>0.51272529999999905</v>
      </c>
      <c r="F6792" t="s">
        <v>41</v>
      </c>
      <c r="G6792">
        <v>-187.5761</v>
      </c>
      <c r="H6792">
        <v>0.93016900000000002</v>
      </c>
      <c r="I6792">
        <v>81.748649999999998</v>
      </c>
      <c r="J6792">
        <v>-187.6721</v>
      </c>
      <c r="K6792">
        <v>1.108816</v>
      </c>
      <c r="L6792">
        <v>81.157679999999999</v>
      </c>
      <c r="M6792">
        <v>-8.1428509999999996E-3</v>
      </c>
      <c r="N6792">
        <v>0</v>
      </c>
      <c r="O6792">
        <v>0.99990400000000002</v>
      </c>
      <c r="P6792">
        <v>9.6568370000000001E-2</v>
      </c>
      <c r="Q6792">
        <v>0.1405525</v>
      </c>
      <c r="R6792">
        <v>0.98535249999999996</v>
      </c>
      <c r="S6792">
        <v>0.32878109999999999</v>
      </c>
      <c r="T6792">
        <v>-0.62978859999999903</v>
      </c>
      <c r="U6792">
        <v>3.1025700000000001</v>
      </c>
      <c r="V6792">
        <v>0.1045616</v>
      </c>
      <c r="W6792">
        <v>0.15160370000000001</v>
      </c>
      <c r="X6792">
        <v>0.98289530000000003</v>
      </c>
      <c r="Y6792">
        <v>0.11139300000000001</v>
      </c>
      <c r="Z6792">
        <v>-0.19777069999999999</v>
      </c>
      <c r="AA6792">
        <v>0.9738985</v>
      </c>
      <c r="AB6792">
        <v>28</v>
      </c>
      <c r="AC6792">
        <v>9.6000000000003596E-2</v>
      </c>
      <c r="AD6792">
        <v>-0.178647</v>
      </c>
      <c r="AE6792">
        <v>0.590969999999998</v>
      </c>
      <c r="AF6792">
        <v>9.2567755223519899E-2</v>
      </c>
      <c r="AG6792">
        <v>-0.178647</v>
      </c>
      <c r="AH6792">
        <v>0.54192010474610297</v>
      </c>
      <c r="AI6792">
        <v>108.001522742063</v>
      </c>
      <c r="AJ6792">
        <v>80.306609995093794</v>
      </c>
      <c r="AK6792">
        <v>0.57806655312701505</v>
      </c>
      <c r="AL6792">
        <v>81.280125149859998</v>
      </c>
      <c r="AM6792">
        <v>83.927643298653507</v>
      </c>
      <c r="AN6792">
        <v>0.99999999040516996</v>
      </c>
    </row>
    <row r="6793" spans="1:40" x14ac:dyDescent="0.25">
      <c r="A6793" t="str">
        <f>"20190312164637577"</f>
        <v>20190312164637577</v>
      </c>
      <c r="B6793" t="str">
        <f>"1552380397567622"</f>
        <v>1552380397567622</v>
      </c>
      <c r="C6793" t="s">
        <v>40</v>
      </c>
      <c r="D6793">
        <v>4.651834</v>
      </c>
      <c r="E6793">
        <v>0.51256099999999905</v>
      </c>
      <c r="F6793" t="s">
        <v>41</v>
      </c>
      <c r="G6793">
        <v>-187.58090000000001</v>
      </c>
      <c r="H6793">
        <v>0.93886780000000003</v>
      </c>
      <c r="I6793">
        <v>82.004390000000001</v>
      </c>
      <c r="J6793">
        <v>-187.67439999999999</v>
      </c>
      <c r="K6793">
        <v>1.1088119999999999</v>
      </c>
      <c r="L6793">
        <v>81.430880000000002</v>
      </c>
      <c r="M6793">
        <v>-8.2549019999999997E-3</v>
      </c>
      <c r="N6793">
        <v>0</v>
      </c>
      <c r="O6793">
        <v>0.99990299999999999</v>
      </c>
      <c r="P6793">
        <v>9.644751E-2</v>
      </c>
      <c r="Q6793">
        <v>0.1402359</v>
      </c>
      <c r="R6793">
        <v>0.98540939999999999</v>
      </c>
      <c r="S6793">
        <v>0.33374019999999999</v>
      </c>
      <c r="T6793">
        <v>-0.62235689999999999</v>
      </c>
      <c r="U6793">
        <v>3.1006770000000001</v>
      </c>
      <c r="V6793">
        <v>0.10455159999999999</v>
      </c>
      <c r="W6793">
        <v>0.1512879</v>
      </c>
      <c r="X6793">
        <v>0.98294499999999996</v>
      </c>
      <c r="Y6793">
        <v>0.113153</v>
      </c>
      <c r="Z6793">
        <v>-0.19560559999999999</v>
      </c>
      <c r="AA6793">
        <v>0.97413289999999997</v>
      </c>
      <c r="AB6793">
        <v>28</v>
      </c>
      <c r="AC6793">
        <v>9.3499999999977407E-2</v>
      </c>
      <c r="AD6793">
        <v>-0.16994419999999999</v>
      </c>
      <c r="AE6793">
        <v>0.57350999999999797</v>
      </c>
      <c r="AF6793">
        <v>9.0491306484509607E-2</v>
      </c>
      <c r="AG6793">
        <v>-0.16994419999999999</v>
      </c>
      <c r="AH6793">
        <v>0.527591608324678</v>
      </c>
      <c r="AI6793">
        <v>107.613455773179</v>
      </c>
      <c r="AJ6793">
        <v>80.267459852446905</v>
      </c>
      <c r="AK6793">
        <v>0.56162497526154798</v>
      </c>
      <c r="AL6793">
        <v>81.2984301125407</v>
      </c>
      <c r="AM6793">
        <v>83.928524415008596</v>
      </c>
      <c r="AN6793">
        <v>0.99999996938698399</v>
      </c>
    </row>
    <row r="6794" spans="1:40" x14ac:dyDescent="0.25">
      <c r="A6794" t="str">
        <f>"20190312164637598"</f>
        <v>20190312164637598</v>
      </c>
      <c r="B6794" t="str">
        <f>"1552380397588118"</f>
        <v>1552380397588118</v>
      </c>
      <c r="C6794" t="s">
        <v>40</v>
      </c>
      <c r="D6794">
        <v>4.626277</v>
      </c>
      <c r="E6794">
        <v>0.51297919999999997</v>
      </c>
      <c r="F6794" t="s">
        <v>41</v>
      </c>
      <c r="G6794">
        <v>-187.5857</v>
      </c>
      <c r="H6794">
        <v>0.94131350000000003</v>
      </c>
      <c r="I6794">
        <v>82.257310000000004</v>
      </c>
      <c r="J6794">
        <v>-187.67679999999999</v>
      </c>
      <c r="K6794">
        <v>1.108811</v>
      </c>
      <c r="L6794">
        <v>81.704769999999996</v>
      </c>
      <c r="M6794">
        <v>-8.3670729999999992E-3</v>
      </c>
      <c r="N6794">
        <v>0</v>
      </c>
      <c r="O6794">
        <v>0.99990210000000002</v>
      </c>
      <c r="P6794">
        <v>9.6061160000000007E-2</v>
      </c>
      <c r="Q6794">
        <v>0.13977719999999999</v>
      </c>
      <c r="R6794">
        <v>0.98551239999999996</v>
      </c>
      <c r="S6794">
        <v>0.33207700000000001</v>
      </c>
      <c r="T6794">
        <v>-0.62860419999999995</v>
      </c>
      <c r="U6794">
        <v>3.1013790000000001</v>
      </c>
      <c r="V6794">
        <v>0.1042766</v>
      </c>
      <c r="W6794">
        <v>0.15082970000000001</v>
      </c>
      <c r="X6794">
        <v>0.98304460000000005</v>
      </c>
      <c r="Y6794">
        <v>0.1126849</v>
      </c>
      <c r="Z6794">
        <v>-0.1974601</v>
      </c>
      <c r="AA6794">
        <v>0.97381289999999998</v>
      </c>
      <c r="AB6794">
        <v>28</v>
      </c>
      <c r="AC6794">
        <v>9.1099999999983E-2</v>
      </c>
      <c r="AD6794">
        <v>-0.16749749999999899</v>
      </c>
      <c r="AE6794">
        <v>0.55254000000000703</v>
      </c>
      <c r="AF6794">
        <v>8.7860062371845904E-2</v>
      </c>
      <c r="AG6794">
        <v>-0.16749749999999899</v>
      </c>
      <c r="AH6794">
        <v>0.50645007364607197</v>
      </c>
      <c r="AI6794">
        <v>108.048786226381</v>
      </c>
      <c r="AJ6794">
        <v>80.158156762484893</v>
      </c>
      <c r="AK6794">
        <v>0.54061675904687401</v>
      </c>
      <c r="AL6794">
        <v>81.324987596290399</v>
      </c>
      <c r="AM6794">
        <v>83.944984266324497</v>
      </c>
      <c r="AN6794">
        <v>0.99999994664940295</v>
      </c>
    </row>
    <row r="6795" spans="1:40" x14ac:dyDescent="0.25">
      <c r="A6795" t="str">
        <f>"20190312164637620"</f>
        <v>20190312164637620</v>
      </c>
      <c r="B6795" t="str">
        <f>"1552380397618375"</f>
        <v>1552380397618375</v>
      </c>
      <c r="C6795" t="s">
        <v>40</v>
      </c>
      <c r="D6795">
        <v>4.5813300000000003</v>
      </c>
      <c r="E6795">
        <v>0.51325540000000003</v>
      </c>
      <c r="F6795" t="s">
        <v>41</v>
      </c>
      <c r="G6795">
        <v>-187.5898</v>
      </c>
      <c r="H6795">
        <v>0.94537400000000005</v>
      </c>
      <c r="I6795">
        <v>82.511160000000004</v>
      </c>
      <c r="J6795">
        <v>-187.67920000000001</v>
      </c>
      <c r="K6795">
        <v>1.108811</v>
      </c>
      <c r="L6795">
        <v>81.978390000000005</v>
      </c>
      <c r="M6795">
        <v>-8.4791699999999994E-3</v>
      </c>
      <c r="N6795">
        <v>0</v>
      </c>
      <c r="O6795">
        <v>0.99990120000000005</v>
      </c>
      <c r="P6795">
        <v>9.5995810000000001E-2</v>
      </c>
      <c r="Q6795">
        <v>0.13956199999999999</v>
      </c>
      <c r="R6795">
        <v>0.98554920000000001</v>
      </c>
      <c r="S6795">
        <v>0.33432009999999901</v>
      </c>
      <c r="T6795">
        <v>-0.62843819999999995</v>
      </c>
      <c r="U6795">
        <v>3.1006469999999999</v>
      </c>
      <c r="V6795">
        <v>0.1043219</v>
      </c>
      <c r="W6795">
        <v>0.15061429999999901</v>
      </c>
      <c r="X6795">
        <v>0.98307290000000003</v>
      </c>
      <c r="Y6795">
        <v>0.11351749999999999</v>
      </c>
      <c r="Z6795">
        <v>-0.19743759999999999</v>
      </c>
      <c r="AA6795">
        <v>0.97372080000000005</v>
      </c>
      <c r="AB6795">
        <v>28</v>
      </c>
      <c r="AC6795">
        <v>8.9400000000011901E-2</v>
      </c>
      <c r="AD6795">
        <v>-0.163437</v>
      </c>
      <c r="AE6795">
        <v>0.53276999999999897</v>
      </c>
      <c r="AF6795">
        <v>8.6039368343837797E-2</v>
      </c>
      <c r="AG6795">
        <v>-0.163437</v>
      </c>
      <c r="AH6795">
        <v>0.48738280744902501</v>
      </c>
      <c r="AI6795">
        <v>108.27476390806601</v>
      </c>
      <c r="AJ6795">
        <v>79.988527313266204</v>
      </c>
      <c r="AK6795">
        <v>0.52120670263428104</v>
      </c>
      <c r="AL6795">
        <v>81.337472420816894</v>
      </c>
      <c r="AM6795">
        <v>83.942546477018894</v>
      </c>
      <c r="AN6795">
        <v>1.0000000264492499</v>
      </c>
    </row>
    <row r="6796" spans="1:40" x14ac:dyDescent="0.25">
      <c r="A6796" t="str">
        <f>"20190312164637642"</f>
        <v>20190312164637642</v>
      </c>
      <c r="B6796" t="str">
        <f>"1552380397637895"</f>
        <v>1552380397637895</v>
      </c>
      <c r="C6796" t="s">
        <v>40</v>
      </c>
      <c r="D6796">
        <v>4.5391769999999996</v>
      </c>
      <c r="E6796">
        <v>0.51329670000000005</v>
      </c>
      <c r="F6796" t="s">
        <v>41</v>
      </c>
      <c r="G6796">
        <v>-187.59379999999999</v>
      </c>
      <c r="H6796">
        <v>0.94903479999999996</v>
      </c>
      <c r="I6796">
        <v>82.764979999999994</v>
      </c>
      <c r="J6796">
        <v>-187.68170000000001</v>
      </c>
      <c r="K6796">
        <v>1.1088089999999999</v>
      </c>
      <c r="L6796">
        <v>82.260649999999998</v>
      </c>
      <c r="M6796">
        <v>-8.5948499999999994E-3</v>
      </c>
      <c r="N6796">
        <v>0</v>
      </c>
      <c r="O6796">
        <v>0.99990020000000002</v>
      </c>
      <c r="P6796">
        <v>9.5391699999999996E-2</v>
      </c>
      <c r="Q6796">
        <v>0.13932659999999999</v>
      </c>
      <c r="R6796">
        <v>0.9856412</v>
      </c>
      <c r="S6796">
        <v>0.33628849999999999</v>
      </c>
      <c r="T6796">
        <v>-0.62980069999999999</v>
      </c>
      <c r="U6796">
        <v>3.100403</v>
      </c>
      <c r="V6796">
        <v>0.1038326</v>
      </c>
      <c r="W6796">
        <v>0.15038000000000001</v>
      </c>
      <c r="X6796">
        <v>0.98316060000000005</v>
      </c>
      <c r="Y6796">
        <v>0.1142426</v>
      </c>
      <c r="Z6796">
        <v>-0.19784860000000001</v>
      </c>
      <c r="AA6796">
        <v>0.97355250000000004</v>
      </c>
      <c r="AB6796">
        <v>28</v>
      </c>
      <c r="AC6796">
        <v>8.7900000000018894E-2</v>
      </c>
      <c r="AD6796">
        <v>-0.15977419999999901</v>
      </c>
      <c r="AE6796">
        <v>0.50433000000001005</v>
      </c>
      <c r="AF6796">
        <v>8.4045133115174295E-2</v>
      </c>
      <c r="AG6796">
        <v>-0.15977419999999901</v>
      </c>
      <c r="AH6796">
        <v>0.45885994428807902</v>
      </c>
      <c r="AI6796">
        <v>108.906357570629</v>
      </c>
      <c r="AJ6796">
        <v>79.620709034691103</v>
      </c>
      <c r="AK6796">
        <v>0.49309616491922398</v>
      </c>
      <c r="AL6796">
        <v>81.351051767477699</v>
      </c>
      <c r="AM6796">
        <v>83.9712817910127</v>
      </c>
      <c r="AN6796">
        <v>1.00000005930755</v>
      </c>
    </row>
    <row r="6797" spans="1:40" x14ac:dyDescent="0.25">
      <c r="A6797" t="str">
        <f>"20190312164637668"</f>
        <v>20190312164637668</v>
      </c>
      <c r="B6797" t="str">
        <f>"1552380397658390"</f>
        <v>1552380397658390</v>
      </c>
      <c r="C6797" t="s">
        <v>40</v>
      </c>
      <c r="D6797">
        <v>4.6926100000000002</v>
      </c>
      <c r="E6797">
        <v>0.51379240000000004</v>
      </c>
      <c r="F6797" t="s">
        <v>41</v>
      </c>
      <c r="G6797">
        <v>-187.59989999999999</v>
      </c>
      <c r="H6797">
        <v>0.95323230000000003</v>
      </c>
      <c r="I6797">
        <v>83.019109999999998</v>
      </c>
      <c r="J6797">
        <v>-187.68459999999999</v>
      </c>
      <c r="K6797">
        <v>1.10880499999999</v>
      </c>
      <c r="L6797">
        <v>82.578519999999997</v>
      </c>
      <c r="M6797">
        <v>-8.724908E-3</v>
      </c>
      <c r="N6797">
        <v>0</v>
      </c>
      <c r="O6797">
        <v>0.99989899999999998</v>
      </c>
      <c r="P6797">
        <v>9.5025139999999994E-2</v>
      </c>
      <c r="Q6797">
        <v>0.13934449999999901</v>
      </c>
      <c r="R6797">
        <v>0.98567400000000005</v>
      </c>
      <c r="S6797">
        <v>0.33432009999999901</v>
      </c>
      <c r="T6797">
        <v>-0.6361424</v>
      </c>
      <c r="U6797">
        <v>3.1012569999999999</v>
      </c>
      <c r="V6797">
        <v>0.1035943</v>
      </c>
      <c r="W6797">
        <v>0.1503979</v>
      </c>
      <c r="X6797">
        <v>0.98318289999999997</v>
      </c>
      <c r="Y6797">
        <v>0.1136915</v>
      </c>
      <c r="Z6797">
        <v>-0.19972119999999999</v>
      </c>
      <c r="AA6797">
        <v>0.97323470000000001</v>
      </c>
      <c r="AB6797">
        <v>28</v>
      </c>
      <c r="AC6797">
        <v>8.4699999999997999E-2</v>
      </c>
      <c r="AD6797">
        <v>-0.15557269999999901</v>
      </c>
      <c r="AE6797">
        <v>0.44058999999999998</v>
      </c>
      <c r="AF6797">
        <v>7.9037878178315604E-2</v>
      </c>
      <c r="AG6797">
        <v>-0.15557269999999901</v>
      </c>
      <c r="AH6797">
        <v>0.39262614437715598</v>
      </c>
      <c r="AI6797">
        <v>111.228347554275</v>
      </c>
      <c r="AJ6797">
        <v>78.618152244352402</v>
      </c>
      <c r="AK6797">
        <v>0.42965700322547001</v>
      </c>
      <c r="AL6797">
        <v>81.3500135185826</v>
      </c>
      <c r="AM6797">
        <v>83.985151819606202</v>
      </c>
      <c r="AN6797">
        <v>0.99999996108465405</v>
      </c>
    </row>
    <row r="6798" spans="1:40" x14ac:dyDescent="0.25">
      <c r="A6798" t="str">
        <f>"20190312164637689"</f>
        <v>20190312164637689</v>
      </c>
      <c r="B6798" t="str">
        <f>"1552380397677916"</f>
        <v>1552380397677916</v>
      </c>
      <c r="C6798" t="s">
        <v>40</v>
      </c>
      <c r="D6798">
        <v>4.7096479999999996</v>
      </c>
      <c r="E6798">
        <v>0.51427869999999998</v>
      </c>
      <c r="F6798" t="s">
        <v>41</v>
      </c>
      <c r="G6798">
        <v>-187.60849999999999</v>
      </c>
      <c r="H6798">
        <v>0.96523009999999998</v>
      </c>
      <c r="I6798">
        <v>83.277180000000001</v>
      </c>
      <c r="J6798">
        <v>-187.68709999999999</v>
      </c>
      <c r="K6798">
        <v>1.108803</v>
      </c>
      <c r="L6798">
        <v>82.850920000000002</v>
      </c>
      <c r="M6798">
        <v>-8.8364649999999999E-3</v>
      </c>
      <c r="N6798">
        <v>0</v>
      </c>
      <c r="O6798">
        <v>0.99989810000000001</v>
      </c>
      <c r="P6798">
        <v>9.4823900000000003E-2</v>
      </c>
      <c r="Q6798">
        <v>0.13884479999999999</v>
      </c>
      <c r="R6798">
        <v>0.98576399999999997</v>
      </c>
      <c r="S6798">
        <v>0.3370514</v>
      </c>
      <c r="T6798">
        <v>-0.63733769999999901</v>
      </c>
      <c r="U6798">
        <v>3.1011959999999998</v>
      </c>
      <c r="V6798">
        <v>0.10350380000000001</v>
      </c>
      <c r="W6798">
        <v>0.14989959999999999</v>
      </c>
      <c r="X6798">
        <v>0.98326860000000005</v>
      </c>
      <c r="Y6798">
        <v>0.114644</v>
      </c>
      <c r="Z6798">
        <v>-0.20006470000000001</v>
      </c>
      <c r="AA6798">
        <v>0.97305229999999998</v>
      </c>
      <c r="AB6798">
        <v>28</v>
      </c>
      <c r="AC6798">
        <v>7.8599999999994397E-2</v>
      </c>
      <c r="AD6798">
        <v>-0.1435729</v>
      </c>
      <c r="AE6798">
        <v>0.42625999999999897</v>
      </c>
      <c r="AF6798">
        <v>7.4220530947749996E-2</v>
      </c>
      <c r="AG6798">
        <v>-0.1435729</v>
      </c>
      <c r="AH6798">
        <v>0.38347496894962901</v>
      </c>
      <c r="AI6798">
        <v>110.182323567897</v>
      </c>
      <c r="AJ6798">
        <v>79.0459993969083</v>
      </c>
      <c r="AK6798">
        <v>0.41614290410806598</v>
      </c>
      <c r="AL6798">
        <v>81.378892009897697</v>
      </c>
      <c r="AM6798">
        <v>83.990887878044703</v>
      </c>
      <c r="AN6798">
        <v>1.0000000332202701</v>
      </c>
    </row>
    <row r="6799" spans="1:40" x14ac:dyDescent="0.25">
      <c r="A6799" t="str">
        <f>"20190312164637712"</f>
        <v>20190312164637712</v>
      </c>
      <c r="B6799" t="str">
        <f>"1552380397708167"</f>
        <v>1552380397708167</v>
      </c>
      <c r="C6799" t="s">
        <v>40</v>
      </c>
      <c r="D6799">
        <v>4.652755</v>
      </c>
      <c r="E6799">
        <v>0.51522020000000002</v>
      </c>
      <c r="F6799" t="s">
        <v>41</v>
      </c>
      <c r="G6799">
        <v>-187.58709999999999</v>
      </c>
      <c r="H6799">
        <v>0.92092700000000005</v>
      </c>
      <c r="I6799">
        <v>83.761899999999997</v>
      </c>
      <c r="J6799">
        <v>-187.68969999999999</v>
      </c>
      <c r="K6799">
        <v>1.1088039999999999</v>
      </c>
      <c r="L6799">
        <v>83.132840000000002</v>
      </c>
      <c r="M6799">
        <v>-8.9519549999999993E-3</v>
      </c>
      <c r="N6799">
        <v>0</v>
      </c>
      <c r="O6799">
        <v>0.99989709999999998</v>
      </c>
      <c r="P6799">
        <v>9.4505710000000007E-2</v>
      </c>
      <c r="Q6799">
        <v>0.13887559999999999</v>
      </c>
      <c r="R6799">
        <v>0.98579019999999995</v>
      </c>
      <c r="S6799">
        <v>0.33999629999999997</v>
      </c>
      <c r="T6799">
        <v>-0.63950030000000002</v>
      </c>
      <c r="U6799">
        <v>3.100708</v>
      </c>
      <c r="V6799">
        <v>0.10329960000000001</v>
      </c>
      <c r="W6799">
        <v>0.14993029999999999</v>
      </c>
      <c r="X6799">
        <v>0.98328539999999998</v>
      </c>
      <c r="Y6799">
        <v>0.1156736</v>
      </c>
      <c r="Z6799">
        <v>-0.20072390000000001</v>
      </c>
      <c r="AA6799">
        <v>0.97279470000000001</v>
      </c>
      <c r="AB6799">
        <v>28</v>
      </c>
      <c r="AC6799">
        <v>0.102599999999995</v>
      </c>
      <c r="AD6799">
        <v>-0.18787699999999999</v>
      </c>
      <c r="AE6799">
        <v>0.62905999999999496</v>
      </c>
      <c r="AF6799">
        <v>9.9575608020470593E-2</v>
      </c>
      <c r="AG6799">
        <v>-0.18787699999999999</v>
      </c>
      <c r="AH6799">
        <v>0.57790325607358195</v>
      </c>
      <c r="AI6799">
        <v>107.764420996168</v>
      </c>
      <c r="AJ6799">
        <v>80.223647721720496</v>
      </c>
      <c r="AK6799">
        <v>0.61578018985843797</v>
      </c>
      <c r="AL6799">
        <v>81.377112983107494</v>
      </c>
      <c r="AM6799">
        <v>84.002758333451396</v>
      </c>
      <c r="AN6799">
        <v>1.0000000400357001</v>
      </c>
    </row>
    <row r="6800" spans="1:40" x14ac:dyDescent="0.25">
      <c r="A6800" t="str">
        <f>"20190312164637733"</f>
        <v>20190312164637733</v>
      </c>
      <c r="B6800" t="str">
        <f>"1552380397727687"</f>
        <v>1552380397727687</v>
      </c>
      <c r="C6800" t="s">
        <v>40</v>
      </c>
      <c r="D6800">
        <v>4.4379200000000001</v>
      </c>
      <c r="E6800">
        <v>0.51552900000000002</v>
      </c>
      <c r="F6800" t="s">
        <v>41</v>
      </c>
      <c r="G6800">
        <v>-187.5907</v>
      </c>
      <c r="H6800">
        <v>0.92721010000000004</v>
      </c>
      <c r="I6800">
        <v>84.017499999999998</v>
      </c>
      <c r="J6800">
        <v>-187.69220000000001</v>
      </c>
      <c r="K6800">
        <v>1.1088089999999999</v>
      </c>
      <c r="L6800">
        <v>83.397710000000004</v>
      </c>
      <c r="M6800">
        <v>-9.0606760000000001E-3</v>
      </c>
      <c r="N6800">
        <v>0</v>
      </c>
      <c r="O6800">
        <v>0.99989600000000001</v>
      </c>
      <c r="P6800">
        <v>9.4858529999999996E-2</v>
      </c>
      <c r="Q6800">
        <v>0.1387622</v>
      </c>
      <c r="R6800">
        <v>0.98577230000000005</v>
      </c>
      <c r="S6800">
        <v>0.34683229999999998</v>
      </c>
      <c r="T6800">
        <v>-0.63625900000000002</v>
      </c>
      <c r="U6800">
        <v>3.09964</v>
      </c>
      <c r="V6800">
        <v>0.1037594</v>
      </c>
      <c r="W6800">
        <v>0.14981710000000001</v>
      </c>
      <c r="X6800">
        <v>0.98325419999999997</v>
      </c>
      <c r="Y6800">
        <v>0.1179588</v>
      </c>
      <c r="Z6800">
        <v>-0.19976279999999999</v>
      </c>
      <c r="AA6800">
        <v>0.97271810000000003</v>
      </c>
      <c r="AB6800">
        <v>28</v>
      </c>
      <c r="AC6800">
        <v>0.10150000000001499</v>
      </c>
      <c r="AD6800">
        <v>-0.18159889999999901</v>
      </c>
      <c r="AE6800">
        <v>0.61978999999999396</v>
      </c>
      <c r="AF6800">
        <v>9.8847542174422806E-2</v>
      </c>
      <c r="AG6800">
        <v>-0.18159889999999901</v>
      </c>
      <c r="AH6800">
        <v>0.57109704540897899</v>
      </c>
      <c r="AI6800">
        <v>107.397021915732</v>
      </c>
      <c r="AJ6800">
        <v>80.180326992986494</v>
      </c>
      <c r="AK6800">
        <v>0.60737207076881605</v>
      </c>
      <c r="AL6800">
        <v>81.383672604318207</v>
      </c>
      <c r="AM6800">
        <v>83.976069934006304</v>
      </c>
      <c r="AN6800">
        <v>0.99999999917920401</v>
      </c>
    </row>
    <row r="6801" spans="1:40" x14ac:dyDescent="0.25">
      <c r="A6801" t="str">
        <f>"20190312164637755"</f>
        <v>20190312164637755</v>
      </c>
      <c r="B6801" t="str">
        <f>"1552380397748183"</f>
        <v>1552380397748183</v>
      </c>
      <c r="C6801" t="s">
        <v>40</v>
      </c>
      <c r="D6801">
        <v>4.4099640000000004</v>
      </c>
      <c r="E6801">
        <v>0.51601699999999995</v>
      </c>
      <c r="F6801" t="s">
        <v>41</v>
      </c>
      <c r="G6801">
        <v>-187.5933</v>
      </c>
      <c r="H6801">
        <v>0.92957719999999999</v>
      </c>
      <c r="I6801">
        <v>84.271419999999907</v>
      </c>
      <c r="J6801">
        <v>-187.69489999999999</v>
      </c>
      <c r="K6801">
        <v>1.1088100000000001</v>
      </c>
      <c r="L6801">
        <v>83.685730000000007</v>
      </c>
      <c r="M6801">
        <v>-9.1786869999999996E-3</v>
      </c>
      <c r="N6801">
        <v>0</v>
      </c>
      <c r="O6801">
        <v>0.99989499999999998</v>
      </c>
      <c r="P6801">
        <v>9.4768839999999993E-2</v>
      </c>
      <c r="Q6801">
        <v>0.13898429999999901</v>
      </c>
      <c r="R6801">
        <v>0.9857496</v>
      </c>
      <c r="S6801">
        <v>0.35035709999999998</v>
      </c>
      <c r="T6801">
        <v>-0.63573619999999897</v>
      </c>
      <c r="U6801">
        <v>3.0990600000000001</v>
      </c>
      <c r="V6801">
        <v>0.10378569999999999</v>
      </c>
      <c r="W6801">
        <v>0.1500396</v>
      </c>
      <c r="X6801">
        <v>0.98321749999999997</v>
      </c>
      <c r="Y6801">
        <v>0.1191919</v>
      </c>
      <c r="Z6801">
        <v>-0.1996136</v>
      </c>
      <c r="AA6801">
        <v>0.97259839999999997</v>
      </c>
      <c r="AB6801">
        <v>28</v>
      </c>
      <c r="AC6801">
        <v>0.10159999999999</v>
      </c>
      <c r="AD6801">
        <v>-0.1792328</v>
      </c>
      <c r="AE6801">
        <v>0.58568999999998494</v>
      </c>
      <c r="AF6801">
        <v>9.8057294624391805E-2</v>
      </c>
      <c r="AG6801">
        <v>-0.1792328</v>
      </c>
      <c r="AH6801">
        <v>0.53600333884845397</v>
      </c>
      <c r="AI6801">
        <v>108.20751101524699</v>
      </c>
      <c r="AJ6801">
        <v>79.632859926593099</v>
      </c>
      <c r="AK6801">
        <v>0.57361939374604898</v>
      </c>
      <c r="AL6801">
        <v>81.370778580703799</v>
      </c>
      <c r="AM6801">
        <v>83.974331020077202</v>
      </c>
      <c r="AN6801">
        <v>1.00000000269945</v>
      </c>
    </row>
    <row r="6802" spans="1:40" x14ac:dyDescent="0.25">
      <c r="A6802" t="str">
        <f>"20190312164637777"</f>
        <v>20190312164637777</v>
      </c>
      <c r="B6802" t="str">
        <f>"1552380397767702"</f>
        <v>1552380397767702</v>
      </c>
      <c r="C6802" t="s">
        <v>40</v>
      </c>
      <c r="D6802">
        <v>4.3729139999999997</v>
      </c>
      <c r="E6802">
        <v>0.51593929999999999</v>
      </c>
      <c r="F6802" t="s">
        <v>41</v>
      </c>
      <c r="G6802">
        <v>-187.5986</v>
      </c>
      <c r="H6802">
        <v>0.93702649999999998</v>
      </c>
      <c r="I6802">
        <v>84.527739999999994</v>
      </c>
      <c r="J6802">
        <v>-187.69759999999999</v>
      </c>
      <c r="K6802">
        <v>1.108808</v>
      </c>
      <c r="L6802">
        <v>83.963989999999995</v>
      </c>
      <c r="M6802">
        <v>-9.2925579999999994E-3</v>
      </c>
      <c r="N6802">
        <v>0</v>
      </c>
      <c r="O6802">
        <v>0.9998939</v>
      </c>
      <c r="P6802">
        <v>9.5071260000000005E-2</v>
      </c>
      <c r="Q6802">
        <v>0.13952890000000001</v>
      </c>
      <c r="R6802">
        <v>0.98564350000000001</v>
      </c>
      <c r="S6802">
        <v>0.35438540000000002</v>
      </c>
      <c r="T6802">
        <v>-0.63212950000000001</v>
      </c>
      <c r="U6802">
        <v>3.0983890000000001</v>
      </c>
      <c r="V6802">
        <v>0.1041991</v>
      </c>
      <c r="W6802">
        <v>0.15058270000000001</v>
      </c>
      <c r="X6802">
        <v>0.98309080000000004</v>
      </c>
      <c r="Y6802">
        <v>0.1206016</v>
      </c>
      <c r="Z6802">
        <v>-0.19853599999999999</v>
      </c>
      <c r="AA6802">
        <v>0.97264519999999999</v>
      </c>
      <c r="AB6802">
        <v>28</v>
      </c>
      <c r="AC6802">
        <v>9.8999999999989499E-2</v>
      </c>
      <c r="AD6802">
        <v>-0.1717815</v>
      </c>
      <c r="AE6802">
        <v>0.56375000000001296</v>
      </c>
      <c r="AF6802">
        <v>9.5621896295642203E-2</v>
      </c>
      <c r="AG6802">
        <v>-0.1717815</v>
      </c>
      <c r="AH6802">
        <v>0.51630142755149899</v>
      </c>
      <c r="AI6802">
        <v>108.115611746306</v>
      </c>
      <c r="AJ6802">
        <v>79.507394170452002</v>
      </c>
      <c r="AK6802">
        <v>0.55246682695447002</v>
      </c>
      <c r="AL6802">
        <v>81.339304160894798</v>
      </c>
      <c r="AM6802">
        <v>83.949733288568794</v>
      </c>
      <c r="AN6802">
        <v>1.0000000615123601</v>
      </c>
    </row>
    <row r="6803" spans="1:40" x14ac:dyDescent="0.25">
      <c r="A6803" t="str">
        <f>"20190312164637799"</f>
        <v>20190312164637799</v>
      </c>
      <c r="B6803" t="str">
        <f>"1552380397788198"</f>
        <v>1552380397788198</v>
      </c>
      <c r="C6803" t="s">
        <v>40</v>
      </c>
      <c r="D6803">
        <v>4.460153</v>
      </c>
      <c r="E6803">
        <v>0.50157600000000002</v>
      </c>
      <c r="F6803" t="s">
        <v>41</v>
      </c>
      <c r="G6803">
        <v>-187.6035</v>
      </c>
      <c r="H6803">
        <v>0.94346850000000004</v>
      </c>
      <c r="I6803">
        <v>84.783779999999993</v>
      </c>
      <c r="J6803">
        <v>-187.7003</v>
      </c>
      <c r="K6803">
        <v>1.108806</v>
      </c>
      <c r="L6803">
        <v>84.236540000000005</v>
      </c>
      <c r="M6803">
        <v>-9.4041409999999995E-3</v>
      </c>
      <c r="N6803">
        <v>0</v>
      </c>
      <c r="O6803">
        <v>0.99989289999999997</v>
      </c>
      <c r="P6803">
        <v>9.5480720000000005E-2</v>
      </c>
      <c r="Q6803">
        <v>0.13965999999999901</v>
      </c>
      <c r="R6803">
        <v>0.98558539999999994</v>
      </c>
      <c r="S6803">
        <v>0.35511779999999998</v>
      </c>
      <c r="T6803">
        <v>-0.62481529999999996</v>
      </c>
      <c r="U6803">
        <v>3.0979000000000001</v>
      </c>
      <c r="V6803">
        <v>0.1047178</v>
      </c>
      <c r="W6803">
        <v>0.15071419999999999</v>
      </c>
      <c r="X6803">
        <v>0.98301550000000004</v>
      </c>
      <c r="Y6803">
        <v>0.12100669999999999</v>
      </c>
      <c r="Z6803">
        <v>-0.19635040000000001</v>
      </c>
      <c r="AA6803">
        <v>0.97303850000000003</v>
      </c>
      <c r="AB6803">
        <v>28</v>
      </c>
      <c r="AC6803">
        <v>9.6800000000001704E-2</v>
      </c>
      <c r="AD6803">
        <v>-0.1653375</v>
      </c>
      <c r="AE6803">
        <v>0.54724000000000195</v>
      </c>
      <c r="AF6803">
        <v>9.3652876843448696E-2</v>
      </c>
      <c r="AG6803">
        <v>-0.1653375</v>
      </c>
      <c r="AH6803">
        <v>0.50188235640753398</v>
      </c>
      <c r="AI6803">
        <v>107.944274169674</v>
      </c>
      <c r="AJ6803">
        <v>79.429988002850806</v>
      </c>
      <c r="AK6803">
        <v>0.53665002554782704</v>
      </c>
      <c r="AL6803">
        <v>81.331682515574897</v>
      </c>
      <c r="AM6803">
        <v>83.919378034093299</v>
      </c>
      <c r="AN6803">
        <v>1.0000000304793599</v>
      </c>
    </row>
    <row r="6804" spans="1:40" x14ac:dyDescent="0.25">
      <c r="A6804" t="str">
        <f>"20190312164637823"</f>
        <v>20190312164637823</v>
      </c>
      <c r="B6804" t="str">
        <f>"1552380397818457"</f>
        <v>1552380397818457</v>
      </c>
      <c r="C6804" t="s">
        <v>40</v>
      </c>
      <c r="D6804">
        <v>4.542656</v>
      </c>
      <c r="E6804">
        <v>0.50383990000000001</v>
      </c>
      <c r="F6804" t="s">
        <v>41</v>
      </c>
      <c r="G6804">
        <v>-187.62889999999999</v>
      </c>
      <c r="H6804">
        <v>1.0263340000000001</v>
      </c>
      <c r="I6804">
        <v>85.076909999999998</v>
      </c>
      <c r="J6804">
        <v>-187.70320000000001</v>
      </c>
      <c r="K6804">
        <v>1.1088100000000001</v>
      </c>
      <c r="L6804">
        <v>84.532290000000003</v>
      </c>
      <c r="M6804">
        <v>-9.5253460000000005E-3</v>
      </c>
      <c r="N6804">
        <v>0</v>
      </c>
      <c r="O6804">
        <v>0.9998918</v>
      </c>
      <c r="P6804">
        <v>9.5107620000000004E-2</v>
      </c>
      <c r="Q6804">
        <v>0.13972780000000001</v>
      </c>
      <c r="R6804">
        <v>0.98561189999999999</v>
      </c>
      <c r="S6804">
        <v>0.25975039999999999</v>
      </c>
      <c r="T6804">
        <v>-0.3004423</v>
      </c>
      <c r="U6804">
        <v>3.0612789999999999</v>
      </c>
      <c r="V6804">
        <v>0.1044643</v>
      </c>
      <c r="W6804">
        <v>0.15078259999999999</v>
      </c>
      <c r="X6804">
        <v>0.98303189999999996</v>
      </c>
      <c r="Y6804">
        <v>9.3633380000000002E-2</v>
      </c>
      <c r="Z6804">
        <v>-9.7279080000000004E-2</v>
      </c>
      <c r="AA6804">
        <v>0.99084289999999997</v>
      </c>
      <c r="AB6804">
        <v>28</v>
      </c>
      <c r="AC6804">
        <v>7.4300000000022196E-2</v>
      </c>
      <c r="AD6804">
        <v>-8.2475999999999994E-2</v>
      </c>
      <c r="AE6804">
        <v>0.544619999999994</v>
      </c>
      <c r="AF6804">
        <v>7.7734507381375106E-2</v>
      </c>
      <c r="AG6804">
        <v>-8.2475999999999994E-2</v>
      </c>
      <c r="AH6804">
        <v>0.53191186547968505</v>
      </c>
      <c r="AI6804">
        <v>98.722645910745499</v>
      </c>
      <c r="AJ6804">
        <v>81.685555285071004</v>
      </c>
      <c r="AK6804">
        <v>0.54385216451891005</v>
      </c>
      <c r="AL6804">
        <v>81.327717472277797</v>
      </c>
      <c r="AM6804">
        <v>83.934088518744005</v>
      </c>
      <c r="AN6804">
        <v>0.99999994942742798</v>
      </c>
    </row>
    <row r="6805" spans="1:40" x14ac:dyDescent="0.25">
      <c r="A6805" t="str">
        <f>"20190312164637844"</f>
        <v>20190312164637844</v>
      </c>
      <c r="B6805" t="str">
        <f>"1552380397837975"</f>
        <v>1552380397837975</v>
      </c>
      <c r="C6805" t="s">
        <v>40</v>
      </c>
      <c r="D6805">
        <v>4.4596499999999999</v>
      </c>
      <c r="E6805">
        <v>0.50434699999999999</v>
      </c>
      <c r="F6805" t="s">
        <v>41</v>
      </c>
      <c r="G6805">
        <v>-187.6292</v>
      </c>
      <c r="H6805">
        <v>1.0427409999999999</v>
      </c>
      <c r="I6805">
        <v>85.338319999999996</v>
      </c>
      <c r="J6805">
        <v>-187.70590000000001</v>
      </c>
      <c r="K6805">
        <v>1.108808</v>
      </c>
      <c r="L6805">
        <v>84.805480000000003</v>
      </c>
      <c r="M6805">
        <v>-9.6373299999999995E-3</v>
      </c>
      <c r="N6805">
        <v>0</v>
      </c>
      <c r="O6805">
        <v>0.99989059999999996</v>
      </c>
      <c r="P6805">
        <v>9.5366229999999996E-2</v>
      </c>
      <c r="Q6805">
        <v>0.13979150000000001</v>
      </c>
      <c r="R6805">
        <v>0.98557779999999995</v>
      </c>
      <c r="S6805">
        <v>0.27993770000000001</v>
      </c>
      <c r="T6805">
        <v>-0.25022699999999998</v>
      </c>
      <c r="U6805">
        <v>3.0522459999999998</v>
      </c>
      <c r="V6805">
        <v>0.1048328</v>
      </c>
      <c r="W6805">
        <v>0.15084620000000001</v>
      </c>
      <c r="X6805">
        <v>0.98298289999999999</v>
      </c>
      <c r="Y6805">
        <v>0.1006228</v>
      </c>
      <c r="Z6805">
        <v>-8.1324530000000006E-2</v>
      </c>
      <c r="AA6805">
        <v>0.99159540000000002</v>
      </c>
      <c r="AB6805">
        <v>28</v>
      </c>
      <c r="AC6805">
        <v>7.6700000000016602E-2</v>
      </c>
      <c r="AD6805">
        <v>-6.6067000000000098E-2</v>
      </c>
      <c r="AE6805">
        <v>0.53283999999999299</v>
      </c>
      <c r="AF6805">
        <v>8.0617690976705694E-2</v>
      </c>
      <c r="AG6805">
        <v>-6.6067000000000098E-2</v>
      </c>
      <c r="AH6805">
        <v>0.52418105922782499</v>
      </c>
      <c r="AI6805">
        <v>97.100971824923505</v>
      </c>
      <c r="AJ6805">
        <v>81.256565819153295</v>
      </c>
      <c r="AK6805">
        <v>0.53444348947350895</v>
      </c>
      <c r="AL6805">
        <v>81.324031188455606</v>
      </c>
      <c r="AM6805">
        <v>83.9125501032036</v>
      </c>
      <c r="AN6805">
        <v>0.99999993685134303</v>
      </c>
    </row>
    <row r="6806" spans="1:40" x14ac:dyDescent="0.25">
      <c r="A6806" t="str">
        <f>"20190312164637869"</f>
        <v>20190312164637869</v>
      </c>
      <c r="B6806" t="str">
        <f>"1552380397858471"</f>
        <v>1552380397858471</v>
      </c>
      <c r="C6806" t="s">
        <v>40</v>
      </c>
      <c r="D6806">
        <v>4.5054100000000004</v>
      </c>
      <c r="E6806">
        <v>0.50465519999999997</v>
      </c>
      <c r="F6806" t="s">
        <v>41</v>
      </c>
      <c r="G6806">
        <v>-187.63239999999999</v>
      </c>
      <c r="H6806">
        <v>1.045194</v>
      </c>
      <c r="I6806">
        <v>85.592950000000002</v>
      </c>
      <c r="J6806">
        <v>-187.70910000000001</v>
      </c>
      <c r="K6806">
        <v>1.1088100000000001</v>
      </c>
      <c r="L6806">
        <v>85.117890000000003</v>
      </c>
      <c r="M6806">
        <v>-9.7651490000000007E-3</v>
      </c>
      <c r="N6806">
        <v>0</v>
      </c>
      <c r="O6806">
        <v>0.99988940000000004</v>
      </c>
      <c r="P6806">
        <v>9.568691E-2</v>
      </c>
      <c r="Q6806">
        <v>0.13987579999999999</v>
      </c>
      <c r="R6806">
        <v>0.98553480000000004</v>
      </c>
      <c r="S6806">
        <v>0.28480529999999998</v>
      </c>
      <c r="T6806">
        <v>-0.24649070000000001</v>
      </c>
      <c r="U6806">
        <v>3.0512999999999999</v>
      </c>
      <c r="V6806">
        <v>0.10527889999999999</v>
      </c>
      <c r="W6806">
        <v>0.1509306</v>
      </c>
      <c r="X6806">
        <v>0.98292230000000003</v>
      </c>
      <c r="Y6806">
        <v>0.10235519999999999</v>
      </c>
      <c r="Z6806">
        <v>-8.0129619999999999E-2</v>
      </c>
      <c r="AA6806">
        <v>0.99151529999999999</v>
      </c>
      <c r="AB6806">
        <v>28</v>
      </c>
      <c r="AC6806">
        <v>7.6700000000016602E-2</v>
      </c>
      <c r="AD6806">
        <v>-6.3616000000000103E-2</v>
      </c>
      <c r="AE6806">
        <v>0.47505999999999898</v>
      </c>
      <c r="AF6806">
        <v>7.9938601267933604E-2</v>
      </c>
      <c r="AG6806">
        <v>-6.3616000000000103E-2</v>
      </c>
      <c r="AH6806">
        <v>0.46614168315379101</v>
      </c>
      <c r="AI6806">
        <v>97.660871965977506</v>
      </c>
      <c r="AJ6806">
        <v>80.269006661559601</v>
      </c>
      <c r="AK6806">
        <v>0.47720566237432999</v>
      </c>
      <c r="AL6806">
        <v>81.319139710278407</v>
      </c>
      <c r="AM6806">
        <v>83.886467582361703</v>
      </c>
      <c r="AN6806">
        <v>0.999999970319429</v>
      </c>
    </row>
    <row r="6807" spans="1:40" x14ac:dyDescent="0.25">
      <c r="A6807" t="str">
        <f>"20190312164637891"</f>
        <v>20190312164637891</v>
      </c>
      <c r="B6807" t="str">
        <f>"1552380397887751"</f>
        <v>1552380397887751</v>
      </c>
      <c r="C6807" t="s">
        <v>40</v>
      </c>
      <c r="D6807">
        <v>4.5184860000000002</v>
      </c>
      <c r="E6807">
        <v>0.50556389999999995</v>
      </c>
      <c r="F6807" t="s">
        <v>41</v>
      </c>
      <c r="G6807">
        <v>-187.64</v>
      </c>
      <c r="H6807">
        <v>1.0502560000000001</v>
      </c>
      <c r="I6807">
        <v>85.850809999999996</v>
      </c>
      <c r="J6807">
        <v>-187.71199999999999</v>
      </c>
      <c r="K6807">
        <v>1.108814</v>
      </c>
      <c r="L6807">
        <v>85.395390000000006</v>
      </c>
      <c r="M6807">
        <v>-9.8787549999999995E-3</v>
      </c>
      <c r="N6807">
        <v>0</v>
      </c>
      <c r="O6807">
        <v>0.99988829999999995</v>
      </c>
      <c r="P6807">
        <v>9.5983840000000001E-2</v>
      </c>
      <c r="Q6807">
        <v>0.13968800000000001</v>
      </c>
      <c r="R6807">
        <v>0.98553250000000003</v>
      </c>
      <c r="S6807">
        <v>0.2869873</v>
      </c>
      <c r="T6807">
        <v>-0.24378179999999999</v>
      </c>
      <c r="U6807">
        <v>3.0507810000000002</v>
      </c>
      <c r="V6807">
        <v>0.10568760000000001</v>
      </c>
      <c r="W6807">
        <v>0.15074299999999999</v>
      </c>
      <c r="X6807">
        <v>0.98290719999999998</v>
      </c>
      <c r="Y6807">
        <v>0.1031932</v>
      </c>
      <c r="Z6807">
        <v>-7.9261739999999997E-2</v>
      </c>
      <c r="AA6807">
        <v>0.9914982</v>
      </c>
      <c r="AB6807">
        <v>28</v>
      </c>
      <c r="AC6807">
        <v>7.2000000000031095E-2</v>
      </c>
      <c r="AD6807">
        <v>-5.8558000000000103E-2</v>
      </c>
      <c r="AE6807">
        <v>0.455419999999989</v>
      </c>
      <c r="AF6807">
        <v>7.5281482617505405E-2</v>
      </c>
      <c r="AG6807">
        <v>-5.8558000000000103E-2</v>
      </c>
      <c r="AH6807">
        <v>0.447468911164984</v>
      </c>
      <c r="AI6807">
        <v>97.353455586671402</v>
      </c>
      <c r="AJ6807">
        <v>80.450076778325297</v>
      </c>
      <c r="AK6807">
        <v>0.45752023720078899</v>
      </c>
      <c r="AL6807">
        <v>81.330012556834902</v>
      </c>
      <c r="AM6807">
        <v>83.862821628820299</v>
      </c>
      <c r="AN6807">
        <v>0.99999994232729805</v>
      </c>
    </row>
    <row r="6808" spans="1:40" x14ac:dyDescent="0.25">
      <c r="A6808" t="str">
        <f>"20190312164637911"</f>
        <v>20190312164637911</v>
      </c>
      <c r="B6808" t="str">
        <f>"1552380397907536"</f>
        <v>1552380397907536</v>
      </c>
      <c r="C6808" t="s">
        <v>40</v>
      </c>
      <c r="D6808">
        <v>4.5489230000000003</v>
      </c>
      <c r="E6808">
        <v>0.50624340000000001</v>
      </c>
      <c r="F6808" t="s">
        <v>41</v>
      </c>
      <c r="G6808">
        <v>-187.61940000000001</v>
      </c>
      <c r="H6808">
        <v>1.032664</v>
      </c>
      <c r="I6808">
        <v>86.348150000000004</v>
      </c>
      <c r="J6808">
        <v>-187.71459999999999</v>
      </c>
      <c r="K6808">
        <v>1.1088129999999901</v>
      </c>
      <c r="L6808">
        <v>85.651859999999999</v>
      </c>
      <c r="M6808">
        <v>-9.9836960000000002E-3</v>
      </c>
      <c r="N6808">
        <v>0</v>
      </c>
      <c r="O6808">
        <v>0.99988719999999998</v>
      </c>
      <c r="P6808">
        <v>9.64333E-2</v>
      </c>
      <c r="Q6808">
        <v>0.13995959999999999</v>
      </c>
      <c r="R6808">
        <v>0.9854501</v>
      </c>
      <c r="S6808">
        <v>0.2957611</v>
      </c>
      <c r="T6808">
        <v>-0.24378739999999999</v>
      </c>
      <c r="U6808">
        <v>3.0498050000000001</v>
      </c>
      <c r="V6808">
        <v>0.1062394</v>
      </c>
      <c r="W6808">
        <v>0.15101410000000001</v>
      </c>
      <c r="X6808">
        <v>0.98280610000000002</v>
      </c>
      <c r="Y6808">
        <v>0.10615330000000001</v>
      </c>
      <c r="Z6808">
        <v>-7.9265390000000005E-2</v>
      </c>
      <c r="AA6808">
        <v>0.99118539999999999</v>
      </c>
      <c r="AB6808">
        <v>28</v>
      </c>
      <c r="AC6808">
        <v>9.5199999999976997E-2</v>
      </c>
      <c r="AD6808">
        <v>-7.61489999999998E-2</v>
      </c>
      <c r="AE6808">
        <v>0.69629000000000396</v>
      </c>
      <c r="AF6808">
        <v>0.100961848696959</v>
      </c>
      <c r="AG6808">
        <v>-7.61489999999998E-2</v>
      </c>
      <c r="AH6808">
        <v>0.68723595945044502</v>
      </c>
      <c r="AI6808">
        <v>96.256239908241895</v>
      </c>
      <c r="AJ6808">
        <v>81.642459377978795</v>
      </c>
      <c r="AK6808">
        <v>0.69877409014293101</v>
      </c>
      <c r="AL6808">
        <v>81.314299856669507</v>
      </c>
      <c r="AM6808">
        <v>83.830395857061802</v>
      </c>
      <c r="AN6808">
        <v>0.99999994935418801</v>
      </c>
    </row>
    <row r="6809" spans="1:40" x14ac:dyDescent="0.25">
      <c r="A6809" t="str">
        <f>"20190312164637933"</f>
        <v>20190312164637933</v>
      </c>
      <c r="B6809" t="str">
        <f>"1552380397928032"</f>
        <v>1552380397928032</v>
      </c>
      <c r="C6809" t="s">
        <v>40</v>
      </c>
      <c r="D6809">
        <v>4.5288309999999896</v>
      </c>
      <c r="E6809">
        <v>0.50736239999999999</v>
      </c>
      <c r="F6809" t="s">
        <v>41</v>
      </c>
      <c r="G6809">
        <v>-187.6199</v>
      </c>
      <c r="H6809">
        <v>1.033866</v>
      </c>
      <c r="I6809">
        <v>86.602710000000002</v>
      </c>
      <c r="J6809">
        <v>-187.7176</v>
      </c>
      <c r="K6809">
        <v>1.108811</v>
      </c>
      <c r="L6809">
        <v>85.944640000000007</v>
      </c>
      <c r="M6809">
        <v>-1.010371E-2</v>
      </c>
      <c r="N6809">
        <v>0</v>
      </c>
      <c r="O6809">
        <v>0.99988600000000005</v>
      </c>
      <c r="P6809">
        <v>9.713165E-2</v>
      </c>
      <c r="Q6809">
        <v>0.1398392</v>
      </c>
      <c r="R6809">
        <v>0.98539860000000001</v>
      </c>
      <c r="S6809">
        <v>0.30334470000000002</v>
      </c>
      <c r="T6809">
        <v>-0.2403325</v>
      </c>
      <c r="U6809">
        <v>3.048737</v>
      </c>
      <c r="V6809">
        <v>0.107055399999999</v>
      </c>
      <c r="W6809">
        <v>0.15089339999999901</v>
      </c>
      <c r="X6809">
        <v>0.98273619999999995</v>
      </c>
      <c r="Y6809">
        <v>0.1087563</v>
      </c>
      <c r="Z6809">
        <v>-7.8155470000000005E-2</v>
      </c>
      <c r="AA6809">
        <v>0.99099130000000002</v>
      </c>
      <c r="AB6809">
        <v>28</v>
      </c>
      <c r="AC6809">
        <v>9.7700000000003201E-2</v>
      </c>
      <c r="AD6809">
        <v>-7.4944999999999998E-2</v>
      </c>
      <c r="AE6809">
        <v>0.65806999999999505</v>
      </c>
      <c r="AF6809">
        <v>0.10303680947890199</v>
      </c>
      <c r="AG6809">
        <v>-7.4944999999999998E-2</v>
      </c>
      <c r="AH6809">
        <v>0.64881553484218601</v>
      </c>
      <c r="AI6809">
        <v>96.508217555540796</v>
      </c>
      <c r="AJ6809">
        <v>80.976352058760497</v>
      </c>
      <c r="AK6809">
        <v>0.66120718037929904</v>
      </c>
      <c r="AL6809">
        <v>81.321296571859705</v>
      </c>
      <c r="AM6809">
        <v>83.782939492399805</v>
      </c>
      <c r="AN6809">
        <v>1.00000005781157</v>
      </c>
    </row>
    <row r="6810" spans="1:40" x14ac:dyDescent="0.25">
      <c r="A6810" t="str">
        <f>"20190312164637957"</f>
        <v>20190312164637957</v>
      </c>
      <c r="B6810" t="str">
        <f>"1552380397948528"</f>
        <v>1552380397948528</v>
      </c>
      <c r="C6810" t="s">
        <v>40</v>
      </c>
      <c r="D6810">
        <v>4.5435670000000004</v>
      </c>
      <c r="E6810">
        <v>0.50780069999999999</v>
      </c>
      <c r="F6810" t="s">
        <v>41</v>
      </c>
      <c r="G6810">
        <v>-187.6233</v>
      </c>
      <c r="H6810">
        <v>1.037336</v>
      </c>
      <c r="I6810">
        <v>86.858440000000002</v>
      </c>
      <c r="J6810">
        <v>-187.72069999999999</v>
      </c>
      <c r="K6810">
        <v>1.1088100000000001</v>
      </c>
      <c r="L6810">
        <v>86.236450000000005</v>
      </c>
      <c r="M6810">
        <v>-1.0223100000000001E-2</v>
      </c>
      <c r="N6810">
        <v>0</v>
      </c>
      <c r="O6810">
        <v>0.99988480000000002</v>
      </c>
      <c r="P6810">
        <v>9.7605579999999997E-2</v>
      </c>
      <c r="Q6810">
        <v>0.13949909999999999</v>
      </c>
      <c r="R6810">
        <v>0.98540000000000005</v>
      </c>
      <c r="S6810">
        <v>0.31413269999999999</v>
      </c>
      <c r="T6810">
        <v>-0.23841209999999999</v>
      </c>
      <c r="U6810">
        <v>3.0473020000000002</v>
      </c>
      <c r="V6810">
        <v>0.1076468</v>
      </c>
      <c r="W6810">
        <v>0.15055399999999999</v>
      </c>
      <c r="X6810">
        <v>0.98272360000000003</v>
      </c>
      <c r="Y6810">
        <v>0.11239780000000001</v>
      </c>
      <c r="Z6810">
        <v>-7.7541260000000001E-2</v>
      </c>
      <c r="AA6810">
        <v>0.99063319999999999</v>
      </c>
      <c r="AB6810">
        <v>28</v>
      </c>
      <c r="AC6810">
        <v>9.73999999999932E-2</v>
      </c>
      <c r="AD6810">
        <v>-7.1473999999999996E-2</v>
      </c>
      <c r="AE6810">
        <v>0.62198999999999605</v>
      </c>
      <c r="AF6810">
        <v>0.102433740745901</v>
      </c>
      <c r="AG6810">
        <v>-7.1473999999999996E-2</v>
      </c>
      <c r="AH6810">
        <v>0.61306016792996298</v>
      </c>
      <c r="AI6810">
        <v>96.559716843726093</v>
      </c>
      <c r="AJ6810">
        <v>80.514305475338006</v>
      </c>
      <c r="AK6810">
        <v>0.62565483568938696</v>
      </c>
      <c r="AL6810">
        <v>81.340967038904694</v>
      </c>
      <c r="AM6810">
        <v>83.748786587357102</v>
      </c>
      <c r="AN6810">
        <v>1.0000000072316</v>
      </c>
    </row>
    <row r="6811" spans="1:40" x14ac:dyDescent="0.25">
      <c r="A6811" t="str">
        <f>"20190312164637979"</f>
        <v>20190312164637979</v>
      </c>
      <c r="B6811" t="str">
        <f>"1552380397968048"</f>
        <v>1552380397968048</v>
      </c>
      <c r="C6811" t="s">
        <v>40</v>
      </c>
      <c r="D6811">
        <v>4.5921099999999999</v>
      </c>
      <c r="E6811">
        <v>0.50800619999999996</v>
      </c>
      <c r="F6811" t="s">
        <v>41</v>
      </c>
      <c r="G6811">
        <v>-187.62889999999999</v>
      </c>
      <c r="H6811">
        <v>1.040257</v>
      </c>
      <c r="I6811">
        <v>87.113959999999906</v>
      </c>
      <c r="J6811">
        <v>-187.72370000000001</v>
      </c>
      <c r="K6811">
        <v>1.108808</v>
      </c>
      <c r="L6811">
        <v>86.517849999999996</v>
      </c>
      <c r="M6811">
        <v>-1.0338150000000001E-2</v>
      </c>
      <c r="N6811">
        <v>0</v>
      </c>
      <c r="O6811">
        <v>0.99988359999999998</v>
      </c>
      <c r="P6811">
        <v>9.7860100000000005E-2</v>
      </c>
      <c r="Q6811">
        <v>0.1392939</v>
      </c>
      <c r="R6811">
        <v>0.98540380000000005</v>
      </c>
      <c r="S6811">
        <v>0.31846619999999998</v>
      </c>
      <c r="T6811">
        <v>-0.2380342</v>
      </c>
      <c r="U6811">
        <v>3.0466000000000002</v>
      </c>
      <c r="V6811">
        <v>0.1080146</v>
      </c>
      <c r="W6811">
        <v>0.15034890000000001</v>
      </c>
      <c r="X6811">
        <v>0.98271470000000005</v>
      </c>
      <c r="Y6811">
        <v>0.1139302</v>
      </c>
      <c r="Z6811">
        <v>-7.7424179999999995E-2</v>
      </c>
      <c r="AA6811">
        <v>0.99046730000000005</v>
      </c>
      <c r="AB6811">
        <v>28</v>
      </c>
      <c r="AC6811">
        <v>9.4800000000020604E-2</v>
      </c>
      <c r="AD6811">
        <v>-6.8551000000000001E-2</v>
      </c>
      <c r="AE6811">
        <v>0.59610999999999503</v>
      </c>
      <c r="AF6811">
        <v>9.9672405440079895E-2</v>
      </c>
      <c r="AG6811">
        <v>-6.8551000000000001E-2</v>
      </c>
      <c r="AH6811">
        <v>0.587520094662354</v>
      </c>
      <c r="AI6811">
        <v>96.5621699592364</v>
      </c>
      <c r="AJ6811">
        <v>80.371481955312802</v>
      </c>
      <c r="AK6811">
        <v>0.59984472127315902</v>
      </c>
      <c r="AL6811">
        <v>81.352854195292494</v>
      </c>
      <c r="AM6811">
        <v>83.727541483632606</v>
      </c>
      <c r="AN6811">
        <v>1.00000006357022</v>
      </c>
    </row>
    <row r="6812" spans="1:40" x14ac:dyDescent="0.25">
      <c r="A6812" t="str">
        <f>"20190312164638001"</f>
        <v>20190312164638001</v>
      </c>
      <c r="B6812" t="str">
        <f>"1552380397987567"</f>
        <v>1552380397987567</v>
      </c>
      <c r="C6812" t="s">
        <v>40</v>
      </c>
      <c r="D6812">
        <v>4.6661849999999996</v>
      </c>
      <c r="E6812">
        <v>0.50817959999999995</v>
      </c>
      <c r="F6812" t="s">
        <v>41</v>
      </c>
      <c r="G6812">
        <v>-187.63380000000001</v>
      </c>
      <c r="H6812">
        <v>1.0423530000000001</v>
      </c>
      <c r="I6812">
        <v>87.369240000000005</v>
      </c>
      <c r="J6812">
        <v>-187.72659999999999</v>
      </c>
      <c r="K6812">
        <v>1.1088070000000001</v>
      </c>
      <c r="L6812">
        <v>86.789490000000001</v>
      </c>
      <c r="M6812">
        <v>-1.044929E-2</v>
      </c>
      <c r="N6812">
        <v>0</v>
      </c>
      <c r="O6812">
        <v>0.99988250000000001</v>
      </c>
      <c r="P6812">
        <v>9.8511779999999993E-2</v>
      </c>
      <c r="Q6812">
        <v>0.1391107</v>
      </c>
      <c r="R6812">
        <v>0.98536469999999998</v>
      </c>
      <c r="S6812">
        <v>0.32116699999999998</v>
      </c>
      <c r="T6812">
        <v>-0.23782420000000001</v>
      </c>
      <c r="U6812">
        <v>3.0461429999999998</v>
      </c>
      <c r="V6812">
        <v>0.1087752</v>
      </c>
      <c r="W6812">
        <v>0.15016650000000001</v>
      </c>
      <c r="X6812">
        <v>0.98265860000000005</v>
      </c>
      <c r="Y6812">
        <v>0.1149251</v>
      </c>
      <c r="Z6812">
        <v>-7.7359620000000004E-2</v>
      </c>
      <c r="AA6812">
        <v>0.9903573</v>
      </c>
      <c r="AB6812">
        <v>28</v>
      </c>
      <c r="AC6812">
        <v>9.2799999999982605E-2</v>
      </c>
      <c r="AD6812">
        <v>-6.6453999999999694E-2</v>
      </c>
      <c r="AE6812">
        <v>0.57975000000000398</v>
      </c>
      <c r="AF6812">
        <v>9.7602926577396498E-2</v>
      </c>
      <c r="AG6812">
        <v>-6.6453999999999694E-2</v>
      </c>
      <c r="AH6812">
        <v>0.57142818552763497</v>
      </c>
      <c r="AI6812">
        <v>96.539521818346302</v>
      </c>
      <c r="AJ6812">
        <v>80.307119882941194</v>
      </c>
      <c r="AK6812">
        <v>0.58350033128343504</v>
      </c>
      <c r="AL6812">
        <v>81.363424167940295</v>
      </c>
      <c r="AM6812">
        <v>83.683371148843094</v>
      </c>
      <c r="AN6812">
        <v>0.99999997300562404</v>
      </c>
    </row>
    <row r="6813" spans="1:40" x14ac:dyDescent="0.25">
      <c r="A6813" t="str">
        <f>"20190312164638023"</f>
        <v>20190312164638023</v>
      </c>
      <c r="B6813" t="str">
        <f>"1552380398017824"</f>
        <v>1552380398017824</v>
      </c>
      <c r="C6813" t="s">
        <v>40</v>
      </c>
      <c r="D6813">
        <v>4.6441109999999997</v>
      </c>
      <c r="E6813">
        <v>0.50876440000000001</v>
      </c>
      <c r="F6813" t="s">
        <v>41</v>
      </c>
      <c r="G6813">
        <v>-187.63759999999999</v>
      </c>
      <c r="H6813">
        <v>1.043755</v>
      </c>
      <c r="I6813">
        <v>87.624319999999997</v>
      </c>
      <c r="J6813">
        <v>-187.72980000000001</v>
      </c>
      <c r="K6813">
        <v>1.1088039999999999</v>
      </c>
      <c r="L6813">
        <v>87.077699999999993</v>
      </c>
      <c r="M6813">
        <v>-1.056735E-2</v>
      </c>
      <c r="N6813">
        <v>0</v>
      </c>
      <c r="O6813">
        <v>0.99988120000000003</v>
      </c>
      <c r="P6813">
        <v>9.9204500000000001E-2</v>
      </c>
      <c r="Q6813">
        <v>0.13916899999999999</v>
      </c>
      <c r="R6813">
        <v>0.98528700000000002</v>
      </c>
      <c r="S6813">
        <v>0.32463069999999999</v>
      </c>
      <c r="T6813">
        <v>-0.2373614</v>
      </c>
      <c r="U6813">
        <v>3.0455930000000002</v>
      </c>
      <c r="V6813">
        <v>0.10958329999999999</v>
      </c>
      <c r="W6813">
        <v>0.150224</v>
      </c>
      <c r="X6813">
        <v>0.98255999999999999</v>
      </c>
      <c r="Y6813">
        <v>0.1161759</v>
      </c>
      <c r="Z6813">
        <v>-7.7213379999999998E-2</v>
      </c>
      <c r="AA6813">
        <v>0.99022279999999996</v>
      </c>
      <c r="AB6813">
        <v>28</v>
      </c>
      <c r="AC6813">
        <v>9.22000000000196E-2</v>
      </c>
      <c r="AD6813">
        <v>-6.5049000000000107E-2</v>
      </c>
      <c r="AE6813">
        <v>0.54662000000000399</v>
      </c>
      <c r="AF6813">
        <v>9.6640817667823203E-2</v>
      </c>
      <c r="AG6813">
        <v>-6.5049000000000107E-2</v>
      </c>
      <c r="AH6813">
        <v>0.53820415478681205</v>
      </c>
      <c r="AI6813">
        <v>96.784052021958004</v>
      </c>
      <c r="AJ6813">
        <v>79.820356400063304</v>
      </c>
      <c r="AK6813">
        <v>0.55066735173813597</v>
      </c>
      <c r="AL6813">
        <v>81.360091674584297</v>
      </c>
      <c r="AM6813">
        <v>83.636194591522596</v>
      </c>
      <c r="AN6813">
        <v>0.99999995170744305</v>
      </c>
    </row>
    <row r="6814" spans="1:40" x14ac:dyDescent="0.25">
      <c r="A6814" t="str">
        <f>"20190312164638046"</f>
        <v>20190312164638046</v>
      </c>
      <c r="B6814" t="str">
        <f>"1552380398038320"</f>
        <v>1552380398038320</v>
      </c>
      <c r="C6814" t="s">
        <v>40</v>
      </c>
      <c r="D6814">
        <v>4.9830399999999999</v>
      </c>
      <c r="E6814">
        <v>0.50937650000000001</v>
      </c>
      <c r="F6814" t="s">
        <v>41</v>
      </c>
      <c r="G6814">
        <v>-187.6421</v>
      </c>
      <c r="H6814">
        <v>1.0469710000000001</v>
      </c>
      <c r="I6814">
        <v>87.881659999999997</v>
      </c>
      <c r="J6814">
        <v>-187.733</v>
      </c>
      <c r="K6814">
        <v>1.108811</v>
      </c>
      <c r="L6814">
        <v>87.366330000000005</v>
      </c>
      <c r="M6814">
        <v>-1.068536E-2</v>
      </c>
      <c r="N6814">
        <v>0</v>
      </c>
      <c r="O6814">
        <v>0.99987999999999999</v>
      </c>
      <c r="P6814">
        <v>9.9571030000000005E-2</v>
      </c>
      <c r="Q6814">
        <v>0.1396963</v>
      </c>
      <c r="R6814">
        <v>0.98517540000000003</v>
      </c>
      <c r="S6814">
        <v>0.33158870000000001</v>
      </c>
      <c r="T6814">
        <v>-0.23419980000000001</v>
      </c>
      <c r="U6814">
        <v>3.044495</v>
      </c>
      <c r="V6814">
        <v>0.1100646</v>
      </c>
      <c r="W6814">
        <v>0.15075050000000001</v>
      </c>
      <c r="X6814">
        <v>0.98242560000000001</v>
      </c>
      <c r="Y6814">
        <v>0.118576</v>
      </c>
      <c r="Z6814">
        <v>-7.6197890000000004E-2</v>
      </c>
      <c r="AA6814">
        <v>0.99001700000000004</v>
      </c>
      <c r="AB6814">
        <v>28</v>
      </c>
      <c r="AC6814">
        <v>9.0900000000004796E-2</v>
      </c>
      <c r="AD6814">
        <v>-6.1840000000000103E-2</v>
      </c>
      <c r="AE6814">
        <v>0.51532999999999096</v>
      </c>
      <c r="AF6814">
        <v>9.5073873661236E-2</v>
      </c>
      <c r="AG6814">
        <v>-6.1840000000000103E-2</v>
      </c>
      <c r="AH6814">
        <v>0.50724520283796504</v>
      </c>
      <c r="AI6814">
        <v>96.832990171252703</v>
      </c>
      <c r="AJ6814">
        <v>79.384120478113502</v>
      </c>
      <c r="AK6814">
        <v>0.51977006729426201</v>
      </c>
      <c r="AL6814">
        <v>81.329578326718106</v>
      </c>
      <c r="AM6814">
        <v>83.607607821750193</v>
      </c>
      <c r="AN6814">
        <v>0.99999999447938404</v>
      </c>
    </row>
    <row r="6815" spans="1:40" x14ac:dyDescent="0.25">
      <c r="A6815" t="str">
        <f>"20190312164638069"</f>
        <v>20190312164638069</v>
      </c>
      <c r="B6815" t="str">
        <f>"1552380398057839"</f>
        <v>1552380398057839</v>
      </c>
      <c r="C6815" t="s">
        <v>40</v>
      </c>
      <c r="D6815">
        <v>4.8720400000000001</v>
      </c>
      <c r="E6815">
        <v>0.50965779999999905</v>
      </c>
      <c r="F6815" t="s">
        <v>41</v>
      </c>
      <c r="G6815">
        <v>-187.6472</v>
      </c>
      <c r="H6815">
        <v>1.0503480000000001</v>
      </c>
      <c r="I6815">
        <v>88.139240000000001</v>
      </c>
      <c r="J6815">
        <v>-187.7363</v>
      </c>
      <c r="K6815">
        <v>1.1088119999999999</v>
      </c>
      <c r="L6815">
        <v>87.666659999999993</v>
      </c>
      <c r="M6815">
        <v>-1.080822E-2</v>
      </c>
      <c r="N6815">
        <v>0</v>
      </c>
      <c r="O6815">
        <v>0.99987859999999995</v>
      </c>
      <c r="P6815">
        <v>0.10020229999999999</v>
      </c>
      <c r="Q6815">
        <v>0.13987069999999999</v>
      </c>
      <c r="R6815">
        <v>0.98508660000000003</v>
      </c>
      <c r="S6815">
        <v>0.33760069999999998</v>
      </c>
      <c r="T6815">
        <v>-0.23022119999999999</v>
      </c>
      <c r="U6815">
        <v>3.0436709999999998</v>
      </c>
      <c r="V6815">
        <v>0.1108157</v>
      </c>
      <c r="W6815">
        <v>0.15092449999999999</v>
      </c>
      <c r="X6815">
        <v>0.98231449999999998</v>
      </c>
      <c r="Y6815">
        <v>0.1206695</v>
      </c>
      <c r="Z6815">
        <v>-7.4913209999999994E-2</v>
      </c>
      <c r="AA6815">
        <v>0.98986200000000002</v>
      </c>
      <c r="AB6815">
        <v>28</v>
      </c>
      <c r="AC6815">
        <v>8.91000000000019E-2</v>
      </c>
      <c r="AD6815">
        <v>-5.8464000000000002E-2</v>
      </c>
      <c r="AE6815">
        <v>0.47258000000000699</v>
      </c>
      <c r="AF6815">
        <v>9.2830881539992097E-2</v>
      </c>
      <c r="AG6815">
        <v>-5.8464000000000002E-2</v>
      </c>
      <c r="AH6815">
        <v>0.46472102668165099</v>
      </c>
      <c r="AI6815">
        <v>97.032887519178502</v>
      </c>
      <c r="AJ6815">
        <v>78.703502549893898</v>
      </c>
      <c r="AK6815">
        <v>0.47749475861368401</v>
      </c>
      <c r="AL6815">
        <v>81.319493965851507</v>
      </c>
      <c r="AM6815">
        <v>83.563628021802202</v>
      </c>
      <c r="AN6815">
        <v>1.0000000504884901</v>
      </c>
    </row>
    <row r="6816" spans="1:40" x14ac:dyDescent="0.25">
      <c r="A6816" t="str">
        <f>"20190312164638091"</f>
        <v>20190312164638091</v>
      </c>
      <c r="B6816" t="str">
        <f>"1552380398088095"</f>
        <v>1552380398088095</v>
      </c>
      <c r="C6816" t="s">
        <v>40</v>
      </c>
      <c r="D6816">
        <v>4.7599589999999896</v>
      </c>
      <c r="E6816">
        <v>0.50948859999999996</v>
      </c>
      <c r="F6816" t="s">
        <v>41</v>
      </c>
      <c r="G6816">
        <v>-187.6268</v>
      </c>
      <c r="H6816">
        <v>1.0364949999999999</v>
      </c>
      <c r="I6816">
        <v>88.640119999999996</v>
      </c>
      <c r="J6816">
        <v>-187.73939999999999</v>
      </c>
      <c r="K6816">
        <v>1.1088009999999999</v>
      </c>
      <c r="L6816">
        <v>87.940029999999993</v>
      </c>
      <c r="M6816">
        <v>-1.092007E-2</v>
      </c>
      <c r="N6816">
        <v>0</v>
      </c>
      <c r="O6816">
        <v>0.99987740000000003</v>
      </c>
      <c r="P6816">
        <v>0.1006688</v>
      </c>
      <c r="Q6816">
        <v>0.13969980000000001</v>
      </c>
      <c r="R6816">
        <v>0.98506329999999998</v>
      </c>
      <c r="S6816">
        <v>0.34194950000000002</v>
      </c>
      <c r="T6816">
        <v>-0.22607730000000001</v>
      </c>
      <c r="U6816">
        <v>3.0427550000000001</v>
      </c>
      <c r="V6816">
        <v>0.1113919</v>
      </c>
      <c r="W6816">
        <v>0.15075379999999899</v>
      </c>
      <c r="X6816">
        <v>0.98227549999999997</v>
      </c>
      <c r="Y6816">
        <v>0.12222139999999999</v>
      </c>
      <c r="Z6816">
        <v>-7.3581199999999999E-2</v>
      </c>
      <c r="AA6816">
        <v>0.98977150000000003</v>
      </c>
      <c r="AB6816">
        <v>28</v>
      </c>
      <c r="AC6816">
        <v>0.112599999999986</v>
      </c>
      <c r="AD6816">
        <v>-7.2305999999999704E-2</v>
      </c>
      <c r="AE6816">
        <v>0.700089999999988</v>
      </c>
      <c r="AF6816">
        <v>0.11900142324614101</v>
      </c>
      <c r="AG6816">
        <v>-7.2305999999999704E-2</v>
      </c>
      <c r="AH6816">
        <v>0.69162704475427805</v>
      </c>
      <c r="AI6816">
        <v>95.882474351611094</v>
      </c>
      <c r="AJ6816">
        <v>80.237273850958601</v>
      </c>
      <c r="AK6816">
        <v>0.70550511366406399</v>
      </c>
      <c r="AL6816">
        <v>81.329387206989793</v>
      </c>
      <c r="AM6816">
        <v>83.530189632791405</v>
      </c>
      <c r="AN6816">
        <v>1.0000000107501399</v>
      </c>
    </row>
    <row r="6817" spans="1:40" x14ac:dyDescent="0.25">
      <c r="A6817" t="str">
        <f>"20190312164638113"</f>
        <v>20190312164638113</v>
      </c>
      <c r="B6817" t="str">
        <f>"1552380398108592"</f>
        <v>1552380398108592</v>
      </c>
      <c r="C6817" t="s">
        <v>40</v>
      </c>
      <c r="D6817">
        <v>4.7080190000000002</v>
      </c>
      <c r="E6817">
        <v>0.50901030000000003</v>
      </c>
      <c r="F6817" t="s">
        <v>41</v>
      </c>
      <c r="G6817">
        <v>-187.6317</v>
      </c>
      <c r="H6817">
        <v>1.0387120000000001</v>
      </c>
      <c r="I6817">
        <v>88.896230000000003</v>
      </c>
      <c r="J6817">
        <v>-187.74250000000001</v>
      </c>
      <c r="K6817">
        <v>1.1088020000000001</v>
      </c>
      <c r="L6817">
        <v>88.22</v>
      </c>
      <c r="M6817">
        <v>-1.10344E-2</v>
      </c>
      <c r="N6817">
        <v>0</v>
      </c>
      <c r="O6817">
        <v>0.99987610000000005</v>
      </c>
      <c r="P6817">
        <v>0.1011431</v>
      </c>
      <c r="Q6817">
        <v>0.1402727</v>
      </c>
      <c r="R6817">
        <v>0.98493330000000001</v>
      </c>
      <c r="S6817">
        <v>0.34205629999999998</v>
      </c>
      <c r="T6817">
        <v>-0.2230425</v>
      </c>
      <c r="U6817">
        <v>3.0421749999999999</v>
      </c>
      <c r="V6817">
        <v>0.1119771</v>
      </c>
      <c r="W6817">
        <v>0.15132609999999999</v>
      </c>
      <c r="X6817">
        <v>0.98212089999999996</v>
      </c>
      <c r="Y6817">
        <v>0.1223981</v>
      </c>
      <c r="Z6817">
        <v>-7.2611339999999996E-2</v>
      </c>
      <c r="AA6817">
        <v>0.98982139999999996</v>
      </c>
      <c r="AB6817">
        <v>29</v>
      </c>
      <c r="AC6817">
        <v>0.110800000000011</v>
      </c>
      <c r="AD6817">
        <v>-7.0089999999999902E-2</v>
      </c>
      <c r="AE6817">
        <v>0.676230000000003</v>
      </c>
      <c r="AF6817">
        <v>0.11703112817261301</v>
      </c>
      <c r="AG6817">
        <v>-7.0089999999999902E-2</v>
      </c>
      <c r="AH6817">
        <v>0.66797770684334601</v>
      </c>
      <c r="AI6817">
        <v>95.900817566282399</v>
      </c>
      <c r="AJ6817">
        <v>80.062516891060099</v>
      </c>
      <c r="AK6817">
        <v>0.68176470273918499</v>
      </c>
      <c r="AL6817">
        <v>81.296215846352595</v>
      </c>
      <c r="AM6817">
        <v>83.495475799673102</v>
      </c>
      <c r="AN6817">
        <v>0.99999996084121401</v>
      </c>
    </row>
    <row r="6818" spans="1:40" x14ac:dyDescent="0.25">
      <c r="A6818" t="str">
        <f>"20190312164638135"</f>
        <v>20190312164638135</v>
      </c>
      <c r="B6818" t="str">
        <f>"1552380398128112"</f>
        <v>1552380398128112</v>
      </c>
      <c r="C6818" t="s">
        <v>40</v>
      </c>
      <c r="D6818">
        <v>4.7691879999999998</v>
      </c>
      <c r="E6818">
        <v>0.48739929999999898</v>
      </c>
      <c r="F6818" t="s">
        <v>41</v>
      </c>
      <c r="G6818">
        <v>-187.63839999999999</v>
      </c>
      <c r="H6818">
        <v>1.0409619999999999</v>
      </c>
      <c r="I6818">
        <v>89.152839999999998</v>
      </c>
      <c r="J6818">
        <v>-187.74590000000001</v>
      </c>
      <c r="K6818">
        <v>1.108798</v>
      </c>
      <c r="L6818">
        <v>88.512450000000001</v>
      </c>
      <c r="M6818">
        <v>-1.115419E-2</v>
      </c>
      <c r="N6818">
        <v>0</v>
      </c>
      <c r="O6818">
        <v>0.99987479999999995</v>
      </c>
      <c r="P6818">
        <v>0.1016833</v>
      </c>
      <c r="Q6818">
        <v>0.1402224</v>
      </c>
      <c r="R6818">
        <v>0.98488489999999995</v>
      </c>
      <c r="S6818">
        <v>0.33940120000000001</v>
      </c>
      <c r="T6818">
        <v>-0.2212925</v>
      </c>
      <c r="U6818">
        <v>3.0425420000000001</v>
      </c>
      <c r="V6818">
        <v>0.1126346</v>
      </c>
      <c r="W6818">
        <v>0.1512752</v>
      </c>
      <c r="X6818">
        <v>0.98205359999999997</v>
      </c>
      <c r="Y6818">
        <v>0.12165529999999999</v>
      </c>
      <c r="Z6818">
        <v>-7.2042690000000006E-2</v>
      </c>
      <c r="AA6818">
        <v>0.98995449999999996</v>
      </c>
      <c r="AB6818">
        <v>29</v>
      </c>
      <c r="AC6818">
        <v>0.107500000000015</v>
      </c>
      <c r="AD6818">
        <v>-6.7835999999999702E-2</v>
      </c>
      <c r="AE6818">
        <v>0.64038999999999602</v>
      </c>
      <c r="AF6818">
        <v>0.113399215105724</v>
      </c>
      <c r="AG6818">
        <v>-6.7835999999999702E-2</v>
      </c>
      <c r="AH6818">
        <v>0.632250957859257</v>
      </c>
      <c r="AI6818">
        <v>96.028525459271407</v>
      </c>
      <c r="AJ6818">
        <v>79.831664339567993</v>
      </c>
      <c r="AK6818">
        <v>0.64591205175050204</v>
      </c>
      <c r="AL6818">
        <v>81.299166564616897</v>
      </c>
      <c r="AM6818">
        <v>83.457168654382798</v>
      </c>
      <c r="AN6818">
        <v>1.00000000626258</v>
      </c>
    </row>
    <row r="6819" spans="1:40" x14ac:dyDescent="0.25">
      <c r="A6819" t="str">
        <f>"20190312164638158"</f>
        <v>20190312164638158</v>
      </c>
      <c r="B6819" t="str">
        <f>"1552380398148608"</f>
        <v>1552380398148608</v>
      </c>
      <c r="C6819" t="s">
        <v>40</v>
      </c>
      <c r="D6819">
        <v>4.8174799999999998</v>
      </c>
      <c r="E6819">
        <v>0.48831409999999997</v>
      </c>
      <c r="F6819" t="s">
        <v>41</v>
      </c>
      <c r="G6819">
        <v>-187.69550000000001</v>
      </c>
      <c r="H6819">
        <v>1.049857</v>
      </c>
      <c r="I6819">
        <v>89.412639999999996</v>
      </c>
      <c r="J6819">
        <v>-187.7492</v>
      </c>
      <c r="K6819">
        <v>1.1088039999999999</v>
      </c>
      <c r="L6819">
        <v>88.800569999999993</v>
      </c>
      <c r="M6819">
        <v>-1.127209E-2</v>
      </c>
      <c r="N6819">
        <v>0</v>
      </c>
      <c r="O6819">
        <v>0.99987349999999997</v>
      </c>
      <c r="P6819">
        <v>0.1024191</v>
      </c>
      <c r="Q6819">
        <v>0.14015179999999999</v>
      </c>
      <c r="R6819">
        <v>0.98481859999999999</v>
      </c>
      <c r="S6819">
        <v>0.170272799999999</v>
      </c>
      <c r="T6819">
        <v>-0.20022390000000001</v>
      </c>
      <c r="U6819">
        <v>3.0569760000000001</v>
      </c>
      <c r="V6819">
        <v>0.11348560000000001</v>
      </c>
      <c r="W6819">
        <v>0.1512049</v>
      </c>
      <c r="X6819">
        <v>0.98196640000000002</v>
      </c>
      <c r="Y6819">
        <v>6.6746910000000007E-2</v>
      </c>
      <c r="Z6819">
        <v>-6.5227880000000002E-2</v>
      </c>
      <c r="AA6819">
        <v>0.99563559999999995</v>
      </c>
      <c r="AB6819">
        <v>29</v>
      </c>
      <c r="AC6819">
        <v>5.3699999999991997E-2</v>
      </c>
      <c r="AD6819">
        <v>-5.8946999999999999E-2</v>
      </c>
      <c r="AE6819">
        <v>0.612070000000002</v>
      </c>
      <c r="AF6819">
        <v>6.0043670119171E-2</v>
      </c>
      <c r="AG6819">
        <v>-5.8946999999999999E-2</v>
      </c>
      <c r="AH6819">
        <v>0.60584933672230001</v>
      </c>
      <c r="AI6819">
        <v>95.530261193427094</v>
      </c>
      <c r="AJ6819">
        <v>84.340092359565304</v>
      </c>
      <c r="AK6819">
        <v>0.61166445861863705</v>
      </c>
      <c r="AL6819">
        <v>81.303240897554801</v>
      </c>
      <c r="AM6819">
        <v>83.407588155118702</v>
      </c>
      <c r="AN6819">
        <v>0.99999995696016397</v>
      </c>
    </row>
    <row r="6820" spans="1:40" x14ac:dyDescent="0.25">
      <c r="A6820" t="str">
        <f>"20190312164638180"</f>
        <v>20190312164638180</v>
      </c>
      <c r="B6820" t="str">
        <f>"1552380398168128"</f>
        <v>1552380398168128</v>
      </c>
      <c r="C6820" t="s">
        <v>40</v>
      </c>
      <c r="D6820">
        <v>4.7418809999999896</v>
      </c>
      <c r="E6820">
        <v>0.48811159999999998</v>
      </c>
      <c r="F6820" t="s">
        <v>41</v>
      </c>
      <c r="G6820">
        <v>-187.69829999999999</v>
      </c>
      <c r="H6820">
        <v>1.048886</v>
      </c>
      <c r="I6820">
        <v>89.667109999999994</v>
      </c>
      <c r="J6820">
        <v>-187.7525</v>
      </c>
      <c r="K6820">
        <v>1.108806</v>
      </c>
      <c r="L6820">
        <v>89.082819999999998</v>
      </c>
      <c r="M6820">
        <v>-1.138747E-2</v>
      </c>
      <c r="N6820">
        <v>0</v>
      </c>
      <c r="O6820">
        <v>0.99987210000000004</v>
      </c>
      <c r="P6820">
        <v>0.102588899999999</v>
      </c>
      <c r="Q6820">
        <v>0.13995270000000001</v>
      </c>
      <c r="R6820">
        <v>0.98482930000000002</v>
      </c>
      <c r="S6820">
        <v>0.17942810000000001</v>
      </c>
      <c r="T6820">
        <v>-0.21142910000000001</v>
      </c>
      <c r="U6820">
        <v>3.0576780000000001</v>
      </c>
      <c r="V6820">
        <v>0.113769</v>
      </c>
      <c r="W6820">
        <v>0.151006</v>
      </c>
      <c r="X6820">
        <v>0.98196419999999995</v>
      </c>
      <c r="Y6820">
        <v>6.9806240000000006E-2</v>
      </c>
      <c r="Z6820">
        <v>-6.8832450000000003E-2</v>
      </c>
      <c r="AA6820">
        <v>0.99518300000000004</v>
      </c>
      <c r="AB6820">
        <v>29</v>
      </c>
      <c r="AC6820">
        <v>5.4200000000008602E-2</v>
      </c>
      <c r="AD6820">
        <v>-5.9919999999999897E-2</v>
      </c>
      <c r="AE6820">
        <v>0.58428999999999498</v>
      </c>
      <c r="AF6820">
        <v>6.0222540167728697E-2</v>
      </c>
      <c r="AG6820">
        <v>-5.9919999999999897E-2</v>
      </c>
      <c r="AH6820">
        <v>0.57761202265109901</v>
      </c>
      <c r="AI6820">
        <v>95.890828880982596</v>
      </c>
      <c r="AJ6820">
        <v>84.047777055325099</v>
      </c>
      <c r="AK6820">
        <v>0.58382600957421205</v>
      </c>
      <c r="AL6820">
        <v>81.314769287250897</v>
      </c>
      <c r="AM6820">
        <v>83.3912561405171</v>
      </c>
      <c r="AN6820">
        <v>0.999999943739318</v>
      </c>
    </row>
    <row r="6821" spans="1:40" x14ac:dyDescent="0.25">
      <c r="A6821" t="str">
        <f>"20190312164638201"</f>
        <v>20190312164638201</v>
      </c>
      <c r="B6821" t="str">
        <f>"1552380398198383"</f>
        <v>1552380398198383</v>
      </c>
      <c r="C6821" t="s">
        <v>40</v>
      </c>
      <c r="D6821">
        <v>4.8179189999999998</v>
      </c>
      <c r="E6821">
        <v>0.48841180000000001</v>
      </c>
      <c r="F6821" t="s">
        <v>41</v>
      </c>
      <c r="G6821">
        <v>-187.7037</v>
      </c>
      <c r="H6821">
        <v>1.0481480000000001</v>
      </c>
      <c r="I6821">
        <v>89.922039999999996</v>
      </c>
      <c r="J6821">
        <v>-187.75559999999999</v>
      </c>
      <c r="K6821">
        <v>1.1088039999999999</v>
      </c>
      <c r="L6821">
        <v>89.346040000000002</v>
      </c>
      <c r="M6821">
        <v>-1.1495E-2</v>
      </c>
      <c r="N6821">
        <v>0</v>
      </c>
      <c r="O6821">
        <v>0.99987090000000001</v>
      </c>
      <c r="P6821">
        <v>0.10300570000000001</v>
      </c>
      <c r="Q6821">
        <v>0.1399041</v>
      </c>
      <c r="R6821">
        <v>0.98479269999999997</v>
      </c>
      <c r="S6821">
        <v>0.177291899999999</v>
      </c>
      <c r="T6821">
        <v>-0.2211745</v>
      </c>
      <c r="U6821">
        <v>3.0591740000000001</v>
      </c>
      <c r="V6821">
        <v>0.114291</v>
      </c>
      <c r="W6821">
        <v>0.15095799999999901</v>
      </c>
      <c r="X6821">
        <v>0.98191099999999998</v>
      </c>
      <c r="Y6821">
        <v>6.9179710000000005E-2</v>
      </c>
      <c r="Z6821">
        <v>-7.1956939999999997E-2</v>
      </c>
      <c r="AA6821">
        <v>0.99500569999999999</v>
      </c>
      <c r="AB6821">
        <v>29</v>
      </c>
      <c r="AC6821">
        <v>5.1899999999989101E-2</v>
      </c>
      <c r="AD6821">
        <v>-6.0656000000000203E-2</v>
      </c>
      <c r="AE6821">
        <v>0.57599999999999296</v>
      </c>
      <c r="AF6821">
        <v>5.7881414976261397E-2</v>
      </c>
      <c r="AG6821">
        <v>-6.0656000000000203E-2</v>
      </c>
      <c r="AH6821">
        <v>0.56910518013241196</v>
      </c>
      <c r="AI6821">
        <v>96.052704159961493</v>
      </c>
      <c r="AJ6821">
        <v>84.1926441356716</v>
      </c>
      <c r="AK6821">
        <v>0.57524787230306196</v>
      </c>
      <c r="AL6821">
        <v>81.317551704896104</v>
      </c>
      <c r="AM6821">
        <v>83.360847189250805</v>
      </c>
      <c r="AN6821">
        <v>0.99999998118299904</v>
      </c>
    </row>
    <row r="6822" spans="1:40" x14ac:dyDescent="0.25">
      <c r="A6822" t="str">
        <f>"20190312164638223"</f>
        <v>20190312164638223</v>
      </c>
      <c r="B6822" t="str">
        <f>"1552380398217904"</f>
        <v>1552380398217904</v>
      </c>
      <c r="C6822" t="s">
        <v>40</v>
      </c>
      <c r="D6822">
        <v>4.967263</v>
      </c>
      <c r="E6822">
        <v>0.4885505</v>
      </c>
      <c r="F6822" t="s">
        <v>41</v>
      </c>
      <c r="G6822">
        <v>-187.7063</v>
      </c>
      <c r="H6822">
        <v>1.050573</v>
      </c>
      <c r="I6822">
        <v>90.179810000000003</v>
      </c>
      <c r="J6822">
        <v>-187.75919999999999</v>
      </c>
      <c r="K6822">
        <v>1.1088020000000001</v>
      </c>
      <c r="L6822">
        <v>89.642969999999906</v>
      </c>
      <c r="M6822">
        <v>-1.1616349999999999E-2</v>
      </c>
      <c r="N6822">
        <v>0</v>
      </c>
      <c r="O6822">
        <v>0.99986949999999997</v>
      </c>
      <c r="P6822">
        <v>0.1034601</v>
      </c>
      <c r="Q6822">
        <v>0.13969500000000001</v>
      </c>
      <c r="R6822">
        <v>0.98477479999999995</v>
      </c>
      <c r="S6822">
        <v>0.1812134</v>
      </c>
      <c r="T6822">
        <v>-0.2135502</v>
      </c>
      <c r="U6822">
        <v>3.057709</v>
      </c>
      <c r="V6822">
        <v>0.1148646</v>
      </c>
      <c r="W6822">
        <v>0.1507491</v>
      </c>
      <c r="X6822">
        <v>0.98187619999999998</v>
      </c>
      <c r="Y6822">
        <v>7.0610220000000001E-2</v>
      </c>
      <c r="Z6822">
        <v>-6.9515519999999997E-2</v>
      </c>
      <c r="AA6822">
        <v>0.99507880000000004</v>
      </c>
      <c r="AB6822">
        <v>29</v>
      </c>
      <c r="AC6822">
        <v>5.2899999999993903E-2</v>
      </c>
      <c r="AD6822">
        <v>-5.8229000000000003E-2</v>
      </c>
      <c r="AE6822">
        <v>0.53684000000001197</v>
      </c>
      <c r="AF6822">
        <v>5.8451876300540502E-2</v>
      </c>
      <c r="AG6822">
        <v>-5.8229000000000003E-2</v>
      </c>
      <c r="AH6822">
        <v>0.53001362828867005</v>
      </c>
      <c r="AI6822">
        <v>96.232070497413602</v>
      </c>
      <c r="AJ6822">
        <v>83.706640209105899</v>
      </c>
      <c r="AK6822">
        <v>0.53639694672488103</v>
      </c>
      <c r="AL6822">
        <v>81.329659689372804</v>
      </c>
      <c r="AM6822">
        <v>83.327592158478296</v>
      </c>
      <c r="AN6822">
        <v>1.0000000198051999</v>
      </c>
    </row>
    <row r="6823" spans="1:40" x14ac:dyDescent="0.25">
      <c r="A6823" t="str">
        <f>"20190312164638236"</f>
        <v>20190312164638236</v>
      </c>
      <c r="B6823" t="str">
        <f>"1552380398227664"</f>
        <v>1552380398227664</v>
      </c>
      <c r="C6823" t="s">
        <v>40</v>
      </c>
      <c r="D6823">
        <v>4.6942430000000002</v>
      </c>
      <c r="E6823">
        <v>0.48868630000000002</v>
      </c>
      <c r="F6823" t="s">
        <v>42</v>
      </c>
      <c r="G6823">
        <v>-186.74420000000001</v>
      </c>
      <c r="H6823" s="1">
        <v>-3.5139130000000001E-6</v>
      </c>
      <c r="I6823">
        <v>106.4776</v>
      </c>
      <c r="J6823">
        <v>-187.7611</v>
      </c>
      <c r="K6823">
        <v>1.1088020000000001</v>
      </c>
      <c r="L6823">
        <v>89.804019999999994</v>
      </c>
      <c r="M6823">
        <v>-1.16822E-2</v>
      </c>
      <c r="N6823">
        <v>0</v>
      </c>
      <c r="O6823">
        <v>0.9998688</v>
      </c>
      <c r="P6823">
        <v>0.1036315</v>
      </c>
      <c r="Q6823">
        <v>0.13973239999999901</v>
      </c>
      <c r="R6823">
        <v>0.9847515</v>
      </c>
      <c r="S6823">
        <v>0.18421940000000001</v>
      </c>
      <c r="T6823">
        <v>-0.2012544</v>
      </c>
      <c r="U6823">
        <v>3.0555729999999999</v>
      </c>
      <c r="V6823">
        <v>0.11510040000000001</v>
      </c>
      <c r="W6823">
        <v>0.15078639999999999</v>
      </c>
      <c r="X6823">
        <v>0.98184289999999996</v>
      </c>
      <c r="Y6823">
        <v>7.1708460000000002E-2</v>
      </c>
      <c r="Z6823">
        <v>-6.5571679999999993E-2</v>
      </c>
      <c r="AA6823">
        <v>0.99526789999999998</v>
      </c>
      <c r="AB6823">
        <v>29</v>
      </c>
      <c r="AC6823">
        <v>1.0168999999999899</v>
      </c>
      <c r="AD6823">
        <v>-1.108805513913</v>
      </c>
      <c r="AE6823">
        <v>16.673579999999902</v>
      </c>
      <c r="AF6823">
        <v>1.2063119954508601</v>
      </c>
      <c r="AG6823">
        <v>-1.108805513913</v>
      </c>
      <c r="AH6823">
        <v>16.5874779106985</v>
      </c>
      <c r="AI6823">
        <v>93.814257431072093</v>
      </c>
      <c r="AJ6823">
        <v>85.840529623824906</v>
      </c>
      <c r="AK6823">
        <v>16.668205114407598</v>
      </c>
      <c r="AL6823">
        <v>81.327498199965703</v>
      </c>
      <c r="AM6823">
        <v>83.313793869858202</v>
      </c>
      <c r="AN6823">
        <v>1.0000000603927599</v>
      </c>
    </row>
    <row r="6824" spans="1:40" x14ac:dyDescent="0.25">
      <c r="A6824" t="str">
        <f>"20190312164638257"</f>
        <v>20190312164638257</v>
      </c>
      <c r="B6824" t="str">
        <f>"1552380398248160"</f>
        <v>1552380398248160</v>
      </c>
      <c r="C6824" t="s">
        <v>40</v>
      </c>
      <c r="D6824">
        <v>4.7396269999999996</v>
      </c>
      <c r="E6824">
        <v>0.48903000000000002</v>
      </c>
      <c r="F6824" t="s">
        <v>41</v>
      </c>
      <c r="G6824">
        <v>-187.70699999999999</v>
      </c>
      <c r="H6824">
        <v>1.052343</v>
      </c>
      <c r="I6824">
        <v>90.692779999999999</v>
      </c>
      <c r="J6824">
        <v>-187.7645</v>
      </c>
      <c r="K6824">
        <v>1.1088020000000001</v>
      </c>
      <c r="L6824">
        <v>90.080659999999995</v>
      </c>
      <c r="M6824">
        <v>-1.1795450000000001E-2</v>
      </c>
      <c r="N6824">
        <v>0</v>
      </c>
      <c r="O6824">
        <v>0.99986739999999996</v>
      </c>
      <c r="P6824">
        <v>0.1040944</v>
      </c>
      <c r="Q6824">
        <v>0.13962069999999999</v>
      </c>
      <c r="R6824">
        <v>0.98471839999999999</v>
      </c>
      <c r="S6824">
        <v>0.1858368</v>
      </c>
      <c r="T6824">
        <v>-0.19405040000000001</v>
      </c>
      <c r="U6824">
        <v>3.054443</v>
      </c>
      <c r="V6824">
        <v>0.11567429999999999</v>
      </c>
      <c r="W6824">
        <v>0.15067469999999999</v>
      </c>
      <c r="X6824">
        <v>0.98179260000000002</v>
      </c>
      <c r="Y6824">
        <v>7.2377699999999906E-2</v>
      </c>
      <c r="Z6824">
        <v>-6.3254690000000002E-2</v>
      </c>
      <c r="AA6824">
        <v>0.99536939999999996</v>
      </c>
      <c r="AB6824">
        <v>29</v>
      </c>
      <c r="AC6824">
        <v>5.7500000000004499E-2</v>
      </c>
      <c r="AD6824">
        <v>-5.6459000000000002E-2</v>
      </c>
      <c r="AE6824">
        <v>0.61212000000000399</v>
      </c>
      <c r="AF6824">
        <v>6.4175498568443595E-2</v>
      </c>
      <c r="AG6824">
        <v>-5.6459000000000002E-2</v>
      </c>
      <c r="AH6824">
        <v>0.60628636626600996</v>
      </c>
      <c r="AI6824">
        <v>95.290804219350704</v>
      </c>
      <c r="AJ6824">
        <v>83.957732877000396</v>
      </c>
      <c r="AK6824">
        <v>0.61228201934855997</v>
      </c>
      <c r="AL6824">
        <v>81.333972092455497</v>
      </c>
      <c r="AM6824">
        <v>83.280418880166295</v>
      </c>
      <c r="AN6824">
        <v>1.0000000591576601</v>
      </c>
    </row>
    <row r="6825" spans="1:40" x14ac:dyDescent="0.25">
      <c r="A6825" t="str">
        <f>"20190312164638282"</f>
        <v>20190312164638282</v>
      </c>
      <c r="B6825" t="str">
        <f>"1552380398278416"</f>
        <v>1552380398278416</v>
      </c>
      <c r="C6825" t="s">
        <v>40</v>
      </c>
      <c r="D6825">
        <v>4.7211019999999904</v>
      </c>
      <c r="E6825">
        <v>0.48916959999999998</v>
      </c>
      <c r="F6825" t="s">
        <v>41</v>
      </c>
      <c r="G6825">
        <v>-187.71029999999999</v>
      </c>
      <c r="H6825">
        <v>1.0529770000000001</v>
      </c>
      <c r="I6825">
        <v>90.949330000000003</v>
      </c>
      <c r="J6825">
        <v>-187.7681</v>
      </c>
      <c r="K6825">
        <v>1.108798</v>
      </c>
      <c r="L6825">
        <v>90.375150000000005</v>
      </c>
      <c r="M6825">
        <v>-1.1916080000000001E-2</v>
      </c>
      <c r="N6825">
        <v>0</v>
      </c>
      <c r="O6825">
        <v>0.99986589999999997</v>
      </c>
      <c r="P6825">
        <v>0.10412780000000001</v>
      </c>
      <c r="Q6825">
        <v>0.1393307</v>
      </c>
      <c r="R6825">
        <v>0.98475599999999996</v>
      </c>
      <c r="S6825">
        <v>0.18994140000000001</v>
      </c>
      <c r="T6825">
        <v>-0.1963502</v>
      </c>
      <c r="U6825">
        <v>3.0543209999999998</v>
      </c>
      <c r="V6825">
        <v>0.1158269</v>
      </c>
      <c r="W6825">
        <v>0.15038570000000001</v>
      </c>
      <c r="X6825">
        <v>0.98181890000000005</v>
      </c>
      <c r="Y6825">
        <v>7.3830019999999996E-2</v>
      </c>
      <c r="Z6825">
        <v>-6.3997659999999998E-2</v>
      </c>
      <c r="AA6825">
        <v>0.99521519999999997</v>
      </c>
      <c r="AB6825">
        <v>29</v>
      </c>
      <c r="AC6825">
        <v>5.78000000000145E-2</v>
      </c>
      <c r="AD6825">
        <v>-5.5820999999999898E-2</v>
      </c>
      <c r="AE6825">
        <v>0.57417999999999803</v>
      </c>
      <c r="AF6825">
        <v>6.4039110818104705E-2</v>
      </c>
      <c r="AG6825">
        <v>-5.5820999999999898E-2</v>
      </c>
      <c r="AH6825">
        <v>0.56813459985310499</v>
      </c>
      <c r="AI6825">
        <v>95.576389901467493</v>
      </c>
      <c r="AJ6825">
        <v>83.568867744323299</v>
      </c>
      <c r="AK6825">
        <v>0.57445096858271605</v>
      </c>
      <c r="AL6825">
        <v>81.350721264957102</v>
      </c>
      <c r="AM6825">
        <v>83.271814066024305</v>
      </c>
      <c r="AN6825">
        <v>1.0000000409626499</v>
      </c>
    </row>
    <row r="6826" spans="1:40" x14ac:dyDescent="0.25">
      <c r="A6826" t="str">
        <f>"20190312164638304"</f>
        <v>20190312164638304</v>
      </c>
      <c r="B6826" t="str">
        <f>"1552380398297935"</f>
        <v>1552380398297935</v>
      </c>
      <c r="C6826" t="s">
        <v>40</v>
      </c>
      <c r="D6826">
        <v>4.8440110000000001</v>
      </c>
      <c r="E6826">
        <v>0.48931249999999998</v>
      </c>
      <c r="F6826" t="s">
        <v>41</v>
      </c>
      <c r="G6826">
        <v>-187.71600000000001</v>
      </c>
      <c r="H6826">
        <v>1.0551060000000001</v>
      </c>
      <c r="I6826">
        <v>91.208110000000005</v>
      </c>
      <c r="J6826">
        <v>-187.77170000000001</v>
      </c>
      <c r="K6826">
        <v>1.108798</v>
      </c>
      <c r="L6826">
        <v>90.666989999999998</v>
      </c>
      <c r="M6826">
        <v>-1.203547E-2</v>
      </c>
      <c r="N6826">
        <v>0</v>
      </c>
      <c r="O6826">
        <v>0.99986450000000004</v>
      </c>
      <c r="P6826">
        <v>0.1047211</v>
      </c>
      <c r="Q6826">
        <v>0.13895729999999901</v>
      </c>
      <c r="R6826">
        <v>0.98474589999999995</v>
      </c>
      <c r="S6826">
        <v>0.19111629999999999</v>
      </c>
      <c r="T6826">
        <v>-0.1968617</v>
      </c>
      <c r="U6826">
        <v>3.0541079999999998</v>
      </c>
      <c r="V6826">
        <v>0.1165375</v>
      </c>
      <c r="W6826">
        <v>0.1500128</v>
      </c>
      <c r="X6826">
        <v>0.98179179999999999</v>
      </c>
      <c r="Y6826">
        <v>7.4334109999999995E-2</v>
      </c>
      <c r="Z6826">
        <v>-6.4166039999999994E-2</v>
      </c>
      <c r="AA6826">
        <v>0.99516689999999997</v>
      </c>
      <c r="AB6826">
        <v>29</v>
      </c>
      <c r="AC6826">
        <v>5.5700000000030003E-2</v>
      </c>
      <c r="AD6826">
        <v>-5.3691999999999997E-2</v>
      </c>
      <c r="AE6826">
        <v>0.54111999999999205</v>
      </c>
      <c r="AF6826">
        <v>6.1608807514938399E-2</v>
      </c>
      <c r="AG6826">
        <v>-5.3691999999999997E-2</v>
      </c>
      <c r="AH6826">
        <v>0.53519642293701797</v>
      </c>
      <c r="AI6826">
        <v>95.691524913102597</v>
      </c>
      <c r="AJ6826">
        <v>83.433335402211199</v>
      </c>
      <c r="AK6826">
        <v>0.54139974801618795</v>
      </c>
      <c r="AL6826">
        <v>81.372331521372104</v>
      </c>
      <c r="AM6826">
        <v>83.2307332925417</v>
      </c>
      <c r="AN6826">
        <v>0.99999998380866395</v>
      </c>
    </row>
    <row r="6827" spans="1:40" x14ac:dyDescent="0.25">
      <c r="A6827" t="str">
        <f>"20190312164638326"</f>
        <v>20190312164638326</v>
      </c>
      <c r="B6827" t="str">
        <f>"1552380398318432"</f>
        <v>1552380398318432</v>
      </c>
      <c r="C6827" t="s">
        <v>40</v>
      </c>
      <c r="D6827">
        <v>4.7396149999999997</v>
      </c>
      <c r="E6827">
        <v>0.48922080000000001</v>
      </c>
      <c r="F6827" t="s">
        <v>42</v>
      </c>
      <c r="G6827">
        <v>-186.70570000000001</v>
      </c>
      <c r="H6827" s="1">
        <v>-3.9386279999999998E-6</v>
      </c>
      <c r="I6827">
        <v>107.4517</v>
      </c>
      <c r="J6827">
        <v>-187.77520000000001</v>
      </c>
      <c r="K6827">
        <v>1.1087990000000001</v>
      </c>
      <c r="L6827">
        <v>90.943759999999997</v>
      </c>
      <c r="M6827">
        <v>-1.214842E-2</v>
      </c>
      <c r="N6827">
        <v>0</v>
      </c>
      <c r="O6827">
        <v>0.9998631</v>
      </c>
      <c r="P6827">
        <v>0.10498159999999999</v>
      </c>
      <c r="Q6827">
        <v>0.1388384</v>
      </c>
      <c r="R6827">
        <v>0.98473489999999997</v>
      </c>
      <c r="S6827">
        <v>0.19396969999999999</v>
      </c>
      <c r="T6827">
        <v>-0.20176939999999999</v>
      </c>
      <c r="U6827">
        <v>3.0543209999999998</v>
      </c>
      <c r="V6827">
        <v>0.1169089</v>
      </c>
      <c r="W6827">
        <v>0.14989350000000001</v>
      </c>
      <c r="X6827">
        <v>0.98176589999999997</v>
      </c>
      <c r="Y6827">
        <v>7.5361890000000001E-2</v>
      </c>
      <c r="Z6827">
        <v>-6.5749639999999998E-2</v>
      </c>
      <c r="AA6827">
        <v>0.99498620000000004</v>
      </c>
      <c r="AB6827">
        <v>29</v>
      </c>
      <c r="AC6827">
        <v>1.0694999999999999</v>
      </c>
      <c r="AD6827">
        <v>-1.1088029386279901</v>
      </c>
      <c r="AE6827">
        <v>16.507940000000001</v>
      </c>
      <c r="AF6827">
        <v>1.2642990400463401</v>
      </c>
      <c r="AG6827">
        <v>-1.1088029386279901</v>
      </c>
      <c r="AH6827">
        <v>16.419958740682802</v>
      </c>
      <c r="AI6827">
        <v>93.851823692575906</v>
      </c>
      <c r="AJ6827">
        <v>85.597044291670599</v>
      </c>
      <c r="AK6827">
        <v>16.505845663433899</v>
      </c>
      <c r="AL6827">
        <v>81.379245369976502</v>
      </c>
      <c r="AM6827">
        <v>83.209183601360095</v>
      </c>
      <c r="AN6827">
        <v>1.00000001732213</v>
      </c>
    </row>
    <row r="6828" spans="1:40" x14ac:dyDescent="0.25">
      <c r="A6828" t="str">
        <f>"20190312164638347"</f>
        <v>20190312164638347</v>
      </c>
      <c r="B6828" t="str">
        <f>"1552380398337952"</f>
        <v>1552380398337952</v>
      </c>
      <c r="C6828" t="s">
        <v>40</v>
      </c>
      <c r="D6828">
        <v>4.7730399999999999</v>
      </c>
      <c r="E6828">
        <v>0.48921199999999998</v>
      </c>
      <c r="F6828" t="s">
        <v>42</v>
      </c>
      <c r="G6828">
        <v>-186.72409999999999</v>
      </c>
      <c r="H6828" s="1">
        <v>-3.9523890000000004E-6</v>
      </c>
      <c r="I6828">
        <v>107.4913</v>
      </c>
      <c r="J6828">
        <v>-187.77869999999999</v>
      </c>
      <c r="K6828">
        <v>1.10880499999999</v>
      </c>
      <c r="L6828">
        <v>91.227909999999994</v>
      </c>
      <c r="M6828">
        <v>-1.226445E-2</v>
      </c>
      <c r="N6828">
        <v>0</v>
      </c>
      <c r="O6828">
        <v>0.99986169999999996</v>
      </c>
      <c r="P6828">
        <v>0.1054151</v>
      </c>
      <c r="Q6828">
        <v>0.13903760000000001</v>
      </c>
      <c r="R6828">
        <v>0.98466039999999999</v>
      </c>
      <c r="S6828">
        <v>0.1940308</v>
      </c>
      <c r="T6828">
        <v>-0.20468529999999999</v>
      </c>
      <c r="U6828">
        <v>3.0546880000000001</v>
      </c>
      <c r="V6828">
        <v>0.1174554</v>
      </c>
      <c r="W6828">
        <v>0.15009239999999999</v>
      </c>
      <c r="X6828">
        <v>0.9816703</v>
      </c>
      <c r="Y6828">
        <v>7.5485910000000003E-2</v>
      </c>
      <c r="Z6828">
        <v>-6.6687200000000002E-2</v>
      </c>
      <c r="AA6828">
        <v>0.99491439999999998</v>
      </c>
      <c r="AB6828">
        <v>29</v>
      </c>
      <c r="AC6828">
        <v>1.05459999999999</v>
      </c>
      <c r="AD6828">
        <v>-1.1088089523889999</v>
      </c>
      <c r="AE6828">
        <v>16.263390000000001</v>
      </c>
      <c r="AF6828">
        <v>1.2482170350406701</v>
      </c>
      <c r="AG6828">
        <v>-1.1088089523889999</v>
      </c>
      <c r="AH6828">
        <v>16.174363761669799</v>
      </c>
      <c r="AI6828">
        <v>93.910099436953601</v>
      </c>
      <c r="AJ6828">
        <v>85.587084753659994</v>
      </c>
      <c r="AK6828">
        <v>16.260305844426199</v>
      </c>
      <c r="AL6828">
        <v>81.367719026826094</v>
      </c>
      <c r="AM6828">
        <v>83.177079772428996</v>
      </c>
      <c r="AN6828">
        <v>1.0000000387145001</v>
      </c>
    </row>
    <row r="6829" spans="1:40" x14ac:dyDescent="0.25">
      <c r="A6829" t="str">
        <f>"20190312164638370"</f>
        <v>20190312164638370</v>
      </c>
      <c r="B6829" t="str">
        <f>"1552380398358451"</f>
        <v>1552380398358451</v>
      </c>
      <c r="C6829" t="s">
        <v>40</v>
      </c>
      <c r="D6829">
        <v>4.7898849999999999</v>
      </c>
      <c r="E6829">
        <v>0.48928890000000003</v>
      </c>
      <c r="F6829" t="s">
        <v>42</v>
      </c>
      <c r="G6829">
        <v>-186.72499999999999</v>
      </c>
      <c r="H6829" s="1">
        <v>-4.0541279999999998E-6</v>
      </c>
      <c r="I6829">
        <v>107.7289</v>
      </c>
      <c r="J6829">
        <v>-187.78229999999999</v>
      </c>
      <c r="K6829">
        <v>1.10880499999999</v>
      </c>
      <c r="L6829">
        <v>91.505579999999995</v>
      </c>
      <c r="M6829">
        <v>-1.2377630000000001E-2</v>
      </c>
      <c r="N6829">
        <v>0</v>
      </c>
      <c r="O6829">
        <v>0.99986030000000004</v>
      </c>
      <c r="P6829">
        <v>0.10605059999999999</v>
      </c>
      <c r="Q6829">
        <v>0.1393295</v>
      </c>
      <c r="R6829">
        <v>0.98455099999999995</v>
      </c>
      <c r="S6829">
        <v>0.1950836</v>
      </c>
      <c r="T6829">
        <v>-0.20527290000000001</v>
      </c>
      <c r="U6829">
        <v>3.0548099999999998</v>
      </c>
      <c r="V6829">
        <v>0.11820070000000001</v>
      </c>
      <c r="W6829">
        <v>0.15038379999999901</v>
      </c>
      <c r="X6829">
        <v>0.98153619999999997</v>
      </c>
      <c r="Y6829">
        <v>7.5936970000000006E-2</v>
      </c>
      <c r="Z6829">
        <v>-6.6873109999999999E-2</v>
      </c>
      <c r="AA6829">
        <v>0.99486759999999996</v>
      </c>
      <c r="AB6829">
        <v>29</v>
      </c>
      <c r="AC6829">
        <v>1.0572999999999899</v>
      </c>
      <c r="AD6829">
        <v>-1.10880905412799</v>
      </c>
      <c r="AE6829">
        <v>16.223319999999902</v>
      </c>
      <c r="AF6829">
        <v>1.2522132418498999</v>
      </c>
      <c r="AG6829">
        <v>-1.10880905412799</v>
      </c>
      <c r="AH6829">
        <v>16.133942257286702</v>
      </c>
      <c r="AI6829">
        <v>93.919732958716693</v>
      </c>
      <c r="AJ6829">
        <v>85.561965748962706</v>
      </c>
      <c r="AK6829">
        <v>16.220406538772099</v>
      </c>
      <c r="AL6829">
        <v>81.350831042646405</v>
      </c>
      <c r="AM6829">
        <v>83.133268613861901</v>
      </c>
      <c r="AN6829">
        <v>1.00000000234668</v>
      </c>
    </row>
    <row r="6830" spans="1:40" x14ac:dyDescent="0.25">
      <c r="A6830" t="str">
        <f>"20190312164638391"</f>
        <v>20190312164638391</v>
      </c>
      <c r="B6830" t="str">
        <f>"1552380398387729"</f>
        <v>1552380398387729</v>
      </c>
      <c r="C6830" t="s">
        <v>40</v>
      </c>
      <c r="D6830">
        <v>4.7425699999999997</v>
      </c>
      <c r="E6830">
        <v>0.48881029999999998</v>
      </c>
      <c r="F6830" t="s">
        <v>41</v>
      </c>
      <c r="G6830">
        <v>-187.7191</v>
      </c>
      <c r="H6830">
        <v>1.042611</v>
      </c>
      <c r="I6830">
        <v>92.48</v>
      </c>
      <c r="J6830">
        <v>-187.7859</v>
      </c>
      <c r="K6830">
        <v>1.108798</v>
      </c>
      <c r="L6830">
        <v>91.785430000000005</v>
      </c>
      <c r="M6830">
        <v>-1.249222E-2</v>
      </c>
      <c r="N6830">
        <v>0</v>
      </c>
      <c r="O6830">
        <v>0.99985889999999999</v>
      </c>
      <c r="P6830">
        <v>0.10658139999999899</v>
      </c>
      <c r="Q6830">
        <v>0.13915949999999999</v>
      </c>
      <c r="R6830">
        <v>0.98451770000000005</v>
      </c>
      <c r="S6830">
        <v>0.19752500000000001</v>
      </c>
      <c r="T6830">
        <v>-0.2075697</v>
      </c>
      <c r="U6830">
        <v>3.0551759999999999</v>
      </c>
      <c r="V6830">
        <v>0.1188438</v>
      </c>
      <c r="W6830">
        <v>0.1502136</v>
      </c>
      <c r="X6830">
        <v>0.98148460000000004</v>
      </c>
      <c r="Y6830">
        <v>7.683218E-2</v>
      </c>
      <c r="Z6830">
        <v>-6.7605700000000005E-2</v>
      </c>
      <c r="AA6830">
        <v>0.99474940000000001</v>
      </c>
      <c r="AB6830">
        <v>29</v>
      </c>
      <c r="AC6830">
        <v>6.6800000000000595E-2</v>
      </c>
      <c r="AD6830">
        <v>-6.6186999999999996E-2</v>
      </c>
      <c r="AE6830">
        <v>0.69456999999999802</v>
      </c>
      <c r="AF6830">
        <v>7.4799061754394297E-2</v>
      </c>
      <c r="AG6830">
        <v>-6.6186999999999996E-2</v>
      </c>
      <c r="AH6830">
        <v>0.68749562123617602</v>
      </c>
      <c r="AI6830">
        <v>95.467002112456299</v>
      </c>
      <c r="AJ6830">
        <v>83.790681325483803</v>
      </c>
      <c r="AK6830">
        <v>0.69471278081467103</v>
      </c>
      <c r="AL6830">
        <v>81.360694786159399</v>
      </c>
      <c r="AM6830">
        <v>83.095908622379795</v>
      </c>
      <c r="AN6830">
        <v>0.99999999723027999</v>
      </c>
    </row>
    <row r="6831" spans="1:40" x14ac:dyDescent="0.25">
      <c r="A6831" t="str">
        <f>"20190312164638413"</f>
        <v>20190312164638413</v>
      </c>
      <c r="B6831" t="str">
        <f>"1552380398407913"</f>
        <v>1552380398407913</v>
      </c>
      <c r="C6831" t="s">
        <v>40</v>
      </c>
      <c r="D6831">
        <v>4.6934069999999997</v>
      </c>
      <c r="E6831">
        <v>0.48770980000000003</v>
      </c>
      <c r="F6831" t="s">
        <v>41</v>
      </c>
      <c r="G6831">
        <v>-187.72489999999999</v>
      </c>
      <c r="H6831">
        <v>1.044664</v>
      </c>
      <c r="I6831">
        <v>92.737790000000004</v>
      </c>
      <c r="J6831">
        <v>-187.78960000000001</v>
      </c>
      <c r="K6831">
        <v>1.108798</v>
      </c>
      <c r="L6831">
        <v>92.07611</v>
      </c>
      <c r="M6831">
        <v>-1.261019E-2</v>
      </c>
      <c r="N6831">
        <v>0</v>
      </c>
      <c r="O6831">
        <v>0.99985740000000001</v>
      </c>
      <c r="P6831">
        <v>0.1070139</v>
      </c>
      <c r="Q6831">
        <v>0.13904530000000001</v>
      </c>
      <c r="R6831">
        <v>0.98448690000000005</v>
      </c>
      <c r="S6831">
        <v>0.19544980000000001</v>
      </c>
      <c r="T6831">
        <v>-0.2057233</v>
      </c>
      <c r="U6831">
        <v>3.0550839999999999</v>
      </c>
      <c r="V6831">
        <v>0.1193921</v>
      </c>
      <c r="W6831">
        <v>0.1500995</v>
      </c>
      <c r="X6831">
        <v>0.98143550000000002</v>
      </c>
      <c r="Y6831">
        <v>7.6281349999999998E-2</v>
      </c>
      <c r="Z6831">
        <v>-6.701174E-2</v>
      </c>
      <c r="AA6831">
        <v>0.99483189999999999</v>
      </c>
      <c r="AB6831">
        <v>29</v>
      </c>
      <c r="AC6831">
        <v>6.4700000000016106E-2</v>
      </c>
      <c r="AD6831">
        <v>-6.4133999999999899E-2</v>
      </c>
      <c r="AE6831">
        <v>0.66168000000000404</v>
      </c>
      <c r="AF6831">
        <v>7.2365878354969604E-2</v>
      </c>
      <c r="AG6831">
        <v>-6.4133999999999899E-2</v>
      </c>
      <c r="AH6831">
        <v>0.65471884904422195</v>
      </c>
      <c r="AI6831">
        <v>95.560996519543906</v>
      </c>
      <c r="AJ6831">
        <v>83.6927164711214</v>
      </c>
      <c r="AK6831">
        <v>0.66182079266209004</v>
      </c>
      <c r="AL6831">
        <v>81.367307116144701</v>
      </c>
      <c r="AM6831">
        <v>83.064021722982702</v>
      </c>
      <c r="AN6831">
        <v>0.99999998705145399</v>
      </c>
    </row>
    <row r="6832" spans="1:40" x14ac:dyDescent="0.25">
      <c r="A6832" t="str">
        <f>"20190312164638437"</f>
        <v>20190312164638437</v>
      </c>
      <c r="B6832" t="str">
        <f>"1552380398428424"</f>
        <v>1552380398428424</v>
      </c>
      <c r="C6832" t="s">
        <v>40</v>
      </c>
      <c r="D6832">
        <v>4.6706070000000004</v>
      </c>
      <c r="E6832">
        <v>0.48671150000000002</v>
      </c>
      <c r="F6832" t="s">
        <v>41</v>
      </c>
      <c r="G6832">
        <v>-187.73269999999999</v>
      </c>
      <c r="H6832">
        <v>1.0478809999999901</v>
      </c>
      <c r="I6832">
        <v>92.996830000000003</v>
      </c>
      <c r="J6832">
        <v>-187.79339999999999</v>
      </c>
      <c r="K6832">
        <v>1.1087940000000001</v>
      </c>
      <c r="L6832">
        <v>92.369749999999996</v>
      </c>
      <c r="M6832">
        <v>-1.272116E-2</v>
      </c>
      <c r="N6832">
        <v>0</v>
      </c>
      <c r="O6832">
        <v>0.99985599999999997</v>
      </c>
      <c r="P6832">
        <v>0.10756159999999999</v>
      </c>
      <c r="Q6832">
        <v>0.13900860000000001</v>
      </c>
      <c r="R6832">
        <v>0.98443239999999999</v>
      </c>
      <c r="S6832">
        <v>0.1885376</v>
      </c>
      <c r="T6832">
        <v>-0.2021897</v>
      </c>
      <c r="U6832">
        <v>3.0553279999999998</v>
      </c>
      <c r="V6832">
        <v>0.1200497</v>
      </c>
      <c r="W6832">
        <v>0.1500618</v>
      </c>
      <c r="X6832">
        <v>0.98136100000000004</v>
      </c>
      <c r="Y6832">
        <v>7.4149649999999998E-2</v>
      </c>
      <c r="Z6832">
        <v>-6.5870369999999998E-2</v>
      </c>
      <c r="AA6832">
        <v>0.99506930000000005</v>
      </c>
      <c r="AB6832">
        <v>29</v>
      </c>
      <c r="AC6832">
        <v>6.0699999999996999E-2</v>
      </c>
      <c r="AD6832">
        <v>-6.0913000000000203E-2</v>
      </c>
      <c r="AE6832">
        <v>0.62708000000000597</v>
      </c>
      <c r="AF6832">
        <v>6.8036760883070396E-2</v>
      </c>
      <c r="AG6832">
        <v>-6.0913000000000203E-2</v>
      </c>
      <c r="AH6832">
        <v>0.62045692996692003</v>
      </c>
      <c r="AI6832">
        <v>95.573813677849003</v>
      </c>
      <c r="AJ6832">
        <v>83.742182209931997</v>
      </c>
      <c r="AK6832">
        <v>0.62714128898074895</v>
      </c>
      <c r="AL6832">
        <v>81.369491532161405</v>
      </c>
      <c r="AM6832">
        <v>83.025670009488707</v>
      </c>
      <c r="AN6832">
        <v>0.99999994330516295</v>
      </c>
    </row>
    <row r="6833" spans="1:40" x14ac:dyDescent="0.25">
      <c r="A6833" t="str">
        <f>"20190312164638458"</f>
        <v>20190312164638458</v>
      </c>
      <c r="B6833" t="str">
        <f>"1552380398447928"</f>
        <v>1552380398447928</v>
      </c>
      <c r="C6833" t="s">
        <v>40</v>
      </c>
      <c r="D6833">
        <v>4.776154</v>
      </c>
      <c r="E6833">
        <v>0.48584759999999999</v>
      </c>
      <c r="F6833" t="s">
        <v>41</v>
      </c>
      <c r="G6833">
        <v>-187.74039999999999</v>
      </c>
      <c r="H6833">
        <v>1.0512079999999999</v>
      </c>
      <c r="I6833">
        <v>93.25694</v>
      </c>
      <c r="J6833">
        <v>-187.7972</v>
      </c>
      <c r="K6833">
        <v>1.108786</v>
      </c>
      <c r="L6833">
        <v>92.655270000000002</v>
      </c>
      <c r="M6833">
        <v>-1.2812270000000001E-2</v>
      </c>
      <c r="N6833">
        <v>0</v>
      </c>
      <c r="O6833">
        <v>0.99985489999999999</v>
      </c>
      <c r="P6833">
        <v>0.10794570000000001</v>
      </c>
      <c r="Q6833">
        <v>0.13925119999999999</v>
      </c>
      <c r="R6833">
        <v>0.98435600000000001</v>
      </c>
      <c r="S6833">
        <v>0.1825562</v>
      </c>
      <c r="T6833">
        <v>-0.19832839999999999</v>
      </c>
      <c r="U6833">
        <v>3.0554809999999999</v>
      </c>
      <c r="V6833">
        <v>0.1205261</v>
      </c>
      <c r="W6833">
        <v>0.1503013</v>
      </c>
      <c r="X6833">
        <v>0.98126599999999997</v>
      </c>
      <c r="Y6833">
        <v>7.230143E-2</v>
      </c>
      <c r="Z6833">
        <v>-6.4622609999999997E-2</v>
      </c>
      <c r="AA6833">
        <v>0.99528709999999998</v>
      </c>
      <c r="AB6833">
        <v>29</v>
      </c>
      <c r="AC6833">
        <v>5.6800000000009697E-2</v>
      </c>
      <c r="AD6833">
        <v>-5.7578000000000101E-2</v>
      </c>
      <c r="AE6833">
        <v>0.60166999999999804</v>
      </c>
      <c r="AF6833">
        <v>6.3924339266928795E-2</v>
      </c>
      <c r="AG6833">
        <v>-5.7578000000000101E-2</v>
      </c>
      <c r="AH6833">
        <v>0.59548757529508201</v>
      </c>
      <c r="AI6833">
        <v>95.491434809660802</v>
      </c>
      <c r="AJ6833">
        <v>83.872882063273295</v>
      </c>
      <c r="AK6833">
        <v>0.60167017506731202</v>
      </c>
      <c r="AL6833">
        <v>81.355612199512194</v>
      </c>
      <c r="AM6833">
        <v>82.997596433708495</v>
      </c>
      <c r="AN6833">
        <v>0.99999999215944901</v>
      </c>
    </row>
    <row r="6834" spans="1:40" x14ac:dyDescent="0.25">
      <c r="A6834" t="str">
        <f>"20190312164638483"</f>
        <v>20190312164638483</v>
      </c>
      <c r="B6834" t="str">
        <f>"1552380398478185"</f>
        <v>1552380398478185</v>
      </c>
      <c r="C6834" t="s">
        <v>40</v>
      </c>
      <c r="D6834">
        <v>4.8781939999999997</v>
      </c>
      <c r="E6834">
        <v>0.48480119999999999</v>
      </c>
      <c r="F6834" t="s">
        <v>41</v>
      </c>
      <c r="G6834">
        <v>-187.7473</v>
      </c>
      <c r="H6834">
        <v>1.0537339999999999</v>
      </c>
      <c r="I6834">
        <v>93.516559999999998</v>
      </c>
      <c r="J6834">
        <v>-187.80109999999999</v>
      </c>
      <c r="K6834">
        <v>1.1087720000000001</v>
      </c>
      <c r="L6834">
        <v>92.954319999999996</v>
      </c>
      <c r="M6834">
        <v>-1.28822999999999E-2</v>
      </c>
      <c r="N6834">
        <v>0</v>
      </c>
      <c r="O6834">
        <v>0.99985389999999996</v>
      </c>
      <c r="P6834">
        <v>0.1093679</v>
      </c>
      <c r="Q6834">
        <v>0.1395914</v>
      </c>
      <c r="R6834">
        <v>0.98415079999999999</v>
      </c>
      <c r="S6834">
        <v>0.17675779999999999</v>
      </c>
      <c r="T6834">
        <v>-0.1953676</v>
      </c>
      <c r="U6834">
        <v>3.055939</v>
      </c>
      <c r="V6834">
        <v>0.122021</v>
      </c>
      <c r="W6834">
        <v>0.15063409999999999</v>
      </c>
      <c r="X6834">
        <v>0.98103019999999996</v>
      </c>
      <c r="Y6834">
        <v>7.0483899999999905E-2</v>
      </c>
      <c r="Z6834">
        <v>-6.3659939999999998E-2</v>
      </c>
      <c r="AA6834">
        <v>0.99547949999999996</v>
      </c>
      <c r="AB6834">
        <v>29</v>
      </c>
      <c r="AC6834">
        <v>5.37999999999954E-2</v>
      </c>
      <c r="AD6834">
        <v>-5.50379999999999E-2</v>
      </c>
      <c r="AE6834">
        <v>0.56224000000000196</v>
      </c>
      <c r="AF6834">
        <v>6.0464785934933603E-2</v>
      </c>
      <c r="AG6834">
        <v>-5.50379999999999E-2</v>
      </c>
      <c r="AH6834">
        <v>0.55621858701757398</v>
      </c>
      <c r="AI6834">
        <v>95.618155181820896</v>
      </c>
      <c r="AJ6834">
        <v>83.795916431833803</v>
      </c>
      <c r="AK6834">
        <v>0.56219595189398497</v>
      </c>
      <c r="AL6834">
        <v>81.336324684162506</v>
      </c>
      <c r="AM6834">
        <v>82.909936515084098</v>
      </c>
      <c r="AN6834">
        <v>1.0000000049179201</v>
      </c>
    </row>
    <row r="6835" spans="1:40" x14ac:dyDescent="0.25">
      <c r="A6835" t="str">
        <f>"20190312164638517"</f>
        <v>20190312164638517</v>
      </c>
      <c r="B6835" t="str">
        <f>"1552380398508388"</f>
        <v>1552380398508388</v>
      </c>
      <c r="C6835" t="s">
        <v>40</v>
      </c>
      <c r="D6835">
        <v>4.9389669999999999</v>
      </c>
      <c r="E6835">
        <v>0.4840004</v>
      </c>
      <c r="F6835" t="s">
        <v>42</v>
      </c>
      <c r="G6835">
        <v>-186.80029999999999</v>
      </c>
      <c r="H6835" s="1">
        <v>-1.179965E-6</v>
      </c>
      <c r="I6835">
        <v>110.61369999999999</v>
      </c>
      <c r="J6835">
        <v>-187.80690000000001</v>
      </c>
      <c r="K6835">
        <v>1.1087400000000001</v>
      </c>
      <c r="L6835">
        <v>93.396060000000006</v>
      </c>
      <c r="M6835">
        <v>-1.2937779999999999E-2</v>
      </c>
      <c r="N6835">
        <v>0</v>
      </c>
      <c r="O6835">
        <v>0.9998532</v>
      </c>
      <c r="P6835">
        <v>0.1105404</v>
      </c>
      <c r="Q6835">
        <v>0.1394735</v>
      </c>
      <c r="R6835">
        <v>0.98403660000000004</v>
      </c>
      <c r="S6835">
        <v>0.17320250000000001</v>
      </c>
      <c r="T6835">
        <v>-0.19189310000000001</v>
      </c>
      <c r="U6835">
        <v>3.0562740000000002</v>
      </c>
      <c r="V6835">
        <v>0.1232577</v>
      </c>
      <c r="W6835">
        <v>0.15050629999999901</v>
      </c>
      <c r="X6835">
        <v>0.98089519999999997</v>
      </c>
      <c r="Y6835">
        <v>6.9382730000000004E-2</v>
      </c>
      <c r="Z6835">
        <v>-6.2529860000000007E-2</v>
      </c>
      <c r="AA6835">
        <v>0.99562850000000003</v>
      </c>
      <c r="AB6835">
        <v>29</v>
      </c>
      <c r="AC6835">
        <v>1.0066000000000199</v>
      </c>
      <c r="AD6835">
        <v>-1.108741179965</v>
      </c>
      <c r="AE6835">
        <v>17.217639999999999</v>
      </c>
      <c r="AF6835">
        <v>1.22422849696901</v>
      </c>
      <c r="AG6835">
        <v>-1.108741179965</v>
      </c>
      <c r="AH6835">
        <v>17.132372244888</v>
      </c>
      <c r="AI6835">
        <v>93.693407424022695</v>
      </c>
      <c r="AJ6835">
        <v>85.912760746248907</v>
      </c>
      <c r="AK6835">
        <v>17.211804703584999</v>
      </c>
      <c r="AL6835">
        <v>81.3437314863598</v>
      </c>
      <c r="AM6835">
        <v>82.837844717413802</v>
      </c>
      <c r="AN6835">
        <v>1.0000000001660001</v>
      </c>
    </row>
    <row r="6836" spans="1:40" x14ac:dyDescent="0.25">
      <c r="A6836" t="str">
        <f>"20190312164638538"</f>
        <v>20190312164638538</v>
      </c>
      <c r="B6836" t="str">
        <f>"1552380398527908"</f>
        <v>1552380398527908</v>
      </c>
      <c r="C6836" t="s">
        <v>40</v>
      </c>
      <c r="D6836">
        <v>4.857596</v>
      </c>
      <c r="E6836">
        <v>0.48352420000000002</v>
      </c>
      <c r="F6836" t="s">
        <v>41</v>
      </c>
      <c r="G6836">
        <v>-187.7569</v>
      </c>
      <c r="H6836">
        <v>1.053812</v>
      </c>
      <c r="I6836">
        <v>94.288979999999995</v>
      </c>
      <c r="J6836">
        <v>-187.81049999999999</v>
      </c>
      <c r="K6836">
        <v>1.108716</v>
      </c>
      <c r="L6836">
        <v>93.674840000000003</v>
      </c>
      <c r="M6836">
        <v>-1.2947129999999999E-2</v>
      </c>
      <c r="N6836">
        <v>0</v>
      </c>
      <c r="O6836">
        <v>0.99985310000000005</v>
      </c>
      <c r="P6836">
        <v>0.1114482</v>
      </c>
      <c r="Q6836">
        <v>0.13983419999999999</v>
      </c>
      <c r="R6836">
        <v>0.98388299999999995</v>
      </c>
      <c r="S6836">
        <v>0.1709137</v>
      </c>
      <c r="T6836">
        <v>-0.18798210000000001</v>
      </c>
      <c r="U6836">
        <v>3.0561219999999998</v>
      </c>
      <c r="V6836">
        <v>0.1241785</v>
      </c>
      <c r="W6836">
        <v>0.15086079999999999</v>
      </c>
      <c r="X6836">
        <v>0.98072459999999995</v>
      </c>
      <c r="Y6836">
        <v>6.8655919999999995E-2</v>
      </c>
      <c r="Z6836">
        <v>-6.126612E-2</v>
      </c>
      <c r="AA6836">
        <v>0.99575740000000001</v>
      </c>
      <c r="AB6836">
        <v>29</v>
      </c>
      <c r="AC6836">
        <v>5.3599999999988698E-2</v>
      </c>
      <c r="AD6836">
        <v>-5.4904000000000001E-2</v>
      </c>
      <c r="AE6836">
        <v>0.61414000000000601</v>
      </c>
      <c r="AF6836">
        <v>6.1063012647206802E-2</v>
      </c>
      <c r="AG6836">
        <v>-5.4904000000000001E-2</v>
      </c>
      <c r="AH6836">
        <v>0.60856740750956795</v>
      </c>
      <c r="AI6836">
        <v>95.129560393033401</v>
      </c>
      <c r="AJ6836">
        <v>84.270179574143995</v>
      </c>
      <c r="AK6836">
        <v>0.61408259233792695</v>
      </c>
      <c r="AL6836">
        <v>81.323185634022806</v>
      </c>
      <c r="AM6836">
        <v>82.783659580233206</v>
      </c>
      <c r="AN6836">
        <v>1.00000001094202</v>
      </c>
    </row>
    <row r="6837" spans="1:40" x14ac:dyDescent="0.25">
      <c r="A6837" t="str">
        <f>"20190312164638561"</f>
        <v>20190312164638561</v>
      </c>
      <c r="B6837" t="str">
        <f>"1552380398548404"</f>
        <v>1552380398548404</v>
      </c>
      <c r="C6837" t="s">
        <v>40</v>
      </c>
      <c r="D6837">
        <v>4.8079450000000001</v>
      </c>
      <c r="E6837">
        <v>0.48306389999999999</v>
      </c>
      <c r="F6837" t="s">
        <v>42</v>
      </c>
      <c r="G6837">
        <v>-186.79150000000001</v>
      </c>
      <c r="H6837" s="1">
        <v>-1.6659199999999999E-6</v>
      </c>
      <c r="I6837">
        <v>112.0348</v>
      </c>
      <c r="J6837">
        <v>-187.8141</v>
      </c>
      <c r="K6837">
        <v>1.108698</v>
      </c>
      <c r="L6837">
        <v>93.957210000000003</v>
      </c>
      <c r="M6837">
        <v>-1.293239E-2</v>
      </c>
      <c r="N6837">
        <v>0</v>
      </c>
      <c r="O6837">
        <v>0.99985329999999994</v>
      </c>
      <c r="P6837">
        <v>0.11270330000000001</v>
      </c>
      <c r="Q6837">
        <v>0.1399724</v>
      </c>
      <c r="R6837">
        <v>0.98372040000000005</v>
      </c>
      <c r="S6837">
        <v>0.16961670000000001</v>
      </c>
      <c r="T6837">
        <v>-0.184556</v>
      </c>
      <c r="U6837">
        <v>3.0561829999999999</v>
      </c>
      <c r="V6837">
        <v>0.12542229999999999</v>
      </c>
      <c r="W6837">
        <v>0.15099379999999901</v>
      </c>
      <c r="X6837">
        <v>0.98054580000000002</v>
      </c>
      <c r="Y6837">
        <v>6.8222580000000005E-2</v>
      </c>
      <c r="Z6837">
        <v>-6.0154039999999999E-2</v>
      </c>
      <c r="AA6837">
        <v>0.99585500000000005</v>
      </c>
      <c r="AB6837">
        <v>29</v>
      </c>
      <c r="AC6837">
        <v>1.02259999999998</v>
      </c>
      <c r="AD6837">
        <v>-1.1086996659199999</v>
      </c>
      <c r="AE6837">
        <v>18.077590000000001</v>
      </c>
      <c r="AF6837">
        <v>1.2516228538148999</v>
      </c>
      <c r="AG6837">
        <v>-1.1086996659199999</v>
      </c>
      <c r="AH6837">
        <v>17.995381042939201</v>
      </c>
      <c r="AI6837">
        <v>93.517074863002094</v>
      </c>
      <c r="AJ6837">
        <v>86.021345499527001</v>
      </c>
      <c r="AK6837">
        <v>18.0728944443876</v>
      </c>
      <c r="AL6837">
        <v>81.315476663656895</v>
      </c>
      <c r="AM6837">
        <v>82.710837763989801</v>
      </c>
      <c r="AN6837">
        <v>0.99999997343668401</v>
      </c>
    </row>
    <row r="6838" spans="1:40" x14ac:dyDescent="0.25">
      <c r="A6838" t="str">
        <f>"20190312164638581"</f>
        <v>20190312164638581</v>
      </c>
      <c r="B6838" t="str">
        <f>"1552380398577684"</f>
        <v>1552380398577684</v>
      </c>
      <c r="C6838" t="s">
        <v>40</v>
      </c>
      <c r="D6838">
        <v>4.822095</v>
      </c>
      <c r="E6838">
        <v>0.48249449999999999</v>
      </c>
      <c r="F6838" t="s">
        <v>42</v>
      </c>
      <c r="G6838">
        <v>-186.78049999999999</v>
      </c>
      <c r="H6838" s="1">
        <v>-1.8592929999999999E-6</v>
      </c>
      <c r="I6838">
        <v>112.59439999999999</v>
      </c>
      <c r="J6838">
        <v>-187.8176</v>
      </c>
      <c r="K6838">
        <v>1.108681</v>
      </c>
      <c r="L6838">
        <v>94.22748</v>
      </c>
      <c r="M6838">
        <v>-1.28863E-2</v>
      </c>
      <c r="N6838">
        <v>0</v>
      </c>
      <c r="O6838">
        <v>0.99985380000000001</v>
      </c>
      <c r="P6838">
        <v>0.1145635</v>
      </c>
      <c r="Q6838">
        <v>0.1399754</v>
      </c>
      <c r="R6838">
        <v>0.98350499999999996</v>
      </c>
      <c r="S6838">
        <v>0.1694946</v>
      </c>
      <c r="T6838">
        <v>-0.1818024</v>
      </c>
      <c r="U6838">
        <v>3.0560909999999999</v>
      </c>
      <c r="V6838">
        <v>0.1272414</v>
      </c>
      <c r="W6838">
        <v>0.1509886</v>
      </c>
      <c r="X6838">
        <v>0.98031219999999997</v>
      </c>
      <c r="Y6838">
        <v>6.8141530000000006E-2</v>
      </c>
      <c r="Z6838">
        <v>-5.9261750000000002E-2</v>
      </c>
      <c r="AA6838">
        <v>0.99591399999999997</v>
      </c>
      <c r="AB6838">
        <v>29</v>
      </c>
      <c r="AC6838">
        <v>1.0370999999999999</v>
      </c>
      <c r="AD6838">
        <v>-1.108682859293</v>
      </c>
      <c r="AE6838">
        <v>18.36692</v>
      </c>
      <c r="AF6838">
        <v>1.26910094874979</v>
      </c>
      <c r="AG6838">
        <v>-1.108682859293</v>
      </c>
      <c r="AH6838">
        <v>18.285614101954401</v>
      </c>
      <c r="AI6838">
        <v>93.461370957516806</v>
      </c>
      <c r="AJ6838">
        <v>86.029790944854</v>
      </c>
      <c r="AK6838">
        <v>18.363100990469999</v>
      </c>
      <c r="AL6838">
        <v>81.315778030030998</v>
      </c>
      <c r="AM6838">
        <v>82.604536410379694</v>
      </c>
      <c r="AN6838">
        <v>0.999999970336379</v>
      </c>
    </row>
    <row r="6839" spans="1:40" x14ac:dyDescent="0.25">
      <c r="A6839" t="str">
        <f>"20190312164638605"</f>
        <v>20190312164638605</v>
      </c>
      <c r="B6839" t="str">
        <f>"1552380398598180"</f>
        <v>1552380398598180</v>
      </c>
      <c r="C6839" t="s">
        <v>40</v>
      </c>
      <c r="D6839">
        <v>5.0198309999999999</v>
      </c>
      <c r="E6839">
        <v>0.48220600000000002</v>
      </c>
      <c r="F6839" t="s">
        <v>42</v>
      </c>
      <c r="G6839">
        <v>-186.77209999999999</v>
      </c>
      <c r="H6839" s="1">
        <v>-2.0361150000000001E-6</v>
      </c>
      <c r="I6839">
        <v>113.04430000000001</v>
      </c>
      <c r="J6839">
        <v>-187.82140000000001</v>
      </c>
      <c r="K6839">
        <v>1.108657</v>
      </c>
      <c r="L6839">
        <v>94.525270000000006</v>
      </c>
      <c r="M6839">
        <v>-1.27974E-2</v>
      </c>
      <c r="N6839">
        <v>0</v>
      </c>
      <c r="O6839">
        <v>0.99985500000000005</v>
      </c>
      <c r="P6839">
        <v>0.1161618</v>
      </c>
      <c r="Q6839">
        <v>0.139846</v>
      </c>
      <c r="R6839">
        <v>0.98333590000000004</v>
      </c>
      <c r="S6839">
        <v>0.169799799999999</v>
      </c>
      <c r="T6839">
        <v>-0.18006749999999999</v>
      </c>
      <c r="U6839">
        <v>3.056152</v>
      </c>
      <c r="V6839">
        <v>0.1287605</v>
      </c>
      <c r="W6839">
        <v>0.1508486</v>
      </c>
      <c r="X6839">
        <v>0.98013539999999999</v>
      </c>
      <c r="Y6839">
        <v>6.8152729999999995E-2</v>
      </c>
      <c r="Z6839">
        <v>-5.8696959999999999E-2</v>
      </c>
      <c r="AA6839">
        <v>0.99594669999999996</v>
      </c>
      <c r="AB6839">
        <v>29</v>
      </c>
      <c r="AC6839">
        <v>1.0493000000000099</v>
      </c>
      <c r="AD6839">
        <v>-1.1086590361149999</v>
      </c>
      <c r="AE6839">
        <v>18.519030000000001</v>
      </c>
      <c r="AF6839">
        <v>1.28164582320674</v>
      </c>
      <c r="AG6839">
        <v>-1.1086590361149999</v>
      </c>
      <c r="AH6839">
        <v>18.438214323304699</v>
      </c>
      <c r="AI6839">
        <v>93.432693729277602</v>
      </c>
      <c r="AJ6839">
        <v>86.023748896518995</v>
      </c>
      <c r="AK6839">
        <v>18.515925261963599</v>
      </c>
      <c r="AL6839">
        <v>81.323892502631395</v>
      </c>
      <c r="AM6839">
        <v>82.515904274861199</v>
      </c>
      <c r="AN6839">
        <v>0.99999998440768401</v>
      </c>
    </row>
    <row r="6840" spans="1:40" x14ac:dyDescent="0.25">
      <c r="A6840" t="str">
        <f>"20190312164638628"</f>
        <v>20190312164638628</v>
      </c>
      <c r="B6840" t="str">
        <f>"1552380398617709"</f>
        <v>1552380398617709</v>
      </c>
      <c r="C6840" t="s">
        <v>40</v>
      </c>
      <c r="D6840">
        <v>4.8914090000000003</v>
      </c>
      <c r="E6840">
        <v>0.48193229999999998</v>
      </c>
      <c r="F6840" t="s">
        <v>42</v>
      </c>
      <c r="G6840">
        <v>-186.7621</v>
      </c>
      <c r="H6840" s="1">
        <v>-2.1564880000000001E-6</v>
      </c>
      <c r="I6840">
        <v>113.32080000000001</v>
      </c>
      <c r="J6840">
        <v>-187.8252</v>
      </c>
      <c r="K6840">
        <v>1.1086229999999999</v>
      </c>
      <c r="L6840">
        <v>94.832059999999998</v>
      </c>
      <c r="M6840">
        <v>-1.266573E-2</v>
      </c>
      <c r="N6840">
        <v>0</v>
      </c>
      <c r="O6840">
        <v>0.99985670000000004</v>
      </c>
      <c r="P6840">
        <v>0.1179161</v>
      </c>
      <c r="Q6840">
        <v>0.1400276</v>
      </c>
      <c r="R6840">
        <v>0.98310120000000001</v>
      </c>
      <c r="S6840">
        <v>0.17224120000000001</v>
      </c>
      <c r="T6840">
        <v>-0.18026829999999999</v>
      </c>
      <c r="U6840">
        <v>3.056152</v>
      </c>
      <c r="V6840">
        <v>0.13039519999999999</v>
      </c>
      <c r="W6840">
        <v>0.15101689999999901</v>
      </c>
      <c r="X6840">
        <v>0.97989329999999997</v>
      </c>
      <c r="Y6840">
        <v>6.8814249999999993E-2</v>
      </c>
      <c r="Z6840">
        <v>-5.8759680000000002E-2</v>
      </c>
      <c r="AA6840">
        <v>0.99589749999999999</v>
      </c>
      <c r="AB6840">
        <v>29</v>
      </c>
      <c r="AC6840">
        <v>1.0630999999999899</v>
      </c>
      <c r="AD6840">
        <v>-1.1086251564880001</v>
      </c>
      <c r="AE6840">
        <v>18.48874</v>
      </c>
      <c r="AF6840">
        <v>1.2925708001726499</v>
      </c>
      <c r="AG6840">
        <v>-1.1086251564880001</v>
      </c>
      <c r="AH6840">
        <v>18.407824426521199</v>
      </c>
      <c r="AI6840">
        <v>93.438073542717206</v>
      </c>
      <c r="AJ6840">
        <v>85.983366128422801</v>
      </c>
      <c r="AK6840">
        <v>18.486421750265499</v>
      </c>
      <c r="AL6840">
        <v>81.314137536369699</v>
      </c>
      <c r="AM6840">
        <v>82.420135606166099</v>
      </c>
      <c r="AN6840">
        <v>0.99999994582676799</v>
      </c>
    </row>
    <row r="6841" spans="1:40" x14ac:dyDescent="0.25">
      <c r="A6841" t="str">
        <f>"20190312164638649"</f>
        <v>20190312164638649</v>
      </c>
      <c r="B6841" t="str">
        <f>"1552380398638199"</f>
        <v>1552380398638199</v>
      </c>
      <c r="C6841" t="s">
        <v>40</v>
      </c>
      <c r="D6841">
        <v>5.0239969999999996</v>
      </c>
      <c r="E6841">
        <v>0.48172530000000002</v>
      </c>
      <c r="F6841" t="s">
        <v>42</v>
      </c>
      <c r="G6841">
        <v>-186.74520000000001</v>
      </c>
      <c r="H6841" s="1">
        <v>-2.2776480000000001E-6</v>
      </c>
      <c r="I6841">
        <v>113.5962</v>
      </c>
      <c r="J6841">
        <v>-187.82849999999999</v>
      </c>
      <c r="K6841">
        <v>1.1085929999999999</v>
      </c>
      <c r="L6841">
        <v>95.107600000000005</v>
      </c>
      <c r="M6841">
        <v>-1.250941E-2</v>
      </c>
      <c r="N6841">
        <v>0</v>
      </c>
      <c r="O6841">
        <v>0.99985860000000004</v>
      </c>
      <c r="P6841">
        <v>0.1204269</v>
      </c>
      <c r="Q6841">
        <v>0.1400227</v>
      </c>
      <c r="R6841">
        <v>0.98279760000000005</v>
      </c>
      <c r="S6841">
        <v>0.17590329999999901</v>
      </c>
      <c r="T6841">
        <v>-0.1805657</v>
      </c>
      <c r="U6841">
        <v>3.0561829999999999</v>
      </c>
      <c r="V6841">
        <v>0.13276019999999999</v>
      </c>
      <c r="W6841">
        <v>0.15099849999999901</v>
      </c>
      <c r="X6841">
        <v>0.97957859999999997</v>
      </c>
      <c r="Y6841">
        <v>6.9846859999999997E-2</v>
      </c>
      <c r="Z6841">
        <v>-5.8851769999999998E-2</v>
      </c>
      <c r="AA6841">
        <v>0.99582020000000004</v>
      </c>
      <c r="AB6841">
        <v>29</v>
      </c>
      <c r="AC6841">
        <v>1.0832999999999799</v>
      </c>
      <c r="AD6841">
        <v>-1.1085952776479999</v>
      </c>
      <c r="AE6841">
        <v>18.488599999999899</v>
      </c>
      <c r="AF6841">
        <v>1.3098182012352599</v>
      </c>
      <c r="AG6841">
        <v>-1.1085952776479999</v>
      </c>
      <c r="AH6841">
        <v>18.407645850249299</v>
      </c>
      <c r="AI6841">
        <v>93.437788189576494</v>
      </c>
      <c r="AJ6841">
        <v>85.929909814888305</v>
      </c>
      <c r="AK6841">
        <v>18.487456097530298</v>
      </c>
      <c r="AL6841">
        <v>81.315204706985597</v>
      </c>
      <c r="AM6841">
        <v>82.281850998783398</v>
      </c>
      <c r="AN6841">
        <v>1.00000002564212</v>
      </c>
    </row>
    <row r="6842" spans="1:40" x14ac:dyDescent="0.25">
      <c r="A6842" t="str">
        <f>"20190312164638670"</f>
        <v>20190312164638670</v>
      </c>
      <c r="B6842" t="str">
        <f>"1552380398668451"</f>
        <v>1552380398668451</v>
      </c>
      <c r="C6842" t="s">
        <v>40</v>
      </c>
      <c r="D6842">
        <v>4.9343260000000004</v>
      </c>
      <c r="E6842">
        <v>0.48147269999999998</v>
      </c>
      <c r="F6842" t="s">
        <v>41</v>
      </c>
      <c r="G6842">
        <v>-187.7698</v>
      </c>
      <c r="H6842">
        <v>1.0500149999999999</v>
      </c>
      <c r="I6842">
        <v>96.092160000000007</v>
      </c>
      <c r="J6842">
        <v>-187.83160000000001</v>
      </c>
      <c r="K6842">
        <v>1.108562</v>
      </c>
      <c r="L6842">
        <v>95.377989999999997</v>
      </c>
      <c r="M6842">
        <v>-1.2321739999999999E-2</v>
      </c>
      <c r="N6842">
        <v>0</v>
      </c>
      <c r="O6842">
        <v>0.99986090000000005</v>
      </c>
      <c r="P6842">
        <v>0.1234406</v>
      </c>
      <c r="Q6842">
        <v>0.14023640000000001</v>
      </c>
      <c r="R6842">
        <v>0.98239310000000002</v>
      </c>
      <c r="S6842">
        <v>0.18122859999999999</v>
      </c>
      <c r="T6842">
        <v>-0.18191370000000001</v>
      </c>
      <c r="U6842">
        <v>3.0562130000000001</v>
      </c>
      <c r="V6842">
        <v>0.13559499999999999</v>
      </c>
      <c r="W6842">
        <v>0.1511979</v>
      </c>
      <c r="X6842">
        <v>0.97915940000000001</v>
      </c>
      <c r="Y6842">
        <v>7.1386710000000006E-2</v>
      </c>
      <c r="Z6842">
        <v>-5.9282969999999997E-2</v>
      </c>
      <c r="AA6842">
        <v>0.99568540000000005</v>
      </c>
      <c r="AB6842">
        <v>29</v>
      </c>
      <c r="AC6842">
        <v>6.1800000000005101E-2</v>
      </c>
      <c r="AD6842">
        <v>-5.8547000000000099E-2</v>
      </c>
      <c r="AE6842">
        <v>0.71416999999999498</v>
      </c>
      <c r="AF6842">
        <v>7.0127884479255095E-2</v>
      </c>
      <c r="AG6842">
        <v>-5.8547000000000099E-2</v>
      </c>
      <c r="AH6842">
        <v>0.708627262328407</v>
      </c>
      <c r="AI6842">
        <v>94.700211019686506</v>
      </c>
      <c r="AJ6842">
        <v>84.348239953587296</v>
      </c>
      <c r="AK6842">
        <v>0.71449161528011595</v>
      </c>
      <c r="AL6842">
        <v>81.303646745291402</v>
      </c>
      <c r="AM6842">
        <v>82.115765040004703</v>
      </c>
      <c r="AN6842">
        <v>0.99999996979888395</v>
      </c>
    </row>
    <row r="6843" spans="1:40" x14ac:dyDescent="0.25">
      <c r="A6843" t="str">
        <f>"20190312164638694"</f>
        <v>20190312164638694</v>
      </c>
      <c r="B6843" t="str">
        <f>"1552380398687972"</f>
        <v>1552380398687972</v>
      </c>
      <c r="C6843" t="s">
        <v>40</v>
      </c>
      <c r="D6843">
        <v>5.0960760000000001</v>
      </c>
      <c r="E6843">
        <v>0.48116179999999997</v>
      </c>
      <c r="F6843" t="s">
        <v>41</v>
      </c>
      <c r="G6843">
        <v>-187.77180000000001</v>
      </c>
      <c r="H6843">
        <v>1.05063</v>
      </c>
      <c r="I6843">
        <v>96.351349999999996</v>
      </c>
      <c r="J6843">
        <v>-187.83529999999999</v>
      </c>
      <c r="K6843">
        <v>1.1085370000000001</v>
      </c>
      <c r="L6843">
        <v>95.691410000000005</v>
      </c>
      <c r="M6843">
        <v>-1.207079E-2</v>
      </c>
      <c r="N6843">
        <v>0</v>
      </c>
      <c r="O6843">
        <v>0.99986399999999998</v>
      </c>
      <c r="P6843">
        <v>0.12659020000000001</v>
      </c>
      <c r="Q6843">
        <v>0.13956679999999999</v>
      </c>
      <c r="R6843">
        <v>0.98208759999999995</v>
      </c>
      <c r="S6843">
        <v>0.18780520000000001</v>
      </c>
      <c r="T6843">
        <v>-0.18190870000000001</v>
      </c>
      <c r="U6843">
        <v>3.056152</v>
      </c>
      <c r="V6843">
        <v>0.1385034</v>
      </c>
      <c r="W6843">
        <v>0.15051619999999999</v>
      </c>
      <c r="X6843">
        <v>0.97885730000000004</v>
      </c>
      <c r="Y6843">
        <v>7.327227E-2</v>
      </c>
      <c r="Z6843">
        <v>-5.9274899999999998E-2</v>
      </c>
      <c r="AA6843">
        <v>0.99554889999999996</v>
      </c>
      <c r="AB6843">
        <v>29</v>
      </c>
      <c r="AC6843">
        <v>6.3499999999976298E-2</v>
      </c>
      <c r="AD6843">
        <v>-5.7907000000000097E-2</v>
      </c>
      <c r="AE6843">
        <v>0.65993999999999098</v>
      </c>
      <c r="AF6843">
        <v>7.0920839137921798E-2</v>
      </c>
      <c r="AG6843">
        <v>-5.7907000000000097E-2</v>
      </c>
      <c r="AH6843">
        <v>0.65413516635144298</v>
      </c>
      <c r="AI6843">
        <v>95.029572145556799</v>
      </c>
      <c r="AJ6843">
        <v>83.812204751745</v>
      </c>
      <c r="AK6843">
        <v>0.66051177274190698</v>
      </c>
      <c r="AL6843">
        <v>81.343157424110501</v>
      </c>
      <c r="AM6843">
        <v>81.946397108838696</v>
      </c>
      <c r="AN6843">
        <v>0.99999996601864405</v>
      </c>
    </row>
    <row r="6844" spans="1:40" x14ac:dyDescent="0.25">
      <c r="A6844" t="str">
        <f>"20190312164638719"</f>
        <v>20190312164638719</v>
      </c>
      <c r="B6844" t="str">
        <f>"1552380398708468"</f>
        <v>1552380398708468</v>
      </c>
      <c r="C6844" t="s">
        <v>40</v>
      </c>
      <c r="D6844">
        <v>4.9598610000000001</v>
      </c>
      <c r="E6844">
        <v>0.4810933</v>
      </c>
      <c r="F6844" t="s">
        <v>41</v>
      </c>
      <c r="G6844">
        <v>-187.77610000000001</v>
      </c>
      <c r="H6844">
        <v>1.053458</v>
      </c>
      <c r="I6844">
        <v>96.612669999999994</v>
      </c>
      <c r="J6844">
        <v>-187.83869999999999</v>
      </c>
      <c r="K6844">
        <v>1.108508</v>
      </c>
      <c r="L6844">
        <v>96.000789999999995</v>
      </c>
      <c r="M6844">
        <v>-1.179557E-2</v>
      </c>
      <c r="N6844">
        <v>0</v>
      </c>
      <c r="O6844">
        <v>0.99986730000000001</v>
      </c>
      <c r="P6844">
        <v>0.12978700000000001</v>
      </c>
      <c r="Q6844">
        <v>0.13941709999999999</v>
      </c>
      <c r="R6844">
        <v>0.98169150000000005</v>
      </c>
      <c r="S6844">
        <v>0.19541929999999999</v>
      </c>
      <c r="T6844">
        <v>-0.18274260000000001</v>
      </c>
      <c r="U6844">
        <v>3.0554809999999999</v>
      </c>
      <c r="V6844">
        <v>0.14143259999999999</v>
      </c>
      <c r="W6844">
        <v>0.15035499999999999</v>
      </c>
      <c r="X6844">
        <v>0.97846319999999998</v>
      </c>
      <c r="Y6844">
        <v>7.5481080000000006E-2</v>
      </c>
      <c r="Z6844">
        <v>-5.9549419999999999E-2</v>
      </c>
      <c r="AA6844">
        <v>0.99536749999999996</v>
      </c>
      <c r="AB6844">
        <v>29</v>
      </c>
      <c r="AC6844">
        <v>6.2599999999974898E-2</v>
      </c>
      <c r="AD6844">
        <v>-5.5050000000000002E-2</v>
      </c>
      <c r="AE6844">
        <v>0.61187999999998499</v>
      </c>
      <c r="AF6844">
        <v>6.9258775390358199E-2</v>
      </c>
      <c r="AG6844">
        <v>-5.5050000000000002E-2</v>
      </c>
      <c r="AH6844">
        <v>0.60624266502077595</v>
      </c>
      <c r="AI6844">
        <v>95.155176792528096</v>
      </c>
      <c r="AJ6844">
        <v>83.482633216255493</v>
      </c>
      <c r="AK6844">
        <v>0.61266422236006601</v>
      </c>
      <c r="AL6844">
        <v>81.3525002932723</v>
      </c>
      <c r="AM6844">
        <v>81.775110649514701</v>
      </c>
      <c r="AN6844">
        <v>1.000000020061</v>
      </c>
    </row>
    <row r="6845" spans="1:40" x14ac:dyDescent="0.25">
      <c r="A6845" t="str">
        <f>"20190312164638738"</f>
        <v>20190312164638738</v>
      </c>
      <c r="B6845" t="str">
        <f>"1552380398727988"</f>
        <v>1552380398727988</v>
      </c>
      <c r="C6845" t="s">
        <v>40</v>
      </c>
      <c r="D6845">
        <v>5.1210199999999997</v>
      </c>
      <c r="E6845">
        <v>0.52319780000000005</v>
      </c>
      <c r="F6845" t="s">
        <v>42</v>
      </c>
      <c r="G6845">
        <v>-186.5917</v>
      </c>
      <c r="H6845" s="1">
        <v>-2.7412300000000001E-6</v>
      </c>
      <c r="I6845">
        <v>114.6133</v>
      </c>
      <c r="J6845">
        <v>-187.8416</v>
      </c>
      <c r="K6845">
        <v>1.1084879999999999</v>
      </c>
      <c r="L6845">
        <v>96.267030000000005</v>
      </c>
      <c r="M6845">
        <v>-1.153965E-2</v>
      </c>
      <c r="N6845">
        <v>0</v>
      </c>
      <c r="O6845">
        <v>0.99987020000000004</v>
      </c>
      <c r="P6845">
        <v>0.1338384</v>
      </c>
      <c r="Q6845">
        <v>0.1395497</v>
      </c>
      <c r="R6845">
        <v>0.98112849999999996</v>
      </c>
      <c r="S6845">
        <v>0.20466609999999999</v>
      </c>
      <c r="T6845">
        <v>-0.18193210000000001</v>
      </c>
      <c r="U6845">
        <v>3.0547490000000002</v>
      </c>
      <c r="V6845">
        <v>0.14523179999999999</v>
      </c>
      <c r="W6845">
        <v>0.15047430000000001</v>
      </c>
      <c r="X6845">
        <v>0.97788810000000004</v>
      </c>
      <c r="Y6845">
        <v>7.8241959999999999E-2</v>
      </c>
      <c r="Z6845">
        <v>-5.9288489999999999E-2</v>
      </c>
      <c r="AA6845">
        <v>0.99516990000000005</v>
      </c>
      <c r="AB6845">
        <v>29</v>
      </c>
      <c r="AC6845">
        <v>1.24989999999999</v>
      </c>
      <c r="AD6845">
        <v>-1.10849074123</v>
      </c>
      <c r="AE6845">
        <v>18.346269999999901</v>
      </c>
      <c r="AF6845">
        <v>1.45624801326742</v>
      </c>
      <c r="AG6845">
        <v>-1.10849074123</v>
      </c>
      <c r="AH6845">
        <v>18.264255845753699</v>
      </c>
      <c r="AI6845">
        <v>93.462163750727996</v>
      </c>
      <c r="AJ6845">
        <v>85.441329309027196</v>
      </c>
      <c r="AK6845">
        <v>18.355719860541701</v>
      </c>
      <c r="AL6845">
        <v>81.345585751710004</v>
      </c>
      <c r="AM6845">
        <v>81.552421498439301</v>
      </c>
      <c r="AN6845">
        <v>0.99999996340666897</v>
      </c>
    </row>
    <row r="6846" spans="1:40" x14ac:dyDescent="0.25">
      <c r="A6846" t="str">
        <f>"20190312164638760"</f>
        <v>20190312164638760</v>
      </c>
      <c r="B6846" t="str">
        <f>"1552380398748487"</f>
        <v>1552380398748487</v>
      </c>
      <c r="C6846" t="s">
        <v>40</v>
      </c>
      <c r="D6846">
        <v>4.9992150000000004</v>
      </c>
      <c r="E6846">
        <v>0.53871279999999999</v>
      </c>
      <c r="F6846" t="s">
        <v>41</v>
      </c>
      <c r="G6846">
        <v>-187.69130000000001</v>
      </c>
      <c r="H6846">
        <v>1.0117449999999999</v>
      </c>
      <c r="I6846">
        <v>97.109530000000007</v>
      </c>
      <c r="J6846">
        <v>-187.84440000000001</v>
      </c>
      <c r="K6846">
        <v>1.108468</v>
      </c>
      <c r="L6846">
        <v>96.535679999999999</v>
      </c>
      <c r="M6846">
        <v>-1.126387E-2</v>
      </c>
      <c r="N6846">
        <v>0</v>
      </c>
      <c r="O6846">
        <v>0.99987340000000002</v>
      </c>
      <c r="P6846">
        <v>0.137755399999999</v>
      </c>
      <c r="Q6846">
        <v>0.13964079999999901</v>
      </c>
      <c r="R6846">
        <v>0.98057320000000003</v>
      </c>
      <c r="S6846">
        <v>0.54055790000000004</v>
      </c>
      <c r="T6846">
        <v>-0.348356</v>
      </c>
      <c r="U6846">
        <v>3.0335079999999999</v>
      </c>
      <c r="V6846">
        <v>0.14887790000000001</v>
      </c>
      <c r="W6846">
        <v>0.15055250000000001</v>
      </c>
      <c r="X6846">
        <v>0.97732759999999996</v>
      </c>
      <c r="Y6846">
        <v>0.18540209999999999</v>
      </c>
      <c r="Z6846">
        <v>-0.1122136</v>
      </c>
      <c r="AA6846">
        <v>0.97623470000000001</v>
      </c>
      <c r="AB6846">
        <v>29</v>
      </c>
      <c r="AC6846">
        <v>0.15309999999999399</v>
      </c>
      <c r="AD6846">
        <v>-9.6722999999999795E-2</v>
      </c>
      <c r="AE6846">
        <v>0.57385000000000697</v>
      </c>
      <c r="AF6846">
        <v>0.155432148822362</v>
      </c>
      <c r="AG6846">
        <v>-9.6722999999999795E-2</v>
      </c>
      <c r="AH6846">
        <v>0.55730824762238296</v>
      </c>
      <c r="AI6846">
        <v>99.490595242300898</v>
      </c>
      <c r="AJ6846">
        <v>74.416320586691498</v>
      </c>
      <c r="AK6846">
        <v>0.58660631984702305</v>
      </c>
      <c r="AL6846">
        <v>81.341053570446405</v>
      </c>
      <c r="AM6846">
        <v>81.338626785706197</v>
      </c>
      <c r="AN6846">
        <v>0.99999996104320898</v>
      </c>
    </row>
    <row r="6847" spans="1:40" x14ac:dyDescent="0.25">
      <c r="A6847" t="str">
        <f>"20190312164638783"</f>
        <v>20190312164638783</v>
      </c>
      <c r="B6847" t="str">
        <f>"1552380398777764"</f>
        <v>1552380398777764</v>
      </c>
      <c r="C6847" t="s">
        <v>40</v>
      </c>
      <c r="D6847">
        <v>4.7272040000000004</v>
      </c>
      <c r="E6847">
        <v>0.54455959999999903</v>
      </c>
      <c r="F6847" t="s">
        <v>42</v>
      </c>
      <c r="G6847">
        <v>-184.96559999999999</v>
      </c>
      <c r="H6847" s="1">
        <v>-5.0143539999999998E-6</v>
      </c>
      <c r="I6847">
        <v>109.2397</v>
      </c>
      <c r="J6847">
        <v>-187.84739999999999</v>
      </c>
      <c r="K6847">
        <v>1.1084529999999999</v>
      </c>
      <c r="L6847">
        <v>96.841340000000002</v>
      </c>
      <c r="M6847">
        <v>-1.092798E-2</v>
      </c>
      <c r="N6847">
        <v>0</v>
      </c>
      <c r="O6847">
        <v>0.99987700000000002</v>
      </c>
      <c r="P6847">
        <v>0.1418324</v>
      </c>
      <c r="Q6847">
        <v>0.14010069999999999</v>
      </c>
      <c r="R6847">
        <v>0.97992619999999997</v>
      </c>
      <c r="S6847">
        <v>0.68008419999999903</v>
      </c>
      <c r="T6847">
        <v>-0.26186500000000001</v>
      </c>
      <c r="U6847">
        <v>3.0011899999999998</v>
      </c>
      <c r="V6847">
        <v>0.15262619999999999</v>
      </c>
      <c r="W6847">
        <v>0.15100039999999901</v>
      </c>
      <c r="X6847">
        <v>0.9766802</v>
      </c>
      <c r="Y6847">
        <v>0.23085259999999999</v>
      </c>
      <c r="Z6847">
        <v>-8.4676119999999994E-2</v>
      </c>
      <c r="AA6847">
        <v>0.96929719999999997</v>
      </c>
      <c r="AB6847">
        <v>29</v>
      </c>
      <c r="AC6847">
        <v>2.8817999999999899</v>
      </c>
      <c r="AD6847">
        <v>-1.1084580143539999</v>
      </c>
      <c r="AE6847">
        <v>12.398359999999901</v>
      </c>
      <c r="AF6847">
        <v>2.9944179021814801</v>
      </c>
      <c r="AG6847">
        <v>-1.1084580143539999</v>
      </c>
      <c r="AH6847">
        <v>12.273054933996001</v>
      </c>
      <c r="AI6847">
        <v>95.014437529972696</v>
      </c>
      <c r="AJ6847">
        <v>76.288677418090501</v>
      </c>
      <c r="AK6847">
        <v>12.6816045970285</v>
      </c>
      <c r="AL6847">
        <v>81.315094755216606</v>
      </c>
      <c r="AM6847">
        <v>81.118200191488995</v>
      </c>
      <c r="AN6847">
        <v>1.0000000453993101</v>
      </c>
    </row>
    <row r="6848" spans="1:40" x14ac:dyDescent="0.25">
      <c r="A6848" t="str">
        <f>"20190312164638805"</f>
        <v>20190312164638805</v>
      </c>
      <c r="B6848" t="str">
        <f>"1552380398798260"</f>
        <v>1552380398798260</v>
      </c>
      <c r="C6848" t="s">
        <v>40</v>
      </c>
      <c r="D6848">
        <v>4.8353599999999997</v>
      </c>
      <c r="E6848">
        <v>0.54520100000000005</v>
      </c>
      <c r="F6848" t="s">
        <v>42</v>
      </c>
      <c r="G6848">
        <v>-184.3432</v>
      </c>
      <c r="H6848" s="1">
        <v>-1.9646019999999998E-6</v>
      </c>
      <c r="I6848">
        <v>110.9982</v>
      </c>
      <c r="J6848">
        <v>-187.8502</v>
      </c>
      <c r="K6848">
        <v>1.1084369999999999</v>
      </c>
      <c r="L6848">
        <v>97.124690000000001</v>
      </c>
      <c r="M6848">
        <v>-1.0593160000000001E-2</v>
      </c>
      <c r="N6848">
        <v>0</v>
      </c>
      <c r="O6848">
        <v>0.99988060000000001</v>
      </c>
      <c r="P6848">
        <v>0.14571979999999901</v>
      </c>
      <c r="Q6848">
        <v>0.1399831</v>
      </c>
      <c r="R6848">
        <v>0.97937249999999998</v>
      </c>
      <c r="S6848">
        <v>0.73959350000000001</v>
      </c>
      <c r="T6848">
        <v>-0.23394319999999999</v>
      </c>
      <c r="U6848">
        <v>2.987854</v>
      </c>
      <c r="V6848">
        <v>0.15618760000000001</v>
      </c>
      <c r="W6848">
        <v>0.15087449999999999</v>
      </c>
      <c r="X6848">
        <v>0.97613640000000002</v>
      </c>
      <c r="Y6848">
        <v>0.2498618</v>
      </c>
      <c r="Z6848">
        <v>-7.567931E-2</v>
      </c>
      <c r="AA6848">
        <v>0.9653195</v>
      </c>
      <c r="AB6848">
        <v>29</v>
      </c>
      <c r="AC6848">
        <v>3.5070000000000001</v>
      </c>
      <c r="AD6848">
        <v>-1.1084389646019901</v>
      </c>
      <c r="AE6848">
        <v>13.8735099999999</v>
      </c>
      <c r="AF6848">
        <v>3.63198495733231</v>
      </c>
      <c r="AG6848">
        <v>-1.1084389646019901</v>
      </c>
      <c r="AH6848">
        <v>13.7530607472728</v>
      </c>
      <c r="AI6848">
        <v>94.455730950295901</v>
      </c>
      <c r="AJ6848">
        <v>75.206738849392494</v>
      </c>
      <c r="AK6848">
        <v>14.267677862452301</v>
      </c>
      <c r="AL6848">
        <v>81.322391290085093</v>
      </c>
      <c r="AM6848">
        <v>80.909392511112301</v>
      </c>
      <c r="AN6848">
        <v>0.999999976274484</v>
      </c>
    </row>
    <row r="6849" spans="1:40" x14ac:dyDescent="0.25">
      <c r="A6849" t="str">
        <f>"20190312164638827"</f>
        <v>20190312164638827</v>
      </c>
      <c r="B6849" t="str">
        <f>"1552380398817780"</f>
        <v>1552380398817780</v>
      </c>
      <c r="C6849" t="s">
        <v>40</v>
      </c>
      <c r="D6849">
        <v>4.9735370000000003</v>
      </c>
      <c r="E6849">
        <v>0.54614689999999999</v>
      </c>
      <c r="F6849" t="s">
        <v>42</v>
      </c>
      <c r="G6849">
        <v>-183.9066</v>
      </c>
      <c r="H6849" s="1">
        <v>-2.6414240000000001E-6</v>
      </c>
      <c r="I6849">
        <v>112.64570000000001</v>
      </c>
      <c r="J6849">
        <v>-187.85290000000001</v>
      </c>
      <c r="K6849">
        <v>1.108417</v>
      </c>
      <c r="L6849">
        <v>97.420529999999999</v>
      </c>
      <c r="M6849">
        <v>-1.0214569999999999E-2</v>
      </c>
      <c r="N6849">
        <v>0</v>
      </c>
      <c r="O6849">
        <v>0.99988440000000001</v>
      </c>
      <c r="P6849">
        <v>0.1495812</v>
      </c>
      <c r="Q6849">
        <v>0.1398587</v>
      </c>
      <c r="R6849">
        <v>0.97880800000000001</v>
      </c>
      <c r="S6849">
        <v>0.75740050000000003</v>
      </c>
      <c r="T6849">
        <v>-0.21288389999999999</v>
      </c>
      <c r="U6849">
        <v>2.9809269999999999</v>
      </c>
      <c r="V6849">
        <v>0.1596815</v>
      </c>
      <c r="W6849">
        <v>0.15074009999999999</v>
      </c>
      <c r="X6849">
        <v>0.97559169999999995</v>
      </c>
      <c r="Y6849">
        <v>0.25555889999999998</v>
      </c>
      <c r="Z6849">
        <v>-6.8955530000000001E-2</v>
      </c>
      <c r="AA6849">
        <v>0.9643313</v>
      </c>
      <c r="AB6849">
        <v>29</v>
      </c>
      <c r="AC6849">
        <v>3.9462999999999999</v>
      </c>
      <c r="AD6849">
        <v>-1.108419641424</v>
      </c>
      <c r="AE6849">
        <v>15.22517</v>
      </c>
      <c r="AF6849">
        <v>4.0813527192212398</v>
      </c>
      <c r="AG6849">
        <v>-1.108419641424</v>
      </c>
      <c r="AH6849">
        <v>15.1090251755964</v>
      </c>
      <c r="AI6849">
        <v>94.051094407368893</v>
      </c>
      <c r="AJ6849">
        <v>74.883653284418401</v>
      </c>
      <c r="AK6849">
        <v>15.689763410485099</v>
      </c>
      <c r="AL6849">
        <v>81.3301808083814</v>
      </c>
      <c r="AM6849">
        <v>80.704448017716601</v>
      </c>
      <c r="AN6849">
        <v>0.99999996214957398</v>
      </c>
    </row>
    <row r="6850" spans="1:40" x14ac:dyDescent="0.25">
      <c r="A6850" t="str">
        <f>"20190312164638849"</f>
        <v>20190312164638849</v>
      </c>
      <c r="B6850" t="str">
        <f>"1552380398838280"</f>
        <v>1552380398838280</v>
      </c>
      <c r="C6850" t="s">
        <v>40</v>
      </c>
      <c r="D6850">
        <v>4.8431540000000002</v>
      </c>
      <c r="E6850">
        <v>0.54636499999999999</v>
      </c>
      <c r="F6850" t="s">
        <v>42</v>
      </c>
      <c r="G6850">
        <v>-183.5472</v>
      </c>
      <c r="H6850" s="1">
        <v>-3.1668310000000001E-6</v>
      </c>
      <c r="I6850">
        <v>113.90860000000001</v>
      </c>
      <c r="J6850">
        <v>-187.8553</v>
      </c>
      <c r="K6850">
        <v>1.1083909999999999</v>
      </c>
      <c r="L6850">
        <v>97.694730000000007</v>
      </c>
      <c r="M6850">
        <v>-9.8299019999999997E-3</v>
      </c>
      <c r="N6850">
        <v>0</v>
      </c>
      <c r="O6850">
        <v>0.9998882</v>
      </c>
      <c r="P6850">
        <v>0.15349549999999901</v>
      </c>
      <c r="Q6850">
        <v>0.14026939999999999</v>
      </c>
      <c r="R6850">
        <v>0.97814299999999998</v>
      </c>
      <c r="S6850">
        <v>0.77684019999999898</v>
      </c>
      <c r="T6850">
        <v>-0.19998160000000001</v>
      </c>
      <c r="U6850">
        <v>2.9747919999999999</v>
      </c>
      <c r="V6850">
        <v>0.1632226</v>
      </c>
      <c r="W6850">
        <v>0.15113889999999999</v>
      </c>
      <c r="X6850">
        <v>0.97494380000000003</v>
      </c>
      <c r="Y6850">
        <v>0.26163540000000002</v>
      </c>
      <c r="Z6850">
        <v>-6.4818790000000001E-2</v>
      </c>
      <c r="AA6850">
        <v>0.96298779999999995</v>
      </c>
      <c r="AB6850">
        <v>29</v>
      </c>
      <c r="AC6850">
        <v>4.3080999999999898</v>
      </c>
      <c r="AD6850">
        <v>-1.108394166831</v>
      </c>
      <c r="AE6850">
        <v>16.21387</v>
      </c>
      <c r="AF6850">
        <v>4.4478675785732902</v>
      </c>
      <c r="AG6850">
        <v>-1.108394166831</v>
      </c>
      <c r="AH6850">
        <v>16.1004564984338</v>
      </c>
      <c r="AI6850">
        <v>93.796401536829194</v>
      </c>
      <c r="AJ6850">
        <v>74.556800676027905</v>
      </c>
      <c r="AK6850">
        <v>16.740273686040801</v>
      </c>
      <c r="AL6850">
        <v>81.307066749271101</v>
      </c>
      <c r="AM6850">
        <v>80.495829071604803</v>
      </c>
      <c r="AN6850">
        <v>0.99999999870120404</v>
      </c>
    </row>
    <row r="6851" spans="1:40" x14ac:dyDescent="0.25">
      <c r="A6851" t="str">
        <f>"20190312164638873"</f>
        <v>20190312164638873</v>
      </c>
      <c r="B6851" t="str">
        <f>"1552380398868531"</f>
        <v>1552380398868531</v>
      </c>
      <c r="C6851" t="s">
        <v>40</v>
      </c>
      <c r="D6851">
        <v>4.9115679999999999</v>
      </c>
      <c r="E6851">
        <v>0.54670189999999996</v>
      </c>
      <c r="F6851" t="s">
        <v>42</v>
      </c>
      <c r="G6851">
        <v>-183.6636</v>
      </c>
      <c r="H6851" s="1">
        <v>-2.9938239999999998E-6</v>
      </c>
      <c r="I6851">
        <v>113.4913</v>
      </c>
      <c r="J6851">
        <v>-187.85769999999999</v>
      </c>
      <c r="K6851">
        <v>1.1083689999999999</v>
      </c>
      <c r="L6851">
        <v>97.991969999999995</v>
      </c>
      <c r="M6851">
        <v>-9.3712440000000008E-3</v>
      </c>
      <c r="N6851">
        <v>0</v>
      </c>
      <c r="O6851">
        <v>0.99989240000000001</v>
      </c>
      <c r="P6851">
        <v>0.15773219999999999</v>
      </c>
      <c r="Q6851">
        <v>0.14148050000000001</v>
      </c>
      <c r="R6851">
        <v>0.97729410000000005</v>
      </c>
      <c r="S6851">
        <v>0.78894039999999999</v>
      </c>
      <c r="T6851">
        <v>-0.20861650000000001</v>
      </c>
      <c r="U6851">
        <v>2.9731450000000001</v>
      </c>
      <c r="V6851">
        <v>0.1670152</v>
      </c>
      <c r="W6851">
        <v>0.1523399</v>
      </c>
      <c r="X6851">
        <v>0.97411420000000004</v>
      </c>
      <c r="Y6851">
        <v>0.264939799999999</v>
      </c>
      <c r="Z6851">
        <v>-6.7575830000000003E-2</v>
      </c>
      <c r="AA6851">
        <v>0.96189420000000003</v>
      </c>
      <c r="AB6851">
        <v>29</v>
      </c>
      <c r="AC6851">
        <v>4.1940999999999899</v>
      </c>
      <c r="AD6851">
        <v>-1.108371993824</v>
      </c>
      <c r="AE6851">
        <v>15.499329999999899</v>
      </c>
      <c r="AF6851">
        <v>4.3185953320240298</v>
      </c>
      <c r="AG6851">
        <v>-1.108371993824</v>
      </c>
      <c r="AH6851">
        <v>15.3860297893386</v>
      </c>
      <c r="AI6851">
        <v>93.967524792814402</v>
      </c>
      <c r="AJ6851">
        <v>74.321477701804497</v>
      </c>
      <c r="AK6851">
        <v>16.0190095448155</v>
      </c>
      <c r="AL6851">
        <v>81.237448367241996</v>
      </c>
      <c r="AM6851">
        <v>80.271039013444707</v>
      </c>
      <c r="AN6851">
        <v>0.99999999840234499</v>
      </c>
    </row>
    <row r="6852" spans="1:40" x14ac:dyDescent="0.25">
      <c r="A6852" t="str">
        <f>"20190312164638894"</f>
        <v>20190312164638894</v>
      </c>
      <c r="B6852" t="str">
        <f>"1552380398888052"</f>
        <v>1552380398888052</v>
      </c>
      <c r="C6852" t="s">
        <v>40</v>
      </c>
      <c r="D6852">
        <v>4.9783059999999999</v>
      </c>
      <c r="E6852">
        <v>0.54690260000000002</v>
      </c>
      <c r="F6852" t="s">
        <v>42</v>
      </c>
      <c r="G6852">
        <v>-183.31209999999999</v>
      </c>
      <c r="H6852" s="1">
        <v>-3.519164E-6</v>
      </c>
      <c r="I6852">
        <v>114.7602</v>
      </c>
      <c r="J6852">
        <v>-187.85990000000001</v>
      </c>
      <c r="K6852">
        <v>1.108344</v>
      </c>
      <c r="L6852">
        <v>98.286439999999999</v>
      </c>
      <c r="M6852">
        <v>-8.8832930000000004E-3</v>
      </c>
      <c r="N6852">
        <v>0</v>
      </c>
      <c r="O6852">
        <v>0.99989669999999997</v>
      </c>
      <c r="P6852">
        <v>0.16187019999999999</v>
      </c>
      <c r="Q6852">
        <v>0.1420428</v>
      </c>
      <c r="R6852">
        <v>0.97653570000000001</v>
      </c>
      <c r="S6852">
        <v>0.80464169999999902</v>
      </c>
      <c r="T6852">
        <v>-0.19619909999999999</v>
      </c>
      <c r="U6852">
        <v>2.9682309999999998</v>
      </c>
      <c r="V6852">
        <v>0.17068079999999999</v>
      </c>
      <c r="W6852">
        <v>0.15289449999999999</v>
      </c>
      <c r="X6852">
        <v>0.97339169999999997</v>
      </c>
      <c r="Y6852">
        <v>0.26967570000000002</v>
      </c>
      <c r="Z6852">
        <v>-6.3587359999999996E-2</v>
      </c>
      <c r="AA6852">
        <v>0.96084950000000002</v>
      </c>
      <c r="AB6852">
        <v>29</v>
      </c>
      <c r="AC6852">
        <v>4.54780000000002</v>
      </c>
      <c r="AD6852">
        <v>-1.108347519164</v>
      </c>
      <c r="AE6852">
        <v>16.473759999999999</v>
      </c>
      <c r="AF6852">
        <v>4.6743109718316402</v>
      </c>
      <c r="AG6852">
        <v>-1.108347519164</v>
      </c>
      <c r="AH6852">
        <v>16.363881439722601</v>
      </c>
      <c r="AI6852">
        <v>93.726207846313997</v>
      </c>
      <c r="AJ6852">
        <v>74.058112290646505</v>
      </c>
      <c r="AK6852">
        <v>17.054449069316799</v>
      </c>
      <c r="AL6852">
        <v>81.205295771754507</v>
      </c>
      <c r="AM6852">
        <v>80.054494154080601</v>
      </c>
      <c r="AN6852">
        <v>1.00000003262388</v>
      </c>
    </row>
    <row r="6853" spans="1:40" x14ac:dyDescent="0.25">
      <c r="A6853" t="str">
        <f>"20190312164638918"</f>
        <v>20190312164638918</v>
      </c>
      <c r="B6853" t="str">
        <f>"1552380398907572"</f>
        <v>1552380398907572</v>
      </c>
      <c r="C6853" t="s">
        <v>40</v>
      </c>
      <c r="D6853">
        <v>4.813523</v>
      </c>
      <c r="E6853">
        <v>0.54699809999999904</v>
      </c>
      <c r="F6853" t="s">
        <v>42</v>
      </c>
      <c r="G6853">
        <v>-182.83199999999999</v>
      </c>
      <c r="H6853" s="1">
        <v>-4.2317480000000001E-6</v>
      </c>
      <c r="I6853">
        <v>116.47880000000001</v>
      </c>
      <c r="J6853">
        <v>-187.86199999999999</v>
      </c>
      <c r="K6853">
        <v>1.1083240000000001</v>
      </c>
      <c r="L6853">
        <v>98.589479999999995</v>
      </c>
      <c r="M6853">
        <v>-8.3457789999999994E-3</v>
      </c>
      <c r="N6853">
        <v>0</v>
      </c>
      <c r="O6853">
        <v>0.99990109999999999</v>
      </c>
      <c r="P6853">
        <v>0.1666395</v>
      </c>
      <c r="Q6853">
        <v>0.14273050000000001</v>
      </c>
      <c r="R6853">
        <v>0.97563279999999997</v>
      </c>
      <c r="S6853">
        <v>0.81878660000000003</v>
      </c>
      <c r="T6853">
        <v>-0.18049380000000001</v>
      </c>
      <c r="U6853">
        <v>2.9626160000000001</v>
      </c>
      <c r="V6853">
        <v>0.1749289</v>
      </c>
      <c r="W6853">
        <v>0.15357399999999999</v>
      </c>
      <c r="X6853">
        <v>0.97253020000000001</v>
      </c>
      <c r="Y6853">
        <v>0.273964599999999</v>
      </c>
      <c r="Z6853">
        <v>-5.8550980000000002E-2</v>
      </c>
      <c r="AA6853">
        <v>0.95995580000000003</v>
      </c>
      <c r="AB6853">
        <v>29</v>
      </c>
      <c r="AC6853">
        <v>5.03</v>
      </c>
      <c r="AD6853">
        <v>-1.1083282317479899</v>
      </c>
      <c r="AE6853">
        <v>17.889319999999898</v>
      </c>
      <c r="AF6853">
        <v>5.1607769360600404</v>
      </c>
      <c r="AG6853">
        <v>-1.1083282317479899</v>
      </c>
      <c r="AH6853">
        <v>17.783456228181901</v>
      </c>
      <c r="AI6853">
        <v>93.425303099139896</v>
      </c>
      <c r="AJ6853">
        <v>73.817218041410101</v>
      </c>
      <c r="AK6853">
        <v>18.550291789422701</v>
      </c>
      <c r="AL6853">
        <v>81.165898079144995</v>
      </c>
      <c r="AM6853">
        <v>79.803247247450301</v>
      </c>
      <c r="AN6853">
        <v>1.0000000417216199</v>
      </c>
    </row>
    <row r="6854" spans="1:40" x14ac:dyDescent="0.25">
      <c r="A6854" t="str">
        <f>"20190312164638938"</f>
        <v>20190312164638938</v>
      </c>
      <c r="B6854" t="str">
        <f>"1552380398928068"</f>
        <v>1552380398928068</v>
      </c>
      <c r="C6854" t="s">
        <v>40</v>
      </c>
      <c r="D6854">
        <v>4.8739220000000003</v>
      </c>
      <c r="E6854">
        <v>0.54678459999999995</v>
      </c>
      <c r="F6854" t="s">
        <v>42</v>
      </c>
      <c r="G6854">
        <v>-182.38849999999999</v>
      </c>
      <c r="H6854" s="1">
        <v>-4.9427990000000001E-6</v>
      </c>
      <c r="I6854">
        <v>118.0073</v>
      </c>
      <c r="J6854">
        <v>-187.86369999999999</v>
      </c>
      <c r="K6854">
        <v>1.1083069999999999</v>
      </c>
      <c r="L6854">
        <v>98.860749999999996</v>
      </c>
      <c r="M6854">
        <v>-7.833731E-3</v>
      </c>
      <c r="N6854">
        <v>0</v>
      </c>
      <c r="O6854">
        <v>0.99990500000000004</v>
      </c>
      <c r="P6854">
        <v>0.17103380000000001</v>
      </c>
      <c r="Q6854">
        <v>0.14232520000000001</v>
      </c>
      <c r="R6854">
        <v>0.97493129999999995</v>
      </c>
      <c r="S6854">
        <v>0.83358759999999998</v>
      </c>
      <c r="T6854">
        <v>-0.16879330000000001</v>
      </c>
      <c r="U6854">
        <v>2.9572449999999999</v>
      </c>
      <c r="V6854">
        <v>0.17882679999999901</v>
      </c>
      <c r="W6854">
        <v>0.15316879999999999</v>
      </c>
      <c r="X6854">
        <v>0.97188490000000005</v>
      </c>
      <c r="Y6854">
        <v>0.2784316</v>
      </c>
      <c r="Z6854">
        <v>-5.4791590000000001E-2</v>
      </c>
      <c r="AA6854">
        <v>0.95889190000000002</v>
      </c>
      <c r="AB6854">
        <v>29</v>
      </c>
      <c r="AC6854">
        <v>5.4752000000000001</v>
      </c>
      <c r="AD6854">
        <v>-1.108311942799</v>
      </c>
      <c r="AE6854">
        <v>19.146550000000001</v>
      </c>
      <c r="AF6854">
        <v>5.6076610224488004</v>
      </c>
      <c r="AG6854">
        <v>-1.108311942799</v>
      </c>
      <c r="AH6854">
        <v>19.044080089945101</v>
      </c>
      <c r="AI6854">
        <v>93.195348720480197</v>
      </c>
      <c r="AJ6854">
        <v>73.592570487278707</v>
      </c>
      <c r="AK6854">
        <v>19.8834404461976</v>
      </c>
      <c r="AL6854">
        <v>81.189391769328296</v>
      </c>
      <c r="AM6854">
        <v>79.574192705805402</v>
      </c>
      <c r="AN6854">
        <v>0.99999998226984399</v>
      </c>
    </row>
    <row r="6855" spans="1:40" x14ac:dyDescent="0.25">
      <c r="A6855" t="str">
        <f>"20190312164638960"</f>
        <v>20190312164638960</v>
      </c>
      <c r="B6855" t="str">
        <f>"1552380398948565"</f>
        <v>1552380398948565</v>
      </c>
      <c r="C6855" t="s">
        <v>40</v>
      </c>
      <c r="D6855">
        <v>4.8464140000000002</v>
      </c>
      <c r="E6855">
        <v>0.54597240000000002</v>
      </c>
      <c r="F6855" t="s">
        <v>42</v>
      </c>
      <c r="G6855">
        <v>-181.99879999999999</v>
      </c>
      <c r="H6855" s="1">
        <v>-5.5908860000000002E-6</v>
      </c>
      <c r="I6855">
        <v>119.3569</v>
      </c>
      <c r="J6855">
        <v>-187.86519999999999</v>
      </c>
      <c r="K6855">
        <v>1.1082890000000001</v>
      </c>
      <c r="L6855">
        <v>99.138890000000004</v>
      </c>
      <c r="M6855">
        <v>-7.27897099999999E-3</v>
      </c>
      <c r="N6855">
        <v>0</v>
      </c>
      <c r="O6855">
        <v>0.99990889999999999</v>
      </c>
      <c r="P6855">
        <v>0.17540159999999999</v>
      </c>
      <c r="Q6855">
        <v>0.14186960000000001</v>
      </c>
      <c r="R6855">
        <v>0.97422140000000002</v>
      </c>
      <c r="S6855">
        <v>0.84477230000000003</v>
      </c>
      <c r="T6855">
        <v>-0.15964010000000001</v>
      </c>
      <c r="U6855">
        <v>2.9522400000000002</v>
      </c>
      <c r="V6855">
        <v>0.1826576</v>
      </c>
      <c r="W6855">
        <v>0.1527202</v>
      </c>
      <c r="X6855">
        <v>0.97124290000000002</v>
      </c>
      <c r="Y6855">
        <v>0.28172589999999997</v>
      </c>
      <c r="Z6855">
        <v>-5.1861869999999997E-2</v>
      </c>
      <c r="AA6855">
        <v>0.95809230000000001</v>
      </c>
      <c r="AB6855">
        <v>29</v>
      </c>
      <c r="AC6855">
        <v>5.8663999999999898</v>
      </c>
      <c r="AD6855">
        <v>-1.10829459088599</v>
      </c>
      <c r="AE6855">
        <v>20.2180099999999</v>
      </c>
      <c r="AF6855">
        <v>5.9967997609361001</v>
      </c>
      <c r="AG6855">
        <v>-1.10829459088599</v>
      </c>
      <c r="AH6855">
        <v>20.1190087151085</v>
      </c>
      <c r="AI6855">
        <v>93.021938043906104</v>
      </c>
      <c r="AJ6855">
        <v>73.402451268999499</v>
      </c>
      <c r="AK6855">
        <v>21.022950219975399</v>
      </c>
      <c r="AL6855">
        <v>81.215400942940207</v>
      </c>
      <c r="AM6855">
        <v>79.349029431781901</v>
      </c>
      <c r="AN6855">
        <v>1.0000000145631001</v>
      </c>
    </row>
    <row r="6856" spans="1:40" x14ac:dyDescent="0.25">
      <c r="A6856" t="str">
        <f>"20190312164638987"</f>
        <v>20190312164638987</v>
      </c>
      <c r="B6856" t="str">
        <f>"1552380398977845"</f>
        <v>1552380398977845</v>
      </c>
      <c r="C6856" t="s">
        <v>40</v>
      </c>
      <c r="D6856">
        <v>5.6817029999999997</v>
      </c>
      <c r="E6856">
        <v>0.54557</v>
      </c>
      <c r="F6856" t="s">
        <v>42</v>
      </c>
      <c r="G6856">
        <v>-182.08600000000001</v>
      </c>
      <c r="H6856" s="1">
        <v>-5.4955390000000002E-6</v>
      </c>
      <c r="I6856">
        <v>119.1707</v>
      </c>
      <c r="J6856">
        <v>-187.86689999999999</v>
      </c>
      <c r="K6856">
        <v>1.1082590000000001</v>
      </c>
      <c r="L6856">
        <v>99.483829999999998</v>
      </c>
      <c r="M6856">
        <v>-6.5522469999999998E-3</v>
      </c>
      <c r="N6856">
        <v>0</v>
      </c>
      <c r="O6856">
        <v>0.9999133</v>
      </c>
      <c r="P6856">
        <v>0.1804249</v>
      </c>
      <c r="Q6856">
        <v>0.1419484</v>
      </c>
      <c r="R6856">
        <v>0.97329209999999999</v>
      </c>
      <c r="S6856">
        <v>0.85105900000000001</v>
      </c>
      <c r="T6856">
        <v>-0.1632094</v>
      </c>
      <c r="U6856">
        <v>2.9499209999999998</v>
      </c>
      <c r="V6856">
        <v>0.18697949999999999</v>
      </c>
      <c r="W6856">
        <v>0.1528187</v>
      </c>
      <c r="X6856">
        <v>0.97040459999999995</v>
      </c>
      <c r="Y6856">
        <v>0.28309649999999997</v>
      </c>
      <c r="Z6856">
        <v>-5.3032250000000003E-2</v>
      </c>
      <c r="AA6856">
        <v>0.95762409999999998</v>
      </c>
      <c r="AB6856">
        <v>29</v>
      </c>
      <c r="AC6856">
        <v>5.7808999999999999</v>
      </c>
      <c r="AD6856">
        <v>-1.108264495539</v>
      </c>
      <c r="AE6856">
        <v>19.6868699999999</v>
      </c>
      <c r="AF6856">
        <v>5.89258582218564</v>
      </c>
      <c r="AG6856">
        <v>-1.108264495539</v>
      </c>
      <c r="AH6856">
        <v>19.591408724370101</v>
      </c>
      <c r="AI6856">
        <v>93.100774923110507</v>
      </c>
      <c r="AJ6856">
        <v>73.260080641053193</v>
      </c>
      <c r="AK6856">
        <v>20.488389728556498</v>
      </c>
      <c r="AL6856">
        <v>81.209690041606905</v>
      </c>
      <c r="AM6856">
        <v>79.093792926514993</v>
      </c>
      <c r="AN6856">
        <v>0.99999998809554902</v>
      </c>
    </row>
    <row r="6857" spans="1:40" x14ac:dyDescent="0.25">
      <c r="A6857" t="str">
        <f>"20190312164639006"</f>
        <v>20190312164639006</v>
      </c>
      <c r="B6857" t="str">
        <f>"1552380398998343"</f>
        <v>1552380398998343</v>
      </c>
      <c r="C6857" t="s">
        <v>40</v>
      </c>
      <c r="D6857">
        <v>4.8377270000000001</v>
      </c>
      <c r="E6857">
        <v>0.54558139999999999</v>
      </c>
      <c r="F6857" t="s">
        <v>71</v>
      </c>
      <c r="G6857">
        <v>-181.8288</v>
      </c>
      <c r="H6857" s="1">
        <v>-2.30603E-6</v>
      </c>
      <c r="I6857">
        <v>120.1022</v>
      </c>
      <c r="J6857">
        <v>-187.86799999999999</v>
      </c>
      <c r="K6857">
        <v>1.108241</v>
      </c>
      <c r="L6857">
        <v>99.740020000000001</v>
      </c>
      <c r="M6857">
        <v>-5.9811200000000004E-3</v>
      </c>
      <c r="N6857">
        <v>0</v>
      </c>
      <c r="O6857">
        <v>0.99991629999999998</v>
      </c>
      <c r="P6857">
        <v>0.18393689999999999</v>
      </c>
      <c r="Q6857">
        <v>0.1422456</v>
      </c>
      <c r="R6857">
        <v>0.97259110000000004</v>
      </c>
      <c r="S6857">
        <v>0.86259459999999999</v>
      </c>
      <c r="T6857">
        <v>-0.15832360000000001</v>
      </c>
      <c r="U6857">
        <v>2.9454959999999999</v>
      </c>
      <c r="V6857">
        <v>0.189942</v>
      </c>
      <c r="W6857">
        <v>0.15314430000000001</v>
      </c>
      <c r="X6857">
        <v>0.96977780000000002</v>
      </c>
      <c r="Y6857">
        <v>0.28641109999999997</v>
      </c>
      <c r="Z6857">
        <v>-5.1470080000000001E-2</v>
      </c>
      <c r="AA6857">
        <v>0.95672330000000005</v>
      </c>
      <c r="AB6857">
        <v>29</v>
      </c>
      <c r="AC6857">
        <v>6.0391999999999904</v>
      </c>
      <c r="AD6857">
        <v>-1.1082433060299901</v>
      </c>
      <c r="AE6857">
        <v>20.362179999999899</v>
      </c>
      <c r="AF6857">
        <v>6.1441596490256503</v>
      </c>
      <c r="AG6857">
        <v>-1.1082433060299901</v>
      </c>
      <c r="AH6857">
        <v>20.2705008004082</v>
      </c>
      <c r="AI6857">
        <v>92.995097936170694</v>
      </c>
      <c r="AJ6857">
        <v>73.137501517275197</v>
      </c>
      <c r="AK6857">
        <v>21.210188677082201</v>
      </c>
      <c r="AL6857">
        <v>81.190812971388596</v>
      </c>
      <c r="AM6857">
        <v>78.918254215520506</v>
      </c>
      <c r="AN6857">
        <v>1.00000006067966</v>
      </c>
    </row>
    <row r="6858" spans="1:40" x14ac:dyDescent="0.25">
      <c r="A6858" t="str">
        <f>"20190312164639028"</f>
        <v>20190312164639028</v>
      </c>
      <c r="B6858" t="str">
        <f>"1552380399017860"</f>
        <v>1552380399017860</v>
      </c>
      <c r="C6858" t="s">
        <v>40</v>
      </c>
      <c r="D6858">
        <v>4.6949569999999996</v>
      </c>
      <c r="E6858">
        <v>0.54553669999999899</v>
      </c>
      <c r="F6858" t="s">
        <v>71</v>
      </c>
      <c r="G6858">
        <v>-181.52289999999999</v>
      </c>
      <c r="H6858" s="1">
        <v>-2.688469E-6</v>
      </c>
      <c r="I6858">
        <v>121.12430000000001</v>
      </c>
      <c r="J6858">
        <v>-187.869</v>
      </c>
      <c r="K6858">
        <v>1.108222</v>
      </c>
      <c r="L6858">
        <v>100.0307</v>
      </c>
      <c r="M6858">
        <v>-5.2987149999999998E-3</v>
      </c>
      <c r="N6858">
        <v>0</v>
      </c>
      <c r="O6858">
        <v>0.99991940000000001</v>
      </c>
      <c r="P6858">
        <v>0.1892083</v>
      </c>
      <c r="Q6858">
        <v>0.14191999999999999</v>
      </c>
      <c r="R6858">
        <v>0.97162689999999996</v>
      </c>
      <c r="S6858">
        <v>0.87287899999999996</v>
      </c>
      <c r="T6858">
        <v>-0.1524575</v>
      </c>
      <c r="U6858">
        <v>2.9417719999999998</v>
      </c>
      <c r="V6858">
        <v>0.19455700000000001</v>
      </c>
      <c r="W6858">
        <v>0.15285779999999999</v>
      </c>
      <c r="X6858">
        <v>0.96890770000000004</v>
      </c>
      <c r="Y6858">
        <v>0.28918670000000002</v>
      </c>
      <c r="Z6858">
        <v>-4.9583240000000001E-2</v>
      </c>
      <c r="AA6858">
        <v>0.95598780000000005</v>
      </c>
      <c r="AB6858">
        <v>29</v>
      </c>
      <c r="AC6858">
        <v>6.3461000000000301</v>
      </c>
      <c r="AD6858">
        <v>-1.1082246884689999</v>
      </c>
      <c r="AE6858">
        <v>21.093599999999999</v>
      </c>
      <c r="AF6858">
        <v>6.4414827533913597</v>
      </c>
      <c r="AG6858">
        <v>-1.1082246884689999</v>
      </c>
      <c r="AH6858">
        <v>21.006504157379101</v>
      </c>
      <c r="AI6858">
        <v>92.887448683468406</v>
      </c>
      <c r="AJ6858">
        <v>72.952245124897402</v>
      </c>
      <c r="AK6858">
        <v>21.999865429960099</v>
      </c>
      <c r="AL6858">
        <v>81.207423534122597</v>
      </c>
      <c r="AM6858">
        <v>78.645981661350902</v>
      </c>
      <c r="AN6858">
        <v>1.0000000321945599</v>
      </c>
    </row>
    <row r="6859" spans="1:40" x14ac:dyDescent="0.25">
      <c r="A6859" t="str">
        <f>"20190312164639042"</f>
        <v>20190312164639042</v>
      </c>
      <c r="B6859" t="str">
        <f>"1552380399038357"</f>
        <v>1552380399038357</v>
      </c>
      <c r="C6859" t="s">
        <v>40</v>
      </c>
      <c r="D6859">
        <v>5.0003080000000004</v>
      </c>
      <c r="E6859">
        <v>0.54447590000000001</v>
      </c>
      <c r="F6859" t="s">
        <v>71</v>
      </c>
      <c r="G6859">
        <v>-181.315</v>
      </c>
      <c r="H6859" s="1">
        <v>-2.9184389999999999E-6</v>
      </c>
      <c r="I6859">
        <v>121.7174</v>
      </c>
      <c r="J6859">
        <v>-187.86940000000001</v>
      </c>
      <c r="K6859">
        <v>1.1082069999999999</v>
      </c>
      <c r="L6859">
        <v>100.1961</v>
      </c>
      <c r="M6859">
        <v>-4.8854579999999996E-3</v>
      </c>
      <c r="N6859">
        <v>0</v>
      </c>
      <c r="O6859">
        <v>0.99992080000000005</v>
      </c>
      <c r="P6859">
        <v>0.19175729999999999</v>
      </c>
      <c r="Q6859">
        <v>0.1417167</v>
      </c>
      <c r="R6859">
        <v>0.97115680000000004</v>
      </c>
      <c r="S6859">
        <v>0.88751219999999997</v>
      </c>
      <c r="T6859">
        <v>-0.1500707</v>
      </c>
      <c r="U6859">
        <v>2.9367070000000002</v>
      </c>
      <c r="V6859">
        <v>0.1967102</v>
      </c>
      <c r="W6859">
        <v>0.15268389999999901</v>
      </c>
      <c r="X6859">
        <v>0.96850029999999998</v>
      </c>
      <c r="Y6859">
        <v>0.29361949999999998</v>
      </c>
      <c r="Z6859">
        <v>-4.8821780000000002E-2</v>
      </c>
      <c r="AA6859">
        <v>0.95467480000000005</v>
      </c>
      <c r="AB6859">
        <v>29</v>
      </c>
      <c r="AC6859">
        <v>6.55440000000001</v>
      </c>
      <c r="AD6859">
        <v>-1.108209918439</v>
      </c>
      <c r="AE6859">
        <v>21.5213</v>
      </c>
      <c r="AF6859">
        <v>6.6433499873570598</v>
      </c>
      <c r="AG6859">
        <v>-1.108209918439</v>
      </c>
      <c r="AH6859">
        <v>21.4370022851686</v>
      </c>
      <c r="AI6859">
        <v>92.826930044199599</v>
      </c>
      <c r="AJ6859">
        <v>72.781735160828404</v>
      </c>
      <c r="AK6859">
        <v>22.4701423060061</v>
      </c>
      <c r="AL6859">
        <v>81.2175058064864</v>
      </c>
      <c r="AM6859">
        <v>78.518941747603606</v>
      </c>
      <c r="AN6859">
        <v>1.00000005360166</v>
      </c>
    </row>
    <row r="6860" spans="1:40" x14ac:dyDescent="0.25">
      <c r="A6860" t="str">
        <f>"20190312164639061"</f>
        <v>20190312164639061</v>
      </c>
      <c r="B6860" t="str">
        <f>"1552380399057877"</f>
        <v>1552380399057877</v>
      </c>
      <c r="C6860" t="s">
        <v>40</v>
      </c>
      <c r="D6860">
        <v>4.8705720000000001</v>
      </c>
      <c r="E6860">
        <v>0.51269039999999999</v>
      </c>
      <c r="F6860" t="s">
        <v>71</v>
      </c>
      <c r="G6860">
        <v>-181.3948</v>
      </c>
      <c r="H6860" s="1">
        <v>-2.8747799999999999E-6</v>
      </c>
      <c r="I6860">
        <v>121.6412</v>
      </c>
      <c r="J6860">
        <v>-187.8699</v>
      </c>
      <c r="K6860">
        <v>1.1081890000000001</v>
      </c>
      <c r="L6860">
        <v>100.45050000000001</v>
      </c>
      <c r="M6860">
        <v>-4.2218100000000003E-3</v>
      </c>
      <c r="N6860">
        <v>0</v>
      </c>
      <c r="O6860">
        <v>0.99992289999999995</v>
      </c>
      <c r="P6860">
        <v>0.1968791</v>
      </c>
      <c r="Q6860">
        <v>0.14122699999999999</v>
      </c>
      <c r="R6860">
        <v>0.97020289999999998</v>
      </c>
      <c r="S6860">
        <v>0.88648989999999905</v>
      </c>
      <c r="T6860">
        <v>-0.1517339</v>
      </c>
      <c r="U6860">
        <v>2.9362180000000002</v>
      </c>
      <c r="V6860">
        <v>0.20119629999999999</v>
      </c>
      <c r="W6860">
        <v>0.1522442</v>
      </c>
      <c r="X6860">
        <v>0.96764760000000005</v>
      </c>
      <c r="Y6860">
        <v>0.29271649999999999</v>
      </c>
      <c r="Z6860">
        <v>-4.9378980000000003E-2</v>
      </c>
      <c r="AA6860">
        <v>0.95492350000000004</v>
      </c>
      <c r="AB6860">
        <v>29</v>
      </c>
      <c r="AC6860">
        <v>6.4750999999999896</v>
      </c>
      <c r="AD6860">
        <v>-1.1081918747799999</v>
      </c>
      <c r="AE6860">
        <v>21.1907</v>
      </c>
      <c r="AF6860">
        <v>6.5481323963589704</v>
      </c>
      <c r="AG6860">
        <v>-1.1081918747799999</v>
      </c>
      <c r="AH6860">
        <v>21.110368426936901</v>
      </c>
      <c r="AI6860">
        <v>92.870320319106</v>
      </c>
      <c r="AJ6860">
        <v>72.766862313768698</v>
      </c>
      <c r="AK6860">
        <v>22.130381429893799</v>
      </c>
      <c r="AL6860">
        <v>81.2429968541352</v>
      </c>
      <c r="AM6860">
        <v>78.254239178989195</v>
      </c>
      <c r="AN6860">
        <v>1.00000006267654</v>
      </c>
    </row>
    <row r="6861" spans="1:40" x14ac:dyDescent="0.25">
      <c r="A6861" t="str">
        <f>"20190312164639074"</f>
        <v>20190312164639074</v>
      </c>
      <c r="B6861" t="str">
        <f>"1552380399067636"</f>
        <v>1552380399067636</v>
      </c>
      <c r="C6861" t="s">
        <v>40</v>
      </c>
      <c r="D6861">
        <v>5.077458</v>
      </c>
      <c r="E6861">
        <v>0.5135478</v>
      </c>
      <c r="F6861" t="s">
        <v>42</v>
      </c>
      <c r="G6861">
        <v>-184.17869999999999</v>
      </c>
      <c r="H6861" s="1">
        <v>-4.3843469999999999E-6</v>
      </c>
      <c r="I6861">
        <v>117.44580000000001</v>
      </c>
      <c r="J6861">
        <v>-187.87010000000001</v>
      </c>
      <c r="K6861">
        <v>1.108174</v>
      </c>
      <c r="L6861">
        <v>100.6255</v>
      </c>
      <c r="M6861">
        <v>-3.740447E-3</v>
      </c>
      <c r="N6861">
        <v>0</v>
      </c>
      <c r="O6861">
        <v>0.99992409999999998</v>
      </c>
      <c r="P6861">
        <v>0.19962460000000001</v>
      </c>
      <c r="Q6861">
        <v>0.14132749999999999</v>
      </c>
      <c r="R6861">
        <v>0.96962700000000002</v>
      </c>
      <c r="S6861">
        <v>0.64912409999999998</v>
      </c>
      <c r="T6861">
        <v>-0.19488549999999999</v>
      </c>
      <c r="U6861">
        <v>2.9887700000000001</v>
      </c>
      <c r="V6861">
        <v>0.20348240000000001</v>
      </c>
      <c r="W6861">
        <v>0.15238699999999999</v>
      </c>
      <c r="X6861">
        <v>0.96714690000000003</v>
      </c>
      <c r="Y6861">
        <v>0.2154644</v>
      </c>
      <c r="Z6861">
        <v>-6.356502E-2</v>
      </c>
      <c r="AA6861">
        <v>0.97444059999999999</v>
      </c>
      <c r="AB6861">
        <v>29</v>
      </c>
      <c r="AC6861">
        <v>3.69140000000001</v>
      </c>
      <c r="AD6861">
        <v>-1.1081783843469999</v>
      </c>
      <c r="AE6861">
        <v>16.8203</v>
      </c>
      <c r="AF6861">
        <v>3.7388109001569201</v>
      </c>
      <c r="AG6861">
        <v>-1.1081783843469999</v>
      </c>
      <c r="AH6861">
        <v>16.737062867703401</v>
      </c>
      <c r="AI6861">
        <v>93.697221947744296</v>
      </c>
      <c r="AJ6861">
        <v>77.407713967115299</v>
      </c>
      <c r="AK6861">
        <v>17.1853437473948</v>
      </c>
      <c r="AL6861">
        <v>81.2347179189846</v>
      </c>
      <c r="AM6861">
        <v>78.118573455786304</v>
      </c>
      <c r="AN6861">
        <v>1.00000000552918</v>
      </c>
    </row>
    <row r="6862" spans="1:40" x14ac:dyDescent="0.25">
      <c r="A6862" t="str">
        <f>"20190312164639088"</f>
        <v>20190312164639088</v>
      </c>
      <c r="B6862" t="str">
        <f>"1552380399078373"</f>
        <v>1552380399078373</v>
      </c>
      <c r="C6862" t="s">
        <v>40</v>
      </c>
      <c r="D6862">
        <v>4.8248620000000004</v>
      </c>
      <c r="E6862">
        <v>0.51279140000000001</v>
      </c>
      <c r="F6862" t="s">
        <v>71</v>
      </c>
      <c r="G6862">
        <v>-183.5171</v>
      </c>
      <c r="H6862" s="1">
        <v>-1.864764E-6</v>
      </c>
      <c r="I6862">
        <v>120.1292</v>
      </c>
      <c r="J6862">
        <v>-187.87029999999999</v>
      </c>
      <c r="K6862">
        <v>1.1081589999999999</v>
      </c>
      <c r="L6862">
        <v>100.8039</v>
      </c>
      <c r="M6862">
        <v>-3.2308329999999998E-3</v>
      </c>
      <c r="N6862">
        <v>0</v>
      </c>
      <c r="O6862">
        <v>0.99992499999999995</v>
      </c>
      <c r="P6862">
        <v>0.2024908</v>
      </c>
      <c r="Q6862">
        <v>0.1413431</v>
      </c>
      <c r="R6862">
        <v>0.96903030000000001</v>
      </c>
      <c r="S6862">
        <v>0.66548160000000001</v>
      </c>
      <c r="T6862">
        <v>-0.1694138</v>
      </c>
      <c r="U6862">
        <v>2.9816590000000001</v>
      </c>
      <c r="V6862">
        <v>0.20586280000000001</v>
      </c>
      <c r="W6862">
        <v>0.15244969999999999</v>
      </c>
      <c r="X6862">
        <v>0.96663310000000002</v>
      </c>
      <c r="Y6862">
        <v>0.2206504</v>
      </c>
      <c r="Z6862">
        <v>-5.534886E-2</v>
      </c>
      <c r="AA6862">
        <v>0.97378120000000001</v>
      </c>
      <c r="AB6862">
        <v>29</v>
      </c>
      <c r="AC6862">
        <v>4.3531999999999798</v>
      </c>
      <c r="AD6862">
        <v>-1.108160864764</v>
      </c>
      <c r="AE6862">
        <v>19.325299999999999</v>
      </c>
      <c r="AF6862">
        <v>4.4018434459408002</v>
      </c>
      <c r="AG6862">
        <v>-1.108160864764</v>
      </c>
      <c r="AH6862">
        <v>19.250890485508702</v>
      </c>
      <c r="AI6862">
        <v>93.211832762703693</v>
      </c>
      <c r="AJ6862">
        <v>77.120360063832393</v>
      </c>
      <c r="AK6862">
        <v>19.7788025600595</v>
      </c>
      <c r="AL6862">
        <v>81.231082749030904</v>
      </c>
      <c r="AM6862">
        <v>77.977397225563095</v>
      </c>
      <c r="AN6862">
        <v>0.99999997673476904</v>
      </c>
    </row>
    <row r="6863" spans="1:40" x14ac:dyDescent="0.25">
      <c r="A6863" t="str">
        <f>"20190312164639108"</f>
        <v>20190312164639108</v>
      </c>
      <c r="B6863" t="str">
        <f>"1552380399097892"</f>
        <v>1552380399097892</v>
      </c>
      <c r="C6863" t="s">
        <v>40</v>
      </c>
      <c r="D6863">
        <v>4.7967050000000002</v>
      </c>
      <c r="E6863">
        <v>0.51233450000000003</v>
      </c>
      <c r="F6863" t="s">
        <v>42</v>
      </c>
      <c r="G6863">
        <v>-183.7628</v>
      </c>
      <c r="H6863" s="1">
        <v>-5.1968019999999996E-6</v>
      </c>
      <c r="I6863">
        <v>119.1677</v>
      </c>
      <c r="J6863">
        <v>-187.87020000000001</v>
      </c>
      <c r="K6863">
        <v>1.108144</v>
      </c>
      <c r="L6863">
        <v>101.06229999999999</v>
      </c>
      <c r="M6863">
        <v>-2.4432120000000002E-3</v>
      </c>
      <c r="N6863">
        <v>0</v>
      </c>
      <c r="O6863">
        <v>0.99992579999999998</v>
      </c>
      <c r="P6863">
        <v>0.20808270000000001</v>
      </c>
      <c r="Q6863">
        <v>0.14114009999999999</v>
      </c>
      <c r="R6863">
        <v>0.96787449999999997</v>
      </c>
      <c r="S6863">
        <v>0.66714479999999998</v>
      </c>
      <c r="T6863">
        <v>-0.17999270000000001</v>
      </c>
      <c r="U6863">
        <v>2.9827270000000001</v>
      </c>
      <c r="V6863">
        <v>0.21070320000000001</v>
      </c>
      <c r="W6863">
        <v>0.15232200000000001</v>
      </c>
      <c r="X6863">
        <v>0.96560970000000002</v>
      </c>
      <c r="Y6863">
        <v>0.22028249999999999</v>
      </c>
      <c r="Z6863">
        <v>-5.8771860000000002E-2</v>
      </c>
      <c r="AA6863">
        <v>0.97366390000000003</v>
      </c>
      <c r="AB6863">
        <v>29</v>
      </c>
      <c r="AC6863">
        <v>4.1074000000000099</v>
      </c>
      <c r="AD6863">
        <v>-1.1081491968019901</v>
      </c>
      <c r="AE6863">
        <v>18.105399999999999</v>
      </c>
      <c r="AF6863">
        <v>4.1368875318048897</v>
      </c>
      <c r="AG6863">
        <v>-1.1081491968019901</v>
      </c>
      <c r="AH6863">
        <v>18.031069830134001</v>
      </c>
      <c r="AI6863">
        <v>93.428002171749498</v>
      </c>
      <c r="AJ6863">
        <v>77.078199200299196</v>
      </c>
      <c r="AK6863">
        <v>18.5327092545139</v>
      </c>
      <c r="AL6863">
        <v>81.238485745920798</v>
      </c>
      <c r="AM6863">
        <v>77.690584046311002</v>
      </c>
      <c r="AN6863">
        <v>0.99999996145416403</v>
      </c>
    </row>
    <row r="6864" spans="1:40" x14ac:dyDescent="0.25">
      <c r="A6864" t="str">
        <f>"20190312164639131"</f>
        <v>20190312164639131</v>
      </c>
      <c r="B6864" t="str">
        <f>"1552380399118388"</f>
        <v>1552380399118388</v>
      </c>
      <c r="C6864" t="s">
        <v>40</v>
      </c>
      <c r="D6864">
        <v>4.8010780000000004</v>
      </c>
      <c r="E6864">
        <v>0.51136170000000003</v>
      </c>
      <c r="F6864" t="s">
        <v>42</v>
      </c>
      <c r="G6864">
        <v>-184.01589999999999</v>
      </c>
      <c r="H6864" s="1">
        <v>-4.6494650000000002E-6</v>
      </c>
      <c r="I6864">
        <v>117.9965</v>
      </c>
      <c r="J6864">
        <v>-187.8699</v>
      </c>
      <c r="K6864">
        <v>1.1081240000000001</v>
      </c>
      <c r="L6864">
        <v>101.3449</v>
      </c>
      <c r="M6864">
        <v>-1.5120699999999999E-3</v>
      </c>
      <c r="N6864">
        <v>0</v>
      </c>
      <c r="O6864">
        <v>0.99992590000000003</v>
      </c>
      <c r="P6864">
        <v>0.21318509999999999</v>
      </c>
      <c r="Q6864">
        <v>0.14069489999999901</v>
      </c>
      <c r="R6864">
        <v>0.96682829999999997</v>
      </c>
      <c r="S6864">
        <v>0.6787415</v>
      </c>
      <c r="T6864">
        <v>-0.1951456</v>
      </c>
      <c r="U6864">
        <v>2.9821170000000001</v>
      </c>
      <c r="V6864">
        <v>0.21491959999999999</v>
      </c>
      <c r="W6864">
        <v>0.15197649999999999</v>
      </c>
      <c r="X6864">
        <v>0.96473450000000005</v>
      </c>
      <c r="Y6864">
        <v>0.22295209999999999</v>
      </c>
      <c r="Z6864">
        <v>-6.3666340000000002E-2</v>
      </c>
      <c r="AA6864">
        <v>0.97274819999999995</v>
      </c>
      <c r="AB6864">
        <v>29</v>
      </c>
      <c r="AC6864">
        <v>3.8540000000000099</v>
      </c>
      <c r="AD6864">
        <v>-1.10812864946499</v>
      </c>
      <c r="AE6864">
        <v>16.651599999999998</v>
      </c>
      <c r="AF6864">
        <v>3.8629381606505802</v>
      </c>
      <c r="AG6864">
        <v>-1.10812864946499</v>
      </c>
      <c r="AH6864">
        <v>16.5760763645305</v>
      </c>
      <c r="AI6864">
        <v>93.725071392371703</v>
      </c>
      <c r="AJ6864">
        <v>76.8817559911231</v>
      </c>
      <c r="AK6864">
        <v>17.0562759118021</v>
      </c>
      <c r="AL6864">
        <v>81.258514728210898</v>
      </c>
      <c r="AM6864">
        <v>77.4409651056299</v>
      </c>
      <c r="AN6864">
        <v>0.99999997325332901</v>
      </c>
    </row>
    <row r="6865" spans="1:40" x14ac:dyDescent="0.25">
      <c r="A6865" t="str">
        <f>"20190312164639150"</f>
        <v>20190312164639150</v>
      </c>
      <c r="B6865" t="str">
        <f>"1552380399137909"</f>
        <v>1552380399137909</v>
      </c>
      <c r="C6865" t="s">
        <v>40</v>
      </c>
      <c r="D6865">
        <v>4.778384</v>
      </c>
      <c r="E6865">
        <v>0.51142929999999998</v>
      </c>
      <c r="F6865" t="s">
        <v>42</v>
      </c>
      <c r="G6865">
        <v>-184.18029999999999</v>
      </c>
      <c r="H6865" s="1">
        <v>-4.3639510000000002E-6</v>
      </c>
      <c r="I6865">
        <v>117.3989</v>
      </c>
      <c r="J6865">
        <v>-187.86920000000001</v>
      </c>
      <c r="K6865">
        <v>1.1080970000000001</v>
      </c>
      <c r="L6865">
        <v>101.6037</v>
      </c>
      <c r="M6865">
        <v>-5.9368819999999897E-4</v>
      </c>
      <c r="N6865">
        <v>0</v>
      </c>
      <c r="O6865">
        <v>0.99992519999999996</v>
      </c>
      <c r="P6865">
        <v>0.21842790000000001</v>
      </c>
      <c r="Q6865">
        <v>0.14024059999999999</v>
      </c>
      <c r="R6865">
        <v>0.96572349999999996</v>
      </c>
      <c r="S6865">
        <v>0.68528750000000005</v>
      </c>
      <c r="T6865">
        <v>-0.20581769999999999</v>
      </c>
      <c r="U6865">
        <v>2.9817809999999998</v>
      </c>
      <c r="V6865">
        <v>0.21929070000000001</v>
      </c>
      <c r="W6865">
        <v>0.151610299999999</v>
      </c>
      <c r="X6865">
        <v>0.96380809999999995</v>
      </c>
      <c r="Y6865">
        <v>0.22405910000000001</v>
      </c>
      <c r="Z6865">
        <v>-6.7115079999999994E-2</v>
      </c>
      <c r="AA6865">
        <v>0.97226179999999995</v>
      </c>
      <c r="AB6865">
        <v>29</v>
      </c>
      <c r="AC6865">
        <v>3.6889000000000101</v>
      </c>
      <c r="AD6865">
        <v>-1.10810136395099</v>
      </c>
      <c r="AE6865">
        <v>15.7951999999999</v>
      </c>
      <c r="AF6865">
        <v>3.6810975383337601</v>
      </c>
      <c r="AG6865">
        <v>-1.10810136395099</v>
      </c>
      <c r="AH6865">
        <v>15.7196423451367</v>
      </c>
      <c r="AI6865">
        <v>93.926325824824502</v>
      </c>
      <c r="AJ6865">
        <v>76.820423992304697</v>
      </c>
      <c r="AK6865">
        <v>16.182877469057601</v>
      </c>
      <c r="AL6865">
        <v>81.279743309240402</v>
      </c>
      <c r="AM6865">
        <v>77.181975639824401</v>
      </c>
      <c r="AN6865">
        <v>1.00000007389909</v>
      </c>
    </row>
    <row r="6866" spans="1:40" x14ac:dyDescent="0.25">
      <c r="A6866" t="str">
        <f>"20190312164639162"</f>
        <v>20190312164639162</v>
      </c>
      <c r="B6866" t="str">
        <f>"1552380399158404"</f>
        <v>1552380399158404</v>
      </c>
      <c r="C6866" t="s">
        <v>40</v>
      </c>
      <c r="D6866">
        <v>4.765326</v>
      </c>
      <c r="E6866">
        <v>0.51091049999999905</v>
      </c>
      <c r="F6866" t="s">
        <v>42</v>
      </c>
      <c r="G6866">
        <v>-184.25579999999999</v>
      </c>
      <c r="H6866" s="1">
        <v>-4.1710590000000001E-6</v>
      </c>
      <c r="I6866">
        <v>116.98050000000001</v>
      </c>
      <c r="J6866">
        <v>-187.86869999999999</v>
      </c>
      <c r="K6866">
        <v>1.1080779999999999</v>
      </c>
      <c r="L6866">
        <v>101.7667</v>
      </c>
      <c r="M6866" s="1">
        <v>1.507681E-5</v>
      </c>
      <c r="N6866">
        <v>0</v>
      </c>
      <c r="O6866">
        <v>0.99992440000000005</v>
      </c>
      <c r="P6866">
        <v>0.22105739999999999</v>
      </c>
      <c r="Q6866">
        <v>0.13978759999999901</v>
      </c>
      <c r="R6866">
        <v>0.96519060000000001</v>
      </c>
      <c r="S6866">
        <v>0.70011899999999905</v>
      </c>
      <c r="T6866">
        <v>-0.2146988</v>
      </c>
      <c r="U6866">
        <v>2.9793090000000002</v>
      </c>
      <c r="V6866">
        <v>0.22134219999999999</v>
      </c>
      <c r="W6866">
        <v>0.1512116</v>
      </c>
      <c r="X6866">
        <v>0.96340159999999997</v>
      </c>
      <c r="Y6866">
        <v>0.22818669999999999</v>
      </c>
      <c r="Z6866">
        <v>-6.9980459999999994E-2</v>
      </c>
      <c r="AA6866">
        <v>0.97109909999999999</v>
      </c>
      <c r="AB6866">
        <v>29</v>
      </c>
      <c r="AC6866">
        <v>3.61289999999999</v>
      </c>
      <c r="AD6866">
        <v>-1.1080821710590001</v>
      </c>
      <c r="AE6866">
        <v>15.213800000000001</v>
      </c>
      <c r="AF6866">
        <v>3.59461985131004</v>
      </c>
      <c r="AG6866">
        <v>-1.1080821710590001</v>
      </c>
      <c r="AH6866">
        <v>15.1378382529427</v>
      </c>
      <c r="AI6866">
        <v>94.073676837911606</v>
      </c>
      <c r="AJ6866">
        <v>76.641991235885897</v>
      </c>
      <c r="AK6866">
        <v>15.598182103870499</v>
      </c>
      <c r="AL6866">
        <v>81.302852754077193</v>
      </c>
      <c r="AM6866">
        <v>77.060801958773595</v>
      </c>
      <c r="AN6866">
        <v>0.99999998017897895</v>
      </c>
    </row>
    <row r="6867" spans="1:40" x14ac:dyDescent="0.25">
      <c r="A6867" t="str">
        <f>"20190312164639183"</f>
        <v>20190312164639183</v>
      </c>
      <c r="B6867" t="str">
        <f>"1552380399177925"</f>
        <v>1552380399177925</v>
      </c>
      <c r="C6867" t="s">
        <v>40</v>
      </c>
      <c r="D6867">
        <v>4.754054</v>
      </c>
      <c r="E6867">
        <v>0.51057129999999995</v>
      </c>
      <c r="F6867" t="s">
        <v>42</v>
      </c>
      <c r="G6867">
        <v>-184.36770000000001</v>
      </c>
      <c r="H6867" s="1">
        <v>-3.9860469999999999E-6</v>
      </c>
      <c r="I6867">
        <v>116.5955</v>
      </c>
      <c r="J6867">
        <v>-187.86750000000001</v>
      </c>
      <c r="K6867">
        <v>1.1080460000000001</v>
      </c>
      <c r="L6867">
        <v>102.0453</v>
      </c>
      <c r="M6867">
        <v>1.090658E-3</v>
      </c>
      <c r="N6867">
        <v>0</v>
      </c>
      <c r="O6867">
        <v>0.99992210000000004</v>
      </c>
      <c r="P6867">
        <v>0.22594449999999999</v>
      </c>
      <c r="Q6867">
        <v>0.139045</v>
      </c>
      <c r="R6867">
        <v>0.96416570000000001</v>
      </c>
      <c r="S6867">
        <v>0.70339969999999996</v>
      </c>
      <c r="T6867">
        <v>-0.22262950000000001</v>
      </c>
      <c r="U6867">
        <v>2.9793090000000002</v>
      </c>
      <c r="V6867">
        <v>0.22520789999999999</v>
      </c>
      <c r="W6867">
        <v>0.15055439999999901</v>
      </c>
      <c r="X6867">
        <v>0.96260829999999997</v>
      </c>
      <c r="Y6867">
        <v>0.2281107</v>
      </c>
      <c r="Z6867">
        <v>-7.2543360000000001E-2</v>
      </c>
      <c r="AA6867">
        <v>0.97092889999999998</v>
      </c>
      <c r="AB6867">
        <v>29</v>
      </c>
      <c r="AC6867">
        <v>3.4997999999999898</v>
      </c>
      <c r="AD6867">
        <v>-1.1080499860469999</v>
      </c>
      <c r="AE6867">
        <v>14.5502</v>
      </c>
      <c r="AF6867">
        <v>3.4649319778266299</v>
      </c>
      <c r="AG6867">
        <v>-1.1080499860469999</v>
      </c>
      <c r="AH6867">
        <v>14.4746558860826</v>
      </c>
      <c r="AI6867">
        <v>94.257686607450495</v>
      </c>
      <c r="AJ6867">
        <v>76.537901854199106</v>
      </c>
      <c r="AK6867">
        <v>14.9247844675576</v>
      </c>
      <c r="AL6867">
        <v>81.340943639728906</v>
      </c>
      <c r="AM6867">
        <v>76.832153199349094</v>
      </c>
      <c r="AN6867">
        <v>0.99999998240532895</v>
      </c>
    </row>
    <row r="6868" spans="1:40" x14ac:dyDescent="0.25">
      <c r="A6868" t="str">
        <f>"20190312164639196"</f>
        <v>20190312164639196</v>
      </c>
      <c r="B6868" t="str">
        <f>"1552380399187685"</f>
        <v>1552380399187685</v>
      </c>
      <c r="C6868" t="s">
        <v>40</v>
      </c>
      <c r="D6868">
        <v>4.6894460000000002</v>
      </c>
      <c r="E6868">
        <v>0.5099532</v>
      </c>
      <c r="F6868" t="s">
        <v>42</v>
      </c>
      <c r="G6868">
        <v>-184.3408</v>
      </c>
      <c r="H6868" s="1">
        <v>-4.0522279999999999E-6</v>
      </c>
      <c r="I6868">
        <v>116.73860000000001</v>
      </c>
      <c r="J6868">
        <v>-187.86660000000001</v>
      </c>
      <c r="K6868">
        <v>1.1080270000000001</v>
      </c>
      <c r="L6868">
        <v>102.2076</v>
      </c>
      <c r="M6868">
        <v>1.7438359999999999E-3</v>
      </c>
      <c r="N6868">
        <v>0</v>
      </c>
      <c r="O6868">
        <v>0.99992020000000004</v>
      </c>
      <c r="P6868">
        <v>0.2285558</v>
      </c>
      <c r="Q6868">
        <v>0.13877970000000001</v>
      </c>
      <c r="R6868">
        <v>0.96358829999999995</v>
      </c>
      <c r="S6868">
        <v>0.71441650000000001</v>
      </c>
      <c r="T6868">
        <v>-0.22445960000000001</v>
      </c>
      <c r="U6868">
        <v>2.9764400000000002</v>
      </c>
      <c r="V6868">
        <v>0.2271995</v>
      </c>
      <c r="W6868">
        <v>0.1503362</v>
      </c>
      <c r="X6868">
        <v>0.96217430000000004</v>
      </c>
      <c r="Y6868">
        <v>0.23107349999999999</v>
      </c>
      <c r="Z6868">
        <v>-7.3147870000000004E-2</v>
      </c>
      <c r="AA6868">
        <v>0.97018269999999995</v>
      </c>
      <c r="AB6868">
        <v>29</v>
      </c>
      <c r="AC6868">
        <v>3.5257999999999998</v>
      </c>
      <c r="AD6868">
        <v>-1.1080310522279999</v>
      </c>
      <c r="AE6868">
        <v>14.531000000000001</v>
      </c>
      <c r="AF6868">
        <v>3.4813362044702401</v>
      </c>
      <c r="AG6868">
        <v>-1.1080310522279999</v>
      </c>
      <c r="AH6868">
        <v>14.4577362478549</v>
      </c>
      <c r="AI6868">
        <v>94.261214687921296</v>
      </c>
      <c r="AJ6868">
        <v>76.461259067810701</v>
      </c>
      <c r="AK6868">
        <v>14.912195411601701</v>
      </c>
      <c r="AL6868">
        <v>81.353589530176606</v>
      </c>
      <c r="AM6868">
        <v>76.7140360743049</v>
      </c>
      <c r="AN6868">
        <v>0.99999998470558904</v>
      </c>
    </row>
    <row r="6869" spans="1:40" x14ac:dyDescent="0.25">
      <c r="A6869" t="str">
        <f>"20190312164639210"</f>
        <v>20190312164639210</v>
      </c>
      <c r="B6869" t="str">
        <f>"1552380399198420"</f>
        <v>1552380399198420</v>
      </c>
      <c r="C6869" t="s">
        <v>40</v>
      </c>
      <c r="D6869">
        <v>4.9333629999999999</v>
      </c>
      <c r="E6869">
        <v>0.50974240000000004</v>
      </c>
      <c r="F6869" t="s">
        <v>42</v>
      </c>
      <c r="G6869">
        <v>-184.32380000000001</v>
      </c>
      <c r="H6869" s="1">
        <v>-4.1274300000000001E-6</v>
      </c>
      <c r="I6869">
        <v>116.90689999999999</v>
      </c>
      <c r="J6869">
        <v>-187.8656</v>
      </c>
      <c r="K6869">
        <v>1.1080019999999999</v>
      </c>
      <c r="L6869">
        <v>102.37430000000001</v>
      </c>
      <c r="M6869">
        <v>2.4277019999999999E-3</v>
      </c>
      <c r="N6869">
        <v>0</v>
      </c>
      <c r="O6869">
        <v>0.99991790000000003</v>
      </c>
      <c r="P6869">
        <v>0.23114689999999999</v>
      </c>
      <c r="Q6869">
        <v>0.13791129999999999</v>
      </c>
      <c r="R6869">
        <v>0.96309480000000003</v>
      </c>
      <c r="S6869">
        <v>0.71716309999999905</v>
      </c>
      <c r="T6869">
        <v>-0.22429689999999999</v>
      </c>
      <c r="U6869">
        <v>2.9755549999999999</v>
      </c>
      <c r="V6869">
        <v>0.22914029999999999</v>
      </c>
      <c r="W6869">
        <v>0.14951539999999999</v>
      </c>
      <c r="X6869">
        <v>0.96184190000000003</v>
      </c>
      <c r="Y6869">
        <v>0.2313209</v>
      </c>
      <c r="Z6869">
        <v>-7.3106080000000004E-2</v>
      </c>
      <c r="AA6869">
        <v>0.97012690000000001</v>
      </c>
      <c r="AB6869">
        <v>29</v>
      </c>
      <c r="AC6869">
        <v>3.5417999999999901</v>
      </c>
      <c r="AD6869">
        <v>-1.1080061274299999</v>
      </c>
      <c r="AE6869">
        <v>14.532599999999899</v>
      </c>
      <c r="AF6869">
        <v>3.4873705607562</v>
      </c>
      <c r="AG6869">
        <v>-1.1080061274299999</v>
      </c>
      <c r="AH6869">
        <v>14.4618036069591</v>
      </c>
      <c r="AI6869">
        <v>94.259587313626298</v>
      </c>
      <c r="AJ6869">
        <v>76.442331046936502</v>
      </c>
      <c r="AK6869">
        <v>14.9175465332844</v>
      </c>
      <c r="AL6869">
        <v>81.401155548236602</v>
      </c>
      <c r="AM6869">
        <v>76.600155718580893</v>
      </c>
      <c r="AN6869">
        <v>0.99999998625843001</v>
      </c>
    </row>
    <row r="6870" spans="1:40" x14ac:dyDescent="0.25">
      <c r="A6870" t="str">
        <f>"20190312164639228"</f>
        <v>20190312164639228</v>
      </c>
      <c r="B6870" t="str">
        <f>"1552380399217940"</f>
        <v>1552380399217940</v>
      </c>
      <c r="C6870" t="s">
        <v>40</v>
      </c>
      <c r="D6870">
        <v>4.7732890000000001</v>
      </c>
      <c r="E6870">
        <v>0.50948019999999905</v>
      </c>
      <c r="F6870" t="s">
        <v>42</v>
      </c>
      <c r="G6870">
        <v>-184.28720000000001</v>
      </c>
      <c r="H6870" s="1">
        <v>-4.2101450000000003E-6</v>
      </c>
      <c r="I6870">
        <v>117.08459999999999</v>
      </c>
      <c r="J6870">
        <v>-187.8639</v>
      </c>
      <c r="K6870">
        <v>1.1079680000000001</v>
      </c>
      <c r="L6870">
        <v>102.6228</v>
      </c>
      <c r="M6870">
        <v>3.4833830000000001E-3</v>
      </c>
      <c r="N6870">
        <v>0</v>
      </c>
      <c r="O6870">
        <v>0.99991350000000001</v>
      </c>
      <c r="P6870">
        <v>0.23578760000000001</v>
      </c>
      <c r="Q6870">
        <v>0.1371183</v>
      </c>
      <c r="R6870">
        <v>0.96208249999999995</v>
      </c>
      <c r="S6870">
        <v>0.72331239999999997</v>
      </c>
      <c r="T6870">
        <v>-0.22396360000000001</v>
      </c>
      <c r="U6870">
        <v>2.9734189999999998</v>
      </c>
      <c r="V6870">
        <v>0.23277819999999999</v>
      </c>
      <c r="W6870">
        <v>0.1487822</v>
      </c>
      <c r="X6870">
        <v>0.96108170000000004</v>
      </c>
      <c r="Y6870">
        <v>0.23234920000000001</v>
      </c>
      <c r="Z6870">
        <v>-7.3021909999999995E-2</v>
      </c>
      <c r="AA6870">
        <v>0.96988739999999996</v>
      </c>
      <c r="AB6870">
        <v>29</v>
      </c>
      <c r="AC6870">
        <v>3.5766999999999798</v>
      </c>
      <c r="AD6870">
        <v>-1.107972210145</v>
      </c>
      <c r="AE6870">
        <v>14.461799999999901</v>
      </c>
      <c r="AF6870">
        <v>3.5069004527937002</v>
      </c>
      <c r="AG6870">
        <v>-1.107972210145</v>
      </c>
      <c r="AH6870">
        <v>14.394551333873</v>
      </c>
      <c r="AI6870">
        <v>94.276860903927698</v>
      </c>
      <c r="AJ6870">
        <v>76.307938731295394</v>
      </c>
      <c r="AK6870">
        <v>14.856953298296499</v>
      </c>
      <c r="AL6870">
        <v>81.443639561595305</v>
      </c>
      <c r="AM6870">
        <v>76.384903537762995</v>
      </c>
      <c r="AN6870">
        <v>0.99999993375348195</v>
      </c>
    </row>
    <row r="6871" spans="1:40" x14ac:dyDescent="0.25">
      <c r="A6871" t="str">
        <f>"20190312164639240"</f>
        <v>20190312164639240</v>
      </c>
      <c r="B6871" t="str">
        <f>"1552380399227700"</f>
        <v>1552380399227700</v>
      </c>
      <c r="C6871" t="s">
        <v>40</v>
      </c>
      <c r="D6871">
        <v>4.7736519999999896</v>
      </c>
      <c r="E6871">
        <v>0.50931899999999997</v>
      </c>
      <c r="F6871" t="s">
        <v>42</v>
      </c>
      <c r="G6871">
        <v>-184.33189999999999</v>
      </c>
      <c r="H6871" s="1">
        <v>-4.1323040000000003E-6</v>
      </c>
      <c r="I6871">
        <v>116.9216</v>
      </c>
      <c r="J6871">
        <v>-187.86259999999999</v>
      </c>
      <c r="K6871">
        <v>1.107947</v>
      </c>
      <c r="L6871">
        <v>102.7773</v>
      </c>
      <c r="M6871">
        <v>4.155761E-3</v>
      </c>
      <c r="N6871">
        <v>0</v>
      </c>
      <c r="O6871">
        <v>0.99991019999999997</v>
      </c>
      <c r="P6871">
        <v>0.23849339999999999</v>
      </c>
      <c r="Q6871">
        <v>0.13672300000000001</v>
      </c>
      <c r="R6871">
        <v>0.96147159999999998</v>
      </c>
      <c r="S6871">
        <v>0.73393249999999999</v>
      </c>
      <c r="T6871">
        <v>-0.23022970000000001</v>
      </c>
      <c r="U6871">
        <v>2.9711910000000001</v>
      </c>
      <c r="V6871">
        <v>0.23484440000000001</v>
      </c>
      <c r="W6871">
        <v>0.1484219</v>
      </c>
      <c r="X6871">
        <v>0.96063469999999995</v>
      </c>
      <c r="Y6871">
        <v>0.23509530000000001</v>
      </c>
      <c r="Z6871">
        <v>-7.5050909999999998E-2</v>
      </c>
      <c r="AA6871">
        <v>0.96907049999999995</v>
      </c>
      <c r="AB6871">
        <v>29</v>
      </c>
      <c r="AC6871">
        <v>3.5306999999999902</v>
      </c>
      <c r="AD6871">
        <v>-1.1079511323039899</v>
      </c>
      <c r="AE6871">
        <v>14.144299999999999</v>
      </c>
      <c r="AF6871">
        <v>3.4519459752042199</v>
      </c>
      <c r="AG6871">
        <v>-1.1079511323039899</v>
      </c>
      <c r="AH6871">
        <v>14.077539947550299</v>
      </c>
      <c r="AI6871">
        <v>94.371129450449203</v>
      </c>
      <c r="AJ6871">
        <v>76.222378242432995</v>
      </c>
      <c r="AK6871">
        <v>14.5368709735684</v>
      </c>
      <c r="AL6871">
        <v>81.464515492293401</v>
      </c>
      <c r="AM6871">
        <v>76.2624606323959</v>
      </c>
      <c r="AN6871">
        <v>0.99999998972752902</v>
      </c>
    </row>
    <row r="6872" spans="1:40" x14ac:dyDescent="0.25">
      <c r="A6872" t="str">
        <f>"20190312164639253"</f>
        <v>20190312164639253</v>
      </c>
      <c r="B6872" t="str">
        <f>"1552380399248197"</f>
        <v>1552380399248197</v>
      </c>
      <c r="C6872" t="s">
        <v>40</v>
      </c>
      <c r="D6872">
        <v>4.7894489999999896</v>
      </c>
      <c r="E6872">
        <v>0.50899079999999997</v>
      </c>
      <c r="F6872" t="s">
        <v>42</v>
      </c>
      <c r="G6872">
        <v>-184.3193</v>
      </c>
      <c r="H6872" s="1">
        <v>-4.1662190000000003E-6</v>
      </c>
      <c r="I6872">
        <v>116.9954</v>
      </c>
      <c r="J6872">
        <v>-187.8612</v>
      </c>
      <c r="K6872">
        <v>1.1079319999999999</v>
      </c>
      <c r="L6872">
        <v>102.93819999999999</v>
      </c>
      <c r="M6872">
        <v>4.8606500000000002E-3</v>
      </c>
      <c r="N6872">
        <v>0</v>
      </c>
      <c r="O6872">
        <v>0.99990630000000003</v>
      </c>
      <c r="P6872">
        <v>0.2413071</v>
      </c>
      <c r="Q6872">
        <v>0.13663110000000001</v>
      </c>
      <c r="R6872">
        <v>0.96078240000000004</v>
      </c>
      <c r="S6872">
        <v>0.74005129999999997</v>
      </c>
      <c r="T6872">
        <v>-0.23140379999999999</v>
      </c>
      <c r="U6872">
        <v>2.9695740000000002</v>
      </c>
      <c r="V6872">
        <v>0.23698839999999999</v>
      </c>
      <c r="W6872">
        <v>0.14836489999999999</v>
      </c>
      <c r="X6872">
        <v>0.96011690000000005</v>
      </c>
      <c r="Y6872">
        <v>0.2364067</v>
      </c>
      <c r="Z6872">
        <v>-7.5440209999999994E-2</v>
      </c>
      <c r="AA6872">
        <v>0.96872119999999995</v>
      </c>
      <c r="AB6872">
        <v>29</v>
      </c>
      <c r="AC6872">
        <v>3.5418999999999898</v>
      </c>
      <c r="AD6872">
        <v>-1.1079361662189999</v>
      </c>
      <c r="AE6872">
        <v>14.0572</v>
      </c>
      <c r="AF6872">
        <v>3.45335378336517</v>
      </c>
      <c r="AG6872">
        <v>-1.1079361662189999</v>
      </c>
      <c r="AH6872">
        <v>13.992518508426899</v>
      </c>
      <c r="AI6872">
        <v>94.395910464466297</v>
      </c>
      <c r="AJ6872">
        <v>76.136446610469207</v>
      </c>
      <c r="AK6872">
        <v>14.4548866861753</v>
      </c>
      <c r="AL6872">
        <v>81.467818462801702</v>
      </c>
      <c r="AM6872">
        <v>76.134672830811795</v>
      </c>
      <c r="AN6872">
        <v>1.00000005347608</v>
      </c>
    </row>
    <row r="6873" spans="1:40" x14ac:dyDescent="0.25">
      <c r="A6873" t="str">
        <f>"20190312164639265"</f>
        <v>20190312164639265</v>
      </c>
      <c r="B6873" t="str">
        <f>"1552380399257957"</f>
        <v>1552380399257957</v>
      </c>
      <c r="C6873" t="s">
        <v>40</v>
      </c>
      <c r="D6873">
        <v>4.7970290000000002</v>
      </c>
      <c r="E6873">
        <v>0.50878190000000001</v>
      </c>
      <c r="F6873" t="s">
        <v>42</v>
      </c>
      <c r="G6873">
        <v>-184.2303</v>
      </c>
      <c r="H6873" s="1">
        <v>-4.3536979999999999E-6</v>
      </c>
      <c r="I6873">
        <v>117.39570000000001</v>
      </c>
      <c r="J6873">
        <v>-187.8597</v>
      </c>
      <c r="K6873">
        <v>1.10792</v>
      </c>
      <c r="L6873">
        <v>103.1003</v>
      </c>
      <c r="M6873">
        <v>5.5778149999999999E-3</v>
      </c>
      <c r="N6873">
        <v>0</v>
      </c>
      <c r="O6873">
        <v>0.99990190000000001</v>
      </c>
      <c r="P6873">
        <v>0.2441874</v>
      </c>
      <c r="Q6873">
        <v>0.13646800000000001</v>
      </c>
      <c r="R6873">
        <v>0.96007759999999998</v>
      </c>
      <c r="S6873">
        <v>0.74528499999999998</v>
      </c>
      <c r="T6873">
        <v>-0.2274188</v>
      </c>
      <c r="U6873">
        <v>2.96759</v>
      </c>
      <c r="V6873">
        <v>0.2391867</v>
      </c>
      <c r="W6873">
        <v>0.1482347</v>
      </c>
      <c r="X6873">
        <v>0.95959170000000005</v>
      </c>
      <c r="Y6873">
        <v>0.2374927</v>
      </c>
      <c r="Z6873">
        <v>-7.4170330000000007E-2</v>
      </c>
      <c r="AA6873">
        <v>0.96855349999999996</v>
      </c>
      <c r="AB6873">
        <v>29</v>
      </c>
      <c r="AC6873">
        <v>3.6294</v>
      </c>
      <c r="AD6873">
        <v>-1.1079243536979999</v>
      </c>
      <c r="AE6873">
        <v>14.295400000000001</v>
      </c>
      <c r="AF6873">
        <v>3.5296823593817099</v>
      </c>
      <c r="AG6873">
        <v>-1.1079243536979999</v>
      </c>
      <c r="AH6873">
        <v>14.2350967586113</v>
      </c>
      <c r="AI6873">
        <v>94.320080447969701</v>
      </c>
      <c r="AJ6873">
        <v>76.074015180822798</v>
      </c>
      <c r="AK6873">
        <v>14.7079615738781</v>
      </c>
      <c r="AL6873">
        <v>81.475361472210096</v>
      </c>
      <c r="AM6873">
        <v>76.003731663408502</v>
      </c>
      <c r="AN6873">
        <v>1.0000000172249299</v>
      </c>
    </row>
    <row r="6874" spans="1:40" x14ac:dyDescent="0.25">
      <c r="A6874" t="str">
        <f>"20190312164639285"</f>
        <v>20190312164639285</v>
      </c>
      <c r="B6874" t="str">
        <f>"1552380399278452"</f>
        <v>1552380399278452</v>
      </c>
      <c r="C6874" t="s">
        <v>40</v>
      </c>
      <c r="D6874">
        <v>4.7951290000000002</v>
      </c>
      <c r="E6874">
        <v>0.50860079999999996</v>
      </c>
      <c r="F6874" t="s">
        <v>42</v>
      </c>
      <c r="G6874">
        <v>-184.23419999999999</v>
      </c>
      <c r="H6874" s="1">
        <v>-4.3628209999999999E-6</v>
      </c>
      <c r="I6874">
        <v>117.4186</v>
      </c>
      <c r="J6874">
        <v>-187.857</v>
      </c>
      <c r="K6874">
        <v>1.107912</v>
      </c>
      <c r="L6874">
        <v>103.35120000000001</v>
      </c>
      <c r="M6874">
        <v>6.6949959999999999E-3</v>
      </c>
      <c r="N6874">
        <v>0</v>
      </c>
      <c r="O6874">
        <v>0.99989399999999995</v>
      </c>
      <c r="P6874">
        <v>0.249752</v>
      </c>
      <c r="Q6874">
        <v>0.13636699999999999</v>
      </c>
      <c r="R6874">
        <v>0.9586595</v>
      </c>
      <c r="S6874">
        <v>0.75108339999999996</v>
      </c>
      <c r="T6874">
        <v>-0.22953029999999999</v>
      </c>
      <c r="U6874">
        <v>2.9663390000000001</v>
      </c>
      <c r="V6874">
        <v>0.2436905</v>
      </c>
      <c r="W6874">
        <v>0.1481748</v>
      </c>
      <c r="X6874">
        <v>0.95846710000000002</v>
      </c>
      <c r="Y6874">
        <v>0.23827139999999999</v>
      </c>
      <c r="Z6874">
        <v>-7.4859949999999995E-2</v>
      </c>
      <c r="AA6874">
        <v>0.96830919999999998</v>
      </c>
      <c r="AB6874">
        <v>29</v>
      </c>
      <c r="AC6874">
        <v>3.62280000000001</v>
      </c>
      <c r="AD6874">
        <v>-1.107916362821</v>
      </c>
      <c r="AE6874">
        <v>14.0673999999999</v>
      </c>
      <c r="AF6874">
        <v>3.5081230459983401</v>
      </c>
      <c r="AG6874">
        <v>-1.107916362821</v>
      </c>
      <c r="AH6874">
        <v>14.0098463119492</v>
      </c>
      <c r="AI6874">
        <v>94.386727826779307</v>
      </c>
      <c r="AJ6874">
        <v>75.941966991819896</v>
      </c>
      <c r="AK6874">
        <v>14.4848265318335</v>
      </c>
      <c r="AL6874">
        <v>81.478831720986705</v>
      </c>
      <c r="AM6874">
        <v>75.734790120910205</v>
      </c>
      <c r="AN6874">
        <v>1.0000000064638499</v>
      </c>
    </row>
    <row r="6875" spans="1:40" x14ac:dyDescent="0.25">
      <c r="A6875" t="str">
        <f>"20190312164639299"</f>
        <v>20190312164639299</v>
      </c>
      <c r="B6875" t="str">
        <f>"1552380399288212"</f>
        <v>1552380399288212</v>
      </c>
      <c r="C6875" t="s">
        <v>40</v>
      </c>
      <c r="D6875">
        <v>4.7759199999999904</v>
      </c>
      <c r="E6875">
        <v>0.50842540000000003</v>
      </c>
      <c r="F6875" t="s">
        <v>42</v>
      </c>
      <c r="G6875">
        <v>-184.09729999999999</v>
      </c>
      <c r="H6875" s="1">
        <v>-4.5944730000000001E-6</v>
      </c>
      <c r="I6875">
        <v>117.9019</v>
      </c>
      <c r="J6875">
        <v>-187.85489999999999</v>
      </c>
      <c r="K6875">
        <v>1.107912</v>
      </c>
      <c r="L6875">
        <v>103.533</v>
      </c>
      <c r="M6875">
        <v>7.5042080000000001E-3</v>
      </c>
      <c r="N6875">
        <v>0</v>
      </c>
      <c r="O6875">
        <v>0.99988759999999999</v>
      </c>
      <c r="P6875">
        <v>0.2528087</v>
      </c>
      <c r="Q6875">
        <v>0.13648109999999999</v>
      </c>
      <c r="R6875">
        <v>0.95784170000000002</v>
      </c>
      <c r="S6875">
        <v>0.76536559999999998</v>
      </c>
      <c r="T6875">
        <v>-0.22553529999999999</v>
      </c>
      <c r="U6875">
        <v>2.9620510000000002</v>
      </c>
      <c r="V6875">
        <v>0.24597720000000001</v>
      </c>
      <c r="W6875">
        <v>0.14832239999999999</v>
      </c>
      <c r="X6875">
        <v>0.95785989999999999</v>
      </c>
      <c r="Y6875">
        <v>0.24222260000000001</v>
      </c>
      <c r="Z6875">
        <v>-7.3586719999999994E-2</v>
      </c>
      <c r="AA6875">
        <v>0.96742609999999996</v>
      </c>
      <c r="AB6875">
        <v>29</v>
      </c>
      <c r="AC6875">
        <v>3.7575999999999898</v>
      </c>
      <c r="AD6875">
        <v>-1.1079165944730001</v>
      </c>
      <c r="AE6875">
        <v>14.3689</v>
      </c>
      <c r="AF6875">
        <v>3.6294611715724998</v>
      </c>
      <c r="AG6875">
        <v>-1.1079165944730001</v>
      </c>
      <c r="AH6875">
        <v>14.317026183225501</v>
      </c>
      <c r="AI6875">
        <v>94.289822148720006</v>
      </c>
      <c r="AJ6875">
        <v>75.774816123770606</v>
      </c>
      <c r="AK6875">
        <v>14.8114046027858</v>
      </c>
      <c r="AL6875">
        <v>81.470279910177197</v>
      </c>
      <c r="AM6875">
        <v>75.597722888756195</v>
      </c>
      <c r="AN6875">
        <v>0.99999995264480301</v>
      </c>
    </row>
    <row r="6876" spans="1:40" x14ac:dyDescent="0.25">
      <c r="A6876" t="str">
        <f>"20190312164639319"</f>
        <v>20190312164639319</v>
      </c>
      <c r="B6876" t="str">
        <f>"1552380399307732"</f>
        <v>1552380399307732</v>
      </c>
      <c r="C6876" t="s">
        <v>40</v>
      </c>
      <c r="D6876">
        <v>4.817628</v>
      </c>
      <c r="E6876">
        <v>0.50815500000000002</v>
      </c>
      <c r="F6876" t="s">
        <v>42</v>
      </c>
      <c r="G6876">
        <v>-184.05019999999999</v>
      </c>
      <c r="H6876" s="1">
        <v>-4.6900540000000002E-6</v>
      </c>
      <c r="I6876">
        <v>118.1053</v>
      </c>
      <c r="J6876">
        <v>-187.8518</v>
      </c>
      <c r="K6876">
        <v>1.107915</v>
      </c>
      <c r="L6876">
        <v>103.7871</v>
      </c>
      <c r="M6876">
        <v>8.6280850000000006E-3</v>
      </c>
      <c r="N6876">
        <v>0</v>
      </c>
      <c r="O6876">
        <v>0.99987780000000004</v>
      </c>
      <c r="P6876">
        <v>0.25819809999999999</v>
      </c>
      <c r="Q6876">
        <v>0.13650880000000001</v>
      </c>
      <c r="R6876">
        <v>0.956399</v>
      </c>
      <c r="S6876">
        <v>0.77285769999999998</v>
      </c>
      <c r="T6876">
        <v>-0.2250547</v>
      </c>
      <c r="U6876">
        <v>2.9601139999999999</v>
      </c>
      <c r="V6876">
        <v>0.25029899999999999</v>
      </c>
      <c r="W6876">
        <v>0.14838850000000001</v>
      </c>
      <c r="X6876">
        <v>0.95672950000000001</v>
      </c>
      <c r="Y6876">
        <v>0.24358189999999999</v>
      </c>
      <c r="Z6876">
        <v>-7.3440519999999995E-2</v>
      </c>
      <c r="AA6876">
        <v>0.96709590000000001</v>
      </c>
      <c r="AB6876">
        <v>29</v>
      </c>
      <c r="AC6876">
        <v>3.8016000000000001</v>
      </c>
      <c r="AD6876">
        <v>-1.107919690054</v>
      </c>
      <c r="AE6876">
        <v>14.318199999999999</v>
      </c>
      <c r="AF6876">
        <v>3.6574527023178902</v>
      </c>
      <c r="AG6876">
        <v>-1.107919690054</v>
      </c>
      <c r="AH6876">
        <v>14.270652591977701</v>
      </c>
      <c r="AI6876">
        <v>94.300864607974404</v>
      </c>
      <c r="AJ6876">
        <v>75.624968438011805</v>
      </c>
      <c r="AK6876">
        <v>14.7734888130807</v>
      </c>
      <c r="AL6876">
        <v>81.466450999469203</v>
      </c>
      <c r="AM6876">
        <v>75.338908314522001</v>
      </c>
      <c r="AN6876">
        <v>1.0000000362517401</v>
      </c>
    </row>
    <row r="6877" spans="1:40" x14ac:dyDescent="0.25">
      <c r="A6877" t="str">
        <f>"20190312164639339"</f>
        <v>20190312164639339</v>
      </c>
      <c r="B6877" t="str">
        <f>"1552380399328228"</f>
        <v>1552380399328228</v>
      </c>
      <c r="C6877" t="s">
        <v>40</v>
      </c>
      <c r="D6877">
        <v>5.0136029999999998</v>
      </c>
      <c r="E6877">
        <v>0.50788359999999899</v>
      </c>
      <c r="F6877" t="s">
        <v>42</v>
      </c>
      <c r="G6877">
        <v>-183.9162</v>
      </c>
      <c r="H6877" s="1">
        <v>-4.9132529999999998E-6</v>
      </c>
      <c r="I6877">
        <v>118.5701</v>
      </c>
      <c r="J6877">
        <v>-187.84819999999999</v>
      </c>
      <c r="K6877">
        <v>1.1079330000000001</v>
      </c>
      <c r="L6877">
        <v>104.0518</v>
      </c>
      <c r="M6877">
        <v>9.7842199999999997E-3</v>
      </c>
      <c r="N6877">
        <v>0</v>
      </c>
      <c r="O6877">
        <v>0.99986629999999999</v>
      </c>
      <c r="P6877">
        <v>0.26409919999999998</v>
      </c>
      <c r="Q6877">
        <v>0.13720579999999999</v>
      </c>
      <c r="R6877">
        <v>0.95468640000000005</v>
      </c>
      <c r="S6877">
        <v>0.78692629999999997</v>
      </c>
      <c r="T6877">
        <v>-0.22153400000000001</v>
      </c>
      <c r="U6877">
        <v>2.9559479999999998</v>
      </c>
      <c r="V6877">
        <v>0.25510630000000001</v>
      </c>
      <c r="W6877">
        <v>0.14911839999999901</v>
      </c>
      <c r="X6877">
        <v>0.95534520000000001</v>
      </c>
      <c r="Y6877">
        <v>0.24711649999999999</v>
      </c>
      <c r="Z6877">
        <v>-7.2318919999999995E-2</v>
      </c>
      <c r="AA6877">
        <v>0.96628329999999996</v>
      </c>
      <c r="AB6877">
        <v>29</v>
      </c>
      <c r="AC6877">
        <v>3.93199999999998</v>
      </c>
      <c r="AD6877">
        <v>-1.1079379132529901</v>
      </c>
      <c r="AE6877">
        <v>14.518299999999901</v>
      </c>
      <c r="AF6877">
        <v>3.7692981234713301</v>
      </c>
      <c r="AG6877">
        <v>-1.1079379132529901</v>
      </c>
      <c r="AH6877">
        <v>14.4775286157466</v>
      </c>
      <c r="AI6877">
        <v>94.2355483443244</v>
      </c>
      <c r="AJ6877">
        <v>75.406729066621494</v>
      </c>
      <c r="AK6877">
        <v>15.001132276698</v>
      </c>
      <c r="AL6877">
        <v>81.424159866261206</v>
      </c>
      <c r="AM6877">
        <v>75.049122805192795</v>
      </c>
      <c r="AN6877">
        <v>0.99999998634064502</v>
      </c>
    </row>
    <row r="6878" spans="1:40" x14ac:dyDescent="0.25">
      <c r="A6878" t="str">
        <f>"20190312164639352"</f>
        <v>20190312164639352</v>
      </c>
      <c r="B6878" t="str">
        <f>"1552380399347748"</f>
        <v>1552380399347748</v>
      </c>
      <c r="C6878" t="s">
        <v>40</v>
      </c>
      <c r="D6878">
        <v>4.9923099999999998</v>
      </c>
      <c r="E6878">
        <v>0.50770119999999996</v>
      </c>
      <c r="F6878" t="s">
        <v>42</v>
      </c>
      <c r="G6878">
        <v>-183.84219999999999</v>
      </c>
      <c r="H6878" s="1">
        <v>-5.0257330000000003E-6</v>
      </c>
      <c r="I6878">
        <v>118.8017</v>
      </c>
      <c r="J6878">
        <v>-187.8459</v>
      </c>
      <c r="K6878">
        <v>1.107942</v>
      </c>
      <c r="L6878">
        <v>104.2105</v>
      </c>
      <c r="M6878">
        <v>1.047003E-2</v>
      </c>
      <c r="N6878">
        <v>0</v>
      </c>
      <c r="O6878">
        <v>0.99985889999999999</v>
      </c>
      <c r="P6878">
        <v>0.26704719999999998</v>
      </c>
      <c r="Q6878">
        <v>0.13751930000000001</v>
      </c>
      <c r="R6878">
        <v>0.95382089999999997</v>
      </c>
      <c r="S6878">
        <v>0.80186459999999904</v>
      </c>
      <c r="T6878">
        <v>-0.2217729</v>
      </c>
      <c r="U6878">
        <v>2.9524539999999999</v>
      </c>
      <c r="V6878">
        <v>0.25740459999999998</v>
      </c>
      <c r="W6878">
        <v>0.14945269999999999</v>
      </c>
      <c r="X6878">
        <v>0.95467630000000003</v>
      </c>
      <c r="Y6878">
        <v>0.2512916</v>
      </c>
      <c r="Z6878">
        <v>-7.2392020000000001E-2</v>
      </c>
      <c r="AA6878">
        <v>0.96520050000000002</v>
      </c>
      <c r="AB6878">
        <v>29</v>
      </c>
      <c r="AC6878">
        <v>4.0037000000000003</v>
      </c>
      <c r="AD6878">
        <v>-1.107947025733</v>
      </c>
      <c r="AE6878">
        <v>14.591200000000001</v>
      </c>
      <c r="AF6878">
        <v>3.8301595546482701</v>
      </c>
      <c r="AG6878">
        <v>-1.107947025733</v>
      </c>
      <c r="AH6878">
        <v>14.554281910209401</v>
      </c>
      <c r="AI6878">
        <v>94.210439411348602</v>
      </c>
      <c r="AJ6878">
        <v>75.256122863109994</v>
      </c>
      <c r="AK6878">
        <v>15.0905530298841</v>
      </c>
      <c r="AL6878">
        <v>81.404789262153301</v>
      </c>
      <c r="AM6878">
        <v>74.910452641148098</v>
      </c>
      <c r="AN6878">
        <v>1.00000003771006</v>
      </c>
    </row>
    <row r="6879" spans="1:40" x14ac:dyDescent="0.25">
      <c r="A6879" t="str">
        <f>"20190312164639364"</f>
        <v>20190312164639364</v>
      </c>
      <c r="B6879" t="str">
        <f>"1552380399358485"</f>
        <v>1552380399358485</v>
      </c>
      <c r="C6879" t="s">
        <v>40</v>
      </c>
      <c r="D6879">
        <v>4.8426130000000001</v>
      </c>
      <c r="E6879">
        <v>0.50751619999999997</v>
      </c>
      <c r="F6879" t="s">
        <v>42</v>
      </c>
      <c r="G6879">
        <v>-183.79910000000001</v>
      </c>
      <c r="H6879" s="1">
        <v>-5.1107549999999997E-6</v>
      </c>
      <c r="I6879">
        <v>118.9821</v>
      </c>
      <c r="J6879">
        <v>-187.84350000000001</v>
      </c>
      <c r="K6879">
        <v>1.1079540000000001</v>
      </c>
      <c r="L6879">
        <v>104.3721</v>
      </c>
      <c r="M6879">
        <v>1.1159540000000001E-2</v>
      </c>
      <c r="N6879">
        <v>0</v>
      </c>
      <c r="O6879">
        <v>0.99985109999999999</v>
      </c>
      <c r="P6879">
        <v>0.27034599999999998</v>
      </c>
      <c r="Q6879">
        <v>0.1379148</v>
      </c>
      <c r="R6879">
        <v>0.95283399999999996</v>
      </c>
      <c r="S6879">
        <v>0.80841059999999998</v>
      </c>
      <c r="T6879">
        <v>-0.221329</v>
      </c>
      <c r="U6879">
        <v>2.9508359999999998</v>
      </c>
      <c r="V6879">
        <v>0.26005230000000001</v>
      </c>
      <c r="W6879">
        <v>0.1498661</v>
      </c>
      <c r="X6879">
        <v>0.95389349999999995</v>
      </c>
      <c r="Y6879">
        <v>0.25275330000000001</v>
      </c>
      <c r="Z6879">
        <v>-7.2250490000000001E-2</v>
      </c>
      <c r="AA6879">
        <v>0.9648293</v>
      </c>
      <c r="AB6879">
        <v>29</v>
      </c>
      <c r="AC6879">
        <v>4.0443999999999898</v>
      </c>
      <c r="AD6879">
        <v>-1.107959110755</v>
      </c>
      <c r="AE6879">
        <v>14.61</v>
      </c>
      <c r="AF6879">
        <v>3.8604716076793602</v>
      </c>
      <c r="AG6879">
        <v>-1.107959110755</v>
      </c>
      <c r="AH6879">
        <v>14.576364991654501</v>
      </c>
      <c r="AI6879">
        <v>94.202391792835201</v>
      </c>
      <c r="AJ6879">
        <v>75.166092596589394</v>
      </c>
      <c r="AK6879">
        <v>15.1195645041362</v>
      </c>
      <c r="AL6879">
        <v>81.380832434478705</v>
      </c>
      <c r="AM6879">
        <v>74.750498557416506</v>
      </c>
      <c r="AN6879">
        <v>0.99999992800337201</v>
      </c>
    </row>
    <row r="6880" spans="1:40" x14ac:dyDescent="0.25">
      <c r="A6880" t="str">
        <f>"20190312164639376"</f>
        <v>20190312164639376</v>
      </c>
      <c r="B6880" t="str">
        <f>"1552380399368245"</f>
        <v>1552380399368245</v>
      </c>
      <c r="C6880" t="s">
        <v>40</v>
      </c>
      <c r="D6880">
        <v>4.8456320000000002</v>
      </c>
      <c r="E6880">
        <v>0.5073318</v>
      </c>
      <c r="F6880" t="s">
        <v>42</v>
      </c>
      <c r="G6880">
        <v>-183.74350000000001</v>
      </c>
      <c r="H6880" s="1">
        <v>-5.2068830000000002E-6</v>
      </c>
      <c r="I6880">
        <v>119.1832</v>
      </c>
      <c r="J6880">
        <v>-187.84110000000001</v>
      </c>
      <c r="K6880">
        <v>1.107969</v>
      </c>
      <c r="L6880">
        <v>104.5247</v>
      </c>
      <c r="M6880">
        <v>1.180254E-2</v>
      </c>
      <c r="N6880">
        <v>0</v>
      </c>
      <c r="O6880">
        <v>0.99984340000000005</v>
      </c>
      <c r="P6880">
        <v>0.27333689999999999</v>
      </c>
      <c r="Q6880">
        <v>0.13853299999999999</v>
      </c>
      <c r="R6880">
        <v>0.95189049999999997</v>
      </c>
      <c r="S6880">
        <v>0.81629940000000001</v>
      </c>
      <c r="T6880">
        <v>-0.2205906</v>
      </c>
      <c r="U6880">
        <v>2.9488219999999998</v>
      </c>
      <c r="V6880">
        <v>0.26243759999999999</v>
      </c>
      <c r="W6880">
        <v>0.15049979999999999</v>
      </c>
      <c r="X6880">
        <v>0.95314030000000005</v>
      </c>
      <c r="Y6880">
        <v>0.25470219999999999</v>
      </c>
      <c r="Z6880">
        <v>-7.2013419999999995E-2</v>
      </c>
      <c r="AA6880">
        <v>0.96433440000000004</v>
      </c>
      <c r="AB6880">
        <v>29</v>
      </c>
      <c r="AC6880">
        <v>4.0975999999999999</v>
      </c>
      <c r="AD6880">
        <v>-1.1079742068830001</v>
      </c>
      <c r="AE6880">
        <v>14.6585</v>
      </c>
      <c r="AF6880">
        <v>3.9036062491754402</v>
      </c>
      <c r="AG6880">
        <v>-1.1079742068830001</v>
      </c>
      <c r="AH6880">
        <v>14.628327701411701</v>
      </c>
      <c r="AI6880">
        <v>94.185494267686707</v>
      </c>
      <c r="AJ6880">
        <v>75.058641125079703</v>
      </c>
      <c r="AK6880">
        <v>15.1807022212943</v>
      </c>
      <c r="AL6880">
        <v>81.344108700727801</v>
      </c>
      <c r="AM6880">
        <v>74.605642204829607</v>
      </c>
      <c r="AN6880">
        <v>1.0000000575889401</v>
      </c>
    </row>
    <row r="6881" spans="1:40" x14ac:dyDescent="0.25">
      <c r="A6881" t="str">
        <f>"20190312164639387"</f>
        <v>20190312164639387</v>
      </c>
      <c r="B6881" t="str">
        <f>"1552380399378005"</f>
        <v>1552380399378005</v>
      </c>
      <c r="C6881" t="s">
        <v>40</v>
      </c>
      <c r="D6881">
        <v>4.8805239999999896</v>
      </c>
      <c r="E6881">
        <v>0.50712079999999904</v>
      </c>
      <c r="F6881" t="s">
        <v>42</v>
      </c>
      <c r="G6881">
        <v>-183.68389999999999</v>
      </c>
      <c r="H6881" s="1">
        <v>-5.310584E-6</v>
      </c>
      <c r="I6881">
        <v>119.4003</v>
      </c>
      <c r="J6881">
        <v>-187.83850000000001</v>
      </c>
      <c r="K6881">
        <v>1.1079810000000001</v>
      </c>
      <c r="L6881">
        <v>104.6808</v>
      </c>
      <c r="M6881">
        <v>1.2456480000000001E-2</v>
      </c>
      <c r="N6881">
        <v>0</v>
      </c>
      <c r="O6881">
        <v>0.99983509999999998</v>
      </c>
      <c r="P6881">
        <v>0.27642480000000003</v>
      </c>
      <c r="Q6881">
        <v>0.13860500000000001</v>
      </c>
      <c r="R6881">
        <v>0.9509879</v>
      </c>
      <c r="S6881">
        <v>0.82359309999999997</v>
      </c>
      <c r="T6881">
        <v>-0.21950629999999999</v>
      </c>
      <c r="U6881">
        <v>2.9470830000000001</v>
      </c>
      <c r="V6881">
        <v>0.26490859999999999</v>
      </c>
      <c r="W6881">
        <v>0.15058650000000001</v>
      </c>
      <c r="X6881">
        <v>0.95244269999999998</v>
      </c>
      <c r="Y6881">
        <v>0.25643779999999999</v>
      </c>
      <c r="Z6881">
        <v>-7.1661059999999999E-2</v>
      </c>
      <c r="AA6881">
        <v>0.9639006</v>
      </c>
      <c r="AB6881">
        <v>29</v>
      </c>
      <c r="AC6881">
        <v>4.1546000000000101</v>
      </c>
      <c r="AD6881">
        <v>-1.107986310584</v>
      </c>
      <c r="AE6881">
        <v>14.719499999999901</v>
      </c>
      <c r="AF6881">
        <v>3.9501779335918901</v>
      </c>
      <c r="AG6881">
        <v>-1.107986310584</v>
      </c>
      <c r="AH6881">
        <v>14.693005201574801</v>
      </c>
      <c r="AI6881">
        <v>94.165110578049706</v>
      </c>
      <c r="AJ6881">
        <v>74.951988554172303</v>
      </c>
      <c r="AK6881">
        <v>15.2550300302878</v>
      </c>
      <c r="AL6881">
        <v>81.3390832016632</v>
      </c>
      <c r="AM6881">
        <v>74.456836544370006</v>
      </c>
      <c r="AN6881">
        <v>0.99999997855974898</v>
      </c>
    </row>
    <row r="6882" spans="1:40" x14ac:dyDescent="0.25">
      <c r="A6882" t="str">
        <f>"20190312164639400"</f>
        <v>20190312164639400</v>
      </c>
      <c r="B6882" t="str">
        <f>"1552380399387765"</f>
        <v>1552380399387765</v>
      </c>
      <c r="C6882" t="s">
        <v>40</v>
      </c>
      <c r="D6882">
        <v>4.8969310000000004</v>
      </c>
      <c r="E6882">
        <v>0.50690979999999997</v>
      </c>
      <c r="F6882" t="s">
        <v>42</v>
      </c>
      <c r="G6882">
        <v>-183.6619</v>
      </c>
      <c r="H6882" s="1">
        <v>-5.3539370000000001E-6</v>
      </c>
      <c r="I6882">
        <v>119.4922</v>
      </c>
      <c r="J6882">
        <v>-187.83600000000001</v>
      </c>
      <c r="K6882">
        <v>1.107993</v>
      </c>
      <c r="L6882">
        <v>104.82810000000001</v>
      </c>
      <c r="M6882">
        <v>1.3061969999999999E-2</v>
      </c>
      <c r="N6882">
        <v>0</v>
      </c>
      <c r="O6882">
        <v>0.99982709999999997</v>
      </c>
      <c r="P6882">
        <v>0.27946759999999998</v>
      </c>
      <c r="Q6882">
        <v>0.13890169999999999</v>
      </c>
      <c r="R6882">
        <v>0.95005479999999998</v>
      </c>
      <c r="S6882">
        <v>0.83055109999999999</v>
      </c>
      <c r="T6882">
        <v>-0.22032860000000001</v>
      </c>
      <c r="U6882">
        <v>2.9453130000000001</v>
      </c>
      <c r="V6882">
        <v>0.26738279999999998</v>
      </c>
      <c r="W6882">
        <v>0.15089430000000001</v>
      </c>
      <c r="X6882">
        <v>0.95170239999999995</v>
      </c>
      <c r="Y6882">
        <v>0.2581078</v>
      </c>
      <c r="Z6882">
        <v>-7.1929980000000004E-2</v>
      </c>
      <c r="AA6882">
        <v>0.96343469999999998</v>
      </c>
      <c r="AB6882">
        <v>29</v>
      </c>
      <c r="AC6882">
        <v>4.1740999999999797</v>
      </c>
      <c r="AD6882">
        <v>-1.107998353937</v>
      </c>
      <c r="AE6882">
        <v>14.6640999999999</v>
      </c>
      <c r="AF6882">
        <v>3.9612648278626801</v>
      </c>
      <c r="AG6882">
        <v>-1.107998353937</v>
      </c>
      <c r="AH6882">
        <v>14.640058549942101</v>
      </c>
      <c r="AI6882">
        <v>94.178354969674899</v>
      </c>
      <c r="AJ6882">
        <v>74.859609764411601</v>
      </c>
      <c r="AK6882">
        <v>15.206925847603801</v>
      </c>
      <c r="AL6882">
        <v>81.321244382373393</v>
      </c>
      <c r="AM6882">
        <v>74.307179965096495</v>
      </c>
      <c r="AN6882">
        <v>1.00000005483704</v>
      </c>
    </row>
    <row r="6883" spans="1:40" x14ac:dyDescent="0.25">
      <c r="A6883" t="str">
        <f>"20190312164639418"</f>
        <v>20190312164639418</v>
      </c>
      <c r="B6883" t="str">
        <f>"1552380399408264"</f>
        <v>1552380399408264</v>
      </c>
      <c r="C6883" t="s">
        <v>40</v>
      </c>
      <c r="D6883">
        <v>4.8907020000000001</v>
      </c>
      <c r="E6883">
        <v>0.50640580000000002</v>
      </c>
      <c r="F6883" t="s">
        <v>42</v>
      </c>
      <c r="G6883">
        <v>-183.6414</v>
      </c>
      <c r="H6883" s="1">
        <v>-5.3921480000000001E-6</v>
      </c>
      <c r="I6883">
        <v>119.5728</v>
      </c>
      <c r="J6883">
        <v>-187.83179999999999</v>
      </c>
      <c r="K6883">
        <v>1.1080099999999999</v>
      </c>
      <c r="L6883">
        <v>105.0641</v>
      </c>
      <c r="M6883">
        <v>1.4023030000000001E-2</v>
      </c>
      <c r="N6883">
        <v>0</v>
      </c>
      <c r="O6883">
        <v>0.99981359999999997</v>
      </c>
      <c r="P6883">
        <v>0.28529700000000002</v>
      </c>
      <c r="Q6883">
        <v>0.13919089999999901</v>
      </c>
      <c r="R6883">
        <v>0.94827819999999996</v>
      </c>
      <c r="S6883">
        <v>0.83744810000000003</v>
      </c>
      <c r="T6883">
        <v>-0.22120809999999999</v>
      </c>
      <c r="U6883">
        <v>2.9437259999999998</v>
      </c>
      <c r="V6883">
        <v>0.27231519999999998</v>
      </c>
      <c r="W6883">
        <v>0.1511922</v>
      </c>
      <c r="X6883">
        <v>0.95025539999999997</v>
      </c>
      <c r="Y6883">
        <v>0.25939869999999998</v>
      </c>
      <c r="Z6883">
        <v>-7.221619E-2</v>
      </c>
      <c r="AA6883">
        <v>0.96306650000000005</v>
      </c>
      <c r="AB6883">
        <v>29</v>
      </c>
      <c r="AC6883">
        <v>4.1903999999999799</v>
      </c>
      <c r="AD6883">
        <v>-1.108015392148</v>
      </c>
      <c r="AE6883">
        <v>14.508699999999999</v>
      </c>
      <c r="AF6883">
        <v>3.9651688200930999</v>
      </c>
      <c r="AG6883">
        <v>-1.108015392148</v>
      </c>
      <c r="AH6883">
        <v>14.4880486355696</v>
      </c>
      <c r="AI6883">
        <v>94.218789771082399</v>
      </c>
      <c r="AJ6883">
        <v>74.693792347143003</v>
      </c>
      <c r="AK6883">
        <v>15.0616670773093</v>
      </c>
      <c r="AL6883">
        <v>81.303977283256799</v>
      </c>
      <c r="AM6883">
        <v>74.009257405126306</v>
      </c>
      <c r="AN6883">
        <v>0.99999998736051898</v>
      </c>
    </row>
    <row r="6884" spans="1:40" x14ac:dyDescent="0.25">
      <c r="A6884" t="str">
        <f>"20190312164639430"</f>
        <v>20190312164639430</v>
      </c>
      <c r="B6884" t="str">
        <f>"1552380399418021"</f>
        <v>1552380399418021</v>
      </c>
      <c r="C6884" t="s">
        <v>40</v>
      </c>
      <c r="D6884">
        <v>4.9000219999999999</v>
      </c>
      <c r="E6884">
        <v>0.50630779999999997</v>
      </c>
      <c r="F6884" t="s">
        <v>71</v>
      </c>
      <c r="G6884">
        <v>-183.5916</v>
      </c>
      <c r="H6884" s="1">
        <v>-1.7289310000000001E-6</v>
      </c>
      <c r="I6884">
        <v>119.7354</v>
      </c>
      <c r="J6884">
        <v>-187.82900000000001</v>
      </c>
      <c r="K6884">
        <v>1.1080190000000001</v>
      </c>
      <c r="L6884">
        <v>105.2169</v>
      </c>
      <c r="M6884">
        <v>1.463976E-2</v>
      </c>
      <c r="N6884">
        <v>0</v>
      </c>
      <c r="O6884">
        <v>0.99980460000000004</v>
      </c>
      <c r="P6884">
        <v>0.28855999999999998</v>
      </c>
      <c r="Q6884">
        <v>0.13896889999999901</v>
      </c>
      <c r="R6884">
        <v>0.94732300000000003</v>
      </c>
      <c r="S6884">
        <v>0.84985350000000004</v>
      </c>
      <c r="T6884">
        <v>-0.22207560000000001</v>
      </c>
      <c r="U6884">
        <v>2.9405209999999999</v>
      </c>
      <c r="V6884">
        <v>0.27500079999999999</v>
      </c>
      <c r="W6884">
        <v>0.15097769999999999</v>
      </c>
      <c r="X6884">
        <v>0.94951580000000002</v>
      </c>
      <c r="Y6884">
        <v>0.2628259</v>
      </c>
      <c r="Z6884">
        <v>-7.249709E-2</v>
      </c>
      <c r="AA6884">
        <v>0.96211579999999997</v>
      </c>
      <c r="AB6884">
        <v>29</v>
      </c>
      <c r="AC6884">
        <v>4.2374000000000001</v>
      </c>
      <c r="AD6884">
        <v>-1.108020728931</v>
      </c>
      <c r="AE6884">
        <v>14.5185</v>
      </c>
      <c r="AF6884">
        <v>4.00289529664889</v>
      </c>
      <c r="AG6884">
        <v>-1.108020728931</v>
      </c>
      <c r="AH6884">
        <v>14.5011529890976</v>
      </c>
      <c r="AI6884">
        <v>94.212485242475495</v>
      </c>
      <c r="AJ6884">
        <v>74.568376287449794</v>
      </c>
      <c r="AK6884">
        <v>15.084240740086701</v>
      </c>
      <c r="AL6884">
        <v>81.316409882487903</v>
      </c>
      <c r="AM6884">
        <v>73.847813171089996</v>
      </c>
      <c r="AN6884">
        <v>0.999999980173784</v>
      </c>
    </row>
    <row r="6885" spans="1:40" x14ac:dyDescent="0.25">
      <c r="A6885" t="str">
        <f>"20190312164639442"</f>
        <v>20190312164639442</v>
      </c>
      <c r="B6885" t="str">
        <f>"1552380399438517"</f>
        <v>1552380399438517</v>
      </c>
      <c r="C6885" t="s">
        <v>40</v>
      </c>
      <c r="D6885">
        <v>4.9496510000000002</v>
      </c>
      <c r="E6885">
        <v>0.50653139999999997</v>
      </c>
      <c r="F6885" t="s">
        <v>71</v>
      </c>
      <c r="G6885">
        <v>-183.58969999999999</v>
      </c>
      <c r="H6885" s="1">
        <v>-1.730172E-6</v>
      </c>
      <c r="I6885">
        <v>119.73779999999999</v>
      </c>
      <c r="J6885">
        <v>-187.82599999999999</v>
      </c>
      <c r="K6885">
        <v>1.1080270000000001</v>
      </c>
      <c r="L6885">
        <v>105.37439999999999</v>
      </c>
      <c r="M6885">
        <v>1.5269609999999999E-2</v>
      </c>
      <c r="N6885">
        <v>0</v>
      </c>
      <c r="O6885">
        <v>0.99979490000000004</v>
      </c>
      <c r="P6885">
        <v>0.29194560000000003</v>
      </c>
      <c r="Q6885">
        <v>0.13827159999999999</v>
      </c>
      <c r="R6885">
        <v>0.94638719999999998</v>
      </c>
      <c r="S6885">
        <v>0.85784910000000003</v>
      </c>
      <c r="T6885">
        <v>-0.224213</v>
      </c>
      <c r="U6885">
        <v>2.9383849999999998</v>
      </c>
      <c r="V6885">
        <v>0.2777963</v>
      </c>
      <c r="W6885">
        <v>0.1502867</v>
      </c>
      <c r="X6885">
        <v>0.94881139999999997</v>
      </c>
      <c r="Y6885">
        <v>0.26480419999999999</v>
      </c>
      <c r="Z6885">
        <v>-7.3193569999999999E-2</v>
      </c>
      <c r="AA6885">
        <v>0.96152040000000005</v>
      </c>
      <c r="AB6885">
        <v>29</v>
      </c>
      <c r="AC6885">
        <v>4.2363</v>
      </c>
      <c r="AD6885">
        <v>-1.108028730172</v>
      </c>
      <c r="AE6885">
        <v>14.3634</v>
      </c>
      <c r="AF6885">
        <v>3.99459375722958</v>
      </c>
      <c r="AG6885">
        <v>-1.108028730172</v>
      </c>
      <c r="AH6885">
        <v>14.3478667709236</v>
      </c>
      <c r="AI6885">
        <v>94.254767833576594</v>
      </c>
      <c r="AJ6885">
        <v>74.4422501897552</v>
      </c>
      <c r="AK6885">
        <v>14.9347175342675</v>
      </c>
      <c r="AL6885">
        <v>81.356458176114302</v>
      </c>
      <c r="AM6885">
        <v>73.680841231129094</v>
      </c>
      <c r="AN6885">
        <v>0.99999997463026902</v>
      </c>
    </row>
    <row r="6886" spans="1:40" x14ac:dyDescent="0.25">
      <c r="A6886" t="str">
        <f>"20190312164639462"</f>
        <v>20190312164639462</v>
      </c>
      <c r="B6886" t="str">
        <f>"1552380399458036"</f>
        <v>1552380399458036</v>
      </c>
      <c r="C6886" t="s">
        <v>40</v>
      </c>
      <c r="D6886">
        <v>4.932137</v>
      </c>
      <c r="E6886">
        <v>0.52325679999999997</v>
      </c>
      <c r="F6886" t="s">
        <v>42</v>
      </c>
      <c r="G6886">
        <v>-183.61259999999999</v>
      </c>
      <c r="H6886" s="1">
        <v>-5.4154760000000003E-6</v>
      </c>
      <c r="I6886">
        <v>119.6153</v>
      </c>
      <c r="J6886">
        <v>-187.82089999999999</v>
      </c>
      <c r="K6886">
        <v>1.108034</v>
      </c>
      <c r="L6886">
        <v>105.6322</v>
      </c>
      <c r="M6886">
        <v>1.6295649999999998E-2</v>
      </c>
      <c r="N6886">
        <v>0</v>
      </c>
      <c r="O6886">
        <v>0.99977830000000001</v>
      </c>
      <c r="P6886">
        <v>0.29570610000000003</v>
      </c>
      <c r="Q6886">
        <v>0.1377466</v>
      </c>
      <c r="R6886">
        <v>0.94529560000000001</v>
      </c>
      <c r="S6886">
        <v>0.86848449999999899</v>
      </c>
      <c r="T6886">
        <v>-0.22839190000000001</v>
      </c>
      <c r="U6886">
        <v>2.9353940000000001</v>
      </c>
      <c r="V6886">
        <v>0.28059319999999999</v>
      </c>
      <c r="W6886">
        <v>0.14977699999999999</v>
      </c>
      <c r="X6886">
        <v>0.94806869999999999</v>
      </c>
      <c r="Y6886">
        <v>0.26725520000000003</v>
      </c>
      <c r="Z6886">
        <v>-7.4557789999999999E-2</v>
      </c>
      <c r="AA6886">
        <v>0.96073710000000001</v>
      </c>
      <c r="AB6886">
        <v>29</v>
      </c>
      <c r="AC6886">
        <v>4.2083000000000004</v>
      </c>
      <c r="AD6886">
        <v>-1.108039415476</v>
      </c>
      <c r="AE6886">
        <v>13.9831</v>
      </c>
      <c r="AF6886">
        <v>3.9570735526249798</v>
      </c>
      <c r="AG6886">
        <v>-1.108039415476</v>
      </c>
      <c r="AH6886">
        <v>13.969394621546</v>
      </c>
      <c r="AI6886">
        <v>94.364143601429305</v>
      </c>
      <c r="AJ6886">
        <v>74.184305141112404</v>
      </c>
      <c r="AK6886">
        <v>14.5612557336107</v>
      </c>
      <c r="AL6886">
        <v>81.385996190315097</v>
      </c>
      <c r="AM6886">
        <v>73.513198627786196</v>
      </c>
      <c r="AN6886">
        <v>0.99999997676746399</v>
      </c>
    </row>
    <row r="6887" spans="1:40" x14ac:dyDescent="0.25">
      <c r="A6887" t="str">
        <f>"20190312164639474"</f>
        <v>20190312164639474</v>
      </c>
      <c r="B6887" t="str">
        <f>"1552380399467797"</f>
        <v>1552380399467797</v>
      </c>
      <c r="C6887" t="s">
        <v>40</v>
      </c>
      <c r="D6887">
        <v>4.9473289999999999</v>
      </c>
      <c r="E6887">
        <v>0.52302609999999905</v>
      </c>
      <c r="F6887" t="s">
        <v>42</v>
      </c>
      <c r="G6887">
        <v>-182.94550000000001</v>
      </c>
      <c r="H6887" s="1">
        <v>-5.5339090000000001E-6</v>
      </c>
      <c r="I6887">
        <v>119.6155</v>
      </c>
      <c r="J6887">
        <v>-187.8177</v>
      </c>
      <c r="K6887">
        <v>1.108034</v>
      </c>
      <c r="L6887">
        <v>105.7867</v>
      </c>
      <c r="M6887">
        <v>1.6907640000000002E-2</v>
      </c>
      <c r="N6887">
        <v>0</v>
      </c>
      <c r="O6887">
        <v>0.99976799999999999</v>
      </c>
      <c r="P6887">
        <v>0.29923899999999998</v>
      </c>
      <c r="Q6887">
        <v>0.13763049999999999</v>
      </c>
      <c r="R6887">
        <v>0.94420009999999999</v>
      </c>
      <c r="S6887">
        <v>1.008194</v>
      </c>
      <c r="T6887">
        <v>-0.22913159999999999</v>
      </c>
      <c r="U6887">
        <v>2.8916019999999998</v>
      </c>
      <c r="V6887">
        <v>0.2835606</v>
      </c>
      <c r="W6887">
        <v>0.1496596</v>
      </c>
      <c r="X6887">
        <v>0.94720400000000005</v>
      </c>
      <c r="Y6887">
        <v>0.31229040000000002</v>
      </c>
      <c r="Z6887">
        <v>-7.4805999999999997E-2</v>
      </c>
      <c r="AA6887">
        <v>0.94703689999999996</v>
      </c>
      <c r="AB6887">
        <v>29</v>
      </c>
      <c r="AC6887">
        <v>4.8721999999999897</v>
      </c>
      <c r="AD6887">
        <v>-1.1080395339089999</v>
      </c>
      <c r="AE6887">
        <v>13.828799999999999</v>
      </c>
      <c r="AF6887">
        <v>4.6113341522391504</v>
      </c>
      <c r="AG6887">
        <v>-1.1080395339089999</v>
      </c>
      <c r="AH6887">
        <v>13.830221003877099</v>
      </c>
      <c r="AI6887">
        <v>94.346342905100897</v>
      </c>
      <c r="AJ6887">
        <v>71.560351569663496</v>
      </c>
      <c r="AK6887">
        <v>14.6207786143008</v>
      </c>
      <c r="AL6887">
        <v>81.392799716133595</v>
      </c>
      <c r="AM6887">
        <v>73.334091781409299</v>
      </c>
      <c r="AN6887">
        <v>1.00000001368026</v>
      </c>
    </row>
    <row r="6888" spans="1:40" x14ac:dyDescent="0.25">
      <c r="A6888" t="str">
        <f>"20190312164639487"</f>
        <v>20190312164639487</v>
      </c>
      <c r="B6888" t="str">
        <f>"1552380399478533"</f>
        <v>1552380399478533</v>
      </c>
      <c r="C6888" t="s">
        <v>40</v>
      </c>
      <c r="D6888">
        <v>5.0051800000000002</v>
      </c>
      <c r="E6888">
        <v>0.5226229</v>
      </c>
      <c r="F6888" t="s">
        <v>71</v>
      </c>
      <c r="G6888">
        <v>-182.9479</v>
      </c>
      <c r="H6888" s="1">
        <v>-1.868807E-6</v>
      </c>
      <c r="I6888">
        <v>119.62869999999999</v>
      </c>
      <c r="J6888">
        <v>-187.8143</v>
      </c>
      <c r="K6888">
        <v>1.1080350000000001</v>
      </c>
      <c r="L6888">
        <v>105.94840000000001</v>
      </c>
      <c r="M6888">
        <v>1.754694E-2</v>
      </c>
      <c r="N6888">
        <v>0</v>
      </c>
      <c r="O6888">
        <v>0.9997568</v>
      </c>
      <c r="P6888">
        <v>0.30246129999999999</v>
      </c>
      <c r="Q6888">
        <v>0.13736199999999901</v>
      </c>
      <c r="R6888">
        <v>0.94321200000000005</v>
      </c>
      <c r="S6888">
        <v>1.016357</v>
      </c>
      <c r="T6888">
        <v>-0.23125180000000001</v>
      </c>
      <c r="U6888">
        <v>2.8888850000000001</v>
      </c>
      <c r="V6888">
        <v>0.28619050000000001</v>
      </c>
      <c r="W6888">
        <v>0.14939140000000001</v>
      </c>
      <c r="X6888">
        <v>0.94645509999999999</v>
      </c>
      <c r="Y6888">
        <v>0.31432539999999998</v>
      </c>
      <c r="Z6888">
        <v>-7.5499339999999998E-2</v>
      </c>
      <c r="AA6888">
        <v>0.94630829999999999</v>
      </c>
      <c r="AB6888">
        <v>29</v>
      </c>
      <c r="AC6888">
        <v>4.8663999999999898</v>
      </c>
      <c r="AD6888">
        <v>-1.1080368688069999</v>
      </c>
      <c r="AE6888">
        <v>13.6802999999999</v>
      </c>
      <c r="AF6888">
        <v>4.5988015032924796</v>
      </c>
      <c r="AG6888">
        <v>-1.1080368688069999</v>
      </c>
      <c r="AH6888">
        <v>13.6839056459772</v>
      </c>
      <c r="AI6888">
        <v>94.3891368400445</v>
      </c>
      <c r="AJ6888">
        <v>71.423854597645104</v>
      </c>
      <c r="AK6888">
        <v>14.4784665865321</v>
      </c>
      <c r="AL6888">
        <v>81.408341256669004</v>
      </c>
      <c r="AM6888">
        <v>73.175655281218098</v>
      </c>
      <c r="AN6888">
        <v>1.0000000245000999</v>
      </c>
    </row>
    <row r="6889" spans="1:40" x14ac:dyDescent="0.25">
      <c r="A6889" t="str">
        <f>"20190312164639500"</f>
        <v>20190312164639500</v>
      </c>
      <c r="B6889" t="str">
        <f>"1552380399488293"</f>
        <v>1552380399488293</v>
      </c>
      <c r="C6889" t="s">
        <v>40</v>
      </c>
      <c r="D6889">
        <v>4.9600460000000002</v>
      </c>
      <c r="E6889">
        <v>0.52226320000000004</v>
      </c>
      <c r="F6889" t="s">
        <v>71</v>
      </c>
      <c r="G6889">
        <v>-182.9597</v>
      </c>
      <c r="H6889" s="1">
        <v>-1.875121E-6</v>
      </c>
      <c r="I6889">
        <v>119.6609</v>
      </c>
      <c r="J6889">
        <v>-187.8108</v>
      </c>
      <c r="K6889">
        <v>1.1080369999999999</v>
      </c>
      <c r="L6889">
        <v>106.1087</v>
      </c>
      <c r="M6889">
        <v>1.817995E-2</v>
      </c>
      <c r="N6889">
        <v>0</v>
      </c>
      <c r="O6889">
        <v>0.99974540000000001</v>
      </c>
      <c r="P6889">
        <v>0.30592560000000002</v>
      </c>
      <c r="Q6889">
        <v>0.13694289999999901</v>
      </c>
      <c r="R6889">
        <v>0.94215510000000002</v>
      </c>
      <c r="S6889">
        <v>1.0220340000000001</v>
      </c>
      <c r="T6889">
        <v>-0.2332748</v>
      </c>
      <c r="U6889">
        <v>2.8868710000000002</v>
      </c>
      <c r="V6889">
        <v>0.28907080000000002</v>
      </c>
      <c r="W6889">
        <v>0.1489684</v>
      </c>
      <c r="X6889">
        <v>0.94564599999999999</v>
      </c>
      <c r="Y6889">
        <v>0.31556859999999998</v>
      </c>
      <c r="Z6889">
        <v>-7.6164120000000002E-2</v>
      </c>
      <c r="AA6889">
        <v>0.94584120000000005</v>
      </c>
      <c r="AB6889">
        <v>29</v>
      </c>
      <c r="AC6889">
        <v>4.8510999999999997</v>
      </c>
      <c r="AD6889">
        <v>-1.108038875121</v>
      </c>
      <c r="AE6889">
        <v>13.552199999999999</v>
      </c>
      <c r="AF6889">
        <v>4.5767777793048303</v>
      </c>
      <c r="AG6889">
        <v>-1.108038875121</v>
      </c>
      <c r="AH6889">
        <v>13.557822653343599</v>
      </c>
      <c r="AI6889">
        <v>94.427797684790704</v>
      </c>
      <c r="AJ6889">
        <v>71.346619517760601</v>
      </c>
      <c r="AK6889">
        <v>14.352323856763901</v>
      </c>
      <c r="AL6889">
        <v>81.432850863279199</v>
      </c>
      <c r="AM6889">
        <v>73.002338101506297</v>
      </c>
      <c r="AN6889">
        <v>0.99999993446359703</v>
      </c>
    </row>
    <row r="6890" spans="1:40" x14ac:dyDescent="0.25">
      <c r="A6890" t="str">
        <f>"20190312164639520"</f>
        <v>20190312164639520</v>
      </c>
      <c r="B6890" t="str">
        <f>"1552380399507813"</f>
        <v>1552380399507813</v>
      </c>
      <c r="C6890" t="s">
        <v>40</v>
      </c>
      <c r="D6890">
        <v>5.0245340000000001</v>
      </c>
      <c r="E6890">
        <v>0.52197959999999999</v>
      </c>
      <c r="F6890" t="s">
        <v>71</v>
      </c>
      <c r="G6890">
        <v>-182.9676</v>
      </c>
      <c r="H6890" s="1">
        <v>-1.879608E-6</v>
      </c>
      <c r="I6890">
        <v>119.6832</v>
      </c>
      <c r="J6890">
        <v>-187.8049</v>
      </c>
      <c r="K6890">
        <v>1.108042</v>
      </c>
      <c r="L6890">
        <v>106.3673</v>
      </c>
      <c r="M6890">
        <v>1.920111E-2</v>
      </c>
      <c r="N6890">
        <v>0</v>
      </c>
      <c r="O6890">
        <v>0.999726</v>
      </c>
      <c r="P6890">
        <v>0.31223010000000001</v>
      </c>
      <c r="Q6890">
        <v>0.13618339999999901</v>
      </c>
      <c r="R6890">
        <v>0.940195</v>
      </c>
      <c r="S6890">
        <v>1.029053</v>
      </c>
      <c r="T6890">
        <v>-0.23543210000000001</v>
      </c>
      <c r="U6890">
        <v>2.8842620000000001</v>
      </c>
      <c r="V6890">
        <v>0.2944407</v>
      </c>
      <c r="W6890">
        <v>0.14819560000000001</v>
      </c>
      <c r="X6890">
        <v>0.94410950000000005</v>
      </c>
      <c r="Y6890">
        <v>0.31689349999999999</v>
      </c>
      <c r="Z6890">
        <v>-7.6879359999999994E-2</v>
      </c>
      <c r="AA6890">
        <v>0.94534019999999996</v>
      </c>
      <c r="AB6890">
        <v>29</v>
      </c>
      <c r="AC6890">
        <v>4.8372999999999902</v>
      </c>
      <c r="AD6890">
        <v>-1.1080438796080001</v>
      </c>
      <c r="AE6890">
        <v>13.315899999999999</v>
      </c>
      <c r="AF6890">
        <v>4.5528552078130202</v>
      </c>
      <c r="AG6890">
        <v>-1.1080438796080001</v>
      </c>
      <c r="AH6890">
        <v>13.3248264301495</v>
      </c>
      <c r="AI6890">
        <v>94.499318079848905</v>
      </c>
      <c r="AJ6890">
        <v>71.135618573717807</v>
      </c>
      <c r="AK6890">
        <v>14.124703578343</v>
      </c>
      <c r="AL6890">
        <v>81.477626650507602</v>
      </c>
      <c r="AM6890">
        <v>72.678795927859397</v>
      </c>
      <c r="AN6890">
        <v>1.00000000483305</v>
      </c>
    </row>
    <row r="6891" spans="1:40" x14ac:dyDescent="0.25">
      <c r="A6891" t="str">
        <f>"20190312164639541"</f>
        <v>20190312164639541</v>
      </c>
      <c r="B6891" t="str">
        <f>"1552380399538069"</f>
        <v>1552380399538069</v>
      </c>
      <c r="C6891" t="s">
        <v>40</v>
      </c>
      <c r="D6891">
        <v>4.9721449999999896</v>
      </c>
      <c r="E6891">
        <v>0.5212405</v>
      </c>
      <c r="F6891" t="s">
        <v>42</v>
      </c>
      <c r="G6891">
        <v>-183.00569999999999</v>
      </c>
      <c r="H6891" s="1">
        <v>-5.5161149999999998E-6</v>
      </c>
      <c r="I6891">
        <v>119.5989</v>
      </c>
      <c r="J6891">
        <v>-187.79859999999999</v>
      </c>
      <c r="K6891">
        <v>1.1080399999999999</v>
      </c>
      <c r="L6891">
        <v>106.6332</v>
      </c>
      <c r="M6891">
        <v>2.0252200000000001E-2</v>
      </c>
      <c r="N6891">
        <v>0</v>
      </c>
      <c r="O6891">
        <v>0.99970510000000001</v>
      </c>
      <c r="P6891">
        <v>0.31863770000000002</v>
      </c>
      <c r="Q6891">
        <v>0.13529430000000001</v>
      </c>
      <c r="R6891">
        <v>0.93817130000000004</v>
      </c>
      <c r="S6891">
        <v>1.0442199999999999</v>
      </c>
      <c r="T6891">
        <v>-0.24109240000000001</v>
      </c>
      <c r="U6891">
        <v>2.8789829999999998</v>
      </c>
      <c r="V6891">
        <v>0.2998905</v>
      </c>
      <c r="W6891">
        <v>0.14729010000000001</v>
      </c>
      <c r="X6891">
        <v>0.94253450000000005</v>
      </c>
      <c r="Y6891">
        <v>0.32080219999999998</v>
      </c>
      <c r="Z6891">
        <v>-7.8727409999999998E-2</v>
      </c>
      <c r="AA6891">
        <v>0.94386859999999995</v>
      </c>
      <c r="AB6891">
        <v>29</v>
      </c>
      <c r="AC6891">
        <v>4.7929000000000004</v>
      </c>
      <c r="AD6891">
        <v>-1.108045516115</v>
      </c>
      <c r="AE6891">
        <v>12.965699999999901</v>
      </c>
      <c r="AF6891">
        <v>4.50039266913309</v>
      </c>
      <c r="AG6891">
        <v>-1.108045516115</v>
      </c>
      <c r="AH6891">
        <v>12.9767356576046</v>
      </c>
      <c r="AI6891">
        <v>94.612254208070894</v>
      </c>
      <c r="AJ6891">
        <v>70.8732147043645</v>
      </c>
      <c r="AK6891">
        <v>13.7795851668153</v>
      </c>
      <c r="AL6891">
        <v>81.530083481254707</v>
      </c>
      <c r="AM6891">
        <v>72.350253402914106</v>
      </c>
      <c r="AN6891">
        <v>0.99999998461925399</v>
      </c>
    </row>
    <row r="6892" spans="1:40" x14ac:dyDescent="0.25">
      <c r="A6892" t="str">
        <f>"20190312164639554"</f>
        <v>20190312164639554</v>
      </c>
      <c r="B6892" t="str">
        <f>"1552380399547830"</f>
        <v>1552380399547830</v>
      </c>
      <c r="C6892" t="s">
        <v>40</v>
      </c>
      <c r="D6892">
        <v>5.070919</v>
      </c>
      <c r="E6892">
        <v>0.52134349999999996</v>
      </c>
      <c r="F6892" t="s">
        <v>71</v>
      </c>
      <c r="G6892">
        <v>-183.006</v>
      </c>
      <c r="H6892" s="1">
        <v>-1.866361E-6</v>
      </c>
      <c r="I6892">
        <v>119.6729</v>
      </c>
      <c r="J6892">
        <v>-187.7944</v>
      </c>
      <c r="K6892">
        <v>1.108042</v>
      </c>
      <c r="L6892">
        <v>106.80370000000001</v>
      </c>
      <c r="M6892">
        <v>2.0927189999999998E-2</v>
      </c>
      <c r="N6892">
        <v>0</v>
      </c>
      <c r="O6892">
        <v>0.99969110000000005</v>
      </c>
      <c r="P6892">
        <v>0.32188909999999998</v>
      </c>
      <c r="Q6892">
        <v>0.13494719999999999</v>
      </c>
      <c r="R6892">
        <v>0.93711080000000002</v>
      </c>
      <c r="S6892">
        <v>1.0563659999999999</v>
      </c>
      <c r="T6892">
        <v>-0.24423059999999999</v>
      </c>
      <c r="U6892">
        <v>2.874161</v>
      </c>
      <c r="V6892">
        <v>0.30252440000000003</v>
      </c>
      <c r="W6892">
        <v>0.14693589999999901</v>
      </c>
      <c r="X6892">
        <v>0.94174769999999997</v>
      </c>
      <c r="Y6892">
        <v>0.32415870000000002</v>
      </c>
      <c r="Z6892">
        <v>-7.9765950000000002E-2</v>
      </c>
      <c r="AA6892">
        <v>0.94263379999999997</v>
      </c>
      <c r="AB6892">
        <v>28</v>
      </c>
      <c r="AC6892">
        <v>4.7884000000000198</v>
      </c>
      <c r="AD6892">
        <v>-1.1080438663609999</v>
      </c>
      <c r="AE6892">
        <v>12.8691999999999</v>
      </c>
      <c r="AF6892">
        <v>4.4887808759700496</v>
      </c>
      <c r="AG6892">
        <v>-1.1080438663609999</v>
      </c>
      <c r="AH6892">
        <v>12.882708765729801</v>
      </c>
      <c r="AI6892">
        <v>94.643426373809007</v>
      </c>
      <c r="AJ6892">
        <v>70.789897855837793</v>
      </c>
      <c r="AK6892">
        <v>13.6872605040185</v>
      </c>
      <c r="AL6892">
        <v>81.5506005952723</v>
      </c>
      <c r="AM6892">
        <v>72.191049338495603</v>
      </c>
      <c r="AN6892">
        <v>0.99999995087972804</v>
      </c>
    </row>
    <row r="6893" spans="1:40" x14ac:dyDescent="0.25">
      <c r="A6893" t="str">
        <f>"20190312164639567"</f>
        <v>20190312164639567</v>
      </c>
      <c r="B6893" t="str">
        <f>"1552380399558566"</f>
        <v>1552380399558566</v>
      </c>
      <c r="C6893" t="s">
        <v>40</v>
      </c>
      <c r="D6893">
        <v>4.970065</v>
      </c>
      <c r="E6893">
        <v>0.52093820000000002</v>
      </c>
      <c r="F6893" t="s">
        <v>71</v>
      </c>
      <c r="G6893">
        <v>-182.9632</v>
      </c>
      <c r="H6893" s="1">
        <v>-1.917844E-6</v>
      </c>
      <c r="I6893">
        <v>119.809</v>
      </c>
      <c r="J6893">
        <v>-187.7903</v>
      </c>
      <c r="K6893">
        <v>1.1080429999999999</v>
      </c>
      <c r="L6893">
        <v>106.9666</v>
      </c>
      <c r="M6893">
        <v>2.157301E-2</v>
      </c>
      <c r="N6893">
        <v>0</v>
      </c>
      <c r="O6893">
        <v>0.99967720000000004</v>
      </c>
      <c r="P6893">
        <v>0.32508799999999999</v>
      </c>
      <c r="Q6893">
        <v>0.13473969999999999</v>
      </c>
      <c r="R6893">
        <v>0.93603579999999997</v>
      </c>
      <c r="S6893">
        <v>1.066254</v>
      </c>
      <c r="T6893">
        <v>-0.24454609999999999</v>
      </c>
      <c r="U6893">
        <v>2.870285</v>
      </c>
      <c r="V6893">
        <v>0.30513509999999999</v>
      </c>
      <c r="W6893">
        <v>0.14671989999999999</v>
      </c>
      <c r="X6893">
        <v>0.94093879999999996</v>
      </c>
      <c r="Y6893">
        <v>0.32681199999999999</v>
      </c>
      <c r="Z6893">
        <v>-7.9883689999999993E-2</v>
      </c>
      <c r="AA6893">
        <v>0.94170719999999997</v>
      </c>
      <c r="AB6893">
        <v>28</v>
      </c>
      <c r="AC6893">
        <v>4.8270999999999997</v>
      </c>
      <c r="AD6893">
        <v>-1.1080449178439999</v>
      </c>
      <c r="AE6893">
        <v>12.8423999999999</v>
      </c>
      <c r="AF6893">
        <v>4.51942320646795</v>
      </c>
      <c r="AG6893">
        <v>-1.1080449178439999</v>
      </c>
      <c r="AH6893">
        <v>12.859674835281099</v>
      </c>
      <c r="AI6893">
        <v>94.647371928201395</v>
      </c>
      <c r="AJ6893">
        <v>70.636409198922706</v>
      </c>
      <c r="AK6893">
        <v>13.6756786496423</v>
      </c>
      <c r="AL6893">
        <v>81.563112431116593</v>
      </c>
      <c r="AM6893">
        <v>72.032746821593506</v>
      </c>
      <c r="AN6893">
        <v>0.99999999182672905</v>
      </c>
    </row>
    <row r="6894" spans="1:40" x14ac:dyDescent="0.25">
      <c r="A6894" t="str">
        <f>"20190312164639586"</f>
        <v>20190312164639586</v>
      </c>
      <c r="B6894" t="str">
        <f>"1552380399578085"</f>
        <v>1552380399578085</v>
      </c>
      <c r="C6894" t="s">
        <v>40</v>
      </c>
      <c r="D6894">
        <v>4.9667629999999896</v>
      </c>
      <c r="E6894">
        <v>0.52027909999999999</v>
      </c>
      <c r="F6894" t="s">
        <v>71</v>
      </c>
      <c r="G6894">
        <v>-182.952</v>
      </c>
      <c r="H6894" s="1">
        <v>-1.9485859999999999E-6</v>
      </c>
      <c r="I6894">
        <v>119.9033</v>
      </c>
      <c r="J6894">
        <v>-187.78380000000001</v>
      </c>
      <c r="K6894">
        <v>1.1080479999999999</v>
      </c>
      <c r="L6894">
        <v>107.21299999999999</v>
      </c>
      <c r="M6894">
        <v>2.2551620000000001E-2</v>
      </c>
      <c r="N6894">
        <v>0</v>
      </c>
      <c r="O6894">
        <v>0.99965550000000003</v>
      </c>
      <c r="P6894">
        <v>0.3308489</v>
      </c>
      <c r="Q6894">
        <v>0.1337679</v>
      </c>
      <c r="R6894">
        <v>0.93415479999999995</v>
      </c>
      <c r="S6894">
        <v>1.0725709999999999</v>
      </c>
      <c r="T6894">
        <v>-0.24563470000000001</v>
      </c>
      <c r="U6894">
        <v>2.8678439999999998</v>
      </c>
      <c r="V6894">
        <v>0.31001139999999999</v>
      </c>
      <c r="W6894">
        <v>0.14572879999999999</v>
      </c>
      <c r="X6894">
        <v>0.93949780000000005</v>
      </c>
      <c r="Y6894">
        <v>0.32795960000000002</v>
      </c>
      <c r="Z6894">
        <v>-8.0251740000000002E-2</v>
      </c>
      <c r="AA6894">
        <v>0.94127689999999997</v>
      </c>
      <c r="AB6894">
        <v>28</v>
      </c>
      <c r="AC6894">
        <v>4.8318000000000101</v>
      </c>
      <c r="AD6894">
        <v>-1.10804994858599</v>
      </c>
      <c r="AE6894">
        <v>12.690300000000001</v>
      </c>
      <c r="AF6894">
        <v>4.5142995248878703</v>
      </c>
      <c r="AG6894">
        <v>-1.10804994858599</v>
      </c>
      <c r="AH6894">
        <v>12.711406904768801</v>
      </c>
      <c r="AI6894">
        <v>94.695928942256202</v>
      </c>
      <c r="AJ6894">
        <v>70.448132506856496</v>
      </c>
      <c r="AK6894">
        <v>13.5346422334529</v>
      </c>
      <c r="AL6894">
        <v>81.620515632089294</v>
      </c>
      <c r="AM6894">
        <v>71.738368055209705</v>
      </c>
      <c r="AN6894">
        <v>1.00000003374211</v>
      </c>
    </row>
    <row r="6895" spans="1:40" x14ac:dyDescent="0.25">
      <c r="A6895" t="str">
        <f>"20190312164639598"</f>
        <v>20190312164639598</v>
      </c>
      <c r="B6895" t="str">
        <f>"1552380399587845"</f>
        <v>1552380399587845</v>
      </c>
      <c r="C6895" t="s">
        <v>40</v>
      </c>
      <c r="D6895">
        <v>4.973535</v>
      </c>
      <c r="E6895">
        <v>0.52027909999999999</v>
      </c>
      <c r="F6895" t="s">
        <v>71</v>
      </c>
      <c r="G6895">
        <v>-182.99369999999999</v>
      </c>
      <c r="H6895" s="1">
        <v>-1.9284980000000002E-6</v>
      </c>
      <c r="I6895">
        <v>119.8728</v>
      </c>
      <c r="J6895">
        <v>-187.77979999999999</v>
      </c>
      <c r="K6895">
        <v>1.1080509999999999</v>
      </c>
      <c r="L6895">
        <v>107.36450000000001</v>
      </c>
      <c r="M6895">
        <v>2.315381E-2</v>
      </c>
      <c r="N6895">
        <v>0</v>
      </c>
      <c r="O6895">
        <v>0.99964169999999997</v>
      </c>
      <c r="P6895">
        <v>0.33399309999999899</v>
      </c>
      <c r="Q6895">
        <v>0.13329150000000001</v>
      </c>
      <c r="R6895">
        <v>0.93310340000000003</v>
      </c>
      <c r="S6895">
        <v>1.0835109999999999</v>
      </c>
      <c r="T6895">
        <v>-0.25063790000000002</v>
      </c>
      <c r="U6895">
        <v>2.8636020000000002</v>
      </c>
      <c r="V6895">
        <v>0.31261060000000002</v>
      </c>
      <c r="W6895">
        <v>0.14524189999999901</v>
      </c>
      <c r="X6895">
        <v>0.93871150000000003</v>
      </c>
      <c r="Y6895">
        <v>0.3309492</v>
      </c>
      <c r="Z6895">
        <v>-8.1889000000000003E-2</v>
      </c>
      <c r="AA6895">
        <v>0.9400887</v>
      </c>
      <c r="AB6895">
        <v>28</v>
      </c>
      <c r="AC6895">
        <v>4.7861000000000002</v>
      </c>
      <c r="AD6895">
        <v>-1.1080529284980001</v>
      </c>
      <c r="AE6895">
        <v>12.508299999999901</v>
      </c>
      <c r="AF6895">
        <v>4.4646146640005</v>
      </c>
      <c r="AG6895">
        <v>-1.1080529284980001</v>
      </c>
      <c r="AH6895">
        <v>12.530002410553299</v>
      </c>
      <c r="AI6895">
        <v>94.761855994598307</v>
      </c>
      <c r="AJ6895">
        <v>70.388307331995904</v>
      </c>
      <c r="AK6895">
        <v>13.347716126695</v>
      </c>
      <c r="AL6895">
        <v>81.648712153376806</v>
      </c>
      <c r="AM6895">
        <v>71.581160861407795</v>
      </c>
      <c r="AN6895">
        <v>0.99999993849010804</v>
      </c>
    </row>
    <row r="6896" spans="1:40" x14ac:dyDescent="0.25">
      <c r="A6896" t="str">
        <f>"20190312164639610"</f>
        <v>20190312164639610</v>
      </c>
      <c r="B6896" t="str">
        <f>"1552380399598581"</f>
        <v>1552380399598581</v>
      </c>
      <c r="C6896" t="s">
        <v>40</v>
      </c>
      <c r="D6896">
        <v>5.1425599999999996</v>
      </c>
      <c r="E6896">
        <v>0.52017899999999995</v>
      </c>
      <c r="F6896" t="s">
        <v>71</v>
      </c>
      <c r="G6896">
        <v>-182.982</v>
      </c>
      <c r="H6896" s="1">
        <v>-1.9489169999999999E-6</v>
      </c>
      <c r="I6896">
        <v>119.9315</v>
      </c>
      <c r="J6896">
        <v>-187.7758</v>
      </c>
      <c r="K6896">
        <v>1.1080449999999999</v>
      </c>
      <c r="L6896">
        <v>107.51</v>
      </c>
      <c r="M6896">
        <v>2.37326E-2</v>
      </c>
      <c r="N6896">
        <v>0</v>
      </c>
      <c r="O6896">
        <v>0.99962799999999996</v>
      </c>
      <c r="P6896">
        <v>0.33704299999999998</v>
      </c>
      <c r="Q6896">
        <v>0.13334849999999901</v>
      </c>
      <c r="R6896">
        <v>0.93199799999999999</v>
      </c>
      <c r="S6896">
        <v>1.0919650000000001</v>
      </c>
      <c r="T6896">
        <v>-0.25219130000000001</v>
      </c>
      <c r="U6896">
        <v>2.8602449999999999</v>
      </c>
      <c r="V6896">
        <v>0.31514130000000001</v>
      </c>
      <c r="W6896">
        <v>0.14528720000000001</v>
      </c>
      <c r="X6896">
        <v>0.93785799999999997</v>
      </c>
      <c r="Y6896">
        <v>0.33317950000000002</v>
      </c>
      <c r="Z6896">
        <v>-8.2406110000000005E-2</v>
      </c>
      <c r="AA6896">
        <v>0.93925539999999996</v>
      </c>
      <c r="AB6896">
        <v>28</v>
      </c>
      <c r="AC6896">
        <v>4.7938000000000001</v>
      </c>
      <c r="AD6896">
        <v>-1.108046948917</v>
      </c>
      <c r="AE6896">
        <v>12.421499999999901</v>
      </c>
      <c r="AF6896">
        <v>4.4666929411389402</v>
      </c>
      <c r="AG6896">
        <v>-1.108046948917</v>
      </c>
      <c r="AH6896">
        <v>12.445584562859301</v>
      </c>
      <c r="AI6896">
        <v>94.790072159420504</v>
      </c>
      <c r="AJ6896">
        <v>70.257049175275398</v>
      </c>
      <c r="AK6896">
        <v>13.2692007665385</v>
      </c>
      <c r="AL6896">
        <v>81.646089504152101</v>
      </c>
      <c r="AM6896">
        <v>71.426498048504101</v>
      </c>
      <c r="AN6896">
        <v>1.0000000188067599</v>
      </c>
    </row>
    <row r="6897" spans="1:40" x14ac:dyDescent="0.25">
      <c r="A6897" t="str">
        <f>"20190312164639622"</f>
        <v>20190312164639622</v>
      </c>
      <c r="B6897" t="str">
        <f>"1552380399618101"</f>
        <v>1552380399618101</v>
      </c>
      <c r="C6897" t="s">
        <v>40</v>
      </c>
      <c r="D6897">
        <v>5.1794570000000002</v>
      </c>
      <c r="E6897">
        <v>0.51999119999999999</v>
      </c>
      <c r="F6897" t="s">
        <v>71</v>
      </c>
      <c r="G6897">
        <v>-182.93219999999999</v>
      </c>
      <c r="H6897" s="1">
        <v>-2.0087919999999999E-6</v>
      </c>
      <c r="I6897">
        <v>120.0898</v>
      </c>
      <c r="J6897">
        <v>-187.7714</v>
      </c>
      <c r="K6897">
        <v>1.1080490000000001</v>
      </c>
      <c r="L6897">
        <v>107.6649</v>
      </c>
      <c r="M6897">
        <v>2.4349340000000001E-2</v>
      </c>
      <c r="N6897">
        <v>0</v>
      </c>
      <c r="O6897">
        <v>0.99961310000000003</v>
      </c>
      <c r="P6897">
        <v>0.34033989999999997</v>
      </c>
      <c r="Q6897">
        <v>0.13322020000000001</v>
      </c>
      <c r="R6897">
        <v>0.93081749999999996</v>
      </c>
      <c r="S6897">
        <v>1.1000669999999999</v>
      </c>
      <c r="T6897">
        <v>-0.25165589999999999</v>
      </c>
      <c r="U6897">
        <v>2.8570859999999998</v>
      </c>
      <c r="V6897">
        <v>0.31788549999999999</v>
      </c>
      <c r="W6897">
        <v>0.14514569999999999</v>
      </c>
      <c r="X6897">
        <v>0.93695340000000005</v>
      </c>
      <c r="Y6897">
        <v>0.33527000000000001</v>
      </c>
      <c r="Z6897">
        <v>-8.2243380000000005E-2</v>
      </c>
      <c r="AA6897">
        <v>0.93852550000000001</v>
      </c>
      <c r="AB6897">
        <v>28</v>
      </c>
      <c r="AC6897">
        <v>4.8391999999999999</v>
      </c>
      <c r="AD6897">
        <v>-1.1080510087919999</v>
      </c>
      <c r="AE6897">
        <v>12.4248999999999</v>
      </c>
      <c r="AF6897">
        <v>4.5040962998591896</v>
      </c>
      <c r="AG6897">
        <v>-1.1080510087919999</v>
      </c>
      <c r="AH6897">
        <v>12.453062365961699</v>
      </c>
      <c r="AI6897">
        <v>94.782992004806403</v>
      </c>
      <c r="AJ6897">
        <v>70.115660230399698</v>
      </c>
      <c r="AK6897">
        <v>13.288845804170499</v>
      </c>
      <c r="AL6897">
        <v>81.6542841427393</v>
      </c>
      <c r="AM6897">
        <v>71.259175233534805</v>
      </c>
      <c r="AN6897">
        <v>1.0000000695551401</v>
      </c>
    </row>
    <row r="6898" spans="1:40" x14ac:dyDescent="0.25">
      <c r="A6898" t="str">
        <f>"20190312164639634"</f>
        <v>20190312164639634</v>
      </c>
      <c r="B6898" t="str">
        <f>"1552380399627861"</f>
        <v>1552380399627861</v>
      </c>
      <c r="C6898" t="s">
        <v>40</v>
      </c>
      <c r="D6898">
        <v>4.9817640000000001</v>
      </c>
      <c r="E6898">
        <v>0.51954809999999996</v>
      </c>
      <c r="F6898" t="s">
        <v>71</v>
      </c>
      <c r="G6898">
        <v>-182.88650000000001</v>
      </c>
      <c r="H6898" s="1">
        <v>-2.067128E-6</v>
      </c>
      <c r="I6898">
        <v>120.2466</v>
      </c>
      <c r="J6898">
        <v>-187.7672</v>
      </c>
      <c r="K6898">
        <v>1.1080509999999999</v>
      </c>
      <c r="L6898">
        <v>107.81319999999999</v>
      </c>
      <c r="M6898">
        <v>2.4939429999999999E-2</v>
      </c>
      <c r="N6898">
        <v>0</v>
      </c>
      <c r="O6898">
        <v>0.99959849999999995</v>
      </c>
      <c r="P6898">
        <v>0.34357939999999998</v>
      </c>
      <c r="Q6898">
        <v>0.1333722</v>
      </c>
      <c r="R6898">
        <v>0.92960480000000001</v>
      </c>
      <c r="S6898">
        <v>1.108017</v>
      </c>
      <c r="T6898">
        <v>-0.251332</v>
      </c>
      <c r="U6898">
        <v>2.8538209999999999</v>
      </c>
      <c r="V6898">
        <v>0.3206</v>
      </c>
      <c r="W6898">
        <v>0.14528339999999901</v>
      </c>
      <c r="X6898">
        <v>0.93600660000000002</v>
      </c>
      <c r="Y6898">
        <v>0.33735009999999999</v>
      </c>
      <c r="Z6898">
        <v>-8.2152509999999998E-2</v>
      </c>
      <c r="AA6898">
        <v>0.93778779999999995</v>
      </c>
      <c r="AB6898">
        <v>28</v>
      </c>
      <c r="AC6898">
        <v>4.8806999999999903</v>
      </c>
      <c r="AD6898">
        <v>-1.108053067128</v>
      </c>
      <c r="AE6898">
        <v>12.433400000000001</v>
      </c>
      <c r="AF6898">
        <v>4.5378432936798196</v>
      </c>
      <c r="AG6898">
        <v>-1.108053067128</v>
      </c>
      <c r="AH6898">
        <v>12.4654803530608</v>
      </c>
      <c r="AI6898">
        <v>94.774680377829</v>
      </c>
      <c r="AJ6898">
        <v>69.996836362636401</v>
      </c>
      <c r="AK6898">
        <v>13.3119496614925</v>
      </c>
      <c r="AL6898">
        <v>81.646309327173796</v>
      </c>
      <c r="AM6898">
        <v>71.092696090060699</v>
      </c>
      <c r="AN6898">
        <v>0.99999999077956003</v>
      </c>
    </row>
    <row r="6899" spans="1:40" x14ac:dyDescent="0.25">
      <c r="A6899" t="str">
        <f>"20190312164639652"</f>
        <v>20190312164639652</v>
      </c>
      <c r="B6899" t="str">
        <f>"1552380399648357"</f>
        <v>1552380399648357</v>
      </c>
      <c r="C6899" t="s">
        <v>40</v>
      </c>
      <c r="D6899">
        <v>5.1151</v>
      </c>
      <c r="E6899">
        <v>0.51910290000000003</v>
      </c>
      <c r="F6899" t="s">
        <v>71</v>
      </c>
      <c r="G6899">
        <v>-182.8527</v>
      </c>
      <c r="H6899" s="1">
        <v>-2.119041E-6</v>
      </c>
      <c r="I6899">
        <v>120.39230000000001</v>
      </c>
      <c r="J6899">
        <v>-187.76050000000001</v>
      </c>
      <c r="K6899">
        <v>1.108053</v>
      </c>
      <c r="L6899">
        <v>108.04170000000001</v>
      </c>
      <c r="M6899">
        <v>2.58497E-2</v>
      </c>
      <c r="N6899">
        <v>0</v>
      </c>
      <c r="O6899">
        <v>0.99957530000000006</v>
      </c>
      <c r="P6899">
        <v>0.34953909999999899</v>
      </c>
      <c r="Q6899">
        <v>0.133276799999999</v>
      </c>
      <c r="R6899">
        <v>0.92739400000000005</v>
      </c>
      <c r="S6899">
        <v>1.1140289999999999</v>
      </c>
      <c r="T6899">
        <v>-0.25117590000000001</v>
      </c>
      <c r="U6899">
        <v>2.8514710000000001</v>
      </c>
      <c r="V6899">
        <v>0.3257602</v>
      </c>
      <c r="W6899">
        <v>0.14515939999999999</v>
      </c>
      <c r="X6899">
        <v>0.93424249999999998</v>
      </c>
      <c r="Y6899">
        <v>0.33847149999999998</v>
      </c>
      <c r="Z6899">
        <v>-8.2114370000000006E-2</v>
      </c>
      <c r="AA6899">
        <v>0.93738690000000002</v>
      </c>
      <c r="AB6899">
        <v>28</v>
      </c>
      <c r="AC6899">
        <v>4.9077999999999999</v>
      </c>
      <c r="AD6899">
        <v>-1.108055119041</v>
      </c>
      <c r="AE6899">
        <v>12.3506</v>
      </c>
      <c r="AF6899">
        <v>4.5552063651173302</v>
      </c>
      <c r="AG6899">
        <v>-1.108055119041</v>
      </c>
      <c r="AH6899">
        <v>12.387239933583899</v>
      </c>
      <c r="AI6899">
        <v>94.798998560392405</v>
      </c>
      <c r="AJ6899">
        <v>69.809820800048101</v>
      </c>
      <c r="AK6899">
        <v>13.244674565568401</v>
      </c>
      <c r="AL6899">
        <v>81.653490237866393</v>
      </c>
      <c r="AM6899">
        <v>70.776892109634503</v>
      </c>
      <c r="AN6899">
        <v>1.00000000405932</v>
      </c>
    </row>
    <row r="6900" spans="1:40" x14ac:dyDescent="0.25">
      <c r="A6900" t="str">
        <f>"20190312164639676"</f>
        <v>20190312164639676</v>
      </c>
      <c r="B6900" t="str">
        <f>"1552380399667877"</f>
        <v>1552380399667877</v>
      </c>
      <c r="C6900" t="s">
        <v>40</v>
      </c>
      <c r="D6900">
        <v>4.9466659999999996</v>
      </c>
      <c r="E6900">
        <v>0.51852209999999999</v>
      </c>
      <c r="F6900" t="s">
        <v>71</v>
      </c>
      <c r="G6900">
        <v>-182.76499999999999</v>
      </c>
      <c r="H6900" s="1">
        <v>-2.2179290000000001E-6</v>
      </c>
      <c r="I6900">
        <v>120.6489</v>
      </c>
      <c r="J6900">
        <v>-187.75069999999999</v>
      </c>
      <c r="K6900">
        <v>1.1080570000000001</v>
      </c>
      <c r="L6900">
        <v>108.36109999999999</v>
      </c>
      <c r="M6900">
        <v>2.7122050000000002E-2</v>
      </c>
      <c r="N6900">
        <v>0</v>
      </c>
      <c r="O6900">
        <v>0.99954149999999997</v>
      </c>
      <c r="P6900">
        <v>0.35338120000000001</v>
      </c>
      <c r="Q6900">
        <v>0.13319520000000001</v>
      </c>
      <c r="R6900">
        <v>0.92594860000000001</v>
      </c>
      <c r="S6900">
        <v>1.1276250000000001</v>
      </c>
      <c r="T6900">
        <v>-0.25012119999999999</v>
      </c>
      <c r="U6900">
        <v>2.8458100000000002</v>
      </c>
      <c r="V6900">
        <v>0.3284475</v>
      </c>
      <c r="W6900">
        <v>0.1450669</v>
      </c>
      <c r="X6900">
        <v>0.93331549999999996</v>
      </c>
      <c r="Y6900">
        <v>0.3417907</v>
      </c>
      <c r="Z6900">
        <v>-8.1798969999999999E-2</v>
      </c>
      <c r="AA6900">
        <v>0.93620939999999997</v>
      </c>
      <c r="AB6900">
        <v>28</v>
      </c>
      <c r="AC6900">
        <v>4.9856999999999996</v>
      </c>
      <c r="AD6900">
        <v>-1.1080592179289901</v>
      </c>
      <c r="AE6900">
        <v>12.287800000000001</v>
      </c>
      <c r="AF6900">
        <v>4.6183191657536904</v>
      </c>
      <c r="AG6900">
        <v>-1.1080592179289901</v>
      </c>
      <c r="AH6900">
        <v>12.3324065625985</v>
      </c>
      <c r="AI6900">
        <v>94.809698006077497</v>
      </c>
      <c r="AJ6900">
        <v>69.469755685887193</v>
      </c>
      <c r="AK6900">
        <v>13.2153289316774</v>
      </c>
      <c r="AL6900">
        <v>81.658846712905003</v>
      </c>
      <c r="AM6900">
        <v>70.612277086431504</v>
      </c>
      <c r="AN6900">
        <v>0.999999994136054</v>
      </c>
    </row>
    <row r="6901" spans="1:40" x14ac:dyDescent="0.25">
      <c r="A6901" t="str">
        <f>"20190312164639688"</f>
        <v>20190312164639688</v>
      </c>
      <c r="B6901" t="str">
        <f>"1552380399678614"</f>
        <v>1552380399678614</v>
      </c>
      <c r="C6901" t="s">
        <v>40</v>
      </c>
      <c r="D6901">
        <v>4.9725580000000003</v>
      </c>
      <c r="E6901">
        <v>0.51852209999999999</v>
      </c>
      <c r="F6901" t="s">
        <v>71</v>
      </c>
      <c r="G6901">
        <v>-182.71870000000001</v>
      </c>
      <c r="H6901" s="1">
        <v>-2.323575E-6</v>
      </c>
      <c r="I6901">
        <v>120.9657</v>
      </c>
      <c r="J6901">
        <v>-187.74610000000001</v>
      </c>
      <c r="K6901">
        <v>1.10805</v>
      </c>
      <c r="L6901">
        <v>108.5078</v>
      </c>
      <c r="M6901">
        <v>2.7706479999999999E-2</v>
      </c>
      <c r="N6901">
        <v>0</v>
      </c>
      <c r="O6901">
        <v>0.99952540000000001</v>
      </c>
      <c r="P6901">
        <v>0.35959279999999999</v>
      </c>
      <c r="Q6901">
        <v>0.13311300000000001</v>
      </c>
      <c r="R6901">
        <v>0.92356590000000005</v>
      </c>
      <c r="S6901">
        <v>1.1348879999999999</v>
      </c>
      <c r="T6901">
        <v>-0.24990419999999999</v>
      </c>
      <c r="U6901">
        <v>2.8427579999999999</v>
      </c>
      <c r="V6901">
        <v>0.33417540000000001</v>
      </c>
      <c r="W6901">
        <v>0.14494849999999901</v>
      </c>
      <c r="X6901">
        <v>0.93129839999999997</v>
      </c>
      <c r="Y6901">
        <v>0.3436517</v>
      </c>
      <c r="Z6901">
        <v>-8.1741869999999994E-2</v>
      </c>
      <c r="AA6901">
        <v>0.9355329</v>
      </c>
      <c r="AB6901">
        <v>28</v>
      </c>
      <c r="AC6901">
        <v>5.0274000000000001</v>
      </c>
      <c r="AD6901">
        <v>-1.1080523235749999</v>
      </c>
      <c r="AE6901">
        <v>12.457899999999899</v>
      </c>
      <c r="AF6901">
        <v>4.64864863752865</v>
      </c>
      <c r="AG6901">
        <v>-1.1080523235749999</v>
      </c>
      <c r="AH6901">
        <v>12.507332321600501</v>
      </c>
      <c r="AI6901">
        <v>94.747060494687801</v>
      </c>
      <c r="AJ6901">
        <v>69.611214970895603</v>
      </c>
      <c r="AK6901">
        <v>13.3892149101406</v>
      </c>
      <c r="AL6901">
        <v>81.665702946824894</v>
      </c>
      <c r="AM6901">
        <v>70.260621793032598</v>
      </c>
      <c r="AN6901">
        <v>0.999999987729984</v>
      </c>
    </row>
    <row r="6902" spans="1:40" x14ac:dyDescent="0.25">
      <c r="A6902" t="str">
        <f>"20190312164639701"</f>
        <v>20190312164639701</v>
      </c>
      <c r="B6902" t="str">
        <f>"1552380399698133"</f>
        <v>1552380399698133</v>
      </c>
      <c r="C6902" t="s">
        <v>40</v>
      </c>
      <c r="D6902">
        <v>4.9855210000000003</v>
      </c>
      <c r="E6902">
        <v>0.50985800000000003</v>
      </c>
      <c r="F6902" t="s">
        <v>71</v>
      </c>
      <c r="G6902">
        <v>-182.6455</v>
      </c>
      <c r="H6902" s="1">
        <v>-2.3713769999999999E-6</v>
      </c>
      <c r="I6902">
        <v>121.06189999999999</v>
      </c>
      <c r="J6902">
        <v>-187.74109999999999</v>
      </c>
      <c r="K6902">
        <v>1.108052</v>
      </c>
      <c r="L6902">
        <v>108.66249999999999</v>
      </c>
      <c r="M6902">
        <v>2.8322670000000001E-2</v>
      </c>
      <c r="N6902">
        <v>0</v>
      </c>
      <c r="O6902">
        <v>0.99950810000000001</v>
      </c>
      <c r="P6902">
        <v>0.3628924</v>
      </c>
      <c r="Q6902">
        <v>0.13265279999999999</v>
      </c>
      <c r="R6902">
        <v>0.92234059999999995</v>
      </c>
      <c r="S6902">
        <v>1.152145</v>
      </c>
      <c r="T6902">
        <v>-0.25029000000000001</v>
      </c>
      <c r="U6902">
        <v>2.8357540000000001</v>
      </c>
      <c r="V6902">
        <v>0.33693200000000001</v>
      </c>
      <c r="W6902">
        <v>0.1444724</v>
      </c>
      <c r="X6902">
        <v>0.9303787</v>
      </c>
      <c r="Y6902">
        <v>0.34875610000000001</v>
      </c>
      <c r="Z6902">
        <v>-8.1882570000000002E-2</v>
      </c>
      <c r="AA6902">
        <v>0.93362970000000001</v>
      </c>
      <c r="AB6902">
        <v>28</v>
      </c>
      <c r="AC6902">
        <v>5.0955999999999904</v>
      </c>
      <c r="AD6902">
        <v>-1.1080543713769999</v>
      </c>
      <c r="AE6902">
        <v>12.3994</v>
      </c>
      <c r="AF6902">
        <v>4.7101595578423296</v>
      </c>
      <c r="AG6902">
        <v>-1.1080543713769999</v>
      </c>
      <c r="AH6902">
        <v>12.453675165969701</v>
      </c>
      <c r="AI6902">
        <v>94.7572358936538</v>
      </c>
      <c r="AJ6902">
        <v>69.282659074080001</v>
      </c>
      <c r="AK6902">
        <v>13.360666625949101</v>
      </c>
      <c r="AL6902">
        <v>81.693271642254899</v>
      </c>
      <c r="AM6902">
        <v>70.092398705481401</v>
      </c>
      <c r="AN6902">
        <v>0.99999998619972497</v>
      </c>
    </row>
    <row r="6903" spans="1:40" x14ac:dyDescent="0.25">
      <c r="A6903" t="str">
        <f>"20190312164639719"</f>
        <v>20190312164639719</v>
      </c>
      <c r="B6903" t="str">
        <f>"1552380399707893"</f>
        <v>1552380399707893</v>
      </c>
      <c r="C6903" t="s">
        <v>40</v>
      </c>
      <c r="D6903">
        <v>5.8719159999999997</v>
      </c>
      <c r="E6903">
        <v>0.50985800000000003</v>
      </c>
      <c r="F6903" t="s">
        <v>71</v>
      </c>
      <c r="G6903">
        <v>-183.27260000000001</v>
      </c>
      <c r="H6903" s="1">
        <v>-1.9926729999999999E-6</v>
      </c>
      <c r="I6903">
        <v>120.34269999999999</v>
      </c>
      <c r="J6903">
        <v>-187.73339999999999</v>
      </c>
      <c r="K6903">
        <v>1.1080570000000001</v>
      </c>
      <c r="L6903">
        <v>108.89870000000001</v>
      </c>
      <c r="M6903">
        <v>2.9263890000000001E-2</v>
      </c>
      <c r="N6903">
        <v>0</v>
      </c>
      <c r="O6903">
        <v>0.99948099999999995</v>
      </c>
      <c r="P6903">
        <v>0.36856929999999999</v>
      </c>
      <c r="Q6903">
        <v>0.13218450000000001</v>
      </c>
      <c r="R6903">
        <v>0.92015429999999998</v>
      </c>
      <c r="S6903">
        <v>1.0945279999999999</v>
      </c>
      <c r="T6903">
        <v>-0.27140950000000003</v>
      </c>
      <c r="U6903">
        <v>2.8609770000000001</v>
      </c>
      <c r="V6903">
        <v>0.3417907</v>
      </c>
      <c r="W6903">
        <v>0.14397509999999999</v>
      </c>
      <c r="X6903">
        <v>0.92868200000000001</v>
      </c>
      <c r="Y6903">
        <v>0.32842339999999998</v>
      </c>
      <c r="Z6903">
        <v>-8.8657100000000003E-2</v>
      </c>
      <c r="AA6903">
        <v>0.94036050000000004</v>
      </c>
      <c r="AB6903">
        <v>28</v>
      </c>
      <c r="AC6903">
        <v>4.4607999999999697</v>
      </c>
      <c r="AD6903">
        <v>-1.108058992673</v>
      </c>
      <c r="AE6903">
        <v>11.4439999999999</v>
      </c>
      <c r="AF6903">
        <v>4.0906712237206904</v>
      </c>
      <c r="AG6903">
        <v>-1.108058992673</v>
      </c>
      <c r="AH6903">
        <v>11.476251437784301</v>
      </c>
      <c r="AI6903">
        <v>95.196607501821205</v>
      </c>
      <c r="AJ6903">
        <v>70.381561748765193</v>
      </c>
      <c r="AK6903">
        <v>12.233794703813899</v>
      </c>
      <c r="AL6903">
        <v>81.722065861335494</v>
      </c>
      <c r="AM6903">
        <v>69.794443712496403</v>
      </c>
      <c r="AN6903">
        <v>0.99999998457524997</v>
      </c>
    </row>
    <row r="6904" spans="1:40" x14ac:dyDescent="0.25">
      <c r="A6904" t="str">
        <f>"20190312164639741"</f>
        <v>20190312164639741</v>
      </c>
      <c r="B6904" t="str">
        <f>"1552380399738519"</f>
        <v>1552380399738519</v>
      </c>
      <c r="C6904" t="s">
        <v>40</v>
      </c>
      <c r="D6904">
        <v>4.9480269999999997</v>
      </c>
      <c r="E6904">
        <v>0.51104189999999905</v>
      </c>
      <c r="F6904" t="s">
        <v>71</v>
      </c>
      <c r="G6904">
        <v>-183.21960000000001</v>
      </c>
      <c r="H6904" s="1">
        <v>-2.0504170000000001E-6</v>
      </c>
      <c r="I6904">
        <v>120.49079999999999</v>
      </c>
      <c r="J6904">
        <v>-187.72409999999999</v>
      </c>
      <c r="K6904">
        <v>1.108058</v>
      </c>
      <c r="L6904">
        <v>109.17400000000001</v>
      </c>
      <c r="M6904">
        <v>3.036113E-2</v>
      </c>
      <c r="N6904">
        <v>0</v>
      </c>
      <c r="O6904">
        <v>0.99944820000000001</v>
      </c>
      <c r="P6904">
        <v>0.37414589999999998</v>
      </c>
      <c r="Q6904">
        <v>0.13162090000000001</v>
      </c>
      <c r="R6904">
        <v>0.91798190000000002</v>
      </c>
      <c r="S6904">
        <v>1.111435</v>
      </c>
      <c r="T6904">
        <v>-0.272839</v>
      </c>
      <c r="U6904">
        <v>2.8543400000000001</v>
      </c>
      <c r="V6904">
        <v>0.34640720000000003</v>
      </c>
      <c r="W6904">
        <v>0.14338339999999999</v>
      </c>
      <c r="X6904">
        <v>0.92706160000000004</v>
      </c>
      <c r="Y6904">
        <v>0.3329435</v>
      </c>
      <c r="Z6904">
        <v>-8.9143639999999996E-2</v>
      </c>
      <c r="AA6904">
        <v>0.93872359999999999</v>
      </c>
      <c r="AB6904">
        <v>28</v>
      </c>
      <c r="AC6904">
        <v>4.50449999999997</v>
      </c>
      <c r="AD6904">
        <v>-1.108060050417</v>
      </c>
      <c r="AE6904">
        <v>11.316800000000001</v>
      </c>
      <c r="AF6904">
        <v>4.1246662189726599</v>
      </c>
      <c r="AG6904">
        <v>-1.108060050417</v>
      </c>
      <c r="AH6904">
        <v>11.354389763535901</v>
      </c>
      <c r="AI6904">
        <v>95.240739915522397</v>
      </c>
      <c r="AJ6904">
        <v>70.035626702056604</v>
      </c>
      <c r="AK6904">
        <v>12.131069012892199</v>
      </c>
      <c r="AL6904">
        <v>81.756323171795799</v>
      </c>
      <c r="AM6904">
        <v>69.511221290867397</v>
      </c>
      <c r="AN6904">
        <v>0.99999997890097903</v>
      </c>
    </row>
    <row r="6905" spans="1:40" x14ac:dyDescent="0.25">
      <c r="A6905" t="str">
        <f>"20190312164639753"</f>
        <v>20190312164639753</v>
      </c>
      <c r="B6905" t="str">
        <f>"1552380399748278"</f>
        <v>1552380399748278</v>
      </c>
      <c r="C6905" t="s">
        <v>40</v>
      </c>
      <c r="D6905">
        <v>4.9704680000000003</v>
      </c>
      <c r="E6905">
        <v>0.51038059999999996</v>
      </c>
      <c r="F6905" t="s">
        <v>71</v>
      </c>
      <c r="G6905">
        <v>-183.048</v>
      </c>
      <c r="H6905" s="1">
        <v>-2.2043459999999998E-6</v>
      </c>
      <c r="I6905">
        <v>120.8584</v>
      </c>
      <c r="J6905">
        <v>-187.7192</v>
      </c>
      <c r="K6905">
        <v>1.108058</v>
      </c>
      <c r="L6905">
        <v>109.3145</v>
      </c>
      <c r="M6905">
        <v>3.0921029999999999E-2</v>
      </c>
      <c r="N6905">
        <v>0</v>
      </c>
      <c r="O6905">
        <v>0.99943099999999996</v>
      </c>
      <c r="P6905">
        <v>0.3771583</v>
      </c>
      <c r="Q6905">
        <v>0.13140569999999999</v>
      </c>
      <c r="R6905">
        <v>0.91677920000000002</v>
      </c>
      <c r="S6905">
        <v>1.1377409999999999</v>
      </c>
      <c r="T6905">
        <v>-0.26960610000000002</v>
      </c>
      <c r="U6905">
        <v>2.8429720000000001</v>
      </c>
      <c r="V6905">
        <v>0.34893420000000003</v>
      </c>
      <c r="W6905">
        <v>0.14315259999999999</v>
      </c>
      <c r="X6905">
        <v>0.92614920000000001</v>
      </c>
      <c r="Y6905">
        <v>0.34121509999999999</v>
      </c>
      <c r="Z6905">
        <v>-8.8140880000000005E-2</v>
      </c>
      <c r="AA6905">
        <v>0.93584369999999995</v>
      </c>
      <c r="AB6905">
        <v>28</v>
      </c>
      <c r="AC6905">
        <v>4.67119999999999</v>
      </c>
      <c r="AD6905">
        <v>-1.1080602043459999</v>
      </c>
      <c r="AE6905">
        <v>11.543900000000001</v>
      </c>
      <c r="AF6905">
        <v>4.2781140308749901</v>
      </c>
      <c r="AG6905">
        <v>-1.1080602043459999</v>
      </c>
      <c r="AH6905">
        <v>11.591062898549</v>
      </c>
      <c r="AI6905">
        <v>95.124720403806407</v>
      </c>
      <c r="AJ6905">
        <v>69.741537172793002</v>
      </c>
      <c r="AK6905">
        <v>12.404950471313599</v>
      </c>
      <c r="AL6905">
        <v>81.769685399091102</v>
      </c>
      <c r="AM6905">
        <v>69.35569383328</v>
      </c>
      <c r="AN6905">
        <v>1.00000004173851</v>
      </c>
    </row>
    <row r="6906" spans="1:40" x14ac:dyDescent="0.25">
      <c r="A6906" t="str">
        <f>"20190312164639763"</f>
        <v>20190312164639763</v>
      </c>
      <c r="B6906" t="str">
        <f>"1552380399758038"</f>
        <v>1552380399758038</v>
      </c>
      <c r="C6906" t="s">
        <v>40</v>
      </c>
      <c r="D6906">
        <v>5.1186499999999997</v>
      </c>
      <c r="E6906">
        <v>0.50991209999999998</v>
      </c>
      <c r="F6906" t="s">
        <v>71</v>
      </c>
      <c r="G6906">
        <v>-183.03290000000001</v>
      </c>
      <c r="H6906" s="1">
        <v>-2.243708E-6</v>
      </c>
      <c r="I6906">
        <v>120.97839999999999</v>
      </c>
      <c r="J6906">
        <v>-187.7139</v>
      </c>
      <c r="K6906">
        <v>1.108058</v>
      </c>
      <c r="L6906">
        <v>109.4636</v>
      </c>
      <c r="M6906">
        <v>3.1515399999999999E-2</v>
      </c>
      <c r="N6906">
        <v>0</v>
      </c>
      <c r="O6906">
        <v>0.99941239999999998</v>
      </c>
      <c r="P6906">
        <v>0.38033430000000001</v>
      </c>
      <c r="Q6906">
        <v>0.13121240000000001</v>
      </c>
      <c r="R6906">
        <v>0.91549389999999997</v>
      </c>
      <c r="S6906">
        <v>1.141602</v>
      </c>
      <c r="T6906">
        <v>-0.26992709999999998</v>
      </c>
      <c r="U6906">
        <v>2.8413539999999999</v>
      </c>
      <c r="V6906">
        <v>0.35159659999999998</v>
      </c>
      <c r="W6906">
        <v>0.1429416</v>
      </c>
      <c r="X6906">
        <v>0.92517430000000001</v>
      </c>
      <c r="Y6906">
        <v>0.3419316</v>
      </c>
      <c r="Z6906">
        <v>-8.8255529999999999E-2</v>
      </c>
      <c r="AA6906">
        <v>0.93557140000000005</v>
      </c>
      <c r="AB6906">
        <v>28</v>
      </c>
      <c r="AC6906">
        <v>4.6809999999999796</v>
      </c>
      <c r="AD6906">
        <v>-1.108060243708</v>
      </c>
      <c r="AE6906">
        <v>11.5147999999999</v>
      </c>
      <c r="AF6906">
        <v>4.2817219459217402</v>
      </c>
      <c r="AG6906">
        <v>-1.108060243708</v>
      </c>
      <c r="AH6906">
        <v>11.564713842081501</v>
      </c>
      <c r="AI6906">
        <v>95.134419156001798</v>
      </c>
      <c r="AJ6906">
        <v>69.683422084185807</v>
      </c>
      <c r="AK6906">
        <v>12.381580940053899</v>
      </c>
      <c r="AL6906">
        <v>81.781899899478105</v>
      </c>
      <c r="AM6906">
        <v>69.191565735636999</v>
      </c>
      <c r="AN6906">
        <v>0.999999977761304</v>
      </c>
    </row>
    <row r="6907" spans="1:40" x14ac:dyDescent="0.25">
      <c r="A6907" t="str">
        <f>"20190312164639775"</f>
        <v>20190312164639775</v>
      </c>
      <c r="B6907" t="str">
        <f>"1552380399767799"</f>
        <v>1552380399767799</v>
      </c>
      <c r="C6907" t="s">
        <v>40</v>
      </c>
      <c r="D6907">
        <v>5.0989149999999999</v>
      </c>
      <c r="E6907">
        <v>0.50992179999999998</v>
      </c>
      <c r="F6907" t="s">
        <v>71</v>
      </c>
      <c r="G6907">
        <v>-182.86519999999999</v>
      </c>
      <c r="H6907" s="1">
        <v>-2.4262090000000002E-6</v>
      </c>
      <c r="I6907">
        <v>121.4466</v>
      </c>
      <c r="J6907">
        <v>-187.70869999999999</v>
      </c>
      <c r="K6907">
        <v>1.108055</v>
      </c>
      <c r="L6907">
        <v>109.61</v>
      </c>
      <c r="M6907">
        <v>3.2100789999999997E-2</v>
      </c>
      <c r="N6907">
        <v>0</v>
      </c>
      <c r="O6907">
        <v>0.9993938</v>
      </c>
      <c r="P6907">
        <v>0.38319599999999998</v>
      </c>
      <c r="Q6907">
        <v>0.13100880000000001</v>
      </c>
      <c r="R6907">
        <v>0.91432899999999995</v>
      </c>
      <c r="S6907">
        <v>1.1481629999999901</v>
      </c>
      <c r="T6907">
        <v>-0.2623857</v>
      </c>
      <c r="U6907">
        <v>2.8375400000000002</v>
      </c>
      <c r="V6907">
        <v>0.35395070000000001</v>
      </c>
      <c r="W6907">
        <v>0.14272260000000001</v>
      </c>
      <c r="X6907">
        <v>0.92431010000000002</v>
      </c>
      <c r="Y6907">
        <v>0.34375529999999999</v>
      </c>
      <c r="Z6907">
        <v>-8.5848129999999995E-2</v>
      </c>
      <c r="AA6907">
        <v>0.93512700000000004</v>
      </c>
      <c r="AB6907">
        <v>28</v>
      </c>
      <c r="AC6907">
        <v>4.8434999999999997</v>
      </c>
      <c r="AD6907">
        <v>-1.1080574262089999</v>
      </c>
      <c r="AE6907">
        <v>11.836600000000001</v>
      </c>
      <c r="AF6907">
        <v>4.4277678069204898</v>
      </c>
      <c r="AG6907">
        <v>-1.1080574262089999</v>
      </c>
      <c r="AH6907">
        <v>11.896690988880801</v>
      </c>
      <c r="AI6907">
        <v>94.988714751919403</v>
      </c>
      <c r="AJ6907">
        <v>69.585497328561601</v>
      </c>
      <c r="AK6907">
        <v>12.742220194954101</v>
      </c>
      <c r="AL6907">
        <v>81.794577843296494</v>
      </c>
      <c r="AM6907">
        <v>69.046407387058395</v>
      </c>
      <c r="AN6907">
        <v>0.99999999977163001</v>
      </c>
    </row>
    <row r="6908" spans="1:40" x14ac:dyDescent="0.25">
      <c r="A6908" t="str">
        <f>"20190312164639786"</f>
        <v>20190312164639786</v>
      </c>
      <c r="B6908" t="str">
        <f>"1552380399778535"</f>
        <v>1552380399778535</v>
      </c>
      <c r="C6908" t="s">
        <v>40</v>
      </c>
      <c r="D6908">
        <v>5.1056280000000003</v>
      </c>
      <c r="E6908">
        <v>0.51001540000000001</v>
      </c>
      <c r="F6908" t="s">
        <v>71</v>
      </c>
      <c r="G6908">
        <v>-182.8785</v>
      </c>
      <c r="H6908" s="1">
        <v>-2.4233760000000001E-6</v>
      </c>
      <c r="I6908">
        <v>121.44889999999999</v>
      </c>
      <c r="J6908">
        <v>-187.70349999999999</v>
      </c>
      <c r="K6908">
        <v>1.1080540000000001</v>
      </c>
      <c r="L6908">
        <v>109.7533</v>
      </c>
      <c r="M6908">
        <v>3.2674679999999998E-2</v>
      </c>
      <c r="N6908">
        <v>0</v>
      </c>
      <c r="O6908">
        <v>0.99937520000000002</v>
      </c>
      <c r="P6908">
        <v>0.38612469999999999</v>
      </c>
      <c r="Q6908">
        <v>0.1311282</v>
      </c>
      <c r="R6908">
        <v>0.91307890000000003</v>
      </c>
      <c r="S6908">
        <v>1.156433</v>
      </c>
      <c r="T6908">
        <v>-0.26528930000000001</v>
      </c>
      <c r="U6908">
        <v>2.834457</v>
      </c>
      <c r="V6908">
        <v>0.35638710000000001</v>
      </c>
      <c r="W6908">
        <v>0.14282410000000001</v>
      </c>
      <c r="X6908">
        <v>0.92335769999999995</v>
      </c>
      <c r="Y6908">
        <v>0.34587950000000001</v>
      </c>
      <c r="Z6908">
        <v>-8.6794350000000006E-2</v>
      </c>
      <c r="AA6908">
        <v>0.93425590000000003</v>
      </c>
      <c r="AB6908">
        <v>28</v>
      </c>
      <c r="AC6908">
        <v>4.8249999999999797</v>
      </c>
      <c r="AD6908">
        <v>-1.108056423376</v>
      </c>
      <c r="AE6908">
        <v>11.695600000000001</v>
      </c>
      <c r="AF6908">
        <v>4.4064391761641097</v>
      </c>
      <c r="AG6908">
        <v>-1.108056423376</v>
      </c>
      <c r="AH6908">
        <v>11.7568434071643</v>
      </c>
      <c r="AI6908">
        <v>95.043447126055796</v>
      </c>
      <c r="AJ6908">
        <v>69.454111784054703</v>
      </c>
      <c r="AK6908">
        <v>12.6042795173386</v>
      </c>
      <c r="AL6908">
        <v>81.788701842921498</v>
      </c>
      <c r="AM6908">
        <v>68.894976372682095</v>
      </c>
      <c r="AN6908">
        <v>0.99999996536825397</v>
      </c>
    </row>
    <row r="6909" spans="1:40" x14ac:dyDescent="0.25">
      <c r="A6909" t="str">
        <f>"20190312164639798"</f>
        <v>20190312164639798</v>
      </c>
      <c r="B6909" t="str">
        <f>"1552380399788295"</f>
        <v>1552380399788295</v>
      </c>
      <c r="C6909" t="s">
        <v>40</v>
      </c>
      <c r="D6909">
        <v>5.0113059999999896</v>
      </c>
      <c r="E6909">
        <v>0.50972220000000001</v>
      </c>
      <c r="F6909" t="s">
        <v>71</v>
      </c>
      <c r="G6909">
        <v>-182.84450000000001</v>
      </c>
      <c r="H6909" s="1">
        <v>-2.4631549999999998E-6</v>
      </c>
      <c r="I6909">
        <v>121.55329999999999</v>
      </c>
      <c r="J6909">
        <v>-187.6985</v>
      </c>
      <c r="K6909">
        <v>1.108053</v>
      </c>
      <c r="L6909">
        <v>109.88720000000001</v>
      </c>
      <c r="M6909">
        <v>3.3214140000000003E-2</v>
      </c>
      <c r="N6909">
        <v>0</v>
      </c>
      <c r="O6909">
        <v>0.99935739999999995</v>
      </c>
      <c r="P6909">
        <v>0.38872069999999997</v>
      </c>
      <c r="Q6909">
        <v>0.131215</v>
      </c>
      <c r="R6909">
        <v>0.9119642</v>
      </c>
      <c r="S6909">
        <v>1.1656489999999999</v>
      </c>
      <c r="T6909">
        <v>-0.26582090000000003</v>
      </c>
      <c r="U6909">
        <v>2.8308110000000002</v>
      </c>
      <c r="V6909">
        <v>0.3585199</v>
      </c>
      <c r="W6909">
        <v>0.14289489999999999</v>
      </c>
      <c r="X6909">
        <v>0.92252080000000003</v>
      </c>
      <c r="Y6909">
        <v>0.3483908</v>
      </c>
      <c r="Z6909">
        <v>-8.6974360000000001E-2</v>
      </c>
      <c r="AA6909">
        <v>0.93330559999999996</v>
      </c>
      <c r="AB6909">
        <v>28</v>
      </c>
      <c r="AC6909">
        <v>4.8539999999999797</v>
      </c>
      <c r="AD6909">
        <v>-1.1080554631549999</v>
      </c>
      <c r="AE6909">
        <v>11.666099999999901</v>
      </c>
      <c r="AF6909">
        <v>4.4297417651561197</v>
      </c>
      <c r="AG6909">
        <v>-1.1080554631549999</v>
      </c>
      <c r="AH6909">
        <v>11.730688677205499</v>
      </c>
      <c r="AI6909">
        <v>95.049954793811395</v>
      </c>
      <c r="AJ6909">
        <v>69.312464473753906</v>
      </c>
      <c r="AK6909">
        <v>12.5880679954039</v>
      </c>
      <c r="AL6909">
        <v>81.7846039524145</v>
      </c>
      <c r="AM6909">
        <v>68.762345643528704</v>
      </c>
      <c r="AN6909">
        <v>1.00000004878732</v>
      </c>
    </row>
    <row r="6910" spans="1:40" x14ac:dyDescent="0.25">
      <c r="A6910" t="str">
        <f>"20190312164639809"</f>
        <v>20190312164639809</v>
      </c>
      <c r="B6910" t="str">
        <f>"1552380399798055"</f>
        <v>1552380399798055</v>
      </c>
      <c r="C6910" t="s">
        <v>40</v>
      </c>
      <c r="D6910">
        <v>5.0680459999999998</v>
      </c>
      <c r="E6910">
        <v>0.5095809</v>
      </c>
      <c r="F6910" t="s">
        <v>71</v>
      </c>
      <c r="G6910">
        <v>-182.86660000000001</v>
      </c>
      <c r="H6910" s="1">
        <v>-2.4603949999999998E-6</v>
      </c>
      <c r="I6910">
        <v>121.5639</v>
      </c>
      <c r="J6910">
        <v>-187.69309999999999</v>
      </c>
      <c r="K6910">
        <v>1.108053</v>
      </c>
      <c r="L6910">
        <v>110.0325</v>
      </c>
      <c r="M6910">
        <v>3.3799969999999999E-2</v>
      </c>
      <c r="N6910">
        <v>0</v>
      </c>
      <c r="O6910">
        <v>0.9993377</v>
      </c>
      <c r="P6910">
        <v>0.39163979999999998</v>
      </c>
      <c r="Q6910">
        <v>0.13132369999999999</v>
      </c>
      <c r="R6910">
        <v>0.91069880000000003</v>
      </c>
      <c r="S6910">
        <v>1.1707459999999901</v>
      </c>
      <c r="T6910">
        <v>-0.26847880000000002</v>
      </c>
      <c r="U6910">
        <v>2.829224</v>
      </c>
      <c r="V6910">
        <v>0.36093920000000002</v>
      </c>
      <c r="W6910">
        <v>0.14298459999999999</v>
      </c>
      <c r="X6910">
        <v>0.92156300000000002</v>
      </c>
      <c r="Y6910">
        <v>0.3494333</v>
      </c>
      <c r="Z6910">
        <v>-8.7833019999999998E-2</v>
      </c>
      <c r="AA6910">
        <v>0.93283530000000003</v>
      </c>
      <c r="AB6910">
        <v>28</v>
      </c>
      <c r="AC6910">
        <v>4.8264999999999798</v>
      </c>
      <c r="AD6910">
        <v>-1.1080554603949999</v>
      </c>
      <c r="AE6910">
        <v>11.5314</v>
      </c>
      <c r="AF6910">
        <v>4.3993797692619498</v>
      </c>
      <c r="AG6910">
        <v>-1.1080554603949999</v>
      </c>
      <c r="AH6910">
        <v>11.5968449022104</v>
      </c>
      <c r="AI6910">
        <v>95.105005468176401</v>
      </c>
      <c r="AJ6910">
        <v>69.225255206250594</v>
      </c>
      <c r="AK6910">
        <v>12.4526760555081</v>
      </c>
      <c r="AL6910">
        <v>81.779411063674701</v>
      </c>
      <c r="AM6910">
        <v>68.611717213938903</v>
      </c>
      <c r="AN6910">
        <v>1.00000003245139</v>
      </c>
    </row>
    <row r="6911" spans="1:40" x14ac:dyDescent="0.25">
      <c r="A6911" t="str">
        <f>"20190312164639821"</f>
        <v>20190312164639821</v>
      </c>
      <c r="B6911" t="str">
        <f>"1552380399818550"</f>
        <v>1552380399818550</v>
      </c>
      <c r="C6911" t="s">
        <v>40</v>
      </c>
      <c r="D6911">
        <v>4.9625180000000002</v>
      </c>
      <c r="E6911">
        <v>0.5086562</v>
      </c>
      <c r="F6911" t="s">
        <v>71</v>
      </c>
      <c r="G6911">
        <v>-182.80369999999999</v>
      </c>
      <c r="H6911" s="1">
        <v>-2.5338050000000001E-6</v>
      </c>
      <c r="I6911">
        <v>121.7563</v>
      </c>
      <c r="J6911">
        <v>-187.6874</v>
      </c>
      <c r="K6911">
        <v>1.1080490000000001</v>
      </c>
      <c r="L6911">
        <v>110.1799</v>
      </c>
      <c r="M6911">
        <v>3.4401099999999997E-2</v>
      </c>
      <c r="N6911">
        <v>0</v>
      </c>
      <c r="O6911">
        <v>0.99931720000000002</v>
      </c>
      <c r="P6911">
        <v>0.39443600000000001</v>
      </c>
      <c r="Q6911">
        <v>0.13114410000000001</v>
      </c>
      <c r="R6911">
        <v>0.90951720000000003</v>
      </c>
      <c r="S6911">
        <v>1.178528</v>
      </c>
      <c r="T6911">
        <v>-0.26708359999999998</v>
      </c>
      <c r="U6911">
        <v>2.825882</v>
      </c>
      <c r="V6911">
        <v>0.36321969999999998</v>
      </c>
      <c r="W6911">
        <v>0.14278540000000001</v>
      </c>
      <c r="X6911">
        <v>0.92069749999999995</v>
      </c>
      <c r="Y6911">
        <v>0.3514642</v>
      </c>
      <c r="Z6911">
        <v>-8.7393940000000003E-2</v>
      </c>
      <c r="AA6911">
        <v>0.93211330000000003</v>
      </c>
      <c r="AB6911">
        <v>28</v>
      </c>
      <c r="AC6911">
        <v>4.8837000000000002</v>
      </c>
      <c r="AD6911">
        <v>-1.1080515338050001</v>
      </c>
      <c r="AE6911">
        <v>11.5763999999999</v>
      </c>
      <c r="AF6911">
        <v>4.4479380887631397</v>
      </c>
      <c r="AG6911">
        <v>-1.1080515338050001</v>
      </c>
      <c r="AH6911">
        <v>11.646982690876399</v>
      </c>
      <c r="AI6911">
        <v>95.078865299417203</v>
      </c>
      <c r="AJ6911">
        <v>69.098334719098801</v>
      </c>
      <c r="AK6911">
        <v>12.516554527688999</v>
      </c>
      <c r="AL6911">
        <v>81.790942881090004</v>
      </c>
      <c r="AM6911">
        <v>68.470521410826393</v>
      </c>
      <c r="AN6911">
        <v>1.0000000537137399</v>
      </c>
    </row>
    <row r="6912" spans="1:40" x14ac:dyDescent="0.25">
      <c r="A6912" t="str">
        <f>"20190312164639833"</f>
        <v>20190312164639833</v>
      </c>
      <c r="B6912" t="str">
        <f>"1552380399828310"</f>
        <v>1552380399828310</v>
      </c>
      <c r="C6912" t="s">
        <v>40</v>
      </c>
      <c r="D6912">
        <v>4.9518170000000001</v>
      </c>
      <c r="E6912">
        <v>0.50834040000000003</v>
      </c>
      <c r="F6912" t="s">
        <v>71</v>
      </c>
      <c r="G6912">
        <v>-182.8426</v>
      </c>
      <c r="H6912" s="1">
        <v>-2.5317599999999998E-6</v>
      </c>
      <c r="I6912">
        <v>121.78449999999999</v>
      </c>
      <c r="J6912">
        <v>-187.68170000000001</v>
      </c>
      <c r="K6912">
        <v>1.108044</v>
      </c>
      <c r="L6912">
        <v>110.3283</v>
      </c>
      <c r="M6912">
        <v>3.5008379999999999E-2</v>
      </c>
      <c r="N6912">
        <v>0</v>
      </c>
      <c r="O6912">
        <v>0.99929610000000002</v>
      </c>
      <c r="P6912">
        <v>0.39724429999999999</v>
      </c>
      <c r="Q6912">
        <v>0.13083230000000001</v>
      </c>
      <c r="R6912">
        <v>0.90833909999999995</v>
      </c>
      <c r="S6912">
        <v>1.1797329999999999</v>
      </c>
      <c r="T6912">
        <v>-0.26981290000000002</v>
      </c>
      <c r="U6912">
        <v>2.8257289999999999</v>
      </c>
      <c r="V6912">
        <v>0.36550769999999999</v>
      </c>
      <c r="W6912">
        <v>0.14245360000000001</v>
      </c>
      <c r="X6912">
        <v>0.91984299999999997</v>
      </c>
      <c r="Y6912">
        <v>0.35122219999999998</v>
      </c>
      <c r="Z6912">
        <v>-8.8278380000000004E-2</v>
      </c>
      <c r="AA6912">
        <v>0.93212119999999998</v>
      </c>
      <c r="AB6912">
        <v>28</v>
      </c>
      <c r="AC6912">
        <v>4.8391000000000002</v>
      </c>
      <c r="AD6912">
        <v>-1.1080465317599999</v>
      </c>
      <c r="AE6912">
        <v>11.4561999999999</v>
      </c>
      <c r="AF6912">
        <v>4.4001038653601103</v>
      </c>
      <c r="AG6912">
        <v>-1.1080465317599999</v>
      </c>
      <c r="AH6912">
        <v>11.527093828704199</v>
      </c>
      <c r="AI6912">
        <v>95.131687362256699</v>
      </c>
      <c r="AJ6912">
        <v>69.107224098657099</v>
      </c>
      <c r="AK6912">
        <v>12.3880011817183</v>
      </c>
      <c r="AL6912">
        <v>81.810149732100797</v>
      </c>
      <c r="AM6912">
        <v>68.329166347046595</v>
      </c>
      <c r="AN6912">
        <v>1.0000000257806201</v>
      </c>
    </row>
    <row r="6913" spans="1:40" x14ac:dyDescent="0.25">
      <c r="A6913" t="str">
        <f>"20190312164639843"</f>
        <v>20190312164639843</v>
      </c>
      <c r="B6913" t="str">
        <f>"1552380399838071"</f>
        <v>1552380399838071</v>
      </c>
      <c r="C6913" t="s">
        <v>40</v>
      </c>
      <c r="D6913">
        <v>4.9445290000000002</v>
      </c>
      <c r="E6913">
        <v>0.50805509999999998</v>
      </c>
      <c r="F6913" t="s">
        <v>71</v>
      </c>
      <c r="G6913">
        <v>-182.8424</v>
      </c>
      <c r="H6913" s="1">
        <v>-2.5512170000000001E-6</v>
      </c>
      <c r="I6913">
        <v>121.85039999999999</v>
      </c>
      <c r="J6913">
        <v>-187.67599999999999</v>
      </c>
      <c r="K6913">
        <v>1.1080369999999999</v>
      </c>
      <c r="L6913">
        <v>110.4708</v>
      </c>
      <c r="M6913">
        <v>3.5596309999999999E-2</v>
      </c>
      <c r="N6913">
        <v>0</v>
      </c>
      <c r="O6913">
        <v>0.99927529999999998</v>
      </c>
      <c r="P6913">
        <v>0.40004260000000003</v>
      </c>
      <c r="Q6913">
        <v>0.13014200000000001</v>
      </c>
      <c r="R6913">
        <v>0.9072095</v>
      </c>
      <c r="S6913">
        <v>1.1857599999999999</v>
      </c>
      <c r="T6913">
        <v>-0.27150390000000002</v>
      </c>
      <c r="U6913">
        <v>2.8232569999999999</v>
      </c>
      <c r="V6913">
        <v>0.36780239999999997</v>
      </c>
      <c r="W6913">
        <v>0.1417428</v>
      </c>
      <c r="X6913">
        <v>0.91903780000000002</v>
      </c>
      <c r="Y6913">
        <v>0.35263509999999998</v>
      </c>
      <c r="Z6913">
        <v>-8.8836040000000005E-2</v>
      </c>
      <c r="AA6913">
        <v>0.93153450000000004</v>
      </c>
      <c r="AB6913">
        <v>28</v>
      </c>
      <c r="AC6913">
        <v>4.8335999999999899</v>
      </c>
      <c r="AD6913">
        <v>-1.108039551217</v>
      </c>
      <c r="AE6913">
        <v>11.3795999999999</v>
      </c>
      <c r="AF6913">
        <v>4.3901660833791798</v>
      </c>
      <c r="AG6913">
        <v>-1.108039551217</v>
      </c>
      <c r="AH6913">
        <v>11.4524754328523</v>
      </c>
      <c r="AI6913">
        <v>95.162135021580994</v>
      </c>
      <c r="AJ6913">
        <v>69.026286297000595</v>
      </c>
      <c r="AK6913">
        <v>12.315051905160599</v>
      </c>
      <c r="AL6913">
        <v>81.851293289049806</v>
      </c>
      <c r="AM6913">
        <v>68.188526014926694</v>
      </c>
      <c r="AN6913">
        <v>1.00000005231321</v>
      </c>
    </row>
    <row r="6914" spans="1:40" x14ac:dyDescent="0.25">
      <c r="A6914" t="str">
        <f>"20190312164639854"</f>
        <v>20190312164639854</v>
      </c>
      <c r="B6914" t="str">
        <f>"1552380399847832"</f>
        <v>1552380399847832</v>
      </c>
      <c r="C6914" t="s">
        <v>40</v>
      </c>
      <c r="D6914">
        <v>4.9491239999999896</v>
      </c>
      <c r="E6914">
        <v>0.50775740000000003</v>
      </c>
      <c r="F6914" t="s">
        <v>71</v>
      </c>
      <c r="G6914">
        <v>-182.87129999999999</v>
      </c>
      <c r="H6914" s="1">
        <v>-2.54211E-6</v>
      </c>
      <c r="I6914">
        <v>121.8456</v>
      </c>
      <c r="J6914">
        <v>-187.67060000000001</v>
      </c>
      <c r="K6914">
        <v>1.108033</v>
      </c>
      <c r="L6914">
        <v>110.6056</v>
      </c>
      <c r="M6914">
        <v>3.6158379999999997E-2</v>
      </c>
      <c r="N6914">
        <v>0</v>
      </c>
      <c r="O6914">
        <v>0.99925509999999995</v>
      </c>
      <c r="P6914">
        <v>0.40251399999999998</v>
      </c>
      <c r="Q6914">
        <v>0.12949820000000001</v>
      </c>
      <c r="R6914">
        <v>0.90620789999999996</v>
      </c>
      <c r="S6914">
        <v>1.1915279999999999</v>
      </c>
      <c r="T6914">
        <v>-0.2747849</v>
      </c>
      <c r="U6914">
        <v>2.820862</v>
      </c>
      <c r="V6914">
        <v>0.36979089999999998</v>
      </c>
      <c r="W6914">
        <v>0.14107999999999901</v>
      </c>
      <c r="X6914">
        <v>0.91834150000000003</v>
      </c>
      <c r="Y6914">
        <v>0.35397129999999999</v>
      </c>
      <c r="Z6914">
        <v>-8.9909950000000002E-2</v>
      </c>
      <c r="AA6914">
        <v>0.93092459999999999</v>
      </c>
      <c r="AB6914">
        <v>28</v>
      </c>
      <c r="AC6914">
        <v>4.7993000000000103</v>
      </c>
      <c r="AD6914">
        <v>-1.1080355421100001</v>
      </c>
      <c r="AE6914">
        <v>11.24</v>
      </c>
      <c r="AF6914">
        <v>4.3539171928559002</v>
      </c>
      <c r="AG6914">
        <v>-1.1080355421100001</v>
      </c>
      <c r="AH6914">
        <v>11.3132111116626</v>
      </c>
      <c r="AI6914">
        <v>95.222677948930496</v>
      </c>
      <c r="AJ6914">
        <v>68.950656644934895</v>
      </c>
      <c r="AK6914">
        <v>12.172636663511801</v>
      </c>
      <c r="AL6914">
        <v>81.889653943466101</v>
      </c>
      <c r="AM6914">
        <v>68.066707984489398</v>
      </c>
      <c r="AN6914">
        <v>0.99999999337252998</v>
      </c>
    </row>
    <row r="6915" spans="1:40" x14ac:dyDescent="0.25">
      <c r="A6915" t="str">
        <f>"20190312164639866"</f>
        <v>20190312164639866</v>
      </c>
      <c r="B6915" t="str">
        <f>"1552380399858567"</f>
        <v>1552380399858567</v>
      </c>
      <c r="C6915" t="s">
        <v>40</v>
      </c>
      <c r="D6915">
        <v>5.016286</v>
      </c>
      <c r="E6915">
        <v>0.507552</v>
      </c>
      <c r="F6915" t="s">
        <v>71</v>
      </c>
      <c r="G6915">
        <v>-182.8879</v>
      </c>
      <c r="H6915" s="1">
        <v>-2.5451509999999999E-6</v>
      </c>
      <c r="I6915">
        <v>121.87090000000001</v>
      </c>
      <c r="J6915">
        <v>-187.66480000000001</v>
      </c>
      <c r="K6915">
        <v>1.108026</v>
      </c>
      <c r="L6915">
        <v>110.7505</v>
      </c>
      <c r="M6915">
        <v>3.6767210000000002E-2</v>
      </c>
      <c r="N6915">
        <v>0</v>
      </c>
      <c r="O6915">
        <v>0.99923289999999998</v>
      </c>
      <c r="P6915">
        <v>0.40482610000000002</v>
      </c>
      <c r="Q6915">
        <v>0.1291001</v>
      </c>
      <c r="R6915">
        <v>0.90523419999999999</v>
      </c>
      <c r="S6915">
        <v>1.1966399999999999</v>
      </c>
      <c r="T6915">
        <v>-0.27723130000000001</v>
      </c>
      <c r="U6915">
        <v>2.8185880000000001</v>
      </c>
      <c r="V6915">
        <v>0.37157820000000003</v>
      </c>
      <c r="W6915">
        <v>0.14066319999999999</v>
      </c>
      <c r="X6915">
        <v>0.91768380000000005</v>
      </c>
      <c r="Y6915">
        <v>0.35507359999999999</v>
      </c>
      <c r="Z6915">
        <v>-9.0717030000000004E-2</v>
      </c>
      <c r="AA6915">
        <v>0.93042639999999999</v>
      </c>
      <c r="AB6915">
        <v>28</v>
      </c>
      <c r="AC6915">
        <v>4.7769000000000101</v>
      </c>
      <c r="AD6915">
        <v>-1.1080285451509999</v>
      </c>
      <c r="AE6915">
        <v>11.1204</v>
      </c>
      <c r="AF6915">
        <v>4.3284874412551897</v>
      </c>
      <c r="AG6915">
        <v>-1.1080285451509999</v>
      </c>
      <c r="AH6915">
        <v>11.1947014522132</v>
      </c>
      <c r="AI6915">
        <v>95.274447271964604</v>
      </c>
      <c r="AJ6915">
        <v>68.860756028933395</v>
      </c>
      <c r="AK6915">
        <v>12.053417415412</v>
      </c>
      <c r="AL6915">
        <v>81.913775629453397</v>
      </c>
      <c r="AM6915">
        <v>67.956544216533601</v>
      </c>
      <c r="AN6915">
        <v>1.00000002566595</v>
      </c>
    </row>
    <row r="6916" spans="1:40" x14ac:dyDescent="0.25">
      <c r="A6916" t="str">
        <f>"20190312164639878"</f>
        <v>20190312164639878</v>
      </c>
      <c r="B6916" t="str">
        <f>"1552380399868327"</f>
        <v>1552380399868327</v>
      </c>
      <c r="C6916" t="s">
        <v>40</v>
      </c>
      <c r="D6916">
        <v>5.0653920000000001</v>
      </c>
      <c r="E6916">
        <v>0.50748230000000005</v>
      </c>
      <c r="F6916" t="s">
        <v>71</v>
      </c>
      <c r="G6916">
        <v>-182.89689999999999</v>
      </c>
      <c r="H6916" s="1">
        <v>-2.5558420000000001E-6</v>
      </c>
      <c r="I6916">
        <v>121.9153</v>
      </c>
      <c r="J6916">
        <v>-187.65880000000001</v>
      </c>
      <c r="K6916">
        <v>1.1080190000000001</v>
      </c>
      <c r="L6916">
        <v>110.89409999999999</v>
      </c>
      <c r="M6916">
        <v>3.738412E-2</v>
      </c>
      <c r="N6916">
        <v>0</v>
      </c>
      <c r="O6916">
        <v>0.99921009999999999</v>
      </c>
      <c r="P6916">
        <v>0.40703400000000001</v>
      </c>
      <c r="Q6916">
        <v>0.12851960000000001</v>
      </c>
      <c r="R6916">
        <v>0.90432630000000003</v>
      </c>
      <c r="S6916">
        <v>1.2026059999999901</v>
      </c>
      <c r="T6916">
        <v>-0.27947899999999998</v>
      </c>
      <c r="U6916">
        <v>2.8161160000000001</v>
      </c>
      <c r="V6916">
        <v>0.3732529</v>
      </c>
      <c r="W6916">
        <v>0.14006170000000001</v>
      </c>
      <c r="X6916">
        <v>0.91709600000000002</v>
      </c>
      <c r="Y6916">
        <v>0.35643229999999998</v>
      </c>
      <c r="Z6916">
        <v>-9.1455439999999999E-2</v>
      </c>
      <c r="AA6916">
        <v>0.92983439999999995</v>
      </c>
      <c r="AB6916">
        <v>28</v>
      </c>
      <c r="AC6916">
        <v>4.7619000000000202</v>
      </c>
      <c r="AD6916">
        <v>-1.1080215558419999</v>
      </c>
      <c r="AE6916">
        <v>11.0212</v>
      </c>
      <c r="AF6916">
        <v>4.3098072852157197</v>
      </c>
      <c r="AG6916">
        <v>-1.1080215558419999</v>
      </c>
      <c r="AH6916">
        <v>11.097012963349201</v>
      </c>
      <c r="AI6916">
        <v>95.3175147640235</v>
      </c>
      <c r="AJ6916">
        <v>68.775052787639893</v>
      </c>
      <c r="AK6916">
        <v>11.9559962910938</v>
      </c>
      <c r="AL6916">
        <v>81.9485837508971</v>
      </c>
      <c r="AM6916">
        <v>67.853954050764798</v>
      </c>
      <c r="AN6916">
        <v>1.0000000401906399</v>
      </c>
    </row>
    <row r="6917" spans="1:40" x14ac:dyDescent="0.25">
      <c r="A6917" t="str">
        <f>"20190312164639889"</f>
        <v>20190312164639889</v>
      </c>
      <c r="B6917" t="str">
        <f>"1552380399878087"</f>
        <v>1552380399878087</v>
      </c>
      <c r="C6917" t="s">
        <v>40</v>
      </c>
      <c r="D6917">
        <v>4.9674740000000002</v>
      </c>
      <c r="E6917">
        <v>0.50707650000000004</v>
      </c>
      <c r="F6917" t="s">
        <v>71</v>
      </c>
      <c r="G6917">
        <v>-182.90770000000001</v>
      </c>
      <c r="H6917" s="1">
        <v>-2.5627180000000001E-6</v>
      </c>
      <c r="I6917">
        <v>121.94840000000001</v>
      </c>
      <c r="J6917">
        <v>-187.65260000000001</v>
      </c>
      <c r="K6917">
        <v>1.1080080000000001</v>
      </c>
      <c r="L6917">
        <v>111.0431</v>
      </c>
      <c r="M6917">
        <v>3.8029340000000002E-2</v>
      </c>
      <c r="N6917">
        <v>0</v>
      </c>
      <c r="O6917">
        <v>0.99918569999999995</v>
      </c>
      <c r="P6917">
        <v>0.4095027</v>
      </c>
      <c r="Q6917">
        <v>0.12807769999999999</v>
      </c>
      <c r="R6917">
        <v>0.90327380000000002</v>
      </c>
      <c r="S6917">
        <v>1.209122</v>
      </c>
      <c r="T6917">
        <v>-0.2819854</v>
      </c>
      <c r="U6917">
        <v>2.8132630000000001</v>
      </c>
      <c r="V6917">
        <v>0.37516929999999998</v>
      </c>
      <c r="W6917">
        <v>0.13959569999999999</v>
      </c>
      <c r="X6917">
        <v>0.9163848</v>
      </c>
      <c r="Y6917">
        <v>0.35795870000000002</v>
      </c>
      <c r="Z6917">
        <v>-9.2282139999999999E-2</v>
      </c>
      <c r="AA6917">
        <v>0.92916609999999999</v>
      </c>
      <c r="AB6917">
        <v>28</v>
      </c>
      <c r="AC6917">
        <v>4.7449000000000003</v>
      </c>
      <c r="AD6917">
        <v>-1.1080105627179999</v>
      </c>
      <c r="AE6917">
        <v>10.9053</v>
      </c>
      <c r="AF6917">
        <v>4.2894755949459702</v>
      </c>
      <c r="AG6917">
        <v>-1.1080105627179999</v>
      </c>
      <c r="AH6917">
        <v>10.982543928893801</v>
      </c>
      <c r="AI6917">
        <v>95.3685962907781</v>
      </c>
      <c r="AJ6917">
        <v>68.665768862423405</v>
      </c>
      <c r="AK6917">
        <v>11.842447358414301</v>
      </c>
      <c r="AL6917">
        <v>81.975548429828606</v>
      </c>
      <c r="AM6917">
        <v>67.735734300536194</v>
      </c>
      <c r="AN6917">
        <v>1.0000000323960001</v>
      </c>
    </row>
    <row r="6918" spans="1:40" x14ac:dyDescent="0.25">
      <c r="A6918" t="str">
        <f>"20190312164639902"</f>
        <v>20190312164639902</v>
      </c>
      <c r="B6918" t="str">
        <f>"1552380399898583"</f>
        <v>1552380399898583</v>
      </c>
      <c r="C6918" t="s">
        <v>40</v>
      </c>
      <c r="D6918">
        <v>5.0002620000000002</v>
      </c>
      <c r="E6918">
        <v>0.5064592</v>
      </c>
      <c r="F6918" t="s">
        <v>71</v>
      </c>
      <c r="G6918">
        <v>-182.9041</v>
      </c>
      <c r="H6918" s="1">
        <v>-2.589578E-6</v>
      </c>
      <c r="I6918">
        <v>122.0363</v>
      </c>
      <c r="J6918">
        <v>-187.64580000000001</v>
      </c>
      <c r="K6918">
        <v>1.1079889999999999</v>
      </c>
      <c r="L6918">
        <v>111.2021</v>
      </c>
      <c r="M6918">
        <v>3.8744319999999999E-2</v>
      </c>
      <c r="N6918">
        <v>0</v>
      </c>
      <c r="O6918">
        <v>0.9991582</v>
      </c>
      <c r="P6918">
        <v>0.41216639999999999</v>
      </c>
      <c r="Q6918">
        <v>0.12830639999999999</v>
      </c>
      <c r="R6918">
        <v>0.90202899999999997</v>
      </c>
      <c r="S6918">
        <v>1.2141879999999901</v>
      </c>
      <c r="T6918">
        <v>-0.2833174</v>
      </c>
      <c r="U6918">
        <v>2.8109739999999999</v>
      </c>
      <c r="V6918">
        <v>0.37722889999999998</v>
      </c>
      <c r="W6918">
        <v>0.1397912</v>
      </c>
      <c r="X6918">
        <v>0.91550900000000002</v>
      </c>
      <c r="Y6918">
        <v>0.35896099999999997</v>
      </c>
      <c r="Z6918">
        <v>-9.2729010000000001E-2</v>
      </c>
      <c r="AA6918">
        <v>0.92873479999999997</v>
      </c>
      <c r="AB6918">
        <v>28</v>
      </c>
      <c r="AC6918">
        <v>4.7416999999999998</v>
      </c>
      <c r="AD6918">
        <v>-1.1079915895779999</v>
      </c>
      <c r="AE6918">
        <v>10.8341999999999</v>
      </c>
      <c r="AF6918">
        <v>4.2807630437870303</v>
      </c>
      <c r="AG6918">
        <v>-1.1079915895779999</v>
      </c>
      <c r="AH6918">
        <v>10.9139973484411</v>
      </c>
      <c r="AI6918">
        <v>95.3990084071269</v>
      </c>
      <c r="AJ6918">
        <v>68.583554013415593</v>
      </c>
      <c r="AK6918">
        <v>11.775734190334299</v>
      </c>
      <c r="AL6918">
        <v>81.964235728965093</v>
      </c>
      <c r="AM6918">
        <v>67.606242126688599</v>
      </c>
      <c r="AN6918">
        <v>0.99999997583682398</v>
      </c>
    </row>
    <row r="6919" spans="1:40" x14ac:dyDescent="0.25">
      <c r="A6919" t="str">
        <f>"20190312164639921"</f>
        <v>20190312164639921</v>
      </c>
      <c r="B6919" t="str">
        <f>"1552380399908343"</f>
        <v>1552380399908343</v>
      </c>
      <c r="C6919" t="s">
        <v>40</v>
      </c>
      <c r="D6919">
        <v>5.0676489999999896</v>
      </c>
      <c r="E6919">
        <v>0.50624250000000004</v>
      </c>
      <c r="F6919" t="s">
        <v>71</v>
      </c>
      <c r="G6919">
        <v>-182.7835</v>
      </c>
      <c r="H6919" s="1">
        <v>-2.7310389999999998E-6</v>
      </c>
      <c r="I6919">
        <v>122.40770000000001</v>
      </c>
      <c r="J6919">
        <v>-187.6361</v>
      </c>
      <c r="K6919">
        <v>1.10795</v>
      </c>
      <c r="L6919">
        <v>111.4233</v>
      </c>
      <c r="M6919">
        <v>3.9769209999999999E-2</v>
      </c>
      <c r="N6919">
        <v>0</v>
      </c>
      <c r="O6919">
        <v>0.9991179</v>
      </c>
      <c r="P6919">
        <v>0.41688160000000002</v>
      </c>
      <c r="Q6919">
        <v>0.12822339999999999</v>
      </c>
      <c r="R6919">
        <v>0.89987129999999904</v>
      </c>
      <c r="S6919">
        <v>1.218628</v>
      </c>
      <c r="T6919">
        <v>-0.2776979</v>
      </c>
      <c r="U6919">
        <v>2.8085019999999998</v>
      </c>
      <c r="V6919">
        <v>0.38109530000000003</v>
      </c>
      <c r="W6919">
        <v>0.13965</v>
      </c>
      <c r="X6919">
        <v>0.91392790000000002</v>
      </c>
      <c r="Y6919">
        <v>0.35960399999999998</v>
      </c>
      <c r="Z6919">
        <v>-9.0934570000000006E-2</v>
      </c>
      <c r="AA6919">
        <v>0.92866349999999998</v>
      </c>
      <c r="AB6919">
        <v>28</v>
      </c>
      <c r="AC6919">
        <v>4.85259999999999</v>
      </c>
      <c r="AD6919">
        <v>-1.107952731039</v>
      </c>
      <c r="AE6919">
        <v>10.984400000000001</v>
      </c>
      <c r="AF6919">
        <v>4.3746401255898997</v>
      </c>
      <c r="AG6919">
        <v>-1.107952731039</v>
      </c>
      <c r="AH6919">
        <v>11.074437797003601</v>
      </c>
      <c r="AI6919">
        <v>95.316020734187504</v>
      </c>
      <c r="AJ6919">
        <v>68.444918536777607</v>
      </c>
      <c r="AK6919">
        <v>11.9586039319955</v>
      </c>
      <c r="AL6919">
        <v>81.972406055864099</v>
      </c>
      <c r="AM6919">
        <v>67.364538361330602</v>
      </c>
      <c r="AN6919">
        <v>0.999999978290249</v>
      </c>
    </row>
    <row r="6920" spans="1:40" x14ac:dyDescent="0.25">
      <c r="A6920" t="str">
        <f>"20190312164639944"</f>
        <v>20190312164639944</v>
      </c>
      <c r="B6920" t="str">
        <f>"1552380399937624"</f>
        <v>1552380399937624</v>
      </c>
      <c r="C6920" t="s">
        <v>40</v>
      </c>
      <c r="D6920">
        <v>5.1544179999999997</v>
      </c>
      <c r="E6920">
        <v>0.50580779999999903</v>
      </c>
      <c r="F6920" t="s">
        <v>71</v>
      </c>
      <c r="G6920">
        <v>-182.68369999999999</v>
      </c>
      <c r="H6920" s="1">
        <v>-2.841354E-6</v>
      </c>
      <c r="I6920">
        <v>122.6921</v>
      </c>
      <c r="J6920">
        <v>-187.62350000000001</v>
      </c>
      <c r="K6920">
        <v>1.107898</v>
      </c>
      <c r="L6920">
        <v>111.70180000000001</v>
      </c>
      <c r="M6920">
        <v>4.1129449999999998E-2</v>
      </c>
      <c r="N6920">
        <v>0</v>
      </c>
      <c r="O6920">
        <v>0.99906280000000003</v>
      </c>
      <c r="P6920">
        <v>0.42174850000000003</v>
      </c>
      <c r="Q6920">
        <v>0.12826469999999901</v>
      </c>
      <c r="R6920">
        <v>0.89759469999999997</v>
      </c>
      <c r="S6920">
        <v>1.2316129999999901</v>
      </c>
      <c r="T6920">
        <v>-0.27554109999999998</v>
      </c>
      <c r="U6920">
        <v>2.8024900000000001</v>
      </c>
      <c r="V6920">
        <v>0.38482280000000002</v>
      </c>
      <c r="W6920">
        <v>0.13961179999999901</v>
      </c>
      <c r="X6920">
        <v>0.91237049999999997</v>
      </c>
      <c r="Y6920">
        <v>0.36269679999999999</v>
      </c>
      <c r="Z6920">
        <v>-9.0267299999999995E-2</v>
      </c>
      <c r="AA6920">
        <v>0.92752509999999999</v>
      </c>
      <c r="AB6920">
        <v>28</v>
      </c>
      <c r="AC6920">
        <v>4.9398000000000204</v>
      </c>
      <c r="AD6920">
        <v>-1.1079008413539999</v>
      </c>
      <c r="AE6920">
        <v>10.9902999999999</v>
      </c>
      <c r="AF6920">
        <v>4.4459663203054696</v>
      </c>
      <c r="AG6920">
        <v>-1.1079008413539999</v>
      </c>
      <c r="AH6920">
        <v>11.090428162238901</v>
      </c>
      <c r="AI6920">
        <v>95.297534749370897</v>
      </c>
      <c r="AJ6920">
        <v>68.154980030460095</v>
      </c>
      <c r="AK6920">
        <v>11.9996523956882</v>
      </c>
      <c r="AL6920">
        <v>81.974616467872096</v>
      </c>
      <c r="AM6920">
        <v>67.130786644971906</v>
      </c>
      <c r="AN6920">
        <v>0.99999998568466397</v>
      </c>
    </row>
    <row r="6921" spans="1:40" x14ac:dyDescent="0.25">
      <c r="A6921" t="str">
        <f>"20190312164639955"</f>
        <v>20190312164639955</v>
      </c>
      <c r="B6921" t="str">
        <f>"1552380399948359"</f>
        <v>1552380399948359</v>
      </c>
      <c r="C6921" t="s">
        <v>40</v>
      </c>
      <c r="D6921">
        <v>4.9802809999999997</v>
      </c>
      <c r="E6921">
        <v>0.5056794</v>
      </c>
      <c r="F6921" t="s">
        <v>71</v>
      </c>
      <c r="G6921">
        <v>-182.59739999999999</v>
      </c>
      <c r="H6921" s="1">
        <v>-2.9556780000000002E-6</v>
      </c>
      <c r="I6921">
        <v>123.00230000000001</v>
      </c>
      <c r="J6921">
        <v>-187.61590000000001</v>
      </c>
      <c r="K6921">
        <v>1.1078589999999999</v>
      </c>
      <c r="L6921">
        <v>111.8651</v>
      </c>
      <c r="M6921">
        <v>4.1975569999999997E-2</v>
      </c>
      <c r="N6921">
        <v>0</v>
      </c>
      <c r="O6921">
        <v>0.99902769999999996</v>
      </c>
      <c r="P6921">
        <v>0.42405179999999998</v>
      </c>
      <c r="Q6921">
        <v>0.12862209999999999</v>
      </c>
      <c r="R6921">
        <v>0.89645769999999902</v>
      </c>
      <c r="S6921">
        <v>1.2439880000000001</v>
      </c>
      <c r="T6921">
        <v>-0.27421129999999999</v>
      </c>
      <c r="U6921">
        <v>2.7969360000000001</v>
      </c>
      <c r="V6921">
        <v>0.38641170000000002</v>
      </c>
      <c r="W6921">
        <v>0.13991960000000001</v>
      </c>
      <c r="X6921">
        <v>0.91165160000000001</v>
      </c>
      <c r="Y6921">
        <v>0.36603089999999999</v>
      </c>
      <c r="Z6921">
        <v>-8.9855370000000004E-2</v>
      </c>
      <c r="AA6921">
        <v>0.92625449999999998</v>
      </c>
      <c r="AB6921">
        <v>28</v>
      </c>
      <c r="AC6921">
        <v>5.0185000000000102</v>
      </c>
      <c r="AD6921">
        <v>-1.1078619556779901</v>
      </c>
      <c r="AE6921">
        <v>11.1372</v>
      </c>
      <c r="AF6921">
        <v>4.5094529541619401</v>
      </c>
      <c r="AG6921">
        <v>-1.1078619556779901</v>
      </c>
      <c r="AH6921">
        <v>11.2455609151163</v>
      </c>
      <c r="AI6921">
        <v>95.224473139669001</v>
      </c>
      <c r="AJ6921">
        <v>68.149289135436703</v>
      </c>
      <c r="AK6921">
        <v>12.166559265224899</v>
      </c>
      <c r="AL6921">
        <v>81.956806676942406</v>
      </c>
      <c r="AM6921">
        <v>67.029905396410399</v>
      </c>
      <c r="AN6921">
        <v>1.0000000680718</v>
      </c>
    </row>
    <row r="6922" spans="1:40" x14ac:dyDescent="0.25">
      <c r="A6922" t="str">
        <f>"20190312164639966"</f>
        <v>20190312164639966</v>
      </c>
      <c r="B6922" t="str">
        <f>"1552380399958118"</f>
        <v>1552380399958118</v>
      </c>
      <c r="C6922" t="s">
        <v>40</v>
      </c>
      <c r="D6922">
        <v>4.9684799999999996</v>
      </c>
      <c r="E6922">
        <v>0.50546380000000002</v>
      </c>
      <c r="F6922" t="s">
        <v>71</v>
      </c>
      <c r="G6922">
        <v>-182.55680000000001</v>
      </c>
      <c r="H6922" s="1">
        <v>-3.0158640000000001E-6</v>
      </c>
      <c r="I6922">
        <v>123.17</v>
      </c>
      <c r="J6922">
        <v>-187.60900000000001</v>
      </c>
      <c r="K6922">
        <v>1.1078220000000001</v>
      </c>
      <c r="L6922">
        <v>112.01009999999999</v>
      </c>
      <c r="M6922">
        <v>4.2752680000000001E-2</v>
      </c>
      <c r="N6922">
        <v>0</v>
      </c>
      <c r="O6922">
        <v>0.99899470000000001</v>
      </c>
      <c r="P6922">
        <v>0.42650900000000003</v>
      </c>
      <c r="Q6922">
        <v>0.1289855</v>
      </c>
      <c r="R6922">
        <v>0.89523899999999901</v>
      </c>
      <c r="S6922">
        <v>1.2504729999999999</v>
      </c>
      <c r="T6922">
        <v>-0.27383550000000001</v>
      </c>
      <c r="U6922">
        <v>2.7942809999999998</v>
      </c>
      <c r="V6922">
        <v>0.38822230000000002</v>
      </c>
      <c r="W6922">
        <v>0.14023070000000001</v>
      </c>
      <c r="X6922">
        <v>0.91083409999999998</v>
      </c>
      <c r="Y6922">
        <v>0.3674307</v>
      </c>
      <c r="Z6922">
        <v>-8.9740089999999995E-2</v>
      </c>
      <c r="AA6922">
        <v>0.92571130000000001</v>
      </c>
      <c r="AB6922">
        <v>28</v>
      </c>
      <c r="AC6922">
        <v>5.0521999999999903</v>
      </c>
      <c r="AD6922">
        <v>-1.107825015864</v>
      </c>
      <c r="AE6922">
        <v>11.1599</v>
      </c>
      <c r="AF6922">
        <v>4.5333465604556098</v>
      </c>
      <c r="AG6922">
        <v>-1.107825015864</v>
      </c>
      <c r="AH6922">
        <v>11.2735129727689</v>
      </c>
      <c r="AI6922">
        <v>95.209401779879101</v>
      </c>
      <c r="AJ6922">
        <v>68.093772483617499</v>
      </c>
      <c r="AK6922">
        <v>12.201254117924</v>
      </c>
      <c r="AL6922">
        <v>81.938803765169098</v>
      </c>
      <c r="AM6922">
        <v>66.914976547196801</v>
      </c>
      <c r="AN6922">
        <v>0.99999998058129402</v>
      </c>
    </row>
    <row r="6923" spans="1:40" x14ac:dyDescent="0.25">
      <c r="A6923" t="str">
        <f>"20190312164639977"</f>
        <v>20190312164639977</v>
      </c>
      <c r="B6923" t="str">
        <f>"1552380399967878"</f>
        <v>1552380399967878</v>
      </c>
      <c r="C6923" t="s">
        <v>40</v>
      </c>
      <c r="D6923">
        <v>4.970726</v>
      </c>
      <c r="E6923">
        <v>0.50529899999999905</v>
      </c>
      <c r="F6923" t="s">
        <v>71</v>
      </c>
      <c r="G6923">
        <v>-182.53020000000001</v>
      </c>
      <c r="H6923" s="1">
        <v>-3.0583769999999998E-6</v>
      </c>
      <c r="I6923">
        <v>123.2903</v>
      </c>
      <c r="J6923">
        <v>-187.6028</v>
      </c>
      <c r="K6923">
        <v>1.1077859999999999</v>
      </c>
      <c r="L6923">
        <v>112.13760000000001</v>
      </c>
      <c r="M6923">
        <v>4.3482920000000001E-2</v>
      </c>
      <c r="N6923">
        <v>0</v>
      </c>
      <c r="O6923">
        <v>0.99896320000000005</v>
      </c>
      <c r="P6923">
        <v>0.42907079999999997</v>
      </c>
      <c r="Q6923">
        <v>0.12941859999999999</v>
      </c>
      <c r="R6923">
        <v>0.89395139999999995</v>
      </c>
      <c r="S6923">
        <v>1.256958</v>
      </c>
      <c r="T6923">
        <v>-0.27417730000000001</v>
      </c>
      <c r="U6923">
        <v>2.7917480000000001</v>
      </c>
      <c r="V6923">
        <v>0.39018580000000003</v>
      </c>
      <c r="W6923">
        <v>0.1406075</v>
      </c>
      <c r="X6923">
        <v>0.90993659999999998</v>
      </c>
      <c r="Y6923">
        <v>0.36884929999999999</v>
      </c>
      <c r="Z6923">
        <v>-8.9853879999999997E-2</v>
      </c>
      <c r="AA6923">
        <v>0.92513590000000001</v>
      </c>
      <c r="AB6923">
        <v>28</v>
      </c>
      <c r="AC6923">
        <v>5.0725999999999898</v>
      </c>
      <c r="AD6923">
        <v>-1.107789058377</v>
      </c>
      <c r="AE6923">
        <v>11.1526999999999</v>
      </c>
      <c r="AF6923">
        <v>4.5456441846187801</v>
      </c>
      <c r="AG6923">
        <v>-1.107789058377</v>
      </c>
      <c r="AH6923">
        <v>11.2706027529167</v>
      </c>
      <c r="AI6923">
        <v>95.208426047161595</v>
      </c>
      <c r="AJ6923">
        <v>68.034860981866302</v>
      </c>
      <c r="AK6923">
        <v>12.2031374680888</v>
      </c>
      <c r="AL6923">
        <v>81.916999008812596</v>
      </c>
      <c r="AM6923">
        <v>66.7900812025199</v>
      </c>
      <c r="AN6923">
        <v>1.0000000217987199</v>
      </c>
    </row>
    <row r="6924" spans="1:40" x14ac:dyDescent="0.25">
      <c r="A6924" t="str">
        <f>"20190312164639992"</f>
        <v>20190312164639992</v>
      </c>
      <c r="B6924" t="str">
        <f>"1552380399988375"</f>
        <v>1552380399988375</v>
      </c>
      <c r="C6924" t="s">
        <v>40</v>
      </c>
      <c r="D6924">
        <v>5.1023379999999996</v>
      </c>
      <c r="E6924">
        <v>0.50506329999999999</v>
      </c>
      <c r="F6924" t="s">
        <v>71</v>
      </c>
      <c r="G6924">
        <v>-182.47819999999999</v>
      </c>
      <c r="H6924" s="1">
        <v>-3.1403619999999998E-6</v>
      </c>
      <c r="I6924">
        <v>123.4451</v>
      </c>
      <c r="J6924">
        <v>-187.5942</v>
      </c>
      <c r="K6924">
        <v>1.1077269999999999</v>
      </c>
      <c r="L6924">
        <v>112.31059999999999</v>
      </c>
      <c r="M6924">
        <v>4.4504139999999998E-2</v>
      </c>
      <c r="N6924">
        <v>0</v>
      </c>
      <c r="O6924">
        <v>0.99891819999999998</v>
      </c>
      <c r="P6924">
        <v>0.43187969999999998</v>
      </c>
      <c r="Q6924">
        <v>0.13014439999999999</v>
      </c>
      <c r="R6924">
        <v>0.89249219999999896</v>
      </c>
      <c r="S6924">
        <v>1.2638849999999999</v>
      </c>
      <c r="T6924">
        <v>-0.2732173</v>
      </c>
      <c r="U6924">
        <v>2.7888030000000001</v>
      </c>
      <c r="V6924">
        <v>0.39214739999999998</v>
      </c>
      <c r="W6924">
        <v>0.14125799999999999</v>
      </c>
      <c r="X6924">
        <v>0.90899209999999997</v>
      </c>
      <c r="Y6924">
        <v>0.37018459999999997</v>
      </c>
      <c r="Z6924">
        <v>-8.9553240000000006E-2</v>
      </c>
      <c r="AA6924">
        <v>0.9246316</v>
      </c>
      <c r="AB6924">
        <v>28</v>
      </c>
      <c r="AC6924">
        <v>5.1160000000000103</v>
      </c>
      <c r="AD6924">
        <v>-1.1077301403619999</v>
      </c>
      <c r="AE6924">
        <v>11.134499999999999</v>
      </c>
      <c r="AF6924">
        <v>4.5779417138270704</v>
      </c>
      <c r="AG6924">
        <v>-1.1077301403619999</v>
      </c>
      <c r="AH6924">
        <v>11.2591572922511</v>
      </c>
      <c r="AI6924">
        <v>95.207505284155502</v>
      </c>
      <c r="AJ6924">
        <v>67.873479183209099</v>
      </c>
      <c r="AK6924">
        <v>12.2046400737882</v>
      </c>
      <c r="AL6924">
        <v>81.879352360245093</v>
      </c>
      <c r="AM6924">
        <v>66.664196476456098</v>
      </c>
      <c r="AN6924">
        <v>1.0000000218765801</v>
      </c>
    </row>
    <row r="6925" spans="1:40" x14ac:dyDescent="0.25">
      <c r="A6925" t="str">
        <f>"20190312164640008"</f>
        <v>20190312164640008</v>
      </c>
      <c r="B6925" t="str">
        <f>"1552380399998135"</f>
        <v>1552380399998135</v>
      </c>
      <c r="C6925" t="s">
        <v>40</v>
      </c>
      <c r="D6925">
        <v>5.1544740000000004</v>
      </c>
      <c r="E6925">
        <v>0.50507460000000004</v>
      </c>
      <c r="F6925" t="s">
        <v>71</v>
      </c>
      <c r="G6925">
        <v>-182.43199999999999</v>
      </c>
      <c r="H6925" s="1">
        <v>-3.2461109999999998E-6</v>
      </c>
      <c r="I6925">
        <v>123.6262</v>
      </c>
      <c r="J6925">
        <v>-187.58279999999999</v>
      </c>
      <c r="K6925">
        <v>1.107648</v>
      </c>
      <c r="L6925">
        <v>112.5341</v>
      </c>
      <c r="M6925">
        <v>4.593117E-2</v>
      </c>
      <c r="N6925">
        <v>0</v>
      </c>
      <c r="O6925">
        <v>0.99885360000000001</v>
      </c>
      <c r="P6925">
        <v>0.43711309999999898</v>
      </c>
      <c r="Q6925">
        <v>0.1312786</v>
      </c>
      <c r="R6925">
        <v>0.88977419999999996</v>
      </c>
      <c r="S6925">
        <v>1.2710269999999999</v>
      </c>
      <c r="T6925">
        <v>-0.27274290000000001</v>
      </c>
      <c r="U6925">
        <v>2.7861020000000001</v>
      </c>
      <c r="V6925">
        <v>0.39623459999999999</v>
      </c>
      <c r="W6925">
        <v>0.1422649</v>
      </c>
      <c r="X6925">
        <v>0.90706059999999999</v>
      </c>
      <c r="Y6925">
        <v>0.37116440000000001</v>
      </c>
      <c r="Z6925">
        <v>-8.9405429999999994E-2</v>
      </c>
      <c r="AA6925">
        <v>0.92425299999999999</v>
      </c>
      <c r="AB6925">
        <v>28</v>
      </c>
      <c r="AC6925">
        <v>5.1507999999999701</v>
      </c>
      <c r="AD6925">
        <v>-1.107651246111</v>
      </c>
      <c r="AE6925">
        <v>11.0921</v>
      </c>
      <c r="AF6925">
        <v>4.5981248343891998</v>
      </c>
      <c r="AG6925">
        <v>-1.107651246111</v>
      </c>
      <c r="AH6925">
        <v>11.224916673771199</v>
      </c>
      <c r="AI6925">
        <v>95.217414479225098</v>
      </c>
      <c r="AJ6925">
        <v>67.724249901271193</v>
      </c>
      <c r="AK6925">
        <v>12.1806566985834</v>
      </c>
      <c r="AL6925">
        <v>81.821072862042598</v>
      </c>
      <c r="AM6925">
        <v>66.402675080730802</v>
      </c>
      <c r="AN6925">
        <v>1.0000000460407601</v>
      </c>
    </row>
    <row r="6926" spans="1:40" x14ac:dyDescent="0.25">
      <c r="A6926" t="str">
        <f>"20190312164640020"</f>
        <v>20190312164640020</v>
      </c>
      <c r="B6926" t="str">
        <f>"1552380400007895"</f>
        <v>1552380400007895</v>
      </c>
      <c r="C6926" t="s">
        <v>40</v>
      </c>
      <c r="D6926">
        <v>5.1639419999999996</v>
      </c>
      <c r="E6926">
        <v>0.50503330000000002</v>
      </c>
      <c r="F6926" t="s">
        <v>71</v>
      </c>
      <c r="G6926">
        <v>-182.29069999999999</v>
      </c>
      <c r="H6926" s="1">
        <v>-3.445405E-6</v>
      </c>
      <c r="I6926">
        <v>123.9539</v>
      </c>
      <c r="J6926">
        <v>-187.57509999999999</v>
      </c>
      <c r="K6926">
        <v>1.107583</v>
      </c>
      <c r="L6926">
        <v>112.6785</v>
      </c>
      <c r="M6926">
        <v>4.6935980000000002E-2</v>
      </c>
      <c r="N6926">
        <v>0</v>
      </c>
      <c r="O6926">
        <v>0.99880679999999999</v>
      </c>
      <c r="P6926">
        <v>0.43995790000000001</v>
      </c>
      <c r="Q6926">
        <v>0.132024</v>
      </c>
      <c r="R6926">
        <v>0.88826050000000001</v>
      </c>
      <c r="S6926">
        <v>1.28772</v>
      </c>
      <c r="T6926">
        <v>-0.26952510000000002</v>
      </c>
      <c r="U6926">
        <v>2.778778</v>
      </c>
      <c r="V6926">
        <v>0.39825840000000001</v>
      </c>
      <c r="W6926">
        <v>0.14292650000000001</v>
      </c>
      <c r="X6926">
        <v>0.90606960000000003</v>
      </c>
      <c r="Y6926">
        <v>0.37576589999999999</v>
      </c>
      <c r="Z6926">
        <v>-8.8373119999999999E-2</v>
      </c>
      <c r="AA6926">
        <v>0.92249130000000001</v>
      </c>
      <c r="AB6926">
        <v>28</v>
      </c>
      <c r="AC6926">
        <v>5.2843999999999998</v>
      </c>
      <c r="AD6926">
        <v>-1.107586445405</v>
      </c>
      <c r="AE6926">
        <v>11.275399999999999</v>
      </c>
      <c r="AF6926">
        <v>4.7120258691573396</v>
      </c>
      <c r="AG6926">
        <v>-1.107586445405</v>
      </c>
      <c r="AH6926">
        <v>11.420667985831299</v>
      </c>
      <c r="AI6926">
        <v>95.122877330377406</v>
      </c>
      <c r="AJ6926">
        <v>67.579563926168305</v>
      </c>
      <c r="AK6926">
        <v>12.404095806153901</v>
      </c>
      <c r="AL6926">
        <v>81.782773636231099</v>
      </c>
      <c r="AM6926">
        <v>66.272348309570901</v>
      </c>
      <c r="AN6926">
        <v>0.99999992880848199</v>
      </c>
    </row>
    <row r="6927" spans="1:40" x14ac:dyDescent="0.25">
      <c r="A6927" t="str">
        <f>"20190312164640031"</f>
        <v>20190312164640031</v>
      </c>
      <c r="B6927" t="str">
        <f>"1552380400028391"</f>
        <v>1552380400028391</v>
      </c>
      <c r="C6927" t="s">
        <v>40</v>
      </c>
      <c r="D6927">
        <v>5.0450229999999996</v>
      </c>
      <c r="E6927">
        <v>0.5049207</v>
      </c>
      <c r="F6927" t="s">
        <v>71</v>
      </c>
      <c r="G6927">
        <v>-182.21520000000001</v>
      </c>
      <c r="H6927" s="1">
        <v>-3.565279E-6</v>
      </c>
      <c r="I6927">
        <v>124.1534</v>
      </c>
      <c r="J6927">
        <v>-187.56809999999999</v>
      </c>
      <c r="K6927">
        <v>1.107526</v>
      </c>
      <c r="L6927">
        <v>112.8077</v>
      </c>
      <c r="M6927">
        <v>4.7849059999999999E-2</v>
      </c>
      <c r="N6927">
        <v>0</v>
      </c>
      <c r="O6927">
        <v>0.99876350000000003</v>
      </c>
      <c r="P6927">
        <v>0.44292150000000002</v>
      </c>
      <c r="Q6927">
        <v>0.13248289999999999</v>
      </c>
      <c r="R6927">
        <v>0.88671800000000001</v>
      </c>
      <c r="S6927">
        <v>1.2962800000000001</v>
      </c>
      <c r="T6927">
        <v>-0.2678682</v>
      </c>
      <c r="U6927">
        <v>2.7751769999999998</v>
      </c>
      <c r="V6927">
        <v>0.40048489999999998</v>
      </c>
      <c r="W6927">
        <v>0.143306399999999</v>
      </c>
      <c r="X6927">
        <v>0.90502769999999999</v>
      </c>
      <c r="Y6927">
        <v>0.3777336</v>
      </c>
      <c r="Z6927">
        <v>-8.7840509999999997E-2</v>
      </c>
      <c r="AA6927">
        <v>0.92173830000000001</v>
      </c>
      <c r="AB6927">
        <v>28</v>
      </c>
      <c r="AC6927">
        <v>5.3528999999999698</v>
      </c>
      <c r="AD6927">
        <v>-1.107529565279</v>
      </c>
      <c r="AE6927">
        <v>11.345700000000001</v>
      </c>
      <c r="AF6927">
        <v>4.7666851090102398</v>
      </c>
      <c r="AG6927">
        <v>-1.107529565279</v>
      </c>
      <c r="AH6927">
        <v>11.4992305183347</v>
      </c>
      <c r="AI6927">
        <v>95.084345859698999</v>
      </c>
      <c r="AJ6927">
        <v>67.484912925325304</v>
      </c>
      <c r="AK6927">
        <v>12.497208135428799</v>
      </c>
      <c r="AL6927">
        <v>81.760781229953807</v>
      </c>
      <c r="AM6927">
        <v>66.130072960521403</v>
      </c>
      <c r="AN6927">
        <v>1.00000000858813</v>
      </c>
    </row>
    <row r="6928" spans="1:40" x14ac:dyDescent="0.25">
      <c r="A6928" t="str">
        <f>"20190312164640042"</f>
        <v>20190312164640042</v>
      </c>
      <c r="B6928" t="str">
        <f>"1552380400038151"</f>
        <v>1552380400038151</v>
      </c>
      <c r="C6928" t="s">
        <v>40</v>
      </c>
      <c r="D6928">
        <v>5.0334159999999999</v>
      </c>
      <c r="E6928">
        <v>0.5048203</v>
      </c>
      <c r="F6928" t="s">
        <v>71</v>
      </c>
      <c r="G6928">
        <v>-182.19579999999999</v>
      </c>
      <c r="H6928" s="1">
        <v>-3.6056630000000001E-6</v>
      </c>
      <c r="I6928">
        <v>124.2221</v>
      </c>
      <c r="J6928">
        <v>-187.5599</v>
      </c>
      <c r="K6928">
        <v>1.107464</v>
      </c>
      <c r="L6928">
        <v>112.9539</v>
      </c>
      <c r="M6928">
        <v>4.8948579999999998E-2</v>
      </c>
      <c r="N6928">
        <v>0</v>
      </c>
      <c r="O6928">
        <v>0.99871019999999999</v>
      </c>
      <c r="P6928">
        <v>0.44597609999999899</v>
      </c>
      <c r="Q6928">
        <v>0.1331369</v>
      </c>
      <c r="R6928">
        <v>0.88508750000000003</v>
      </c>
      <c r="S6928">
        <v>1.304565</v>
      </c>
      <c r="T6928">
        <v>-0.2689452</v>
      </c>
      <c r="U6928">
        <v>2.7717900000000002</v>
      </c>
      <c r="V6928">
        <v>0.40264359999999999</v>
      </c>
      <c r="W6928">
        <v>0.14387269999999999</v>
      </c>
      <c r="X6928">
        <v>0.90397939999999999</v>
      </c>
      <c r="Y6928">
        <v>0.37939119999999998</v>
      </c>
      <c r="Z6928">
        <v>-8.8196430000000006E-2</v>
      </c>
      <c r="AA6928">
        <v>0.92102320000000004</v>
      </c>
      <c r="AB6928">
        <v>28</v>
      </c>
      <c r="AC6928">
        <v>5.3640999999999996</v>
      </c>
      <c r="AD6928">
        <v>-1.107467605663</v>
      </c>
      <c r="AE6928">
        <v>11.268199999999901</v>
      </c>
      <c r="AF6928">
        <v>4.7685047684728401</v>
      </c>
      <c r="AG6928">
        <v>-1.107467605663</v>
      </c>
      <c r="AH6928">
        <v>11.427290466751399</v>
      </c>
      <c r="AI6928">
        <v>95.110906604552198</v>
      </c>
      <c r="AJ6928">
        <v>67.349664790214007</v>
      </c>
      <c r="AK6928">
        <v>12.4317371930092</v>
      </c>
      <c r="AL6928">
        <v>81.727994712638207</v>
      </c>
      <c r="AM6928">
        <v>65.991217705267303</v>
      </c>
      <c r="AN6928">
        <v>0.99999998902530396</v>
      </c>
    </row>
    <row r="6929" spans="1:40" x14ac:dyDescent="0.25">
      <c r="A6929" t="str">
        <f>"20190312164640054"</f>
        <v>20190312164640054</v>
      </c>
      <c r="B6929" t="str">
        <f>"1552380400047911"</f>
        <v>1552380400047911</v>
      </c>
      <c r="C6929" t="s">
        <v>40</v>
      </c>
      <c r="D6929">
        <v>5.0531379999999997</v>
      </c>
      <c r="E6929">
        <v>0.50474399999999997</v>
      </c>
      <c r="F6929" t="s">
        <v>71</v>
      </c>
      <c r="G6929">
        <v>-182.12889999999999</v>
      </c>
      <c r="H6929" s="1">
        <v>-3.7132080000000001E-6</v>
      </c>
      <c r="I6929">
        <v>124.40130000000001</v>
      </c>
      <c r="J6929">
        <v>-187.55170000000001</v>
      </c>
      <c r="K6929">
        <v>1.1073949999999999</v>
      </c>
      <c r="L6929">
        <v>113.0993</v>
      </c>
      <c r="M6929">
        <v>5.0086800000000001E-2</v>
      </c>
      <c r="N6929">
        <v>0</v>
      </c>
      <c r="O6929">
        <v>0.99865369999999998</v>
      </c>
      <c r="P6929">
        <v>0.44917259999999998</v>
      </c>
      <c r="Q6929">
        <v>0.1336184</v>
      </c>
      <c r="R6929">
        <v>0.88339699999999999</v>
      </c>
      <c r="S6929">
        <v>1.3132629999999901</v>
      </c>
      <c r="T6929">
        <v>-0.26779219999999998</v>
      </c>
      <c r="U6929">
        <v>2.7680509999999998</v>
      </c>
      <c r="V6929">
        <v>0.4049143</v>
      </c>
      <c r="W6929">
        <v>0.14426340000000001</v>
      </c>
      <c r="X6929">
        <v>0.90290219999999999</v>
      </c>
      <c r="Y6929">
        <v>0.38119500000000001</v>
      </c>
      <c r="Z6929">
        <v>-8.7830740000000004E-2</v>
      </c>
      <c r="AA6929">
        <v>0.9203131</v>
      </c>
      <c r="AB6929">
        <v>28</v>
      </c>
      <c r="AC6929">
        <v>5.42280000000002</v>
      </c>
      <c r="AD6929">
        <v>-1.1073987132080001</v>
      </c>
      <c r="AE6929">
        <v>11.302</v>
      </c>
      <c r="AF6929">
        <v>4.8123047658273697</v>
      </c>
      <c r="AG6929">
        <v>-1.1073987132080001</v>
      </c>
      <c r="AH6929">
        <v>11.4699362593343</v>
      </c>
      <c r="AI6929">
        <v>95.087601713503005</v>
      </c>
      <c r="AJ6929">
        <v>67.239119678007299</v>
      </c>
      <c r="AK6929">
        <v>12.4877558777552</v>
      </c>
      <c r="AL6929">
        <v>81.705372940337298</v>
      </c>
      <c r="AM6929">
        <v>65.845738156125194</v>
      </c>
      <c r="AN6929">
        <v>0.99999995084444304</v>
      </c>
    </row>
    <row r="6930" spans="1:40" x14ac:dyDescent="0.25">
      <c r="A6930" t="str">
        <f>"20190312164640065"</f>
        <v>20190312164640065</v>
      </c>
      <c r="B6930" t="str">
        <f>"1552380400057671"</f>
        <v>1552380400057671</v>
      </c>
      <c r="C6930" t="s">
        <v>40</v>
      </c>
      <c r="D6930">
        <v>4.9590120000000004</v>
      </c>
      <c r="E6930">
        <v>0.50459750000000003</v>
      </c>
      <c r="F6930" t="s">
        <v>71</v>
      </c>
      <c r="G6930">
        <v>-182.07679999999999</v>
      </c>
      <c r="H6930" s="1">
        <v>-3.797611E-6</v>
      </c>
      <c r="I6930">
        <v>124.542</v>
      </c>
      <c r="J6930">
        <v>-187.54329999999999</v>
      </c>
      <c r="K6930">
        <v>1.107327</v>
      </c>
      <c r="L6930">
        <v>113.2437</v>
      </c>
      <c r="M6930">
        <v>5.126729E-2</v>
      </c>
      <c r="N6930">
        <v>0</v>
      </c>
      <c r="O6930">
        <v>0.99859370000000003</v>
      </c>
      <c r="P6930">
        <v>0.45221220000000001</v>
      </c>
      <c r="Q6930">
        <v>0.13418740000000001</v>
      </c>
      <c r="R6930">
        <v>0.881758499999999</v>
      </c>
      <c r="S6930">
        <v>1.3224640000000001</v>
      </c>
      <c r="T6930">
        <v>-0.26749519999999999</v>
      </c>
      <c r="U6930">
        <v>2.764008</v>
      </c>
      <c r="V6930">
        <v>0.40699160000000001</v>
      </c>
      <c r="W6930">
        <v>0.14474139999999999</v>
      </c>
      <c r="X6930">
        <v>0.9018912</v>
      </c>
      <c r="Y6930">
        <v>0.38312289999999999</v>
      </c>
      <c r="Z6930">
        <v>-8.7745340000000005E-2</v>
      </c>
      <c r="AA6930">
        <v>0.91952029999999996</v>
      </c>
      <c r="AB6930">
        <v>28</v>
      </c>
      <c r="AC6930">
        <v>5.4664999999999901</v>
      </c>
      <c r="AD6930">
        <v>-1.1073307976109901</v>
      </c>
      <c r="AE6930">
        <v>11.2982999999999</v>
      </c>
      <c r="AF6930">
        <v>4.8423333099585602</v>
      </c>
      <c r="AG6930">
        <v>-1.1073307976109901</v>
      </c>
      <c r="AH6930">
        <v>11.474405791059599</v>
      </c>
      <c r="AI6930">
        <v>95.080884966887794</v>
      </c>
      <c r="AJ6930">
        <v>67.119686955676897</v>
      </c>
      <c r="AK6930">
        <v>12.503453988317499</v>
      </c>
      <c r="AL6930">
        <v>81.677695356082907</v>
      </c>
      <c r="AM6930">
        <v>65.712027035508001</v>
      </c>
      <c r="AN6930">
        <v>0.99999998599097994</v>
      </c>
    </row>
    <row r="6931" spans="1:40" x14ac:dyDescent="0.25">
      <c r="A6931" t="str">
        <f>"20190312164640077"</f>
        <v>20190312164640077</v>
      </c>
      <c r="B6931" t="str">
        <f>"1552380400068407"</f>
        <v>1552380400068407</v>
      </c>
      <c r="C6931" t="s">
        <v>40</v>
      </c>
      <c r="D6931">
        <v>5.20831</v>
      </c>
      <c r="E6931">
        <v>0.50456350000000005</v>
      </c>
      <c r="F6931" t="s">
        <v>71</v>
      </c>
      <c r="G6931">
        <v>-182.03559999999999</v>
      </c>
      <c r="H6931" s="1">
        <v>-3.8581709999999996E-6</v>
      </c>
      <c r="I6931">
        <v>124.67059999999999</v>
      </c>
      <c r="J6931">
        <v>-187.535</v>
      </c>
      <c r="K6931">
        <v>1.1072610000000001</v>
      </c>
      <c r="L6931">
        <v>113.38030000000001</v>
      </c>
      <c r="M6931">
        <v>5.2452459999999999E-2</v>
      </c>
      <c r="N6931">
        <v>0</v>
      </c>
      <c r="O6931">
        <v>0.99853219999999998</v>
      </c>
      <c r="P6931">
        <v>0.4553816</v>
      </c>
      <c r="Q6931">
        <v>0.1347614</v>
      </c>
      <c r="R6931">
        <v>0.88003809999999905</v>
      </c>
      <c r="S6931">
        <v>1.330597</v>
      </c>
      <c r="T6931">
        <v>-0.26752039999999999</v>
      </c>
      <c r="U6931">
        <v>2.7606199999999999</v>
      </c>
      <c r="V6931">
        <v>0.40920109999999998</v>
      </c>
      <c r="W6931">
        <v>0.14522399999999999</v>
      </c>
      <c r="X6931">
        <v>0.90081319999999998</v>
      </c>
      <c r="Y6931">
        <v>0.38466640000000002</v>
      </c>
      <c r="Z6931">
        <v>-8.7759519999999994E-2</v>
      </c>
      <c r="AA6931">
        <v>0.91887430000000003</v>
      </c>
      <c r="AB6931">
        <v>28</v>
      </c>
      <c r="AC6931">
        <v>5.4993999999999996</v>
      </c>
      <c r="AD6931">
        <v>-1.1072648581710001</v>
      </c>
      <c r="AE6931">
        <v>11.290299999999901</v>
      </c>
      <c r="AF6931">
        <v>4.8617759480479803</v>
      </c>
      <c r="AG6931">
        <v>-1.1072648581710001</v>
      </c>
      <c r="AH6931">
        <v>11.474041895192</v>
      </c>
      <c r="AI6931">
        <v>95.077648790175004</v>
      </c>
      <c r="AJ6931">
        <v>67.036676577042499</v>
      </c>
      <c r="AK6931">
        <v>12.510656987056301</v>
      </c>
      <c r="AL6931">
        <v>81.649749136637197</v>
      </c>
      <c r="AM6931">
        <v>65.569722935715404</v>
      </c>
      <c r="AN6931">
        <v>0.99999998585572403</v>
      </c>
    </row>
    <row r="6932" spans="1:40" x14ac:dyDescent="0.25">
      <c r="A6932" t="str">
        <f>"20190312164640086"</f>
        <v>20190312164640086</v>
      </c>
      <c r="B6932" t="str">
        <f>"1552380400078167"</f>
        <v>1552380400078167</v>
      </c>
      <c r="C6932" t="s">
        <v>40</v>
      </c>
      <c r="D6932">
        <v>5.1801349999999999</v>
      </c>
      <c r="E6932">
        <v>0.50445839999999997</v>
      </c>
      <c r="F6932" t="s">
        <v>71</v>
      </c>
      <c r="G6932">
        <v>-181.91669999999999</v>
      </c>
      <c r="H6932" s="1">
        <v>-3.942709E-6</v>
      </c>
      <c r="I6932">
        <v>124.9323</v>
      </c>
      <c r="J6932">
        <v>-187.52670000000001</v>
      </c>
      <c r="K6932">
        <v>1.1071949999999999</v>
      </c>
      <c r="L6932">
        <v>113.5167</v>
      </c>
      <c r="M6932">
        <v>5.3661889999999997E-2</v>
      </c>
      <c r="N6932">
        <v>0</v>
      </c>
      <c r="O6932">
        <v>0.99846789999999996</v>
      </c>
      <c r="P6932">
        <v>0.45855380000000001</v>
      </c>
      <c r="Q6932">
        <v>0.13552549999999999</v>
      </c>
      <c r="R6932">
        <v>0.87827180000000005</v>
      </c>
      <c r="S6932">
        <v>1.340317</v>
      </c>
      <c r="T6932">
        <v>-0.26414949999999998</v>
      </c>
      <c r="U6932">
        <v>2.7558440000000002</v>
      </c>
      <c r="V6932">
        <v>0.41139829999999999</v>
      </c>
      <c r="W6932">
        <v>0.14589440000000001</v>
      </c>
      <c r="X6932">
        <v>0.89970339999999904</v>
      </c>
      <c r="Y6932">
        <v>0.38683659999999997</v>
      </c>
      <c r="Z6932">
        <v>-8.6684609999999995E-2</v>
      </c>
      <c r="AA6932">
        <v>0.91806500000000002</v>
      </c>
      <c r="AB6932">
        <v>28</v>
      </c>
      <c r="AC6932">
        <v>5.6100000000000101</v>
      </c>
      <c r="AD6932">
        <v>-1.1071989427089901</v>
      </c>
      <c r="AE6932">
        <v>11.4155999999999</v>
      </c>
      <c r="AF6932">
        <v>4.9517568028546801</v>
      </c>
      <c r="AG6932">
        <v>-1.1071989427089901</v>
      </c>
      <c r="AH6932">
        <v>11.612232181144799</v>
      </c>
      <c r="AI6932">
        <v>95.012374589316096</v>
      </c>
      <c r="AJ6932">
        <v>66.905343522278599</v>
      </c>
      <c r="AK6932">
        <v>12.6723999764121</v>
      </c>
      <c r="AL6932">
        <v>81.610924432942696</v>
      </c>
      <c r="AM6932">
        <v>65.427281347561802</v>
      </c>
      <c r="AN6932">
        <v>0.99999997258290396</v>
      </c>
    </row>
    <row r="6933" spans="1:40" x14ac:dyDescent="0.25">
      <c r="A6933" t="str">
        <f>"20190312164640098"</f>
        <v>20190312164640098</v>
      </c>
      <c r="B6933" t="str">
        <f>"1552380400087928"</f>
        <v>1552380400087928</v>
      </c>
      <c r="C6933" t="s">
        <v>40</v>
      </c>
      <c r="D6933">
        <v>5.1604580000000002</v>
      </c>
      <c r="E6933">
        <v>0.50445399999999996</v>
      </c>
      <c r="F6933" t="s">
        <v>71</v>
      </c>
      <c r="G6933">
        <v>-181.80529999999999</v>
      </c>
      <c r="H6933" s="1">
        <v>-4.0221250000000001E-6</v>
      </c>
      <c r="I6933">
        <v>125.1784</v>
      </c>
      <c r="J6933">
        <v>-187.51779999999999</v>
      </c>
      <c r="K6933">
        <v>1.1071219999999999</v>
      </c>
      <c r="L6933">
        <v>113.6559</v>
      </c>
      <c r="M6933">
        <v>5.4980399999999999E-2</v>
      </c>
      <c r="N6933">
        <v>0</v>
      </c>
      <c r="O6933">
        <v>0.99839619999999996</v>
      </c>
      <c r="P6933">
        <v>0.4618602</v>
      </c>
      <c r="Q6933">
        <v>0.136291299999999</v>
      </c>
      <c r="R6933">
        <v>0.87641880000000005</v>
      </c>
      <c r="S6933">
        <v>1.3498540000000001</v>
      </c>
      <c r="T6933">
        <v>-0.26122250000000002</v>
      </c>
      <c r="U6933">
        <v>2.7513429999999999</v>
      </c>
      <c r="V6933">
        <v>0.41364060000000002</v>
      </c>
      <c r="W6933">
        <v>0.14656189999999999</v>
      </c>
      <c r="X6933">
        <v>0.89856610000000003</v>
      </c>
      <c r="Y6933">
        <v>0.38881339999999998</v>
      </c>
      <c r="Z6933">
        <v>-8.5748759999999993E-2</v>
      </c>
      <c r="AA6933">
        <v>0.91731739999999995</v>
      </c>
      <c r="AB6933">
        <v>28</v>
      </c>
      <c r="AC6933">
        <v>5.7125000000000004</v>
      </c>
      <c r="AD6933">
        <v>-1.1071260221250001</v>
      </c>
      <c r="AE6933">
        <v>11.5224999999999</v>
      </c>
      <c r="AF6933">
        <v>5.0329907340897098</v>
      </c>
      <c r="AG6933">
        <v>-1.1071260221250001</v>
      </c>
      <c r="AH6933">
        <v>11.7322288712574</v>
      </c>
      <c r="AI6933">
        <v>94.956468843588496</v>
      </c>
      <c r="AJ6933">
        <v>66.781226360205693</v>
      </c>
      <c r="AK6933">
        <v>12.8141296249829</v>
      </c>
      <c r="AL6933">
        <v>81.572264048707794</v>
      </c>
      <c r="AM6933">
        <v>65.281773294746799</v>
      </c>
      <c r="AN6933">
        <v>0.99999998628458997</v>
      </c>
    </row>
    <row r="6934" spans="1:40" x14ac:dyDescent="0.25">
      <c r="A6934" t="str">
        <f>"20190312164640111"</f>
        <v>20190312164640111</v>
      </c>
      <c r="B6934" t="str">
        <f>"1552380400097687"</f>
        <v>1552380400097687</v>
      </c>
      <c r="C6934" t="s">
        <v>40</v>
      </c>
      <c r="D6934">
        <v>5.1653390000000003</v>
      </c>
      <c r="E6934">
        <v>0.50440379999999996</v>
      </c>
      <c r="F6934" t="s">
        <v>71</v>
      </c>
      <c r="G6934">
        <v>-181.67339999999999</v>
      </c>
      <c r="H6934" s="1">
        <v>-4.1126969999999997E-6</v>
      </c>
      <c r="I6934">
        <v>125.4564</v>
      </c>
      <c r="J6934">
        <v>-187.5086</v>
      </c>
      <c r="K6934">
        <v>1.107038</v>
      </c>
      <c r="L6934">
        <v>113.8001</v>
      </c>
      <c r="M6934">
        <v>5.6369879999999997E-2</v>
      </c>
      <c r="N6934">
        <v>0</v>
      </c>
      <c r="O6934">
        <v>0.99831859999999994</v>
      </c>
      <c r="P6934">
        <v>0.46514830000000001</v>
      </c>
      <c r="Q6934">
        <v>0.1367659</v>
      </c>
      <c r="R6934">
        <v>0.87460400000000005</v>
      </c>
      <c r="S6934">
        <v>1.360168</v>
      </c>
      <c r="T6934">
        <v>-0.25765860000000002</v>
      </c>
      <c r="U6934">
        <v>2.7463069999999998</v>
      </c>
      <c r="V6934">
        <v>0.41580220000000001</v>
      </c>
      <c r="W6934">
        <v>0.14693589999999901</v>
      </c>
      <c r="X6934">
        <v>0.89750669999999899</v>
      </c>
      <c r="Y6934">
        <v>0.39101000000000002</v>
      </c>
      <c r="Z6934">
        <v>-8.4608900000000001E-2</v>
      </c>
      <c r="AA6934">
        <v>0.9164892</v>
      </c>
      <c r="AB6934">
        <v>28</v>
      </c>
      <c r="AC6934">
        <v>5.8352000000000102</v>
      </c>
      <c r="AD6934">
        <v>-1.107042112697</v>
      </c>
      <c r="AE6934">
        <v>11.6563</v>
      </c>
      <c r="AF6934">
        <v>5.1317828508774097</v>
      </c>
      <c r="AG6934">
        <v>-1.107042112697</v>
      </c>
      <c r="AH6934">
        <v>11.881030006219399</v>
      </c>
      <c r="AI6934">
        <v>94.889125293857006</v>
      </c>
      <c r="AJ6934">
        <v>66.638996683672104</v>
      </c>
      <c r="AK6934">
        <v>12.989211349290199</v>
      </c>
      <c r="AL6934">
        <v>81.550600608120305</v>
      </c>
      <c r="AM6934">
        <v>65.142375640336397</v>
      </c>
      <c r="AN6934">
        <v>0.99999995238926798</v>
      </c>
    </row>
    <row r="6935" spans="1:40" x14ac:dyDescent="0.25">
      <c r="A6935" t="str">
        <f>"20190312164640123"</f>
        <v>20190312164640123</v>
      </c>
      <c r="B6935" t="str">
        <f>"1552380400118183"</f>
        <v>1552380400118183</v>
      </c>
      <c r="C6935" t="s">
        <v>40</v>
      </c>
      <c r="D6935">
        <v>5.1702589999999997</v>
      </c>
      <c r="E6935">
        <v>0.50432390000000005</v>
      </c>
      <c r="F6935" t="s">
        <v>71</v>
      </c>
      <c r="G6935">
        <v>-181.5565</v>
      </c>
      <c r="H6935" s="1">
        <v>-4.1939209999999997E-6</v>
      </c>
      <c r="I6935">
        <v>125.70650000000001</v>
      </c>
      <c r="J6935">
        <v>-187.49770000000001</v>
      </c>
      <c r="K6935">
        <v>1.1069530000000001</v>
      </c>
      <c r="L6935">
        <v>113.9619</v>
      </c>
      <c r="M6935">
        <v>5.8017350000000002E-2</v>
      </c>
      <c r="N6935">
        <v>0</v>
      </c>
      <c r="O6935">
        <v>0.99822420000000001</v>
      </c>
      <c r="P6935">
        <v>0.46918330000000003</v>
      </c>
      <c r="Q6935">
        <v>0.13732849999999999</v>
      </c>
      <c r="R6935">
        <v>0.87235769999999901</v>
      </c>
      <c r="S6935">
        <v>1.3703160000000001</v>
      </c>
      <c r="T6935">
        <v>-0.25487140000000003</v>
      </c>
      <c r="U6935">
        <v>2.7411799999999999</v>
      </c>
      <c r="V6935">
        <v>0.41850969999999998</v>
      </c>
      <c r="W6935">
        <v>0.14738209999999999</v>
      </c>
      <c r="X6935">
        <v>0.89617420000000003</v>
      </c>
      <c r="Y6935">
        <v>0.39292450000000001</v>
      </c>
      <c r="Z6935">
        <v>-8.3727090000000004E-2</v>
      </c>
      <c r="AA6935">
        <v>0.91575110000000004</v>
      </c>
      <c r="AB6935">
        <v>28</v>
      </c>
      <c r="AC6935">
        <v>5.9412000000000003</v>
      </c>
      <c r="AD6935">
        <v>-1.1069571939209999</v>
      </c>
      <c r="AE6935">
        <v>11.7446</v>
      </c>
      <c r="AF6935">
        <v>5.2128651193573603</v>
      </c>
      <c r="AG6935">
        <v>-1.1069571939209999</v>
      </c>
      <c r="AH6935">
        <v>11.984764272264799</v>
      </c>
      <c r="AI6935">
        <v>94.841315280599005</v>
      </c>
      <c r="AJ6935">
        <v>66.492999324816097</v>
      </c>
      <c r="AK6935">
        <v>13.1161690917562</v>
      </c>
      <c r="AL6935">
        <v>81.524754448332601</v>
      </c>
      <c r="AM6935">
        <v>64.967617025108197</v>
      </c>
      <c r="AN6935">
        <v>1.00000002457006</v>
      </c>
    </row>
    <row r="6936" spans="1:40" x14ac:dyDescent="0.25">
      <c r="A6936" t="str">
        <f>"20190312164640136"</f>
        <v>20190312164640136</v>
      </c>
      <c r="B6936" t="str">
        <f>"1552380400127944"</f>
        <v>1552380400127944</v>
      </c>
      <c r="C6936" t="s">
        <v>40</v>
      </c>
      <c r="D6936">
        <v>5.163106</v>
      </c>
      <c r="E6936">
        <v>0.5043995</v>
      </c>
      <c r="F6936" t="s">
        <v>71</v>
      </c>
      <c r="G6936">
        <v>-181.4</v>
      </c>
      <c r="H6936" s="1">
        <v>-4.299181E-6</v>
      </c>
      <c r="I6936">
        <v>126.0278</v>
      </c>
      <c r="J6936">
        <v>-187.4864</v>
      </c>
      <c r="K6936">
        <v>1.1068709999999999</v>
      </c>
      <c r="L6936">
        <v>114.12560000000001</v>
      </c>
      <c r="M6936">
        <v>5.9737980000000003E-2</v>
      </c>
      <c r="N6936">
        <v>0</v>
      </c>
      <c r="O6936">
        <v>0.99812259999999997</v>
      </c>
      <c r="P6936">
        <v>0.47327330000000001</v>
      </c>
      <c r="Q6936">
        <v>0.13765740000000001</v>
      </c>
      <c r="R6936">
        <v>0.87009360000000002</v>
      </c>
      <c r="S6936">
        <v>1.3822019999999999</v>
      </c>
      <c r="T6936">
        <v>-0.25091980000000003</v>
      </c>
      <c r="U6936">
        <v>2.7350620000000001</v>
      </c>
      <c r="V6936">
        <v>0.42121059999999999</v>
      </c>
      <c r="W6936">
        <v>0.14759710000000001</v>
      </c>
      <c r="X6936">
        <v>0.89487249999999996</v>
      </c>
      <c r="Y6936">
        <v>0.39538129999999999</v>
      </c>
      <c r="Z6936">
        <v>-8.2468410000000006E-2</v>
      </c>
      <c r="AA6936">
        <v>0.91480740000000005</v>
      </c>
      <c r="AB6936">
        <v>28</v>
      </c>
      <c r="AC6936">
        <v>6.0863999999999896</v>
      </c>
      <c r="AD6936">
        <v>-1.106875299181</v>
      </c>
      <c r="AE6936">
        <v>11.902199999999899</v>
      </c>
      <c r="AF6936">
        <v>5.3279228805849099</v>
      </c>
      <c r="AG6936">
        <v>-1.106875299181</v>
      </c>
      <c r="AH6936">
        <v>12.161187930438899</v>
      </c>
      <c r="AI6936">
        <v>94.765573250802404</v>
      </c>
      <c r="AJ6936">
        <v>66.341353339486204</v>
      </c>
      <c r="AK6936">
        <v>13.323153794385499</v>
      </c>
      <c r="AL6936">
        <v>81.512299712075404</v>
      </c>
      <c r="AM6936">
        <v>64.793942431705403</v>
      </c>
      <c r="AN6936">
        <v>1.0000000323685001</v>
      </c>
    </row>
    <row r="6937" spans="1:40" x14ac:dyDescent="0.25">
      <c r="A6937" t="str">
        <f>"20190312164640156"</f>
        <v>20190312164640156</v>
      </c>
      <c r="B6937" t="str">
        <f>"1552380400148439"</f>
        <v>1552380400148439</v>
      </c>
      <c r="C6937" t="s">
        <v>40</v>
      </c>
      <c r="D6937">
        <v>4.9571110000000003</v>
      </c>
      <c r="E6937">
        <v>0.5042719</v>
      </c>
      <c r="F6937" t="s">
        <v>71</v>
      </c>
      <c r="G6937">
        <v>-181.3211</v>
      </c>
      <c r="H6937" s="1">
        <v>-4.3504589999999996E-6</v>
      </c>
      <c r="I6937">
        <v>126.18300000000001</v>
      </c>
      <c r="J6937">
        <v>-187.46979999999999</v>
      </c>
      <c r="K6937">
        <v>1.106768</v>
      </c>
      <c r="L6937">
        <v>114.35809999999999</v>
      </c>
      <c r="M6937">
        <v>6.227278E-2</v>
      </c>
      <c r="N6937">
        <v>0</v>
      </c>
      <c r="O6937">
        <v>0.99796770000000001</v>
      </c>
      <c r="P6937">
        <v>0.48026570000000002</v>
      </c>
      <c r="Q6937">
        <v>0.13824610000000001</v>
      </c>
      <c r="R6937">
        <v>0.86615989999999998</v>
      </c>
      <c r="S6937">
        <v>1.3952180000000001</v>
      </c>
      <c r="T6937">
        <v>-0.25048769999999998</v>
      </c>
      <c r="U6937">
        <v>2.7286069999999998</v>
      </c>
      <c r="V6937">
        <v>0.42619780000000002</v>
      </c>
      <c r="W6937">
        <v>0.14801729999999999</v>
      </c>
      <c r="X6937">
        <v>0.89243839999999997</v>
      </c>
      <c r="Y6937">
        <v>0.39739020000000003</v>
      </c>
      <c r="Z6937">
        <v>-8.2359340000000003E-2</v>
      </c>
      <c r="AA6937">
        <v>0.91394640000000005</v>
      </c>
      <c r="AB6937">
        <v>28</v>
      </c>
      <c r="AC6937">
        <v>6.1486999999999901</v>
      </c>
      <c r="AD6937">
        <v>-1.1067723504589999</v>
      </c>
      <c r="AE6937">
        <v>11.8249</v>
      </c>
      <c r="AF6937">
        <v>5.36334271768769</v>
      </c>
      <c r="AG6937">
        <v>-1.1067723504589999</v>
      </c>
      <c r="AH6937">
        <v>12.1014274642848</v>
      </c>
      <c r="AI6937">
        <v>94.7796099664764</v>
      </c>
      <c r="AJ6937">
        <v>66.097118186004806</v>
      </c>
      <c r="AK6937">
        <v>13.2828813446654</v>
      </c>
      <c r="AL6937">
        <v>81.487956298810602</v>
      </c>
      <c r="AM6937">
        <v>64.472468165742896</v>
      </c>
      <c r="AN6937">
        <v>0.99999999180934496</v>
      </c>
    </row>
    <row r="6938" spans="1:40" x14ac:dyDescent="0.25">
      <c r="A6938" t="str">
        <f>"20190312164640166"</f>
        <v>20190312164640166</v>
      </c>
      <c r="B6938" t="str">
        <f>"1552380400158199"</f>
        <v>1552380400158199</v>
      </c>
      <c r="C6938" t="s">
        <v>40</v>
      </c>
      <c r="D6938">
        <v>5.0202910000000003</v>
      </c>
      <c r="E6938">
        <v>0.50420520000000002</v>
      </c>
      <c r="F6938" t="s">
        <v>71</v>
      </c>
      <c r="G6938">
        <v>-181.1268</v>
      </c>
      <c r="H6938" s="1">
        <v>-4.4683169999999999E-6</v>
      </c>
      <c r="I6938">
        <v>126.5326</v>
      </c>
      <c r="J6938">
        <v>-187.45840000000001</v>
      </c>
      <c r="K6938">
        <v>1.1067020000000001</v>
      </c>
      <c r="L6938">
        <v>114.51309999999999</v>
      </c>
      <c r="M6938">
        <v>6.4012609999999998E-2</v>
      </c>
      <c r="N6938">
        <v>0</v>
      </c>
      <c r="O6938">
        <v>0.99785749999999995</v>
      </c>
      <c r="P6938">
        <v>0.48412860000000002</v>
      </c>
      <c r="Q6938">
        <v>0.13843150000000001</v>
      </c>
      <c r="R6938">
        <v>0.86397699999999999</v>
      </c>
      <c r="S6938">
        <v>1.416031</v>
      </c>
      <c r="T6938">
        <v>-0.24707699999999999</v>
      </c>
      <c r="U6938">
        <v>2.7178499999999999</v>
      </c>
      <c r="V6938">
        <v>0.42865769999999997</v>
      </c>
      <c r="W6938">
        <v>0.1481055</v>
      </c>
      <c r="X6938">
        <v>0.89124479999999995</v>
      </c>
      <c r="Y6938">
        <v>0.40281260000000002</v>
      </c>
      <c r="Z6938">
        <v>-8.1281629999999994E-2</v>
      </c>
      <c r="AA6938">
        <v>0.91166619999999998</v>
      </c>
      <c r="AB6938">
        <v>28</v>
      </c>
      <c r="AC6938">
        <v>6.3315999999999999</v>
      </c>
      <c r="AD6938">
        <v>-1.106706468317</v>
      </c>
      <c r="AE6938">
        <v>12.019500000000001</v>
      </c>
      <c r="AF6938">
        <v>5.5125585929330203</v>
      </c>
      <c r="AG6938">
        <v>-1.106706468317</v>
      </c>
      <c r="AH6938">
        <v>12.3184337058154</v>
      </c>
      <c r="AI6938">
        <v>94.688038101901199</v>
      </c>
      <c r="AJ6938">
        <v>65.891253489420706</v>
      </c>
      <c r="AK6938">
        <v>13.5409346210704</v>
      </c>
      <c r="AL6938">
        <v>81.482846374929395</v>
      </c>
      <c r="AM6938">
        <v>64.314066584109796</v>
      </c>
      <c r="AN6938">
        <v>0.99999997821328901</v>
      </c>
    </row>
    <row r="6939" spans="1:40" x14ac:dyDescent="0.25">
      <c r="A6939" t="str">
        <f>"20190312164640177"</f>
        <v>20190312164640177</v>
      </c>
      <c r="B6939" t="str">
        <f>"1552380400167959"</f>
        <v>1552380400167959</v>
      </c>
      <c r="C6939" t="s">
        <v>40</v>
      </c>
      <c r="D6939">
        <v>5.2109670000000001</v>
      </c>
      <c r="E6939">
        <v>0.50414300000000001</v>
      </c>
      <c r="F6939" t="s">
        <v>71</v>
      </c>
      <c r="G6939">
        <v>-181.072</v>
      </c>
      <c r="H6939" s="1">
        <v>-4.505067E-6</v>
      </c>
      <c r="I6939">
        <v>126.6447</v>
      </c>
      <c r="J6939">
        <v>-187.44880000000001</v>
      </c>
      <c r="K6939">
        <v>1.106657</v>
      </c>
      <c r="L6939">
        <v>114.6396</v>
      </c>
      <c r="M6939">
        <v>6.5480700000000003E-2</v>
      </c>
      <c r="N6939">
        <v>0</v>
      </c>
      <c r="O6939">
        <v>0.99776220000000004</v>
      </c>
      <c r="P6939">
        <v>0.48783549999999998</v>
      </c>
      <c r="Q6939">
        <v>0.13878499999999999</v>
      </c>
      <c r="R6939">
        <v>0.8618325</v>
      </c>
      <c r="S6939">
        <v>1.4276580000000001</v>
      </c>
      <c r="T6939">
        <v>-0.24739910000000001</v>
      </c>
      <c r="U6939">
        <v>2.7119749999999998</v>
      </c>
      <c r="V6939">
        <v>0.4312011</v>
      </c>
      <c r="W6939">
        <v>0.14838090000000001</v>
      </c>
      <c r="X6939">
        <v>0.88997119999999996</v>
      </c>
      <c r="Y6939">
        <v>0.40533560000000002</v>
      </c>
      <c r="Z6939">
        <v>-8.140675E-2</v>
      </c>
      <c r="AA6939">
        <v>0.91053609999999896</v>
      </c>
      <c r="AB6939">
        <v>28</v>
      </c>
      <c r="AC6939">
        <v>6.3768000000000002</v>
      </c>
      <c r="AD6939">
        <v>-1.1066615050669999</v>
      </c>
      <c r="AE6939">
        <v>12.005100000000001</v>
      </c>
      <c r="AF6939">
        <v>5.5402188830893104</v>
      </c>
      <c r="AG6939">
        <v>-1.1066615050669999</v>
      </c>
      <c r="AH6939">
        <v>12.315304173466499</v>
      </c>
      <c r="AI6939">
        <v>94.684922006800704</v>
      </c>
      <c r="AJ6939">
        <v>65.778708387674001</v>
      </c>
      <c r="AK6939">
        <v>13.5493705331405</v>
      </c>
      <c r="AL6939">
        <v>81.466891083105295</v>
      </c>
      <c r="AM6939">
        <v>64.149287580579099</v>
      </c>
      <c r="AN6939">
        <v>1.0000000084777201</v>
      </c>
    </row>
    <row r="6940" spans="1:40" x14ac:dyDescent="0.25">
      <c r="A6940" t="str">
        <f>"20190312164640187"</f>
        <v>20190312164640187</v>
      </c>
      <c r="B6940" t="str">
        <f>"1552380400177719"</f>
        <v>1552380400177719</v>
      </c>
      <c r="C6940" t="s">
        <v>40</v>
      </c>
      <c r="D6940">
        <v>5.1784840000000001</v>
      </c>
      <c r="E6940">
        <v>0.5040732</v>
      </c>
      <c r="F6940" t="s">
        <v>71</v>
      </c>
      <c r="G6940">
        <v>-180.97329999999999</v>
      </c>
      <c r="H6940" s="1">
        <v>-4.562656E-6</v>
      </c>
      <c r="I6940">
        <v>126.81359999999999</v>
      </c>
      <c r="J6940">
        <v>-187.43889999999999</v>
      </c>
      <c r="K6940">
        <v>1.106609</v>
      </c>
      <c r="L6940">
        <v>114.7688</v>
      </c>
      <c r="M6940">
        <v>6.6985959999999997E-2</v>
      </c>
      <c r="N6940">
        <v>0</v>
      </c>
      <c r="O6940">
        <v>0.99766220000000005</v>
      </c>
      <c r="P6940">
        <v>0.49172650000000001</v>
      </c>
      <c r="Q6940">
        <v>0.13933690000000001</v>
      </c>
      <c r="R6940">
        <v>0.85952909999999905</v>
      </c>
      <c r="S6940">
        <v>1.43927</v>
      </c>
      <c r="T6940">
        <v>-0.24597330000000001</v>
      </c>
      <c r="U6940">
        <v>2.7058719999999998</v>
      </c>
      <c r="V6940">
        <v>0.4339113</v>
      </c>
      <c r="W6940">
        <v>0.1488515</v>
      </c>
      <c r="X6940">
        <v>0.88857419999999998</v>
      </c>
      <c r="Y6940">
        <v>0.40787020000000002</v>
      </c>
      <c r="Z6940">
        <v>-8.0965010000000004E-2</v>
      </c>
      <c r="AA6940">
        <v>0.909443</v>
      </c>
      <c r="AB6940">
        <v>28</v>
      </c>
      <c r="AC6940">
        <v>6.4655999999999896</v>
      </c>
      <c r="AD6940">
        <v>-1.1066135626560001</v>
      </c>
      <c r="AE6940">
        <v>12.044799999999899</v>
      </c>
      <c r="AF6940">
        <v>5.6074244528020198</v>
      </c>
      <c r="AG6940">
        <v>-1.1066135626560001</v>
      </c>
      <c r="AH6940">
        <v>12.369828582111399</v>
      </c>
      <c r="AI6940">
        <v>94.658156227591903</v>
      </c>
      <c r="AJ6940">
        <v>65.614517125879502</v>
      </c>
      <c r="AK6940">
        <v>13.626461819627099</v>
      </c>
      <c r="AL6940">
        <v>81.439624367657501</v>
      </c>
      <c r="AM6940">
        <v>63.972674778289999</v>
      </c>
      <c r="AN6940">
        <v>0.99999994711278795</v>
      </c>
    </row>
    <row r="6941" spans="1:40" x14ac:dyDescent="0.25">
      <c r="A6941" t="str">
        <f>"20190312164640198"</f>
        <v>20190312164640198</v>
      </c>
      <c r="B6941" t="str">
        <f>"1552380400188455"</f>
        <v>1552380400188455</v>
      </c>
      <c r="C6941" t="s">
        <v>40</v>
      </c>
      <c r="D6941">
        <v>5.1168079999999998</v>
      </c>
      <c r="E6941">
        <v>0.50407139999999995</v>
      </c>
      <c r="F6941" t="s">
        <v>71</v>
      </c>
      <c r="G6941">
        <v>-180.84229999999999</v>
      </c>
      <c r="H6941" s="1">
        <v>-4.6406409999999997E-6</v>
      </c>
      <c r="I6941">
        <v>127.0436</v>
      </c>
      <c r="J6941">
        <v>-187.42910000000001</v>
      </c>
      <c r="K6941">
        <v>1.1065719999999999</v>
      </c>
      <c r="L6941">
        <v>114.8903</v>
      </c>
      <c r="M6941">
        <v>6.8447040000000001E-2</v>
      </c>
      <c r="N6941">
        <v>0</v>
      </c>
      <c r="O6941">
        <v>0.99756310000000004</v>
      </c>
      <c r="P6941">
        <v>0.49608550000000001</v>
      </c>
      <c r="Q6941">
        <v>0.13959279999999999</v>
      </c>
      <c r="R6941">
        <v>0.85697900000000005</v>
      </c>
      <c r="S6941">
        <v>1.450836</v>
      </c>
      <c r="T6941">
        <v>-0.24338850000000001</v>
      </c>
      <c r="U6941">
        <v>2.699722</v>
      </c>
      <c r="V6941">
        <v>0.43714530000000001</v>
      </c>
      <c r="W6941">
        <v>0.14902739999999901</v>
      </c>
      <c r="X6941">
        <v>0.88695820000000003</v>
      </c>
      <c r="Y6941">
        <v>0.4104508</v>
      </c>
      <c r="Z6941">
        <v>-8.0143619999999999E-2</v>
      </c>
      <c r="AA6941">
        <v>0.90835410000000005</v>
      </c>
      <c r="AB6941">
        <v>28</v>
      </c>
      <c r="AC6941">
        <v>6.58680000000001</v>
      </c>
      <c r="AD6941">
        <v>-1.10657664064099</v>
      </c>
      <c r="AE6941">
        <v>12.1533</v>
      </c>
      <c r="AF6941">
        <v>5.7028715318647096</v>
      </c>
      <c r="AG6941">
        <v>-1.10657664064099</v>
      </c>
      <c r="AH6941">
        <v>12.4956075677394</v>
      </c>
      <c r="AI6941">
        <v>94.605999193028197</v>
      </c>
      <c r="AJ6941">
        <v>65.468513596272302</v>
      </c>
      <c r="AK6941">
        <v>13.779966039780801</v>
      </c>
      <c r="AL6941">
        <v>81.429432937835202</v>
      </c>
      <c r="AM6941">
        <v>63.7632038307218</v>
      </c>
      <c r="AN6941">
        <v>1.00000001390504</v>
      </c>
    </row>
    <row r="6942" spans="1:40" x14ac:dyDescent="0.25">
      <c r="A6942" t="str">
        <f>"20190312164640209"</f>
        <v>20190312164640209</v>
      </c>
      <c r="B6942" t="str">
        <f>"1552380400198215"</f>
        <v>1552380400198215</v>
      </c>
      <c r="C6942" t="s">
        <v>40</v>
      </c>
      <c r="D6942">
        <v>5.0658349999999999</v>
      </c>
      <c r="E6942">
        <v>0.50409970000000004</v>
      </c>
      <c r="F6942" t="s">
        <v>71</v>
      </c>
      <c r="G6942">
        <v>-180.798</v>
      </c>
      <c r="H6942" s="1">
        <v>-4.6598330000000001E-6</v>
      </c>
      <c r="I6942">
        <v>127.0937</v>
      </c>
      <c r="J6942">
        <v>-187.4178</v>
      </c>
      <c r="K6942">
        <v>1.106527</v>
      </c>
      <c r="L6942">
        <v>115.0311</v>
      </c>
      <c r="M6942">
        <v>7.0144559999999995E-2</v>
      </c>
      <c r="N6942">
        <v>0</v>
      </c>
      <c r="O6942">
        <v>0.99744509999999997</v>
      </c>
      <c r="P6942">
        <v>0.50044759999999999</v>
      </c>
      <c r="Q6942">
        <v>0.1397032</v>
      </c>
      <c r="R6942">
        <v>0.85442099999999899</v>
      </c>
      <c r="S6942">
        <v>1.46347</v>
      </c>
      <c r="T6942">
        <v>-0.24421889999999999</v>
      </c>
      <c r="U6942">
        <v>2.6932680000000002</v>
      </c>
      <c r="V6942">
        <v>0.44017899999999999</v>
      </c>
      <c r="W6942">
        <v>0.14905470000000001</v>
      </c>
      <c r="X6942">
        <v>0.88545200000000002</v>
      </c>
      <c r="Y6942">
        <v>0.41309089999999998</v>
      </c>
      <c r="Z6942">
        <v>-8.0434930000000002E-2</v>
      </c>
      <c r="AA6942">
        <v>0.90713069999999896</v>
      </c>
      <c r="AB6942">
        <v>28</v>
      </c>
      <c r="AC6942">
        <v>6.6197999999999899</v>
      </c>
      <c r="AD6942">
        <v>-1.1065316598329999</v>
      </c>
      <c r="AE6942">
        <v>12.0626</v>
      </c>
      <c r="AF6942">
        <v>5.7202941786832699</v>
      </c>
      <c r="AG6942">
        <v>-1.1065316598329999</v>
      </c>
      <c r="AH6942">
        <v>12.4169655248458</v>
      </c>
      <c r="AI6942">
        <v>94.627355786014505</v>
      </c>
      <c r="AJ6942">
        <v>65.265244311971998</v>
      </c>
      <c r="AK6942">
        <v>13.7159473114364</v>
      </c>
      <c r="AL6942">
        <v>81.427851406963796</v>
      </c>
      <c r="AM6942">
        <v>63.566949378515197</v>
      </c>
      <c r="AN6942">
        <v>1.00000004996854</v>
      </c>
    </row>
    <row r="6943" spans="1:40" x14ac:dyDescent="0.25">
      <c r="A6943" t="str">
        <f>"20190312164640219"</f>
        <v>20190312164640219</v>
      </c>
      <c r="B6943" t="str">
        <f>"1552380400207975"</f>
        <v>1552380400207975</v>
      </c>
      <c r="C6943" t="s">
        <v>40</v>
      </c>
      <c r="D6943">
        <v>5.0465159999999996</v>
      </c>
      <c r="E6943">
        <v>0.50427460000000002</v>
      </c>
      <c r="F6943" t="s">
        <v>71</v>
      </c>
      <c r="G6943">
        <v>-180.75370000000001</v>
      </c>
      <c r="H6943" s="1">
        <v>-4.6830599999999998E-6</v>
      </c>
      <c r="I6943">
        <v>127.15940000000001</v>
      </c>
      <c r="J6943">
        <v>-187.4066</v>
      </c>
      <c r="K6943">
        <v>1.10649</v>
      </c>
      <c r="L6943">
        <v>115.1651</v>
      </c>
      <c r="M6943">
        <v>7.1802530000000003E-2</v>
      </c>
      <c r="N6943">
        <v>0</v>
      </c>
      <c r="O6943">
        <v>0.99732710000000002</v>
      </c>
      <c r="P6943">
        <v>0.50473840000000003</v>
      </c>
      <c r="Q6943">
        <v>0.13966020000000001</v>
      </c>
      <c r="R6943">
        <v>0.85190030000000005</v>
      </c>
      <c r="S6943">
        <v>1.4762120000000001</v>
      </c>
      <c r="T6943">
        <v>-0.245114</v>
      </c>
      <c r="U6943">
        <v>2.6866150000000002</v>
      </c>
      <c r="V6943">
        <v>0.44317709999999999</v>
      </c>
      <c r="W6943">
        <v>0.14893489999999901</v>
      </c>
      <c r="X6943">
        <v>0.88397539999999997</v>
      </c>
      <c r="Y6943">
        <v>0.4158172</v>
      </c>
      <c r="Z6943">
        <v>-8.0749020000000005E-2</v>
      </c>
      <c r="AA6943">
        <v>0.90585629999999995</v>
      </c>
      <c r="AB6943">
        <v>28</v>
      </c>
      <c r="AC6943">
        <v>6.6528999999999803</v>
      </c>
      <c r="AD6943">
        <v>-1.10649468306</v>
      </c>
      <c r="AE6943">
        <v>11.994300000000001</v>
      </c>
      <c r="AF6943">
        <v>5.7370874154372702</v>
      </c>
      <c r="AG6943">
        <v>-1.10649468306</v>
      </c>
      <c r="AH6943">
        <v>12.360630094648499</v>
      </c>
      <c r="AI6943">
        <v>94.642105901193503</v>
      </c>
      <c r="AJ6943">
        <v>65.102006174593697</v>
      </c>
      <c r="AK6943">
        <v>13.6720034681366</v>
      </c>
      <c r="AL6943">
        <v>81.434792725027194</v>
      </c>
      <c r="AM6943">
        <v>63.373308269373503</v>
      </c>
      <c r="AN6943">
        <v>1.0000000271037801</v>
      </c>
    </row>
    <row r="6944" spans="1:40" x14ac:dyDescent="0.25">
      <c r="A6944" t="str">
        <f>"20190312164640232"</f>
        <v>20190312164640232</v>
      </c>
      <c r="B6944" t="str">
        <f>"1552380400228471"</f>
        <v>1552380400228471</v>
      </c>
      <c r="C6944" t="s">
        <v>40</v>
      </c>
      <c r="D6944">
        <v>5.0595939999999997</v>
      </c>
      <c r="E6944">
        <v>0.52014559999999999</v>
      </c>
      <c r="F6944" t="s">
        <v>71</v>
      </c>
      <c r="G6944">
        <v>-180.68979999999999</v>
      </c>
      <c r="H6944" s="1">
        <v>-4.7137089999999999E-6</v>
      </c>
      <c r="I6944">
        <v>127.2432</v>
      </c>
      <c r="J6944">
        <v>-187.39439999999999</v>
      </c>
      <c r="K6944">
        <v>1.106452</v>
      </c>
      <c r="L6944">
        <v>115.3095</v>
      </c>
      <c r="M6944">
        <v>7.3600159999999998E-2</v>
      </c>
      <c r="N6944">
        <v>0</v>
      </c>
      <c r="O6944">
        <v>0.99719599999999997</v>
      </c>
      <c r="P6944">
        <v>0.50900719999999999</v>
      </c>
      <c r="Q6944">
        <v>0.13904420000000001</v>
      </c>
      <c r="R6944">
        <v>0.84945769999999998</v>
      </c>
      <c r="S6944">
        <v>1.4898530000000001</v>
      </c>
      <c r="T6944">
        <v>-0.2454325</v>
      </c>
      <c r="U6944">
        <v>2.6790620000000001</v>
      </c>
      <c r="V6944">
        <v>0.44602649999999999</v>
      </c>
      <c r="W6944">
        <v>0.14824370000000001</v>
      </c>
      <c r="X6944">
        <v>0.88265749999999998</v>
      </c>
      <c r="Y6944">
        <v>0.41877950000000003</v>
      </c>
      <c r="Z6944">
        <v>-8.0884520000000001E-2</v>
      </c>
      <c r="AA6944">
        <v>0.90447849999999996</v>
      </c>
      <c r="AB6944">
        <v>28</v>
      </c>
      <c r="AC6944">
        <v>6.7045999999999903</v>
      </c>
      <c r="AD6944">
        <v>-1.106456713709</v>
      </c>
      <c r="AE6944">
        <v>11.9337</v>
      </c>
      <c r="AF6944">
        <v>5.7703066549884001</v>
      </c>
      <c r="AG6944">
        <v>-1.106456713709</v>
      </c>
      <c r="AH6944">
        <v>12.314370281535201</v>
      </c>
      <c r="AI6944">
        <v>94.6514236044179</v>
      </c>
      <c r="AJ6944">
        <v>64.893002366601905</v>
      </c>
      <c r="AK6944">
        <v>13.644207590867</v>
      </c>
      <c r="AL6944">
        <v>81.474840311871205</v>
      </c>
      <c r="AM6944">
        <v>63.191513217357098</v>
      </c>
      <c r="AN6944">
        <v>1.00000004779909</v>
      </c>
    </row>
    <row r="6945" spans="1:40" x14ac:dyDescent="0.25">
      <c r="A6945" t="str">
        <f>"20190312164640244"</f>
        <v>20190312164640244</v>
      </c>
      <c r="B6945" t="str">
        <f>"1552380400238234"</f>
        <v>1552380400238234</v>
      </c>
      <c r="C6945" t="s">
        <v>40</v>
      </c>
      <c r="D6945">
        <v>5.0268810000000004</v>
      </c>
      <c r="E6945">
        <v>0.52044979999999996</v>
      </c>
      <c r="F6945" t="s">
        <v>71</v>
      </c>
      <c r="G6945">
        <v>-180.36490000000001</v>
      </c>
      <c r="H6945" s="1">
        <v>-4.6107109999999998E-6</v>
      </c>
      <c r="I6945">
        <v>126.6724</v>
      </c>
      <c r="J6945">
        <v>-187.3818</v>
      </c>
      <c r="K6945">
        <v>1.1064179999999999</v>
      </c>
      <c r="L6945">
        <v>115.45440000000001</v>
      </c>
      <c r="M6945">
        <v>7.5431780000000004E-2</v>
      </c>
      <c r="N6945">
        <v>0</v>
      </c>
      <c r="O6945">
        <v>0.99705909999999998</v>
      </c>
      <c r="P6945">
        <v>0.51294019999999996</v>
      </c>
      <c r="Q6945">
        <v>0.13869489999999901</v>
      </c>
      <c r="R6945">
        <v>0.84714590000000001</v>
      </c>
      <c r="S6945">
        <v>1.6127009999999999</v>
      </c>
      <c r="T6945">
        <v>-0.25384040000000002</v>
      </c>
      <c r="U6945">
        <v>2.6068570000000002</v>
      </c>
      <c r="V6945">
        <v>0.44850760000000001</v>
      </c>
      <c r="W6945">
        <v>0.14782590000000001</v>
      </c>
      <c r="X6945">
        <v>0.88146950000000002</v>
      </c>
      <c r="Y6945">
        <v>0.45860659999999998</v>
      </c>
      <c r="Z6945">
        <v>-8.3807209999999993E-2</v>
      </c>
      <c r="AA6945">
        <v>0.88467870000000004</v>
      </c>
      <c r="AB6945">
        <v>28</v>
      </c>
      <c r="AC6945">
        <v>7.0168999999999899</v>
      </c>
      <c r="AD6945">
        <v>-1.106422610711</v>
      </c>
      <c r="AE6945">
        <v>11.2179999999999</v>
      </c>
      <c r="AF6945">
        <v>6.1079267774828399</v>
      </c>
      <c r="AG6945">
        <v>-1.106422610711</v>
      </c>
      <c r="AH6945">
        <v>11.634033659083901</v>
      </c>
      <c r="AI6945">
        <v>94.813130893071005</v>
      </c>
      <c r="AJ6945">
        <v>62.300298998395597</v>
      </c>
      <c r="AK6945">
        <v>13.1864202759233</v>
      </c>
      <c r="AL6945">
        <v>81.499044949525896</v>
      </c>
      <c r="AM6945">
        <v>63.032186066475802</v>
      </c>
      <c r="AN6945">
        <v>1.0000000216994001</v>
      </c>
    </row>
    <row r="6946" spans="1:40" x14ac:dyDescent="0.25">
      <c r="A6946" t="str">
        <f>"20190312164640255"</f>
        <v>20190312164640255</v>
      </c>
      <c r="B6946" t="str">
        <f>"1552380400247991"</f>
        <v>1552380400247991</v>
      </c>
      <c r="C6946" t="s">
        <v>40</v>
      </c>
      <c r="D6946">
        <v>5.0907720000000003</v>
      </c>
      <c r="E6946">
        <v>0.52024289999999995</v>
      </c>
      <c r="F6946" t="s">
        <v>71</v>
      </c>
      <c r="G6946">
        <v>-180.3355</v>
      </c>
      <c r="H6946" s="1">
        <v>-4.6223209999999997E-6</v>
      </c>
      <c r="I6946">
        <v>126.70140000000001</v>
      </c>
      <c r="J6946">
        <v>-187.3689</v>
      </c>
      <c r="K6946">
        <v>1.1063799999999999</v>
      </c>
      <c r="L6946">
        <v>115.6003</v>
      </c>
      <c r="M6946">
        <v>7.7296199999999995E-2</v>
      </c>
      <c r="N6946">
        <v>0</v>
      </c>
      <c r="O6946">
        <v>0.99691629999999998</v>
      </c>
      <c r="P6946">
        <v>0.51715559999999905</v>
      </c>
      <c r="Q6946">
        <v>0.13812079999999999</v>
      </c>
      <c r="R6946">
        <v>0.84467309999999995</v>
      </c>
      <c r="S6946">
        <v>1.6274869999999999</v>
      </c>
      <c r="T6946">
        <v>-0.25555</v>
      </c>
      <c r="U6946">
        <v>2.597702</v>
      </c>
      <c r="V6946">
        <v>0.45125739999999998</v>
      </c>
      <c r="W6946">
        <v>0.14718120000000001</v>
      </c>
      <c r="X6946">
        <v>0.88017299999999998</v>
      </c>
      <c r="Y6946">
        <v>0.46193590000000001</v>
      </c>
      <c r="Z6946">
        <v>-8.4405330000000001E-2</v>
      </c>
      <c r="AA6946">
        <v>0.88288789999999995</v>
      </c>
      <c r="AB6946">
        <v>28</v>
      </c>
      <c r="AC6946">
        <v>7.0334000000000003</v>
      </c>
      <c r="AD6946">
        <v>-1.1063846223210001</v>
      </c>
      <c r="AE6946">
        <v>11.101100000000001</v>
      </c>
      <c r="AF6946">
        <v>6.1108891550207396</v>
      </c>
      <c r="AG6946">
        <v>-1.1063846223210001</v>
      </c>
      <c r="AH6946">
        <v>11.5298647480301</v>
      </c>
      <c r="AI6946">
        <v>94.846280584295002</v>
      </c>
      <c r="AJ6946">
        <v>62.076174258122798</v>
      </c>
      <c r="AK6946">
        <v>13.0959854270431</v>
      </c>
      <c r="AL6946">
        <v>81.536392115178401</v>
      </c>
      <c r="AM6946">
        <v>62.856161819752998</v>
      </c>
      <c r="AN6946">
        <v>1.0000000283085899</v>
      </c>
    </row>
    <row r="6947" spans="1:40" x14ac:dyDescent="0.25">
      <c r="A6947" t="str">
        <f>"20190312164640267"</f>
        <v>20190312164640267</v>
      </c>
      <c r="B6947" t="str">
        <f>"1552380400257751"</f>
        <v>1552380400257751</v>
      </c>
      <c r="C6947" t="s">
        <v>40</v>
      </c>
      <c r="D6947">
        <v>5.1161339999999997</v>
      </c>
      <c r="E6947">
        <v>0.52005239999999997</v>
      </c>
      <c r="F6947" t="s">
        <v>71</v>
      </c>
      <c r="G6947">
        <v>-180.3563</v>
      </c>
      <c r="H6947" s="1">
        <v>-4.613394E-6</v>
      </c>
      <c r="I6947">
        <v>126.6781</v>
      </c>
      <c r="J6947">
        <v>-187.3554</v>
      </c>
      <c r="K6947">
        <v>1.106341</v>
      </c>
      <c r="L6947">
        <v>115.7497</v>
      </c>
      <c r="M6947">
        <v>7.9223260000000004E-2</v>
      </c>
      <c r="N6947">
        <v>0</v>
      </c>
      <c r="O6947">
        <v>0.99676500000000001</v>
      </c>
      <c r="P6947">
        <v>0.52138459999999998</v>
      </c>
      <c r="Q6947">
        <v>0.1376397</v>
      </c>
      <c r="R6947">
        <v>0.84214809999999996</v>
      </c>
      <c r="S6947">
        <v>1.6396029999999999</v>
      </c>
      <c r="T6947">
        <v>-0.25868249999999998</v>
      </c>
      <c r="U6947">
        <v>2.590103</v>
      </c>
      <c r="V6947">
        <v>0.45397599999999999</v>
      </c>
      <c r="W6947">
        <v>0.146628799999999</v>
      </c>
      <c r="X6947">
        <v>0.87886620000000004</v>
      </c>
      <c r="Y6947">
        <v>0.46429239999999999</v>
      </c>
      <c r="Z6947">
        <v>-8.5468559999999999E-2</v>
      </c>
      <c r="AA6947">
        <v>0.88154849999999996</v>
      </c>
      <c r="AB6947">
        <v>28</v>
      </c>
      <c r="AC6947">
        <v>6.9990999999999897</v>
      </c>
      <c r="AD6947">
        <v>-1.1063456133939999</v>
      </c>
      <c r="AE6947">
        <v>10.9283999999999</v>
      </c>
      <c r="AF6947">
        <v>6.0671403417805596</v>
      </c>
      <c r="AG6947">
        <v>-1.1063456133939999</v>
      </c>
      <c r="AH6947">
        <v>11.3659827914272</v>
      </c>
      <c r="AI6947">
        <v>94.907958732674501</v>
      </c>
      <c r="AJ6947">
        <v>61.906783746138302</v>
      </c>
      <c r="AK6947">
        <v>12.9313478554309</v>
      </c>
      <c r="AL6947">
        <v>81.568389261632205</v>
      </c>
      <c r="AM6947">
        <v>62.681505229936697</v>
      </c>
      <c r="AN6947">
        <v>1.00000000553394</v>
      </c>
    </row>
    <row r="6948" spans="1:40" x14ac:dyDescent="0.25">
      <c r="A6948" t="str">
        <f>"20190312164640279"</f>
        <v>20190312164640279</v>
      </c>
      <c r="B6948" t="str">
        <f>"1552380400268487"</f>
        <v>1552380400268487</v>
      </c>
      <c r="C6948" t="s">
        <v>40</v>
      </c>
      <c r="D6948">
        <v>5.0665100000000001</v>
      </c>
      <c r="E6948">
        <v>0.51976599999999995</v>
      </c>
      <c r="F6948" t="s">
        <v>71</v>
      </c>
      <c r="G6948">
        <v>-180.37690000000001</v>
      </c>
      <c r="H6948" s="1">
        <v>-4.6066330000000004E-6</v>
      </c>
      <c r="I6948">
        <v>126.6631</v>
      </c>
      <c r="J6948">
        <v>-187.34200000000001</v>
      </c>
      <c r="K6948">
        <v>1.1063000000000001</v>
      </c>
      <c r="L6948">
        <v>115.8929</v>
      </c>
      <c r="M6948">
        <v>8.1107330000000005E-2</v>
      </c>
      <c r="N6948">
        <v>0</v>
      </c>
      <c r="O6948">
        <v>0.99661339999999998</v>
      </c>
      <c r="P6948">
        <v>0.52568839999999994</v>
      </c>
      <c r="Q6948">
        <v>0.13707710000000001</v>
      </c>
      <c r="R6948">
        <v>0.83956039999999998</v>
      </c>
      <c r="S6948">
        <v>1.6514740000000001</v>
      </c>
      <c r="T6948">
        <v>-0.26181860000000001</v>
      </c>
      <c r="U6948">
        <v>2.5826720000000001</v>
      </c>
      <c r="V6948">
        <v>0.45681820000000001</v>
      </c>
      <c r="W6948">
        <v>0.14599300000000001</v>
      </c>
      <c r="X6948">
        <v>0.87749829999999995</v>
      </c>
      <c r="Y6948">
        <v>0.46659699999999998</v>
      </c>
      <c r="Z6948">
        <v>-8.653081E-2</v>
      </c>
      <c r="AA6948">
        <v>0.88022699999999998</v>
      </c>
      <c r="AB6948">
        <v>28</v>
      </c>
      <c r="AC6948">
        <v>6.9650999999999996</v>
      </c>
      <c r="AD6948">
        <v>-1.106304606633</v>
      </c>
      <c r="AE6948">
        <v>10.770200000000001</v>
      </c>
      <c r="AF6948">
        <v>6.0237113002594098</v>
      </c>
      <c r="AG6948">
        <v>-1.106304606633</v>
      </c>
      <c r="AH6948">
        <v>11.216236297671401</v>
      </c>
      <c r="AI6948">
        <v>94.966277371024205</v>
      </c>
      <c r="AJ6948">
        <v>61.761852726729202</v>
      </c>
      <c r="AK6948">
        <v>12.779396088889801</v>
      </c>
      <c r="AL6948">
        <v>81.605214539954503</v>
      </c>
      <c r="AM6948">
        <v>62.4988955908021</v>
      </c>
      <c r="AN6948">
        <v>1.0000000452015601</v>
      </c>
    </row>
    <row r="6949" spans="1:40" x14ac:dyDescent="0.25">
      <c r="A6949" t="str">
        <f>"20190312164640290"</f>
        <v>20190312164640290</v>
      </c>
      <c r="B6949" t="str">
        <f>"1552380400278247"</f>
        <v>1552380400278247</v>
      </c>
      <c r="C6949" t="s">
        <v>40</v>
      </c>
      <c r="D6949">
        <v>5.0208719999999998</v>
      </c>
      <c r="E6949">
        <v>0.5193875</v>
      </c>
      <c r="F6949" t="s">
        <v>71</v>
      </c>
      <c r="G6949">
        <v>-180.35210000000001</v>
      </c>
      <c r="H6949" s="1">
        <v>-4.6246279999999997E-6</v>
      </c>
      <c r="I6949">
        <v>126.7191</v>
      </c>
      <c r="J6949">
        <v>-187.32900000000001</v>
      </c>
      <c r="K6949">
        <v>1.1062639999999999</v>
      </c>
      <c r="L6949">
        <v>116.0304</v>
      </c>
      <c r="M6949">
        <v>8.2928580000000002E-2</v>
      </c>
      <c r="N6949">
        <v>0</v>
      </c>
      <c r="O6949">
        <v>0.99646349999999995</v>
      </c>
      <c r="P6949">
        <v>0.53008669999999902</v>
      </c>
      <c r="Q6949">
        <v>0.136521</v>
      </c>
      <c r="R6949">
        <v>0.83688119999999999</v>
      </c>
      <c r="S6949">
        <v>1.6626590000000001</v>
      </c>
      <c r="T6949">
        <v>-0.26315309999999997</v>
      </c>
      <c r="U6949">
        <v>2.5752109999999999</v>
      </c>
      <c r="V6949">
        <v>0.4598237</v>
      </c>
      <c r="W6949">
        <v>0.14536079999999901</v>
      </c>
      <c r="X6949">
        <v>0.87603220000000004</v>
      </c>
      <c r="Y6949">
        <v>0.46881889999999998</v>
      </c>
      <c r="Z6949">
        <v>-8.7010599999999994E-2</v>
      </c>
      <c r="AA6949">
        <v>0.87899830000000001</v>
      </c>
      <c r="AB6949">
        <v>28</v>
      </c>
      <c r="AC6949">
        <v>6.9768999999999997</v>
      </c>
      <c r="AD6949">
        <v>-1.106268624628</v>
      </c>
      <c r="AE6949">
        <v>10.6886999999999</v>
      </c>
      <c r="AF6949">
        <v>6.0211551311421099</v>
      </c>
      <c r="AG6949">
        <v>-1.106268624628</v>
      </c>
      <c r="AH6949">
        <v>11.146783247331999</v>
      </c>
      <c r="AI6949">
        <v>94.990437787626405</v>
      </c>
      <c r="AJ6949">
        <v>61.623424033837701</v>
      </c>
      <c r="AK6949">
        <v>12.717268423137</v>
      </c>
      <c r="AL6949">
        <v>81.641827182796206</v>
      </c>
      <c r="AM6949">
        <v>62.3053062000578</v>
      </c>
      <c r="AN6949">
        <v>1.00000000634758</v>
      </c>
    </row>
    <row r="6950" spans="1:40" x14ac:dyDescent="0.25">
      <c r="A6950" t="str">
        <f>"20190312164640300"</f>
        <v>20190312164640300</v>
      </c>
      <c r="B6950" t="str">
        <f>"1552380400297767"</f>
        <v>1552380400297767</v>
      </c>
      <c r="C6950" t="s">
        <v>40</v>
      </c>
      <c r="D6950">
        <v>5.1205949999999998</v>
      </c>
      <c r="E6950">
        <v>0.51879430000000004</v>
      </c>
      <c r="F6950" t="s">
        <v>71</v>
      </c>
      <c r="G6950">
        <v>-180.3167</v>
      </c>
      <c r="H6950" s="1">
        <v>-4.6485950000000003E-6</v>
      </c>
      <c r="I6950">
        <v>126.7924</v>
      </c>
      <c r="J6950">
        <v>-187.3158</v>
      </c>
      <c r="K6950">
        <v>1.106225</v>
      </c>
      <c r="L6950">
        <v>116.1653</v>
      </c>
      <c r="M6950">
        <v>8.475792E-2</v>
      </c>
      <c r="N6950">
        <v>0</v>
      </c>
      <c r="O6950">
        <v>0.99630949999999996</v>
      </c>
      <c r="P6950">
        <v>0.53432570000000001</v>
      </c>
      <c r="Q6950">
        <v>0.13623850000000001</v>
      </c>
      <c r="R6950">
        <v>0.8342273</v>
      </c>
      <c r="S6950">
        <v>1.673233</v>
      </c>
      <c r="T6950">
        <v>-0.26396920000000001</v>
      </c>
      <c r="U6950">
        <v>2.5679470000000002</v>
      </c>
      <c r="V6950">
        <v>0.4626709</v>
      </c>
      <c r="W6950">
        <v>0.1449994</v>
      </c>
      <c r="X6950">
        <v>0.87459179999999903</v>
      </c>
      <c r="Y6950">
        <v>0.47086080000000002</v>
      </c>
      <c r="Z6950">
        <v>-8.7323059999999994E-2</v>
      </c>
      <c r="AA6950">
        <v>0.87787510000000002</v>
      </c>
      <c r="AB6950">
        <v>28</v>
      </c>
      <c r="AC6950">
        <v>6.9990999999999897</v>
      </c>
      <c r="AD6950">
        <v>-1.1062296485950001</v>
      </c>
      <c r="AE6950">
        <v>10.6271</v>
      </c>
      <c r="AF6950">
        <v>6.0275424296550897</v>
      </c>
      <c r="AG6950">
        <v>-1.1062296485950001</v>
      </c>
      <c r="AH6950">
        <v>11.098259687127699</v>
      </c>
      <c r="AI6950">
        <v>95.005840385352698</v>
      </c>
      <c r="AJ6950">
        <v>61.4933056613296</v>
      </c>
      <c r="AK6950">
        <v>12.67779081148</v>
      </c>
      <c r="AL6950">
        <v>81.662755573951102</v>
      </c>
      <c r="AM6950">
        <v>62.120553727914803</v>
      </c>
      <c r="AN6950">
        <v>1.0000000021672</v>
      </c>
    </row>
    <row r="6951" spans="1:40" x14ac:dyDescent="0.25">
      <c r="A6951" t="str">
        <f>"20190312164640312"</f>
        <v>20190312164640312</v>
      </c>
      <c r="B6951" t="str">
        <f>"1552380400308503"</f>
        <v>1552380400308503</v>
      </c>
      <c r="C6951" t="s">
        <v>40</v>
      </c>
      <c r="D6951">
        <v>5.039485</v>
      </c>
      <c r="E6951">
        <v>0.51863369999999998</v>
      </c>
      <c r="F6951" t="s">
        <v>71</v>
      </c>
      <c r="G6951">
        <v>-180.23830000000001</v>
      </c>
      <c r="H6951" s="1">
        <v>-4.699144E-6</v>
      </c>
      <c r="I6951">
        <v>126.9451</v>
      </c>
      <c r="J6951">
        <v>-187.30369999999999</v>
      </c>
      <c r="K6951">
        <v>1.106185</v>
      </c>
      <c r="L6951">
        <v>116.288</v>
      </c>
      <c r="M6951">
        <v>8.6434570000000002E-2</v>
      </c>
      <c r="N6951">
        <v>0</v>
      </c>
      <c r="O6951">
        <v>0.99616550000000004</v>
      </c>
      <c r="P6951">
        <v>0.53831149999999905</v>
      </c>
      <c r="Q6951">
        <v>0.13611679999999901</v>
      </c>
      <c r="R6951">
        <v>0.8316808</v>
      </c>
      <c r="S6951">
        <v>1.681961</v>
      </c>
      <c r="T6951">
        <v>-0.26289469999999998</v>
      </c>
      <c r="U6951">
        <v>2.5618129999999999</v>
      </c>
      <c r="V6951">
        <v>0.46539770000000003</v>
      </c>
      <c r="W6951">
        <v>0.14480219999999999</v>
      </c>
      <c r="X6951">
        <v>0.87317659999999997</v>
      </c>
      <c r="Y6951">
        <v>0.47244629999999999</v>
      </c>
      <c r="Z6951">
        <v>-8.7010989999999996E-2</v>
      </c>
      <c r="AA6951">
        <v>0.87705390000000005</v>
      </c>
      <c r="AB6951">
        <v>28</v>
      </c>
      <c r="AC6951">
        <v>7.0653999999999799</v>
      </c>
      <c r="AD6951">
        <v>-1.1061896991439999</v>
      </c>
      <c r="AE6951">
        <v>10.6571</v>
      </c>
      <c r="AF6951">
        <v>6.0722792668140197</v>
      </c>
      <c r="AG6951">
        <v>-1.1061896991439999</v>
      </c>
      <c r="AH6951">
        <v>11.1445490804083</v>
      </c>
      <c r="AI6951">
        <v>94.9813145995453</v>
      </c>
      <c r="AJ6951">
        <v>61.415561904843003</v>
      </c>
      <c r="AK6951">
        <v>12.7395920401833</v>
      </c>
      <c r="AL6951">
        <v>81.674175098046604</v>
      </c>
      <c r="AM6951">
        <v>61.942661633224901</v>
      </c>
      <c r="AN6951">
        <v>1.0000000355388401</v>
      </c>
    </row>
    <row r="6952" spans="1:40" x14ac:dyDescent="0.25">
      <c r="A6952" t="str">
        <f>"20190312164640324"</f>
        <v>20190312164640324</v>
      </c>
      <c r="B6952" t="str">
        <f>"1552380400318263"</f>
        <v>1552380400318263</v>
      </c>
      <c r="C6952" t="s">
        <v>40</v>
      </c>
      <c r="D6952">
        <v>5.0558139999999998</v>
      </c>
      <c r="E6952">
        <v>0.51834749999999996</v>
      </c>
      <c r="F6952" t="s">
        <v>71</v>
      </c>
      <c r="G6952">
        <v>-180.2345</v>
      </c>
      <c r="H6952" s="1">
        <v>-4.7020250000000001E-6</v>
      </c>
      <c r="I6952">
        <v>126.9541</v>
      </c>
      <c r="J6952">
        <v>-187.28790000000001</v>
      </c>
      <c r="K6952">
        <v>1.1061399999999999</v>
      </c>
      <c r="L6952">
        <v>116.44370000000001</v>
      </c>
      <c r="M6952">
        <v>8.8604790000000003E-2</v>
      </c>
      <c r="N6952">
        <v>0</v>
      </c>
      <c r="O6952">
        <v>0.99597469999999999</v>
      </c>
      <c r="P6952">
        <v>0.5422941</v>
      </c>
      <c r="Q6952">
        <v>0.13572290000000001</v>
      </c>
      <c r="R6952">
        <v>0.82915399999999995</v>
      </c>
      <c r="S6952">
        <v>1.69314599999999</v>
      </c>
      <c r="T6952">
        <v>-0.26494230000000002</v>
      </c>
      <c r="U6952">
        <v>2.554611</v>
      </c>
      <c r="V6952">
        <v>0.46769509999999997</v>
      </c>
      <c r="W6952">
        <v>0.14432429999999999</v>
      </c>
      <c r="X6952">
        <v>0.87202739999999901</v>
      </c>
      <c r="Y6952">
        <v>0.47430030000000001</v>
      </c>
      <c r="Z6952">
        <v>-8.7718850000000001E-2</v>
      </c>
      <c r="AA6952">
        <v>0.87598209999999999</v>
      </c>
      <c r="AB6952">
        <v>28</v>
      </c>
      <c r="AC6952">
        <v>7.0534000000000097</v>
      </c>
      <c r="AD6952">
        <v>-1.1061447020249999</v>
      </c>
      <c r="AE6952">
        <v>10.510399999999899</v>
      </c>
      <c r="AF6952">
        <v>6.0481075750132698</v>
      </c>
      <c r="AG6952">
        <v>-1.1061447020249999</v>
      </c>
      <c r="AH6952">
        <v>11.009995077727</v>
      </c>
      <c r="AI6952">
        <v>95.032257997671493</v>
      </c>
      <c r="AJ6952">
        <v>61.218739333574099</v>
      </c>
      <c r="AK6952">
        <v>12.610438253777099</v>
      </c>
      <c r="AL6952">
        <v>81.701847121023405</v>
      </c>
      <c r="AM6952">
        <v>61.793972907551201</v>
      </c>
      <c r="AN6952">
        <v>0.99999999824262897</v>
      </c>
    </row>
    <row r="6953" spans="1:40" x14ac:dyDescent="0.25">
      <c r="A6953" t="str">
        <f>"20190312164640337"</f>
        <v>20190312164640337</v>
      </c>
      <c r="B6953" t="str">
        <f>"1552380400328022"</f>
        <v>1552380400328022</v>
      </c>
      <c r="C6953" t="s">
        <v>40</v>
      </c>
      <c r="D6953">
        <v>5.0502250000000002</v>
      </c>
      <c r="E6953">
        <v>0.51815900000000004</v>
      </c>
      <c r="F6953" t="s">
        <v>71</v>
      </c>
      <c r="G6953">
        <v>-180.22210000000001</v>
      </c>
      <c r="H6953" s="1">
        <v>-4.7179059999999999E-6</v>
      </c>
      <c r="I6953">
        <v>127.0086</v>
      </c>
      <c r="J6953">
        <v>-187.27090000000001</v>
      </c>
      <c r="K6953">
        <v>1.1060859999999999</v>
      </c>
      <c r="L6953">
        <v>116.6075</v>
      </c>
      <c r="M6953">
        <v>9.0934409999999993E-2</v>
      </c>
      <c r="N6953">
        <v>0</v>
      </c>
      <c r="O6953">
        <v>0.99576469999999995</v>
      </c>
      <c r="P6953">
        <v>0.54653529999999995</v>
      </c>
      <c r="Q6953">
        <v>0.13522319999999999</v>
      </c>
      <c r="R6953">
        <v>0.82644649999999997</v>
      </c>
      <c r="S6953">
        <v>1.7037659999999999</v>
      </c>
      <c r="T6953">
        <v>-0.26672079999999998</v>
      </c>
      <c r="U6953">
        <v>2.5474700000000001</v>
      </c>
      <c r="V6953">
        <v>0.47013490000000002</v>
      </c>
      <c r="W6953">
        <v>0.1437321</v>
      </c>
      <c r="X6953">
        <v>0.87081239999999904</v>
      </c>
      <c r="Y6953">
        <v>0.47587010000000002</v>
      </c>
      <c r="Z6953">
        <v>-8.8345460000000001E-2</v>
      </c>
      <c r="AA6953">
        <v>0.87506719999999905</v>
      </c>
      <c r="AB6953">
        <v>28</v>
      </c>
      <c r="AC6953">
        <v>7.0488</v>
      </c>
      <c r="AD6953">
        <v>-1.106090717906</v>
      </c>
      <c r="AE6953">
        <v>10.4011</v>
      </c>
      <c r="AF6953">
        <v>6.0269784942353599</v>
      </c>
      <c r="AG6953">
        <v>-1.106090717906</v>
      </c>
      <c r="AH6953">
        <v>10.914452451715499</v>
      </c>
      <c r="AI6953">
        <v>95.069707477316499</v>
      </c>
      <c r="AJ6953">
        <v>61.092448378178098</v>
      </c>
      <c r="AK6953">
        <v>12.5169157050358</v>
      </c>
      <c r="AL6953">
        <v>81.736135101802702</v>
      </c>
      <c r="AM6953">
        <v>61.636241472996097</v>
      </c>
      <c r="AN6953">
        <v>0.99999998838108906</v>
      </c>
    </row>
    <row r="6954" spans="1:40" x14ac:dyDescent="0.25">
      <c r="A6954" t="str">
        <f>"20190312164640350"</f>
        <v>20190312164640350</v>
      </c>
      <c r="B6954" t="str">
        <f>"1552380400337783"</f>
        <v>1552380400337783</v>
      </c>
      <c r="C6954" t="s">
        <v>40</v>
      </c>
      <c r="D6954">
        <v>5.069801</v>
      </c>
      <c r="E6954">
        <v>0.51788809999999996</v>
      </c>
      <c r="F6954" t="s">
        <v>71</v>
      </c>
      <c r="G6954">
        <v>-180.22200000000001</v>
      </c>
      <c r="H6954" s="1">
        <v>-4.7255470000000001E-6</v>
      </c>
      <c r="I6954">
        <v>127.03789999999999</v>
      </c>
      <c r="J6954">
        <v>-187.2551</v>
      </c>
      <c r="K6954">
        <v>1.106033</v>
      </c>
      <c r="L6954">
        <v>116.7578</v>
      </c>
      <c r="M6954">
        <v>9.3100749999999996E-2</v>
      </c>
      <c r="N6954">
        <v>0</v>
      </c>
      <c r="O6954">
        <v>0.99556440000000002</v>
      </c>
      <c r="P6954">
        <v>0.55036209999999997</v>
      </c>
      <c r="Q6954">
        <v>0.13473789999999999</v>
      </c>
      <c r="R6954">
        <v>0.82398259999999901</v>
      </c>
      <c r="S6954">
        <v>1.7160340000000001</v>
      </c>
      <c r="T6954">
        <v>-0.26927289999999998</v>
      </c>
      <c r="U6954">
        <v>2.5392459999999999</v>
      </c>
      <c r="V6954">
        <v>0.47228949999999997</v>
      </c>
      <c r="W6954">
        <v>0.14315919999999999</v>
      </c>
      <c r="X6954">
        <v>0.86974019999999996</v>
      </c>
      <c r="Y6954">
        <v>0.47813109999999998</v>
      </c>
      <c r="Z6954">
        <v>-8.9225819999999997E-2</v>
      </c>
      <c r="AA6954">
        <v>0.87374439999999998</v>
      </c>
      <c r="AB6954">
        <v>28</v>
      </c>
      <c r="AC6954">
        <v>7.0330999999999904</v>
      </c>
      <c r="AD6954">
        <v>-1.106037725547</v>
      </c>
      <c r="AE6954">
        <v>10.2800999999999</v>
      </c>
      <c r="AF6954">
        <v>5.9980795682110601</v>
      </c>
      <c r="AG6954">
        <v>-1.106037725547</v>
      </c>
      <c r="AH6954">
        <v>10.805090957916301</v>
      </c>
      <c r="AI6954">
        <v>95.1142175199452</v>
      </c>
      <c r="AJ6954">
        <v>60.9646415663045</v>
      </c>
      <c r="AK6954">
        <v>12.4076697476105</v>
      </c>
      <c r="AL6954">
        <v>81.769302732922398</v>
      </c>
      <c r="AM6954">
        <v>61.496993134090303</v>
      </c>
      <c r="AN6954">
        <v>0.99999997192546397</v>
      </c>
    </row>
    <row r="6955" spans="1:40" x14ac:dyDescent="0.25">
      <c r="A6955" t="str">
        <f>"20190312164640366"</f>
        <v>20190312164640366</v>
      </c>
      <c r="B6955" t="str">
        <f>"1552380400358282"</f>
        <v>1552380400358282</v>
      </c>
      <c r="C6955" t="s">
        <v>40</v>
      </c>
      <c r="D6955">
        <v>5.1159650000000001</v>
      </c>
      <c r="E6955">
        <v>0.51771480000000003</v>
      </c>
      <c r="F6955" t="s">
        <v>71</v>
      </c>
      <c r="G6955">
        <v>-180.2474</v>
      </c>
      <c r="H6955" s="1">
        <v>-4.7211530000000004E-6</v>
      </c>
      <c r="I6955">
        <v>127.0346</v>
      </c>
      <c r="J6955">
        <v>-187.2313</v>
      </c>
      <c r="K6955">
        <v>1.105945</v>
      </c>
      <c r="L6955">
        <v>116.9747</v>
      </c>
      <c r="M6955">
        <v>9.6333669999999996E-2</v>
      </c>
      <c r="N6955">
        <v>0</v>
      </c>
      <c r="O6955">
        <v>0.99525669999999999</v>
      </c>
      <c r="P6955">
        <v>0.55686769999999997</v>
      </c>
      <c r="Q6955">
        <v>0.13377979999999901</v>
      </c>
      <c r="R6955">
        <v>0.81975689999999901</v>
      </c>
      <c r="S6955">
        <v>1.7266539999999999</v>
      </c>
      <c r="T6955">
        <v>-0.27252169999999998</v>
      </c>
      <c r="U6955">
        <v>2.5321500000000001</v>
      </c>
      <c r="V6955">
        <v>0.47636079999999997</v>
      </c>
      <c r="W6955">
        <v>0.1420496</v>
      </c>
      <c r="X6955">
        <v>0.86769940000000001</v>
      </c>
      <c r="Y6955">
        <v>0.4788674</v>
      </c>
      <c r="Z6955">
        <v>-9.0341130000000006E-2</v>
      </c>
      <c r="AA6955">
        <v>0.87322649999999902</v>
      </c>
      <c r="AB6955">
        <v>28</v>
      </c>
      <c r="AC6955">
        <v>6.9839000000000002</v>
      </c>
      <c r="AD6955">
        <v>-1.1059497211530001</v>
      </c>
      <c r="AE6955">
        <v>10.059900000000001</v>
      </c>
      <c r="AF6955">
        <v>5.9338233707008499</v>
      </c>
      <c r="AG6955">
        <v>-1.1059497211530001</v>
      </c>
      <c r="AH6955">
        <v>10.599506644944899</v>
      </c>
      <c r="AI6955">
        <v>95.202095452132895</v>
      </c>
      <c r="AJ6955">
        <v>60.758994275377297</v>
      </c>
      <c r="AK6955">
        <v>12.1976606649236</v>
      </c>
      <c r="AL6955">
        <v>81.833534622743599</v>
      </c>
      <c r="AM6955">
        <v>61.233527004649602</v>
      </c>
      <c r="AN6955">
        <v>0.99999997469857904</v>
      </c>
    </row>
    <row r="6956" spans="1:40" x14ac:dyDescent="0.25">
      <c r="A6956" t="str">
        <f>"20190312164640376"</f>
        <v>20190312164640376</v>
      </c>
      <c r="B6956" t="str">
        <f>"1552380400368039"</f>
        <v>1552380400368039</v>
      </c>
      <c r="C6956" t="s">
        <v>40</v>
      </c>
      <c r="D6956">
        <v>5.0471269999999997</v>
      </c>
      <c r="E6956">
        <v>0.51739409999999997</v>
      </c>
      <c r="F6956" t="s">
        <v>71</v>
      </c>
      <c r="G6956">
        <v>-180.23140000000001</v>
      </c>
      <c r="H6956" s="1">
        <v>-4.7334840000000001E-6</v>
      </c>
      <c r="I6956">
        <v>127.0736</v>
      </c>
      <c r="J6956">
        <v>-187.21729999999999</v>
      </c>
      <c r="K6956">
        <v>1.1058870000000001</v>
      </c>
      <c r="L6956">
        <v>117.0981</v>
      </c>
      <c r="M6956">
        <v>9.8230059999999994E-2</v>
      </c>
      <c r="N6956">
        <v>0</v>
      </c>
      <c r="O6956">
        <v>0.99507129999999999</v>
      </c>
      <c r="P6956">
        <v>0.56035829999999998</v>
      </c>
      <c r="Q6956">
        <v>0.1335276</v>
      </c>
      <c r="R6956">
        <v>0.81741600000000003</v>
      </c>
      <c r="S6956">
        <v>1.745789</v>
      </c>
      <c r="T6956">
        <v>-0.27582659999999998</v>
      </c>
      <c r="U6956">
        <v>2.5186920000000002</v>
      </c>
      <c r="V6956">
        <v>0.47842230000000002</v>
      </c>
      <c r="W6956">
        <v>0.1417107</v>
      </c>
      <c r="X6956">
        <v>0.8666199</v>
      </c>
      <c r="Y6956">
        <v>0.48379519999999998</v>
      </c>
      <c r="Z6956">
        <v>-9.1488920000000001E-2</v>
      </c>
      <c r="AA6956">
        <v>0.87038609999999905</v>
      </c>
      <c r="AB6956">
        <v>28</v>
      </c>
      <c r="AC6956">
        <v>6.9858999999999796</v>
      </c>
      <c r="AD6956">
        <v>-1.1058917334839999</v>
      </c>
      <c r="AE6956">
        <v>9.9754999999999896</v>
      </c>
      <c r="AF6956">
        <v>5.92328044224731</v>
      </c>
      <c r="AG6956">
        <v>-1.1058917334839999</v>
      </c>
      <c r="AH6956">
        <v>10.5267316940153</v>
      </c>
      <c r="AI6956">
        <v>95.2312135866066</v>
      </c>
      <c r="AJ6956">
        <v>60.634003185721099</v>
      </c>
      <c r="AK6956">
        <v>12.129316876126399</v>
      </c>
      <c r="AL6956">
        <v>81.853150278624696</v>
      </c>
      <c r="AM6956">
        <v>61.098864284784703</v>
      </c>
      <c r="AN6956">
        <v>0.99999993535389298</v>
      </c>
    </row>
    <row r="6957" spans="1:40" x14ac:dyDescent="0.25">
      <c r="A6957" t="str">
        <f>"20190312164640387"</f>
        <v>20190312164640387</v>
      </c>
      <c r="B6957" t="str">
        <f>"1552380400377800"</f>
        <v>1552380400377800</v>
      </c>
      <c r="C6957" t="s">
        <v>40</v>
      </c>
      <c r="D6957">
        <v>5.016076</v>
      </c>
      <c r="E6957">
        <v>0.51701529999999996</v>
      </c>
      <c r="F6957" t="s">
        <v>71</v>
      </c>
      <c r="G6957">
        <v>-180.2355</v>
      </c>
      <c r="H6957" s="1">
        <v>-4.7401380000000004E-6</v>
      </c>
      <c r="I6957">
        <v>127.1014</v>
      </c>
      <c r="J6957">
        <v>-187.202</v>
      </c>
      <c r="K6957">
        <v>1.1058300000000001</v>
      </c>
      <c r="L6957">
        <v>117.2324</v>
      </c>
      <c r="M6957">
        <v>0.10030509999999999</v>
      </c>
      <c r="N6957">
        <v>0</v>
      </c>
      <c r="O6957">
        <v>0.99486419999999998</v>
      </c>
      <c r="P6957">
        <v>0.56385589999999997</v>
      </c>
      <c r="Q6957">
        <v>0.13350860000000001</v>
      </c>
      <c r="R6957">
        <v>0.81501049999999997</v>
      </c>
      <c r="S6957">
        <v>1.754013</v>
      </c>
      <c r="T6957">
        <v>-0.27782990000000002</v>
      </c>
      <c r="U6957">
        <v>2.5130919999999999</v>
      </c>
      <c r="V6957">
        <v>0.48035040000000001</v>
      </c>
      <c r="W6957">
        <v>0.14160020000000001</v>
      </c>
      <c r="X6957">
        <v>0.86557079999999997</v>
      </c>
      <c r="Y6957">
        <v>0.48476200000000003</v>
      </c>
      <c r="Z6957">
        <v>-9.2180390000000001E-2</v>
      </c>
      <c r="AA6957">
        <v>0.86977499999999996</v>
      </c>
      <c r="AB6957">
        <v>27</v>
      </c>
      <c r="AC6957">
        <v>6.9664999999999901</v>
      </c>
      <c r="AD6957">
        <v>-1.10583474013799</v>
      </c>
      <c r="AE6957">
        <v>9.8689999999999998</v>
      </c>
      <c r="AF6957">
        <v>5.8919832392887503</v>
      </c>
      <c r="AG6957">
        <v>-1.10583474013799</v>
      </c>
      <c r="AH6957">
        <v>10.430650910732099</v>
      </c>
      <c r="AI6957">
        <v>95.273959766549197</v>
      </c>
      <c r="AJ6957">
        <v>60.539108757534699</v>
      </c>
      <c r="AK6957">
        <v>12.0306614691841</v>
      </c>
      <c r="AL6957">
        <v>81.859546212765807</v>
      </c>
      <c r="AM6957">
        <v>60.971820154330999</v>
      </c>
      <c r="AN6957">
        <v>0.99999996661641899</v>
      </c>
    </row>
    <row r="6958" spans="1:40" x14ac:dyDescent="0.25">
      <c r="A6958" t="str">
        <f>"20190312164640398"</f>
        <v>20190312164640398</v>
      </c>
      <c r="B6958" t="str">
        <f>"1552380400388535"</f>
        <v>1552380400388535</v>
      </c>
      <c r="C6958" t="s">
        <v>40</v>
      </c>
      <c r="D6958">
        <v>5.0373020000000004</v>
      </c>
      <c r="E6958">
        <v>0.51679010000000003</v>
      </c>
      <c r="F6958" t="s">
        <v>71</v>
      </c>
      <c r="G6958">
        <v>-180.20500000000001</v>
      </c>
      <c r="H6958" s="1">
        <v>-4.7672629999999997E-6</v>
      </c>
      <c r="I6958">
        <v>127.1895</v>
      </c>
      <c r="J6958">
        <v>-187.1865</v>
      </c>
      <c r="K6958">
        <v>1.1057680000000001</v>
      </c>
      <c r="L6958">
        <v>117.3639</v>
      </c>
      <c r="M6958">
        <v>0.1024178</v>
      </c>
      <c r="N6958">
        <v>0</v>
      </c>
      <c r="O6958">
        <v>0.99464889999999995</v>
      </c>
      <c r="P6958">
        <v>0.56737360000000003</v>
      </c>
      <c r="Q6958">
        <v>0.13350609999999999</v>
      </c>
      <c r="R6958">
        <v>0.81256589999999995</v>
      </c>
      <c r="S6958">
        <v>1.762054</v>
      </c>
      <c r="T6958">
        <v>-0.27848230000000002</v>
      </c>
      <c r="U6958">
        <v>2.5074920000000001</v>
      </c>
      <c r="V6958">
        <v>0.48227789999999998</v>
      </c>
      <c r="W6958">
        <v>0.14149970000000001</v>
      </c>
      <c r="X6958">
        <v>0.86451480000000003</v>
      </c>
      <c r="Y6958">
        <v>0.48567500000000002</v>
      </c>
      <c r="Z6958">
        <v>-9.2429730000000002E-2</v>
      </c>
      <c r="AA6958">
        <v>0.86923909999999904</v>
      </c>
      <c r="AB6958">
        <v>27</v>
      </c>
      <c r="AC6958">
        <v>6.9814999999999801</v>
      </c>
      <c r="AD6958">
        <v>-1.105772767263</v>
      </c>
      <c r="AE6958">
        <v>9.8255999999999908</v>
      </c>
      <c r="AF6958">
        <v>5.8888105347332802</v>
      </c>
      <c r="AG6958">
        <v>-1.105772767263</v>
      </c>
      <c r="AH6958">
        <v>10.401477330463701</v>
      </c>
      <c r="AI6958">
        <v>95.285491806691894</v>
      </c>
      <c r="AJ6958">
        <v>60.483571222561203</v>
      </c>
      <c r="AK6958">
        <v>12.003814126474801</v>
      </c>
      <c r="AL6958">
        <v>81.865363188088594</v>
      </c>
      <c r="AM6958">
        <v>60.844616483542701</v>
      </c>
      <c r="AN6958">
        <v>0.99999998867377005</v>
      </c>
    </row>
    <row r="6959" spans="1:40" x14ac:dyDescent="0.25">
      <c r="A6959" t="str">
        <f>"20190312164640410"</f>
        <v>20190312164640410</v>
      </c>
      <c r="B6959" t="str">
        <f>"1552380400398295"</f>
        <v>1552380400398295</v>
      </c>
      <c r="C6959" t="s">
        <v>40</v>
      </c>
      <c r="D6959">
        <v>5.0980220000000003</v>
      </c>
      <c r="E6959">
        <v>0.51665929999999904</v>
      </c>
      <c r="F6959" t="s">
        <v>71</v>
      </c>
      <c r="G6959">
        <v>-180.1754</v>
      </c>
      <c r="H6959" s="1">
        <v>-4.7913579999999997E-6</v>
      </c>
      <c r="I6959">
        <v>127.2663</v>
      </c>
      <c r="J6959">
        <v>-187.1703</v>
      </c>
      <c r="K6959">
        <v>1.1057090000000001</v>
      </c>
      <c r="L6959">
        <v>117.5</v>
      </c>
      <c r="M6959">
        <v>0.10462009999999999</v>
      </c>
      <c r="N6959">
        <v>0</v>
      </c>
      <c r="O6959">
        <v>0.99441959999999996</v>
      </c>
      <c r="P6959">
        <v>0.5709185</v>
      </c>
      <c r="Q6959">
        <v>0.13365199999999999</v>
      </c>
      <c r="R6959">
        <v>0.81005499999999997</v>
      </c>
      <c r="S6959">
        <v>1.7709809999999999</v>
      </c>
      <c r="T6959">
        <v>-0.27931250000000002</v>
      </c>
      <c r="U6959">
        <v>2.501312</v>
      </c>
      <c r="V6959">
        <v>0.48416989999999999</v>
      </c>
      <c r="W6959">
        <v>0.14154359999999999</v>
      </c>
      <c r="X6959">
        <v>0.86344940000000003</v>
      </c>
      <c r="Y6959">
        <v>0.48680459999999898</v>
      </c>
      <c r="Z6959">
        <v>-9.2738000000000001E-2</v>
      </c>
      <c r="AA6959">
        <v>0.86857410000000002</v>
      </c>
      <c r="AB6959">
        <v>27</v>
      </c>
      <c r="AC6959">
        <v>6.9949000000000003</v>
      </c>
      <c r="AD6959">
        <v>-1.105713791358</v>
      </c>
      <c r="AE6959">
        <v>9.7662999999999993</v>
      </c>
      <c r="AF6959">
        <v>5.8848045833829401</v>
      </c>
      <c r="AG6959">
        <v>-1.105713791358</v>
      </c>
      <c r="AH6959">
        <v>10.3568256460517</v>
      </c>
      <c r="AI6959">
        <v>95.303217959643405</v>
      </c>
      <c r="AJ6959">
        <v>60.394526507921398</v>
      </c>
      <c r="AK6959">
        <v>11.963167032007799</v>
      </c>
      <c r="AL6959">
        <v>81.862822214415999</v>
      </c>
      <c r="AM6959">
        <v>60.718943165100498</v>
      </c>
      <c r="AN6959">
        <v>0.99999997456366396</v>
      </c>
    </row>
    <row r="6960" spans="1:40" x14ac:dyDescent="0.25">
      <c r="A6960" t="str">
        <f>"20190312164640421"</f>
        <v>20190312164640421</v>
      </c>
      <c r="B6960" t="str">
        <f>"1552380400417815"</f>
        <v>1552380400417815</v>
      </c>
      <c r="C6960" t="s">
        <v>40</v>
      </c>
      <c r="D6960">
        <v>4.9872529999999999</v>
      </c>
      <c r="E6960">
        <v>0.51606169999999996</v>
      </c>
      <c r="F6960" t="s">
        <v>71</v>
      </c>
      <c r="G6960">
        <v>-180.09989999999999</v>
      </c>
      <c r="H6960" s="1">
        <v>-4.8370840000000002E-6</v>
      </c>
      <c r="I6960">
        <v>127.4019</v>
      </c>
      <c r="J6960">
        <v>-187.1532</v>
      </c>
      <c r="K6960">
        <v>1.105637</v>
      </c>
      <c r="L6960">
        <v>117.63890000000001</v>
      </c>
      <c r="M6960">
        <v>0.10695780000000001</v>
      </c>
      <c r="N6960">
        <v>0</v>
      </c>
      <c r="O6960">
        <v>0.99417080000000002</v>
      </c>
      <c r="P6960">
        <v>0.57452799999999904</v>
      </c>
      <c r="Q6960">
        <v>0.1341377</v>
      </c>
      <c r="R6960">
        <v>0.80741859999999999</v>
      </c>
      <c r="S6960">
        <v>1.7809600000000001</v>
      </c>
      <c r="T6960">
        <v>-0.27851569999999998</v>
      </c>
      <c r="U6960">
        <v>2.494186</v>
      </c>
      <c r="V6960">
        <v>0.48603390000000002</v>
      </c>
      <c r="W6960">
        <v>0.14191689999999901</v>
      </c>
      <c r="X6960">
        <v>0.8623402</v>
      </c>
      <c r="Y6960">
        <v>0.48824079999999898</v>
      </c>
      <c r="Z6960">
        <v>-9.2517580000000002E-2</v>
      </c>
      <c r="AA6960">
        <v>0.86779110000000004</v>
      </c>
      <c r="AB6960">
        <v>27</v>
      </c>
      <c r="AC6960">
        <v>7.0533000000000001</v>
      </c>
      <c r="AD6960">
        <v>-1.105641837084</v>
      </c>
      <c r="AE6960">
        <v>9.7629999999999892</v>
      </c>
      <c r="AF6960">
        <v>5.9186309113734001</v>
      </c>
      <c r="AG6960">
        <v>-1.105641837084</v>
      </c>
      <c r="AH6960">
        <v>10.3740392688252</v>
      </c>
      <c r="AI6960">
        <v>95.288882128621495</v>
      </c>
      <c r="AJ6960">
        <v>60.2942354789487</v>
      </c>
      <c r="AK6960">
        <v>11.9947207757456</v>
      </c>
      <c r="AL6960">
        <v>81.841215709832298</v>
      </c>
      <c r="AM6960">
        <v>60.593435918172197</v>
      </c>
      <c r="AN6960">
        <v>0.99999998949542901</v>
      </c>
    </row>
    <row r="6961" spans="1:40" x14ac:dyDescent="0.25">
      <c r="A6961" t="str">
        <f>"20190312164640433"</f>
        <v>20190312164640433</v>
      </c>
      <c r="B6961" t="str">
        <f>"1552380400428551"</f>
        <v>1552380400428551</v>
      </c>
      <c r="C6961" t="s">
        <v>40</v>
      </c>
      <c r="D6961">
        <v>4.9889330000000003</v>
      </c>
      <c r="E6961">
        <v>0.51578480000000004</v>
      </c>
      <c r="F6961" t="s">
        <v>71</v>
      </c>
      <c r="G6961">
        <v>-180.02510000000001</v>
      </c>
      <c r="H6961" s="1">
        <v>-4.88895E-6</v>
      </c>
      <c r="I6961">
        <v>127.5616</v>
      </c>
      <c r="J6961">
        <v>-187.13560000000001</v>
      </c>
      <c r="K6961">
        <v>1.1055649999999999</v>
      </c>
      <c r="L6961">
        <v>117.78019999999999</v>
      </c>
      <c r="M6961">
        <v>0.109367699999999</v>
      </c>
      <c r="N6961">
        <v>0</v>
      </c>
      <c r="O6961">
        <v>0.99390849999999997</v>
      </c>
      <c r="P6961">
        <v>0.57798989999999995</v>
      </c>
      <c r="Q6961">
        <v>0.13429079999999999</v>
      </c>
      <c r="R6961">
        <v>0.80491849999999998</v>
      </c>
      <c r="S6961">
        <v>1.7881929999999999</v>
      </c>
      <c r="T6961">
        <v>-0.27736630000000001</v>
      </c>
      <c r="U6961">
        <v>2.4892430000000001</v>
      </c>
      <c r="V6961">
        <v>0.48767909999999998</v>
      </c>
      <c r="W6961">
        <v>0.14195949999999999</v>
      </c>
      <c r="X6961">
        <v>0.8614039</v>
      </c>
      <c r="Y6961">
        <v>0.48862709999999998</v>
      </c>
      <c r="Z6961">
        <v>-9.2168680000000003E-2</v>
      </c>
      <c r="AA6961">
        <v>0.86761080000000002</v>
      </c>
      <c r="AB6961">
        <v>27</v>
      </c>
      <c r="AC6961">
        <v>7.1105</v>
      </c>
      <c r="AD6961">
        <v>-1.1055698889500001</v>
      </c>
      <c r="AE6961">
        <v>9.7813999999999997</v>
      </c>
      <c r="AF6961">
        <v>5.9482531634077302</v>
      </c>
      <c r="AG6961">
        <v>-1.1055698889500001</v>
      </c>
      <c r="AH6961">
        <v>10.413405869940499</v>
      </c>
      <c r="AI6961">
        <v>95.267108657451502</v>
      </c>
      <c r="AJ6961">
        <v>60.264512065276797</v>
      </c>
      <c r="AK6961">
        <v>12.043380849556099</v>
      </c>
      <c r="AL6961">
        <v>81.838750372956795</v>
      </c>
      <c r="AM6961">
        <v>60.483867866828902</v>
      </c>
      <c r="AN6961">
        <v>1.0000000415761301</v>
      </c>
    </row>
    <row r="6962" spans="1:40" x14ac:dyDescent="0.25">
      <c r="A6962" t="str">
        <f>"20190312164640445"</f>
        <v>20190312164640445</v>
      </c>
      <c r="B6962" t="str">
        <f>"1552380400438311"</f>
        <v>1552380400438311</v>
      </c>
      <c r="C6962" t="s">
        <v>40</v>
      </c>
      <c r="D6962">
        <v>5.1637380000000004</v>
      </c>
      <c r="E6962">
        <v>0.51582709999999998</v>
      </c>
      <c r="F6962" t="s">
        <v>71</v>
      </c>
      <c r="G6962">
        <v>-179.97479999999999</v>
      </c>
      <c r="H6962" s="1">
        <v>-4.9248200000000004E-6</v>
      </c>
      <c r="I6962">
        <v>127.67270000000001</v>
      </c>
      <c r="J6962">
        <v>-187.1165</v>
      </c>
      <c r="K6962">
        <v>1.105488</v>
      </c>
      <c r="L6962">
        <v>117.92919999999999</v>
      </c>
      <c r="M6962">
        <v>0.11197600000000001</v>
      </c>
      <c r="N6962">
        <v>0</v>
      </c>
      <c r="O6962">
        <v>0.99361790000000005</v>
      </c>
      <c r="P6962">
        <v>0.58157819999999905</v>
      </c>
      <c r="Q6962">
        <v>0.13477800000000001</v>
      </c>
      <c r="R6962">
        <v>0.80224790000000001</v>
      </c>
      <c r="S6962">
        <v>1.7972410000000001</v>
      </c>
      <c r="T6962">
        <v>-0.27747880000000003</v>
      </c>
      <c r="U6962">
        <v>2.482834</v>
      </c>
      <c r="V6962">
        <v>0.48930849999999998</v>
      </c>
      <c r="W6962">
        <v>0.14232899999999901</v>
      </c>
      <c r="X6962">
        <v>0.86041829999999997</v>
      </c>
      <c r="Y6962">
        <v>0.4894751</v>
      </c>
      <c r="Z6962">
        <v>-9.2243690000000003E-2</v>
      </c>
      <c r="AA6962">
        <v>0.86712469999999997</v>
      </c>
      <c r="AB6962">
        <v>27</v>
      </c>
      <c r="AC6962">
        <v>7.1417000000000099</v>
      </c>
      <c r="AD6962">
        <v>-1.1054929248200001</v>
      </c>
      <c r="AE6962">
        <v>9.7435000000000098</v>
      </c>
      <c r="AF6962">
        <v>5.9557636700218799</v>
      </c>
      <c r="AG6962">
        <v>-1.1054929248200001</v>
      </c>
      <c r="AH6962">
        <v>10.3949355043426</v>
      </c>
      <c r="AI6962">
        <v>95.272122151104497</v>
      </c>
      <c r="AJ6962">
        <v>60.189508617823897</v>
      </c>
      <c r="AK6962">
        <v>12.031122958370201</v>
      </c>
      <c r="AL6962">
        <v>81.8173620802404</v>
      </c>
      <c r="AM6962">
        <v>60.373683207354901</v>
      </c>
      <c r="AN6962">
        <v>1.00000000169407</v>
      </c>
    </row>
    <row r="6963" spans="1:40" x14ac:dyDescent="0.25">
      <c r="A6963" t="str">
        <f>"20190312164640455"</f>
        <v>20190312164640455</v>
      </c>
      <c r="B6963" t="str">
        <f>"1552380400448071"</f>
        <v>1552380400448071</v>
      </c>
      <c r="C6963" t="s">
        <v>40</v>
      </c>
      <c r="D6963">
        <v>4.9997369999999997</v>
      </c>
      <c r="E6963">
        <v>0.51582709999999998</v>
      </c>
      <c r="F6963" t="s">
        <v>71</v>
      </c>
      <c r="G6963">
        <v>-179.88140000000001</v>
      </c>
      <c r="H6963" s="1">
        <v>-4.9180689999999998E-6</v>
      </c>
      <c r="I6963">
        <v>127.82940000000001</v>
      </c>
      <c r="J6963">
        <v>-187.09950000000001</v>
      </c>
      <c r="K6963">
        <v>1.105418</v>
      </c>
      <c r="L6963">
        <v>118.059</v>
      </c>
      <c r="M6963">
        <v>0.1143044</v>
      </c>
      <c r="N6963">
        <v>0</v>
      </c>
      <c r="O6963">
        <v>0.99335269999999998</v>
      </c>
      <c r="P6963">
        <v>0.58478490000000005</v>
      </c>
      <c r="Q6963">
        <v>0.135259299999999</v>
      </c>
      <c r="R6963">
        <v>0.79983219999999899</v>
      </c>
      <c r="S6963">
        <v>1.808594</v>
      </c>
      <c r="T6963">
        <v>-0.2763447</v>
      </c>
      <c r="U6963">
        <v>2.474777</v>
      </c>
      <c r="V6963">
        <v>0.4907765</v>
      </c>
      <c r="W6963">
        <v>0.14270559999999999</v>
      </c>
      <c r="X6963">
        <v>0.85951939999999905</v>
      </c>
      <c r="Y6963">
        <v>0.49138969999999998</v>
      </c>
      <c r="Z6963">
        <v>-9.1908020000000007E-2</v>
      </c>
      <c r="AA6963">
        <v>0.86607679999999998</v>
      </c>
      <c r="AB6963">
        <v>27</v>
      </c>
      <c r="AC6963">
        <v>7.21809999999999</v>
      </c>
      <c r="AD6963">
        <v>-1.1054229180689901</v>
      </c>
      <c r="AE6963">
        <v>9.7704000000000093</v>
      </c>
      <c r="AF6963">
        <v>6.0041586742094299</v>
      </c>
      <c r="AG6963">
        <v>-1.1054229180689901</v>
      </c>
      <c r="AH6963">
        <v>10.444992492405699</v>
      </c>
      <c r="AI6963">
        <v>95.242417093773497</v>
      </c>
      <c r="AJ6963">
        <v>60.108156388116001</v>
      </c>
      <c r="AK6963">
        <v>12.0983366368806</v>
      </c>
      <c r="AL6963">
        <v>81.795562195398603</v>
      </c>
      <c r="AM6963">
        <v>60.274089388740798</v>
      </c>
      <c r="AN6963">
        <v>1.0000000300999801</v>
      </c>
    </row>
    <row r="6964" spans="1:40" x14ac:dyDescent="0.25">
      <c r="A6964" t="str">
        <f>"20190312164640465"</f>
        <v>20190312164640465</v>
      </c>
      <c r="B6964" t="str">
        <f>"1552380400457832"</f>
        <v>1552380400457832</v>
      </c>
      <c r="C6964" t="s">
        <v>40</v>
      </c>
      <c r="D6964">
        <v>4.9641440000000001</v>
      </c>
      <c r="E6964">
        <v>0.50850459999999997</v>
      </c>
      <c r="F6964" t="s">
        <v>71</v>
      </c>
      <c r="G6964">
        <v>-179.78479999999999</v>
      </c>
      <c r="H6964" s="1">
        <v>-4.8948780000000002E-6</v>
      </c>
      <c r="I6964">
        <v>127.9828</v>
      </c>
      <c r="J6964">
        <v>-187.0821</v>
      </c>
      <c r="K6964">
        <v>1.1053459999999999</v>
      </c>
      <c r="L6964">
        <v>118.1895</v>
      </c>
      <c r="M6964">
        <v>0.11667959999999999</v>
      </c>
      <c r="N6964">
        <v>0</v>
      </c>
      <c r="O6964">
        <v>0.99307639999999997</v>
      </c>
      <c r="P6964">
        <v>0.58827689999999999</v>
      </c>
      <c r="Q6964">
        <v>0.13566120000000001</v>
      </c>
      <c r="R6964">
        <v>0.79719899999999999</v>
      </c>
      <c r="S6964">
        <v>1.8187709999999999</v>
      </c>
      <c r="T6964">
        <v>-0.2748584</v>
      </c>
      <c r="U6964">
        <v>2.467514</v>
      </c>
      <c r="V6964">
        <v>0.49251919999999999</v>
      </c>
      <c r="W6964">
        <v>0.14299679999999901</v>
      </c>
      <c r="X6964">
        <v>0.8584735</v>
      </c>
      <c r="Y6964">
        <v>0.492867</v>
      </c>
      <c r="Z6964">
        <v>-9.1453430000000002E-2</v>
      </c>
      <c r="AA6964">
        <v>0.86528519999999898</v>
      </c>
      <c r="AB6964">
        <v>27</v>
      </c>
      <c r="AC6964">
        <v>7.2972999999999999</v>
      </c>
      <c r="AD6964">
        <v>-1.105350894878</v>
      </c>
      <c r="AE6964">
        <v>9.7933000000000003</v>
      </c>
      <c r="AF6964">
        <v>6.0550646821054999</v>
      </c>
      <c r="AG6964">
        <v>-1.105350894878</v>
      </c>
      <c r="AH6964">
        <v>10.491977997114001</v>
      </c>
      <c r="AI6964">
        <v>95.2136221374098</v>
      </c>
      <c r="AJ6964">
        <v>60.010165051508302</v>
      </c>
      <c r="AK6964">
        <v>12.1641773744554</v>
      </c>
      <c r="AL6964">
        <v>81.778704518142007</v>
      </c>
      <c r="AM6964">
        <v>60.156456271165297</v>
      </c>
      <c r="AN6964">
        <v>0.999999998690565</v>
      </c>
    </row>
    <row r="6965" spans="1:40" x14ac:dyDescent="0.25">
      <c r="A6965" t="str">
        <f>"20190312164640477"</f>
        <v>20190312164640477</v>
      </c>
      <c r="B6965" t="str">
        <f>"1552380400468567"</f>
        <v>1552380400468567</v>
      </c>
      <c r="C6965" t="s">
        <v>40</v>
      </c>
      <c r="D6965">
        <v>5.1200590000000004</v>
      </c>
      <c r="E6965">
        <v>0.5095729</v>
      </c>
      <c r="F6965" t="s">
        <v>71</v>
      </c>
      <c r="G6965">
        <v>-180.23419999999999</v>
      </c>
      <c r="H6965" s="1">
        <v>-4.9197730000000002E-6</v>
      </c>
      <c r="I6965">
        <v>127.7923</v>
      </c>
      <c r="J6965">
        <v>-187.06309999999999</v>
      </c>
      <c r="K6965">
        <v>1.10527</v>
      </c>
      <c r="L6965">
        <v>118.3278</v>
      </c>
      <c r="M6965">
        <v>0.1192788</v>
      </c>
      <c r="N6965">
        <v>0</v>
      </c>
      <c r="O6965">
        <v>0.99276750000000002</v>
      </c>
      <c r="P6965">
        <v>0.59171070000000003</v>
      </c>
      <c r="Q6965">
        <v>0.1358972</v>
      </c>
      <c r="R6965">
        <v>0.79461340000000003</v>
      </c>
      <c r="S6965">
        <v>1.781158</v>
      </c>
      <c r="T6965">
        <v>-0.28750559999999997</v>
      </c>
      <c r="U6965">
        <v>2.4977420000000001</v>
      </c>
      <c r="V6965">
        <v>0.49401240000000002</v>
      </c>
      <c r="W6965">
        <v>0.1431191</v>
      </c>
      <c r="X6965">
        <v>0.85759470000000004</v>
      </c>
      <c r="Y6965">
        <v>0.47669119999999998</v>
      </c>
      <c r="Z6965">
        <v>-9.5477759999999995E-2</v>
      </c>
      <c r="AA6965">
        <v>0.87387039999999905</v>
      </c>
      <c r="AB6965">
        <v>27</v>
      </c>
      <c r="AC6965">
        <v>6.8289</v>
      </c>
      <c r="AD6965">
        <v>-1.1052749197730001</v>
      </c>
      <c r="AE6965">
        <v>9.4644999999999992</v>
      </c>
      <c r="AF6965">
        <v>5.6008865775336201</v>
      </c>
      <c r="AG6965">
        <v>-1.1052749197730001</v>
      </c>
      <c r="AH6965">
        <v>10.120766788471601</v>
      </c>
      <c r="AI6965">
        <v>95.458189219958697</v>
      </c>
      <c r="AJ6965">
        <v>61.039623077397103</v>
      </c>
      <c r="AK6965">
        <v>11.619874504025599</v>
      </c>
      <c r="AL6965">
        <v>81.7716244215665</v>
      </c>
      <c r="AM6965">
        <v>60.056158582911102</v>
      </c>
      <c r="AN6965">
        <v>0.99999999880333001</v>
      </c>
    </row>
    <row r="6966" spans="1:40" x14ac:dyDescent="0.25">
      <c r="A6966" t="str">
        <f>"20190312164640488"</f>
        <v>20190312164640488</v>
      </c>
      <c r="B6966" t="str">
        <f>"1552380400478327"</f>
        <v>1552380400478327</v>
      </c>
      <c r="C6966" t="s">
        <v>40</v>
      </c>
      <c r="D6966">
        <v>4.9644959999999996</v>
      </c>
      <c r="E6966">
        <v>0.5095153</v>
      </c>
      <c r="F6966" t="s">
        <v>71</v>
      </c>
      <c r="G6966">
        <v>-179.99870000000001</v>
      </c>
      <c r="H6966" s="1">
        <v>-5.027862E-6</v>
      </c>
      <c r="I6966">
        <v>128.0822</v>
      </c>
      <c r="J6966">
        <v>-187.04519999999999</v>
      </c>
      <c r="K6966">
        <v>1.105194</v>
      </c>
      <c r="L6966">
        <v>118.4573</v>
      </c>
      <c r="M6966">
        <v>0.1217353</v>
      </c>
      <c r="N6966">
        <v>0</v>
      </c>
      <c r="O6966">
        <v>0.99246909999999999</v>
      </c>
      <c r="P6966">
        <v>0.59509400000000001</v>
      </c>
      <c r="Q6966">
        <v>0.1365055</v>
      </c>
      <c r="R6966">
        <v>0.79197810000000002</v>
      </c>
      <c r="S6966">
        <v>1.79895</v>
      </c>
      <c r="T6966">
        <v>-0.28145720000000002</v>
      </c>
      <c r="U6966">
        <v>2.4839630000000001</v>
      </c>
      <c r="V6966">
        <v>0.49559389999999998</v>
      </c>
      <c r="W6966">
        <v>0.14361499999999999</v>
      </c>
      <c r="X6966">
        <v>0.85659879999999999</v>
      </c>
      <c r="Y6966">
        <v>0.48102669999999997</v>
      </c>
      <c r="Z6966">
        <v>-9.3569360000000004E-2</v>
      </c>
      <c r="AA6966">
        <v>0.87169839999999998</v>
      </c>
      <c r="AB6966">
        <v>27</v>
      </c>
      <c r="AC6966">
        <v>7.0464999999999796</v>
      </c>
      <c r="AD6966">
        <v>-1.1051990278620001</v>
      </c>
      <c r="AE6966">
        <v>9.6248999999999896</v>
      </c>
      <c r="AF6966">
        <v>5.7727293750742001</v>
      </c>
      <c r="AG6966">
        <v>-1.1051990278620001</v>
      </c>
      <c r="AH6966">
        <v>10.3225785444561</v>
      </c>
      <c r="AI6966">
        <v>95.3385818136137</v>
      </c>
      <c r="AJ6966">
        <v>60.784627253836597</v>
      </c>
      <c r="AK6966">
        <v>11.8786151185859</v>
      </c>
      <c r="AL6966">
        <v>81.742915230431706</v>
      </c>
      <c r="AM6966">
        <v>59.948037953836703</v>
      </c>
      <c r="AN6966">
        <v>1.0000000430518201</v>
      </c>
    </row>
    <row r="6967" spans="1:40" x14ac:dyDescent="0.25">
      <c r="A6967" t="str">
        <f>"20190312164640499"</f>
        <v>20190312164640499</v>
      </c>
      <c r="B6967" t="str">
        <f>"1552380400488087"</f>
        <v>1552380400488087</v>
      </c>
      <c r="C6967" t="s">
        <v>40</v>
      </c>
      <c r="D6967">
        <v>4.9186769999999997</v>
      </c>
      <c r="E6967">
        <v>0.50978650000000003</v>
      </c>
      <c r="F6967" t="s">
        <v>71</v>
      </c>
      <c r="G6967">
        <v>-179.91139999999999</v>
      </c>
      <c r="H6967" s="1">
        <v>-5.0402329999999999E-6</v>
      </c>
      <c r="I6967">
        <v>128.2243</v>
      </c>
      <c r="J6967">
        <v>-187.02529999999999</v>
      </c>
      <c r="K6967">
        <v>1.105116</v>
      </c>
      <c r="L6967">
        <v>118.5955</v>
      </c>
      <c r="M6967">
        <v>0.12445630000000001</v>
      </c>
      <c r="N6967">
        <v>0</v>
      </c>
      <c r="O6967">
        <v>0.99213150000000006</v>
      </c>
      <c r="P6967">
        <v>0.59878769999999903</v>
      </c>
      <c r="Q6967">
        <v>0.13663939999999999</v>
      </c>
      <c r="R6967">
        <v>0.78916600000000003</v>
      </c>
      <c r="S6967">
        <v>1.8091280000000001</v>
      </c>
      <c r="T6967">
        <v>-0.28028049999999999</v>
      </c>
      <c r="U6967">
        <v>2.4769290000000002</v>
      </c>
      <c r="V6967">
        <v>0.49728240000000001</v>
      </c>
      <c r="W6967">
        <v>0.14362829999999999</v>
      </c>
      <c r="X6967">
        <v>0.85561739999999997</v>
      </c>
      <c r="Y6967">
        <v>0.48216110000000001</v>
      </c>
      <c r="Z6967">
        <v>-9.3213279999999996E-2</v>
      </c>
      <c r="AA6967">
        <v>0.87110959999999904</v>
      </c>
      <c r="AB6967">
        <v>27</v>
      </c>
      <c r="AC6967">
        <v>7.1139000000000001</v>
      </c>
      <c r="AD6967">
        <v>-1.1051210402330001</v>
      </c>
      <c r="AE6967">
        <v>9.6287999999999894</v>
      </c>
      <c r="AF6967">
        <v>5.8105895310168796</v>
      </c>
      <c r="AG6967">
        <v>-1.1051210402330001</v>
      </c>
      <c r="AH6967">
        <v>10.351168878182101</v>
      </c>
      <c r="AI6967">
        <v>95.318780850763403</v>
      </c>
      <c r="AJ6967">
        <v>60.692488748941599</v>
      </c>
      <c r="AK6967">
        <v>11.9218681571377</v>
      </c>
      <c r="AL6967">
        <v>81.742144893389096</v>
      </c>
      <c r="AM6967">
        <v>59.834967551361501</v>
      </c>
      <c r="AN6967">
        <v>1.0000000045466999</v>
      </c>
    </row>
    <row r="6968" spans="1:40" x14ac:dyDescent="0.25">
      <c r="A6968" t="str">
        <f>"20190312164640511"</f>
        <v>20190312164640511</v>
      </c>
      <c r="B6968" t="str">
        <f>"1552380400508584"</f>
        <v>1552380400508584</v>
      </c>
      <c r="C6968" t="s">
        <v>40</v>
      </c>
      <c r="D6968">
        <v>4.9393820000000002</v>
      </c>
      <c r="E6968">
        <v>0.51022959999999995</v>
      </c>
      <c r="F6968" t="s">
        <v>71</v>
      </c>
      <c r="G6968">
        <v>-179.71879999999999</v>
      </c>
      <c r="H6968" s="1">
        <v>-4.9820389999999999E-6</v>
      </c>
      <c r="I6968">
        <v>128.48410000000001</v>
      </c>
      <c r="J6968">
        <v>-187.00460000000001</v>
      </c>
      <c r="K6968">
        <v>1.1050359999999999</v>
      </c>
      <c r="L6968">
        <v>118.7375</v>
      </c>
      <c r="M6968">
        <v>0.12728249999999999</v>
      </c>
      <c r="N6968">
        <v>0</v>
      </c>
      <c r="O6968">
        <v>0.99177280000000001</v>
      </c>
      <c r="P6968">
        <v>0.60268459999999902</v>
      </c>
      <c r="Q6968">
        <v>0.13712869999999999</v>
      </c>
      <c r="R6968">
        <v>0.78610880000000005</v>
      </c>
      <c r="S6968">
        <v>1.822403</v>
      </c>
      <c r="T6968">
        <v>-0.27564080000000002</v>
      </c>
      <c r="U6968">
        <v>2.4664459999999999</v>
      </c>
      <c r="V6968">
        <v>0.4991256</v>
      </c>
      <c r="W6968">
        <v>0.1439888</v>
      </c>
      <c r="X6968">
        <v>0.85448279999999999</v>
      </c>
      <c r="Y6968">
        <v>0.48454930000000002</v>
      </c>
      <c r="Z6968">
        <v>-9.1749730000000002E-2</v>
      </c>
      <c r="AA6968">
        <v>0.86993899999999902</v>
      </c>
      <c r="AB6968">
        <v>27</v>
      </c>
      <c r="AC6968">
        <v>7.2858000000000196</v>
      </c>
      <c r="AD6968">
        <v>-1.1050409820389999</v>
      </c>
      <c r="AE6968">
        <v>9.7466000000000097</v>
      </c>
      <c r="AF6968">
        <v>5.9368852215299404</v>
      </c>
      <c r="AG6968">
        <v>-1.1050409820389999</v>
      </c>
      <c r="AH6968">
        <v>10.5080986140681</v>
      </c>
      <c r="AI6968">
        <v>95.231324302140607</v>
      </c>
      <c r="AJ6968">
        <v>60.5343390743271</v>
      </c>
      <c r="AK6968">
        <v>12.1197301202868</v>
      </c>
      <c r="AL6968">
        <v>81.721272750139093</v>
      </c>
      <c r="AM6968">
        <v>59.709689676257199</v>
      </c>
      <c r="AN6968">
        <v>0.99999999729832001</v>
      </c>
    </row>
    <row r="6969" spans="1:40" x14ac:dyDescent="0.25">
      <c r="A6969" t="str">
        <f>"20190312164640523"</f>
        <v>20190312164640523</v>
      </c>
      <c r="B6969" t="str">
        <f>"1552380400518343"</f>
        <v>1552380400518343</v>
      </c>
      <c r="C6969" t="s">
        <v>40</v>
      </c>
      <c r="D6969">
        <v>5.1544470000000002</v>
      </c>
      <c r="E6969">
        <v>0.50968199999999997</v>
      </c>
      <c r="F6969" t="s">
        <v>71</v>
      </c>
      <c r="G6969">
        <v>-179.61529999999999</v>
      </c>
      <c r="H6969" s="1">
        <v>-4.948174E-6</v>
      </c>
      <c r="I6969">
        <v>128.61349999999999</v>
      </c>
      <c r="J6969">
        <v>-186.98220000000001</v>
      </c>
      <c r="K6969">
        <v>1.1049469999999999</v>
      </c>
      <c r="L6969">
        <v>118.88720000000001</v>
      </c>
      <c r="M6969">
        <v>0.1303549</v>
      </c>
      <c r="N6969">
        <v>0</v>
      </c>
      <c r="O6969">
        <v>0.99137350000000002</v>
      </c>
      <c r="P6969">
        <v>0.60655360000000003</v>
      </c>
      <c r="Q6969">
        <v>0.1377833</v>
      </c>
      <c r="R6969">
        <v>0.78301259999999995</v>
      </c>
      <c r="S6969">
        <v>1.837296</v>
      </c>
      <c r="T6969">
        <v>-0.27476</v>
      </c>
      <c r="U6969">
        <v>2.455597</v>
      </c>
      <c r="V6969">
        <v>0.50074759999999996</v>
      </c>
      <c r="W6969">
        <v>0.14450879999999999</v>
      </c>
      <c r="X6969">
        <v>0.85344549999999997</v>
      </c>
      <c r="Y6969">
        <v>0.48708099999999999</v>
      </c>
      <c r="Z6969">
        <v>-9.1507140000000001E-2</v>
      </c>
      <c r="AA6969">
        <v>0.86854969999999998</v>
      </c>
      <c r="AB6969">
        <v>27</v>
      </c>
      <c r="AC6969">
        <v>7.36690000000001</v>
      </c>
      <c r="AD6969">
        <v>-1.104951948174</v>
      </c>
      <c r="AE6969">
        <v>9.7262999999999806</v>
      </c>
      <c r="AF6969">
        <v>5.9869408595006099</v>
      </c>
      <c r="AG6969">
        <v>-1.104951948174</v>
      </c>
      <c r="AH6969">
        <v>10.5174399173825</v>
      </c>
      <c r="AI6969">
        <v>95.216798403845104</v>
      </c>
      <c r="AJ6969">
        <v>60.349764358077401</v>
      </c>
      <c r="AK6969">
        <v>12.1524039629483</v>
      </c>
      <c r="AL6969">
        <v>81.691164800183003</v>
      </c>
      <c r="AM6969">
        <v>59.59829699929</v>
      </c>
      <c r="AN6969">
        <v>1.00000008682672</v>
      </c>
    </row>
    <row r="6970" spans="1:40" x14ac:dyDescent="0.25">
      <c r="A6970" t="str">
        <f>"20190312164640536"</f>
        <v>20190312164640536</v>
      </c>
      <c r="B6970" t="str">
        <f>"1552380400528103"</f>
        <v>1552380400528103</v>
      </c>
      <c r="C6970" t="s">
        <v>40</v>
      </c>
      <c r="D6970">
        <v>4.9438879999999896</v>
      </c>
      <c r="E6970">
        <v>0.50919780000000003</v>
      </c>
      <c r="F6970" t="s">
        <v>71</v>
      </c>
      <c r="G6970">
        <v>-179.2321</v>
      </c>
      <c r="H6970" s="1">
        <v>-4.8322330000000004E-6</v>
      </c>
      <c r="I6970">
        <v>129.16059999999999</v>
      </c>
      <c r="J6970">
        <v>-186.95939999999999</v>
      </c>
      <c r="K6970">
        <v>1.104862</v>
      </c>
      <c r="L6970">
        <v>119.0363</v>
      </c>
      <c r="M6970">
        <v>0.13347699999999901</v>
      </c>
      <c r="N6970">
        <v>0</v>
      </c>
      <c r="O6970">
        <v>0.99095789999999995</v>
      </c>
      <c r="P6970">
        <v>0.61066039999999999</v>
      </c>
      <c r="Q6970">
        <v>0.13828460000000001</v>
      </c>
      <c r="R6970">
        <v>0.77972509999999995</v>
      </c>
      <c r="S6970">
        <v>1.846298</v>
      </c>
      <c r="T6970">
        <v>-0.2632314</v>
      </c>
      <c r="U6970">
        <v>2.4474330000000002</v>
      </c>
      <c r="V6970">
        <v>0.50259620000000005</v>
      </c>
      <c r="W6970">
        <v>0.14487349999999999</v>
      </c>
      <c r="X6970">
        <v>0.85229619999999995</v>
      </c>
      <c r="Y6970">
        <v>0.4879638</v>
      </c>
      <c r="Z6970">
        <v>-8.7767609999999996E-2</v>
      </c>
      <c r="AA6970">
        <v>0.86844009999999905</v>
      </c>
      <c r="AB6970">
        <v>27</v>
      </c>
      <c r="AC6970">
        <v>7.7272999999999801</v>
      </c>
      <c r="AD6970">
        <v>-1.104866832233</v>
      </c>
      <c r="AE6970">
        <v>10.1242999999999</v>
      </c>
      <c r="AF6970">
        <v>6.2595491546289299</v>
      </c>
      <c r="AG6970">
        <v>-1.104866832233</v>
      </c>
      <c r="AH6970">
        <v>10.9825536461002</v>
      </c>
      <c r="AI6970">
        <v>94.995098522071601</v>
      </c>
      <c r="AJ6970">
        <v>60.318853975326903</v>
      </c>
      <c r="AK6970">
        <v>12.6893329582627</v>
      </c>
      <c r="AL6970">
        <v>81.670046426710002</v>
      </c>
      <c r="AM6970">
        <v>59.472290276874197</v>
      </c>
      <c r="AN6970">
        <v>1.0000000418955599</v>
      </c>
    </row>
    <row r="6971" spans="1:40" x14ac:dyDescent="0.25">
      <c r="A6971" t="str">
        <f>"20190312164640548"</f>
        <v>20190312164640548</v>
      </c>
      <c r="B6971" t="str">
        <f>"1552380400537863"</f>
        <v>1552380400537863</v>
      </c>
      <c r="C6971" t="s">
        <v>40</v>
      </c>
      <c r="D6971">
        <v>5.1723530000000002</v>
      </c>
      <c r="E6971">
        <v>0.50875130000000002</v>
      </c>
      <c r="F6971" t="s">
        <v>71</v>
      </c>
      <c r="G6971">
        <v>-178.92580000000001</v>
      </c>
      <c r="H6971" s="1">
        <v>-4.7219030000000004E-6</v>
      </c>
      <c r="I6971">
        <v>129.58949999999999</v>
      </c>
      <c r="J6971">
        <v>-186.93510000000001</v>
      </c>
      <c r="K6971">
        <v>1.104773</v>
      </c>
      <c r="L6971">
        <v>119.1917</v>
      </c>
      <c r="M6971">
        <v>0.1367816</v>
      </c>
      <c r="N6971">
        <v>0</v>
      </c>
      <c r="O6971">
        <v>0.99050700000000003</v>
      </c>
      <c r="P6971">
        <v>0.61481750000000002</v>
      </c>
      <c r="Q6971">
        <v>0.138761299999999</v>
      </c>
      <c r="R6971">
        <v>0.77636640000000001</v>
      </c>
      <c r="S6971">
        <v>1.856522</v>
      </c>
      <c r="T6971">
        <v>-0.25533090000000003</v>
      </c>
      <c r="U6971">
        <v>2.438812</v>
      </c>
      <c r="V6971">
        <v>0.50435949999999996</v>
      </c>
      <c r="W6971">
        <v>0.1452108</v>
      </c>
      <c r="X6971">
        <v>0.85119639999999996</v>
      </c>
      <c r="Y6971">
        <v>0.48897380000000001</v>
      </c>
      <c r="Z6971">
        <v>-8.5211880000000004E-2</v>
      </c>
      <c r="AA6971">
        <v>0.86812649999999902</v>
      </c>
      <c r="AB6971">
        <v>27</v>
      </c>
      <c r="AC6971">
        <v>8.0092999999999908</v>
      </c>
      <c r="AD6971">
        <v>-1.1047777219029999</v>
      </c>
      <c r="AE6971">
        <v>10.397799999999901</v>
      </c>
      <c r="AF6971">
        <v>6.4658355063177897</v>
      </c>
      <c r="AG6971">
        <v>-1.1047777219029999</v>
      </c>
      <c r="AH6971">
        <v>11.3155086261051</v>
      </c>
      <c r="AI6971">
        <v>94.8454103391784</v>
      </c>
      <c r="AJ6971">
        <v>60.255765407955501</v>
      </c>
      <c r="AK6971">
        <v>13.0793080121631</v>
      </c>
      <c r="AL6971">
        <v>81.650513633547305</v>
      </c>
      <c r="AM6971">
        <v>59.351981497557198</v>
      </c>
      <c r="AN6971">
        <v>0.99999999652492499</v>
      </c>
    </row>
    <row r="6972" spans="1:40" x14ac:dyDescent="0.25">
      <c r="A6972" t="str">
        <f>"20190312164640562"</f>
        <v>20190312164640562</v>
      </c>
      <c r="B6972" t="str">
        <f>"1552380400558362"</f>
        <v>1552380400558362</v>
      </c>
      <c r="C6972" t="s">
        <v>40</v>
      </c>
      <c r="D6972">
        <v>5.1036650000000003</v>
      </c>
      <c r="E6972">
        <v>0.50822120000000004</v>
      </c>
      <c r="F6972" t="s">
        <v>71</v>
      </c>
      <c r="G6972">
        <v>-178.62629999999999</v>
      </c>
      <c r="H6972" s="1">
        <v>-4.6710130000000004E-6</v>
      </c>
      <c r="I6972">
        <v>130.0043</v>
      </c>
      <c r="J6972">
        <v>-186.9092</v>
      </c>
      <c r="K6972">
        <v>1.1046769999999999</v>
      </c>
      <c r="L6972">
        <v>119.3522</v>
      </c>
      <c r="M6972">
        <v>0.14030970000000001</v>
      </c>
      <c r="N6972">
        <v>0</v>
      </c>
      <c r="O6972">
        <v>0.99001329999999998</v>
      </c>
      <c r="P6972">
        <v>0.61893629999999999</v>
      </c>
      <c r="Q6972">
        <v>0.1392043</v>
      </c>
      <c r="R6972">
        <v>0.77300719999999901</v>
      </c>
      <c r="S6972">
        <v>1.8672029999999999</v>
      </c>
      <c r="T6972">
        <v>-0.2482722</v>
      </c>
      <c r="U6972">
        <v>2.4298709999999999</v>
      </c>
      <c r="V6972">
        <v>0.50590440000000003</v>
      </c>
      <c r="W6972">
        <v>0.14551559999999999</v>
      </c>
      <c r="X6972">
        <v>0.85022699999999996</v>
      </c>
      <c r="Y6972">
        <v>0.4899288</v>
      </c>
      <c r="Z6972">
        <v>-8.2929210000000003E-2</v>
      </c>
      <c r="AA6972">
        <v>0.86780900000000005</v>
      </c>
      <c r="AB6972">
        <v>27</v>
      </c>
      <c r="AC6972">
        <v>8.2829000000000104</v>
      </c>
      <c r="AD6972">
        <v>-1.1046816710130001</v>
      </c>
      <c r="AE6972">
        <v>10.652100000000001</v>
      </c>
      <c r="AF6972">
        <v>6.6615666210364202</v>
      </c>
      <c r="AG6972">
        <v>-1.1046816710130001</v>
      </c>
      <c r="AH6972">
        <v>11.631030625143101</v>
      </c>
      <c r="AI6972">
        <v>94.711474685543493</v>
      </c>
      <c r="AJ6972">
        <v>60.198469597935897</v>
      </c>
      <c r="AK6972">
        <v>13.449076728303501</v>
      </c>
      <c r="AL6972">
        <v>81.632862437958494</v>
      </c>
      <c r="AM6972">
        <v>59.246392170122597</v>
      </c>
      <c r="AN6972">
        <v>1.0000000016558599</v>
      </c>
    </row>
    <row r="6973" spans="1:40" x14ac:dyDescent="0.25">
      <c r="A6973" t="str">
        <f>"20190312164640574"</f>
        <v>20190312164640574</v>
      </c>
      <c r="B6973" t="str">
        <f>"1552380400568120"</f>
        <v>1552380400568120</v>
      </c>
      <c r="C6973" t="s">
        <v>40</v>
      </c>
      <c r="D6973">
        <v>4.9890759999999998</v>
      </c>
      <c r="E6973">
        <v>0.50808599999999904</v>
      </c>
      <c r="F6973" t="s">
        <v>71</v>
      </c>
      <c r="G6973">
        <v>-178.29259999999999</v>
      </c>
      <c r="H6973" s="1">
        <v>-4.6176599999999996E-6</v>
      </c>
      <c r="I6973">
        <v>130.46360000000001</v>
      </c>
      <c r="J6973">
        <v>-186.88249999999999</v>
      </c>
      <c r="K6973">
        <v>1.1045830000000001</v>
      </c>
      <c r="L6973">
        <v>119.51390000000001</v>
      </c>
      <c r="M6973">
        <v>0.14392869999999999</v>
      </c>
      <c r="N6973">
        <v>0</v>
      </c>
      <c r="O6973">
        <v>0.98949350000000003</v>
      </c>
      <c r="P6973">
        <v>0.62310120000000002</v>
      </c>
      <c r="Q6973">
        <v>0.13935239999999999</v>
      </c>
      <c r="R6973">
        <v>0.76962699999999995</v>
      </c>
      <c r="S6973">
        <v>1.8774409999999999</v>
      </c>
      <c r="T6973">
        <v>-0.24069650000000001</v>
      </c>
      <c r="U6973">
        <v>2.4210509999999998</v>
      </c>
      <c r="V6973">
        <v>0.50742889999999996</v>
      </c>
      <c r="W6973">
        <v>0.14552409999999999</v>
      </c>
      <c r="X6973">
        <v>0.84931650000000003</v>
      </c>
      <c r="Y6973">
        <v>0.49069010000000002</v>
      </c>
      <c r="Z6973">
        <v>-8.0471959999999995E-2</v>
      </c>
      <c r="AA6973">
        <v>0.867610199999999</v>
      </c>
      <c r="AB6973">
        <v>27</v>
      </c>
      <c r="AC6973">
        <v>8.5899000000000001</v>
      </c>
      <c r="AD6973">
        <v>-1.10458761766</v>
      </c>
      <c r="AE6973">
        <v>10.9497</v>
      </c>
      <c r="AF6973">
        <v>6.8809749471495403</v>
      </c>
      <c r="AG6973">
        <v>-1.10458761766</v>
      </c>
      <c r="AH6973">
        <v>11.9965467802562</v>
      </c>
      <c r="AI6973">
        <v>94.566507424202996</v>
      </c>
      <c r="AJ6973">
        <v>60.162295535780302</v>
      </c>
      <c r="AK6973">
        <v>13.8738986834726</v>
      </c>
      <c r="AL6973">
        <v>81.632369619708598</v>
      </c>
      <c r="AM6973">
        <v>59.143557423617096</v>
      </c>
      <c r="AN6973">
        <v>0.99999993470413295</v>
      </c>
    </row>
    <row r="6974" spans="1:40" x14ac:dyDescent="0.25">
      <c r="A6974" t="str">
        <f>"20190312164640589"</f>
        <v>20190312164640589</v>
      </c>
      <c r="B6974" t="str">
        <f>"1552380400577880"</f>
        <v>1552380400577880</v>
      </c>
      <c r="C6974" t="s">
        <v>40</v>
      </c>
      <c r="D6974">
        <v>4.9714309999999999</v>
      </c>
      <c r="E6974">
        <v>0.50780040000000004</v>
      </c>
      <c r="F6974" t="s">
        <v>71</v>
      </c>
      <c r="G6974">
        <v>-178.1523</v>
      </c>
      <c r="H6974" s="1">
        <v>-4.5938029999999998E-6</v>
      </c>
      <c r="I6974">
        <v>130.65299999999999</v>
      </c>
      <c r="J6974">
        <v>-186.85390000000001</v>
      </c>
      <c r="K6974">
        <v>1.104484</v>
      </c>
      <c r="L6974">
        <v>119.6832</v>
      </c>
      <c r="M6974">
        <v>0.147789</v>
      </c>
      <c r="N6974">
        <v>0</v>
      </c>
      <c r="O6974">
        <v>0.98892409999999997</v>
      </c>
      <c r="P6974">
        <v>0.62854600000000005</v>
      </c>
      <c r="Q6974">
        <v>0.13938210000000001</v>
      </c>
      <c r="R6974">
        <v>0.76518140000000001</v>
      </c>
      <c r="S6974">
        <v>1.8898010000000001</v>
      </c>
      <c r="T6974">
        <v>-0.23910729999999999</v>
      </c>
      <c r="U6974">
        <v>2.4112550000000001</v>
      </c>
      <c r="V6974">
        <v>0.51018140000000001</v>
      </c>
      <c r="W6974">
        <v>0.14538389999999901</v>
      </c>
      <c r="X6974">
        <v>0.8476901</v>
      </c>
      <c r="Y6974">
        <v>0.49178359999999899</v>
      </c>
      <c r="Z6974">
        <v>-7.9989550000000006E-2</v>
      </c>
      <c r="AA6974">
        <v>0.86703549999999996</v>
      </c>
      <c r="AB6974">
        <v>27</v>
      </c>
      <c r="AC6974">
        <v>8.7016000000000098</v>
      </c>
      <c r="AD6974">
        <v>-1.104488593803</v>
      </c>
      <c r="AE6974">
        <v>10.9697999999999</v>
      </c>
      <c r="AF6974">
        <v>6.9414697315307397</v>
      </c>
      <c r="AG6974">
        <v>-1.104488593803</v>
      </c>
      <c r="AH6974">
        <v>12.060395781110101</v>
      </c>
      <c r="AI6974">
        <v>94.538162098119798</v>
      </c>
      <c r="AJ6974">
        <v>60.077032414022199</v>
      </c>
      <c r="AK6974">
        <v>13.9591204409382</v>
      </c>
      <c r="AL6974">
        <v>81.640489575141302</v>
      </c>
      <c r="AM6974">
        <v>58.958411959583202</v>
      </c>
      <c r="AN6974">
        <v>1.0000000224615799</v>
      </c>
    </row>
    <row r="6975" spans="1:40" x14ac:dyDescent="0.25">
      <c r="A6975" t="str">
        <f>"20190312164640599"</f>
        <v>20190312164640599</v>
      </c>
      <c r="B6975" t="str">
        <f>"1552380400588616"</f>
        <v>1552380400588616</v>
      </c>
      <c r="C6975" t="s">
        <v>40</v>
      </c>
      <c r="D6975">
        <v>4.9497260000000001</v>
      </c>
      <c r="E6975">
        <v>0.50769960000000003</v>
      </c>
      <c r="F6975" t="s">
        <v>71</v>
      </c>
      <c r="G6975">
        <v>-177.98310000000001</v>
      </c>
      <c r="H6975" s="1">
        <v>-4.554439E-6</v>
      </c>
      <c r="I6975">
        <v>130.85339999999999</v>
      </c>
      <c r="J6975">
        <v>-186.83189999999999</v>
      </c>
      <c r="K6975">
        <v>1.1044080000000001</v>
      </c>
      <c r="L6975">
        <v>119.8095</v>
      </c>
      <c r="M6975">
        <v>0.15076300000000001</v>
      </c>
      <c r="N6975">
        <v>0</v>
      </c>
      <c r="O6975">
        <v>0.98847499999999999</v>
      </c>
      <c r="P6975">
        <v>0.63222239999999996</v>
      </c>
      <c r="Q6975">
        <v>0.13939190000000001</v>
      </c>
      <c r="R6975">
        <v>0.76214490000000001</v>
      </c>
      <c r="S6975">
        <v>1.905106</v>
      </c>
      <c r="T6975">
        <v>-0.23719970000000001</v>
      </c>
      <c r="U6975">
        <v>2.3989259999999999</v>
      </c>
      <c r="V6975">
        <v>0.51174189999999997</v>
      </c>
      <c r="W6975">
        <v>0.14527779999999901</v>
      </c>
      <c r="X6975">
        <v>0.84676719999999905</v>
      </c>
      <c r="Y6975">
        <v>0.49475570000000002</v>
      </c>
      <c r="Z6975">
        <v>-7.9407510000000001E-2</v>
      </c>
      <c r="AA6975">
        <v>0.86539659999999996</v>
      </c>
      <c r="AB6975">
        <v>27</v>
      </c>
      <c r="AC6975">
        <v>8.8487999999999793</v>
      </c>
      <c r="AD6975">
        <v>-1.104412554439</v>
      </c>
      <c r="AE6975">
        <v>11.043899999999899</v>
      </c>
      <c r="AF6975">
        <v>7.0395965083982102</v>
      </c>
      <c r="AG6975">
        <v>-1.104412554439</v>
      </c>
      <c r="AH6975">
        <v>12.177673090506801</v>
      </c>
      <c r="AI6975">
        <v>94.489459516841194</v>
      </c>
      <c r="AJ6975">
        <v>59.968908597264502</v>
      </c>
      <c r="AK6975">
        <v>14.1092653242721</v>
      </c>
      <c r="AL6975">
        <v>81.646634132428105</v>
      </c>
      <c r="AM6975">
        <v>58.853424934303497</v>
      </c>
      <c r="AN6975">
        <v>1.0000000511921401</v>
      </c>
    </row>
    <row r="6976" spans="1:40" x14ac:dyDescent="0.25">
      <c r="A6976" t="str">
        <f>"20190312164640611"</f>
        <v>20190312164640611</v>
      </c>
      <c r="B6976" t="str">
        <f>"1552380400598375"</f>
        <v>1552380400598375</v>
      </c>
      <c r="C6976" t="s">
        <v>40</v>
      </c>
      <c r="D6976">
        <v>4.952464</v>
      </c>
      <c r="E6976">
        <v>0.50762719999999995</v>
      </c>
      <c r="F6976" t="s">
        <v>71</v>
      </c>
      <c r="G6976">
        <v>-177.76560000000001</v>
      </c>
      <c r="H6976" s="1">
        <v>-4.5046159999999996E-6</v>
      </c>
      <c r="I6976">
        <v>131.1131</v>
      </c>
      <c r="J6976">
        <v>-186.80770000000001</v>
      </c>
      <c r="K6976">
        <v>1.1043289999999999</v>
      </c>
      <c r="L6976">
        <v>119.9465</v>
      </c>
      <c r="M6976">
        <v>0.15400339999999901</v>
      </c>
      <c r="N6976">
        <v>0</v>
      </c>
      <c r="O6976">
        <v>0.98797520000000005</v>
      </c>
      <c r="P6976">
        <v>0.63576359999999998</v>
      </c>
      <c r="Q6976">
        <v>0.13920060000000001</v>
      </c>
      <c r="R6976">
        <v>0.75922860000000003</v>
      </c>
      <c r="S6976">
        <v>1.9163509999999999</v>
      </c>
      <c r="T6976">
        <v>-0.23344039999999999</v>
      </c>
      <c r="U6976">
        <v>2.3892519999999999</v>
      </c>
      <c r="V6976">
        <v>0.51293029999999995</v>
      </c>
      <c r="W6976">
        <v>0.14497109999999999</v>
      </c>
      <c r="X6976">
        <v>0.84610039999999997</v>
      </c>
      <c r="Y6976">
        <v>0.4961565</v>
      </c>
      <c r="Z6976">
        <v>-7.8207520000000003E-2</v>
      </c>
      <c r="AA6976">
        <v>0.86470360000000002</v>
      </c>
      <c r="AB6976">
        <v>27</v>
      </c>
      <c r="AC6976">
        <v>9.0420999999999996</v>
      </c>
      <c r="AD6976">
        <v>-1.1043335046160001</v>
      </c>
      <c r="AE6976">
        <v>11.166600000000001</v>
      </c>
      <c r="AF6976">
        <v>7.1719879829404798</v>
      </c>
      <c r="AG6976">
        <v>-1.1043335046160001</v>
      </c>
      <c r="AH6976">
        <v>12.353034232133499</v>
      </c>
      <c r="AI6976">
        <v>94.4208688880491</v>
      </c>
      <c r="AJ6976">
        <v>59.861186817856598</v>
      </c>
      <c r="AK6976">
        <v>14.326703000241301</v>
      </c>
      <c r="AL6976">
        <v>81.6643943394009</v>
      </c>
      <c r="AM6976">
        <v>58.774556202770903</v>
      </c>
      <c r="AN6976">
        <v>0.99999999968673003</v>
      </c>
    </row>
    <row r="6977" spans="1:40" x14ac:dyDescent="0.25">
      <c r="A6977" t="str">
        <f>"20190312164640622"</f>
        <v>20190312164640622</v>
      </c>
      <c r="B6977" t="str">
        <f>"1552380400617895"</f>
        <v>1552380400617895</v>
      </c>
      <c r="C6977" t="s">
        <v>40</v>
      </c>
      <c r="D6977">
        <v>4.9513239999999996</v>
      </c>
      <c r="E6977">
        <v>0.50742029999999905</v>
      </c>
      <c r="F6977" t="s">
        <v>71</v>
      </c>
      <c r="G6977">
        <v>-177.79220000000001</v>
      </c>
      <c r="H6977" s="1">
        <v>-4.5129499999999997E-6</v>
      </c>
      <c r="I6977">
        <v>131.0873</v>
      </c>
      <c r="J6977">
        <v>-186.78210000000001</v>
      </c>
      <c r="K6977">
        <v>1.104247</v>
      </c>
      <c r="L6977">
        <v>120.0877</v>
      </c>
      <c r="M6977">
        <v>0.15742509999999901</v>
      </c>
      <c r="N6977">
        <v>0</v>
      </c>
      <c r="O6977">
        <v>0.98743559999999997</v>
      </c>
      <c r="P6977">
        <v>0.6394166</v>
      </c>
      <c r="Q6977">
        <v>0.1392524</v>
      </c>
      <c r="R6977">
        <v>0.75614490000000001</v>
      </c>
      <c r="S6977">
        <v>1.9268799999999999</v>
      </c>
      <c r="T6977">
        <v>-0.23602770000000001</v>
      </c>
      <c r="U6977">
        <v>2.3811040000000001</v>
      </c>
      <c r="V6977">
        <v>0.51411110000000004</v>
      </c>
      <c r="W6977">
        <v>0.14490839999999999</v>
      </c>
      <c r="X6977">
        <v>0.84539419999999899</v>
      </c>
      <c r="Y6977">
        <v>0.49686570000000002</v>
      </c>
      <c r="Z6977">
        <v>-7.9096719999999995E-2</v>
      </c>
      <c r="AA6977">
        <v>0.86421539999999997</v>
      </c>
      <c r="AB6977">
        <v>27</v>
      </c>
      <c r="AC6977">
        <v>8.9899000000000004</v>
      </c>
      <c r="AD6977">
        <v>-1.1042515129499999</v>
      </c>
      <c r="AE6977">
        <v>10.999599999999999</v>
      </c>
      <c r="AF6977">
        <v>7.1030886917289902</v>
      </c>
      <c r="AG6977">
        <v>-1.1042515129499999</v>
      </c>
      <c r="AH6977">
        <v>12.2040491923527</v>
      </c>
      <c r="AI6977">
        <v>94.471498222564094</v>
      </c>
      <c r="AJ6977">
        <v>59.799430319037697</v>
      </c>
      <c r="AK6977">
        <v>14.1637585779971</v>
      </c>
      <c r="AL6977">
        <v>81.668025214543803</v>
      </c>
      <c r="AM6977">
        <v>58.694885360399503</v>
      </c>
      <c r="AN6977">
        <v>1.0000000104636999</v>
      </c>
    </row>
    <row r="6978" spans="1:40" x14ac:dyDescent="0.25">
      <c r="A6978" t="str">
        <f>"20190312164640634"</f>
        <v>20190312164640634</v>
      </c>
      <c r="B6978" t="str">
        <f>"1552380400628635"</f>
        <v>1552380400628635</v>
      </c>
      <c r="C6978" t="s">
        <v>40</v>
      </c>
      <c r="D6978">
        <v>4.9558650000000002</v>
      </c>
      <c r="E6978">
        <v>0.50723799999999997</v>
      </c>
      <c r="F6978" t="s">
        <v>71</v>
      </c>
      <c r="G6978">
        <v>-177.82769999999999</v>
      </c>
      <c r="H6978" s="1">
        <v>-4.5258729999999996E-6</v>
      </c>
      <c r="I6978">
        <v>131.0575</v>
      </c>
      <c r="J6978">
        <v>-186.756</v>
      </c>
      <c r="K6978">
        <v>1.104166</v>
      </c>
      <c r="L6978">
        <v>120.2285</v>
      </c>
      <c r="M6978">
        <v>0.1608832</v>
      </c>
      <c r="N6978">
        <v>0</v>
      </c>
      <c r="O6978">
        <v>0.98687800000000003</v>
      </c>
      <c r="P6978">
        <v>0.64303030000000005</v>
      </c>
      <c r="Q6978">
        <v>0.139042</v>
      </c>
      <c r="R6978">
        <v>0.75311300000000003</v>
      </c>
      <c r="S6978">
        <v>1.937241</v>
      </c>
      <c r="T6978">
        <v>-0.238899</v>
      </c>
      <c r="U6978">
        <v>2.3732600000000001</v>
      </c>
      <c r="V6978">
        <v>0.51521939999999999</v>
      </c>
      <c r="W6978">
        <v>0.14458570000000001</v>
      </c>
      <c r="X6978">
        <v>0.84477449999999998</v>
      </c>
      <c r="Y6978">
        <v>0.49744359999999999</v>
      </c>
      <c r="Z6978">
        <v>-8.0074690000000004E-2</v>
      </c>
      <c r="AA6978">
        <v>0.86379280000000003</v>
      </c>
      <c r="AB6978">
        <v>27</v>
      </c>
      <c r="AC6978">
        <v>8.9282999999999699</v>
      </c>
      <c r="AD6978">
        <v>-1.1041705258729999</v>
      </c>
      <c r="AE6978">
        <v>10.829000000000001</v>
      </c>
      <c r="AF6978">
        <v>7.0261174748232396</v>
      </c>
      <c r="AG6978">
        <v>-1.1041705258729999</v>
      </c>
      <c r="AH6978">
        <v>12.049876460955</v>
      </c>
      <c r="AI6978">
        <v>94.526065145825001</v>
      </c>
      <c r="AJ6978">
        <v>59.754125886554903</v>
      </c>
      <c r="AK6978">
        <v>13.992320824098501</v>
      </c>
      <c r="AL6978">
        <v>81.686711308858605</v>
      </c>
      <c r="AM6978">
        <v>58.6214084410406</v>
      </c>
      <c r="AN6978">
        <v>1.00000000531555</v>
      </c>
    </row>
    <row r="6979" spans="1:40" x14ac:dyDescent="0.25">
      <c r="A6979" t="str">
        <f>"20190312164640646"</f>
        <v>20190312164640646</v>
      </c>
      <c r="B6979" t="str">
        <f>"1552380400638391"</f>
        <v>1552380400638391</v>
      </c>
      <c r="C6979" t="s">
        <v>40</v>
      </c>
      <c r="D6979">
        <v>4.9843149999999996</v>
      </c>
      <c r="E6979">
        <v>0.50685409999999997</v>
      </c>
      <c r="F6979" t="s">
        <v>71</v>
      </c>
      <c r="G6979">
        <v>-177.8554</v>
      </c>
      <c r="H6979" s="1">
        <v>-4.5372049999999999E-6</v>
      </c>
      <c r="I6979">
        <v>131.03749999999999</v>
      </c>
      <c r="J6979">
        <v>-186.7286</v>
      </c>
      <c r="K6979">
        <v>1.104087</v>
      </c>
      <c r="L6979">
        <v>120.3741</v>
      </c>
      <c r="M6979">
        <v>0.1645115</v>
      </c>
      <c r="N6979">
        <v>0</v>
      </c>
      <c r="O6979">
        <v>0.98627949999999998</v>
      </c>
      <c r="P6979">
        <v>0.64658119999999997</v>
      </c>
      <c r="Q6979">
        <v>0.13890350000000001</v>
      </c>
      <c r="R6979">
        <v>0.75009239999999999</v>
      </c>
      <c r="S6979">
        <v>1.947586</v>
      </c>
      <c r="T6979">
        <v>-0.24160799999999999</v>
      </c>
      <c r="U6979">
        <v>2.3651580000000001</v>
      </c>
      <c r="V6979">
        <v>0.51612780000000003</v>
      </c>
      <c r="W6979">
        <v>0.14433699999999999</v>
      </c>
      <c r="X6979">
        <v>0.84426229999999902</v>
      </c>
      <c r="Y6979">
        <v>0.49791350000000001</v>
      </c>
      <c r="Z6979">
        <v>-8.1002699999999997E-2</v>
      </c>
      <c r="AA6979">
        <v>0.86343539999999996</v>
      </c>
      <c r="AB6979">
        <v>27</v>
      </c>
      <c r="AC6979">
        <v>8.87319999999999</v>
      </c>
      <c r="AD6979">
        <v>-1.104091537205</v>
      </c>
      <c r="AE6979">
        <v>10.6633999999999</v>
      </c>
      <c r="AF6979">
        <v>6.9538148754770601</v>
      </c>
      <c r="AG6979">
        <v>-1.104091537205</v>
      </c>
      <c r="AH6979">
        <v>11.902569959614601</v>
      </c>
      <c r="AI6979">
        <v>94.579249355155696</v>
      </c>
      <c r="AJ6979">
        <v>59.705330623683203</v>
      </c>
      <c r="AK6979">
        <v>13.8291623422553</v>
      </c>
      <c r="AL6979">
        <v>81.701111389916605</v>
      </c>
      <c r="AM6979">
        <v>58.561060541024403</v>
      </c>
      <c r="AN6979">
        <v>0.999999953351563</v>
      </c>
    </row>
    <row r="6980" spans="1:40" x14ac:dyDescent="0.25">
      <c r="A6980" t="str">
        <f>"20190312164640656"</f>
        <v>20190312164640656</v>
      </c>
      <c r="B6980" t="str">
        <f>"1552380400648152"</f>
        <v>1552380400648152</v>
      </c>
      <c r="C6980" t="s">
        <v>40</v>
      </c>
      <c r="D6980">
        <v>5.0863589999999999</v>
      </c>
      <c r="E6980">
        <v>0.5069515</v>
      </c>
      <c r="F6980" t="s">
        <v>71</v>
      </c>
      <c r="G6980">
        <v>-177.8895</v>
      </c>
      <c r="H6980" s="1">
        <v>-4.5576560000000001E-6</v>
      </c>
      <c r="I6980">
        <v>131.0301</v>
      </c>
      <c r="J6980">
        <v>-186.7047</v>
      </c>
      <c r="K6980">
        <v>1.104017</v>
      </c>
      <c r="L6980">
        <v>120.4975</v>
      </c>
      <c r="M6980">
        <v>0.16766130000000001</v>
      </c>
      <c r="N6980">
        <v>0</v>
      </c>
      <c r="O6980">
        <v>0.98574879999999998</v>
      </c>
      <c r="P6980">
        <v>0.64979319999999996</v>
      </c>
      <c r="Q6980">
        <v>0.13877900000000001</v>
      </c>
      <c r="R6980">
        <v>0.74733470000000002</v>
      </c>
      <c r="S6980">
        <v>1.956299</v>
      </c>
      <c r="T6980">
        <v>-0.24436089999999999</v>
      </c>
      <c r="U6980">
        <v>2.3584290000000001</v>
      </c>
      <c r="V6980">
        <v>0.51707360000000002</v>
      </c>
      <c r="W6980">
        <v>0.14411479999999999</v>
      </c>
      <c r="X6980">
        <v>0.84372139999999995</v>
      </c>
      <c r="Y6980">
        <v>0.49819829999999998</v>
      </c>
      <c r="Z6980">
        <v>-8.1937689999999994E-2</v>
      </c>
      <c r="AA6980">
        <v>0.86318289999999998</v>
      </c>
      <c r="AB6980">
        <v>27</v>
      </c>
      <c r="AC6980">
        <v>8.8152000000000008</v>
      </c>
      <c r="AD6980">
        <v>-1.104021557656</v>
      </c>
      <c r="AE6980">
        <v>10.5326</v>
      </c>
      <c r="AF6980">
        <v>6.8798655483428997</v>
      </c>
      <c r="AG6980">
        <v>-1.104021557656</v>
      </c>
      <c r="AH6980">
        <v>11.7854385031494</v>
      </c>
      <c r="AI6980">
        <v>94.625211499575798</v>
      </c>
      <c r="AJ6980">
        <v>59.725333941130501</v>
      </c>
      <c r="AK6980">
        <v>13.6911640949395</v>
      </c>
      <c r="AL6980">
        <v>81.713977349079897</v>
      </c>
      <c r="AM6980">
        <v>58.4980025144338</v>
      </c>
      <c r="AN6980">
        <v>0.99999999210697998</v>
      </c>
    </row>
    <row r="6981" spans="1:40" x14ac:dyDescent="0.25">
      <c r="A6981" t="str">
        <f>"20190312164640666"</f>
        <v>20190312164640666</v>
      </c>
      <c r="B6981" t="str">
        <f>"1552380400657912"</f>
        <v>1552380400657912</v>
      </c>
      <c r="C6981" t="s">
        <v>40</v>
      </c>
      <c r="D6981">
        <v>4.9912280000000004</v>
      </c>
      <c r="E6981">
        <v>0.50688859999999902</v>
      </c>
      <c r="F6981" t="s">
        <v>71</v>
      </c>
      <c r="G6981">
        <v>-177.8777</v>
      </c>
      <c r="H6981" s="1">
        <v>-4.5538850000000004E-6</v>
      </c>
      <c r="I6981">
        <v>131.04140000000001</v>
      </c>
      <c r="J6981">
        <v>-186.67930000000001</v>
      </c>
      <c r="K6981">
        <v>1.1039369999999999</v>
      </c>
      <c r="L6981">
        <v>120.6272</v>
      </c>
      <c r="M6981">
        <v>0.17098840000000001</v>
      </c>
      <c r="N6981">
        <v>0</v>
      </c>
      <c r="O6981">
        <v>0.98517699999999997</v>
      </c>
      <c r="P6981">
        <v>0.65317309999999995</v>
      </c>
      <c r="Q6981">
        <v>0.13864670000000001</v>
      </c>
      <c r="R6981">
        <v>0.74440709999999999</v>
      </c>
      <c r="S6981">
        <v>1.967041</v>
      </c>
      <c r="T6981">
        <v>-0.2460253</v>
      </c>
      <c r="U6981">
        <v>2.34964</v>
      </c>
      <c r="V6981">
        <v>0.51806989999999997</v>
      </c>
      <c r="W6981">
        <v>0.14387839999999999</v>
      </c>
      <c r="X6981">
        <v>0.84315039999999997</v>
      </c>
      <c r="Y6981">
        <v>0.49915310000000002</v>
      </c>
      <c r="Z6981">
        <v>-8.2522760000000001E-2</v>
      </c>
      <c r="AA6981">
        <v>0.86257539999999999</v>
      </c>
      <c r="AB6981">
        <v>27</v>
      </c>
      <c r="AC6981">
        <v>8.8016000000000005</v>
      </c>
      <c r="AD6981">
        <v>-1.1039415538849999</v>
      </c>
      <c r="AE6981">
        <v>10.414199999999999</v>
      </c>
      <c r="AF6981">
        <v>6.8462032952912901</v>
      </c>
      <c r="AG6981">
        <v>-1.1039415538849999</v>
      </c>
      <c r="AH6981">
        <v>11.6892945733349</v>
      </c>
      <c r="AI6981">
        <v>94.658864657573403</v>
      </c>
      <c r="AJ6981">
        <v>59.643284256849697</v>
      </c>
      <c r="AK6981">
        <v>13.591497126404001</v>
      </c>
      <c r="AL6981">
        <v>81.727664835721995</v>
      </c>
      <c r="AM6981">
        <v>58.431545170162202</v>
      </c>
      <c r="AN6981">
        <v>1.0000000061463601</v>
      </c>
    </row>
    <row r="6982" spans="1:40" x14ac:dyDescent="0.25">
      <c r="A6982" t="str">
        <f>"20190312164640678"</f>
        <v>20190312164640678</v>
      </c>
      <c r="B6982" t="str">
        <f>"1552380400668648"</f>
        <v>1552380400668648</v>
      </c>
      <c r="C6982" t="s">
        <v>40</v>
      </c>
      <c r="D6982">
        <v>5.066573</v>
      </c>
      <c r="E6982">
        <v>0.50716640000000002</v>
      </c>
      <c r="F6982" t="s">
        <v>71</v>
      </c>
      <c r="G6982">
        <v>-177.85040000000001</v>
      </c>
      <c r="H6982" s="1">
        <v>-4.5501660000000004E-6</v>
      </c>
      <c r="I6982">
        <v>131.08070000000001</v>
      </c>
      <c r="J6982">
        <v>-186.65209999999999</v>
      </c>
      <c r="K6982">
        <v>1.1038589999999999</v>
      </c>
      <c r="L6982">
        <v>120.76179999999999</v>
      </c>
      <c r="M6982">
        <v>0.17453540000000001</v>
      </c>
      <c r="N6982">
        <v>0</v>
      </c>
      <c r="O6982">
        <v>0.98455459999999995</v>
      </c>
      <c r="P6982">
        <v>0.65672739999999996</v>
      </c>
      <c r="Q6982">
        <v>0.1385815</v>
      </c>
      <c r="R6982">
        <v>0.74128570000000005</v>
      </c>
      <c r="S6982">
        <v>1.977295</v>
      </c>
      <c r="T6982">
        <v>-0.24723490000000001</v>
      </c>
      <c r="U6982">
        <v>2.3411409999999999</v>
      </c>
      <c r="V6982">
        <v>0.51909359999999904</v>
      </c>
      <c r="W6982">
        <v>0.14370279999999999</v>
      </c>
      <c r="X6982">
        <v>0.84255049999999898</v>
      </c>
      <c r="Y6982">
        <v>0.49976199999999998</v>
      </c>
      <c r="Z6982">
        <v>-8.2955399999999999E-2</v>
      </c>
      <c r="AA6982">
        <v>0.86218119999999998</v>
      </c>
      <c r="AB6982">
        <v>27</v>
      </c>
      <c r="AC6982">
        <v>8.8016999999999808</v>
      </c>
      <c r="AD6982">
        <v>-1.1038635501659999</v>
      </c>
      <c r="AE6982">
        <v>10.318899999999999</v>
      </c>
      <c r="AF6982">
        <v>6.8202135717053904</v>
      </c>
      <c r="AG6982">
        <v>-1.1038635501659999</v>
      </c>
      <c r="AH6982">
        <v>11.6198657615304</v>
      </c>
      <c r="AI6982">
        <v>94.683678270796904</v>
      </c>
      <c r="AJ6982">
        <v>59.589441038174101</v>
      </c>
      <c r="AK6982">
        <v>13.518694767507901</v>
      </c>
      <c r="AL6982">
        <v>81.737831597532406</v>
      </c>
      <c r="AM6982">
        <v>58.3628642814516</v>
      </c>
      <c r="AN6982">
        <v>1.0000000026695199</v>
      </c>
    </row>
    <row r="6983" spans="1:40" x14ac:dyDescent="0.25">
      <c r="A6983" t="str">
        <f>"20190312164640689"</f>
        <v>20190312164640689</v>
      </c>
      <c r="B6983" t="str">
        <f>"1552380400678408"</f>
        <v>1552380400678408</v>
      </c>
      <c r="C6983" t="s">
        <v>40</v>
      </c>
      <c r="D6983">
        <v>4.9117660000000001</v>
      </c>
      <c r="E6983">
        <v>0.50754569999999999</v>
      </c>
      <c r="F6983" t="s">
        <v>71</v>
      </c>
      <c r="G6983">
        <v>-177.6799</v>
      </c>
      <c r="H6983" s="1">
        <v>-4.5029380000000003E-6</v>
      </c>
      <c r="I6983">
        <v>131.2628</v>
      </c>
      <c r="J6983">
        <v>-186.62700000000001</v>
      </c>
      <c r="K6983">
        <v>1.103782</v>
      </c>
      <c r="L6983">
        <v>120.8852</v>
      </c>
      <c r="M6983">
        <v>0.17780029999999999</v>
      </c>
      <c r="N6983">
        <v>0</v>
      </c>
      <c r="O6983">
        <v>0.98397009999999996</v>
      </c>
      <c r="P6983">
        <v>0.65968729999999998</v>
      </c>
      <c r="Q6983">
        <v>0.13831779999999999</v>
      </c>
      <c r="R6983">
        <v>0.73870210000000003</v>
      </c>
      <c r="S6983">
        <v>1.9903409999999999</v>
      </c>
      <c r="T6983">
        <v>-0.24487339999999999</v>
      </c>
      <c r="U6983">
        <v>2.3294679999999999</v>
      </c>
      <c r="V6983">
        <v>0.51968369999999997</v>
      </c>
      <c r="W6983">
        <v>0.14334459999999999</v>
      </c>
      <c r="X6983">
        <v>0.84224769999999904</v>
      </c>
      <c r="Y6983">
        <v>0.50185500000000005</v>
      </c>
      <c r="Z6983">
        <v>-8.2221680000000005E-2</v>
      </c>
      <c r="AA6983">
        <v>0.86103499999999999</v>
      </c>
      <c r="AB6983">
        <v>27</v>
      </c>
      <c r="AC6983">
        <v>8.9471000000000007</v>
      </c>
      <c r="AD6983">
        <v>-1.1037865029380001</v>
      </c>
      <c r="AE6983">
        <v>10.377599999999999</v>
      </c>
      <c r="AF6983">
        <v>6.9143297578304397</v>
      </c>
      <c r="AG6983">
        <v>-1.1037865029380001</v>
      </c>
      <c r="AH6983">
        <v>11.7270648548928</v>
      </c>
      <c r="AI6983">
        <v>94.635360719831993</v>
      </c>
      <c r="AJ6983">
        <v>59.476208898770302</v>
      </c>
      <c r="AK6983">
        <v>13.6583436314565</v>
      </c>
      <c r="AL6983">
        <v>81.758569670974296</v>
      </c>
      <c r="AM6983">
        <v>58.324583047371</v>
      </c>
      <c r="AN6983">
        <v>1.0000000052750699</v>
      </c>
    </row>
    <row r="6984" spans="1:40" x14ac:dyDescent="0.25">
      <c r="A6984" t="str">
        <f>"20190312164640699"</f>
        <v>20190312164640699</v>
      </c>
      <c r="B6984" t="str">
        <f>"1552380400688168"</f>
        <v>1552380400688168</v>
      </c>
      <c r="C6984" t="s">
        <v>40</v>
      </c>
      <c r="D6984">
        <v>4.9782489999999999</v>
      </c>
      <c r="E6984">
        <v>0.50754569999999999</v>
      </c>
      <c r="F6984" t="s">
        <v>71</v>
      </c>
      <c r="G6984">
        <v>-177.6627</v>
      </c>
      <c r="H6984" s="1">
        <v>-4.4951740000000003E-6</v>
      </c>
      <c r="I6984">
        <v>131.2732</v>
      </c>
      <c r="J6984">
        <v>-186.59909999999999</v>
      </c>
      <c r="K6984">
        <v>1.1036999999999999</v>
      </c>
      <c r="L6984">
        <v>121.018</v>
      </c>
      <c r="M6984">
        <v>0.18141570000000001</v>
      </c>
      <c r="N6984">
        <v>0</v>
      </c>
      <c r="O6984">
        <v>0.98330980000000001</v>
      </c>
      <c r="P6984">
        <v>0.66293990000000003</v>
      </c>
      <c r="Q6984">
        <v>0.1380239</v>
      </c>
      <c r="R6984">
        <v>0.73583969999999999</v>
      </c>
      <c r="S6984">
        <v>2.0018009999999999</v>
      </c>
      <c r="T6984">
        <v>-0.2464837</v>
      </c>
      <c r="U6984">
        <v>2.3197019999999999</v>
      </c>
      <c r="V6984">
        <v>0.52031959999999999</v>
      </c>
      <c r="W6984">
        <v>0.14294589999999999</v>
      </c>
      <c r="X6984">
        <v>0.84192279999999997</v>
      </c>
      <c r="Y6984">
        <v>0.50287970000000004</v>
      </c>
      <c r="Z6984">
        <v>-8.2792290000000004E-2</v>
      </c>
      <c r="AA6984">
        <v>0.86038210000000004</v>
      </c>
      <c r="AB6984">
        <v>27</v>
      </c>
      <c r="AC6984">
        <v>8.9363999999999901</v>
      </c>
      <c r="AD6984">
        <v>-1.1037044951739901</v>
      </c>
      <c r="AE6984">
        <v>10.2552</v>
      </c>
      <c r="AF6984">
        <v>6.8821444875427096</v>
      </c>
      <c r="AG6984">
        <v>-1.1037044951739901</v>
      </c>
      <c r="AH6984">
        <v>11.6297885822708</v>
      </c>
      <c r="AI6984">
        <v>94.669208446096306</v>
      </c>
      <c r="AJ6984">
        <v>59.384282978083398</v>
      </c>
      <c r="AK6984">
        <v>13.558541913804699</v>
      </c>
      <c r="AL6984">
        <v>81.7816512283094</v>
      </c>
      <c r="AM6984">
        <v>58.283377827348303</v>
      </c>
      <c r="AN6984">
        <v>1.0000000088154</v>
      </c>
    </row>
    <row r="6985" spans="1:40" x14ac:dyDescent="0.25">
      <c r="A6985" t="str">
        <f>"20190312164640711"</f>
        <v>20190312164640711</v>
      </c>
      <c r="B6985" t="str">
        <f>"1552380400707688"</f>
        <v>1552380400707688</v>
      </c>
      <c r="C6985" t="s">
        <v>40</v>
      </c>
      <c r="D6985">
        <v>5.1316800000000002</v>
      </c>
      <c r="E6985">
        <v>0.55435519999999905</v>
      </c>
      <c r="F6985" t="s">
        <v>71</v>
      </c>
      <c r="G6985">
        <v>-177.62389999999999</v>
      </c>
      <c r="H6985" s="1">
        <v>-4.4883230000000003E-6</v>
      </c>
      <c r="I6985">
        <v>131.32480000000001</v>
      </c>
      <c r="J6985">
        <v>-186.57040000000001</v>
      </c>
      <c r="K6985">
        <v>1.10362</v>
      </c>
      <c r="L6985">
        <v>121.1529</v>
      </c>
      <c r="M6985">
        <v>0.1851082</v>
      </c>
      <c r="N6985">
        <v>0</v>
      </c>
      <c r="O6985">
        <v>0.98262130000000003</v>
      </c>
      <c r="P6985">
        <v>0.66625259999999997</v>
      </c>
      <c r="Q6985">
        <v>0.1376116</v>
      </c>
      <c r="R6985">
        <v>0.73291919999999899</v>
      </c>
      <c r="S6985">
        <v>2.0121000000000002</v>
      </c>
      <c r="T6985">
        <v>-0.2474346</v>
      </c>
      <c r="U6985">
        <v>2.310638</v>
      </c>
      <c r="V6985">
        <v>0.52096489999999995</v>
      </c>
      <c r="W6985">
        <v>0.14242769999999999</v>
      </c>
      <c r="X6985">
        <v>0.84161149999999996</v>
      </c>
      <c r="Y6985">
        <v>0.50347019999999998</v>
      </c>
      <c r="Z6985">
        <v>-8.3143120000000001E-2</v>
      </c>
      <c r="AA6985">
        <v>0.86000290000000001</v>
      </c>
      <c r="AB6985">
        <v>27</v>
      </c>
      <c r="AC6985">
        <v>8.9465000000000092</v>
      </c>
      <c r="AD6985">
        <v>-1.103624488323</v>
      </c>
      <c r="AE6985">
        <v>10.171900000000001</v>
      </c>
      <c r="AF6985">
        <v>6.8632238595680501</v>
      </c>
      <c r="AG6985">
        <v>-1.103624488323</v>
      </c>
      <c r="AH6985">
        <v>11.5754756072423</v>
      </c>
      <c r="AI6985">
        <v>94.688342656309203</v>
      </c>
      <c r="AJ6985">
        <v>59.335842793670501</v>
      </c>
      <c r="AK6985">
        <v>13.5023503247262</v>
      </c>
      <c r="AL6985">
        <v>81.811648741510794</v>
      </c>
      <c r="AM6985">
        <v>58.242129121696898</v>
      </c>
      <c r="AN6985">
        <v>0.99999999684577401</v>
      </c>
    </row>
    <row r="6986" spans="1:40" x14ac:dyDescent="0.25">
      <c r="A6986" t="str">
        <f>"20190312164640723"</f>
        <v>20190312164640723</v>
      </c>
      <c r="B6986" t="str">
        <f>"1552380400718427"</f>
        <v>1552380400718427</v>
      </c>
      <c r="C6986" t="s">
        <v>40</v>
      </c>
      <c r="D6986">
        <v>4.9790449999999904</v>
      </c>
      <c r="E6986">
        <v>0.55654389999999998</v>
      </c>
      <c r="F6986" t="s">
        <v>71</v>
      </c>
      <c r="G6986">
        <v>-175.0966</v>
      </c>
      <c r="H6986" s="1">
        <v>-2.7609519999999999E-6</v>
      </c>
      <c r="I6986">
        <v>131.3159</v>
      </c>
      <c r="J6986">
        <v>-186.53960000000001</v>
      </c>
      <c r="K6986">
        <v>1.1035349999999999</v>
      </c>
      <c r="L6986">
        <v>121.2941</v>
      </c>
      <c r="M6986">
        <v>0.18905379999999999</v>
      </c>
      <c r="N6986">
        <v>0</v>
      </c>
      <c r="O6986">
        <v>0.98186960000000001</v>
      </c>
      <c r="P6986">
        <v>0.66955779999999998</v>
      </c>
      <c r="Q6986">
        <v>0.13751849999999999</v>
      </c>
      <c r="R6986">
        <v>0.72991859999999997</v>
      </c>
      <c r="S6986">
        <v>2.3037869999999998</v>
      </c>
      <c r="T6986">
        <v>-0.22159280000000001</v>
      </c>
      <c r="U6986">
        <v>2.0405880000000001</v>
      </c>
      <c r="V6986">
        <v>0.52141269999999995</v>
      </c>
      <c r="W6986">
        <v>0.14222989999999999</v>
      </c>
      <c r="X6986">
        <v>0.84136759999999999</v>
      </c>
      <c r="Y6986">
        <v>0.60759810000000003</v>
      </c>
      <c r="Z6986">
        <v>-7.5132909999999997E-2</v>
      </c>
      <c r="AA6986">
        <v>0.79068300000000002</v>
      </c>
      <c r="AB6986">
        <v>27</v>
      </c>
      <c r="AC6986">
        <v>11.443</v>
      </c>
      <c r="AD6986">
        <v>-1.1035377609519901</v>
      </c>
      <c r="AE6986">
        <v>10.021800000000001</v>
      </c>
      <c r="AF6986">
        <v>9.2928551905910606</v>
      </c>
      <c r="AG6986">
        <v>-1.1035377609519901</v>
      </c>
      <c r="AH6986">
        <v>11.941736471911</v>
      </c>
      <c r="AI6986">
        <v>94.171187470275498</v>
      </c>
      <c r="AJ6986">
        <v>52.110556240520602</v>
      </c>
      <c r="AK6986">
        <v>15.171684914593699</v>
      </c>
      <c r="AL6986">
        <v>81.823098381282406</v>
      </c>
      <c r="AM6986">
        <v>58.2126586608926</v>
      </c>
      <c r="AN6986">
        <v>0.99999999325252997</v>
      </c>
    </row>
    <row r="6987" spans="1:40" x14ac:dyDescent="0.25">
      <c r="A6987" t="str">
        <f>"20190312164640735"</f>
        <v>20190312164640735</v>
      </c>
      <c r="B6987" t="str">
        <f>"1552380400728183"</f>
        <v>1552380400728183</v>
      </c>
      <c r="C6987" t="s">
        <v>40</v>
      </c>
      <c r="D6987">
        <v>5.0004350000000004</v>
      </c>
      <c r="E6987">
        <v>0.5571933</v>
      </c>
      <c r="F6987" t="s">
        <v>71</v>
      </c>
      <c r="G6987">
        <v>-174.59540000000001</v>
      </c>
      <c r="H6987" s="1">
        <v>-2.6308400000000001E-6</v>
      </c>
      <c r="I6987">
        <v>131.64609999999999</v>
      </c>
      <c r="J6987">
        <v>-186.50729999999999</v>
      </c>
      <c r="K6987">
        <v>1.103445</v>
      </c>
      <c r="L6987">
        <v>121.43940000000001</v>
      </c>
      <c r="M6987">
        <v>0.1931659</v>
      </c>
      <c r="N6987">
        <v>0</v>
      </c>
      <c r="O6987">
        <v>0.98106870000000002</v>
      </c>
      <c r="P6987">
        <v>0.67293359999999902</v>
      </c>
      <c r="Q6987">
        <v>0.137078799999999</v>
      </c>
      <c r="R6987">
        <v>0.72689040000000005</v>
      </c>
      <c r="S6987">
        <v>2.3265530000000001</v>
      </c>
      <c r="T6987">
        <v>-0.2149527</v>
      </c>
      <c r="U6987">
        <v>2.0164029999999999</v>
      </c>
      <c r="V6987">
        <v>0.52179560000000003</v>
      </c>
      <c r="W6987">
        <v>0.14168710000000001</v>
      </c>
      <c r="X6987">
        <v>0.84122189999999997</v>
      </c>
      <c r="Y6987">
        <v>0.61291249999999997</v>
      </c>
      <c r="Z6987">
        <v>-7.2956090000000001E-2</v>
      </c>
      <c r="AA6987">
        <v>0.78677549999999996</v>
      </c>
      <c r="AB6987">
        <v>27</v>
      </c>
      <c r="AC6987">
        <v>11.9118999999999</v>
      </c>
      <c r="AD6987">
        <v>-1.1034476308399901</v>
      </c>
      <c r="AE6987">
        <v>10.2066999999999</v>
      </c>
      <c r="AF6987">
        <v>9.6678960424805602</v>
      </c>
      <c r="AG6987">
        <v>-1.1034476308399901</v>
      </c>
      <c r="AH6987">
        <v>12.2549841034316</v>
      </c>
      <c r="AI6987">
        <v>94.043586575730203</v>
      </c>
      <c r="AJ6987">
        <v>51.730267079144703</v>
      </c>
      <c r="AK6987">
        <v>15.6483368425395</v>
      </c>
      <c r="AL6987">
        <v>81.854517459018794</v>
      </c>
      <c r="AM6987">
        <v>58.189378371704997</v>
      </c>
      <c r="AN6987">
        <v>1.0000000837626799</v>
      </c>
    </row>
    <row r="6988" spans="1:40" x14ac:dyDescent="0.25">
      <c r="A6988" t="str">
        <f>"20190312164640747"</f>
        <v>20190312164640747</v>
      </c>
      <c r="B6988" t="str">
        <f>"1552380400737944"</f>
        <v>1552380400737944</v>
      </c>
      <c r="C6988" t="s">
        <v>40</v>
      </c>
      <c r="D6988">
        <v>4.9673389999999999</v>
      </c>
      <c r="E6988">
        <v>0.55835900000000005</v>
      </c>
      <c r="F6988" t="s">
        <v>71</v>
      </c>
      <c r="G6988">
        <v>-174.4562</v>
      </c>
      <c r="H6988" s="1">
        <v>-2.6075719999999999E-6</v>
      </c>
      <c r="I6988">
        <v>131.7475</v>
      </c>
      <c r="J6988">
        <v>-186.47380000000001</v>
      </c>
      <c r="K6988">
        <v>1.103362</v>
      </c>
      <c r="L6988">
        <v>121.5872</v>
      </c>
      <c r="M6988">
        <v>0.19739880000000001</v>
      </c>
      <c r="N6988">
        <v>0</v>
      </c>
      <c r="O6988">
        <v>0.98022560000000003</v>
      </c>
      <c r="P6988">
        <v>0.67646969999999995</v>
      </c>
      <c r="Q6988">
        <v>0.13699549999999999</v>
      </c>
      <c r="R6988">
        <v>0.72361660000000005</v>
      </c>
      <c r="S6988">
        <v>2.3398439999999998</v>
      </c>
      <c r="T6988">
        <v>-0.21424579999999999</v>
      </c>
      <c r="U6988">
        <v>2.0014189999999998</v>
      </c>
      <c r="V6988">
        <v>0.52229179999999997</v>
      </c>
      <c r="W6988">
        <v>0.14149729999999999</v>
      </c>
      <c r="X6988">
        <v>0.84094570000000002</v>
      </c>
      <c r="Y6988">
        <v>0.61463480000000004</v>
      </c>
      <c r="Z6988">
        <v>-7.2769539999999994E-2</v>
      </c>
      <c r="AA6988">
        <v>0.78544809999999998</v>
      </c>
      <c r="AB6988">
        <v>27</v>
      </c>
      <c r="AC6988">
        <v>12.0176</v>
      </c>
      <c r="AD6988">
        <v>-1.1033646075720001</v>
      </c>
      <c r="AE6988">
        <v>10.160299999999999</v>
      </c>
      <c r="AF6988">
        <v>9.7274461636671106</v>
      </c>
      <c r="AG6988">
        <v>-1.1033646075720001</v>
      </c>
      <c r="AH6988">
        <v>12.2724979815255</v>
      </c>
      <c r="AI6988">
        <v>94.030242814385403</v>
      </c>
      <c r="AJ6988">
        <v>51.5988985960362</v>
      </c>
      <c r="AK6988">
        <v>15.698879865481899</v>
      </c>
      <c r="AL6988">
        <v>81.865501699433594</v>
      </c>
      <c r="AM6988">
        <v>58.156546604977102</v>
      </c>
      <c r="AN6988">
        <v>0.99999994030150796</v>
      </c>
    </row>
    <row r="6989" spans="1:40" x14ac:dyDescent="0.25">
      <c r="A6989" t="str">
        <f>"20190312164640759"</f>
        <v>20190312164640759</v>
      </c>
      <c r="B6989" t="str">
        <f>"1552380400748680"</f>
        <v>1552380400748680</v>
      </c>
      <c r="C6989" t="s">
        <v>40</v>
      </c>
      <c r="D6989">
        <v>4.990971</v>
      </c>
      <c r="E6989">
        <v>0.55864720000000001</v>
      </c>
      <c r="F6989" t="s">
        <v>71</v>
      </c>
      <c r="G6989">
        <v>-174.15180000000001</v>
      </c>
      <c r="H6989" s="1">
        <v>-2.5504409999999998E-6</v>
      </c>
      <c r="I6989">
        <v>131.95259999999999</v>
      </c>
      <c r="J6989">
        <v>-186.44210000000001</v>
      </c>
      <c r="K6989">
        <v>1.1032850000000001</v>
      </c>
      <c r="L6989">
        <v>121.7231</v>
      </c>
      <c r="M6989">
        <v>0.20138420000000001</v>
      </c>
      <c r="N6989">
        <v>0</v>
      </c>
      <c r="O6989">
        <v>0.97941440000000002</v>
      </c>
      <c r="P6989">
        <v>0.67962219999999995</v>
      </c>
      <c r="Q6989">
        <v>0.1371319</v>
      </c>
      <c r="R6989">
        <v>0.72063069999999996</v>
      </c>
      <c r="S6989">
        <v>2.3567809999999998</v>
      </c>
      <c r="T6989">
        <v>-0.2110351</v>
      </c>
      <c r="U6989">
        <v>1.9825440000000001</v>
      </c>
      <c r="V6989">
        <v>0.52257619999999905</v>
      </c>
      <c r="W6989">
        <v>0.14154120000000001</v>
      </c>
      <c r="X6989">
        <v>0.84076169999999995</v>
      </c>
      <c r="Y6989">
        <v>0.61795029999999995</v>
      </c>
      <c r="Z6989">
        <v>-7.1738479999999993E-2</v>
      </c>
      <c r="AA6989">
        <v>0.78293749999999995</v>
      </c>
      <c r="AB6989">
        <v>27</v>
      </c>
      <c r="AC6989">
        <v>12.2903</v>
      </c>
      <c r="AD6989">
        <v>-1.103287550441</v>
      </c>
      <c r="AE6989">
        <v>10.2294999999999</v>
      </c>
      <c r="AF6989">
        <v>9.9309176879074208</v>
      </c>
      <c r="AG6989">
        <v>-1.103287550441</v>
      </c>
      <c r="AH6989">
        <v>12.435988336751199</v>
      </c>
      <c r="AI6989">
        <v>93.965694359822706</v>
      </c>
      <c r="AJ6989">
        <v>51.390437567422502</v>
      </c>
      <c r="AK6989">
        <v>15.952873579852699</v>
      </c>
      <c r="AL6989">
        <v>81.862961463438296</v>
      </c>
      <c r="AM6989">
        <v>58.136944657902298</v>
      </c>
      <c r="AN6989">
        <v>1.0000000161453799</v>
      </c>
    </row>
    <row r="6990" spans="1:40" x14ac:dyDescent="0.25">
      <c r="A6990" t="str">
        <f>"20190312164640771"</f>
        <v>20190312164640771</v>
      </c>
      <c r="B6990" t="str">
        <f>"1552380400758440"</f>
        <v>1552380400758440</v>
      </c>
      <c r="C6990" t="s">
        <v>40</v>
      </c>
      <c r="D6990">
        <v>5.0818450000000004</v>
      </c>
      <c r="E6990">
        <v>0.55940880000000004</v>
      </c>
      <c r="F6990" t="s">
        <v>71</v>
      </c>
      <c r="G6990">
        <v>-174.06790000000001</v>
      </c>
      <c r="H6990" s="1">
        <v>-2.5399870000000001E-6</v>
      </c>
      <c r="I6990">
        <v>132.0231</v>
      </c>
      <c r="J6990">
        <v>-186.40940000000001</v>
      </c>
      <c r="K6990">
        <v>1.1032109999999999</v>
      </c>
      <c r="L6990">
        <v>121.8618</v>
      </c>
      <c r="M6990">
        <v>0.20547670000000001</v>
      </c>
      <c r="N6990">
        <v>0</v>
      </c>
      <c r="O6990">
        <v>0.97856379999999998</v>
      </c>
      <c r="P6990">
        <v>0.682894</v>
      </c>
      <c r="Q6990">
        <v>0.13715639999999901</v>
      </c>
      <c r="R6990">
        <v>0.71752629999999995</v>
      </c>
      <c r="S6990">
        <v>2.3673549999999999</v>
      </c>
      <c r="T6990">
        <v>-0.21107400000000001</v>
      </c>
      <c r="U6990">
        <v>1.9705349999999999</v>
      </c>
      <c r="V6990">
        <v>0.52291579999999904</v>
      </c>
      <c r="W6990">
        <v>0.14147000000000001</v>
      </c>
      <c r="X6990">
        <v>0.84056249999999999</v>
      </c>
      <c r="Y6990">
        <v>0.61873279999999997</v>
      </c>
      <c r="Z6990">
        <v>-7.1789179999999994E-2</v>
      </c>
      <c r="AA6990">
        <v>0.78231459999999997</v>
      </c>
      <c r="AB6990">
        <v>27</v>
      </c>
      <c r="AC6990">
        <v>12.3414999999999</v>
      </c>
      <c r="AD6990">
        <v>-1.103213539987</v>
      </c>
      <c r="AE6990">
        <v>10.161299999999899</v>
      </c>
      <c r="AF6990">
        <v>9.9426448682146304</v>
      </c>
      <c r="AG6990">
        <v>-1.103213539987</v>
      </c>
      <c r="AH6990">
        <v>12.421415834944099</v>
      </c>
      <c r="AI6990">
        <v>93.966437545183695</v>
      </c>
      <c r="AJ6990">
        <v>51.324691497514898</v>
      </c>
      <c r="AK6990">
        <v>15.9488193429747</v>
      </c>
      <c r="AL6990">
        <v>81.867082303518103</v>
      </c>
      <c r="AM6990">
        <v>58.114164947465397</v>
      </c>
      <c r="AN6990">
        <v>1.0000000055979399</v>
      </c>
    </row>
    <row r="6991" spans="1:40" x14ac:dyDescent="0.25">
      <c r="A6991" t="str">
        <f>"20190312164640780"</f>
        <v>20190312164640780</v>
      </c>
      <c r="B6991" t="str">
        <f>"1552380400768199"</f>
        <v>1552380400768199</v>
      </c>
      <c r="C6991" t="s">
        <v>40</v>
      </c>
      <c r="D6991">
        <v>4.9952540000000001</v>
      </c>
      <c r="E6991">
        <v>0.55963039999999997</v>
      </c>
      <c r="F6991" t="s">
        <v>71</v>
      </c>
      <c r="G6991">
        <v>-173.9333</v>
      </c>
      <c r="H6991" s="1">
        <v>-2.5122350000000002E-6</v>
      </c>
      <c r="I6991">
        <v>132.10720000000001</v>
      </c>
      <c r="J6991">
        <v>-186.3794</v>
      </c>
      <c r="K6991">
        <v>1.1031439999999999</v>
      </c>
      <c r="L6991">
        <v>121.9851</v>
      </c>
      <c r="M6991">
        <v>0.2091961</v>
      </c>
      <c r="N6991">
        <v>0</v>
      </c>
      <c r="O6991">
        <v>0.97777530000000001</v>
      </c>
      <c r="P6991">
        <v>0.68589899999999904</v>
      </c>
      <c r="Q6991">
        <v>0.13700770000000001</v>
      </c>
      <c r="R6991">
        <v>0.71468279999999995</v>
      </c>
      <c r="S6991">
        <v>2.3809360000000002</v>
      </c>
      <c r="T6991">
        <v>-0.21053769999999999</v>
      </c>
      <c r="U6991">
        <v>1.955246</v>
      </c>
      <c r="V6991">
        <v>0.52326359999999905</v>
      </c>
      <c r="W6991">
        <v>0.14123629999999901</v>
      </c>
      <c r="X6991">
        <v>0.84038539999999995</v>
      </c>
      <c r="Y6991">
        <v>0.62094659999999902</v>
      </c>
      <c r="Z6991">
        <v>-7.1647879999999997E-2</v>
      </c>
      <c r="AA6991">
        <v>0.78057149999999997</v>
      </c>
      <c r="AB6991">
        <v>27</v>
      </c>
      <c r="AC6991">
        <v>12.446099999999999</v>
      </c>
      <c r="AD6991">
        <v>-1.1031465122349999</v>
      </c>
      <c r="AE6991">
        <v>10.1221</v>
      </c>
      <c r="AF6991">
        <v>10.005641269849299</v>
      </c>
      <c r="AG6991">
        <v>-1.1031465122349999</v>
      </c>
      <c r="AH6991">
        <v>12.443180721308201</v>
      </c>
      <c r="AI6991">
        <v>93.952232489219597</v>
      </c>
      <c r="AJ6991">
        <v>51.1970157580216</v>
      </c>
      <c r="AK6991">
        <v>16.005078441279299</v>
      </c>
      <c r="AL6991">
        <v>81.880608532736005</v>
      </c>
      <c r="AM6991">
        <v>58.091658905586897</v>
      </c>
      <c r="AN6991">
        <v>1.0000000540278999</v>
      </c>
    </row>
    <row r="6992" spans="1:40" x14ac:dyDescent="0.25">
      <c r="A6992" t="str">
        <f>"20190312164640790"</f>
        <v>20190312164640790</v>
      </c>
      <c r="B6992" t="str">
        <f>"1552380400777960"</f>
        <v>1552380400777960</v>
      </c>
      <c r="C6992" t="s">
        <v>40</v>
      </c>
      <c r="D6992">
        <v>5.1824079999999997</v>
      </c>
      <c r="E6992">
        <v>0.55949890000000002</v>
      </c>
      <c r="F6992" t="s">
        <v>71</v>
      </c>
      <c r="G6992">
        <v>-173.84639999999999</v>
      </c>
      <c r="H6992" s="1">
        <v>-2.4991369999999999E-6</v>
      </c>
      <c r="I6992">
        <v>132.17429999999999</v>
      </c>
      <c r="J6992">
        <v>-186.35249999999999</v>
      </c>
      <c r="K6992">
        <v>1.1030789999999999</v>
      </c>
      <c r="L6992">
        <v>122.09520000000001</v>
      </c>
      <c r="M6992">
        <v>0.21252869999999999</v>
      </c>
      <c r="N6992">
        <v>0</v>
      </c>
      <c r="O6992">
        <v>0.97705609999999998</v>
      </c>
      <c r="P6992">
        <v>0.68843900000000002</v>
      </c>
      <c r="Q6992">
        <v>0.13698150000000001</v>
      </c>
      <c r="R6992">
        <v>0.71224149999999997</v>
      </c>
      <c r="S6992">
        <v>2.3906860000000001</v>
      </c>
      <c r="T6992">
        <v>-0.2104261</v>
      </c>
      <c r="U6992">
        <v>1.9435880000000001</v>
      </c>
      <c r="V6992">
        <v>0.52340949999999997</v>
      </c>
      <c r="W6992">
        <v>0.14113809999999999</v>
      </c>
      <c r="X6992">
        <v>0.84031089999999997</v>
      </c>
      <c r="Y6992">
        <v>0.62212819999999902</v>
      </c>
      <c r="Z6992">
        <v>-7.1648690000000001E-2</v>
      </c>
      <c r="AA6992">
        <v>0.77963000000000005</v>
      </c>
      <c r="AB6992">
        <v>27</v>
      </c>
      <c r="AC6992">
        <v>12.5061</v>
      </c>
      <c r="AD6992">
        <v>-1.1030814991369999</v>
      </c>
      <c r="AE6992">
        <v>10.079099999999899</v>
      </c>
      <c r="AF6992">
        <v>10.0307265342351</v>
      </c>
      <c r="AG6992">
        <v>-1.1030814991369999</v>
      </c>
      <c r="AH6992">
        <v>12.448246888525</v>
      </c>
      <c r="AI6992">
        <v>93.947151667626997</v>
      </c>
      <c r="AJ6992">
        <v>51.1383304544648</v>
      </c>
      <c r="AK6992">
        <v>16.024703248298302</v>
      </c>
      <c r="AL6992">
        <v>81.886290963605006</v>
      </c>
      <c r="AM6992">
        <v>58.0822118570537</v>
      </c>
      <c r="AN6992">
        <v>0.99999993831033296</v>
      </c>
    </row>
    <row r="6993" spans="1:40" x14ac:dyDescent="0.25">
      <c r="A6993" t="str">
        <f>"20190312164640801"</f>
        <v>20190312164640801</v>
      </c>
      <c r="B6993" t="str">
        <f>"1552380400788696"</f>
        <v>1552380400788696</v>
      </c>
      <c r="C6993" t="s">
        <v>40</v>
      </c>
      <c r="D6993">
        <v>5.0119210000000001</v>
      </c>
      <c r="E6993">
        <v>0.55937380000000003</v>
      </c>
      <c r="F6993" t="s">
        <v>71</v>
      </c>
      <c r="G6993">
        <v>-173.95439999999999</v>
      </c>
      <c r="H6993" s="1">
        <v>-2.5224760000000002E-6</v>
      </c>
      <c r="I6993">
        <v>132.1096</v>
      </c>
      <c r="J6993">
        <v>-186.321</v>
      </c>
      <c r="K6993">
        <v>1.10301</v>
      </c>
      <c r="L6993">
        <v>122.2209</v>
      </c>
      <c r="M6993">
        <v>0.21640519999999999</v>
      </c>
      <c r="N6993">
        <v>0</v>
      </c>
      <c r="O6993">
        <v>0.97620469999999904</v>
      </c>
      <c r="P6993">
        <v>0.69158199999999903</v>
      </c>
      <c r="Q6993">
        <v>0.13675950000000001</v>
      </c>
      <c r="R6993">
        <v>0.70923269999999905</v>
      </c>
      <c r="S6993">
        <v>2.3970340000000001</v>
      </c>
      <c r="T6993">
        <v>-0.2132674</v>
      </c>
      <c r="U6993">
        <v>1.9361569999999999</v>
      </c>
      <c r="V6993">
        <v>0.52380230000000005</v>
      </c>
      <c r="W6993">
        <v>0.1408317</v>
      </c>
      <c r="X6993">
        <v>0.84011759999999902</v>
      </c>
      <c r="Y6993">
        <v>0.62144259999999996</v>
      </c>
      <c r="Z6993">
        <v>-7.2633649999999994E-2</v>
      </c>
      <c r="AA6993">
        <v>0.78008559999999905</v>
      </c>
      <c r="AB6993">
        <v>27</v>
      </c>
      <c r="AC6993">
        <v>12.3666</v>
      </c>
      <c r="AD6993">
        <v>-1.1030125224759999</v>
      </c>
      <c r="AE6993">
        <v>9.8887</v>
      </c>
      <c r="AF6993">
        <v>9.8853568606761293</v>
      </c>
      <c r="AG6993">
        <v>-1.1030125224759999</v>
      </c>
      <c r="AH6993">
        <v>12.271235770616</v>
      </c>
      <c r="AI6993">
        <v>94.004090008727999</v>
      </c>
      <c r="AJ6993">
        <v>51.146074313378001</v>
      </c>
      <c r="AK6993">
        <v>15.7962066403837</v>
      </c>
      <c r="AL6993">
        <v>81.904024007662102</v>
      </c>
      <c r="AM6993">
        <v>58.057002006568297</v>
      </c>
      <c r="AN6993">
        <v>0.99999999951996899</v>
      </c>
    </row>
    <row r="6994" spans="1:40" x14ac:dyDescent="0.25">
      <c r="A6994" t="str">
        <f>"20190312164640812"</f>
        <v>20190312164640812</v>
      </c>
      <c r="B6994" t="str">
        <f>"1552380400808216"</f>
        <v>1552380400808216</v>
      </c>
      <c r="C6994" t="s">
        <v>40</v>
      </c>
      <c r="D6994">
        <v>5.4614250000000002</v>
      </c>
      <c r="E6994">
        <v>0.558374699999999</v>
      </c>
      <c r="F6994" t="s">
        <v>71</v>
      </c>
      <c r="G6994">
        <v>-173.9853</v>
      </c>
      <c r="H6994" s="1">
        <v>-2.5335069999999999E-6</v>
      </c>
      <c r="I6994">
        <v>132.1026</v>
      </c>
      <c r="J6994">
        <v>-186.28809999999999</v>
      </c>
      <c r="K6994">
        <v>1.1029420000000001</v>
      </c>
      <c r="L6994">
        <v>122.3502</v>
      </c>
      <c r="M6994">
        <v>0.22041859999999999</v>
      </c>
      <c r="N6994">
        <v>0</v>
      </c>
      <c r="O6994">
        <v>0.97530620000000001</v>
      </c>
      <c r="P6994">
        <v>0.69501880000000005</v>
      </c>
      <c r="Q6994">
        <v>0.1365526</v>
      </c>
      <c r="R6994">
        <v>0.70590529999999996</v>
      </c>
      <c r="S6994">
        <v>2.4048159999999998</v>
      </c>
      <c r="T6994">
        <v>-0.21503030000000001</v>
      </c>
      <c r="U6994">
        <v>1.926407</v>
      </c>
      <c r="V6994">
        <v>0.52444029999999997</v>
      </c>
      <c r="W6994">
        <v>0.14053379999999999</v>
      </c>
      <c r="X6994">
        <v>0.8397694</v>
      </c>
      <c r="Y6994">
        <v>0.62134809999999996</v>
      </c>
      <c r="Z6994">
        <v>-7.3266689999999995E-2</v>
      </c>
      <c r="AA6994">
        <v>0.78010159999999995</v>
      </c>
      <c r="AB6994">
        <v>27</v>
      </c>
      <c r="AC6994">
        <v>12.3027999999999</v>
      </c>
      <c r="AD6994">
        <v>-1.1029445335070001</v>
      </c>
      <c r="AE6994">
        <v>9.7523999999999909</v>
      </c>
      <c r="AF6994">
        <v>9.8019603371108293</v>
      </c>
      <c r="AG6994">
        <v>-1.1029445335070001</v>
      </c>
      <c r="AH6994">
        <v>12.1644847237504</v>
      </c>
      <c r="AI6994">
        <v>94.038444312057294</v>
      </c>
      <c r="AJ6994">
        <v>51.138651044960199</v>
      </c>
      <c r="AK6994">
        <v>15.6610855846153</v>
      </c>
      <c r="AL6994">
        <v>81.921263970557703</v>
      </c>
      <c r="AM6994">
        <v>58.0150106105513</v>
      </c>
      <c r="AN6994">
        <v>1.00000001119144</v>
      </c>
    </row>
    <row r="6995" spans="1:40" x14ac:dyDescent="0.25">
      <c r="A6995" t="str">
        <f>"20190312164640822"</f>
        <v>20190312164640822</v>
      </c>
      <c r="B6995" t="str">
        <f>"1552380400817975"</f>
        <v>1552380400817975</v>
      </c>
      <c r="C6995" t="s">
        <v>40</v>
      </c>
      <c r="D6995">
        <v>5.0871139999999997</v>
      </c>
      <c r="E6995">
        <v>0.55832309999999996</v>
      </c>
      <c r="F6995" t="s">
        <v>71</v>
      </c>
      <c r="G6995">
        <v>-174.09739999999999</v>
      </c>
      <c r="H6995" s="1">
        <v>-2.5717479999999999E-6</v>
      </c>
      <c r="I6995">
        <v>132.07230000000001</v>
      </c>
      <c r="J6995">
        <v>-186.25370000000001</v>
      </c>
      <c r="K6995">
        <v>1.102868</v>
      </c>
      <c r="L6995">
        <v>122.48269999999999</v>
      </c>
      <c r="M6995">
        <v>0.22459100000000001</v>
      </c>
      <c r="N6995">
        <v>0</v>
      </c>
      <c r="O6995">
        <v>0.97435369999999999</v>
      </c>
      <c r="P6995">
        <v>0.69842369999999898</v>
      </c>
      <c r="Q6995">
        <v>0.136628</v>
      </c>
      <c r="R6995">
        <v>0.70252190000000003</v>
      </c>
      <c r="S6995">
        <v>2.4084469999999998</v>
      </c>
      <c r="T6995">
        <v>-0.2179024</v>
      </c>
      <c r="U6995">
        <v>1.920731</v>
      </c>
      <c r="V6995">
        <v>0.52493540000000005</v>
      </c>
      <c r="W6995">
        <v>0.1405206</v>
      </c>
      <c r="X6995">
        <v>0.83946219999999905</v>
      </c>
      <c r="Y6995">
        <v>0.6196374</v>
      </c>
      <c r="Z6995">
        <v>-7.4274209999999993E-2</v>
      </c>
      <c r="AA6995">
        <v>0.781366</v>
      </c>
      <c r="AB6995">
        <v>27</v>
      </c>
      <c r="AC6995">
        <v>12.1563</v>
      </c>
      <c r="AD6995">
        <v>-1.1028705717480001</v>
      </c>
      <c r="AE6995">
        <v>9.5896000000000097</v>
      </c>
      <c r="AF6995">
        <v>9.64281323993713</v>
      </c>
      <c r="AG6995">
        <v>-1.1028705717480001</v>
      </c>
      <c r="AH6995">
        <v>12.0140731069749</v>
      </c>
      <c r="AI6995">
        <v>94.094850561041</v>
      </c>
      <c r="AJ6995">
        <v>51.248549255950998</v>
      </c>
      <c r="AK6995">
        <v>15.4446794495086</v>
      </c>
      <c r="AL6995">
        <v>81.922027757596396</v>
      </c>
      <c r="AM6995">
        <v>57.981292070441697</v>
      </c>
      <c r="AN6995">
        <v>0.99999999921317995</v>
      </c>
    </row>
    <row r="6996" spans="1:40" x14ac:dyDescent="0.25">
      <c r="A6996" t="str">
        <f>"20190312164640835"</f>
        <v>20190312164640835</v>
      </c>
      <c r="B6996" t="str">
        <f>"1552380400827735"</f>
        <v>1552380400827735</v>
      </c>
      <c r="C6996" t="s">
        <v>40</v>
      </c>
      <c r="D6996">
        <v>4.9598909999999998</v>
      </c>
      <c r="E6996">
        <v>0.55828549999999999</v>
      </c>
      <c r="F6996" t="s">
        <v>71</v>
      </c>
      <c r="G6996">
        <v>-173.98220000000001</v>
      </c>
      <c r="H6996" s="1">
        <v>-2.5596020000000001E-6</v>
      </c>
      <c r="I6996">
        <v>132.17500000000001</v>
      </c>
      <c r="J6996">
        <v>-186.2157</v>
      </c>
      <c r="K6996">
        <v>1.1027990000000001</v>
      </c>
      <c r="L6996">
        <v>122.6258</v>
      </c>
      <c r="M6996">
        <v>0.2291512</v>
      </c>
      <c r="N6996">
        <v>0</v>
      </c>
      <c r="O6996">
        <v>0.97329109999999996</v>
      </c>
      <c r="P6996">
        <v>0.70231189999999999</v>
      </c>
      <c r="Q6996">
        <v>0.13623289999999999</v>
      </c>
      <c r="R6996">
        <v>0.69871219999999901</v>
      </c>
      <c r="S6996">
        <v>2.4173429999999998</v>
      </c>
      <c r="T6996">
        <v>-0.21725269999999999</v>
      </c>
      <c r="U6996">
        <v>1.9092709999999999</v>
      </c>
      <c r="V6996">
        <v>0.52566579999999996</v>
      </c>
      <c r="W6996">
        <v>0.14002870000000001</v>
      </c>
      <c r="X6996">
        <v>0.83908719999999903</v>
      </c>
      <c r="Y6996">
        <v>0.61965899999999996</v>
      </c>
      <c r="Z6996">
        <v>-7.4094850000000004E-2</v>
      </c>
      <c r="AA6996">
        <v>0.78136589999999995</v>
      </c>
      <c r="AB6996">
        <v>27</v>
      </c>
      <c r="AC6996">
        <v>12.2334999999999</v>
      </c>
      <c r="AD6996">
        <v>-1.102801559602</v>
      </c>
      <c r="AE6996">
        <v>9.5492000000000097</v>
      </c>
      <c r="AF6996">
        <v>9.6706568444137506</v>
      </c>
      <c r="AG6996">
        <v>-1.102801559602</v>
      </c>
      <c r="AH6996">
        <v>12.0378609706642</v>
      </c>
      <c r="AI6996">
        <v>94.0850862397957</v>
      </c>
      <c r="AJ6996">
        <v>51.2232264630644</v>
      </c>
      <c r="AK6996">
        <v>15.480564325350301</v>
      </c>
      <c r="AL6996">
        <v>81.950492596663807</v>
      </c>
      <c r="AM6996">
        <v>57.933951300830998</v>
      </c>
      <c r="AN6996">
        <v>0.99999994965858297</v>
      </c>
    </row>
    <row r="6997" spans="1:40" x14ac:dyDescent="0.25">
      <c r="A6997" t="str">
        <f>"20190312164640845"</f>
        <v>20190312164640845</v>
      </c>
      <c r="B6997" t="str">
        <f>"1552380400838472"</f>
        <v>1552380400838472</v>
      </c>
      <c r="C6997" t="s">
        <v>40</v>
      </c>
      <c r="D6997">
        <v>5.0568099999999996</v>
      </c>
      <c r="E6997">
        <v>0.55824449999999903</v>
      </c>
      <c r="F6997" t="s">
        <v>71</v>
      </c>
      <c r="G6997">
        <v>-174.1533</v>
      </c>
      <c r="H6997" s="1">
        <v>-2.588414E-6</v>
      </c>
      <c r="I6997">
        <v>132.05090000000001</v>
      </c>
      <c r="J6997">
        <v>-186.18219999999999</v>
      </c>
      <c r="K6997">
        <v>1.102738</v>
      </c>
      <c r="L6997">
        <v>122.7504</v>
      </c>
      <c r="M6997">
        <v>0.23315569999999999</v>
      </c>
      <c r="N6997">
        <v>0</v>
      </c>
      <c r="O6997">
        <v>0.97233939999999996</v>
      </c>
      <c r="P6997">
        <v>0.70553869999999996</v>
      </c>
      <c r="Q6997">
        <v>0.13624</v>
      </c>
      <c r="R6997">
        <v>0.69545219999999996</v>
      </c>
      <c r="S6997">
        <v>2.4275669999999998</v>
      </c>
      <c r="T6997">
        <v>-0.22193840000000001</v>
      </c>
      <c r="U6997">
        <v>1.8968050000000001</v>
      </c>
      <c r="V6997">
        <v>0.52611839999999999</v>
      </c>
      <c r="W6997">
        <v>0.13995639999999901</v>
      </c>
      <c r="X6997">
        <v>0.838815599999999</v>
      </c>
      <c r="Y6997">
        <v>0.62042600000000003</v>
      </c>
      <c r="Z6997">
        <v>-7.5718430000000003E-2</v>
      </c>
      <c r="AA6997">
        <v>0.78060130000000005</v>
      </c>
      <c r="AB6997">
        <v>27</v>
      </c>
      <c r="AC6997">
        <v>12.028899999999901</v>
      </c>
      <c r="AD6997">
        <v>-1.102740588414</v>
      </c>
      <c r="AE6997">
        <v>9.3005000000000102</v>
      </c>
      <c r="AF6997">
        <v>9.4787789317362492</v>
      </c>
      <c r="AG6997">
        <v>-1.102740588414</v>
      </c>
      <c r="AH6997">
        <v>11.7870041365947</v>
      </c>
      <c r="AI6997">
        <v>94.169832243860796</v>
      </c>
      <c r="AJ6997">
        <v>51.194732499640203</v>
      </c>
      <c r="AK6997">
        <v>15.165643849113801</v>
      </c>
      <c r="AL6997">
        <v>81.954676588903595</v>
      </c>
      <c r="AM6997">
        <v>57.903413384077901</v>
      </c>
      <c r="AN6997">
        <v>0.99999998776143895</v>
      </c>
    </row>
    <row r="6998" spans="1:40" x14ac:dyDescent="0.25">
      <c r="A6998" t="str">
        <f>"20190312164640857"</f>
        <v>20190312164640857</v>
      </c>
      <c r="B6998" t="str">
        <f>"1552380400848232"</f>
        <v>1552380400848232</v>
      </c>
      <c r="C6998" t="s">
        <v>40</v>
      </c>
      <c r="D6998">
        <v>5.1208580000000001</v>
      </c>
      <c r="E6998">
        <v>0.5583226</v>
      </c>
      <c r="F6998" t="s">
        <v>71</v>
      </c>
      <c r="G6998">
        <v>-174.07470000000001</v>
      </c>
      <c r="H6998" s="1">
        <v>-2.5802299999999999E-6</v>
      </c>
      <c r="I6998">
        <v>132.12119999999999</v>
      </c>
      <c r="J6998">
        <v>-186.1472</v>
      </c>
      <c r="K6998">
        <v>1.102679</v>
      </c>
      <c r="L6998">
        <v>122.8776</v>
      </c>
      <c r="M6998">
        <v>0.23730490000000001</v>
      </c>
      <c r="N6998">
        <v>0</v>
      </c>
      <c r="O6998">
        <v>0.9713349</v>
      </c>
      <c r="P6998">
        <v>0.70873759999999997</v>
      </c>
      <c r="Q6998">
        <v>0.1362051</v>
      </c>
      <c r="R6998">
        <v>0.69219889999999995</v>
      </c>
      <c r="S6998">
        <v>2.4362789999999999</v>
      </c>
      <c r="T6998">
        <v>-0.22189400000000001</v>
      </c>
      <c r="U6998">
        <v>1.8855900000000001</v>
      </c>
      <c r="V6998">
        <v>0.52642349999999904</v>
      </c>
      <c r="W6998">
        <v>0.13984739999999901</v>
      </c>
      <c r="X6998">
        <v>0.83864240000000001</v>
      </c>
      <c r="Y6998">
        <v>0.6206815</v>
      </c>
      <c r="Z6998">
        <v>-7.5738620000000006E-2</v>
      </c>
      <c r="AA6998">
        <v>0.78039619999999998</v>
      </c>
      <c r="AB6998">
        <v>27</v>
      </c>
      <c r="AC6998">
        <v>12.0724999999999</v>
      </c>
      <c r="AD6998">
        <v>-1.1026815802300001</v>
      </c>
      <c r="AE6998">
        <v>9.2435999999999794</v>
      </c>
      <c r="AF6998">
        <v>9.4839387233686701</v>
      </c>
      <c r="AG6998">
        <v>-1.1026815802300001</v>
      </c>
      <c r="AH6998">
        <v>11.7826797105393</v>
      </c>
      <c r="AI6998">
        <v>94.169646965466498</v>
      </c>
      <c r="AJ6998">
        <v>51.169235312616102</v>
      </c>
      <c r="AK6998">
        <v>15.165504987871101</v>
      </c>
      <c r="AL6998">
        <v>81.960984247830297</v>
      </c>
      <c r="AM6998">
        <v>57.883132137591602</v>
      </c>
      <c r="AN6998">
        <v>1.00000003585838</v>
      </c>
    </row>
    <row r="6999" spans="1:40" x14ac:dyDescent="0.25">
      <c r="A6999" t="str">
        <f>"20190312164640866"</f>
        <v>20190312164640866</v>
      </c>
      <c r="B6999" t="str">
        <f>"1552380400857992"</f>
        <v>1552380400857992</v>
      </c>
      <c r="C6999" t="s">
        <v>40</v>
      </c>
      <c r="D6999">
        <v>5.0689000000000002</v>
      </c>
      <c r="E6999">
        <v>0.55827890000000002</v>
      </c>
      <c r="F6999" t="s">
        <v>71</v>
      </c>
      <c r="G6999">
        <v>-173.9708</v>
      </c>
      <c r="H6999" s="1">
        <v>-2.5656820000000002E-6</v>
      </c>
      <c r="I6999">
        <v>132.20429999999999</v>
      </c>
      <c r="J6999">
        <v>-186.11279999999999</v>
      </c>
      <c r="K6999">
        <v>1.102624</v>
      </c>
      <c r="L6999">
        <v>123.00109999999999</v>
      </c>
      <c r="M6999">
        <v>0.24135110000000001</v>
      </c>
      <c r="N6999">
        <v>0</v>
      </c>
      <c r="O6999">
        <v>0.97033729999999996</v>
      </c>
      <c r="P6999">
        <v>0.71201059999999905</v>
      </c>
      <c r="Q6999">
        <v>0.13598540000000001</v>
      </c>
      <c r="R6999">
        <v>0.68887519999999902</v>
      </c>
      <c r="S6999">
        <v>2.445786</v>
      </c>
      <c r="T6999">
        <v>-0.22148799999999999</v>
      </c>
      <c r="U6999">
        <v>1.873383</v>
      </c>
      <c r="V6999">
        <v>0.52691049999999995</v>
      </c>
      <c r="W6999">
        <v>0.13955129999999999</v>
      </c>
      <c r="X6999">
        <v>0.83838579999999996</v>
      </c>
      <c r="Y6999">
        <v>0.62134529999999999</v>
      </c>
      <c r="Z6999">
        <v>-7.5636729999999999E-2</v>
      </c>
      <c r="AA6999">
        <v>0.77987769999999901</v>
      </c>
      <c r="AB6999">
        <v>27</v>
      </c>
      <c r="AC6999">
        <v>12.1419999999999</v>
      </c>
      <c r="AD6999">
        <v>-1.102626565682</v>
      </c>
      <c r="AE6999">
        <v>9.2031999999999901</v>
      </c>
      <c r="AF6999">
        <v>9.5117475744468898</v>
      </c>
      <c r="AG6999">
        <v>-1.102626565682</v>
      </c>
      <c r="AH6999">
        <v>11.8000471369369</v>
      </c>
      <c r="AI6999">
        <v>94.160949956887194</v>
      </c>
      <c r="AJ6999">
        <v>51.128508523014197</v>
      </c>
      <c r="AK6999">
        <v>15.1963890348094</v>
      </c>
      <c r="AL6999">
        <v>81.978117207211397</v>
      </c>
      <c r="AM6999">
        <v>57.851372104677999</v>
      </c>
      <c r="AN6999">
        <v>0.99999999499179004</v>
      </c>
    </row>
    <row r="7000" spans="1:40" x14ac:dyDescent="0.25">
      <c r="A7000" t="str">
        <f>"20190312164640879"</f>
        <v>20190312164640879</v>
      </c>
      <c r="B7000" t="str">
        <f>"1552380400868729"</f>
        <v>1552380400868729</v>
      </c>
      <c r="C7000" t="s">
        <v>40</v>
      </c>
      <c r="D7000">
        <v>4.7629710000000003</v>
      </c>
      <c r="E7000">
        <v>0.55795459999999997</v>
      </c>
      <c r="F7000" t="s">
        <v>71</v>
      </c>
      <c r="G7000">
        <v>-173.93559999999999</v>
      </c>
      <c r="H7000" s="1">
        <v>-2.5620499999999999E-6</v>
      </c>
      <c r="I7000">
        <v>132.23580000000001</v>
      </c>
      <c r="J7000">
        <v>-186.07419999999999</v>
      </c>
      <c r="K7000">
        <v>1.102565</v>
      </c>
      <c r="L7000">
        <v>123.13630000000001</v>
      </c>
      <c r="M7000">
        <v>0.2458543</v>
      </c>
      <c r="N7000">
        <v>0</v>
      </c>
      <c r="O7000">
        <v>0.96920589999999995</v>
      </c>
      <c r="P7000">
        <v>0.71558569999999999</v>
      </c>
      <c r="Q7000">
        <v>0.13585139999999901</v>
      </c>
      <c r="R7000">
        <v>0.685187199999999</v>
      </c>
      <c r="S7000">
        <v>2.454758</v>
      </c>
      <c r="T7000">
        <v>-0.22227350000000001</v>
      </c>
      <c r="U7000">
        <v>1.861588</v>
      </c>
      <c r="V7000">
        <v>0.52739329999999995</v>
      </c>
      <c r="W7000">
        <v>0.139339299999999</v>
      </c>
      <c r="X7000">
        <v>0.83811740000000001</v>
      </c>
      <c r="Y7000">
        <v>0.62144709999999903</v>
      </c>
      <c r="Z7000">
        <v>-7.5937370000000004E-2</v>
      </c>
      <c r="AA7000">
        <v>0.77976730000000005</v>
      </c>
      <c r="AB7000">
        <v>27</v>
      </c>
      <c r="AC7000">
        <v>12.138599999999901</v>
      </c>
      <c r="AD7000">
        <v>-1.1025675620499999</v>
      </c>
      <c r="AE7000">
        <v>9.0995000000000008</v>
      </c>
      <c r="AF7000">
        <v>9.4785170053548402</v>
      </c>
      <c r="AG7000">
        <v>-1.1025675620499999</v>
      </c>
      <c r="AH7000">
        <v>11.742744311414</v>
      </c>
      <c r="AI7000">
        <v>94.178713673928996</v>
      </c>
      <c r="AJ7000">
        <v>51.090199551306497</v>
      </c>
      <c r="AK7000">
        <v>15.131093278839201</v>
      </c>
      <c r="AL7000">
        <v>81.990383435458597</v>
      </c>
      <c r="AM7000">
        <v>57.819456814898601</v>
      </c>
      <c r="AN7000">
        <v>0.99999995479606896</v>
      </c>
    </row>
    <row r="7001" spans="1:40" x14ac:dyDescent="0.25">
      <c r="A7001" t="str">
        <f>"20190312164640890"</f>
        <v>20190312164640890</v>
      </c>
      <c r="B7001" t="str">
        <f>"1552380400878487"</f>
        <v>1552380400878487</v>
      </c>
      <c r="C7001" t="s">
        <v>40</v>
      </c>
      <c r="D7001">
        <v>5.5574690000000002</v>
      </c>
      <c r="E7001">
        <v>0.55776510000000001</v>
      </c>
      <c r="F7001" t="s">
        <v>71</v>
      </c>
      <c r="G7001">
        <v>-173.55930000000001</v>
      </c>
      <c r="H7001" s="1">
        <v>-2.5069920000000001E-6</v>
      </c>
      <c r="I7001">
        <v>132.53049999999999</v>
      </c>
      <c r="J7001">
        <v>-186.03739999999999</v>
      </c>
      <c r="K7001">
        <v>1.102509</v>
      </c>
      <c r="L7001">
        <v>123.2638</v>
      </c>
      <c r="M7001">
        <v>0.25011329999999998</v>
      </c>
      <c r="N7001">
        <v>0</v>
      </c>
      <c r="O7001">
        <v>0.96811539999999996</v>
      </c>
      <c r="P7001">
        <v>0.71873520000000002</v>
      </c>
      <c r="Q7001">
        <v>0.13585829999999999</v>
      </c>
      <c r="R7001">
        <v>0.68188139999999997</v>
      </c>
      <c r="S7001">
        <v>2.463165</v>
      </c>
      <c r="T7001">
        <v>-0.2170069</v>
      </c>
      <c r="U7001">
        <v>1.8489530000000001</v>
      </c>
      <c r="V7001">
        <v>0.52759019999999901</v>
      </c>
      <c r="W7001">
        <v>0.13927890000000001</v>
      </c>
      <c r="X7001">
        <v>0.83800359999999996</v>
      </c>
      <c r="Y7001">
        <v>0.62194910000000003</v>
      </c>
      <c r="Z7001">
        <v>-7.4202180000000006E-2</v>
      </c>
      <c r="AA7001">
        <v>0.77953399999999995</v>
      </c>
      <c r="AB7001">
        <v>27</v>
      </c>
      <c r="AC7001">
        <v>12.4780999999999</v>
      </c>
      <c r="AD7001">
        <v>-1.102511506992</v>
      </c>
      <c r="AE7001">
        <v>9.2666999999999806</v>
      </c>
      <c r="AF7001">
        <v>9.7145913648014304</v>
      </c>
      <c r="AG7001">
        <v>-1.102511506992</v>
      </c>
      <c r="AH7001">
        <v>12.0328128927904</v>
      </c>
      <c r="AI7001">
        <v>94.0777974044655</v>
      </c>
      <c r="AJ7001">
        <v>51.084616529826398</v>
      </c>
      <c r="AK7001">
        <v>15.5041092333945</v>
      </c>
      <c r="AL7001">
        <v>81.993878803243405</v>
      </c>
      <c r="AM7001">
        <v>57.806307632684103</v>
      </c>
      <c r="AN7001">
        <v>1.0000000323670999</v>
      </c>
    </row>
    <row r="7002" spans="1:40" x14ac:dyDescent="0.25">
      <c r="A7002" t="str">
        <f>"20190312164640900"</f>
        <v>20190312164640900</v>
      </c>
      <c r="B7002" t="str">
        <f>"1552380400888248"</f>
        <v>1552380400888248</v>
      </c>
      <c r="C7002" t="s">
        <v>40</v>
      </c>
      <c r="D7002">
        <v>5.1495709999999999</v>
      </c>
      <c r="E7002">
        <v>0.55744110000000002</v>
      </c>
      <c r="F7002" t="s">
        <v>71</v>
      </c>
      <c r="G7002">
        <v>-173.19820000000001</v>
      </c>
      <c r="H7002" s="1">
        <v>-2.4320089999999998E-6</v>
      </c>
      <c r="I7002">
        <v>132.80940000000001</v>
      </c>
      <c r="J7002">
        <v>-185.99940000000001</v>
      </c>
      <c r="K7002">
        <v>1.102452</v>
      </c>
      <c r="L7002">
        <v>123.3921</v>
      </c>
      <c r="M7002">
        <v>0.25446609999999997</v>
      </c>
      <c r="N7002">
        <v>0</v>
      </c>
      <c r="O7002">
        <v>0.96698019999999996</v>
      </c>
      <c r="P7002">
        <v>0.72214400000000001</v>
      </c>
      <c r="Q7002">
        <v>0.1356868</v>
      </c>
      <c r="R7002">
        <v>0.67830459999999904</v>
      </c>
      <c r="S7002">
        <v>2.47113</v>
      </c>
      <c r="T7002">
        <v>-0.21219660000000001</v>
      </c>
      <c r="U7002">
        <v>1.8372040000000001</v>
      </c>
      <c r="V7002">
        <v>0.52802859999999996</v>
      </c>
      <c r="W7002">
        <v>0.13903750000000001</v>
      </c>
      <c r="X7002">
        <v>0.837767499999999</v>
      </c>
      <c r="Y7002">
        <v>0.62211689999999997</v>
      </c>
      <c r="Z7002">
        <v>-7.2608560000000003E-2</v>
      </c>
      <c r="AA7002">
        <v>0.77955019999999997</v>
      </c>
      <c r="AB7002">
        <v>27</v>
      </c>
      <c r="AC7002">
        <v>12.8011999999999</v>
      </c>
      <c r="AD7002">
        <v>-1.102454432009</v>
      </c>
      <c r="AE7002">
        <v>9.4173000000000098</v>
      </c>
      <c r="AF7002">
        <v>9.9352904560493993</v>
      </c>
      <c r="AG7002">
        <v>-1.102454432009</v>
      </c>
      <c r="AH7002">
        <v>12.3058070816335</v>
      </c>
      <c r="AI7002">
        <v>93.987376913632602</v>
      </c>
      <c r="AJ7002">
        <v>51.083772314895903</v>
      </c>
      <c r="AK7002">
        <v>15.854283022297199</v>
      </c>
      <c r="AL7002">
        <v>82.007845693024294</v>
      </c>
      <c r="AM7002">
        <v>57.777564662231299</v>
      </c>
      <c r="AN7002">
        <v>1.0000000064402199</v>
      </c>
    </row>
    <row r="7003" spans="1:40" x14ac:dyDescent="0.25">
      <c r="A7003" t="str">
        <f>"20190312164640912"</f>
        <v>20190312164640912</v>
      </c>
      <c r="B7003" t="str">
        <f>"1552380400907771"</f>
        <v>1552380400907771</v>
      </c>
      <c r="C7003" t="s">
        <v>40</v>
      </c>
      <c r="D7003">
        <v>5.131894</v>
      </c>
      <c r="E7003">
        <v>0.55720170000000002</v>
      </c>
      <c r="F7003" t="s">
        <v>71</v>
      </c>
      <c r="G7003">
        <v>-173.0009</v>
      </c>
      <c r="H7003" s="1">
        <v>-2.3883230000000001E-6</v>
      </c>
      <c r="I7003">
        <v>132.96459999999999</v>
      </c>
      <c r="J7003">
        <v>-185.95949999999999</v>
      </c>
      <c r="K7003">
        <v>1.102398</v>
      </c>
      <c r="L7003">
        <v>123.5252</v>
      </c>
      <c r="M7003">
        <v>0.25900309999999999</v>
      </c>
      <c r="N7003">
        <v>0</v>
      </c>
      <c r="O7003">
        <v>0.96577469999999999</v>
      </c>
      <c r="P7003">
        <v>0.7257441</v>
      </c>
      <c r="Q7003">
        <v>0.13574359999999999</v>
      </c>
      <c r="R7003">
        <v>0.67443999999999904</v>
      </c>
      <c r="S7003">
        <v>2.4790190000000001</v>
      </c>
      <c r="T7003">
        <v>-0.21025659999999999</v>
      </c>
      <c r="U7003">
        <v>1.8256380000000001</v>
      </c>
      <c r="V7003">
        <v>0.52857769999999904</v>
      </c>
      <c r="W7003">
        <v>0.13902100000000001</v>
      </c>
      <c r="X7003">
        <v>0.8374239</v>
      </c>
      <c r="Y7003">
        <v>0.62202639999999998</v>
      </c>
      <c r="Z7003">
        <v>-7.1985080000000007E-2</v>
      </c>
      <c r="AA7003">
        <v>0.77968029999999999</v>
      </c>
      <c r="AB7003">
        <v>27</v>
      </c>
      <c r="AC7003">
        <v>12.958599999999899</v>
      </c>
      <c r="AD7003">
        <v>-1.102400388323</v>
      </c>
      <c r="AE7003">
        <v>9.4393999999999902</v>
      </c>
      <c r="AF7003">
        <v>10.0238492268192</v>
      </c>
      <c r="AG7003">
        <v>-1.102400388323</v>
      </c>
      <c r="AH7003">
        <v>12.4151758024882</v>
      </c>
      <c r="AI7003">
        <v>93.952129644062595</v>
      </c>
      <c r="AJ7003">
        <v>51.083051002088702</v>
      </c>
      <c r="AK7003">
        <v>15.9946688038505</v>
      </c>
      <c r="AL7003">
        <v>82.008800339824504</v>
      </c>
      <c r="AM7003">
        <v>57.740087961161599</v>
      </c>
      <c r="AN7003">
        <v>1.00000000583475</v>
      </c>
    </row>
    <row r="7004" spans="1:40" x14ac:dyDescent="0.25">
      <c r="A7004" t="str">
        <f>"20190312164640924"</f>
        <v>20190312164640924</v>
      </c>
      <c r="B7004" t="str">
        <f>"1552380400918503"</f>
        <v>1552380400918503</v>
      </c>
      <c r="C7004" t="s">
        <v>40</v>
      </c>
      <c r="D7004">
        <v>5.1489640000000003</v>
      </c>
      <c r="E7004">
        <v>0.55717839999999996</v>
      </c>
      <c r="F7004" t="s">
        <v>71</v>
      </c>
      <c r="G7004">
        <v>-172.6739</v>
      </c>
      <c r="H7004" s="1">
        <v>-2.3081820000000001E-6</v>
      </c>
      <c r="I7004">
        <v>133.2046</v>
      </c>
      <c r="J7004">
        <v>-185.91569999999999</v>
      </c>
      <c r="K7004">
        <v>1.102341</v>
      </c>
      <c r="L7004">
        <v>123.6682</v>
      </c>
      <c r="M7004">
        <v>0.26392389999999999</v>
      </c>
      <c r="N7004">
        <v>0</v>
      </c>
      <c r="O7004">
        <v>0.9644414</v>
      </c>
      <c r="P7004">
        <v>0.72959719999999995</v>
      </c>
      <c r="Q7004">
        <v>0.1357766</v>
      </c>
      <c r="R7004">
        <v>0.67026319999999995</v>
      </c>
      <c r="S7004">
        <v>2.4878689999999999</v>
      </c>
      <c r="T7004">
        <v>-0.20643700000000001</v>
      </c>
      <c r="U7004">
        <v>1.812576</v>
      </c>
      <c r="V7004">
        <v>0.52912869999999901</v>
      </c>
      <c r="W7004">
        <v>0.138982299999999</v>
      </c>
      <c r="X7004">
        <v>0.83708229999999995</v>
      </c>
      <c r="Y7004">
        <v>0.62210799999999999</v>
      </c>
      <c r="Z7004">
        <v>-7.0723049999999996E-2</v>
      </c>
      <c r="AA7004">
        <v>0.7797307</v>
      </c>
      <c r="AB7004">
        <v>27</v>
      </c>
      <c r="AC7004">
        <v>13.2417999999999</v>
      </c>
      <c r="AD7004">
        <v>-1.102343308182</v>
      </c>
      <c r="AE7004">
        <v>9.5364000000000004</v>
      </c>
      <c r="AF7004">
        <v>10.2084815589311</v>
      </c>
      <c r="AG7004">
        <v>-1.102343308182</v>
      </c>
      <c r="AH7004">
        <v>12.6357156432121</v>
      </c>
      <c r="AI7004">
        <v>93.882178879423606</v>
      </c>
      <c r="AJ7004">
        <v>51.0650170159822</v>
      </c>
      <c r="AK7004">
        <v>16.281571371469202</v>
      </c>
      <c r="AL7004">
        <v>82.011039528426593</v>
      </c>
      <c r="AM7004">
        <v>57.702580357969097</v>
      </c>
      <c r="AN7004">
        <v>1.0000000189251299</v>
      </c>
    </row>
    <row r="7005" spans="1:40" x14ac:dyDescent="0.25">
      <c r="A7005" t="str">
        <f>"20190312164640937"</f>
        <v>20190312164640937</v>
      </c>
      <c r="B7005" t="str">
        <f>"1552380400928264"</f>
        <v>1552380400928264</v>
      </c>
      <c r="C7005" t="s">
        <v>40</v>
      </c>
      <c r="D7005">
        <v>5.0396049999999999</v>
      </c>
      <c r="E7005">
        <v>0.55685779999999996</v>
      </c>
      <c r="F7005" t="s">
        <v>71</v>
      </c>
      <c r="G7005">
        <v>-172.5831</v>
      </c>
      <c r="H7005" s="1">
        <v>-2.2839919999999998E-6</v>
      </c>
      <c r="I7005">
        <v>133.26689999999999</v>
      </c>
      <c r="J7005">
        <v>-185.87350000000001</v>
      </c>
      <c r="K7005">
        <v>1.1022940000000001</v>
      </c>
      <c r="L7005">
        <v>123.8034</v>
      </c>
      <c r="M7005">
        <v>0.26861370000000001</v>
      </c>
      <c r="N7005">
        <v>0</v>
      </c>
      <c r="O7005">
        <v>0.96314560000000005</v>
      </c>
      <c r="P7005">
        <v>0.73326459999999904</v>
      </c>
      <c r="Q7005">
        <v>0.13529829999999901</v>
      </c>
      <c r="R7005">
        <v>0.66634649999999995</v>
      </c>
      <c r="S7005">
        <v>2.4980929999999999</v>
      </c>
      <c r="T7005">
        <v>-0.2065428</v>
      </c>
      <c r="U7005">
        <v>1.7984770000000001</v>
      </c>
      <c r="V7005">
        <v>0.5296324</v>
      </c>
      <c r="W7005">
        <v>0.13844210000000001</v>
      </c>
      <c r="X7005">
        <v>0.83685330000000002</v>
      </c>
      <c r="Y7005">
        <v>0.62271219999999905</v>
      </c>
      <c r="Z7005">
        <v>-7.0790030000000004E-2</v>
      </c>
      <c r="AA7005">
        <v>0.77924209999999905</v>
      </c>
      <c r="AB7005">
        <v>27</v>
      </c>
      <c r="AC7005">
        <v>13.2904</v>
      </c>
      <c r="AD7005">
        <v>-1.1022962839920001</v>
      </c>
      <c r="AE7005">
        <v>9.4634999999999891</v>
      </c>
      <c r="AF7005">
        <v>10.212958487614101</v>
      </c>
      <c r="AG7005">
        <v>-1.1022962839920001</v>
      </c>
      <c r="AH7005">
        <v>12.6283200437981</v>
      </c>
      <c r="AI7005">
        <v>93.882713692333198</v>
      </c>
      <c r="AJ7005">
        <v>51.036335747478198</v>
      </c>
      <c r="AK7005">
        <v>16.278637697793499</v>
      </c>
      <c r="AL7005">
        <v>82.042293251088196</v>
      </c>
      <c r="AM7005">
        <v>57.670869551958098</v>
      </c>
      <c r="AN7005">
        <v>1.0000000699515199</v>
      </c>
    </row>
    <row r="7006" spans="1:40" x14ac:dyDescent="0.25">
      <c r="A7006" t="str">
        <f>"20190312164640947"</f>
        <v>20190312164640947</v>
      </c>
      <c r="B7006" t="str">
        <f>"1552380400938023"</f>
        <v>1552380400938023</v>
      </c>
      <c r="C7006" t="s">
        <v>40</v>
      </c>
      <c r="D7006">
        <v>5.1804100000000002</v>
      </c>
      <c r="E7006">
        <v>0.55652950000000001</v>
      </c>
      <c r="F7006" t="s">
        <v>71</v>
      </c>
      <c r="G7006">
        <v>-172.31700000000001</v>
      </c>
      <c r="H7006" s="1">
        <v>-2.2197429999999998E-6</v>
      </c>
      <c r="I7006">
        <v>133.46440000000001</v>
      </c>
      <c r="J7006">
        <v>-185.83070000000001</v>
      </c>
      <c r="K7006">
        <v>1.1022459999999901</v>
      </c>
      <c r="L7006">
        <v>123.93899999999999</v>
      </c>
      <c r="M7006">
        <v>0.27333829999999998</v>
      </c>
      <c r="N7006">
        <v>0</v>
      </c>
      <c r="O7006">
        <v>0.96181530000000004</v>
      </c>
      <c r="P7006">
        <v>0.73682250000000005</v>
      </c>
      <c r="Q7006">
        <v>0.13538599999999901</v>
      </c>
      <c r="R7006">
        <v>0.66239209999999904</v>
      </c>
      <c r="S7006">
        <v>2.5059969999999998</v>
      </c>
      <c r="T7006">
        <v>-0.20376649999999999</v>
      </c>
      <c r="U7006">
        <v>1.7858889999999901</v>
      </c>
      <c r="V7006">
        <v>0.53002859999999996</v>
      </c>
      <c r="W7006">
        <v>0.13847089999999901</v>
      </c>
      <c r="X7006">
        <v>0.83659760000000005</v>
      </c>
      <c r="Y7006">
        <v>0.62268690000000004</v>
      </c>
      <c r="Z7006">
        <v>-6.9883909999999994E-2</v>
      </c>
      <c r="AA7006">
        <v>0.77934409999999998</v>
      </c>
      <c r="AB7006">
        <v>27</v>
      </c>
      <c r="AC7006">
        <v>13.5137</v>
      </c>
      <c r="AD7006">
        <v>-1.1022482197429999</v>
      </c>
      <c r="AE7006">
        <v>9.5254000000000101</v>
      </c>
      <c r="AF7006">
        <v>10.3490557524081</v>
      </c>
      <c r="AG7006">
        <v>-1.1022482197429999</v>
      </c>
      <c r="AH7006">
        <v>12.7998664100692</v>
      </c>
      <c r="AI7006">
        <v>93.831051138723595</v>
      </c>
      <c r="AJ7006">
        <v>51.043476114042498</v>
      </c>
      <c r="AK7006">
        <v>16.497105389127999</v>
      </c>
      <c r="AL7006">
        <v>82.040626730168697</v>
      </c>
      <c r="AM7006">
        <v>57.643590144131203</v>
      </c>
      <c r="AN7006">
        <v>1.0000000256452599</v>
      </c>
    </row>
    <row r="7007" spans="1:40" x14ac:dyDescent="0.25">
      <c r="A7007" t="str">
        <f>"20190312164640959"</f>
        <v>20190312164640959</v>
      </c>
      <c r="B7007" t="str">
        <f>"1552380400947785"</f>
        <v>1552380400947785</v>
      </c>
      <c r="C7007" t="s">
        <v>40</v>
      </c>
      <c r="D7007">
        <v>5.1398929999999998</v>
      </c>
      <c r="E7007">
        <v>0.5561971</v>
      </c>
      <c r="F7007" t="s">
        <v>71</v>
      </c>
      <c r="G7007">
        <v>-172.24950000000001</v>
      </c>
      <c r="H7007" s="1">
        <v>-2.2070199999999999E-6</v>
      </c>
      <c r="I7007">
        <v>133.52260000000001</v>
      </c>
      <c r="J7007">
        <v>-185.79060000000001</v>
      </c>
      <c r="K7007">
        <v>1.102204</v>
      </c>
      <c r="L7007">
        <v>124.0624</v>
      </c>
      <c r="M7007">
        <v>0.27769120000000003</v>
      </c>
      <c r="N7007">
        <v>0</v>
      </c>
      <c r="O7007">
        <v>0.96056739999999996</v>
      </c>
      <c r="P7007">
        <v>0.73986450000000004</v>
      </c>
      <c r="Q7007">
        <v>0.13518050000000001</v>
      </c>
      <c r="R7007">
        <v>0.65903480000000003</v>
      </c>
      <c r="S7007">
        <v>2.5141450000000001</v>
      </c>
      <c r="T7007">
        <v>-0.20404739999999999</v>
      </c>
      <c r="U7007">
        <v>1.7741089999999999</v>
      </c>
      <c r="V7007">
        <v>0.53008929999999999</v>
      </c>
      <c r="W7007">
        <v>0.13822579999999901</v>
      </c>
      <c r="X7007">
        <v>0.836599599999999</v>
      </c>
      <c r="Y7007">
        <v>0.62276949999999998</v>
      </c>
      <c r="Z7007">
        <v>-7.0003250000000003E-2</v>
      </c>
      <c r="AA7007">
        <v>0.77926739999999906</v>
      </c>
      <c r="AB7007">
        <v>27</v>
      </c>
      <c r="AC7007">
        <v>13.5411</v>
      </c>
      <c r="AD7007">
        <v>-1.1022062070200001</v>
      </c>
      <c r="AE7007">
        <v>9.4602000000000093</v>
      </c>
      <c r="AF7007">
        <v>10.3351362064912</v>
      </c>
      <c r="AG7007">
        <v>-1.1022062070200001</v>
      </c>
      <c r="AH7007">
        <v>12.791721814830399</v>
      </c>
      <c r="AI7007">
        <v>93.834408916108998</v>
      </c>
      <c r="AJ7007">
        <v>51.063347081003798</v>
      </c>
      <c r="AK7007">
        <v>16.4820522362213</v>
      </c>
      <c r="AL7007">
        <v>82.054805790184105</v>
      </c>
      <c r="AM7007">
        <v>57.640685725355098</v>
      </c>
      <c r="AN7007">
        <v>0.99999996424014403</v>
      </c>
    </row>
    <row r="7008" spans="1:40" x14ac:dyDescent="0.25">
      <c r="A7008" t="str">
        <f>"20190312164640972"</f>
        <v>20190312164640972</v>
      </c>
      <c r="B7008" t="str">
        <f>"1552380400968279"</f>
        <v>1552380400968279</v>
      </c>
      <c r="C7008" t="s">
        <v>40</v>
      </c>
      <c r="D7008">
        <v>5.0564799999999996</v>
      </c>
      <c r="E7008">
        <v>0.55564440000000004</v>
      </c>
      <c r="F7008" t="s">
        <v>71</v>
      </c>
      <c r="G7008">
        <v>-171.9915</v>
      </c>
      <c r="H7008" s="1">
        <v>-2.1460069999999998E-6</v>
      </c>
      <c r="I7008">
        <v>133.71700000000001</v>
      </c>
      <c r="J7008">
        <v>-185.7432</v>
      </c>
      <c r="K7008">
        <v>1.1021700000000001</v>
      </c>
      <c r="L7008">
        <v>124.2072</v>
      </c>
      <c r="M7008">
        <v>0.28280509999999998</v>
      </c>
      <c r="N7008">
        <v>0</v>
      </c>
      <c r="O7008">
        <v>0.95907410000000004</v>
      </c>
      <c r="P7008">
        <v>0.74348130000000001</v>
      </c>
      <c r="Q7008">
        <v>0.13470399999999999</v>
      </c>
      <c r="R7008">
        <v>0.65505000000000002</v>
      </c>
      <c r="S7008">
        <v>2.5206599999999999</v>
      </c>
      <c r="T7008">
        <v>-0.20133789999999999</v>
      </c>
      <c r="U7008">
        <v>1.7635799999999999</v>
      </c>
      <c r="V7008">
        <v>0.53021619999999903</v>
      </c>
      <c r="W7008">
        <v>0.13770250000000001</v>
      </c>
      <c r="X7008">
        <v>0.8366055</v>
      </c>
      <c r="Y7008">
        <v>0.62178979999999995</v>
      </c>
      <c r="Z7008">
        <v>-6.909999E-2</v>
      </c>
      <c r="AA7008">
        <v>0.78012990000000004</v>
      </c>
      <c r="AB7008">
        <v>27</v>
      </c>
      <c r="AC7008">
        <v>13.7517</v>
      </c>
      <c r="AD7008">
        <v>-1.102172146007</v>
      </c>
      <c r="AE7008">
        <v>9.5098000000000091</v>
      </c>
      <c r="AF7008">
        <v>10.455086470110301</v>
      </c>
      <c r="AG7008">
        <v>-1.102172146007</v>
      </c>
      <c r="AH7008">
        <v>12.954647600464799</v>
      </c>
      <c r="AI7008">
        <v>93.787874460997301</v>
      </c>
      <c r="AJ7008">
        <v>51.094633295311901</v>
      </c>
      <c r="AK7008">
        <v>16.683719938585199</v>
      </c>
      <c r="AL7008">
        <v>82.085078286042702</v>
      </c>
      <c r="AM7008">
        <v>57.634667591704797</v>
      </c>
      <c r="AN7008">
        <v>0.99999997993946899</v>
      </c>
    </row>
    <row r="7009" spans="1:40" x14ac:dyDescent="0.25">
      <c r="A7009" t="str">
        <f>"20190312164640983"</f>
        <v>20190312164640983</v>
      </c>
      <c r="B7009" t="str">
        <f>"1552380400978039"</f>
        <v>1552380400978039</v>
      </c>
      <c r="C7009" t="s">
        <v>40</v>
      </c>
      <c r="D7009">
        <v>5.0742949999999896</v>
      </c>
      <c r="E7009">
        <v>0.55564440000000004</v>
      </c>
      <c r="F7009" t="s">
        <v>71</v>
      </c>
      <c r="G7009">
        <v>-171.5378</v>
      </c>
      <c r="H7009" s="1">
        <v>-2.0346290000000001E-6</v>
      </c>
      <c r="I7009">
        <v>134.0496</v>
      </c>
      <c r="J7009">
        <v>-185.6952</v>
      </c>
      <c r="K7009">
        <v>1.1021319999999999</v>
      </c>
      <c r="L7009">
        <v>124.35039999999999</v>
      </c>
      <c r="M7009">
        <v>0.28791270000000002</v>
      </c>
      <c r="N7009">
        <v>0</v>
      </c>
      <c r="O7009">
        <v>0.95755299999999999</v>
      </c>
      <c r="P7009">
        <v>0.74704999999999999</v>
      </c>
      <c r="Q7009">
        <v>0.1346637</v>
      </c>
      <c r="R7009">
        <v>0.65098549999999999</v>
      </c>
      <c r="S7009">
        <v>2.5276179999999999</v>
      </c>
      <c r="T7009">
        <v>-0.19611229999999999</v>
      </c>
      <c r="U7009">
        <v>1.7512970000000001</v>
      </c>
      <c r="V7009">
        <v>0.53033960000000002</v>
      </c>
      <c r="W7009">
        <v>0.13761889999999999</v>
      </c>
      <c r="X7009">
        <v>0.83654110000000004</v>
      </c>
      <c r="Y7009">
        <v>0.62128660000000002</v>
      </c>
      <c r="Z7009">
        <v>-6.735186E-2</v>
      </c>
      <c r="AA7009">
        <v>0.78068349999999997</v>
      </c>
      <c r="AB7009">
        <v>27</v>
      </c>
      <c r="AC7009">
        <v>14.1573999999999</v>
      </c>
      <c r="AD7009">
        <v>-1.1021340346289901</v>
      </c>
      <c r="AE7009">
        <v>9.6991999999999994</v>
      </c>
      <c r="AF7009">
        <v>10.720788453394199</v>
      </c>
      <c r="AG7009">
        <v>-1.1021340346289901</v>
      </c>
      <c r="AH7009">
        <v>13.3100225176916</v>
      </c>
      <c r="AI7009">
        <v>93.6897443135354</v>
      </c>
      <c r="AJ7009">
        <v>51.149691004458603</v>
      </c>
      <c r="AK7009">
        <v>17.126199342357801</v>
      </c>
      <c r="AL7009">
        <v>82.089914672649797</v>
      </c>
      <c r="AM7009">
        <v>57.6266440738612</v>
      </c>
      <c r="AN7009">
        <v>1.00000003247728</v>
      </c>
    </row>
    <row r="7010" spans="1:40" x14ac:dyDescent="0.25">
      <c r="A7010" t="str">
        <f>"20190312164641007"</f>
        <v>20190312164641007</v>
      </c>
      <c r="B7010" t="str">
        <f>"1552380400998536"</f>
        <v>1552380400998536</v>
      </c>
      <c r="C7010" t="s">
        <v>40</v>
      </c>
      <c r="D7010">
        <v>5.0658919999999998</v>
      </c>
      <c r="E7010">
        <v>0.55534949999999905</v>
      </c>
      <c r="F7010" t="s">
        <v>71</v>
      </c>
      <c r="G7010">
        <v>-171.41739999999999</v>
      </c>
      <c r="H7010" s="1">
        <v>-1.9988790000000001E-6</v>
      </c>
      <c r="I7010">
        <v>134.12389999999999</v>
      </c>
      <c r="J7010">
        <v>-185.60300000000001</v>
      </c>
      <c r="K7010">
        <v>1.1020700000000001</v>
      </c>
      <c r="L7010">
        <v>124.6191</v>
      </c>
      <c r="M7010">
        <v>0.2975643</v>
      </c>
      <c r="N7010">
        <v>0</v>
      </c>
      <c r="O7010">
        <v>0.95459749999999999</v>
      </c>
      <c r="P7010">
        <v>0.7539517</v>
      </c>
      <c r="Q7010">
        <v>0.13394510000000001</v>
      </c>
      <c r="R7010">
        <v>0.64312959999999997</v>
      </c>
      <c r="S7010">
        <v>2.5374910000000002</v>
      </c>
      <c r="T7010">
        <v>-0.1958734</v>
      </c>
      <c r="U7010">
        <v>1.73696899999999</v>
      </c>
      <c r="V7010">
        <v>0.53078440000000005</v>
      </c>
      <c r="W7010">
        <v>0.136824</v>
      </c>
      <c r="X7010">
        <v>0.8363893</v>
      </c>
      <c r="Y7010">
        <v>0.61780449999999998</v>
      </c>
      <c r="Z7010">
        <v>-6.7249539999999997E-2</v>
      </c>
      <c r="AA7010">
        <v>0.7834508</v>
      </c>
      <c r="AB7010">
        <v>27</v>
      </c>
      <c r="AC7010">
        <v>14.1855999999999</v>
      </c>
      <c r="AD7010">
        <v>-1.102071998879</v>
      </c>
      <c r="AE7010">
        <v>9.5047999999999799</v>
      </c>
      <c r="AF7010">
        <v>10.669869817008699</v>
      </c>
      <c r="AG7010">
        <v>-1.102071998879</v>
      </c>
      <c r="AH7010">
        <v>13.2405557755612</v>
      </c>
      <c r="AI7010">
        <v>93.708153534030004</v>
      </c>
      <c r="AJ7010">
        <v>51.136480031359604</v>
      </c>
      <c r="AK7010">
        <v>17.040334557994299</v>
      </c>
      <c r="AL7010">
        <v>82.135893569077993</v>
      </c>
      <c r="AM7010">
        <v>57.6002143906912</v>
      </c>
      <c r="AN7010">
        <v>0.99999997370692395</v>
      </c>
    </row>
    <row r="7011" spans="1:40" x14ac:dyDescent="0.25">
      <c r="A7011" t="str">
        <f>"20190312164641018"</f>
        <v>20190312164641018</v>
      </c>
      <c r="B7011" t="str">
        <f>"1552380401008296"</f>
        <v>1552380401008296</v>
      </c>
      <c r="C7011" t="s">
        <v>40</v>
      </c>
      <c r="D7011">
        <v>5.0318569999999996</v>
      </c>
      <c r="E7011">
        <v>0.55503119999999995</v>
      </c>
      <c r="F7011" t="s">
        <v>71</v>
      </c>
      <c r="G7011">
        <v>-171.42240000000001</v>
      </c>
      <c r="H7011" s="1">
        <v>-2.0013190000000001E-6</v>
      </c>
      <c r="I7011">
        <v>134.12289999999999</v>
      </c>
      <c r="J7011">
        <v>-185.56049999999999</v>
      </c>
      <c r="K7011">
        <v>1.102044</v>
      </c>
      <c r="L7011">
        <v>124.7394</v>
      </c>
      <c r="M7011">
        <v>0.30192550000000001</v>
      </c>
      <c r="N7011">
        <v>0</v>
      </c>
      <c r="O7011">
        <v>0.95322700000000005</v>
      </c>
      <c r="P7011">
        <v>0.75713459999999999</v>
      </c>
      <c r="Q7011">
        <v>0.13353489999999901</v>
      </c>
      <c r="R7011">
        <v>0.63946519999999996</v>
      </c>
      <c r="S7011">
        <v>2.554138</v>
      </c>
      <c r="T7011">
        <v>-0.19849910000000001</v>
      </c>
      <c r="U7011">
        <v>1.7117770000000001</v>
      </c>
      <c r="V7011">
        <v>0.53108820000000001</v>
      </c>
      <c r="W7011">
        <v>0.13638140000000001</v>
      </c>
      <c r="X7011">
        <v>0.83626880000000003</v>
      </c>
      <c r="Y7011">
        <v>0.62184439999999996</v>
      </c>
      <c r="Z7011">
        <v>-6.8221030000000002E-2</v>
      </c>
      <c r="AA7011">
        <v>0.78016370000000002</v>
      </c>
      <c r="AB7011">
        <v>27</v>
      </c>
      <c r="AC7011">
        <v>14.1380999999999</v>
      </c>
      <c r="AD7011">
        <v>-1.1020460013189901</v>
      </c>
      <c r="AE7011">
        <v>9.3834999999999802</v>
      </c>
      <c r="AF7011">
        <v>10.600050706751</v>
      </c>
      <c r="AG7011">
        <v>-1.1020460013189901</v>
      </c>
      <c r="AH7011">
        <v>13.159070649703001</v>
      </c>
      <c r="AI7011">
        <v>93.731537062539502</v>
      </c>
      <c r="AJ7011">
        <v>51.147448896485898</v>
      </c>
      <c r="AK7011">
        <v>16.933302121517599</v>
      </c>
      <c r="AL7011">
        <v>82.161493126723698</v>
      </c>
      <c r="AM7011">
        <v>57.581644687754498</v>
      </c>
      <c r="AN7011">
        <v>1.00000003414931</v>
      </c>
    </row>
    <row r="7012" spans="1:40" x14ac:dyDescent="0.25">
      <c r="A7012" t="str">
        <f>"20190312164641027"</f>
        <v>20190312164641027</v>
      </c>
      <c r="B7012" t="str">
        <f>"1552380401018056"</f>
        <v>1552380401018056</v>
      </c>
      <c r="C7012" t="s">
        <v>40</v>
      </c>
      <c r="D7012">
        <v>5.0826890000000002</v>
      </c>
      <c r="E7012">
        <v>0.55474129999999999</v>
      </c>
      <c r="F7012" t="s">
        <v>71</v>
      </c>
      <c r="G7012">
        <v>-171.43289999999999</v>
      </c>
      <c r="H7012" s="1">
        <v>-2.0067109999999999E-6</v>
      </c>
      <c r="I7012">
        <v>134.1216</v>
      </c>
      <c r="J7012">
        <v>-185.5187</v>
      </c>
      <c r="K7012">
        <v>1.102015</v>
      </c>
      <c r="L7012">
        <v>124.8569</v>
      </c>
      <c r="M7012">
        <v>0.3061895</v>
      </c>
      <c r="N7012">
        <v>0</v>
      </c>
      <c r="O7012">
        <v>0.95186579999999998</v>
      </c>
      <c r="P7012">
        <v>0.76009740000000003</v>
      </c>
      <c r="Q7012">
        <v>0.13306080000000001</v>
      </c>
      <c r="R7012">
        <v>0.63603999999999905</v>
      </c>
      <c r="S7012">
        <v>2.5610659999999998</v>
      </c>
      <c r="T7012">
        <v>-0.19978000000000001</v>
      </c>
      <c r="U7012">
        <v>1.7008209999999999</v>
      </c>
      <c r="V7012">
        <v>0.53120019999999901</v>
      </c>
      <c r="W7012">
        <v>0.13588059999999999</v>
      </c>
      <c r="X7012">
        <v>0.8362792</v>
      </c>
      <c r="Y7012">
        <v>0.62160590000000004</v>
      </c>
      <c r="Z7012">
        <v>-6.8671880000000005E-2</v>
      </c>
      <c r="AA7012">
        <v>0.78031419999999996</v>
      </c>
      <c r="AB7012">
        <v>27</v>
      </c>
      <c r="AC7012">
        <v>14.085800000000001</v>
      </c>
      <c r="AD7012">
        <v>-1.102017006711</v>
      </c>
      <c r="AE7012">
        <v>9.2646999999999995</v>
      </c>
      <c r="AF7012">
        <v>10.5271146223758</v>
      </c>
      <c r="AG7012">
        <v>-1.102017006711</v>
      </c>
      <c r="AH7012">
        <v>13.0771128496307</v>
      </c>
      <c r="AI7012">
        <v>93.755725861818107</v>
      </c>
      <c r="AJ7012">
        <v>51.1658319514979</v>
      </c>
      <c r="AK7012">
        <v>16.823955071198199</v>
      </c>
      <c r="AL7012">
        <v>82.190456563139193</v>
      </c>
      <c r="AM7012">
        <v>57.576499355751302</v>
      </c>
      <c r="AN7012">
        <v>1.0000000451445099</v>
      </c>
    </row>
    <row r="7013" spans="1:40" x14ac:dyDescent="0.25">
      <c r="A7013" t="str">
        <f>"20190312164641037"</f>
        <v>20190312164641037</v>
      </c>
      <c r="B7013" t="str">
        <f>"1552380401027816"</f>
        <v>1552380401027816</v>
      </c>
      <c r="C7013" t="s">
        <v>40</v>
      </c>
      <c r="D7013">
        <v>5.1030620000000004</v>
      </c>
      <c r="E7013">
        <v>0.55449389999999998</v>
      </c>
      <c r="F7013" t="s">
        <v>71</v>
      </c>
      <c r="G7013">
        <v>-171.45939999999999</v>
      </c>
      <c r="H7013" s="1">
        <v>-2.0186539999999998E-6</v>
      </c>
      <c r="I7013">
        <v>134.11449999999999</v>
      </c>
      <c r="J7013">
        <v>-185.48089999999999</v>
      </c>
      <c r="K7013">
        <v>1.10199</v>
      </c>
      <c r="L7013">
        <v>124.9605</v>
      </c>
      <c r="M7013">
        <v>0.30998189999999998</v>
      </c>
      <c r="N7013">
        <v>0</v>
      </c>
      <c r="O7013">
        <v>0.95063750000000002</v>
      </c>
      <c r="P7013">
        <v>0.76259049999999995</v>
      </c>
      <c r="Q7013">
        <v>0.1324032</v>
      </c>
      <c r="R7013">
        <v>0.63318649999999999</v>
      </c>
      <c r="S7013">
        <v>2.5674440000000001</v>
      </c>
      <c r="T7013">
        <v>-0.20124420000000001</v>
      </c>
      <c r="U7013">
        <v>1.6905669999999999</v>
      </c>
      <c r="V7013">
        <v>0.53110489999999999</v>
      </c>
      <c r="W7013">
        <v>0.13520599999999999</v>
      </c>
      <c r="X7013">
        <v>0.836449</v>
      </c>
      <c r="Y7013">
        <v>0.62152149999999995</v>
      </c>
      <c r="Z7013">
        <v>-6.9186159999999997E-2</v>
      </c>
      <c r="AA7013">
        <v>0.78033599999999903</v>
      </c>
      <c r="AB7013">
        <v>27</v>
      </c>
      <c r="AC7013">
        <v>14.0215</v>
      </c>
      <c r="AD7013">
        <v>-1.101992018654</v>
      </c>
      <c r="AE7013">
        <v>9.1539999999999893</v>
      </c>
      <c r="AF7013">
        <v>10.4475886168747</v>
      </c>
      <c r="AG7013">
        <v>-1.101992018654</v>
      </c>
      <c r="AH7013">
        <v>12.993574765604</v>
      </c>
      <c r="AI7013">
        <v>93.781456528179405</v>
      </c>
      <c r="AJ7013">
        <v>51.198697649527404</v>
      </c>
      <c r="AK7013">
        <v>16.709263284357199</v>
      </c>
      <c r="AL7013">
        <v>82.229467991749303</v>
      </c>
      <c r="AM7013">
        <v>57.586415819644401</v>
      </c>
      <c r="AN7013">
        <v>1.0000000034205001</v>
      </c>
    </row>
    <row r="7014" spans="1:40" x14ac:dyDescent="0.25">
      <c r="A7014" t="str">
        <f>"20190312164641049"</f>
        <v>20190312164641049</v>
      </c>
      <c r="B7014" t="str">
        <f>"1552380401038552"</f>
        <v>1552380401038552</v>
      </c>
      <c r="C7014" t="s">
        <v>40</v>
      </c>
      <c r="D7014">
        <v>5.0716359999999998</v>
      </c>
      <c r="E7014">
        <v>0.55404350000000002</v>
      </c>
      <c r="F7014" t="s">
        <v>71</v>
      </c>
      <c r="G7014">
        <v>-171.52330000000001</v>
      </c>
      <c r="H7014" s="1">
        <v>-2.0411779999999999E-6</v>
      </c>
      <c r="I7014">
        <v>134.0829</v>
      </c>
      <c r="J7014">
        <v>-185.43350000000001</v>
      </c>
      <c r="K7014">
        <v>1.101963</v>
      </c>
      <c r="L7014">
        <v>125.0903</v>
      </c>
      <c r="M7014">
        <v>0.31472800000000001</v>
      </c>
      <c r="N7014">
        <v>0</v>
      </c>
      <c r="O7014">
        <v>0.94907660000000005</v>
      </c>
      <c r="P7014">
        <v>0.76593630000000001</v>
      </c>
      <c r="Q7014">
        <v>0.13227230000000001</v>
      </c>
      <c r="R7014">
        <v>0.62916289999999997</v>
      </c>
      <c r="S7014">
        <v>2.5729519999999999</v>
      </c>
      <c r="T7014">
        <v>-0.2031424</v>
      </c>
      <c r="U7014">
        <v>1.6816409999999999</v>
      </c>
      <c r="V7014">
        <v>0.53135699999999997</v>
      </c>
      <c r="W7014">
        <v>0.135043</v>
      </c>
      <c r="X7014">
        <v>0.83631520000000004</v>
      </c>
      <c r="Y7014">
        <v>0.62023539999999999</v>
      </c>
      <c r="Z7014">
        <v>-6.9830349999999999E-2</v>
      </c>
      <c r="AA7014">
        <v>0.78130140000000003</v>
      </c>
      <c r="AB7014">
        <v>27</v>
      </c>
      <c r="AC7014">
        <v>13.9102</v>
      </c>
      <c r="AD7014">
        <v>-1.101965041178</v>
      </c>
      <c r="AE7014">
        <v>8.9925999999999906</v>
      </c>
      <c r="AF7014">
        <v>10.326951710227499</v>
      </c>
      <c r="AG7014">
        <v>-1.101965041178</v>
      </c>
      <c r="AH7014">
        <v>12.8569810831008</v>
      </c>
      <c r="AI7014">
        <v>93.822983551691706</v>
      </c>
      <c r="AJ7014">
        <v>51.227961343047703</v>
      </c>
      <c r="AK7014">
        <v>16.5276199480918</v>
      </c>
      <c r="AL7014">
        <v>82.238893572732394</v>
      </c>
      <c r="AM7014">
        <v>57.5699619591703</v>
      </c>
      <c r="AN7014">
        <v>0.99999999352451996</v>
      </c>
    </row>
    <row r="7015" spans="1:40" x14ac:dyDescent="0.25">
      <c r="A7015" t="str">
        <f>"20190312164641059"</f>
        <v>20190312164641059</v>
      </c>
      <c r="B7015" t="str">
        <f>"1552380401048312"</f>
        <v>1552380401048312</v>
      </c>
      <c r="C7015" t="s">
        <v>40</v>
      </c>
      <c r="D7015">
        <v>4.965611</v>
      </c>
      <c r="E7015">
        <v>0.55363989999999996</v>
      </c>
      <c r="F7015" t="s">
        <v>71</v>
      </c>
      <c r="G7015">
        <v>-171.51499999999999</v>
      </c>
      <c r="H7015" s="1">
        <v>-2.044643E-6</v>
      </c>
      <c r="I7015">
        <v>134.10159999999999</v>
      </c>
      <c r="J7015">
        <v>-185.38890000000001</v>
      </c>
      <c r="K7015">
        <v>1.1019410000000001</v>
      </c>
      <c r="L7015">
        <v>125.209</v>
      </c>
      <c r="M7015">
        <v>0.31911030000000001</v>
      </c>
      <c r="N7015">
        <v>0</v>
      </c>
      <c r="O7015">
        <v>0.94761200000000001</v>
      </c>
      <c r="P7015">
        <v>0.76885680000000001</v>
      </c>
      <c r="Q7015">
        <v>0.13169600000000001</v>
      </c>
      <c r="R7015">
        <v>0.62571199999999905</v>
      </c>
      <c r="S7015">
        <v>2.5799560000000001</v>
      </c>
      <c r="T7015">
        <v>-0.20426130000000001</v>
      </c>
      <c r="U7015">
        <v>1.6703490000000001</v>
      </c>
      <c r="V7015">
        <v>0.531344699999999</v>
      </c>
      <c r="W7015">
        <v>0.134445799999999</v>
      </c>
      <c r="X7015">
        <v>0.83641929999999998</v>
      </c>
      <c r="Y7015">
        <v>0.61996949999999995</v>
      </c>
      <c r="Z7015">
        <v>-7.0220370000000004E-2</v>
      </c>
      <c r="AA7015">
        <v>0.78147739999999999</v>
      </c>
      <c r="AB7015">
        <v>27</v>
      </c>
      <c r="AC7015">
        <v>13.873900000000001</v>
      </c>
      <c r="AD7015">
        <v>-1.1019430446430001</v>
      </c>
      <c r="AE7015">
        <v>8.8925999999999803</v>
      </c>
      <c r="AF7015">
        <v>10.264488548596599</v>
      </c>
      <c r="AG7015">
        <v>-1.1019430446430001</v>
      </c>
      <c r="AH7015">
        <v>12.7980993116653</v>
      </c>
      <c r="AI7015">
        <v>93.842659376027896</v>
      </c>
      <c r="AJ7015">
        <v>51.269262053713803</v>
      </c>
      <c r="AK7015">
        <v>16.442790202066</v>
      </c>
      <c r="AL7015">
        <v>82.273426004140504</v>
      </c>
      <c r="AM7015">
        <v>57.573790120680201</v>
      </c>
      <c r="AN7015">
        <v>1.0000000543840999</v>
      </c>
    </row>
    <row r="7016" spans="1:40" x14ac:dyDescent="0.25">
      <c r="A7016" t="str">
        <f>"20190312164641069"</f>
        <v>20190312164641069</v>
      </c>
      <c r="B7016" t="str">
        <f>"1552380401058072"</f>
        <v>1552380401058072</v>
      </c>
      <c r="C7016" t="s">
        <v>40</v>
      </c>
      <c r="D7016">
        <v>5.082039</v>
      </c>
      <c r="E7016">
        <v>0.55332230000000004</v>
      </c>
      <c r="F7016" t="s">
        <v>71</v>
      </c>
      <c r="G7016">
        <v>-171.5789</v>
      </c>
      <c r="H7016" s="1">
        <v>-2.0701829999999998E-6</v>
      </c>
      <c r="I7016">
        <v>134.07689999999999</v>
      </c>
      <c r="J7016">
        <v>-185.34710000000001</v>
      </c>
      <c r="K7016">
        <v>1.101912</v>
      </c>
      <c r="L7016">
        <v>125.3203</v>
      </c>
      <c r="M7016">
        <v>0.32321749999999999</v>
      </c>
      <c r="N7016">
        <v>0</v>
      </c>
      <c r="O7016">
        <v>0.94621880000000003</v>
      </c>
      <c r="P7016">
        <v>0.77175680000000002</v>
      </c>
      <c r="Q7016">
        <v>0.1313184</v>
      </c>
      <c r="R7016">
        <v>0.62221130000000002</v>
      </c>
      <c r="S7016">
        <v>2.5858759999999998</v>
      </c>
      <c r="T7016">
        <v>-0.20633470000000001</v>
      </c>
      <c r="U7016">
        <v>1.6604920000000001</v>
      </c>
      <c r="V7016">
        <v>0.5315801</v>
      </c>
      <c r="W7016">
        <v>0.13404079999999999</v>
      </c>
      <c r="X7016">
        <v>0.83633469999999999</v>
      </c>
      <c r="Y7016">
        <v>0.61945019999999995</v>
      </c>
      <c r="Z7016">
        <v>-7.0933479999999993E-2</v>
      </c>
      <c r="AA7016">
        <v>0.78182469999999904</v>
      </c>
      <c r="AB7016">
        <v>27</v>
      </c>
      <c r="AC7016">
        <v>13.7682</v>
      </c>
      <c r="AD7016">
        <v>-1.1019140701829999</v>
      </c>
      <c r="AE7016">
        <v>8.7565999999999899</v>
      </c>
      <c r="AF7016">
        <v>10.152165667472699</v>
      </c>
      <c r="AG7016">
        <v>-1.1019140701829999</v>
      </c>
      <c r="AH7016">
        <v>12.6792345960577</v>
      </c>
      <c r="AI7016">
        <v>93.881001375039602</v>
      </c>
      <c r="AJ7016">
        <v>51.316012976600497</v>
      </c>
      <c r="AK7016">
        <v>16.2801619248626</v>
      </c>
      <c r="AL7016">
        <v>82.296842599404798</v>
      </c>
      <c r="AM7016">
        <v>57.559679133320898</v>
      </c>
      <c r="AN7016">
        <v>1.0000000346023601</v>
      </c>
    </row>
    <row r="7017" spans="1:40" x14ac:dyDescent="0.25">
      <c r="A7017" t="str">
        <f>"20190312164641080"</f>
        <v>20190312164641080</v>
      </c>
      <c r="B7017" t="str">
        <f>"1552380401067832"</f>
        <v>1552380401067832</v>
      </c>
      <c r="C7017" t="s">
        <v>40</v>
      </c>
      <c r="D7017">
        <v>5.2474319999999999</v>
      </c>
      <c r="E7017">
        <v>0.55298449999999999</v>
      </c>
      <c r="F7017" t="s">
        <v>71</v>
      </c>
      <c r="G7017">
        <v>-171.56219999999999</v>
      </c>
      <c r="H7017" s="1">
        <v>-2.0683690000000002E-6</v>
      </c>
      <c r="I7017">
        <v>134.0943</v>
      </c>
      <c r="J7017">
        <v>-185.29679999999999</v>
      </c>
      <c r="K7017">
        <v>1.1018870000000001</v>
      </c>
      <c r="L7017">
        <v>125.4504</v>
      </c>
      <c r="M7017">
        <v>0.3280594</v>
      </c>
      <c r="N7017">
        <v>0</v>
      </c>
      <c r="O7017">
        <v>0.94455089999999997</v>
      </c>
      <c r="P7017">
        <v>0.77510080000000003</v>
      </c>
      <c r="Q7017">
        <v>0.13128049999999999</v>
      </c>
      <c r="R7017">
        <v>0.61804879999999995</v>
      </c>
      <c r="S7017">
        <v>2.5922550000000002</v>
      </c>
      <c r="T7017">
        <v>-0.2072165</v>
      </c>
      <c r="U7017">
        <v>1.6499630000000001</v>
      </c>
      <c r="V7017">
        <v>0.53181149999999999</v>
      </c>
      <c r="W7017">
        <v>0.133972799999999</v>
      </c>
      <c r="X7017">
        <v>0.83619840000000001</v>
      </c>
      <c r="Y7017">
        <v>0.61854790000000004</v>
      </c>
      <c r="Z7017">
        <v>-7.1229440000000005E-2</v>
      </c>
      <c r="AA7017">
        <v>0.78251190000000004</v>
      </c>
      <c r="AB7017">
        <v>27</v>
      </c>
      <c r="AC7017">
        <v>13.7346</v>
      </c>
      <c r="AD7017">
        <v>-1.1018890683689999</v>
      </c>
      <c r="AE7017">
        <v>8.6439000000000004</v>
      </c>
      <c r="AF7017">
        <v>10.0918066367727</v>
      </c>
      <c r="AG7017">
        <v>-1.1018890683689999</v>
      </c>
      <c r="AH7017">
        <v>12.6134870092967</v>
      </c>
      <c r="AI7017">
        <v>93.902241193169004</v>
      </c>
      <c r="AJ7017">
        <v>51.337374919924699</v>
      </c>
      <c r="AK7017">
        <v>16.191317897154001</v>
      </c>
      <c r="AL7017">
        <v>82.300773699518601</v>
      </c>
      <c r="AM7017">
        <v>57.5441607992814</v>
      </c>
      <c r="AN7017">
        <v>0.99999997341732405</v>
      </c>
    </row>
    <row r="7018" spans="1:40" x14ac:dyDescent="0.25">
      <c r="A7018" t="str">
        <f>"20190312164641091"</f>
        <v>20190312164641091</v>
      </c>
      <c r="B7018" t="str">
        <f>"1552380401078568"</f>
        <v>1552380401078568</v>
      </c>
      <c r="C7018" t="s">
        <v>40</v>
      </c>
      <c r="D7018">
        <v>5.1913960000000001</v>
      </c>
      <c r="E7018">
        <v>0.55250569999999999</v>
      </c>
      <c r="F7018" t="s">
        <v>71</v>
      </c>
      <c r="G7018">
        <v>-171.4615</v>
      </c>
      <c r="H7018" s="1">
        <v>-2.0422440000000001E-6</v>
      </c>
      <c r="I7018">
        <v>134.16499999999999</v>
      </c>
      <c r="J7018">
        <v>-185.25389999999999</v>
      </c>
      <c r="K7018">
        <v>1.1018650000000001</v>
      </c>
      <c r="L7018">
        <v>125.56100000000001</v>
      </c>
      <c r="M7018">
        <v>0.33217649999999999</v>
      </c>
      <c r="N7018">
        <v>0</v>
      </c>
      <c r="O7018">
        <v>0.94311080000000003</v>
      </c>
      <c r="P7018">
        <v>0.77803469999999997</v>
      </c>
      <c r="Q7018">
        <v>0.131238299999999</v>
      </c>
      <c r="R7018">
        <v>0.61436020000000002</v>
      </c>
      <c r="S7018">
        <v>2.599777</v>
      </c>
      <c r="T7018">
        <v>-0.20705380000000001</v>
      </c>
      <c r="U7018">
        <v>1.637543</v>
      </c>
      <c r="V7018">
        <v>0.53214910000000004</v>
      </c>
      <c r="W7018">
        <v>0.13390089999999999</v>
      </c>
      <c r="X7018">
        <v>0.83599509999999899</v>
      </c>
      <c r="Y7018">
        <v>0.61882590000000004</v>
      </c>
      <c r="Z7018">
        <v>-7.1184319999999995E-2</v>
      </c>
      <c r="AA7018">
        <v>0.7822962</v>
      </c>
      <c r="AB7018">
        <v>27</v>
      </c>
      <c r="AC7018">
        <v>13.792399999999899</v>
      </c>
      <c r="AD7018">
        <v>-1.10186704224399</v>
      </c>
      <c r="AE7018">
        <v>8.6039999999999797</v>
      </c>
      <c r="AF7018">
        <v>10.1043107315892</v>
      </c>
      <c r="AG7018">
        <v>-1.10186704224399</v>
      </c>
      <c r="AH7018">
        <v>12.639241624190699</v>
      </c>
      <c r="AI7018">
        <v>93.895450606396594</v>
      </c>
      <c r="AJ7018">
        <v>51.359774204608797</v>
      </c>
      <c r="AK7018">
        <v>16.2191749227255</v>
      </c>
      <c r="AL7018">
        <v>82.304930628749702</v>
      </c>
      <c r="AM7018">
        <v>57.521382886892098</v>
      </c>
      <c r="AN7018">
        <v>0.999999961437814</v>
      </c>
    </row>
    <row r="7019" spans="1:40" x14ac:dyDescent="0.25">
      <c r="A7019" t="str">
        <f>"20190312164641101"</f>
        <v>20190312164641101</v>
      </c>
      <c r="B7019" t="str">
        <f>"1552380401098087"</f>
        <v>1552380401098087</v>
      </c>
      <c r="C7019" t="s">
        <v>40</v>
      </c>
      <c r="D7019">
        <v>4.934666</v>
      </c>
      <c r="E7019">
        <v>0.55203519999999995</v>
      </c>
      <c r="F7019" t="s">
        <v>71</v>
      </c>
      <c r="G7019">
        <v>-171.43950000000001</v>
      </c>
      <c r="H7019" s="1">
        <v>-2.0420129999999998E-6</v>
      </c>
      <c r="I7019">
        <v>134.1927</v>
      </c>
      <c r="J7019">
        <v>-185.20240000000001</v>
      </c>
      <c r="K7019">
        <v>1.101844</v>
      </c>
      <c r="L7019">
        <v>125.6909</v>
      </c>
      <c r="M7019">
        <v>0.33704620000000002</v>
      </c>
      <c r="N7019">
        <v>0</v>
      </c>
      <c r="O7019">
        <v>0.94138140000000003</v>
      </c>
      <c r="P7019">
        <v>0.78158030000000001</v>
      </c>
      <c r="Q7019">
        <v>0.13138359999999999</v>
      </c>
      <c r="R7019">
        <v>0.60981200000000002</v>
      </c>
      <c r="S7019">
        <v>2.605423</v>
      </c>
      <c r="T7019">
        <v>-0.20781469999999999</v>
      </c>
      <c r="U7019">
        <v>1.6279600000000001</v>
      </c>
      <c r="V7019">
        <v>0.53269309999999903</v>
      </c>
      <c r="W7019">
        <v>0.13400589999999901</v>
      </c>
      <c r="X7019">
        <v>0.83563180000000004</v>
      </c>
      <c r="Y7019">
        <v>0.617587</v>
      </c>
      <c r="Z7019">
        <v>-7.1429679999999995E-2</v>
      </c>
      <c r="AA7019">
        <v>0.78325219999999995</v>
      </c>
      <c r="AB7019">
        <v>27</v>
      </c>
      <c r="AC7019">
        <v>13.7629</v>
      </c>
      <c r="AD7019">
        <v>-1.1018460420129901</v>
      </c>
      <c r="AE7019">
        <v>8.5017999999999994</v>
      </c>
      <c r="AF7019">
        <v>10.0450517176755</v>
      </c>
      <c r="AG7019">
        <v>-1.1018460420129901</v>
      </c>
      <c r="AH7019">
        <v>12.5850553882629</v>
      </c>
      <c r="AI7019">
        <v>93.914506131132498</v>
      </c>
      <c r="AJ7019">
        <v>51.404076708211697</v>
      </c>
      <c r="AK7019">
        <v>16.140035558719202</v>
      </c>
      <c r="AL7019">
        <v>82.298860256028604</v>
      </c>
      <c r="AM7019">
        <v>57.483570362749397</v>
      </c>
      <c r="AN7019">
        <v>1.00000001259683</v>
      </c>
    </row>
    <row r="7020" spans="1:40" x14ac:dyDescent="0.25">
      <c r="A7020" t="str">
        <f>"20190312164641114"</f>
        <v>20190312164641114</v>
      </c>
      <c r="B7020" t="str">
        <f>"1552380401107848"</f>
        <v>1552380401107848</v>
      </c>
      <c r="C7020" t="s">
        <v>40</v>
      </c>
      <c r="D7020">
        <v>5.04704</v>
      </c>
      <c r="E7020">
        <v>0.55230979999999996</v>
      </c>
      <c r="F7020" t="s">
        <v>71</v>
      </c>
      <c r="G7020">
        <v>-171.3185</v>
      </c>
      <c r="H7020" s="1">
        <v>-2.0091130000000001E-6</v>
      </c>
      <c r="I7020">
        <v>134.27430000000001</v>
      </c>
      <c r="J7020">
        <v>-185.1489</v>
      </c>
      <c r="K7020">
        <v>1.1018190000000001</v>
      </c>
      <c r="L7020">
        <v>125.8241</v>
      </c>
      <c r="M7020">
        <v>0.34206320000000001</v>
      </c>
      <c r="N7020">
        <v>0</v>
      </c>
      <c r="O7020">
        <v>0.93956989999999996</v>
      </c>
      <c r="P7020">
        <v>0.78508820000000001</v>
      </c>
      <c r="Q7020">
        <v>0.13193339999999901</v>
      </c>
      <c r="R7020">
        <v>0.60516949999999903</v>
      </c>
      <c r="S7020">
        <v>2.6128849999999999</v>
      </c>
      <c r="T7020">
        <v>-0.2073615</v>
      </c>
      <c r="U7020">
        <v>1.615356</v>
      </c>
      <c r="V7020">
        <v>0.53312019999999904</v>
      </c>
      <c r="W7020">
        <v>0.13451569999999999</v>
      </c>
      <c r="X7020">
        <v>0.83527739999999995</v>
      </c>
      <c r="Y7020">
        <v>0.6171411</v>
      </c>
      <c r="Z7020">
        <v>-7.1269819999999998E-2</v>
      </c>
      <c r="AA7020">
        <v>0.78361819999999904</v>
      </c>
      <c r="AB7020">
        <v>27</v>
      </c>
      <c r="AC7020">
        <v>13.8303999999999</v>
      </c>
      <c r="AD7020">
        <v>-1.1018210091130001</v>
      </c>
      <c r="AE7020">
        <v>8.4502000000000095</v>
      </c>
      <c r="AF7020">
        <v>10.058655230585</v>
      </c>
      <c r="AG7020">
        <v>-1.1018210091130001</v>
      </c>
      <c r="AH7020">
        <v>12.613405911533199</v>
      </c>
      <c r="AI7020">
        <v>93.907004887134704</v>
      </c>
      <c r="AJ7020">
        <v>51.429127665084799</v>
      </c>
      <c r="AK7020">
        <v>16.1706080056688</v>
      </c>
      <c r="AL7020">
        <v>82.269383721966904</v>
      </c>
      <c r="AM7020">
        <v>57.451730988705101</v>
      </c>
      <c r="AN7020">
        <v>0.99999997807264396</v>
      </c>
    </row>
    <row r="7021" spans="1:40" x14ac:dyDescent="0.25">
      <c r="A7021" t="str">
        <f>"20190312164641125"</f>
        <v>20190312164641125</v>
      </c>
      <c r="B7021" t="str">
        <f>"1552380401118584"</f>
        <v>1552380401118584</v>
      </c>
      <c r="C7021" t="s">
        <v>40</v>
      </c>
      <c r="D7021">
        <v>5.1818249999999999</v>
      </c>
      <c r="E7021">
        <v>0.55230979999999996</v>
      </c>
      <c r="F7021" t="s">
        <v>71</v>
      </c>
      <c r="G7021">
        <v>-171.06880000000001</v>
      </c>
      <c r="H7021" s="1">
        <v>-1.9209079999999999E-6</v>
      </c>
      <c r="I7021">
        <v>134.3965</v>
      </c>
      <c r="J7021">
        <v>-185.0967</v>
      </c>
      <c r="K7021">
        <v>1.1017950000000001</v>
      </c>
      <c r="L7021">
        <v>125.95229999999999</v>
      </c>
      <c r="M7021">
        <v>0.34691379999999999</v>
      </c>
      <c r="N7021">
        <v>0</v>
      </c>
      <c r="O7021">
        <v>0.9377896</v>
      </c>
      <c r="P7021">
        <v>0.7885548</v>
      </c>
      <c r="Q7021">
        <v>0.13253879999999901</v>
      </c>
      <c r="R7021">
        <v>0.60051209999999999</v>
      </c>
      <c r="S7021">
        <v>2.6241910000000002</v>
      </c>
      <c r="T7021">
        <v>-0.20535339999999999</v>
      </c>
      <c r="U7021">
        <v>1.5976870000000001</v>
      </c>
      <c r="V7021">
        <v>0.53367330000000002</v>
      </c>
      <c r="W7021">
        <v>0.13507659999999999</v>
      </c>
      <c r="X7021">
        <v>0.83483359999999995</v>
      </c>
      <c r="Y7021">
        <v>0.61847350000000001</v>
      </c>
      <c r="Z7021">
        <v>-7.0588719999999994E-2</v>
      </c>
      <c r="AA7021">
        <v>0.78262880000000001</v>
      </c>
      <c r="AB7021">
        <v>26</v>
      </c>
      <c r="AC7021">
        <v>14.027899999999899</v>
      </c>
      <c r="AD7021">
        <v>-1.1017969209080001</v>
      </c>
      <c r="AE7021">
        <v>8.4442000000000093</v>
      </c>
      <c r="AF7021">
        <v>10.180738836187601</v>
      </c>
      <c r="AG7021">
        <v>-1.1017969209080001</v>
      </c>
      <c r="AH7021">
        <v>12.7290034210379</v>
      </c>
      <c r="AI7021">
        <v>93.867129302171193</v>
      </c>
      <c r="AJ7021">
        <v>51.346954889046401</v>
      </c>
      <c r="AK7021">
        <v>16.3367355306492</v>
      </c>
      <c r="AL7021">
        <v>82.236950755806703</v>
      </c>
      <c r="AM7021">
        <v>57.410963946990599</v>
      </c>
      <c r="AN7021">
        <v>1.0000000093446999</v>
      </c>
    </row>
    <row r="7022" spans="1:40" x14ac:dyDescent="0.25">
      <c r="A7022" t="str">
        <f>"20190312164641136"</f>
        <v>20190312164641136</v>
      </c>
      <c r="B7022" t="str">
        <f>"1552380401128345"</f>
        <v>1552380401128345</v>
      </c>
      <c r="C7022" t="s">
        <v>40</v>
      </c>
      <c r="D7022">
        <v>5.2070349999999896</v>
      </c>
      <c r="E7022">
        <v>0.57416429999999996</v>
      </c>
      <c r="F7022" t="s">
        <v>71</v>
      </c>
      <c r="G7022">
        <v>-170.80869999999999</v>
      </c>
      <c r="H7022" s="1">
        <v>-1.83303E-6</v>
      </c>
      <c r="I7022">
        <v>134.53299999999999</v>
      </c>
      <c r="J7022">
        <v>-185.0496</v>
      </c>
      <c r="K7022">
        <v>1.101774</v>
      </c>
      <c r="L7022">
        <v>126.0658</v>
      </c>
      <c r="M7022">
        <v>0.35123860000000001</v>
      </c>
      <c r="N7022">
        <v>0</v>
      </c>
      <c r="O7022">
        <v>0.93617830000000002</v>
      </c>
      <c r="P7022">
        <v>0.79172699999999996</v>
      </c>
      <c r="Q7022">
        <v>0.1329079</v>
      </c>
      <c r="R7022">
        <v>0.59624149999999998</v>
      </c>
      <c r="S7022">
        <v>2.633972</v>
      </c>
      <c r="T7022">
        <v>-0.2031143</v>
      </c>
      <c r="U7022">
        <v>1.581833</v>
      </c>
      <c r="V7022">
        <v>0.53429069999999901</v>
      </c>
      <c r="W7022">
        <v>0.1354002</v>
      </c>
      <c r="X7022">
        <v>0.83438619999999997</v>
      </c>
      <c r="Y7022">
        <v>0.61964390000000003</v>
      </c>
      <c r="Z7022">
        <v>-6.9830470000000006E-2</v>
      </c>
      <c r="AA7022">
        <v>0.78177050000000003</v>
      </c>
      <c r="AB7022">
        <v>26</v>
      </c>
      <c r="AC7022">
        <v>14.2409</v>
      </c>
      <c r="AD7022">
        <v>-1.10177583302999</v>
      </c>
      <c r="AE7022">
        <v>8.4671999999999894</v>
      </c>
      <c r="AF7022">
        <v>10.3134492268139</v>
      </c>
      <c r="AG7022">
        <v>-1.10177583302999</v>
      </c>
      <c r="AH7022">
        <v>12.873137307951</v>
      </c>
      <c r="AI7022">
        <v>93.821369476961095</v>
      </c>
      <c r="AJ7022">
        <v>51.299670656530203</v>
      </c>
      <c r="AK7022">
        <v>16.5317515433083</v>
      </c>
      <c r="AL7022">
        <v>82.218238235197703</v>
      </c>
      <c r="AM7022">
        <v>57.366946896250496</v>
      </c>
      <c r="AN7022">
        <v>1.0000000485084799</v>
      </c>
    </row>
    <row r="7023" spans="1:40" x14ac:dyDescent="0.25">
      <c r="A7023" t="str">
        <f>"20190312164641150"</f>
        <v>20190312164641150</v>
      </c>
      <c r="B7023" t="str">
        <f>"1552380401138104"</f>
        <v>1552380401138104</v>
      </c>
      <c r="C7023" t="s">
        <v>40</v>
      </c>
      <c r="D7023">
        <v>5.1714760000000002</v>
      </c>
      <c r="E7023">
        <v>0.57498859999999996</v>
      </c>
      <c r="F7023" t="s">
        <v>71</v>
      </c>
      <c r="G7023">
        <v>-172.06610000000001</v>
      </c>
      <c r="H7023" s="1">
        <v>-1.7957499999999999E-6</v>
      </c>
      <c r="I7023">
        <v>132.82990000000001</v>
      </c>
      <c r="J7023">
        <v>-184.98740000000001</v>
      </c>
      <c r="K7023">
        <v>1.1017429999999999</v>
      </c>
      <c r="L7023">
        <v>126.21420000000001</v>
      </c>
      <c r="M7023">
        <v>0.35691479999999998</v>
      </c>
      <c r="N7023">
        <v>0</v>
      </c>
      <c r="O7023">
        <v>0.93402890000000005</v>
      </c>
      <c r="P7023">
        <v>0.79563779999999995</v>
      </c>
      <c r="Q7023">
        <v>0.13345319999999999</v>
      </c>
      <c r="R7023">
        <v>0.59088980000000002</v>
      </c>
      <c r="S7023">
        <v>2.7495569999999998</v>
      </c>
      <c r="T7023">
        <v>-0.23332639999999999</v>
      </c>
      <c r="U7023">
        <v>1.4324650000000001</v>
      </c>
      <c r="V7023">
        <v>0.53478930000000002</v>
      </c>
      <c r="W7023">
        <v>0.1358915</v>
      </c>
      <c r="X7023">
        <v>0.83398680000000003</v>
      </c>
      <c r="Y7023">
        <v>0.66056630000000005</v>
      </c>
      <c r="Z7023">
        <v>-8.025351E-2</v>
      </c>
      <c r="AA7023">
        <v>0.74646619999999997</v>
      </c>
      <c r="AB7023">
        <v>26</v>
      </c>
      <c r="AC7023">
        <v>12.9213</v>
      </c>
      <c r="AD7023">
        <v>-1.10174479575</v>
      </c>
      <c r="AE7023">
        <v>6.6157000000000004</v>
      </c>
      <c r="AF7023">
        <v>9.6530025775810095</v>
      </c>
      <c r="AG7023">
        <v>-1.10174479575</v>
      </c>
      <c r="AH7023">
        <v>10.7303380350161</v>
      </c>
      <c r="AI7023">
        <v>94.365119372692604</v>
      </c>
      <c r="AJ7023">
        <v>48.025480165583701</v>
      </c>
      <c r="AK7023">
        <v>14.475304995179201</v>
      </c>
      <c r="AL7023">
        <v>82.189826142841099</v>
      </c>
      <c r="AM7023">
        <v>57.330207754312497</v>
      </c>
      <c r="AN7023">
        <v>1.0000000388704799</v>
      </c>
    </row>
    <row r="7024" spans="1:40" x14ac:dyDescent="0.25">
      <c r="A7024" t="str">
        <f>"20190312164641164"</f>
        <v>20190312164641164</v>
      </c>
      <c r="B7024" t="str">
        <f>"1552380401158600"</f>
        <v>1552380401158600</v>
      </c>
      <c r="C7024" t="s">
        <v>40</v>
      </c>
      <c r="D7024">
        <v>5.0388330000000003</v>
      </c>
      <c r="E7024">
        <v>0.574569</v>
      </c>
      <c r="F7024" t="s">
        <v>71</v>
      </c>
      <c r="G7024">
        <v>-171.47149999999999</v>
      </c>
      <c r="H7024" s="1">
        <v>-1.5750960000000001E-6</v>
      </c>
      <c r="I7024">
        <v>133.09719999999999</v>
      </c>
      <c r="J7024">
        <v>-184.91759999999999</v>
      </c>
      <c r="K7024">
        <v>1.101699</v>
      </c>
      <c r="L7024">
        <v>126.37690000000001</v>
      </c>
      <c r="M7024">
        <v>0.36320980000000003</v>
      </c>
      <c r="N7024">
        <v>0</v>
      </c>
      <c r="O7024">
        <v>0.93159879999999995</v>
      </c>
      <c r="P7024">
        <v>0.79999279999999995</v>
      </c>
      <c r="Q7024">
        <v>0.13440729999999901</v>
      </c>
      <c r="R7024">
        <v>0.58476169999999905</v>
      </c>
      <c r="S7024">
        <v>2.7632750000000001</v>
      </c>
      <c r="T7024">
        <v>-0.22524630000000001</v>
      </c>
      <c r="U7024">
        <v>1.407181</v>
      </c>
      <c r="V7024">
        <v>0.53545180000000003</v>
      </c>
      <c r="W7024">
        <v>0.13677439999999999</v>
      </c>
      <c r="X7024">
        <v>0.83341719999999897</v>
      </c>
      <c r="Y7024">
        <v>0.66263439999999996</v>
      </c>
      <c r="Z7024">
        <v>-7.7509690000000006E-2</v>
      </c>
      <c r="AA7024">
        <v>0.74492139999999996</v>
      </c>
      <c r="AB7024">
        <v>26</v>
      </c>
      <c r="AC7024">
        <v>13.446099999999999</v>
      </c>
      <c r="AD7024">
        <v>-1.1017005750960001</v>
      </c>
      <c r="AE7024">
        <v>6.7202999999999804</v>
      </c>
      <c r="AF7024">
        <v>10.0326219731154</v>
      </c>
      <c r="AG7024">
        <v>-1.1017005750960001</v>
      </c>
      <c r="AH7024">
        <v>11.085958012791</v>
      </c>
      <c r="AI7024">
        <v>94.214177478414697</v>
      </c>
      <c r="AJ7024">
        <v>47.855387895323098</v>
      </c>
      <c r="AK7024">
        <v>14.992188395093301</v>
      </c>
      <c r="AL7024">
        <v>82.138762997605895</v>
      </c>
      <c r="AM7024">
        <v>57.280167602487801</v>
      </c>
      <c r="AN7024">
        <v>1.00000004793721</v>
      </c>
    </row>
    <row r="7025" spans="1:40" x14ac:dyDescent="0.25">
      <c r="A7025" t="str">
        <f>"20190312164641178"</f>
        <v>20190312164641178</v>
      </c>
      <c r="B7025" t="str">
        <f>"1552380401168360"</f>
        <v>1552380401168360</v>
      </c>
      <c r="C7025" t="s">
        <v>40</v>
      </c>
      <c r="D7025">
        <v>5.0969160000000002</v>
      </c>
      <c r="E7025">
        <v>0.579044</v>
      </c>
      <c r="F7025" t="s">
        <v>71</v>
      </c>
      <c r="G7025">
        <v>-170.7182</v>
      </c>
      <c r="H7025" s="1">
        <v>-1.3164009999999901E-6</v>
      </c>
      <c r="I7025">
        <v>133.48269999999999</v>
      </c>
      <c r="J7025">
        <v>-184.8553</v>
      </c>
      <c r="K7025">
        <v>1.1016520000000001</v>
      </c>
      <c r="L7025">
        <v>126.5194</v>
      </c>
      <c r="M7025">
        <v>0.36876579999999998</v>
      </c>
      <c r="N7025">
        <v>0</v>
      </c>
      <c r="O7025">
        <v>0.92941339999999995</v>
      </c>
      <c r="P7025">
        <v>0.80391729999999995</v>
      </c>
      <c r="Q7025">
        <v>0.1351426</v>
      </c>
      <c r="R7025">
        <v>0.57918349999999996</v>
      </c>
      <c r="S7025">
        <v>2.772141</v>
      </c>
      <c r="T7025">
        <v>-0.21508559999999999</v>
      </c>
      <c r="U7025">
        <v>1.3872679999999999</v>
      </c>
      <c r="V7025">
        <v>0.53618690000000002</v>
      </c>
      <c r="W7025">
        <v>0.13744039999999999</v>
      </c>
      <c r="X7025">
        <v>0.83283479999999999</v>
      </c>
      <c r="Y7025">
        <v>0.66364569999999901</v>
      </c>
      <c r="Z7025">
        <v>-7.4067270000000004E-2</v>
      </c>
      <c r="AA7025">
        <v>0.74437119999999901</v>
      </c>
      <c r="AB7025">
        <v>26</v>
      </c>
      <c r="AC7025">
        <v>14.1371</v>
      </c>
      <c r="AD7025">
        <v>-1.1016533164010001</v>
      </c>
      <c r="AE7025">
        <v>6.9632999999999896</v>
      </c>
      <c r="AF7025">
        <v>10.5210385309546</v>
      </c>
      <c r="AG7025">
        <v>-1.1016533164010001</v>
      </c>
      <c r="AH7025">
        <v>11.629414821178701</v>
      </c>
      <c r="AI7025">
        <v>94.0183158509967</v>
      </c>
      <c r="AJ7025">
        <v>47.864607750420802</v>
      </c>
      <c r="AK7025">
        <v>15.720979005215399</v>
      </c>
      <c r="AL7025">
        <v>82.100240062463698</v>
      </c>
      <c r="AM7025">
        <v>57.226183275323798</v>
      </c>
      <c r="AN7025">
        <v>1.0000000296874001</v>
      </c>
    </row>
    <row r="7026" spans="1:40" x14ac:dyDescent="0.25">
      <c r="A7026" t="str">
        <f>"20190312164641191"</f>
        <v>20190312164641191</v>
      </c>
      <c r="B7026" t="str">
        <f>"1552380401187880"</f>
        <v>1552380401187880</v>
      </c>
      <c r="C7026" t="s">
        <v>40</v>
      </c>
      <c r="D7026">
        <v>5.1364679999999998</v>
      </c>
      <c r="E7026">
        <v>0.57159469999999901</v>
      </c>
      <c r="F7026" t="s">
        <v>71</v>
      </c>
      <c r="G7026">
        <v>-176.5445</v>
      </c>
      <c r="H7026" s="1">
        <v>-3.4660669999999999E-6</v>
      </c>
      <c r="I7026">
        <v>130.57140000000001</v>
      </c>
      <c r="J7026">
        <v>-184.7852</v>
      </c>
      <c r="K7026">
        <v>1.10161</v>
      </c>
      <c r="L7026">
        <v>126.67749999999999</v>
      </c>
      <c r="M7026">
        <v>0.37497009999999997</v>
      </c>
      <c r="N7026">
        <v>0</v>
      </c>
      <c r="O7026">
        <v>0.92692739999999996</v>
      </c>
      <c r="P7026">
        <v>0.80859890000000001</v>
      </c>
      <c r="Q7026">
        <v>0.13709150000000001</v>
      </c>
      <c r="R7026">
        <v>0.57216599999999995</v>
      </c>
      <c r="S7026">
        <v>2.8079529999999999</v>
      </c>
      <c r="T7026">
        <v>-0.37221130000000002</v>
      </c>
      <c r="U7026">
        <v>1.3690340000000001</v>
      </c>
      <c r="V7026">
        <v>0.5376185</v>
      </c>
      <c r="W7026">
        <v>0.13928879999999999</v>
      </c>
      <c r="X7026">
        <v>0.83160389999999995</v>
      </c>
      <c r="Y7026">
        <v>0.66141689999999997</v>
      </c>
      <c r="Z7026">
        <v>-0.126633</v>
      </c>
      <c r="AA7026">
        <v>0.73925079999999999</v>
      </c>
      <c r="AB7026">
        <v>26</v>
      </c>
      <c r="AC7026">
        <v>8.2407000000000004</v>
      </c>
      <c r="AD7026">
        <v>-1.1016134660670001</v>
      </c>
      <c r="AE7026">
        <v>3.8939000000000101</v>
      </c>
      <c r="AF7026">
        <v>6.0900946092661199</v>
      </c>
      <c r="AG7026">
        <v>-1.1016134660670001</v>
      </c>
      <c r="AH7026">
        <v>6.6035902450391104</v>
      </c>
      <c r="AI7026">
        <v>96.991351183527598</v>
      </c>
      <c r="AJ7026">
        <v>47.316514096499603</v>
      </c>
      <c r="AK7026">
        <v>9.0504258851618697</v>
      </c>
      <c r="AL7026">
        <v>81.993306004088495</v>
      </c>
      <c r="AM7026">
        <v>57.117983916942698</v>
      </c>
      <c r="AN7026">
        <v>1.0000000339214401</v>
      </c>
    </row>
    <row r="7027" spans="1:40" x14ac:dyDescent="0.25">
      <c r="A7027" t="str">
        <f>"20190312164641202"</f>
        <v>20190312164641202</v>
      </c>
      <c r="B7027" t="str">
        <f>"1552380401198616"</f>
        <v>1552380401198616</v>
      </c>
      <c r="C7027" t="s">
        <v>40</v>
      </c>
      <c r="D7027">
        <v>5.4729660000000004</v>
      </c>
      <c r="E7027">
        <v>0.57622779999999996</v>
      </c>
      <c r="F7027" t="s">
        <v>42</v>
      </c>
      <c r="G7027">
        <v>-168.07560000000001</v>
      </c>
      <c r="H7027" s="1">
        <v>-1.9919119999999998E-6</v>
      </c>
      <c r="I7027">
        <v>134.84809999999999</v>
      </c>
      <c r="J7027">
        <v>-184.7294</v>
      </c>
      <c r="K7027">
        <v>1.101575</v>
      </c>
      <c r="L7027">
        <v>126.8009</v>
      </c>
      <c r="M7027">
        <v>0.37986769999999997</v>
      </c>
      <c r="N7027">
        <v>0</v>
      </c>
      <c r="O7027">
        <v>0.92493099999999995</v>
      </c>
      <c r="P7027">
        <v>0.81206129999999999</v>
      </c>
      <c r="Q7027">
        <v>0.13787829999999901</v>
      </c>
      <c r="R7027">
        <v>0.56705030000000001</v>
      </c>
      <c r="S7027">
        <v>2.7795100000000001</v>
      </c>
      <c r="T7027">
        <v>-0.18324360000000001</v>
      </c>
      <c r="U7027">
        <v>1.359116</v>
      </c>
      <c r="V7027">
        <v>0.5383772</v>
      </c>
      <c r="W7027">
        <v>0.14000270000000001</v>
      </c>
      <c r="X7027">
        <v>0.83099290000000003</v>
      </c>
      <c r="Y7027">
        <v>0.66225129999999999</v>
      </c>
      <c r="Z7027">
        <v>-6.3215859999999999E-2</v>
      </c>
      <c r="AA7027">
        <v>0.74661029999999995</v>
      </c>
      <c r="AB7027">
        <v>26</v>
      </c>
      <c r="AC7027">
        <v>16.653799999999901</v>
      </c>
      <c r="AD7027">
        <v>-1.101576991912</v>
      </c>
      <c r="AE7027">
        <v>8.0471999999999895</v>
      </c>
      <c r="AF7027">
        <v>12.304354731066899</v>
      </c>
      <c r="AG7027">
        <v>-1.101576991912</v>
      </c>
      <c r="AH7027">
        <v>13.7220714603347</v>
      </c>
      <c r="AI7027">
        <v>93.420410570300504</v>
      </c>
      <c r="AJ7027">
        <v>48.1179457996721</v>
      </c>
      <c r="AK7027">
        <v>18.463636217700198</v>
      </c>
      <c r="AL7027">
        <v>81.951997374944696</v>
      </c>
      <c r="AM7027">
        <v>57.061919721206401</v>
      </c>
      <c r="AN7027">
        <v>0.99999998266876899</v>
      </c>
    </row>
    <row r="7028" spans="1:40" x14ac:dyDescent="0.25">
      <c r="A7028" t="str">
        <f>"20190312164641215"</f>
        <v>20190312164641215</v>
      </c>
      <c r="B7028" t="str">
        <f>"1552380401208376"</f>
        <v>1552380401208376</v>
      </c>
      <c r="C7028" t="s">
        <v>40</v>
      </c>
      <c r="D7028">
        <v>5.17361</v>
      </c>
      <c r="E7028">
        <v>0.57580949999999997</v>
      </c>
      <c r="F7028" t="s">
        <v>42</v>
      </c>
      <c r="G7028">
        <v>-167.327</v>
      </c>
      <c r="H7028" s="1">
        <v>-2.2606699999999998E-6</v>
      </c>
      <c r="I7028">
        <v>134.91849999999999</v>
      </c>
      <c r="J7028">
        <v>-184.6704</v>
      </c>
      <c r="K7028">
        <v>1.101531</v>
      </c>
      <c r="L7028">
        <v>126.9294</v>
      </c>
      <c r="M7028">
        <v>0.38500669999999998</v>
      </c>
      <c r="N7028">
        <v>0</v>
      </c>
      <c r="O7028">
        <v>0.9228035</v>
      </c>
      <c r="P7028">
        <v>0.81547329999999996</v>
      </c>
      <c r="Q7028">
        <v>0.13896310000000001</v>
      </c>
      <c r="R7028">
        <v>0.56186539999999996</v>
      </c>
      <c r="S7028">
        <v>2.809402</v>
      </c>
      <c r="T7028">
        <v>-0.17783579999999999</v>
      </c>
      <c r="U7028">
        <v>1.310486</v>
      </c>
      <c r="V7028">
        <v>0.53891690000000003</v>
      </c>
      <c r="W7028">
        <v>0.1410158</v>
      </c>
      <c r="X7028">
        <v>0.83047159999999998</v>
      </c>
      <c r="Y7028">
        <v>0.6718305</v>
      </c>
      <c r="Z7028">
        <v>-6.1389609999999997E-2</v>
      </c>
      <c r="AA7028">
        <v>0.73815659999999905</v>
      </c>
      <c r="AB7028">
        <v>26</v>
      </c>
      <c r="AC7028">
        <v>17.343399999999999</v>
      </c>
      <c r="AD7028">
        <v>-1.1015332606699999</v>
      </c>
      <c r="AE7028">
        <v>7.9890999999999899</v>
      </c>
      <c r="AF7028">
        <v>12.887123543057999</v>
      </c>
      <c r="AG7028">
        <v>-1.1015332606699999</v>
      </c>
      <c r="AH7028">
        <v>14.0045206326665</v>
      </c>
      <c r="AI7028">
        <v>93.312524051031104</v>
      </c>
      <c r="AJ7028">
        <v>47.379375878645298</v>
      </c>
      <c r="AK7028">
        <v>19.063523464700399</v>
      </c>
      <c r="AL7028">
        <v>81.893369365835895</v>
      </c>
      <c r="AM7028">
        <v>57.019301488042501</v>
      </c>
      <c r="AN7028">
        <v>0.99999997968090404</v>
      </c>
    </row>
    <row r="7029" spans="1:40" x14ac:dyDescent="0.25">
      <c r="A7029" t="str">
        <f>"20190312164641224"</f>
        <v>20190312164641224</v>
      </c>
      <c r="B7029" t="str">
        <f>"1552380401218136"</f>
        <v>1552380401218136</v>
      </c>
      <c r="C7029" t="s">
        <v>40</v>
      </c>
      <c r="D7029">
        <v>5.1146820000000002</v>
      </c>
      <c r="E7029">
        <v>0.57530630000000005</v>
      </c>
      <c r="F7029" t="s">
        <v>42</v>
      </c>
      <c r="G7029">
        <v>-167.04929999999999</v>
      </c>
      <c r="H7029" s="1">
        <v>-2.3363520000000001E-6</v>
      </c>
      <c r="I7029">
        <v>135.03489999999999</v>
      </c>
      <c r="J7029">
        <v>-184.61500000000001</v>
      </c>
      <c r="K7029">
        <v>1.101488</v>
      </c>
      <c r="L7029">
        <v>127.0487</v>
      </c>
      <c r="M7029">
        <v>0.38980670000000001</v>
      </c>
      <c r="N7029">
        <v>0</v>
      </c>
      <c r="O7029">
        <v>0.92078610000000005</v>
      </c>
      <c r="P7029">
        <v>0.81865980000000005</v>
      </c>
      <c r="Q7029">
        <v>0.13965169999999999</v>
      </c>
      <c r="R7029">
        <v>0.55703999999999998</v>
      </c>
      <c r="S7029">
        <v>2.816284</v>
      </c>
      <c r="T7029">
        <v>-0.17605109999999999</v>
      </c>
      <c r="U7029">
        <v>1.2954410000000001</v>
      </c>
      <c r="V7029">
        <v>0.53941890000000003</v>
      </c>
      <c r="W7029">
        <v>0.1416366</v>
      </c>
      <c r="X7029">
        <v>0.83004</v>
      </c>
      <c r="Y7029">
        <v>0.67195450000000001</v>
      </c>
      <c r="Z7029">
        <v>-6.0769799999999999E-2</v>
      </c>
      <c r="AA7029">
        <v>0.73809499999999995</v>
      </c>
      <c r="AB7029">
        <v>26</v>
      </c>
      <c r="AC7029">
        <v>17.5657</v>
      </c>
      <c r="AD7029">
        <v>-1.1014903363519899</v>
      </c>
      <c r="AE7029">
        <v>7.9861999999999904</v>
      </c>
      <c r="AF7029">
        <v>13.0200814820529</v>
      </c>
      <c r="AG7029">
        <v>-1.1014903363519899</v>
      </c>
      <c r="AH7029">
        <v>14.1561270352402</v>
      </c>
      <c r="AI7029">
        <v>93.277752745460603</v>
      </c>
      <c r="AJ7029">
        <v>47.3937386339326</v>
      </c>
      <c r="AK7029">
        <v>19.2647796612947</v>
      </c>
      <c r="AL7029">
        <v>81.857440004873695</v>
      </c>
      <c r="AM7029">
        <v>56.9813298474294</v>
      </c>
      <c r="AN7029">
        <v>1.0000000388683801</v>
      </c>
    </row>
    <row r="7030" spans="1:40" x14ac:dyDescent="0.25">
      <c r="A7030" t="str">
        <f>"20190312164641236"</f>
        <v>20190312164641236</v>
      </c>
      <c r="B7030" t="str">
        <f>"1552380401227896"</f>
        <v>1552380401227896</v>
      </c>
      <c r="C7030" t="s">
        <v>40</v>
      </c>
      <c r="D7030">
        <v>5.1976760000000004</v>
      </c>
      <c r="E7030">
        <v>0.57517019999999996</v>
      </c>
      <c r="F7030" t="s">
        <v>42</v>
      </c>
      <c r="G7030">
        <v>-166.73089999999999</v>
      </c>
      <c r="H7030" s="1">
        <v>-2.4217219999999998E-6</v>
      </c>
      <c r="I7030">
        <v>135.17339999999999</v>
      </c>
      <c r="J7030">
        <v>-184.55850000000001</v>
      </c>
      <c r="K7030">
        <v>1.1014429999999999</v>
      </c>
      <c r="L7030">
        <v>127.1681</v>
      </c>
      <c r="M7030">
        <v>0.39467180000000002</v>
      </c>
      <c r="N7030">
        <v>0</v>
      </c>
      <c r="O7030">
        <v>0.9187111</v>
      </c>
      <c r="P7030">
        <v>0.82177789999999995</v>
      </c>
      <c r="Q7030">
        <v>0.14055229999999999</v>
      </c>
      <c r="R7030">
        <v>0.5522011</v>
      </c>
      <c r="S7030">
        <v>2.8218839999999998</v>
      </c>
      <c r="T7030">
        <v>-0.17380129999999999</v>
      </c>
      <c r="U7030">
        <v>1.281982</v>
      </c>
      <c r="V7030">
        <v>0.53981899999999905</v>
      </c>
      <c r="W7030">
        <v>0.14246679999999901</v>
      </c>
      <c r="X7030">
        <v>0.82963759999999998</v>
      </c>
      <c r="Y7030">
        <v>0.6715565</v>
      </c>
      <c r="Z7030">
        <v>-5.9987310000000002E-2</v>
      </c>
      <c r="AA7030">
        <v>0.73852109999999904</v>
      </c>
      <c r="AB7030">
        <v>26</v>
      </c>
      <c r="AC7030">
        <v>17.8276</v>
      </c>
      <c r="AD7030">
        <v>-1.101445421722</v>
      </c>
      <c r="AE7030">
        <v>8.0052999999999894</v>
      </c>
      <c r="AF7030">
        <v>13.1784338994457</v>
      </c>
      <c r="AG7030">
        <v>-1.101445421722</v>
      </c>
      <c r="AH7030">
        <v>14.346504051533501</v>
      </c>
      <c r="AI7030">
        <v>93.236096082971002</v>
      </c>
      <c r="AJ7030">
        <v>47.429991246584201</v>
      </c>
      <c r="AK7030">
        <v>19.511701119065901</v>
      </c>
      <c r="AL7030">
        <v>81.809384964942495</v>
      </c>
      <c r="AM7030">
        <v>56.9492172318432</v>
      </c>
      <c r="AN7030">
        <v>0.99999994459849795</v>
      </c>
    </row>
    <row r="7031" spans="1:40" x14ac:dyDescent="0.25">
      <c r="A7031" t="str">
        <f>"20190312164641246"</f>
        <v>20190312164641246</v>
      </c>
      <c r="B7031" t="str">
        <f>"1552380401238632"</f>
        <v>1552380401238632</v>
      </c>
      <c r="C7031" t="s">
        <v>40</v>
      </c>
      <c r="D7031">
        <v>5.4309589999999996</v>
      </c>
      <c r="E7031">
        <v>0.57615879999999997</v>
      </c>
      <c r="F7031" t="s">
        <v>42</v>
      </c>
      <c r="G7031">
        <v>-166.102</v>
      </c>
      <c r="H7031" s="1">
        <v>-2.5958190000000001E-6</v>
      </c>
      <c r="I7031">
        <v>135.42679999999999</v>
      </c>
      <c r="J7031">
        <v>-184.50450000000001</v>
      </c>
      <c r="K7031">
        <v>1.101399</v>
      </c>
      <c r="L7031">
        <v>127.2812</v>
      </c>
      <c r="M7031">
        <v>0.39929520000000002</v>
      </c>
      <c r="N7031">
        <v>0</v>
      </c>
      <c r="O7031">
        <v>0.9167109</v>
      </c>
      <c r="P7031">
        <v>0.82463889999999995</v>
      </c>
      <c r="Q7031">
        <v>0.14140920000000001</v>
      </c>
      <c r="R7031">
        <v>0.54769899999999905</v>
      </c>
      <c r="S7031">
        <v>2.8288880000000001</v>
      </c>
      <c r="T7031">
        <v>-0.16882259999999999</v>
      </c>
      <c r="U7031">
        <v>1.2658389999999999</v>
      </c>
      <c r="V7031">
        <v>0.54007590000000005</v>
      </c>
      <c r="W7031">
        <v>0.14325879999999999</v>
      </c>
      <c r="X7031">
        <v>0.82933409999999996</v>
      </c>
      <c r="Y7031">
        <v>0.6721184</v>
      </c>
      <c r="Z7031">
        <v>-5.8275670000000002E-2</v>
      </c>
      <c r="AA7031">
        <v>0.73814679999999999</v>
      </c>
      <c r="AB7031">
        <v>26</v>
      </c>
      <c r="AC7031">
        <v>18.4025</v>
      </c>
      <c r="AD7031">
        <v>-1.101401595819</v>
      </c>
      <c r="AE7031">
        <v>8.1455999999999804</v>
      </c>
      <c r="AF7031">
        <v>13.5779962046386</v>
      </c>
      <c r="AG7031">
        <v>-1.101401595819</v>
      </c>
      <c r="AH7031">
        <v>14.7724578471532</v>
      </c>
      <c r="AI7031">
        <v>93.141973769557396</v>
      </c>
      <c r="AJ7031">
        <v>47.412559572305703</v>
      </c>
      <c r="AK7031">
        <v>20.094789803687199</v>
      </c>
      <c r="AL7031">
        <v>81.763537331899798</v>
      </c>
      <c r="AM7031">
        <v>56.9271684869301</v>
      </c>
      <c r="AN7031">
        <v>1.00000005548052</v>
      </c>
    </row>
    <row r="7032" spans="1:40" x14ac:dyDescent="0.25">
      <c r="A7032" t="str">
        <f>"20190312164641258"</f>
        <v>20190312164641258</v>
      </c>
      <c r="B7032" t="str">
        <f>"1552380401248392"</f>
        <v>1552380401248392</v>
      </c>
      <c r="C7032" t="s">
        <v>40</v>
      </c>
      <c r="D7032">
        <v>5.3161959999999997</v>
      </c>
      <c r="E7032">
        <v>0.57626440000000001</v>
      </c>
      <c r="F7032" t="s">
        <v>42</v>
      </c>
      <c r="G7032">
        <v>-165.5042</v>
      </c>
      <c r="H7032" s="1">
        <v>-2.8182599999999902E-6</v>
      </c>
      <c r="I7032">
        <v>135.5992</v>
      </c>
      <c r="J7032">
        <v>-184.44630000000001</v>
      </c>
      <c r="K7032">
        <v>1.1013459999999999</v>
      </c>
      <c r="L7032">
        <v>127.4006</v>
      </c>
      <c r="M7032">
        <v>0.40425460000000002</v>
      </c>
      <c r="N7032">
        <v>0</v>
      </c>
      <c r="O7032">
        <v>0.91453450000000003</v>
      </c>
      <c r="P7032">
        <v>0.8278605</v>
      </c>
      <c r="Q7032">
        <v>0.1418287</v>
      </c>
      <c r="R7032">
        <v>0.54270779999999996</v>
      </c>
      <c r="S7032">
        <v>2.8403320000000001</v>
      </c>
      <c r="T7032">
        <v>-0.1646464</v>
      </c>
      <c r="U7032">
        <v>1.243439</v>
      </c>
      <c r="V7032">
        <v>0.54055679999999995</v>
      </c>
      <c r="W7032">
        <v>0.14359949999999999</v>
      </c>
      <c r="X7032">
        <v>0.82896170000000002</v>
      </c>
      <c r="Y7032">
        <v>0.67417139999999998</v>
      </c>
      <c r="Z7032">
        <v>-5.6832460000000001E-2</v>
      </c>
      <c r="AA7032">
        <v>0.73638499999999996</v>
      </c>
      <c r="AB7032">
        <v>26</v>
      </c>
      <c r="AC7032">
        <v>18.9421</v>
      </c>
      <c r="AD7032">
        <v>-1.10134881826</v>
      </c>
      <c r="AE7032">
        <v>8.1985999999999901</v>
      </c>
      <c r="AF7032">
        <v>13.9705403153853</v>
      </c>
      <c r="AG7032">
        <v>-1.10134881826</v>
      </c>
      <c r="AH7032">
        <v>15.113853935081501</v>
      </c>
      <c r="AI7032">
        <v>93.063043661283899</v>
      </c>
      <c r="AJ7032">
        <v>47.251149989210802</v>
      </c>
      <c r="AK7032">
        <v>20.611102510401299</v>
      </c>
      <c r="AL7032">
        <v>81.743812136017397</v>
      </c>
      <c r="AM7032">
        <v>56.8920718170721</v>
      </c>
      <c r="AN7032">
        <v>0.99999998524668998</v>
      </c>
    </row>
    <row r="7033" spans="1:40" x14ac:dyDescent="0.25">
      <c r="A7033" t="str">
        <f>"20190312164641269"</f>
        <v>20190312164641269</v>
      </c>
      <c r="B7033" t="str">
        <f>"1552380401258153"</f>
        <v>1552380401258153</v>
      </c>
      <c r="C7033" t="s">
        <v>40</v>
      </c>
      <c r="D7033">
        <v>5.8083499999999999</v>
      </c>
      <c r="E7033">
        <v>0.57546200000000003</v>
      </c>
      <c r="F7033" t="s">
        <v>42</v>
      </c>
      <c r="G7033">
        <v>-165.55240000000001</v>
      </c>
      <c r="H7033" s="1">
        <v>-2.8073510000000001E-6</v>
      </c>
      <c r="I7033">
        <v>135.53219999999999</v>
      </c>
      <c r="J7033">
        <v>-184.3878</v>
      </c>
      <c r="K7033">
        <v>1.1012839999999999</v>
      </c>
      <c r="L7033">
        <v>127.51990000000001</v>
      </c>
      <c r="M7033">
        <v>0.4092171</v>
      </c>
      <c r="N7033">
        <v>0</v>
      </c>
      <c r="O7033">
        <v>0.91232460000000004</v>
      </c>
      <c r="P7033">
        <v>0.83097659999999995</v>
      </c>
      <c r="Q7033">
        <v>0.142367299999999</v>
      </c>
      <c r="R7033">
        <v>0.53778210000000004</v>
      </c>
      <c r="S7033">
        <v>2.848557</v>
      </c>
      <c r="T7033">
        <v>-0.16604549999999901</v>
      </c>
      <c r="U7033">
        <v>1.225967</v>
      </c>
      <c r="V7033">
        <v>0.54092369999999901</v>
      </c>
      <c r="W7033">
        <v>0.14406050000000001</v>
      </c>
      <c r="X7033">
        <v>0.8286424</v>
      </c>
      <c r="Y7033">
        <v>0.67472200000000004</v>
      </c>
      <c r="Z7033">
        <v>-5.729803E-2</v>
      </c>
      <c r="AA7033">
        <v>0.73584450000000001</v>
      </c>
      <c r="AB7033">
        <v>26</v>
      </c>
      <c r="AC7033">
        <v>18.8354</v>
      </c>
      <c r="AD7033">
        <v>-1.10128680735099</v>
      </c>
      <c r="AE7033">
        <v>8.0122999999999802</v>
      </c>
      <c r="AF7033">
        <v>13.866514620314801</v>
      </c>
      <c r="AG7033">
        <v>-1.10128680735099</v>
      </c>
      <c r="AH7033">
        <v>14.9757752283912</v>
      </c>
      <c r="AI7033">
        <v>93.088633752096001</v>
      </c>
      <c r="AJ7033">
        <v>47.202482653093902</v>
      </c>
      <c r="AK7033">
        <v>20.439346957247601</v>
      </c>
      <c r="AL7033">
        <v>81.717121816869096</v>
      </c>
      <c r="AM7033">
        <v>56.864179276389301</v>
      </c>
      <c r="AN7033">
        <v>1.00000005197984</v>
      </c>
    </row>
    <row r="7034" spans="1:40" x14ac:dyDescent="0.25">
      <c r="A7034" t="str">
        <f>"20190312164641280"</f>
        <v>20190312164641280</v>
      </c>
      <c r="B7034" t="str">
        <f>"1552380401267912"</f>
        <v>1552380401267912</v>
      </c>
      <c r="C7034" t="s">
        <v>40</v>
      </c>
      <c r="D7034">
        <v>5.2365890000000004</v>
      </c>
      <c r="E7034">
        <v>0.57479530000000001</v>
      </c>
      <c r="F7034" t="s">
        <v>42</v>
      </c>
      <c r="G7034">
        <v>-164.44630000000001</v>
      </c>
      <c r="H7034" s="1">
        <v>-3.2470730000000001E-6</v>
      </c>
      <c r="I7034">
        <v>136.0009</v>
      </c>
      <c r="J7034">
        <v>-184.3271</v>
      </c>
      <c r="K7034">
        <v>1.1012249999999999</v>
      </c>
      <c r="L7034">
        <v>127.64060000000001</v>
      </c>
      <c r="M7034">
        <v>0.41433579999999998</v>
      </c>
      <c r="N7034">
        <v>0</v>
      </c>
      <c r="O7034">
        <v>0.91001109999999996</v>
      </c>
      <c r="P7034">
        <v>0.83404179999999895</v>
      </c>
      <c r="Q7034">
        <v>0.1429445</v>
      </c>
      <c r="R7034">
        <v>0.53286140000000004</v>
      </c>
      <c r="S7034">
        <v>2.8521730000000001</v>
      </c>
      <c r="T7034">
        <v>-0.157513299999999</v>
      </c>
      <c r="U7034">
        <v>1.2130129999999999</v>
      </c>
      <c r="V7034">
        <v>0.5411106</v>
      </c>
      <c r="W7034">
        <v>0.14455879999999999</v>
      </c>
      <c r="X7034">
        <v>0.82843349999999905</v>
      </c>
      <c r="Y7034">
        <v>0.67390360000000005</v>
      </c>
      <c r="Z7034">
        <v>-5.4360940000000003E-2</v>
      </c>
      <c r="AA7034">
        <v>0.73681669999999999</v>
      </c>
      <c r="AB7034">
        <v>26</v>
      </c>
      <c r="AC7034">
        <v>19.880799999999901</v>
      </c>
      <c r="AD7034">
        <v>-1.1012282470729999</v>
      </c>
      <c r="AE7034">
        <v>8.3602999999999899</v>
      </c>
      <c r="AF7034">
        <v>14.591239449498101</v>
      </c>
      <c r="AG7034">
        <v>-1.1012282470729999</v>
      </c>
      <c r="AH7034">
        <v>15.805714190771999</v>
      </c>
      <c r="AI7034">
        <v>92.930620522315294</v>
      </c>
      <c r="AJ7034">
        <v>47.287968960730801</v>
      </c>
      <c r="AK7034">
        <v>21.539210138840101</v>
      </c>
      <c r="AL7034">
        <v>81.688268851369301</v>
      </c>
      <c r="AM7034">
        <v>56.848504904867497</v>
      </c>
      <c r="AN7034">
        <v>0.99999999600602496</v>
      </c>
    </row>
    <row r="7035" spans="1:40" x14ac:dyDescent="0.25">
      <c r="A7035" t="str">
        <f>"20190312164641292"</f>
        <v>20190312164641292</v>
      </c>
      <c r="B7035" t="str">
        <f>"1552380401288408"</f>
        <v>1552380401288408</v>
      </c>
      <c r="C7035" t="s">
        <v>40</v>
      </c>
      <c r="D7035">
        <v>5.0686429999999998</v>
      </c>
      <c r="E7035">
        <v>0.57299460000000002</v>
      </c>
      <c r="F7035" t="s">
        <v>42</v>
      </c>
      <c r="G7035">
        <v>-164.22880000000001</v>
      </c>
      <c r="H7035" s="1">
        <v>-3.334684E-6</v>
      </c>
      <c r="I7035">
        <v>136.0865</v>
      </c>
      <c r="J7035">
        <v>-184.2664</v>
      </c>
      <c r="K7035">
        <v>1.1011660000000001</v>
      </c>
      <c r="L7035">
        <v>127.76049999999999</v>
      </c>
      <c r="M7035">
        <v>0.41943710000000001</v>
      </c>
      <c r="N7035">
        <v>0</v>
      </c>
      <c r="O7035">
        <v>0.90767089999999995</v>
      </c>
      <c r="P7035">
        <v>0.83709869999999897</v>
      </c>
      <c r="Q7035">
        <v>0.14370169999999999</v>
      </c>
      <c r="R7035">
        <v>0.52784049999999905</v>
      </c>
      <c r="S7035">
        <v>2.8567960000000001</v>
      </c>
      <c r="T7035">
        <v>-0.15652969999999999</v>
      </c>
      <c r="U7035">
        <v>1.2005159999999999</v>
      </c>
      <c r="V7035">
        <v>0.54135859999999902</v>
      </c>
      <c r="W7035">
        <v>0.14523529999999901</v>
      </c>
      <c r="X7035">
        <v>0.82815309999999898</v>
      </c>
      <c r="Y7035">
        <v>0.67294449999999995</v>
      </c>
      <c r="Z7035">
        <v>-5.3998860000000003E-2</v>
      </c>
      <c r="AA7035">
        <v>0.73771940000000003</v>
      </c>
      <c r="AB7035">
        <v>26</v>
      </c>
      <c r="AC7035">
        <v>20.037600000000001</v>
      </c>
      <c r="AD7035">
        <v>-1.1011693346839999</v>
      </c>
      <c r="AE7035">
        <v>8.3260000000000005</v>
      </c>
      <c r="AF7035">
        <v>14.659074284291</v>
      </c>
      <c r="AG7035">
        <v>-1.1011693346839999</v>
      </c>
      <c r="AH7035">
        <v>15.922418774620001</v>
      </c>
      <c r="AI7035">
        <v>92.9126510651584</v>
      </c>
      <c r="AJ7035">
        <v>47.365586691383903</v>
      </c>
      <c r="AK7035">
        <v>21.6708202985116</v>
      </c>
      <c r="AL7035">
        <v>81.649094804875105</v>
      </c>
      <c r="AM7035">
        <v>56.827601180054799</v>
      </c>
      <c r="AN7035">
        <v>0.999999991599829</v>
      </c>
    </row>
    <row r="7036" spans="1:40" x14ac:dyDescent="0.25">
      <c r="A7036" t="str">
        <f>"20190312164641304"</f>
        <v>20190312164641304</v>
      </c>
      <c r="B7036" t="str">
        <f>"1552380401298168"</f>
        <v>1552380401298168</v>
      </c>
      <c r="C7036" t="s">
        <v>40</v>
      </c>
      <c r="D7036">
        <v>5.0994849999999996</v>
      </c>
      <c r="E7036">
        <v>0.57299460000000002</v>
      </c>
      <c r="F7036" t="s">
        <v>42</v>
      </c>
      <c r="G7036">
        <v>-164.31729999999999</v>
      </c>
      <c r="H7036" s="1">
        <v>-3.2885369999999999E-6</v>
      </c>
      <c r="I7036">
        <v>136.11080000000001</v>
      </c>
      <c r="J7036">
        <v>-184.2013</v>
      </c>
      <c r="K7036">
        <v>1.1011029999999999</v>
      </c>
      <c r="L7036">
        <v>127.8867</v>
      </c>
      <c r="M7036">
        <v>0.424875</v>
      </c>
      <c r="N7036">
        <v>0</v>
      </c>
      <c r="O7036">
        <v>0.905138</v>
      </c>
      <c r="P7036">
        <v>0.84037999999999902</v>
      </c>
      <c r="Q7036">
        <v>0.14475569999999999</v>
      </c>
      <c r="R7036">
        <v>0.52230949999999998</v>
      </c>
      <c r="S7036">
        <v>2.856827</v>
      </c>
      <c r="T7036">
        <v>-0.1576939</v>
      </c>
      <c r="U7036">
        <v>1.195816</v>
      </c>
      <c r="V7036">
        <v>0.54173300000000002</v>
      </c>
      <c r="W7036">
        <v>0.1462001</v>
      </c>
      <c r="X7036">
        <v>0.82773850000000004</v>
      </c>
      <c r="Y7036">
        <v>0.66952</v>
      </c>
      <c r="Z7036">
        <v>-5.4352060000000001E-2</v>
      </c>
      <c r="AA7036">
        <v>0.74080279999999998</v>
      </c>
      <c r="AB7036">
        <v>26</v>
      </c>
      <c r="AC7036">
        <v>19.884</v>
      </c>
      <c r="AD7036">
        <v>-1.101106288537</v>
      </c>
      <c r="AE7036">
        <v>8.2241</v>
      </c>
      <c r="AF7036">
        <v>14.467163077899899</v>
      </c>
      <c r="AG7036">
        <v>-1.101106288537</v>
      </c>
      <c r="AH7036">
        <v>15.8522897608809</v>
      </c>
      <c r="AI7036">
        <v>92.937055481022497</v>
      </c>
      <c r="AJ7036">
        <v>47.615705873303703</v>
      </c>
      <c r="AK7036">
        <v>21.489679691520202</v>
      </c>
      <c r="AL7036">
        <v>81.593220082844098</v>
      </c>
      <c r="AM7036">
        <v>56.796311743082001</v>
      </c>
      <c r="AN7036">
        <v>1.0000000684556201</v>
      </c>
    </row>
    <row r="7037" spans="1:40" x14ac:dyDescent="0.25">
      <c r="A7037" t="str">
        <f>"20190312164641314"</f>
        <v>20190312164641314</v>
      </c>
      <c r="B7037" t="str">
        <f>"1552380401307928"</f>
        <v>1552380401307928</v>
      </c>
      <c r="C7037" t="s">
        <v>40</v>
      </c>
      <c r="D7037">
        <v>5.0977579999999998</v>
      </c>
      <c r="E7037">
        <v>0.57179080000000004</v>
      </c>
      <c r="F7037" t="s">
        <v>42</v>
      </c>
      <c r="G7037">
        <v>-163.68379999999999</v>
      </c>
      <c r="H7037" s="1">
        <v>-3.5522259999999999E-6</v>
      </c>
      <c r="I7037">
        <v>136.3126</v>
      </c>
      <c r="J7037">
        <v>-184.1413</v>
      </c>
      <c r="K7037">
        <v>1.1010470000000001</v>
      </c>
      <c r="L7037">
        <v>128.00110000000001</v>
      </c>
      <c r="M7037">
        <v>0.42985479999999998</v>
      </c>
      <c r="N7037">
        <v>0</v>
      </c>
      <c r="O7037">
        <v>0.90278349999999996</v>
      </c>
      <c r="P7037">
        <v>0.84336469999999897</v>
      </c>
      <c r="Q7037">
        <v>0.14561869999999999</v>
      </c>
      <c r="R7037">
        <v>0.51723430000000004</v>
      </c>
      <c r="S7037">
        <v>2.8650509999999998</v>
      </c>
      <c r="T7037">
        <v>-0.1537578</v>
      </c>
      <c r="U7037">
        <v>1.17659</v>
      </c>
      <c r="V7037">
        <v>0.54206849999999995</v>
      </c>
      <c r="W7037">
        <v>0.14698169999999999</v>
      </c>
      <c r="X7037">
        <v>0.82738020000000001</v>
      </c>
      <c r="Y7037">
        <v>0.67050549999999998</v>
      </c>
      <c r="Z7037">
        <v>-5.2988639999999997E-2</v>
      </c>
      <c r="AA7037">
        <v>0.74000980000000005</v>
      </c>
      <c r="AB7037">
        <v>26</v>
      </c>
      <c r="AC7037">
        <v>20.4575</v>
      </c>
      <c r="AD7037">
        <v>-1.1010505522259999</v>
      </c>
      <c r="AE7037">
        <v>8.3114999999999899</v>
      </c>
      <c r="AF7037">
        <v>14.8605475035263</v>
      </c>
      <c r="AG7037">
        <v>-1.1010505522259999</v>
      </c>
      <c r="AH7037">
        <v>16.2585009921881</v>
      </c>
      <c r="AI7037">
        <v>92.861669481120501</v>
      </c>
      <c r="AJ7037">
        <v>47.572155125329999</v>
      </c>
      <c r="AK7037">
        <v>22.054184159385699</v>
      </c>
      <c r="AL7037">
        <v>81.547947526918605</v>
      </c>
      <c r="AM7037">
        <v>56.768685402399797</v>
      </c>
      <c r="AN7037">
        <v>0.99999993708958801</v>
      </c>
    </row>
    <row r="7038" spans="1:40" x14ac:dyDescent="0.25">
      <c r="A7038" t="str">
        <f>"20190312164641325"</f>
        <v>20190312164641325</v>
      </c>
      <c r="B7038" t="str">
        <f>"1552380401318664"</f>
        <v>1552380401318664</v>
      </c>
      <c r="C7038" t="s">
        <v>40</v>
      </c>
      <c r="D7038">
        <v>5.12622</v>
      </c>
      <c r="E7038">
        <v>0.5715578</v>
      </c>
      <c r="F7038" t="s">
        <v>71</v>
      </c>
      <c r="G7038">
        <v>-175.20169999999999</v>
      </c>
      <c r="H7038" s="1">
        <v>-2.993667E-6</v>
      </c>
      <c r="I7038">
        <v>131.74019999999999</v>
      </c>
      <c r="J7038">
        <v>-184.07900000000001</v>
      </c>
      <c r="K7038">
        <v>1.100986</v>
      </c>
      <c r="L7038">
        <v>128.11869999999999</v>
      </c>
      <c r="M7038">
        <v>0.43500440000000001</v>
      </c>
      <c r="N7038">
        <v>0</v>
      </c>
      <c r="O7038">
        <v>0.90031319999999904</v>
      </c>
      <c r="P7038">
        <v>0.84656810000000005</v>
      </c>
      <c r="Q7038">
        <v>0.14659320000000001</v>
      </c>
      <c r="R7038">
        <v>0.51169609999999999</v>
      </c>
      <c r="S7038">
        <v>2.8797000000000001</v>
      </c>
      <c r="T7038">
        <v>-0.35468139999999998</v>
      </c>
      <c r="U7038">
        <v>1.2044680000000001</v>
      </c>
      <c r="V7038">
        <v>0.54265739999999996</v>
      </c>
      <c r="W7038">
        <v>0.14786550000000001</v>
      </c>
      <c r="X7038">
        <v>0.82683660000000003</v>
      </c>
      <c r="Y7038">
        <v>0.65570069999999903</v>
      </c>
      <c r="Z7038">
        <v>-0.1202042</v>
      </c>
      <c r="AA7038">
        <v>0.74539089999999997</v>
      </c>
      <c r="AB7038">
        <v>26</v>
      </c>
      <c r="AC7038">
        <v>8.8773000000000195</v>
      </c>
      <c r="AD7038">
        <v>-1.1009889936669901</v>
      </c>
      <c r="AE7038">
        <v>3.6214999999999899</v>
      </c>
      <c r="AF7038">
        <v>6.3341188292271404</v>
      </c>
      <c r="AG7038">
        <v>-1.1009889936669901</v>
      </c>
      <c r="AH7038">
        <v>7.03017981948945</v>
      </c>
      <c r="AI7038">
        <v>96.636481314225804</v>
      </c>
      <c r="AJ7038">
        <v>47.981477334718498</v>
      </c>
      <c r="AK7038">
        <v>9.5266293305293601</v>
      </c>
      <c r="AL7038">
        <v>81.496750737767499</v>
      </c>
      <c r="AM7038">
        <v>56.722889782848803</v>
      </c>
      <c r="AN7038">
        <v>1.00000001148228</v>
      </c>
    </row>
    <row r="7039" spans="1:40" x14ac:dyDescent="0.25">
      <c r="A7039" t="str">
        <f>"20190312164641336"</f>
        <v>20190312164641336</v>
      </c>
      <c r="B7039" t="str">
        <f>"1552380401328424"</f>
        <v>1552380401328424</v>
      </c>
      <c r="C7039" t="s">
        <v>40</v>
      </c>
      <c r="D7039">
        <v>5.3850389999999999</v>
      </c>
      <c r="E7039">
        <v>0.5715578</v>
      </c>
      <c r="F7039" t="s">
        <v>71</v>
      </c>
      <c r="G7039">
        <v>-175.15119999999999</v>
      </c>
      <c r="H7039" s="1">
        <v>-2.9789259999999998E-6</v>
      </c>
      <c r="I7039">
        <v>131.79220000000001</v>
      </c>
      <c r="J7039">
        <v>-184.01830000000001</v>
      </c>
      <c r="K7039">
        <v>1.1009199999999999</v>
      </c>
      <c r="L7039">
        <v>128.23099999999999</v>
      </c>
      <c r="M7039">
        <v>0.4399961</v>
      </c>
      <c r="N7039">
        <v>0</v>
      </c>
      <c r="O7039">
        <v>0.89788400000000002</v>
      </c>
      <c r="P7039">
        <v>0.84951559999999904</v>
      </c>
      <c r="Q7039">
        <v>0.1471604</v>
      </c>
      <c r="R7039">
        <v>0.5066233</v>
      </c>
      <c r="S7039">
        <v>2.8873139999999999</v>
      </c>
      <c r="T7039">
        <v>-0.3560683</v>
      </c>
      <c r="U7039">
        <v>1.188034</v>
      </c>
      <c r="V7039">
        <v>0.54295919999999998</v>
      </c>
      <c r="W7039">
        <v>0.14835309999999999</v>
      </c>
      <c r="X7039">
        <v>0.82655109999999998</v>
      </c>
      <c r="Y7039">
        <v>0.65580559999999999</v>
      </c>
      <c r="Z7039">
        <v>-0.12058489999999999</v>
      </c>
      <c r="AA7039">
        <v>0.74523709999999999</v>
      </c>
      <c r="AB7039">
        <v>26</v>
      </c>
      <c r="AC7039">
        <v>8.8671000000000202</v>
      </c>
      <c r="AD7039">
        <v>-1.100922978926</v>
      </c>
      <c r="AE7039">
        <v>3.5612000000000101</v>
      </c>
      <c r="AF7039">
        <v>6.3115963609332004</v>
      </c>
      <c r="AG7039">
        <v>-1.100922978926</v>
      </c>
      <c r="AH7039">
        <v>7.0067626043147699</v>
      </c>
      <c r="AI7039">
        <v>96.658733330625097</v>
      </c>
      <c r="AJ7039">
        <v>47.987904100528397</v>
      </c>
      <c r="AK7039">
        <v>9.4943668678904807</v>
      </c>
      <c r="AL7039">
        <v>81.468501899859902</v>
      </c>
      <c r="AM7039">
        <v>56.699195712039</v>
      </c>
      <c r="AN7039">
        <v>1.0000000280277199</v>
      </c>
    </row>
    <row r="7040" spans="1:40" x14ac:dyDescent="0.25">
      <c r="A7040" t="str">
        <f>"20190312164641346"</f>
        <v>20190312164641346</v>
      </c>
      <c r="B7040" t="str">
        <f>"1552380401338185"</f>
        <v>1552380401338185</v>
      </c>
      <c r="C7040" t="s">
        <v>40</v>
      </c>
      <c r="D7040">
        <v>5.283169</v>
      </c>
      <c r="E7040">
        <v>0.56649150000000004</v>
      </c>
      <c r="F7040" t="s">
        <v>71</v>
      </c>
      <c r="G7040">
        <v>-175.0119</v>
      </c>
      <c r="H7040" s="1">
        <v>-2.9142099999999998E-6</v>
      </c>
      <c r="I7040">
        <v>131.87200000000001</v>
      </c>
      <c r="J7040">
        <v>-183.9556</v>
      </c>
      <c r="K7040">
        <v>1.1008579999999999</v>
      </c>
      <c r="L7040">
        <v>128.34630000000001</v>
      </c>
      <c r="M7040">
        <v>0.44513469999999999</v>
      </c>
      <c r="N7040">
        <v>0</v>
      </c>
      <c r="O7040">
        <v>0.89534740000000002</v>
      </c>
      <c r="P7040">
        <v>0.85252019999999995</v>
      </c>
      <c r="Q7040">
        <v>0.1478807</v>
      </c>
      <c r="R7040">
        <v>0.50133879999999997</v>
      </c>
      <c r="S7040">
        <v>2.8947910000000001</v>
      </c>
      <c r="T7040">
        <v>-0.3538538</v>
      </c>
      <c r="U7040">
        <v>1.1702729999999999</v>
      </c>
      <c r="V7040">
        <v>0.54328140000000003</v>
      </c>
      <c r="W7040">
        <v>0.1489897</v>
      </c>
      <c r="X7040">
        <v>0.82622479999999998</v>
      </c>
      <c r="Y7040">
        <v>0.65619629999999995</v>
      </c>
      <c r="Z7040">
        <v>-0.11978270000000001</v>
      </c>
      <c r="AA7040">
        <v>0.74502239999999997</v>
      </c>
      <c r="AB7040">
        <v>26</v>
      </c>
      <c r="AC7040">
        <v>8.9436999999999998</v>
      </c>
      <c r="AD7040">
        <v>-1.1008609142100001</v>
      </c>
      <c r="AE7040">
        <v>3.5257000000000001</v>
      </c>
      <c r="AF7040">
        <v>6.35563667642616</v>
      </c>
      <c r="AG7040">
        <v>-1.1008609142100001</v>
      </c>
      <c r="AH7040">
        <v>7.0462243258961701</v>
      </c>
      <c r="AI7040">
        <v>96.617470811326598</v>
      </c>
      <c r="AJ7040">
        <v>47.949798722542397</v>
      </c>
      <c r="AK7040">
        <v>9.5527634517986293</v>
      </c>
      <c r="AL7040">
        <v>81.431617387257603</v>
      </c>
      <c r="AM7040">
        <v>56.673211713383402</v>
      </c>
      <c r="AN7040">
        <v>1.00000001521354</v>
      </c>
    </row>
    <row r="7041" spans="1:40" x14ac:dyDescent="0.25">
      <c r="A7041" t="str">
        <f>"20190312164641359"</f>
        <v>20190312164641359</v>
      </c>
      <c r="B7041" t="str">
        <f>"1552380401347945"</f>
        <v>1552380401347945</v>
      </c>
      <c r="C7041" t="s">
        <v>40</v>
      </c>
      <c r="D7041">
        <v>5.2686869999999999</v>
      </c>
      <c r="E7041">
        <v>0.56534430000000002</v>
      </c>
      <c r="F7041" t="s">
        <v>42</v>
      </c>
      <c r="G7041">
        <v>-166.00980000000001</v>
      </c>
      <c r="H7041" s="1">
        <v>-2.5925070000000001E-6</v>
      </c>
      <c r="I7041">
        <v>135.57230000000001</v>
      </c>
      <c r="J7041">
        <v>-183.8897</v>
      </c>
      <c r="K7041">
        <v>1.1007940000000001</v>
      </c>
      <c r="L7041">
        <v>128.46449999999999</v>
      </c>
      <c r="M7041">
        <v>0.45049929999999999</v>
      </c>
      <c r="N7041">
        <v>0</v>
      </c>
      <c r="O7041">
        <v>0.8926598</v>
      </c>
      <c r="P7041">
        <v>0.85573580000000005</v>
      </c>
      <c r="Q7041">
        <v>0.14844270000000001</v>
      </c>
      <c r="R7041">
        <v>0.4956622</v>
      </c>
      <c r="S7041">
        <v>2.8699490000000001</v>
      </c>
      <c r="T7041">
        <v>-0.17605379999999901</v>
      </c>
      <c r="U7041">
        <v>1.1556090000000001</v>
      </c>
      <c r="V7041">
        <v>0.5437649</v>
      </c>
      <c r="W7041">
        <v>0.14946119999999999</v>
      </c>
      <c r="X7041">
        <v>0.82582149999999999</v>
      </c>
      <c r="Y7041">
        <v>0.65804560000000001</v>
      </c>
      <c r="Z7041">
        <v>-6.035401E-2</v>
      </c>
      <c r="AA7041">
        <v>0.75055539999999998</v>
      </c>
      <c r="AB7041">
        <v>26</v>
      </c>
      <c r="AC7041">
        <v>17.8798999999999</v>
      </c>
      <c r="AD7041">
        <v>-1.100796592507</v>
      </c>
      <c r="AE7041">
        <v>7.1078000000000197</v>
      </c>
      <c r="AF7041">
        <v>12.7183128672687</v>
      </c>
      <c r="AG7041">
        <v>-1.100796592507</v>
      </c>
      <c r="AH7041">
        <v>14.354250358930701</v>
      </c>
      <c r="AI7041">
        <v>93.285092423794197</v>
      </c>
      <c r="AJ7041">
        <v>48.458057281733801</v>
      </c>
      <c r="AK7041">
        <v>19.2096782558862</v>
      </c>
      <c r="AL7041">
        <v>81.404296677858994</v>
      </c>
      <c r="AM7041">
        <v>56.636962183299403</v>
      </c>
      <c r="AN7041">
        <v>1.00000003331984</v>
      </c>
    </row>
    <row r="7042" spans="1:40" x14ac:dyDescent="0.25">
      <c r="A7042" t="str">
        <f>"20190312164641373"</f>
        <v>20190312164641373</v>
      </c>
      <c r="B7042" t="str">
        <f>"1552380401368439"</f>
        <v>1552380401368439</v>
      </c>
      <c r="C7042" t="s">
        <v>40</v>
      </c>
      <c r="D7042">
        <v>5.3296469999999996</v>
      </c>
      <c r="E7042">
        <v>0.56452049999999998</v>
      </c>
      <c r="F7042" t="s">
        <v>42</v>
      </c>
      <c r="G7042">
        <v>-165.53630000000001</v>
      </c>
      <c r="H7042" s="1">
        <v>-2.7721819999999998E-6</v>
      </c>
      <c r="I7042">
        <v>135.7732</v>
      </c>
      <c r="J7042">
        <v>-183.81229999999999</v>
      </c>
      <c r="K7042">
        <v>1.100719</v>
      </c>
      <c r="L7042">
        <v>128.602</v>
      </c>
      <c r="M7042">
        <v>0.45677240000000002</v>
      </c>
      <c r="N7042">
        <v>0</v>
      </c>
      <c r="O7042">
        <v>0.88946589999999903</v>
      </c>
      <c r="P7042">
        <v>0.85935189999999995</v>
      </c>
      <c r="Q7042">
        <v>0.14898229999999901</v>
      </c>
      <c r="R7042">
        <v>0.48920209999999997</v>
      </c>
      <c r="S7042">
        <v>2.8729550000000001</v>
      </c>
      <c r="T7042">
        <v>-0.17231379999999999</v>
      </c>
      <c r="U7042">
        <v>1.1440729999999999</v>
      </c>
      <c r="V7042">
        <v>0.54413009999999995</v>
      </c>
      <c r="W7042">
        <v>0.14990010000000001</v>
      </c>
      <c r="X7042">
        <v>0.82550129999999999</v>
      </c>
      <c r="Y7042">
        <v>0.65569669999999902</v>
      </c>
      <c r="Z7042">
        <v>-5.9011870000000001E-2</v>
      </c>
      <c r="AA7042">
        <v>0.75271480000000002</v>
      </c>
      <c r="AB7042">
        <v>26</v>
      </c>
      <c r="AC7042">
        <v>18.2759999999999</v>
      </c>
      <c r="AD7042">
        <v>-1.100721772182</v>
      </c>
      <c r="AE7042">
        <v>7.17119999999999</v>
      </c>
      <c r="AF7042">
        <v>12.940953069905801</v>
      </c>
      <c r="AG7042">
        <v>-1.100721772182</v>
      </c>
      <c r="AH7042">
        <v>14.6819011058148</v>
      </c>
      <c r="AI7042">
        <v>93.219055709193199</v>
      </c>
      <c r="AJ7042">
        <v>48.606333101432803</v>
      </c>
      <c r="AK7042">
        <v>19.6019916043801</v>
      </c>
      <c r="AL7042">
        <v>81.378862754765294</v>
      </c>
      <c r="AM7042">
        <v>56.6090817352096</v>
      </c>
      <c r="AN7042">
        <v>1.0000000010038499</v>
      </c>
    </row>
    <row r="7043" spans="1:40" x14ac:dyDescent="0.25">
      <c r="A7043" t="str">
        <f>"20190312164641385"</f>
        <v>20190312164641385</v>
      </c>
      <c r="B7043" t="str">
        <f>"1552380401378200"</f>
        <v>1552380401378200</v>
      </c>
      <c r="C7043" t="s">
        <v>40</v>
      </c>
      <c r="D7043">
        <v>5.2682979999999997</v>
      </c>
      <c r="E7043">
        <v>0.56339229999999996</v>
      </c>
      <c r="F7043" t="s">
        <v>42</v>
      </c>
      <c r="G7043">
        <v>-165.0865</v>
      </c>
      <c r="H7043" s="1">
        <v>-2.9555419999999998E-6</v>
      </c>
      <c r="I7043">
        <v>135.9383</v>
      </c>
      <c r="J7043">
        <v>-183.73859999999999</v>
      </c>
      <c r="K7043">
        <v>1.100646</v>
      </c>
      <c r="L7043">
        <v>128.7304</v>
      </c>
      <c r="M7043">
        <v>0.46271180000000001</v>
      </c>
      <c r="N7043">
        <v>0</v>
      </c>
      <c r="O7043">
        <v>0.88639040000000002</v>
      </c>
      <c r="P7043">
        <v>0.86278820000000001</v>
      </c>
      <c r="Q7043">
        <v>0.1492713</v>
      </c>
      <c r="R7043">
        <v>0.48302650000000003</v>
      </c>
      <c r="S7043">
        <v>2.878387</v>
      </c>
      <c r="T7043">
        <v>-0.16919429999999999</v>
      </c>
      <c r="U7043">
        <v>1.12767</v>
      </c>
      <c r="V7043">
        <v>0.54451949999999905</v>
      </c>
      <c r="W7043">
        <v>0.150092</v>
      </c>
      <c r="X7043">
        <v>0.82520969999999905</v>
      </c>
      <c r="Y7043">
        <v>0.65491619999999995</v>
      </c>
      <c r="Z7043">
        <v>-5.7902809999999999E-2</v>
      </c>
      <c r="AA7043">
        <v>0.75347989999999998</v>
      </c>
      <c r="AB7043">
        <v>26</v>
      </c>
      <c r="AC7043">
        <v>18.652099999999901</v>
      </c>
      <c r="AD7043">
        <v>-1.100648955542</v>
      </c>
      <c r="AE7043">
        <v>7.2078999999999898</v>
      </c>
      <c r="AF7043">
        <v>13.159378403924499</v>
      </c>
      <c r="AG7043">
        <v>-1.100648955542</v>
      </c>
      <c r="AH7043">
        <v>14.9757646539899</v>
      </c>
      <c r="AI7043">
        <v>93.160046619251304</v>
      </c>
      <c r="AJ7043">
        <v>48.693851489694602</v>
      </c>
      <c r="AK7043">
        <v>19.966326529251798</v>
      </c>
      <c r="AL7043">
        <v>81.367742494288507</v>
      </c>
      <c r="AM7043">
        <v>56.580939809699601</v>
      </c>
      <c r="AN7043">
        <v>1.0000000716591599</v>
      </c>
    </row>
    <row r="7044" spans="1:40" x14ac:dyDescent="0.25">
      <c r="A7044" t="str">
        <f>"20190312164641396"</f>
        <v>20190312164641396</v>
      </c>
      <c r="B7044" t="str">
        <f>"1552380401387960"</f>
        <v>1552380401387960</v>
      </c>
      <c r="C7044" t="s">
        <v>40</v>
      </c>
      <c r="D7044">
        <v>5.1859250000000001</v>
      </c>
      <c r="E7044">
        <v>0.56339229999999996</v>
      </c>
      <c r="F7044" t="s">
        <v>42</v>
      </c>
      <c r="G7044">
        <v>-164.20070000000001</v>
      </c>
      <c r="H7044" s="1">
        <v>-3.3134829999999999E-6</v>
      </c>
      <c r="I7044">
        <v>136.2808</v>
      </c>
      <c r="J7044">
        <v>-183.67240000000001</v>
      </c>
      <c r="K7044">
        <v>1.100579</v>
      </c>
      <c r="L7044">
        <v>128.84389999999999</v>
      </c>
      <c r="M7044">
        <v>0.46801759999999898</v>
      </c>
      <c r="N7044">
        <v>0</v>
      </c>
      <c r="O7044">
        <v>0.8836001</v>
      </c>
      <c r="P7044">
        <v>0.86588809999999905</v>
      </c>
      <c r="Q7044">
        <v>0.14972240000000001</v>
      </c>
      <c r="R7044">
        <v>0.47730620000000001</v>
      </c>
      <c r="S7044">
        <v>2.8817140000000001</v>
      </c>
      <c r="T7044">
        <v>-0.1623386</v>
      </c>
      <c r="U7044">
        <v>1.113632</v>
      </c>
      <c r="V7044">
        <v>0.54499940000000002</v>
      </c>
      <c r="W7044">
        <v>0.1504549</v>
      </c>
      <c r="X7044">
        <v>0.82482670000000002</v>
      </c>
      <c r="Y7044">
        <v>0.65400839999999905</v>
      </c>
      <c r="Z7044">
        <v>-5.553802E-2</v>
      </c>
      <c r="AA7044">
        <v>0.75444580000000006</v>
      </c>
      <c r="AB7044">
        <v>26</v>
      </c>
      <c r="AC7044">
        <v>19.471699999999998</v>
      </c>
      <c r="AD7044">
        <v>-1.100582313483</v>
      </c>
      <c r="AE7044">
        <v>7.4368999999999996</v>
      </c>
      <c r="AF7044">
        <v>13.687877462977101</v>
      </c>
      <c r="AG7044">
        <v>-1.100582313483</v>
      </c>
      <c r="AH7044">
        <v>15.6423822997616</v>
      </c>
      <c r="AI7044">
        <v>93.030935871452101</v>
      </c>
      <c r="AJ7044">
        <v>48.812429869768103</v>
      </c>
      <c r="AK7044">
        <v>20.814739846611701</v>
      </c>
      <c r="AL7044">
        <v>81.346710879821799</v>
      </c>
      <c r="AM7044">
        <v>56.545500252700002</v>
      </c>
      <c r="AN7044">
        <v>1.00000005398362</v>
      </c>
    </row>
    <row r="7045" spans="1:40" x14ac:dyDescent="0.25">
      <c r="A7045" t="str">
        <f>"20190312164641405"</f>
        <v>20190312164641405</v>
      </c>
      <c r="B7045" t="str">
        <f>"1552380401398696"</f>
        <v>1552380401398696</v>
      </c>
      <c r="C7045" t="s">
        <v>40</v>
      </c>
      <c r="D7045">
        <v>5.1832240000000001</v>
      </c>
      <c r="E7045">
        <v>0.55688950000000004</v>
      </c>
      <c r="F7045" t="s">
        <v>42</v>
      </c>
      <c r="G7045">
        <v>-163.86770000000001</v>
      </c>
      <c r="H7045" s="1">
        <v>-3.4596619999999999E-6</v>
      </c>
      <c r="I7045">
        <v>136.3443</v>
      </c>
      <c r="J7045">
        <v>-183.60929999999999</v>
      </c>
      <c r="K7045">
        <v>1.1005229999999999</v>
      </c>
      <c r="L7045">
        <v>128.95099999999999</v>
      </c>
      <c r="M7045">
        <v>0.47304960000000001</v>
      </c>
      <c r="N7045">
        <v>0</v>
      </c>
      <c r="O7045">
        <v>0.88091609999999998</v>
      </c>
      <c r="P7045">
        <v>0.86890279999999998</v>
      </c>
      <c r="Q7045">
        <v>0.14989720000000001</v>
      </c>
      <c r="R7045">
        <v>0.4717401</v>
      </c>
      <c r="S7045">
        <v>2.8892519999999999</v>
      </c>
      <c r="T7045">
        <v>-0.16056049999999999</v>
      </c>
      <c r="U7045">
        <v>1.0942080000000001</v>
      </c>
      <c r="V7045">
        <v>0.54558909999999905</v>
      </c>
      <c r="W7045">
        <v>0.15054310000000001</v>
      </c>
      <c r="X7045">
        <v>0.82442059999999995</v>
      </c>
      <c r="Y7045">
        <v>0.65482149999999995</v>
      </c>
      <c r="Z7045">
        <v>-5.490246E-2</v>
      </c>
      <c r="AA7045">
        <v>0.75378690000000004</v>
      </c>
      <c r="AB7045">
        <v>26</v>
      </c>
      <c r="AC7045">
        <v>19.741599999999899</v>
      </c>
      <c r="AD7045">
        <v>-1.1005264596619999</v>
      </c>
      <c r="AE7045">
        <v>7.3933000000000098</v>
      </c>
      <c r="AF7045">
        <v>13.8569946834006</v>
      </c>
      <c r="AG7045">
        <v>-1.1005264596619999</v>
      </c>
      <c r="AH7045">
        <v>15.8102151705138</v>
      </c>
      <c r="AI7045">
        <v>92.996580664799197</v>
      </c>
      <c r="AJ7045">
        <v>48.766785391159701</v>
      </c>
      <c r="AK7045">
        <v>21.0520869246294</v>
      </c>
      <c r="AL7045">
        <v>81.3415987726585</v>
      </c>
      <c r="AM7045">
        <v>56.504010889270297</v>
      </c>
      <c r="AN7045">
        <v>1.0000000083503899</v>
      </c>
    </row>
    <row r="7046" spans="1:40" x14ac:dyDescent="0.25">
      <c r="A7046" t="str">
        <f>"20190312164641416"</f>
        <v>20190312164641416</v>
      </c>
      <c r="B7046" t="str">
        <f>"1552380401408456"</f>
        <v>1552380401408456</v>
      </c>
      <c r="C7046" t="s">
        <v>40</v>
      </c>
      <c r="D7046">
        <v>5.2860060000000004</v>
      </c>
      <c r="E7046">
        <v>0.55688950000000004</v>
      </c>
      <c r="F7046" t="s">
        <v>42</v>
      </c>
      <c r="G7046">
        <v>-133.72550000000001</v>
      </c>
      <c r="H7046" s="1">
        <v>-4.527888E-6</v>
      </c>
      <c r="I7046">
        <v>148.1833</v>
      </c>
      <c r="J7046">
        <v>-183.5497</v>
      </c>
      <c r="K7046">
        <v>1.1004689999999999</v>
      </c>
      <c r="L7046">
        <v>129.05019999999999</v>
      </c>
      <c r="M7046">
        <v>0.47777449999999999</v>
      </c>
      <c r="N7046">
        <v>0</v>
      </c>
      <c r="O7046">
        <v>0.87836219999999998</v>
      </c>
      <c r="P7046">
        <v>0.871602399999999</v>
      </c>
      <c r="Q7046">
        <v>0.150412299999999</v>
      </c>
      <c r="R7046">
        <v>0.46656769999999997</v>
      </c>
      <c r="S7046">
        <v>2.8640289999999999</v>
      </c>
      <c r="T7046">
        <v>-6.3185569999999996E-2</v>
      </c>
      <c r="U7046">
        <v>1.1042019999999999</v>
      </c>
      <c r="V7046">
        <v>0.54601569999999899</v>
      </c>
      <c r="W7046">
        <v>0.15098149999999999</v>
      </c>
      <c r="X7046">
        <v>0.82405790000000001</v>
      </c>
      <c r="Y7046">
        <v>0.6475206</v>
      </c>
      <c r="Z7046">
        <v>-2.1694140000000001E-2</v>
      </c>
      <c r="AA7046">
        <v>0.7617391</v>
      </c>
      <c r="AB7046">
        <v>26</v>
      </c>
      <c r="AC7046">
        <v>49.824199999999898</v>
      </c>
      <c r="AD7046">
        <v>-1.100473527888</v>
      </c>
      <c r="AE7046">
        <v>19.133099999999999</v>
      </c>
      <c r="AF7046">
        <v>34.611331436264301</v>
      </c>
      <c r="AG7046">
        <v>-1.100473527888</v>
      </c>
      <c r="AH7046">
        <v>40.597556788860601</v>
      </c>
      <c r="AI7046">
        <v>91.181721450125593</v>
      </c>
      <c r="AJ7046">
        <v>49.550843531674197</v>
      </c>
      <c r="AK7046">
        <v>53.360256024510299</v>
      </c>
      <c r="AL7046">
        <v>81.316189722139896</v>
      </c>
      <c r="AM7046">
        <v>56.471789736551798</v>
      </c>
      <c r="AN7046">
        <v>0.99999999027057496</v>
      </c>
    </row>
    <row r="7047" spans="1:40" x14ac:dyDescent="0.25">
      <c r="A7047" t="str">
        <f>"20190312164641427"</f>
        <v>20190312164641427</v>
      </c>
      <c r="B7047" t="str">
        <f>"1552380401418216"</f>
        <v>1552380401418216</v>
      </c>
      <c r="C7047" t="s">
        <v>40</v>
      </c>
      <c r="D7047">
        <v>5.2840660000000002</v>
      </c>
      <c r="E7047">
        <v>0.5590136</v>
      </c>
      <c r="F7047" t="s">
        <v>42</v>
      </c>
      <c r="G7047">
        <v>-132.01769999999999</v>
      </c>
      <c r="H7047" s="1">
        <v>-5.175851E-6</v>
      </c>
      <c r="I7047">
        <v>148.5599</v>
      </c>
      <c r="J7047">
        <v>-183.47749999999999</v>
      </c>
      <c r="K7047">
        <v>1.100406</v>
      </c>
      <c r="L7047">
        <v>129.1696</v>
      </c>
      <c r="M7047">
        <v>0.48347289999999998</v>
      </c>
      <c r="N7047">
        <v>0</v>
      </c>
      <c r="O7047">
        <v>0.87523830000000002</v>
      </c>
      <c r="P7047">
        <v>0.87500999999999995</v>
      </c>
      <c r="Q7047">
        <v>0.15084139999999999</v>
      </c>
      <c r="R7047">
        <v>0.46000489999999999</v>
      </c>
      <c r="S7047">
        <v>2.8707280000000002</v>
      </c>
      <c r="T7047">
        <v>-6.1304810000000001E-2</v>
      </c>
      <c r="U7047">
        <v>1.086838</v>
      </c>
      <c r="V7047">
        <v>0.54682410000000004</v>
      </c>
      <c r="W7047">
        <v>0.15130959999999999</v>
      </c>
      <c r="X7047">
        <v>0.82346149999999996</v>
      </c>
      <c r="Y7047">
        <v>0.64720169999999999</v>
      </c>
      <c r="Z7047">
        <v>-2.1025329999999998E-2</v>
      </c>
      <c r="AA7047">
        <v>0.76202879999999995</v>
      </c>
      <c r="AB7047">
        <v>26</v>
      </c>
      <c r="AC7047">
        <v>51.459800000000001</v>
      </c>
      <c r="AD7047">
        <v>-1.100411175851</v>
      </c>
      <c r="AE7047">
        <v>19.3903</v>
      </c>
      <c r="AF7047">
        <v>35.654405417632603</v>
      </c>
      <c r="AG7047">
        <v>-1.100411175851</v>
      </c>
      <c r="AH7047">
        <v>41.838233337038901</v>
      </c>
      <c r="AI7047">
        <v>91.146821403524797</v>
      </c>
      <c r="AJ7047">
        <v>49.562472601287404</v>
      </c>
      <c r="AK7047">
        <v>54.9807720862973</v>
      </c>
      <c r="AL7047">
        <v>81.297172729261902</v>
      </c>
      <c r="AM7047">
        <v>56.413634519547898</v>
      </c>
      <c r="AN7047">
        <v>1.00000001668761</v>
      </c>
    </row>
    <row r="7048" spans="1:40" x14ac:dyDescent="0.25">
      <c r="A7048" t="str">
        <f>"20190312164641436"</f>
        <v>20190312164641436</v>
      </c>
      <c r="B7048" t="str">
        <f>"1552380401427976"</f>
        <v>1552380401427976</v>
      </c>
      <c r="C7048" t="s">
        <v>40</v>
      </c>
      <c r="D7048">
        <v>5.1842449999999998</v>
      </c>
      <c r="E7048">
        <v>0.5590136</v>
      </c>
      <c r="F7048" t="s">
        <v>42</v>
      </c>
      <c r="G7048">
        <v>-159.33580000000001</v>
      </c>
      <c r="H7048" s="1">
        <v>-6.3294650000000002E-7</v>
      </c>
      <c r="I7048">
        <v>138.03450000000001</v>
      </c>
      <c r="J7048">
        <v>-183.4171</v>
      </c>
      <c r="K7048">
        <v>1.100352</v>
      </c>
      <c r="L7048">
        <v>129.2671</v>
      </c>
      <c r="M7048">
        <v>0.48820409999999997</v>
      </c>
      <c r="N7048">
        <v>0</v>
      </c>
      <c r="O7048">
        <v>0.87260780000000004</v>
      </c>
      <c r="P7048">
        <v>0.87783269999999902</v>
      </c>
      <c r="Q7048">
        <v>0.15150159999999999</v>
      </c>
      <c r="R7048">
        <v>0.45437529999999998</v>
      </c>
      <c r="S7048">
        <v>2.8928219999999998</v>
      </c>
      <c r="T7048">
        <v>-0.1318579</v>
      </c>
      <c r="U7048">
        <v>1.0622560000000001</v>
      </c>
      <c r="V7048">
        <v>0.54759219999999997</v>
      </c>
      <c r="W7048">
        <v>0.1518851</v>
      </c>
      <c r="X7048">
        <v>0.82284489999999999</v>
      </c>
      <c r="Y7048">
        <v>0.64987629999999996</v>
      </c>
      <c r="Z7048">
        <v>-4.5025589999999997E-2</v>
      </c>
      <c r="AA7048">
        <v>0.75870509999999902</v>
      </c>
      <c r="AB7048">
        <v>26</v>
      </c>
      <c r="AC7048">
        <v>24.081299999999999</v>
      </c>
      <c r="AD7048">
        <v>-1.1003526329465001</v>
      </c>
      <c r="AE7048">
        <v>8.7674000000000092</v>
      </c>
      <c r="AF7048">
        <v>16.704232333421899</v>
      </c>
      <c r="AG7048">
        <v>-1.1003526329465001</v>
      </c>
      <c r="AH7048">
        <v>19.373437036069401</v>
      </c>
      <c r="AI7048">
        <v>92.463077195222894</v>
      </c>
      <c r="AJ7048">
        <v>49.231316416698398</v>
      </c>
      <c r="AK7048">
        <v>25.604144515220899</v>
      </c>
      <c r="AL7048">
        <v>81.263813440372303</v>
      </c>
      <c r="AM7048">
        <v>56.356769506629703</v>
      </c>
      <c r="AN7048">
        <v>1.0000000152794299</v>
      </c>
    </row>
    <row r="7049" spans="1:40" x14ac:dyDescent="0.25">
      <c r="A7049" t="str">
        <f>"20190312164641447"</f>
        <v>20190312164641447</v>
      </c>
      <c r="B7049" t="str">
        <f>"1552380401438712"</f>
        <v>1552380401438712</v>
      </c>
      <c r="C7049" t="s">
        <v>40</v>
      </c>
      <c r="D7049">
        <v>5.2136100000000001</v>
      </c>
      <c r="E7049">
        <v>0.57995540000000001</v>
      </c>
      <c r="F7049" t="s">
        <v>42</v>
      </c>
      <c r="G7049">
        <v>-158.78</v>
      </c>
      <c r="H7049" s="1">
        <v>-7.9583680000000005E-7</v>
      </c>
      <c r="I7049">
        <v>138.13310000000001</v>
      </c>
      <c r="J7049">
        <v>-183.35</v>
      </c>
      <c r="K7049">
        <v>1.1002940000000001</v>
      </c>
      <c r="L7049">
        <v>129.3751</v>
      </c>
      <c r="M7049">
        <v>0.49344280000000001</v>
      </c>
      <c r="N7049">
        <v>0</v>
      </c>
      <c r="O7049">
        <v>0.86965579999999998</v>
      </c>
      <c r="P7049">
        <v>0.88099130000000003</v>
      </c>
      <c r="Q7049">
        <v>0.15173049999999999</v>
      </c>
      <c r="R7049">
        <v>0.44814310000000002</v>
      </c>
      <c r="S7049">
        <v>2.899734</v>
      </c>
      <c r="T7049">
        <v>-0.12950889999999901</v>
      </c>
      <c r="U7049">
        <v>1.0435179999999999</v>
      </c>
      <c r="V7049">
        <v>0.54847009999999996</v>
      </c>
      <c r="W7049">
        <v>0.1520194</v>
      </c>
      <c r="X7049">
        <v>0.8222351</v>
      </c>
      <c r="Y7049">
        <v>0.6502637</v>
      </c>
      <c r="Z7049">
        <v>-4.4186589999999998E-2</v>
      </c>
      <c r="AA7049">
        <v>0.7584225</v>
      </c>
      <c r="AB7049">
        <v>26</v>
      </c>
      <c r="AC7049">
        <v>24.57</v>
      </c>
      <c r="AD7049">
        <v>-1.1002947958367999</v>
      </c>
      <c r="AE7049">
        <v>8.7580000000000098</v>
      </c>
      <c r="AF7049">
        <v>17.017406623710301</v>
      </c>
      <c r="AG7049">
        <v>-1.1002947958367999</v>
      </c>
      <c r="AH7049">
        <v>19.707371355386702</v>
      </c>
      <c r="AI7049">
        <v>92.419732236634403</v>
      </c>
      <c r="AJ7049">
        <v>49.189239278025099</v>
      </c>
      <c r="AK7049">
        <v>26.0611446903923</v>
      </c>
      <c r="AL7049">
        <v>81.256027675012803</v>
      </c>
      <c r="AM7049">
        <v>56.294817681858397</v>
      </c>
      <c r="AN7049">
        <v>0.99999995412118903</v>
      </c>
    </row>
    <row r="7050" spans="1:40" x14ac:dyDescent="0.25">
      <c r="A7050" t="str">
        <f>"20190312164641460"</f>
        <v>20190312164641460</v>
      </c>
      <c r="B7050" t="str">
        <f>"1552380401448472"</f>
        <v>1552380401448472</v>
      </c>
      <c r="C7050" t="s">
        <v>40</v>
      </c>
      <c r="D7050">
        <v>5.3087900000000001</v>
      </c>
      <c r="E7050">
        <v>0.58572150000000001</v>
      </c>
      <c r="F7050" t="s">
        <v>94</v>
      </c>
      <c r="G7050">
        <v>-85.252849999999995</v>
      </c>
      <c r="H7050">
        <v>0.31755070000000002</v>
      </c>
      <c r="I7050">
        <v>157.56739999999999</v>
      </c>
      <c r="J7050">
        <v>-183.27709999999999</v>
      </c>
      <c r="K7050">
        <v>1.10022999999999</v>
      </c>
      <c r="L7050">
        <v>129.48949999999999</v>
      </c>
      <c r="M7050">
        <v>0.49909130000000002</v>
      </c>
      <c r="N7050">
        <v>0</v>
      </c>
      <c r="O7050">
        <v>0.86642619999999904</v>
      </c>
      <c r="P7050">
        <v>0.8844339</v>
      </c>
      <c r="Q7050">
        <v>0.15202470000000001</v>
      </c>
      <c r="R7050">
        <v>0.44120900000000002</v>
      </c>
      <c r="S7050">
        <v>2.9744869999999999</v>
      </c>
      <c r="T7050">
        <v>-2.3734089999999999E-2</v>
      </c>
      <c r="U7050">
        <v>0.85484309999999997</v>
      </c>
      <c r="V7050">
        <v>0.54956740000000004</v>
      </c>
      <c r="W7050">
        <v>0.15220929999999999</v>
      </c>
      <c r="X7050">
        <v>0.82146699999999995</v>
      </c>
      <c r="Y7050">
        <v>0.69490390000000002</v>
      </c>
      <c r="Z7050">
        <v>-8.1923139999999992E-3</v>
      </c>
      <c r="AA7050">
        <v>0.71905600000000003</v>
      </c>
      <c r="AB7050">
        <v>26</v>
      </c>
      <c r="AC7050">
        <v>98.024249999999995</v>
      </c>
      <c r="AD7050">
        <v>-0.78267929999999897</v>
      </c>
      <c r="AE7050">
        <v>28.0779</v>
      </c>
      <c r="AF7050">
        <v>70.920736395126497</v>
      </c>
      <c r="AG7050">
        <v>-0.78267929999999897</v>
      </c>
      <c r="AH7050">
        <v>73.253983783426307</v>
      </c>
      <c r="AI7050">
        <v>90.439811890343094</v>
      </c>
      <c r="AJ7050">
        <v>45.927163643157598</v>
      </c>
      <c r="AK7050">
        <v>101.96327563321999</v>
      </c>
      <c r="AL7050">
        <v>81.245019636288305</v>
      </c>
      <c r="AM7050">
        <v>56.217189410587103</v>
      </c>
      <c r="AN7050">
        <v>1.00000001511912</v>
      </c>
    </row>
    <row r="7051" spans="1:40" x14ac:dyDescent="0.25">
      <c r="A7051" t="str">
        <f>"20190312164641470"</f>
        <v>20190312164641470</v>
      </c>
      <c r="B7051" t="str">
        <f>"1552380401458232"</f>
        <v>1552380401458232</v>
      </c>
      <c r="C7051" t="s">
        <v>40</v>
      </c>
      <c r="D7051">
        <v>4.956283</v>
      </c>
      <c r="E7051">
        <v>0.58713349999999997</v>
      </c>
      <c r="F7051" t="s">
        <v>42</v>
      </c>
      <c r="G7051">
        <v>-110.80549999999999</v>
      </c>
      <c r="H7051" s="1">
        <v>-5.6040220000000002E-6</v>
      </c>
      <c r="I7051">
        <v>148.64830000000001</v>
      </c>
      <c r="J7051">
        <v>-183.2079</v>
      </c>
      <c r="K7051">
        <v>1.1001729999999901</v>
      </c>
      <c r="L7051">
        <v>129.5976</v>
      </c>
      <c r="M7051">
        <v>0.5044284</v>
      </c>
      <c r="N7051">
        <v>0</v>
      </c>
      <c r="O7051">
        <v>0.86332949999999997</v>
      </c>
      <c r="P7051">
        <v>0.8874436</v>
      </c>
      <c r="Q7051">
        <v>0.15228179999999999</v>
      </c>
      <c r="R7051">
        <v>0.43503340000000001</v>
      </c>
      <c r="S7051">
        <v>3.003708</v>
      </c>
      <c r="T7051">
        <v>-4.5601129999999997E-2</v>
      </c>
      <c r="U7051">
        <v>0.79406739999999998</v>
      </c>
      <c r="V7051">
        <v>0.55021580000000003</v>
      </c>
      <c r="W7051">
        <v>0.15237989999999901</v>
      </c>
      <c r="X7051">
        <v>0.82100119999999899</v>
      </c>
      <c r="Y7051">
        <v>0.70567780000000002</v>
      </c>
      <c r="Z7051">
        <v>-1.5729980000000001E-2</v>
      </c>
      <c r="AA7051">
        <v>0.7083583</v>
      </c>
      <c r="AB7051">
        <v>26</v>
      </c>
      <c r="AC7051">
        <v>72.4024</v>
      </c>
      <c r="AD7051">
        <v>-1.1001786040220001</v>
      </c>
      <c r="AE7051">
        <v>19.050699999999999</v>
      </c>
      <c r="AF7051">
        <v>52.891657119398097</v>
      </c>
      <c r="AG7051">
        <v>-1.1001786040220001</v>
      </c>
      <c r="AH7051">
        <v>52.963093767361698</v>
      </c>
      <c r="AI7051">
        <v>90.842091142742206</v>
      </c>
      <c r="AJ7051">
        <v>45.038666359093199</v>
      </c>
      <c r="AK7051">
        <v>74.858714170142406</v>
      </c>
      <c r="AL7051">
        <v>81.235129613608393</v>
      </c>
      <c r="AM7051">
        <v>56.170931477977099</v>
      </c>
      <c r="AN7051">
        <v>1.0000000154475399</v>
      </c>
    </row>
    <row r="7052" spans="1:40" x14ac:dyDescent="0.25">
      <c r="A7052" t="str">
        <f>"20190312164641482"</f>
        <v>20190312164641482</v>
      </c>
      <c r="B7052" t="str">
        <f>"1552380401478729"</f>
        <v>1552380401478729</v>
      </c>
      <c r="C7052" t="s">
        <v>40</v>
      </c>
      <c r="D7052">
        <v>5.330076</v>
      </c>
      <c r="E7052">
        <v>0.58734119999999901</v>
      </c>
      <c r="F7052" t="s">
        <v>42</v>
      </c>
      <c r="G7052">
        <v>-85.910650000000004</v>
      </c>
      <c r="H7052">
        <v>7.9985849999999997E-2</v>
      </c>
      <c r="I7052">
        <v>154.15129999999999</v>
      </c>
      <c r="J7052">
        <v>-183.12979999999999</v>
      </c>
      <c r="K7052">
        <v>1.1001099999999999</v>
      </c>
      <c r="L7052">
        <v>129.71680000000001</v>
      </c>
      <c r="M7052">
        <v>0.51040329999999901</v>
      </c>
      <c r="N7052">
        <v>0</v>
      </c>
      <c r="O7052">
        <v>0.85981039999999997</v>
      </c>
      <c r="P7052">
        <v>0.89082220000000001</v>
      </c>
      <c r="Q7052">
        <v>0.15228</v>
      </c>
      <c r="R7052">
        <v>0.42807339999999999</v>
      </c>
      <c r="S7052">
        <v>3.013153</v>
      </c>
      <c r="T7052">
        <v>-3.1593679999999999E-2</v>
      </c>
      <c r="U7052">
        <v>0.76039119999999905</v>
      </c>
      <c r="V7052">
        <v>0.55097529999999995</v>
      </c>
      <c r="W7052">
        <v>0.1522838</v>
      </c>
      <c r="X7052">
        <v>0.82050959999999995</v>
      </c>
      <c r="Y7052">
        <v>0.70879829999999999</v>
      </c>
      <c r="Z7052">
        <v>-1.089875E-2</v>
      </c>
      <c r="AA7052">
        <v>0.70532700000000004</v>
      </c>
      <c r="AB7052">
        <v>26</v>
      </c>
      <c r="AC7052">
        <v>97.2191499999999</v>
      </c>
      <c r="AD7052">
        <v>-1.02012415</v>
      </c>
      <c r="AE7052">
        <v>24.4344999999999</v>
      </c>
      <c r="AF7052">
        <v>71.118851991183405</v>
      </c>
      <c r="AG7052">
        <v>-1.02012415</v>
      </c>
      <c r="AH7052">
        <v>70.630275556147794</v>
      </c>
      <c r="AI7052">
        <v>90.583112955234199</v>
      </c>
      <c r="AJ7052">
        <v>44.802515491089601</v>
      </c>
      <c r="AK7052">
        <v>100.237555771091</v>
      </c>
      <c r="AL7052">
        <v>81.240701240947004</v>
      </c>
      <c r="AM7052">
        <v>56.118490054245399</v>
      </c>
      <c r="AN7052">
        <v>1.00000007032234</v>
      </c>
    </row>
    <row r="7053" spans="1:40" x14ac:dyDescent="0.25">
      <c r="A7053" t="str">
        <f>"20190312164641493"</f>
        <v>20190312164641493</v>
      </c>
      <c r="B7053" t="str">
        <f>"1552380401488489"</f>
        <v>1552380401488489</v>
      </c>
      <c r="C7053" t="s">
        <v>40</v>
      </c>
      <c r="D7053">
        <v>4.9879290000000003</v>
      </c>
      <c r="E7053">
        <v>0.58685120000000002</v>
      </c>
      <c r="F7053" t="s">
        <v>42</v>
      </c>
      <c r="G7053">
        <v>-96.490679999999998</v>
      </c>
      <c r="H7053">
        <v>7.9985870000000001E-2</v>
      </c>
      <c r="I7053">
        <v>150.8169</v>
      </c>
      <c r="J7053">
        <v>-183.05779999999999</v>
      </c>
      <c r="K7053">
        <v>1.100052</v>
      </c>
      <c r="L7053">
        <v>129.8254</v>
      </c>
      <c r="M7053">
        <v>0.51587550000000004</v>
      </c>
      <c r="N7053">
        <v>0</v>
      </c>
      <c r="O7053">
        <v>0.85653789999999996</v>
      </c>
      <c r="P7053">
        <v>0.89380119999999896</v>
      </c>
      <c r="Q7053">
        <v>0.15215429999999999</v>
      </c>
      <c r="R7053">
        <v>0.4218633</v>
      </c>
      <c r="S7053">
        <v>3.0202939999999998</v>
      </c>
      <c r="T7053">
        <v>-3.5562160000000002E-2</v>
      </c>
      <c r="U7053">
        <v>0.73556519999999903</v>
      </c>
      <c r="V7053">
        <v>0.55149230000000005</v>
      </c>
      <c r="W7053">
        <v>0.1520792</v>
      </c>
      <c r="X7053">
        <v>0.82020009999999999</v>
      </c>
      <c r="Y7053">
        <v>0.7101404</v>
      </c>
      <c r="Z7053">
        <v>-1.2259040000000001E-2</v>
      </c>
      <c r="AA7053">
        <v>0.70395339999999995</v>
      </c>
      <c r="AB7053">
        <v>26</v>
      </c>
      <c r="AC7053">
        <v>86.567119999999903</v>
      </c>
      <c r="AD7053">
        <v>-1.02006613</v>
      </c>
      <c r="AE7053">
        <v>20.991499999999998</v>
      </c>
      <c r="AF7053">
        <v>63.317532342333699</v>
      </c>
      <c r="AG7053">
        <v>-1.02006613</v>
      </c>
      <c r="AH7053">
        <v>62.636401356557499</v>
      </c>
      <c r="AI7053">
        <v>90.656188906042502</v>
      </c>
      <c r="AJ7053">
        <v>44.690160130648501</v>
      </c>
      <c r="AK7053">
        <v>89.0700242041721</v>
      </c>
      <c r="AL7053">
        <v>81.252561679575507</v>
      </c>
      <c r="AM7053">
        <v>56.083606645629601</v>
      </c>
      <c r="AN7053">
        <v>1.0000000220359599</v>
      </c>
    </row>
    <row r="7054" spans="1:40" x14ac:dyDescent="0.25">
      <c r="A7054" t="str">
        <f>"20190312164641505"</f>
        <v>20190312164641505</v>
      </c>
      <c r="B7054" t="str">
        <f>"1552380401498248"</f>
        <v>1552380401498248</v>
      </c>
      <c r="C7054" t="s">
        <v>40</v>
      </c>
      <c r="D7054">
        <v>5.1391799999999996</v>
      </c>
      <c r="E7054">
        <v>0.58679029999999999</v>
      </c>
      <c r="F7054" t="s">
        <v>42</v>
      </c>
      <c r="G7054">
        <v>-92.149789999999996</v>
      </c>
      <c r="H7054">
        <v>7.9986089999999996E-2</v>
      </c>
      <c r="I7054">
        <v>151.39019999999999</v>
      </c>
      <c r="J7054">
        <v>-182.98070000000001</v>
      </c>
      <c r="K7054">
        <v>1.09999</v>
      </c>
      <c r="L7054">
        <v>129.9401</v>
      </c>
      <c r="M7054">
        <v>0.52169849999999995</v>
      </c>
      <c r="N7054">
        <v>0</v>
      </c>
      <c r="O7054">
        <v>0.85300339999999997</v>
      </c>
      <c r="P7054">
        <v>0.89685110000000001</v>
      </c>
      <c r="Q7054">
        <v>0.15240419999999999</v>
      </c>
      <c r="R7054">
        <v>0.41524840000000002</v>
      </c>
      <c r="S7054">
        <v>3.0237120000000002</v>
      </c>
      <c r="T7054">
        <v>-3.3928630000000001E-2</v>
      </c>
      <c r="U7054">
        <v>0.71726990000000002</v>
      </c>
      <c r="V7054">
        <v>0.55195729999999998</v>
      </c>
      <c r="W7054">
        <v>0.15225030000000001</v>
      </c>
      <c r="X7054">
        <v>0.81985549999999996</v>
      </c>
      <c r="Y7054">
        <v>0.70956140000000001</v>
      </c>
      <c r="Z7054">
        <v>-1.1684730000000001E-2</v>
      </c>
      <c r="AA7054">
        <v>0.70454669999999997</v>
      </c>
      <c r="AB7054">
        <v>26</v>
      </c>
      <c r="AC7054">
        <v>90.830910000000003</v>
      </c>
      <c r="AD7054">
        <v>-1.02000391</v>
      </c>
      <c r="AE7054">
        <v>21.4500999999999</v>
      </c>
      <c r="AF7054">
        <v>66.287828491827696</v>
      </c>
      <c r="AG7054">
        <v>-1.02000391</v>
      </c>
      <c r="AH7054">
        <v>65.682603115879402</v>
      </c>
      <c r="AI7054">
        <v>90.626240236648201</v>
      </c>
      <c r="AJ7054">
        <v>44.737239500026199</v>
      </c>
      <c r="AK7054">
        <v>93.323742778654804</v>
      </c>
      <c r="AL7054">
        <v>81.242642920328805</v>
      </c>
      <c r="AM7054">
        <v>56.050089643639097</v>
      </c>
      <c r="AN7054">
        <v>1.00000002787681</v>
      </c>
    </row>
    <row r="7055" spans="1:40" x14ac:dyDescent="0.25">
      <c r="A7055" t="str">
        <f>"20190312164641515"</f>
        <v>20190312164641515</v>
      </c>
      <c r="B7055" t="str">
        <f>"1552380401508009"</f>
        <v>1552380401508009</v>
      </c>
      <c r="C7055" t="s">
        <v>40</v>
      </c>
      <c r="D7055">
        <v>5.2589480000000002</v>
      </c>
      <c r="E7055">
        <v>0.58659459999999997</v>
      </c>
      <c r="F7055" t="s">
        <v>76</v>
      </c>
      <c r="G7055">
        <v>-51.374479999999998</v>
      </c>
      <c r="H7055">
        <v>-0.1</v>
      </c>
      <c r="I7055">
        <v>160.09799999999899</v>
      </c>
      <c r="J7055">
        <v>-182.90710000000001</v>
      </c>
      <c r="K7055">
        <v>1.099936</v>
      </c>
      <c r="L7055">
        <v>130.04750000000001</v>
      </c>
      <c r="M7055">
        <v>0.52720409999999995</v>
      </c>
      <c r="N7055">
        <v>0</v>
      </c>
      <c r="O7055">
        <v>0.84961149999999996</v>
      </c>
      <c r="P7055">
        <v>0.89961919999999995</v>
      </c>
      <c r="Q7055">
        <v>0.15273510000000001</v>
      </c>
      <c r="R7055">
        <v>0.40909319999999999</v>
      </c>
      <c r="S7055">
        <v>3.0284119999999999</v>
      </c>
      <c r="T7055">
        <v>-2.7613160000000001E-2</v>
      </c>
      <c r="U7055">
        <v>0.69396969999999902</v>
      </c>
      <c r="V7055">
        <v>0.55225400000000002</v>
      </c>
      <c r="W7055">
        <v>0.1525128</v>
      </c>
      <c r="X7055">
        <v>0.81960679999999997</v>
      </c>
      <c r="Y7055">
        <v>0.71041609999999999</v>
      </c>
      <c r="Z7055">
        <v>-9.505599E-3</v>
      </c>
      <c r="AA7055">
        <v>0.7037177</v>
      </c>
      <c r="AB7055">
        <v>26</v>
      </c>
      <c r="AC7055">
        <v>131.53262000000001</v>
      </c>
      <c r="AD7055">
        <v>-1.1999359999999999</v>
      </c>
      <c r="AE7055">
        <v>30.0504999999999</v>
      </c>
      <c r="AF7055">
        <v>95.911659936495496</v>
      </c>
      <c r="AG7055">
        <v>-1.1999359999999999</v>
      </c>
      <c r="AH7055">
        <v>94.878537148045098</v>
      </c>
      <c r="AI7055">
        <v>90.509591104064</v>
      </c>
      <c r="AJ7055">
        <v>44.689748226816</v>
      </c>
      <c r="AK7055">
        <v>134.91635619720401</v>
      </c>
      <c r="AL7055">
        <v>81.2274245544276</v>
      </c>
      <c r="AM7055">
        <v>56.027768997597903</v>
      </c>
      <c r="AN7055">
        <v>0.99999997064303903</v>
      </c>
    </row>
    <row r="7056" spans="1:40" x14ac:dyDescent="0.25">
      <c r="A7056" t="str">
        <f>"20190312164641527"</f>
        <v>20190312164641527</v>
      </c>
      <c r="B7056" t="str">
        <f>"1552380401518745"</f>
        <v>1552380401518745</v>
      </c>
      <c r="C7056" t="s">
        <v>40</v>
      </c>
      <c r="D7056">
        <v>5.2212459999999998</v>
      </c>
      <c r="E7056">
        <v>0.58629750000000003</v>
      </c>
      <c r="F7056" t="s">
        <v>42</v>
      </c>
      <c r="G7056">
        <v>-36.039749999999998</v>
      </c>
      <c r="H7056" s="1">
        <v>-2.933486E-6</v>
      </c>
      <c r="I7056">
        <v>162.68109999999999</v>
      </c>
      <c r="J7056">
        <v>-182.8244</v>
      </c>
      <c r="K7056">
        <v>1.0998760000000001</v>
      </c>
      <c r="L7056">
        <v>130.16730000000001</v>
      </c>
      <c r="M7056">
        <v>0.53336510000000004</v>
      </c>
      <c r="N7056">
        <v>0</v>
      </c>
      <c r="O7056">
        <v>0.84575689999999903</v>
      </c>
      <c r="P7056">
        <v>0.90281219999999995</v>
      </c>
      <c r="Q7056">
        <v>0.1529595</v>
      </c>
      <c r="R7056">
        <v>0.4019122</v>
      </c>
      <c r="S7056">
        <v>3.0322110000000002</v>
      </c>
      <c r="T7056">
        <v>-2.270925E-2</v>
      </c>
      <c r="U7056">
        <v>0.67375180000000001</v>
      </c>
      <c r="V7056">
        <v>0.55282439999999999</v>
      </c>
      <c r="W7056">
        <v>0.1526546</v>
      </c>
      <c r="X7056">
        <v>0.81919580000000003</v>
      </c>
      <c r="Y7056">
        <v>0.70997379999999999</v>
      </c>
      <c r="Z7056">
        <v>-7.8085680000000001E-3</v>
      </c>
      <c r="AA7056">
        <v>0.70418480000000006</v>
      </c>
      <c r="AB7056">
        <v>26</v>
      </c>
      <c r="AC7056">
        <v>146.78465</v>
      </c>
      <c r="AD7056">
        <v>-1.099878933486</v>
      </c>
      <c r="AE7056">
        <v>32.513799999999897</v>
      </c>
      <c r="AF7056">
        <v>106.808274393733</v>
      </c>
      <c r="AG7056">
        <v>-1.099878933486</v>
      </c>
      <c r="AH7056">
        <v>105.79439453006999</v>
      </c>
      <c r="AI7056">
        <v>90.419180542051095</v>
      </c>
      <c r="AJ7056">
        <v>44.7267644990281</v>
      </c>
      <c r="AK7056">
        <v>150.33852176544599</v>
      </c>
      <c r="AL7056">
        <v>81.219204024107796</v>
      </c>
      <c r="AM7056">
        <v>55.9870297306026</v>
      </c>
      <c r="AN7056">
        <v>1.00000000143708</v>
      </c>
    </row>
    <row r="7057" spans="1:40" x14ac:dyDescent="0.25">
      <c r="A7057" t="str">
        <f>"20190312164641539"</f>
        <v>20190312164641539</v>
      </c>
      <c r="B7057" t="str">
        <f>"1552380401528504"</f>
        <v>1552380401528504</v>
      </c>
      <c r="C7057" t="s">
        <v>40</v>
      </c>
      <c r="D7057">
        <v>5.2835089999999996</v>
      </c>
      <c r="E7057">
        <v>0.58591680000000002</v>
      </c>
      <c r="F7057" t="s">
        <v>42</v>
      </c>
      <c r="G7057">
        <v>-19.935130000000001</v>
      </c>
      <c r="H7057">
        <v>7.2620619999999997E-2</v>
      </c>
      <c r="I7057">
        <v>165.10249999999999</v>
      </c>
      <c r="J7057">
        <v>-182.75450000000001</v>
      </c>
      <c r="K7057">
        <v>1.0998220000000001</v>
      </c>
      <c r="L7057">
        <v>130.26580000000001</v>
      </c>
      <c r="M7057">
        <v>0.53851640000000001</v>
      </c>
      <c r="N7057">
        <v>0</v>
      </c>
      <c r="O7057">
        <v>0.84248599999999996</v>
      </c>
      <c r="P7057">
        <v>0.90551839999999995</v>
      </c>
      <c r="Q7057">
        <v>0.15280360000000001</v>
      </c>
      <c r="R7057">
        <v>0.39583780000000002</v>
      </c>
      <c r="S7057">
        <v>3.0362849999999999</v>
      </c>
      <c r="T7057">
        <v>-1.9148229999999999E-2</v>
      </c>
      <c r="U7057">
        <v>0.65119930000000004</v>
      </c>
      <c r="V7057">
        <v>0.553367099999999</v>
      </c>
      <c r="W7057">
        <v>0.15243039999999999</v>
      </c>
      <c r="X7057">
        <v>0.81887109999999996</v>
      </c>
      <c r="Y7057">
        <v>0.71087829999999996</v>
      </c>
      <c r="Z7057">
        <v>-6.5814740000000004E-3</v>
      </c>
      <c r="AA7057">
        <v>0.70328429999999997</v>
      </c>
      <c r="AB7057">
        <v>26</v>
      </c>
      <c r="AC7057">
        <v>162.81936999999999</v>
      </c>
      <c r="AD7057">
        <v>-1.0272013799999999</v>
      </c>
      <c r="AE7057">
        <v>34.836699999999901</v>
      </c>
      <c r="AF7057">
        <v>118.42127363172899</v>
      </c>
      <c r="AG7057">
        <v>-1.0272013799999999</v>
      </c>
      <c r="AH7057">
        <v>117.038603463315</v>
      </c>
      <c r="AI7057">
        <v>90.353478752609803</v>
      </c>
      <c r="AJ7057">
        <v>44.663550939064201</v>
      </c>
      <c r="AK7057">
        <v>166.50131498543499</v>
      </c>
      <c r="AL7057">
        <v>81.232202072426901</v>
      </c>
      <c r="AM7057">
        <v>55.950420736531498</v>
      </c>
      <c r="AN7057">
        <v>1.0000000263108799</v>
      </c>
    </row>
    <row r="7058" spans="1:40" x14ac:dyDescent="0.25">
      <c r="A7058" t="str">
        <f>"20190312164641550"</f>
        <v>20190312164641550</v>
      </c>
      <c r="B7058" t="str">
        <f>"1552380401538265"</f>
        <v>1552380401538265</v>
      </c>
      <c r="C7058" t="s">
        <v>40</v>
      </c>
      <c r="D7058">
        <v>5.2507699999999904</v>
      </c>
      <c r="E7058">
        <v>0.58535219999999999</v>
      </c>
      <c r="F7058" t="s">
        <v>76</v>
      </c>
      <c r="G7058">
        <v>-42.846769999999999</v>
      </c>
      <c r="H7058">
        <v>-0.1</v>
      </c>
      <c r="I7058">
        <v>159.4607</v>
      </c>
      <c r="J7058">
        <v>-182.6722</v>
      </c>
      <c r="K7058">
        <v>1.0997629999999901</v>
      </c>
      <c r="L7058">
        <v>130.38130000000001</v>
      </c>
      <c r="M7058">
        <v>0.54455240000000005</v>
      </c>
      <c r="N7058">
        <v>0</v>
      </c>
      <c r="O7058">
        <v>0.83859689999999998</v>
      </c>
      <c r="P7058">
        <v>0.90841190000000005</v>
      </c>
      <c r="Q7058">
        <v>0.1528236</v>
      </c>
      <c r="R7058">
        <v>0.38914379999999998</v>
      </c>
      <c r="S7058">
        <v>3.0400999999999998</v>
      </c>
      <c r="T7058">
        <v>-2.607131E-2</v>
      </c>
      <c r="U7058">
        <v>0.63438419999999995</v>
      </c>
      <c r="V7058">
        <v>0.55355010000000004</v>
      </c>
      <c r="W7058">
        <v>0.15238270000000001</v>
      </c>
      <c r="X7058">
        <v>0.81875620000000005</v>
      </c>
      <c r="Y7058">
        <v>0.70971099999999998</v>
      </c>
      <c r="Z7058">
        <v>-8.9442589999999995E-3</v>
      </c>
      <c r="AA7058">
        <v>0.70443619999999996</v>
      </c>
      <c r="AB7058">
        <v>26</v>
      </c>
      <c r="AC7058">
        <v>139.82543000000001</v>
      </c>
      <c r="AD7058">
        <v>-1.1997629999999999</v>
      </c>
      <c r="AE7058">
        <v>29.0794</v>
      </c>
      <c r="AF7058">
        <v>101.42581019012199</v>
      </c>
      <c r="AG7058">
        <v>-1.1997629999999999</v>
      </c>
      <c r="AH7058">
        <v>100.532028968532</v>
      </c>
      <c r="AI7058">
        <v>90.481346600495201</v>
      </c>
      <c r="AJ7058">
        <v>44.746434415748602</v>
      </c>
      <c r="AK7058">
        <v>142.81219574150001</v>
      </c>
      <c r="AL7058">
        <v>81.234966780105694</v>
      </c>
      <c r="AM7058">
        <v>55.937900989206497</v>
      </c>
      <c r="AN7058">
        <v>0.99999995775386896</v>
      </c>
    </row>
    <row r="7059" spans="1:40" x14ac:dyDescent="0.25">
      <c r="A7059" t="str">
        <f>"20190312164641563"</f>
        <v>20190312164641563</v>
      </c>
      <c r="B7059" t="str">
        <f>"1552380401557784"</f>
        <v>1552380401557784</v>
      </c>
      <c r="C7059" t="s">
        <v>40</v>
      </c>
      <c r="D7059">
        <v>5.2779749999999996</v>
      </c>
      <c r="E7059">
        <v>0.58422949999999996</v>
      </c>
      <c r="F7059" t="s">
        <v>42</v>
      </c>
      <c r="G7059">
        <v>-81.755129999999994</v>
      </c>
      <c r="H7059">
        <v>7.998595E-2</v>
      </c>
      <c r="I7059">
        <v>150.82810000000001</v>
      </c>
      <c r="J7059">
        <v>-182.58170000000001</v>
      </c>
      <c r="K7059">
        <v>1.0996999999999999</v>
      </c>
      <c r="L7059">
        <v>130.50550000000001</v>
      </c>
      <c r="M7059">
        <v>0.55113140000000005</v>
      </c>
      <c r="N7059">
        <v>0</v>
      </c>
      <c r="O7059">
        <v>0.83428749999999996</v>
      </c>
      <c r="P7059">
        <v>0.9115666</v>
      </c>
      <c r="Q7059">
        <v>0.152582299999999</v>
      </c>
      <c r="R7059">
        <v>0.38179190000000002</v>
      </c>
      <c r="S7059">
        <v>3.043472</v>
      </c>
      <c r="T7059">
        <v>-3.0754569999999998E-2</v>
      </c>
      <c r="U7059">
        <v>0.61663819999999903</v>
      </c>
      <c r="V7059">
        <v>0.55377749999999903</v>
      </c>
      <c r="W7059">
        <v>0.15206889999999901</v>
      </c>
      <c r="X7059">
        <v>0.81866090000000002</v>
      </c>
      <c r="Y7059">
        <v>0.7082484</v>
      </c>
      <c r="Z7059">
        <v>-1.052959E-2</v>
      </c>
      <c r="AA7059">
        <v>0.70588479999999998</v>
      </c>
      <c r="AB7059">
        <v>26</v>
      </c>
      <c r="AC7059">
        <v>100.82656999999899</v>
      </c>
      <c r="AD7059">
        <v>-1.0197140499999999</v>
      </c>
      <c r="AE7059">
        <v>20.322599999999898</v>
      </c>
      <c r="AF7059">
        <v>72.918726117301205</v>
      </c>
      <c r="AG7059">
        <v>-1.0197140499999999</v>
      </c>
      <c r="AH7059">
        <v>72.524377579127204</v>
      </c>
      <c r="AI7059">
        <v>90.568076824860398</v>
      </c>
      <c r="AJ7059">
        <v>44.844650925668397</v>
      </c>
      <c r="AK7059">
        <v>102.849238103904</v>
      </c>
      <c r="AL7059">
        <v>81.253159189399994</v>
      </c>
      <c r="AM7059">
        <v>55.923886058671499</v>
      </c>
      <c r="AN7059">
        <v>1.00000006952113</v>
      </c>
    </row>
    <row r="7060" spans="1:40" x14ac:dyDescent="0.25">
      <c r="A7060" t="str">
        <f>"20190312164641575"</f>
        <v>20190312164641575</v>
      </c>
      <c r="B7060" t="str">
        <f>"1552380401568520"</f>
        <v>1552380401568520</v>
      </c>
      <c r="C7060" t="s">
        <v>40</v>
      </c>
      <c r="D7060">
        <v>5.2579779999999996</v>
      </c>
      <c r="E7060">
        <v>0.58368909999999996</v>
      </c>
      <c r="F7060" t="s">
        <v>42</v>
      </c>
      <c r="G7060">
        <v>-102.5539</v>
      </c>
      <c r="H7060" s="1">
        <v>-4.9177789999999998E-6</v>
      </c>
      <c r="I7060">
        <v>146.3092</v>
      </c>
      <c r="J7060">
        <v>-182.50129999999999</v>
      </c>
      <c r="K7060">
        <v>1.099648</v>
      </c>
      <c r="L7060">
        <v>130.61429999999999</v>
      </c>
      <c r="M7060">
        <v>0.55693239999999999</v>
      </c>
      <c r="N7060">
        <v>0</v>
      </c>
      <c r="O7060">
        <v>0.83042590000000005</v>
      </c>
      <c r="P7060">
        <v>0.9141842</v>
      </c>
      <c r="Q7060">
        <v>0.1525282</v>
      </c>
      <c r="R7060">
        <v>0.37550299999999998</v>
      </c>
      <c r="S7060">
        <v>3.0460820000000002</v>
      </c>
      <c r="T7060">
        <v>-4.185784E-2</v>
      </c>
      <c r="U7060">
        <v>0.60153199999999996</v>
      </c>
      <c r="V7060">
        <v>0.55373859999999997</v>
      </c>
      <c r="W7060">
        <v>0.1519586</v>
      </c>
      <c r="X7060">
        <v>0.81870759999999998</v>
      </c>
      <c r="Y7060">
        <v>0.70675869999999996</v>
      </c>
      <c r="Z7060">
        <v>-1.4303730000000001E-2</v>
      </c>
      <c r="AA7060">
        <v>0.70731009999999905</v>
      </c>
      <c r="AB7060">
        <v>26</v>
      </c>
      <c r="AC7060">
        <v>79.947399999999902</v>
      </c>
      <c r="AD7060">
        <v>-1.099652917779</v>
      </c>
      <c r="AE7060">
        <v>15.694900000000001</v>
      </c>
      <c r="AF7060">
        <v>57.6452092734282</v>
      </c>
      <c r="AG7060">
        <v>-1.099652917779</v>
      </c>
      <c r="AH7060">
        <v>57.554571392868901</v>
      </c>
      <c r="AI7060">
        <v>90.7734194597505</v>
      </c>
      <c r="AJ7060">
        <v>44.954920339965497</v>
      </c>
      <c r="AK7060">
        <v>81.4659933771986</v>
      </c>
      <c r="AL7060">
        <v>81.259552555188193</v>
      </c>
      <c r="AM7060">
        <v>55.927270656141502</v>
      </c>
      <c r="AN7060">
        <v>0.99999999377083904</v>
      </c>
    </row>
    <row r="7061" spans="1:40" x14ac:dyDescent="0.25">
      <c r="A7061" t="str">
        <f>"20190312164641588"</f>
        <v>20190312164641588</v>
      </c>
      <c r="B7061" t="str">
        <f>"1552380401578280"</f>
        <v>1552380401578280</v>
      </c>
      <c r="C7061" t="s">
        <v>40</v>
      </c>
      <c r="D7061">
        <v>5.2634230000000004</v>
      </c>
      <c r="E7061">
        <v>0.58313289999999995</v>
      </c>
      <c r="F7061" t="s">
        <v>42</v>
      </c>
      <c r="G7061">
        <v>-107.1061</v>
      </c>
      <c r="H7061" s="1">
        <v>-2.7991189999999999E-6</v>
      </c>
      <c r="I7061">
        <v>145.0685</v>
      </c>
      <c r="J7061">
        <v>-182.4076</v>
      </c>
      <c r="K7061">
        <v>1.0995870000000001</v>
      </c>
      <c r="L7061">
        <v>130.73949999999999</v>
      </c>
      <c r="M7061">
        <v>0.56363580000000002</v>
      </c>
      <c r="N7061">
        <v>0</v>
      </c>
      <c r="O7061">
        <v>0.82589040000000002</v>
      </c>
      <c r="P7061">
        <v>0.91718540000000004</v>
      </c>
      <c r="Q7061">
        <v>0.15238589999999999</v>
      </c>
      <c r="R7061">
        <v>0.36817060000000001</v>
      </c>
      <c r="S7061">
        <v>3.0489350000000002</v>
      </c>
      <c r="T7061">
        <v>-4.446924E-2</v>
      </c>
      <c r="U7061">
        <v>0.58451839999999999</v>
      </c>
      <c r="V7061">
        <v>0.55370710000000001</v>
      </c>
      <c r="W7061">
        <v>0.15175359999999999</v>
      </c>
      <c r="X7061">
        <v>0.81876700000000002</v>
      </c>
      <c r="Y7061">
        <v>0.70494489999999999</v>
      </c>
      <c r="Z7061">
        <v>-1.516088E-2</v>
      </c>
      <c r="AA7061">
        <v>0.70909990000000001</v>
      </c>
      <c r="AB7061">
        <v>26</v>
      </c>
      <c r="AC7061">
        <v>75.301500000000004</v>
      </c>
      <c r="AD7061">
        <v>-1.099589799119</v>
      </c>
      <c r="AE7061">
        <v>14.329000000000001</v>
      </c>
      <c r="AF7061">
        <v>54.109260209927797</v>
      </c>
      <c r="AG7061">
        <v>-1.099589799119</v>
      </c>
      <c r="AH7061">
        <v>54.271600801497001</v>
      </c>
      <c r="AI7061">
        <v>90.822025800803402</v>
      </c>
      <c r="AJ7061">
        <v>45.085821645053301</v>
      </c>
      <c r="AK7061">
        <v>76.644815817829894</v>
      </c>
      <c r="AL7061">
        <v>81.271436536864798</v>
      </c>
      <c r="AM7061">
        <v>55.930712213672898</v>
      </c>
      <c r="AN7061">
        <v>1.00000005399618</v>
      </c>
    </row>
    <row r="7062" spans="1:40" x14ac:dyDescent="0.25">
      <c r="A7062" t="str">
        <f>"20190312164641601"</f>
        <v>20190312164641601</v>
      </c>
      <c r="B7062" t="str">
        <f>"1552380401597800"</f>
        <v>1552380401597800</v>
      </c>
      <c r="C7062" t="s">
        <v>40</v>
      </c>
      <c r="D7062">
        <v>5.2802670000000003</v>
      </c>
      <c r="E7062">
        <v>0.58202030000000005</v>
      </c>
      <c r="F7062" t="s">
        <v>42</v>
      </c>
      <c r="G7062">
        <v>-111.4692</v>
      </c>
      <c r="H7062" s="1">
        <v>-4.5282850000000001E-6</v>
      </c>
      <c r="I7062">
        <v>143.857</v>
      </c>
      <c r="J7062">
        <v>-182.31270000000001</v>
      </c>
      <c r="K7062">
        <v>1.0995220000000001</v>
      </c>
      <c r="L7062">
        <v>130.8631</v>
      </c>
      <c r="M7062">
        <v>0.57035689999999994</v>
      </c>
      <c r="N7062">
        <v>0</v>
      </c>
      <c r="O7062">
        <v>0.82126270000000001</v>
      </c>
      <c r="P7062">
        <v>0.92008789999999996</v>
      </c>
      <c r="Q7062">
        <v>0.15197079999999999</v>
      </c>
      <c r="R7062">
        <v>0.36103089999999999</v>
      </c>
      <c r="S7062">
        <v>3.0521850000000001</v>
      </c>
      <c r="T7062">
        <v>-4.7310829999999998E-2</v>
      </c>
      <c r="U7062">
        <v>0.56439209999999995</v>
      </c>
      <c r="V7062">
        <v>0.55345819999999901</v>
      </c>
      <c r="W7062">
        <v>0.15128269999999999</v>
      </c>
      <c r="X7062">
        <v>0.81902240000000004</v>
      </c>
      <c r="Y7062">
        <v>0.70379530000000001</v>
      </c>
      <c r="Z7062">
        <v>-1.6095789999999999E-2</v>
      </c>
      <c r="AA7062">
        <v>0.71022039999999997</v>
      </c>
      <c r="AB7062">
        <v>26</v>
      </c>
      <c r="AC7062">
        <v>70.843500000000006</v>
      </c>
      <c r="AD7062">
        <v>-1.099526528285</v>
      </c>
      <c r="AE7062">
        <v>12.993899999999901</v>
      </c>
      <c r="AF7062">
        <v>50.763733740468098</v>
      </c>
      <c r="AG7062">
        <v>-1.099526528285</v>
      </c>
      <c r="AH7062">
        <v>51.071216883679099</v>
      </c>
      <c r="AI7062">
        <v>90.874803992157595</v>
      </c>
      <c r="AJ7062">
        <v>45.172999866259602</v>
      </c>
      <c r="AK7062">
        <v>72.016906458409693</v>
      </c>
      <c r="AL7062">
        <v>81.298732341368293</v>
      </c>
      <c r="AM7062">
        <v>55.950955918503297</v>
      </c>
      <c r="AN7062">
        <v>1.0000000630841399</v>
      </c>
    </row>
    <row r="7063" spans="1:40" x14ac:dyDescent="0.25">
      <c r="A7063" t="str">
        <f>"20190312164641613"</f>
        <v>20190312164641613</v>
      </c>
      <c r="B7063" t="str">
        <f>"1552380401608536"</f>
        <v>1552380401608536</v>
      </c>
      <c r="C7063" t="s">
        <v>40</v>
      </c>
      <c r="D7063">
        <v>5.2799930000000002</v>
      </c>
      <c r="E7063">
        <v>0.58161350000000001</v>
      </c>
      <c r="F7063" t="s">
        <v>42</v>
      </c>
      <c r="G7063">
        <v>-118.75539999999999</v>
      </c>
      <c r="H7063" s="1">
        <v>-1.228963E-6</v>
      </c>
      <c r="I7063">
        <v>142.29499999999999</v>
      </c>
      <c r="J7063">
        <v>-182.2285</v>
      </c>
      <c r="K7063">
        <v>1.0994649999999999</v>
      </c>
      <c r="L7063">
        <v>130.9716</v>
      </c>
      <c r="M7063">
        <v>0.57627790000000001</v>
      </c>
      <c r="N7063">
        <v>0</v>
      </c>
      <c r="O7063">
        <v>0.81711849999999997</v>
      </c>
      <c r="P7063">
        <v>0.92261309999999996</v>
      </c>
      <c r="Q7063">
        <v>0.15179409999999999</v>
      </c>
      <c r="R7063">
        <v>0.35460360000000002</v>
      </c>
      <c r="S7063">
        <v>3.053741</v>
      </c>
      <c r="T7063">
        <v>-5.282891E-2</v>
      </c>
      <c r="U7063">
        <v>0.54927060000000005</v>
      </c>
      <c r="V7063">
        <v>0.55329189999999995</v>
      </c>
      <c r="W7063">
        <v>0.15105360000000001</v>
      </c>
      <c r="X7063">
        <v>0.81917700000000004</v>
      </c>
      <c r="Y7063">
        <v>0.702092099999999</v>
      </c>
      <c r="Z7063">
        <v>-1.7936870000000001E-2</v>
      </c>
      <c r="AA7063">
        <v>0.71186019999999905</v>
      </c>
      <c r="AB7063">
        <v>26</v>
      </c>
      <c r="AC7063">
        <v>63.473100000000002</v>
      </c>
      <c r="AD7063">
        <v>-1.0994662289629999</v>
      </c>
      <c r="AE7063">
        <v>11.3233999999999</v>
      </c>
      <c r="AF7063">
        <v>45.331451206043397</v>
      </c>
      <c r="AG7063">
        <v>-1.0994662289629999</v>
      </c>
      <c r="AH7063">
        <v>45.822448045455097</v>
      </c>
      <c r="AI7063">
        <v>90.977227900746797</v>
      </c>
      <c r="AJ7063">
        <v>45.308618444348902</v>
      </c>
      <c r="AK7063">
        <v>64.465851730299505</v>
      </c>
      <c r="AL7063">
        <v>81.312011177473494</v>
      </c>
      <c r="AM7063">
        <v>55.963959445647099</v>
      </c>
      <c r="AN7063">
        <v>1.00000003700378</v>
      </c>
    </row>
    <row r="7064" spans="1:40" x14ac:dyDescent="0.25">
      <c r="A7064" t="str">
        <f>"20190312164641624"</f>
        <v>20190312164641624</v>
      </c>
      <c r="B7064" t="str">
        <f>"1552380401618297"</f>
        <v>1552380401618297</v>
      </c>
      <c r="C7064" t="s">
        <v>40</v>
      </c>
      <c r="D7064">
        <v>5.2227009999999998</v>
      </c>
      <c r="E7064">
        <v>0.58103000000000005</v>
      </c>
      <c r="F7064" t="s">
        <v>42</v>
      </c>
      <c r="G7064">
        <v>-120.8698</v>
      </c>
      <c r="H7064" s="1">
        <v>-4.3377260000000003E-6</v>
      </c>
      <c r="I7064">
        <v>141.63290000000001</v>
      </c>
      <c r="J7064">
        <v>-182.15199999999999</v>
      </c>
      <c r="K7064">
        <v>1.0994139999999999</v>
      </c>
      <c r="L7064">
        <v>131.0684</v>
      </c>
      <c r="M7064">
        <v>0.58161409999999902</v>
      </c>
      <c r="N7064">
        <v>0</v>
      </c>
      <c r="O7064">
        <v>0.81332839999999995</v>
      </c>
      <c r="P7064">
        <v>0.9247417</v>
      </c>
      <c r="Q7064">
        <v>0.1516044</v>
      </c>
      <c r="R7064">
        <v>0.3490973</v>
      </c>
      <c r="S7064">
        <v>3.0565030000000002</v>
      </c>
      <c r="T7064">
        <v>-5.476868E-2</v>
      </c>
      <c r="U7064">
        <v>0.53108219999999995</v>
      </c>
      <c r="V7064">
        <v>0.55285209999999996</v>
      </c>
      <c r="W7064">
        <v>0.1508255</v>
      </c>
      <c r="X7064">
        <v>0.81951580000000002</v>
      </c>
      <c r="Y7064">
        <v>0.70163809999999904</v>
      </c>
      <c r="Z7064">
        <v>-1.8565970000000001E-2</v>
      </c>
      <c r="AA7064">
        <v>0.71229160000000002</v>
      </c>
      <c r="AB7064">
        <v>26</v>
      </c>
      <c r="AC7064">
        <v>61.282200000000003</v>
      </c>
      <c r="AD7064">
        <v>-1.0994183377259901</v>
      </c>
      <c r="AE7064">
        <v>10.564500000000001</v>
      </c>
      <c r="AF7064">
        <v>43.689286082159299</v>
      </c>
      <c r="AG7064">
        <v>-1.0994183377259901</v>
      </c>
      <c r="AH7064">
        <v>44.226085857708398</v>
      </c>
      <c r="AI7064">
        <v>91.013170236223701</v>
      </c>
      <c r="AJ7064">
        <v>45.349836196976298</v>
      </c>
      <c r="AK7064">
        <v>62.176435321940801</v>
      </c>
      <c r="AL7064">
        <v>81.325231150447394</v>
      </c>
      <c r="AM7064">
        <v>55.996073677750701</v>
      </c>
      <c r="AN7064">
        <v>0.99999996118714896</v>
      </c>
    </row>
    <row r="7065" spans="1:40" x14ac:dyDescent="0.25">
      <c r="A7065" t="str">
        <f>"20190312164641634"</f>
        <v>20190312164641634</v>
      </c>
      <c r="B7065" t="str">
        <f>"1552380401628634"</f>
        <v>1552380401628634</v>
      </c>
      <c r="C7065" t="s">
        <v>40</v>
      </c>
      <c r="D7065">
        <v>5.2898259999999997</v>
      </c>
      <c r="E7065">
        <v>0.58055129999999999</v>
      </c>
      <c r="F7065" t="s">
        <v>42</v>
      </c>
      <c r="G7065">
        <v>-119.4706</v>
      </c>
      <c r="H7065" s="1">
        <v>-7.541887E-7</v>
      </c>
      <c r="I7065">
        <v>141.6636</v>
      </c>
      <c r="J7065">
        <v>-182.07769999999999</v>
      </c>
      <c r="K7065">
        <v>1.0993630000000001</v>
      </c>
      <c r="L7065">
        <v>131.16120000000001</v>
      </c>
      <c r="M7065">
        <v>0.5867639</v>
      </c>
      <c r="N7065">
        <v>0</v>
      </c>
      <c r="O7065">
        <v>0.80962080000000003</v>
      </c>
      <c r="P7065">
        <v>0.92670730000000001</v>
      </c>
      <c r="Q7065">
        <v>0.15170120000000001</v>
      </c>
      <c r="R7065">
        <v>0.34380319999999998</v>
      </c>
      <c r="S7065">
        <v>3.0578310000000002</v>
      </c>
      <c r="T7065">
        <v>-5.3633449999999999E-2</v>
      </c>
      <c r="U7065">
        <v>0.51687620000000001</v>
      </c>
      <c r="V7065">
        <v>0.55234459999999996</v>
      </c>
      <c r="W7065">
        <v>0.15088770000000001</v>
      </c>
      <c r="X7065">
        <v>0.81984659999999998</v>
      </c>
      <c r="Y7065">
        <v>0.70039110000000004</v>
      </c>
      <c r="Z7065">
        <v>-1.8149620000000002E-2</v>
      </c>
      <c r="AA7065">
        <v>0.71352850000000001</v>
      </c>
      <c r="AB7065">
        <v>26</v>
      </c>
      <c r="AC7065">
        <v>62.607099999999903</v>
      </c>
      <c r="AD7065">
        <v>-1.09936375418869</v>
      </c>
      <c r="AE7065">
        <v>10.5023999999999</v>
      </c>
      <c r="AF7065">
        <v>44.517179822726398</v>
      </c>
      <c r="AG7065">
        <v>-1.09936375418869</v>
      </c>
      <c r="AH7065">
        <v>45.2300117447841</v>
      </c>
      <c r="AI7065">
        <v>90.992432647866806</v>
      </c>
      <c r="AJ7065">
        <v>45.455071641773699</v>
      </c>
      <c r="AK7065">
        <v>63.472370859030399</v>
      </c>
      <c r="AL7065">
        <v>81.321626883801997</v>
      </c>
      <c r="AM7065">
        <v>56.031180644297102</v>
      </c>
      <c r="AN7065">
        <v>1.0000000513459999</v>
      </c>
    </row>
    <row r="7066" spans="1:40" x14ac:dyDescent="0.25">
      <c r="A7066" t="str">
        <f>"20190312164641644"</f>
        <v>20190312164641644</v>
      </c>
      <c r="B7066" t="str">
        <f>"1552380401638395"</f>
        <v>1552380401638395</v>
      </c>
      <c r="C7066" t="s">
        <v>40</v>
      </c>
      <c r="D7066">
        <v>5.2982129999999996</v>
      </c>
      <c r="E7066">
        <v>0.58012509999999995</v>
      </c>
      <c r="F7066" t="s">
        <v>42</v>
      </c>
      <c r="G7066">
        <v>-120.3968</v>
      </c>
      <c r="H7066" s="1">
        <v>-4.4396860000000001E-6</v>
      </c>
      <c r="I7066">
        <v>141.30009999999999</v>
      </c>
      <c r="J7066">
        <v>-182.00210000000001</v>
      </c>
      <c r="K7066">
        <v>1.0993120000000001</v>
      </c>
      <c r="L7066">
        <v>131.25450000000001</v>
      </c>
      <c r="M7066">
        <v>0.59197270000000002</v>
      </c>
      <c r="N7066">
        <v>0</v>
      </c>
      <c r="O7066">
        <v>0.80581969999999903</v>
      </c>
      <c r="P7066">
        <v>0.92873600000000001</v>
      </c>
      <c r="Q7066">
        <v>0.151454799999999</v>
      </c>
      <c r="R7066">
        <v>0.33839449999999999</v>
      </c>
      <c r="S7066">
        <v>3.0596160000000001</v>
      </c>
      <c r="T7066">
        <v>-5.4532890000000001E-2</v>
      </c>
      <c r="U7066">
        <v>0.50292970000000004</v>
      </c>
      <c r="V7066">
        <v>0.55188159999999997</v>
      </c>
      <c r="W7066">
        <v>0.15060490000000001</v>
      </c>
      <c r="X7066">
        <v>0.82021029999999995</v>
      </c>
      <c r="Y7066">
        <v>0.69901480000000005</v>
      </c>
      <c r="Z7066">
        <v>-1.8416020000000002E-2</v>
      </c>
      <c r="AA7066">
        <v>0.71487000000000001</v>
      </c>
      <c r="AB7066">
        <v>26</v>
      </c>
      <c r="AC7066">
        <v>61.6053</v>
      </c>
      <c r="AD7066">
        <v>-1.099316439686</v>
      </c>
      <c r="AE7066">
        <v>10.045599999999901</v>
      </c>
      <c r="AF7066">
        <v>43.687363979738002</v>
      </c>
      <c r="AG7066">
        <v>-1.099316439686</v>
      </c>
      <c r="AH7066">
        <v>44.5547464000025</v>
      </c>
      <c r="AI7066">
        <v>91.009296023419097</v>
      </c>
      <c r="AJ7066">
        <v>45.563175010082198</v>
      </c>
      <c r="AK7066">
        <v>62.409291735295398</v>
      </c>
      <c r="AL7066">
        <v>81.338017301187605</v>
      </c>
      <c r="AM7066">
        <v>56.0652128729648</v>
      </c>
      <c r="AN7066">
        <v>1.00000003627432</v>
      </c>
    </row>
    <row r="7067" spans="1:40" x14ac:dyDescent="0.25">
      <c r="A7067" t="str">
        <f>"20190312164641654"</f>
        <v>20190312164641654</v>
      </c>
      <c r="B7067" t="str">
        <f>"1552380401648154"</f>
        <v>1552380401648154</v>
      </c>
      <c r="C7067" t="s">
        <v>40</v>
      </c>
      <c r="D7067">
        <v>5.2218140000000002</v>
      </c>
      <c r="E7067">
        <v>0.57970759999999999</v>
      </c>
      <c r="F7067" t="s">
        <v>42</v>
      </c>
      <c r="G7067">
        <v>-122.6639</v>
      </c>
      <c r="H7067" s="1">
        <v>-3.4228839999999999E-6</v>
      </c>
      <c r="I7067">
        <v>140.7191</v>
      </c>
      <c r="J7067">
        <v>-181.92670000000001</v>
      </c>
      <c r="K7067">
        <v>1.099261</v>
      </c>
      <c r="L7067">
        <v>131.34610000000001</v>
      </c>
      <c r="M7067">
        <v>0.59712849999999995</v>
      </c>
      <c r="N7067">
        <v>0</v>
      </c>
      <c r="O7067">
        <v>0.80200640000000001</v>
      </c>
      <c r="P7067">
        <v>0.93055220000000005</v>
      </c>
      <c r="Q7067">
        <v>0.15167079999999999</v>
      </c>
      <c r="R7067">
        <v>0.33326929999999999</v>
      </c>
      <c r="S7067">
        <v>3.0615389999999998</v>
      </c>
      <c r="T7067">
        <v>-5.6718949999999997E-2</v>
      </c>
      <c r="U7067">
        <v>0.48832700000000001</v>
      </c>
      <c r="V7067">
        <v>0.55113699999999999</v>
      </c>
      <c r="W7067">
        <v>0.15079389999999901</v>
      </c>
      <c r="X7067">
        <v>0.82067610000000002</v>
      </c>
      <c r="Y7067">
        <v>0.69780739999999997</v>
      </c>
      <c r="Z7067">
        <v>-1.911477E-2</v>
      </c>
      <c r="AA7067">
        <v>0.71603039999999996</v>
      </c>
      <c r="AB7067">
        <v>26</v>
      </c>
      <c r="AC7067">
        <v>59.262799999999999</v>
      </c>
      <c r="AD7067">
        <v>-1.0992644228839901</v>
      </c>
      <c r="AE7067">
        <v>9.3729999999999905</v>
      </c>
      <c r="AF7067">
        <v>41.9228695715667</v>
      </c>
      <c r="AG7067">
        <v>-1.0992644228839901</v>
      </c>
      <c r="AH7067">
        <v>42.895105215910803</v>
      </c>
      <c r="AI7067">
        <v>91.049964840309897</v>
      </c>
      <c r="AJ7067">
        <v>45.6567306013117</v>
      </c>
      <c r="AK7067">
        <v>59.989377616958798</v>
      </c>
      <c r="AL7067">
        <v>81.327063220168895</v>
      </c>
      <c r="AM7067">
        <v>56.116089289087697</v>
      </c>
      <c r="AN7067">
        <v>1.0000000270786999</v>
      </c>
    </row>
    <row r="7068" spans="1:40" x14ac:dyDescent="0.25">
      <c r="A7068" t="str">
        <f>"20190312164641664"</f>
        <v>20190312164641664</v>
      </c>
      <c r="B7068" t="str">
        <f>"1552380401657914"</f>
        <v>1552380401657914</v>
      </c>
      <c r="C7068" t="s">
        <v>40</v>
      </c>
      <c r="D7068">
        <v>5.3428199999999997</v>
      </c>
      <c r="E7068">
        <v>0.57916179999999995</v>
      </c>
      <c r="F7068" t="s">
        <v>42</v>
      </c>
      <c r="G7068">
        <v>-120.1016</v>
      </c>
      <c r="H7068" s="1">
        <v>-4.4712560000000003E-6</v>
      </c>
      <c r="I7068">
        <v>140.9119</v>
      </c>
      <c r="J7068">
        <v>-181.8459</v>
      </c>
      <c r="K7068">
        <v>1.099207</v>
      </c>
      <c r="L7068">
        <v>131.44290000000001</v>
      </c>
      <c r="M7068">
        <v>0.60261359999999997</v>
      </c>
      <c r="N7068">
        <v>0</v>
      </c>
      <c r="O7068">
        <v>0.79789270000000001</v>
      </c>
      <c r="P7068">
        <v>0.93255469999999896</v>
      </c>
      <c r="Q7068">
        <v>0.15178989999999901</v>
      </c>
      <c r="R7068">
        <v>0.32756980000000002</v>
      </c>
      <c r="S7068">
        <v>3.0630190000000002</v>
      </c>
      <c r="T7068">
        <v>-5.4461240000000001E-2</v>
      </c>
      <c r="U7068">
        <v>0.47392269999999997</v>
      </c>
      <c r="V7068">
        <v>0.55053680000000005</v>
      </c>
      <c r="W7068">
        <v>0.15087729999999999</v>
      </c>
      <c r="X7068">
        <v>0.82106349999999995</v>
      </c>
      <c r="Y7068">
        <v>0.69625199999999998</v>
      </c>
      <c r="Z7068">
        <v>-1.8312160000000001E-2</v>
      </c>
      <c r="AA7068">
        <v>0.71756379999999997</v>
      </c>
      <c r="AB7068">
        <v>26</v>
      </c>
      <c r="AC7068">
        <v>61.744300000000003</v>
      </c>
      <c r="AD7068">
        <v>-1.0992114712559999</v>
      </c>
      <c r="AE7068">
        <v>9.4689999999999905</v>
      </c>
      <c r="AF7068">
        <v>43.550573938253599</v>
      </c>
      <c r="AG7068">
        <v>-1.0992114712559999</v>
      </c>
      <c r="AH7068">
        <v>44.754358931636801</v>
      </c>
      <c r="AI7068">
        <v>91.008436878216003</v>
      </c>
      <c r="AJ7068">
        <v>45.781015571098699</v>
      </c>
      <c r="AK7068">
        <v>62.456492053201501</v>
      </c>
      <c r="AL7068">
        <v>81.322229206573994</v>
      </c>
      <c r="AM7068">
        <v>56.157486555872403</v>
      </c>
      <c r="AN7068">
        <v>0.99999999942089002</v>
      </c>
    </row>
    <row r="7069" spans="1:40" x14ac:dyDescent="0.25">
      <c r="A7069" t="str">
        <f>"20190312164641674"</f>
        <v>20190312164641674</v>
      </c>
      <c r="B7069" t="str">
        <f>"1552380401668650"</f>
        <v>1552380401668650</v>
      </c>
      <c r="C7069" t="s">
        <v>40</v>
      </c>
      <c r="D7069">
        <v>5.4866789999999996</v>
      </c>
      <c r="E7069">
        <v>0.57866149999999905</v>
      </c>
      <c r="F7069" t="s">
        <v>42</v>
      </c>
      <c r="G7069">
        <v>-117.995</v>
      </c>
      <c r="H7069" s="1">
        <v>-1.2110740000000001E-6</v>
      </c>
      <c r="I7069">
        <v>141.0017</v>
      </c>
      <c r="J7069">
        <v>-181.77359999999999</v>
      </c>
      <c r="K7069">
        <v>1.0991569999999999</v>
      </c>
      <c r="L7069">
        <v>131.5283</v>
      </c>
      <c r="M7069">
        <v>0.60749119999999901</v>
      </c>
      <c r="N7069">
        <v>0</v>
      </c>
      <c r="O7069">
        <v>0.79418500000000003</v>
      </c>
      <c r="P7069">
        <v>0.93432649999999995</v>
      </c>
      <c r="Q7069">
        <v>0.151677799999999</v>
      </c>
      <c r="R7069">
        <v>0.32253330000000002</v>
      </c>
      <c r="S7069">
        <v>3.0643919999999998</v>
      </c>
      <c r="T7069">
        <v>-5.2754160000000001E-2</v>
      </c>
      <c r="U7069">
        <v>0.45875549999999998</v>
      </c>
      <c r="V7069">
        <v>0.54996449999999997</v>
      </c>
      <c r="W7069">
        <v>0.15073499999999901</v>
      </c>
      <c r="X7069">
        <v>0.82147309999999996</v>
      </c>
      <c r="Y7069">
        <v>0.69538599999999995</v>
      </c>
      <c r="Z7069">
        <v>-1.770685E-2</v>
      </c>
      <c r="AA7069">
        <v>0.71841820000000001</v>
      </c>
      <c r="AB7069">
        <v>26</v>
      </c>
      <c r="AC7069">
        <v>63.778599999999898</v>
      </c>
      <c r="AD7069">
        <v>-1.0991582110739999</v>
      </c>
      <c r="AE7069">
        <v>9.4733999999999892</v>
      </c>
      <c r="AF7069">
        <v>44.888999051373901</v>
      </c>
      <c r="AG7069">
        <v>-1.0991582110739999</v>
      </c>
      <c r="AH7069">
        <v>46.260324739340597</v>
      </c>
      <c r="AI7069">
        <v>90.976906850672407</v>
      </c>
      <c r="AJ7069">
        <v>45.861939986882902</v>
      </c>
      <c r="AK7069">
        <v>64.468969509342003</v>
      </c>
      <c r="AL7069">
        <v>81.330476923749103</v>
      </c>
      <c r="AM7069">
        <v>56.198256949789197</v>
      </c>
      <c r="AN7069">
        <v>1.0000000227544199</v>
      </c>
    </row>
    <row r="7070" spans="1:40" x14ac:dyDescent="0.25">
      <c r="A7070" t="str">
        <f>"20190312164641684"</f>
        <v>20190312164641684</v>
      </c>
      <c r="B7070" t="str">
        <f>"1552380401678409"</f>
        <v>1552380401678409</v>
      </c>
      <c r="C7070" t="s">
        <v>40</v>
      </c>
      <c r="D7070">
        <v>5.3276349999999999</v>
      </c>
      <c r="E7070">
        <v>0.57819940000000003</v>
      </c>
      <c r="F7070" t="s">
        <v>42</v>
      </c>
      <c r="G7070">
        <v>-116.7152</v>
      </c>
      <c r="H7070" s="1">
        <v>-1.755653E-6</v>
      </c>
      <c r="I7070">
        <v>140.98500000000001</v>
      </c>
      <c r="J7070">
        <v>-181.69659999999999</v>
      </c>
      <c r="K7070">
        <v>1.099108</v>
      </c>
      <c r="L7070">
        <v>131.6182</v>
      </c>
      <c r="M7070">
        <v>0.61265550000000002</v>
      </c>
      <c r="N7070">
        <v>0</v>
      </c>
      <c r="O7070">
        <v>0.79020769999999996</v>
      </c>
      <c r="P7070">
        <v>0.93617019999999995</v>
      </c>
      <c r="Q7070">
        <v>0.15163180000000001</v>
      </c>
      <c r="R7070">
        <v>0.31716440000000001</v>
      </c>
      <c r="S7070">
        <v>3.0654599999999999</v>
      </c>
      <c r="T7070">
        <v>-5.1790830000000003E-2</v>
      </c>
      <c r="U7070">
        <v>0.44558720000000002</v>
      </c>
      <c r="V7070">
        <v>0.54934759999999905</v>
      </c>
      <c r="W7070">
        <v>0.15065719999999999</v>
      </c>
      <c r="X7070">
        <v>0.82189999999999996</v>
      </c>
      <c r="Y7070">
        <v>0.6937643</v>
      </c>
      <c r="Z7070">
        <v>-1.734343E-2</v>
      </c>
      <c r="AA7070">
        <v>0.71999329999999995</v>
      </c>
      <c r="AB7070">
        <v>26</v>
      </c>
      <c r="AC7070">
        <v>64.981399999999994</v>
      </c>
      <c r="AD7070">
        <v>-1.0991097556530001</v>
      </c>
      <c r="AE7070">
        <v>9.3668000000000102</v>
      </c>
      <c r="AF7070">
        <v>45.602532870255096</v>
      </c>
      <c r="AG7070">
        <v>-1.0991097556530001</v>
      </c>
      <c r="AH7070">
        <v>47.205012603035399</v>
      </c>
      <c r="AI7070">
        <v>90.959378728578002</v>
      </c>
      <c r="AJ7070">
        <v>45.989210543566898</v>
      </c>
      <c r="AK7070">
        <v>65.643828813456693</v>
      </c>
      <c r="AL7070">
        <v>81.334985775563695</v>
      </c>
      <c r="AM7070">
        <v>56.241731726104703</v>
      </c>
      <c r="AN7070">
        <v>0.999999993768799</v>
      </c>
    </row>
    <row r="7071" spans="1:40" x14ac:dyDescent="0.25">
      <c r="A7071" t="str">
        <f>"20190312164641695"</f>
        <v>20190312164641695</v>
      </c>
      <c r="B7071" t="str">
        <f>"1552380401688170"</f>
        <v>1552380401688170</v>
      </c>
      <c r="C7071" t="s">
        <v>40</v>
      </c>
      <c r="D7071">
        <v>5.3496100000000002</v>
      </c>
      <c r="E7071">
        <v>0.57781300000000002</v>
      </c>
      <c r="F7071" t="s">
        <v>42</v>
      </c>
      <c r="G7071">
        <v>-118.2303</v>
      </c>
      <c r="H7071" s="1">
        <v>-9.8916440000000002E-7</v>
      </c>
      <c r="I7071">
        <v>140.5471</v>
      </c>
      <c r="J7071">
        <v>-181.6155</v>
      </c>
      <c r="K7071">
        <v>1.099054</v>
      </c>
      <c r="L7071">
        <v>131.71119999999999</v>
      </c>
      <c r="M7071">
        <v>0.61804959999999998</v>
      </c>
      <c r="N7071">
        <v>0</v>
      </c>
      <c r="O7071">
        <v>0.78599549999999996</v>
      </c>
      <c r="P7071">
        <v>0.9381488</v>
      </c>
      <c r="Q7071">
        <v>0.151507</v>
      </c>
      <c r="R7071">
        <v>0.31132349999999998</v>
      </c>
      <c r="S7071">
        <v>3.0670009999999999</v>
      </c>
      <c r="T7071">
        <v>-5.3114300000000003E-2</v>
      </c>
      <c r="U7071">
        <v>0.43148799999999998</v>
      </c>
      <c r="V7071">
        <v>0.5488767</v>
      </c>
      <c r="W7071">
        <v>0.15049219999999999</v>
      </c>
      <c r="X7071">
        <v>0.8222448</v>
      </c>
      <c r="Y7071">
        <v>0.69212019999999996</v>
      </c>
      <c r="Z7071">
        <v>-1.7740300000000001E-2</v>
      </c>
      <c r="AA7071">
        <v>0.72156419999999999</v>
      </c>
      <c r="AB7071">
        <v>26</v>
      </c>
      <c r="AC7071">
        <v>63.385199999999998</v>
      </c>
      <c r="AD7071">
        <v>-1.0990549891643999</v>
      </c>
      <c r="AE7071">
        <v>8.8359000000000094</v>
      </c>
      <c r="AF7071">
        <v>44.351385656112498</v>
      </c>
      <c r="AG7071">
        <v>-1.0990549891643999</v>
      </c>
      <c r="AH7071">
        <v>46.1117829062851</v>
      </c>
      <c r="AI7071">
        <v>90.984147805631395</v>
      </c>
      <c r="AJ7071">
        <v>46.114825021003803</v>
      </c>
      <c r="AK7071">
        <v>63.988669733655101</v>
      </c>
      <c r="AL7071">
        <v>81.344548860034806</v>
      </c>
      <c r="AM7071">
        <v>56.275525959483701</v>
      </c>
      <c r="AN7071">
        <v>1.00000002259538</v>
      </c>
    </row>
    <row r="7072" spans="1:40" x14ac:dyDescent="0.25">
      <c r="A7072" t="str">
        <f>"20190312164641704"</f>
        <v>20190312164641704</v>
      </c>
      <c r="B7072" t="str">
        <f>"1552380401697930"</f>
        <v>1552380401697930</v>
      </c>
      <c r="C7072" t="s">
        <v>40</v>
      </c>
      <c r="D7072">
        <v>5.2047629999999998</v>
      </c>
      <c r="E7072">
        <v>0.57729059999999999</v>
      </c>
      <c r="F7072" t="s">
        <v>42</v>
      </c>
      <c r="G7072">
        <v>-120.7734</v>
      </c>
      <c r="H7072" s="1">
        <v>-4.0288329999999997E-6</v>
      </c>
      <c r="I7072">
        <v>139.94839999999999</v>
      </c>
      <c r="J7072">
        <v>-181.5352</v>
      </c>
      <c r="K7072">
        <v>1.098997</v>
      </c>
      <c r="L7072">
        <v>131.80240000000001</v>
      </c>
      <c r="M7072">
        <v>0.62336340000000001</v>
      </c>
      <c r="N7072">
        <v>0</v>
      </c>
      <c r="O7072">
        <v>0.78178760000000003</v>
      </c>
      <c r="P7072">
        <v>0.94006840000000003</v>
      </c>
      <c r="Q7072">
        <v>0.15138779999999999</v>
      </c>
      <c r="R7072">
        <v>0.30553799999999998</v>
      </c>
      <c r="S7072">
        <v>3.0688780000000002</v>
      </c>
      <c r="T7072">
        <v>-5.5436489999999998E-2</v>
      </c>
      <c r="U7072">
        <v>0.41548160000000001</v>
      </c>
      <c r="V7072">
        <v>0.54839969999999905</v>
      </c>
      <c r="W7072">
        <v>0.15033379999999999</v>
      </c>
      <c r="X7072">
        <v>0.82259199999999999</v>
      </c>
      <c r="Y7072">
        <v>0.6909653</v>
      </c>
      <c r="Z7072">
        <v>-1.847033E-2</v>
      </c>
      <c r="AA7072">
        <v>0.72265190000000001</v>
      </c>
      <c r="AB7072">
        <v>26</v>
      </c>
      <c r="AC7072">
        <v>60.761800000000001</v>
      </c>
      <c r="AD7072">
        <v>-1.0990010288330001</v>
      </c>
      <c r="AE7072">
        <v>8.1459999999999795</v>
      </c>
      <c r="AF7072">
        <v>42.4160719927199</v>
      </c>
      <c r="AG7072">
        <v>-1.0990010288330001</v>
      </c>
      <c r="AH7072">
        <v>44.235913569902998</v>
      </c>
      <c r="AI7072">
        <v>91.027341680173606</v>
      </c>
      <c r="AJ7072">
        <v>46.203133604270803</v>
      </c>
      <c r="AK7072">
        <v>61.295570932302297</v>
      </c>
      <c r="AL7072">
        <v>81.353729106239399</v>
      </c>
      <c r="AM7072">
        <v>56.309689761726702</v>
      </c>
      <c r="AN7072">
        <v>1.0000000404232601</v>
      </c>
    </row>
    <row r="7073" spans="1:40" x14ac:dyDescent="0.25">
      <c r="A7073" t="str">
        <f>"20190312164641716"</f>
        <v>20190312164641716</v>
      </c>
      <c r="B7073" t="str">
        <f>"1552380401708665"</f>
        <v>1552380401708665</v>
      </c>
      <c r="C7073" t="s">
        <v>40</v>
      </c>
      <c r="D7073">
        <v>5.3205839999999904</v>
      </c>
      <c r="E7073">
        <v>0.57691099999999995</v>
      </c>
      <c r="F7073" t="s">
        <v>42</v>
      </c>
      <c r="G7073">
        <v>-120.292</v>
      </c>
      <c r="H7073" s="1">
        <v>-4.1943590000000004E-6</v>
      </c>
      <c r="I7073">
        <v>139.79429999999999</v>
      </c>
      <c r="J7073">
        <v>-181.44820000000001</v>
      </c>
      <c r="K7073">
        <v>1.0989390000000001</v>
      </c>
      <c r="L7073">
        <v>131.89930000000001</v>
      </c>
      <c r="M7073">
        <v>0.62907239999999998</v>
      </c>
      <c r="N7073">
        <v>0</v>
      </c>
      <c r="O7073">
        <v>0.77720059999999902</v>
      </c>
      <c r="P7073">
        <v>0.94206809999999996</v>
      </c>
      <c r="Q7073">
        <v>0.15140209999999901</v>
      </c>
      <c r="R7073">
        <v>0.29930810000000002</v>
      </c>
      <c r="S7073">
        <v>3.0699160000000001</v>
      </c>
      <c r="T7073">
        <v>-5.5089239999999998E-2</v>
      </c>
      <c r="U7073">
        <v>0.40060420000000002</v>
      </c>
      <c r="V7073">
        <v>0.54783979999999999</v>
      </c>
      <c r="W7073">
        <v>0.15030739999999901</v>
      </c>
      <c r="X7073">
        <v>0.82296979999999997</v>
      </c>
      <c r="Y7073">
        <v>0.68914640000000005</v>
      </c>
      <c r="Z7073">
        <v>-1.8302990000000002E-2</v>
      </c>
      <c r="AA7073">
        <v>0.72439100000000001</v>
      </c>
      <c r="AB7073">
        <v>26</v>
      </c>
      <c r="AC7073">
        <v>61.156199999999998</v>
      </c>
      <c r="AD7073">
        <v>-1.09894319435899</v>
      </c>
      <c r="AE7073">
        <v>7.89499999999998</v>
      </c>
      <c r="AF7073">
        <v>42.555427686066899</v>
      </c>
      <c r="AG7073">
        <v>-1.09894319435899</v>
      </c>
      <c r="AH7073">
        <v>44.598578405847498</v>
      </c>
      <c r="AI7073">
        <v>91.021316180768196</v>
      </c>
      <c r="AJ7073">
        <v>46.342938556458598</v>
      </c>
      <c r="AK7073">
        <v>61.6539155083521</v>
      </c>
      <c r="AL7073">
        <v>81.355258976888393</v>
      </c>
      <c r="AM7073">
        <v>56.348833795959401</v>
      </c>
      <c r="AN7073">
        <v>1.0000000263354101</v>
      </c>
    </row>
    <row r="7074" spans="1:40" x14ac:dyDescent="0.25">
      <c r="A7074" t="str">
        <f>"20190312164641726"</f>
        <v>20190312164641726</v>
      </c>
      <c r="B7074" t="str">
        <f>"1552380401718426"</f>
        <v>1552380401718426</v>
      </c>
      <c r="C7074" t="s">
        <v>40</v>
      </c>
      <c r="D7074">
        <v>5.422078</v>
      </c>
      <c r="E7074">
        <v>0.57664359999999903</v>
      </c>
      <c r="F7074" t="s">
        <v>42</v>
      </c>
      <c r="G7074">
        <v>-122.1519</v>
      </c>
      <c r="H7074" s="1">
        <v>-3.4051709999999999E-6</v>
      </c>
      <c r="I7074">
        <v>139.30029999999999</v>
      </c>
      <c r="J7074">
        <v>-181.35890000000001</v>
      </c>
      <c r="K7074">
        <v>1.0988770000000001</v>
      </c>
      <c r="L7074">
        <v>131.99789999999999</v>
      </c>
      <c r="M7074">
        <v>0.63489640000000003</v>
      </c>
      <c r="N7074">
        <v>0</v>
      </c>
      <c r="O7074">
        <v>0.77244990000000002</v>
      </c>
      <c r="P7074">
        <v>0.94410090000000002</v>
      </c>
      <c r="Q7074">
        <v>0.15133389999999999</v>
      </c>
      <c r="R7074">
        <v>0.29286790000000001</v>
      </c>
      <c r="S7074">
        <v>3.0718380000000001</v>
      </c>
      <c r="T7074">
        <v>-5.6930540000000002E-2</v>
      </c>
      <c r="U7074">
        <v>0.38340760000000002</v>
      </c>
      <c r="V7074">
        <v>0.54730190000000001</v>
      </c>
      <c r="W7074">
        <v>0.15019660000000001</v>
      </c>
      <c r="X7074">
        <v>0.82334789999999902</v>
      </c>
      <c r="Y7074">
        <v>0.68773479999999998</v>
      </c>
      <c r="Z7074">
        <v>-1.885858E-2</v>
      </c>
      <c r="AA7074">
        <v>0.72571699999999995</v>
      </c>
      <c r="AB7074">
        <v>26</v>
      </c>
      <c r="AC7074">
        <v>59.207000000000001</v>
      </c>
      <c r="AD7074">
        <v>-1.0988804051709999</v>
      </c>
      <c r="AE7074">
        <v>7.3023999999999996</v>
      </c>
      <c r="AF7074">
        <v>41.088911934298999</v>
      </c>
      <c r="AG7074">
        <v>-1.0988804051709999</v>
      </c>
      <c r="AH7074">
        <v>43.221306819241001</v>
      </c>
      <c r="AI7074">
        <v>91.055649710092595</v>
      </c>
      <c r="AJ7074">
        <v>46.448830127555297</v>
      </c>
      <c r="AK7074">
        <v>59.645516053199003</v>
      </c>
      <c r="AL7074">
        <v>81.361680680962294</v>
      </c>
      <c r="AM7074">
        <v>56.386925317842397</v>
      </c>
      <c r="AN7074">
        <v>1.0000000764147801</v>
      </c>
    </row>
    <row r="7075" spans="1:40" x14ac:dyDescent="0.25">
      <c r="A7075" t="str">
        <f>"20190312164641738"</f>
        <v>20190312164641738</v>
      </c>
      <c r="B7075" t="str">
        <f>"1552380401727795"</f>
        <v>1552380401727795</v>
      </c>
      <c r="C7075" t="s">
        <v>40</v>
      </c>
      <c r="D7075">
        <v>5.890212</v>
      </c>
      <c r="E7075">
        <v>0.57626899999999903</v>
      </c>
      <c r="F7075" t="s">
        <v>42</v>
      </c>
      <c r="G7075">
        <v>-123.44329999999999</v>
      </c>
      <c r="H7075" s="1">
        <v>-2.9291769999999998E-6</v>
      </c>
      <c r="I7075">
        <v>138.8604</v>
      </c>
      <c r="J7075">
        <v>-181.27459999999999</v>
      </c>
      <c r="K7075">
        <v>1.0988180000000001</v>
      </c>
      <c r="L7075">
        <v>132.08869999999999</v>
      </c>
      <c r="M7075">
        <v>0.64035039999999999</v>
      </c>
      <c r="N7075">
        <v>0</v>
      </c>
      <c r="O7075">
        <v>0.76793420000000001</v>
      </c>
      <c r="P7075">
        <v>0.9459244</v>
      </c>
      <c r="Q7075">
        <v>0.15138929999999901</v>
      </c>
      <c r="R7075">
        <v>0.28689429999999999</v>
      </c>
      <c r="S7075">
        <v>3.0739899999999998</v>
      </c>
      <c r="T7075">
        <v>-5.8325290000000002E-2</v>
      </c>
      <c r="U7075">
        <v>0.36424260000000003</v>
      </c>
      <c r="V7075">
        <v>0.54669029999999996</v>
      </c>
      <c r="W7075">
        <v>0.1502155</v>
      </c>
      <c r="X7075">
        <v>0.823750599999999</v>
      </c>
      <c r="Y7075">
        <v>0.68710550000000004</v>
      </c>
      <c r="Z7075">
        <v>-1.9271460000000001E-2</v>
      </c>
      <c r="AA7075">
        <v>0.726302</v>
      </c>
      <c r="AB7075">
        <v>26</v>
      </c>
      <c r="AC7075">
        <v>57.831299999999999</v>
      </c>
      <c r="AD7075">
        <v>-1.0988209291769999</v>
      </c>
      <c r="AE7075">
        <v>6.7717000000000098</v>
      </c>
      <c r="AF7075">
        <v>40.0646817629707</v>
      </c>
      <c r="AG7075">
        <v>-1.0988209291769999</v>
      </c>
      <c r="AH7075">
        <v>42.222303707025702</v>
      </c>
      <c r="AI7075">
        <v>91.081515064723305</v>
      </c>
      <c r="AJ7075">
        <v>46.501991000696997</v>
      </c>
      <c r="AK7075">
        <v>58.216055023771801</v>
      </c>
      <c r="AL7075">
        <v>81.360584836252201</v>
      </c>
      <c r="AM7075">
        <v>56.429362520702</v>
      </c>
      <c r="AN7075">
        <v>1.0000000157773401</v>
      </c>
    </row>
    <row r="7076" spans="1:40" x14ac:dyDescent="0.25">
      <c r="A7076" t="str">
        <f>"20190312164641749"</f>
        <v>20190312164641749</v>
      </c>
      <c r="B7076" t="str">
        <f>"1552380401738531"</f>
        <v>1552380401738531</v>
      </c>
      <c r="C7076" t="s">
        <v>40</v>
      </c>
      <c r="D7076">
        <v>5.9176010000000003</v>
      </c>
      <c r="E7076">
        <v>0.57581649999999995</v>
      </c>
      <c r="F7076" t="s">
        <v>42</v>
      </c>
      <c r="G7076">
        <v>-122.3434</v>
      </c>
      <c r="H7076" s="1">
        <v>-3.4212949999999998E-6</v>
      </c>
      <c r="I7076">
        <v>138.74629999999999</v>
      </c>
      <c r="J7076">
        <v>-181.18700000000001</v>
      </c>
      <c r="K7076">
        <v>1.0987579999999999</v>
      </c>
      <c r="L7076">
        <v>132.1825</v>
      </c>
      <c r="M7076">
        <v>0.64597720000000003</v>
      </c>
      <c r="N7076">
        <v>0</v>
      </c>
      <c r="O7076">
        <v>0.76320659999999996</v>
      </c>
      <c r="P7076">
        <v>0.94776579999999999</v>
      </c>
      <c r="Q7076">
        <v>0.1512027</v>
      </c>
      <c r="R7076">
        <v>0.28085179999999998</v>
      </c>
      <c r="S7076">
        <v>3.0753020000000002</v>
      </c>
      <c r="T7076">
        <v>-5.7341580000000003E-2</v>
      </c>
      <c r="U7076">
        <v>0.3474274</v>
      </c>
      <c r="V7076">
        <v>0.5459311</v>
      </c>
      <c r="W7076">
        <v>0.14999579999999901</v>
      </c>
      <c r="X7076">
        <v>0.82429390000000002</v>
      </c>
      <c r="Y7076">
        <v>0.68572840000000002</v>
      </c>
      <c r="Z7076">
        <v>-1.8891129999999999E-2</v>
      </c>
      <c r="AA7076">
        <v>0.72761239999999905</v>
      </c>
      <c r="AB7076">
        <v>26</v>
      </c>
      <c r="AC7076">
        <v>58.843600000000002</v>
      </c>
      <c r="AD7076">
        <v>-1.0987614212950001</v>
      </c>
      <c r="AE7076">
        <v>6.5637999999999801</v>
      </c>
      <c r="AF7076">
        <v>40.660416500539696</v>
      </c>
      <c r="AG7076">
        <v>-1.0987614212950001</v>
      </c>
      <c r="AH7076">
        <v>43.011277065370699</v>
      </c>
      <c r="AI7076">
        <v>91.063509182526801</v>
      </c>
      <c r="AJ7076">
        <v>46.609372980090399</v>
      </c>
      <c r="AK7076">
        <v>59.198367388403398</v>
      </c>
      <c r="AL7076">
        <v>81.373316574536304</v>
      </c>
      <c r="AM7076">
        <v>56.483430884823399</v>
      </c>
      <c r="AN7076">
        <v>0.99999996977102901</v>
      </c>
    </row>
    <row r="7077" spans="1:40" x14ac:dyDescent="0.25">
      <c r="A7077" t="str">
        <f>"20190312164641761"</f>
        <v>20190312164641761</v>
      </c>
      <c r="B7077" t="str">
        <f>"1552380401748292"</f>
        <v>1552380401748292</v>
      </c>
      <c r="C7077" t="s">
        <v>40</v>
      </c>
      <c r="D7077">
        <v>5.5920420000000002</v>
      </c>
      <c r="E7077">
        <v>0.57541969999999898</v>
      </c>
      <c r="F7077" t="s">
        <v>42</v>
      </c>
      <c r="G7077">
        <v>-121.8158</v>
      </c>
      <c r="H7077" s="1">
        <v>-3.6792350000000002E-6</v>
      </c>
      <c r="I7077">
        <v>138.56809999999999</v>
      </c>
      <c r="J7077">
        <v>-181.08789999999999</v>
      </c>
      <c r="K7077">
        <v>1.098692</v>
      </c>
      <c r="L7077">
        <v>132.2859</v>
      </c>
      <c r="M7077">
        <v>0.65229199999999998</v>
      </c>
      <c r="N7077">
        <v>0</v>
      </c>
      <c r="O7077">
        <v>0.75781599999999905</v>
      </c>
      <c r="P7077">
        <v>0.94976210000000005</v>
      </c>
      <c r="Q7077">
        <v>0.15140689999999901</v>
      </c>
      <c r="R7077">
        <v>0.27391259999999901</v>
      </c>
      <c r="S7077">
        <v>3.0763699999999998</v>
      </c>
      <c r="T7077">
        <v>-5.6933280000000003E-2</v>
      </c>
      <c r="U7077">
        <v>0.33087159999999999</v>
      </c>
      <c r="V7077">
        <v>0.5451184</v>
      </c>
      <c r="W7077">
        <v>0.15016170000000001</v>
      </c>
      <c r="X7077">
        <v>0.82480140000000002</v>
      </c>
      <c r="Y7077">
        <v>0.68358339999999995</v>
      </c>
      <c r="Z7077">
        <v>-1.8687720000000001E-2</v>
      </c>
      <c r="AA7077">
        <v>0.72963319999999998</v>
      </c>
      <c r="AB7077">
        <v>26</v>
      </c>
      <c r="AC7077">
        <v>59.272100000000002</v>
      </c>
      <c r="AD7077">
        <v>-1.098695679235</v>
      </c>
      <c r="AE7077">
        <v>6.28219999999998</v>
      </c>
      <c r="AF7077">
        <v>40.810346452265101</v>
      </c>
      <c r="AG7077">
        <v>-1.098695679235</v>
      </c>
      <c r="AH7077">
        <v>43.413712847896498</v>
      </c>
      <c r="AI7077">
        <v>91.056385163852994</v>
      </c>
      <c r="AJ7077">
        <v>46.770449333952598</v>
      </c>
      <c r="AK7077">
        <v>59.593975979028997</v>
      </c>
      <c r="AL7077">
        <v>81.363702383634205</v>
      </c>
      <c r="AM7077">
        <v>56.538938144206703</v>
      </c>
      <c r="AN7077">
        <v>0.99999997780370398</v>
      </c>
    </row>
    <row r="7078" spans="1:40" x14ac:dyDescent="0.25">
      <c r="A7078" t="str">
        <f>"20190312164641773"</f>
        <v>20190312164641773</v>
      </c>
      <c r="B7078" t="str">
        <f>"1552380401767810"</f>
        <v>1552380401767810</v>
      </c>
      <c r="C7078" t="s">
        <v>40</v>
      </c>
      <c r="D7078">
        <v>5.2810509999999997</v>
      </c>
      <c r="E7078">
        <v>0.57453299999999996</v>
      </c>
      <c r="F7078" t="s">
        <v>42</v>
      </c>
      <c r="G7078">
        <v>-120.7925</v>
      </c>
      <c r="H7078" s="1">
        <v>-4.1513460000000004E-6</v>
      </c>
      <c r="I7078">
        <v>138.38149999999999</v>
      </c>
      <c r="J7078">
        <v>-180.99340000000001</v>
      </c>
      <c r="K7078">
        <v>1.0986340000000001</v>
      </c>
      <c r="L7078">
        <v>132.3835</v>
      </c>
      <c r="M7078">
        <v>0.65826770000000001</v>
      </c>
      <c r="N7078">
        <v>0</v>
      </c>
      <c r="O7078">
        <v>0.75263059999999904</v>
      </c>
      <c r="P7078">
        <v>0.95176079999999996</v>
      </c>
      <c r="Q7078">
        <v>0.15150169999999999</v>
      </c>
      <c r="R7078">
        <v>0.26683069999999998</v>
      </c>
      <c r="S7078">
        <v>3.0778810000000001</v>
      </c>
      <c r="T7078">
        <v>-5.6084750000000003E-2</v>
      </c>
      <c r="U7078">
        <v>0.31115720000000002</v>
      </c>
      <c r="V7078">
        <v>0.54474929999999999</v>
      </c>
      <c r="W7078">
        <v>0.15020749999999999</v>
      </c>
      <c r="X7078">
        <v>0.82503689999999996</v>
      </c>
      <c r="Y7078">
        <v>0.68247659999999999</v>
      </c>
      <c r="Z7078">
        <v>-1.8350849999999998E-2</v>
      </c>
      <c r="AA7078">
        <v>0.73067709999999997</v>
      </c>
      <c r="AB7078">
        <v>26</v>
      </c>
      <c r="AC7078">
        <v>60.200899999999997</v>
      </c>
      <c r="AD7078">
        <v>-1.098638151346</v>
      </c>
      <c r="AE7078">
        <v>5.9979999999999896</v>
      </c>
      <c r="AF7078">
        <v>41.351887305645398</v>
      </c>
      <c r="AG7078">
        <v>-1.098638151346</v>
      </c>
      <c r="AH7078">
        <v>44.1331277282789</v>
      </c>
      <c r="AI7078">
        <v>91.040698234996398</v>
      </c>
      <c r="AJ7078">
        <v>46.863451128516601</v>
      </c>
      <c r="AK7078">
        <v>60.4889953016825</v>
      </c>
      <c r="AL7078">
        <v>81.361048235264406</v>
      </c>
      <c r="AM7078">
        <v>56.5643085480853</v>
      </c>
      <c r="AN7078">
        <v>0.99999998963417502</v>
      </c>
    </row>
    <row r="7079" spans="1:40" x14ac:dyDescent="0.25">
      <c r="A7079" t="str">
        <f>"20190312164641786"</f>
        <v>20190312164641786</v>
      </c>
      <c r="B7079" t="str">
        <f>"1552380401778548"</f>
        <v>1552380401778548</v>
      </c>
      <c r="C7079" t="s">
        <v>40</v>
      </c>
      <c r="D7079">
        <v>5.5483449999999896</v>
      </c>
      <c r="E7079">
        <v>0.57405189999999995</v>
      </c>
      <c r="F7079" t="s">
        <v>42</v>
      </c>
      <c r="G7079">
        <v>-119.6093</v>
      </c>
      <c r="H7079" s="1">
        <v>-4.790425E-7</v>
      </c>
      <c r="I7079">
        <v>138.26320000000001</v>
      </c>
      <c r="J7079">
        <v>-180.88890000000001</v>
      </c>
      <c r="K7079">
        <v>1.09857</v>
      </c>
      <c r="L7079">
        <v>132.48939999999999</v>
      </c>
      <c r="M7079">
        <v>0.66480939999999999</v>
      </c>
      <c r="N7079">
        <v>0</v>
      </c>
      <c r="O7079">
        <v>0.74685800000000002</v>
      </c>
      <c r="P7079">
        <v>0.95382579999999995</v>
      </c>
      <c r="Q7079">
        <v>0.1514868</v>
      </c>
      <c r="R7079">
        <v>0.25936130000000002</v>
      </c>
      <c r="S7079">
        <v>3.0781860000000001</v>
      </c>
      <c r="T7079">
        <v>-5.5092450000000001E-2</v>
      </c>
      <c r="U7079">
        <v>0.29484559999999999</v>
      </c>
      <c r="V7079">
        <v>0.5440429</v>
      </c>
      <c r="W7079">
        <v>0.15015229999999999</v>
      </c>
      <c r="X7079">
        <v>0.82551289999999999</v>
      </c>
      <c r="Y7079">
        <v>0.679946099999999</v>
      </c>
      <c r="Z7079">
        <v>-1.795325E-2</v>
      </c>
      <c r="AA7079">
        <v>0.73304219999999998</v>
      </c>
      <c r="AB7079">
        <v>25</v>
      </c>
      <c r="AC7079">
        <v>61.279600000000002</v>
      </c>
      <c r="AD7079">
        <v>-1.0985704790424999</v>
      </c>
      <c r="AE7079">
        <v>5.77380000000002</v>
      </c>
      <c r="AF7079">
        <v>41.920185028643601</v>
      </c>
      <c r="AG7079">
        <v>-1.0985704790424999</v>
      </c>
      <c r="AH7079">
        <v>45.042331960433103</v>
      </c>
      <c r="AI7079">
        <v>91.022839753575596</v>
      </c>
      <c r="AJ7079">
        <v>47.056162222002101</v>
      </c>
      <c r="AK7079">
        <v>61.541209269618598</v>
      </c>
      <c r="AL7079">
        <v>81.364247065042605</v>
      </c>
      <c r="AM7079">
        <v>56.613671039575799</v>
      </c>
      <c r="AN7079">
        <v>0.99999996915105405</v>
      </c>
    </row>
    <row r="7080" spans="1:40" x14ac:dyDescent="0.25">
      <c r="A7080" t="str">
        <f>"20190312164641797"</f>
        <v>20190312164641797</v>
      </c>
      <c r="B7080" t="str">
        <f>"1552380401788307"</f>
        <v>1552380401788307</v>
      </c>
      <c r="C7080" t="s">
        <v>40</v>
      </c>
      <c r="D7080">
        <v>5.4011820000000004</v>
      </c>
      <c r="E7080">
        <v>0.57365200000000005</v>
      </c>
      <c r="F7080" t="s">
        <v>42</v>
      </c>
      <c r="G7080">
        <v>-119.0617</v>
      </c>
      <c r="H7080" s="1">
        <v>-7.3689680000000003E-7</v>
      </c>
      <c r="I7080">
        <v>137.99440000000001</v>
      </c>
      <c r="J7080">
        <v>-180.79730000000001</v>
      </c>
      <c r="K7080">
        <v>1.098517</v>
      </c>
      <c r="L7080">
        <v>132.58029999999999</v>
      </c>
      <c r="M7080">
        <v>0.67049440000000005</v>
      </c>
      <c r="N7080">
        <v>0</v>
      </c>
      <c r="O7080">
        <v>0.74175800000000003</v>
      </c>
      <c r="P7080">
        <v>0.9555496</v>
      </c>
      <c r="Q7080">
        <v>0.15136540000000001</v>
      </c>
      <c r="R7080">
        <v>0.25300929999999999</v>
      </c>
      <c r="S7080">
        <v>3.079361</v>
      </c>
      <c r="T7080">
        <v>-5.4715279999999998E-2</v>
      </c>
      <c r="U7080">
        <v>0.27418520000000002</v>
      </c>
      <c r="V7080">
        <v>0.54325999999999997</v>
      </c>
      <c r="W7080">
        <v>0.15000520000000001</v>
      </c>
      <c r="X7080">
        <v>0.82605499999999898</v>
      </c>
      <c r="Y7080">
        <v>0.67925239999999998</v>
      </c>
      <c r="Z7080">
        <v>-1.7777330000000001E-2</v>
      </c>
      <c r="AA7080">
        <v>0.73368940000000005</v>
      </c>
      <c r="AB7080">
        <v>25</v>
      </c>
      <c r="AC7080">
        <v>61.735599999999998</v>
      </c>
      <c r="AD7080">
        <v>-1.0985177368968</v>
      </c>
      <c r="AE7080">
        <v>5.4141000000000101</v>
      </c>
      <c r="AF7080">
        <v>42.154404926193003</v>
      </c>
      <c r="AG7080">
        <v>-1.0985177368968</v>
      </c>
      <c r="AH7080">
        <v>45.400336849787102</v>
      </c>
      <c r="AI7080">
        <v>91.015830567686294</v>
      </c>
      <c r="AJ7080">
        <v>47.123163887864102</v>
      </c>
      <c r="AK7080">
        <v>61.962820965268101</v>
      </c>
      <c r="AL7080">
        <v>81.372771444558197</v>
      </c>
      <c r="AM7080">
        <v>56.668841612398403</v>
      </c>
      <c r="AN7080">
        <v>0.999999925326017</v>
      </c>
    </row>
    <row r="7081" spans="1:40" x14ac:dyDescent="0.25">
      <c r="A7081" t="str">
        <f>"20190312164641807"</f>
        <v>20190312164641807</v>
      </c>
      <c r="B7081" t="str">
        <f>"1552380401798067"</f>
        <v>1552380401798067</v>
      </c>
      <c r="C7081" t="s">
        <v>40</v>
      </c>
      <c r="D7081">
        <v>5.4156170000000001</v>
      </c>
      <c r="E7081">
        <v>0.57365200000000005</v>
      </c>
      <c r="F7081" t="s">
        <v>42</v>
      </c>
      <c r="G7081">
        <v>-119.68600000000001</v>
      </c>
      <c r="H7081" s="1">
        <v>-6.0932419999999899E-7</v>
      </c>
      <c r="I7081">
        <v>137.6754</v>
      </c>
      <c r="J7081">
        <v>-180.70689999999999</v>
      </c>
      <c r="K7081">
        <v>1.098462</v>
      </c>
      <c r="L7081">
        <v>132.6694</v>
      </c>
      <c r="M7081">
        <v>0.67606509999999997</v>
      </c>
      <c r="N7081">
        <v>0</v>
      </c>
      <c r="O7081">
        <v>0.73668369999999905</v>
      </c>
      <c r="P7081">
        <v>0.95711959999999996</v>
      </c>
      <c r="Q7081">
        <v>0.15142239999999901</v>
      </c>
      <c r="R7081">
        <v>0.24696879999999999</v>
      </c>
      <c r="S7081">
        <v>3.0803069999999999</v>
      </c>
      <c r="T7081">
        <v>-5.5370570000000001E-2</v>
      </c>
      <c r="U7081">
        <v>0.25682070000000001</v>
      </c>
      <c r="V7081">
        <v>0.542265</v>
      </c>
      <c r="W7081">
        <v>0.15004479999999901</v>
      </c>
      <c r="X7081">
        <v>0.82670140000000003</v>
      </c>
      <c r="Y7081">
        <v>0.67784259999999996</v>
      </c>
      <c r="Z7081">
        <v>-1.792821E-2</v>
      </c>
      <c r="AA7081">
        <v>0.73498850000000004</v>
      </c>
      <c r="AB7081">
        <v>25</v>
      </c>
      <c r="AC7081">
        <v>61.020899999999898</v>
      </c>
      <c r="AD7081">
        <v>-1.0984626093242</v>
      </c>
      <c r="AE7081">
        <v>5.0060000000000002</v>
      </c>
      <c r="AF7081">
        <v>41.5601887331227</v>
      </c>
      <c r="AG7081">
        <v>-1.0984626093242</v>
      </c>
      <c r="AH7081">
        <v>44.9327153613783</v>
      </c>
      <c r="AI7081">
        <v>91.028172336051</v>
      </c>
      <c r="AJ7081">
        <v>47.232942753167301</v>
      </c>
      <c r="AK7081">
        <v>61.216050324923003</v>
      </c>
      <c r="AL7081">
        <v>81.370477107757196</v>
      </c>
      <c r="AM7081">
        <v>56.737602255470101</v>
      </c>
      <c r="AN7081">
        <v>0.999999988497</v>
      </c>
    </row>
    <row r="7082" spans="1:40" x14ac:dyDescent="0.25">
      <c r="A7082" t="str">
        <f>"20190312164641818"</f>
        <v>20190312164641818</v>
      </c>
      <c r="B7082" t="str">
        <f>"1552380401807826"</f>
        <v>1552380401807826</v>
      </c>
      <c r="C7082" t="s">
        <v>40</v>
      </c>
      <c r="D7082">
        <v>5.2586620000000002</v>
      </c>
      <c r="E7082">
        <v>0.55719449999999904</v>
      </c>
      <c r="F7082" t="s">
        <v>42</v>
      </c>
      <c r="G7082">
        <v>-118.73009999999999</v>
      </c>
      <c r="H7082" s="1">
        <v>-9.9956490000000008E-7</v>
      </c>
      <c r="I7082">
        <v>137.43129999999999</v>
      </c>
      <c r="J7082">
        <v>-180.62119999999999</v>
      </c>
      <c r="K7082">
        <v>1.0984130000000001</v>
      </c>
      <c r="L7082">
        <v>132.7516</v>
      </c>
      <c r="M7082">
        <v>0.68129410000000001</v>
      </c>
      <c r="N7082">
        <v>0</v>
      </c>
      <c r="O7082">
        <v>0.73185009999999995</v>
      </c>
      <c r="P7082">
        <v>0.95857890000000001</v>
      </c>
      <c r="Q7082">
        <v>0.15150820000000001</v>
      </c>
      <c r="R7082">
        <v>0.24118829999999999</v>
      </c>
      <c r="S7082">
        <v>3.0819399999999999</v>
      </c>
      <c r="T7082">
        <v>-5.4623600000000001E-2</v>
      </c>
      <c r="U7082">
        <v>0.23680109999999999</v>
      </c>
      <c r="V7082">
        <v>0.54137519999999995</v>
      </c>
      <c r="W7082">
        <v>0.15011559999999999</v>
      </c>
      <c r="X7082">
        <v>0.8272716</v>
      </c>
      <c r="Y7082">
        <v>0.67738959999999904</v>
      </c>
      <c r="Z7082">
        <v>-1.763265E-2</v>
      </c>
      <c r="AA7082">
        <v>0.73541309999999904</v>
      </c>
      <c r="AB7082">
        <v>25</v>
      </c>
      <c r="AC7082">
        <v>61.891100000000002</v>
      </c>
      <c r="AD7082">
        <v>-1.0984139995648901</v>
      </c>
      <c r="AE7082">
        <v>4.6796999999999898</v>
      </c>
      <c r="AF7082">
        <v>42.098493871724699</v>
      </c>
      <c r="AG7082">
        <v>-1.0984139995648901</v>
      </c>
      <c r="AH7082">
        <v>45.581934705682002</v>
      </c>
      <c r="AI7082">
        <v>91.014175686709706</v>
      </c>
      <c r="AJ7082">
        <v>47.275097793044097</v>
      </c>
      <c r="AK7082">
        <v>62.058057261689598</v>
      </c>
      <c r="AL7082">
        <v>81.366374633198205</v>
      </c>
      <c r="AM7082">
        <v>56.798844221952997</v>
      </c>
      <c r="AN7082">
        <v>1.00000005035247</v>
      </c>
    </row>
    <row r="7083" spans="1:40" x14ac:dyDescent="0.25">
      <c r="A7083" t="str">
        <f>"20190312164641829"</f>
        <v>20190312164641829</v>
      </c>
      <c r="B7083" t="str">
        <f>"1552380401818563"</f>
        <v>1552380401818563</v>
      </c>
      <c r="C7083" t="s">
        <v>40</v>
      </c>
      <c r="D7083">
        <v>5.4600609999999996</v>
      </c>
      <c r="E7083">
        <v>0.55623750000000005</v>
      </c>
      <c r="F7083" t="s">
        <v>42</v>
      </c>
      <c r="G7083">
        <v>-142.92660000000001</v>
      </c>
      <c r="H7083" s="1">
        <v>-3.4684309999999999E-6</v>
      </c>
      <c r="I7083">
        <v>137.07</v>
      </c>
      <c r="J7083">
        <v>-180.52860000000001</v>
      </c>
      <c r="K7083">
        <v>1.09836</v>
      </c>
      <c r="L7083">
        <v>132.84010000000001</v>
      </c>
      <c r="M7083">
        <v>0.68690600000000002</v>
      </c>
      <c r="N7083">
        <v>0</v>
      </c>
      <c r="O7083">
        <v>0.72658500000000004</v>
      </c>
      <c r="P7083">
        <v>0.96016409999999996</v>
      </c>
      <c r="Q7083">
        <v>0.151387299999999</v>
      </c>
      <c r="R7083">
        <v>0.23487640000000001</v>
      </c>
      <c r="S7083">
        <v>3.055634</v>
      </c>
      <c r="T7083">
        <v>-8.9040759999999997E-2</v>
      </c>
      <c r="U7083">
        <v>0.35006710000000002</v>
      </c>
      <c r="V7083">
        <v>0.54047970000000001</v>
      </c>
      <c r="W7083">
        <v>0.14997650000000001</v>
      </c>
      <c r="X7083">
        <v>0.82788209999999995</v>
      </c>
      <c r="Y7083">
        <v>0.64324859999999995</v>
      </c>
      <c r="Z7083">
        <v>-2.8276989999999998E-2</v>
      </c>
      <c r="AA7083">
        <v>0.76513500000000001</v>
      </c>
      <c r="AB7083">
        <v>25</v>
      </c>
      <c r="AC7083">
        <v>37.601999999999997</v>
      </c>
      <c r="AD7083">
        <v>-1.098363468431</v>
      </c>
      <c r="AE7083">
        <v>4.2298999999999802</v>
      </c>
      <c r="AF7083">
        <v>24.397810289011499</v>
      </c>
      <c r="AG7083">
        <v>-1.098363468431</v>
      </c>
      <c r="AH7083">
        <v>28.881474209746699</v>
      </c>
      <c r="AI7083">
        <v>91.6640669535538</v>
      </c>
      <c r="AJ7083">
        <v>49.810333910643202</v>
      </c>
      <c r="AK7083">
        <v>37.823261384175296</v>
      </c>
      <c r="AL7083">
        <v>81.374435420154995</v>
      </c>
      <c r="AM7083">
        <v>56.861640781424697</v>
      </c>
      <c r="AN7083">
        <v>1.0000000140823699</v>
      </c>
    </row>
    <row r="7084" spans="1:40" x14ac:dyDescent="0.25">
      <c r="A7084" t="str">
        <f>"20190312164641839"</f>
        <v>20190312164641839</v>
      </c>
      <c r="B7084" t="str">
        <f>"1552380401828251"</f>
        <v>1552380401828251</v>
      </c>
      <c r="C7084" t="s">
        <v>40</v>
      </c>
      <c r="D7084">
        <v>5.4095589999999998</v>
      </c>
      <c r="E7084">
        <v>0.55647840000000004</v>
      </c>
      <c r="F7084" t="s">
        <v>42</v>
      </c>
      <c r="G7084">
        <v>-135.54820000000001</v>
      </c>
      <c r="H7084" s="1">
        <v>-2.2183239999999998E-6</v>
      </c>
      <c r="I7084">
        <v>137.77719999999999</v>
      </c>
      <c r="J7084">
        <v>-180.43270000000001</v>
      </c>
      <c r="K7084">
        <v>1.0983080000000001</v>
      </c>
      <c r="L7084">
        <v>132.92910000000001</v>
      </c>
      <c r="M7084">
        <v>0.69265540000000003</v>
      </c>
      <c r="N7084">
        <v>0</v>
      </c>
      <c r="O7084">
        <v>0.72110569999999996</v>
      </c>
      <c r="P7084">
        <v>0.96179499999999996</v>
      </c>
      <c r="Q7084">
        <v>0.15132089999999901</v>
      </c>
      <c r="R7084">
        <v>0.22814999999999999</v>
      </c>
      <c r="S7084">
        <v>3.05423</v>
      </c>
      <c r="T7084">
        <v>-7.4580309999999997E-2</v>
      </c>
      <c r="U7084">
        <v>0.33523560000000002</v>
      </c>
      <c r="V7084">
        <v>0.53972180000000003</v>
      </c>
      <c r="W7084">
        <v>0.1498892</v>
      </c>
      <c r="X7084">
        <v>0.82839209999999996</v>
      </c>
      <c r="Y7084">
        <v>0.64094810000000002</v>
      </c>
      <c r="Z7084">
        <v>-2.3599080000000001E-2</v>
      </c>
      <c r="AA7084">
        <v>0.76722139999999905</v>
      </c>
      <c r="AB7084">
        <v>25</v>
      </c>
      <c r="AC7084">
        <v>44.884500000000003</v>
      </c>
      <c r="AD7084">
        <v>-1.0983102183239899</v>
      </c>
      <c r="AE7084">
        <v>4.8480999999999801</v>
      </c>
      <c r="AF7084">
        <v>28.994655389059201</v>
      </c>
      <c r="AG7084">
        <v>-1.0983102183239899</v>
      </c>
      <c r="AH7084">
        <v>34.5690894041104</v>
      </c>
      <c r="AI7084">
        <v>91.394452514917305</v>
      </c>
      <c r="AJ7084">
        <v>50.011921309326603</v>
      </c>
      <c r="AK7084">
        <v>45.132230929739698</v>
      </c>
      <c r="AL7084">
        <v>81.379493820305399</v>
      </c>
      <c r="AM7084">
        <v>56.914574348267898</v>
      </c>
      <c r="AN7084">
        <v>0.99999993250714203</v>
      </c>
    </row>
    <row r="7085" spans="1:40" x14ac:dyDescent="0.25">
      <c r="A7085" t="str">
        <f>"20190312164641851"</f>
        <v>20190312164641851</v>
      </c>
      <c r="B7085" t="str">
        <f>"1552380401847772"</f>
        <v>1552380401847772</v>
      </c>
      <c r="C7085" t="s">
        <v>40</v>
      </c>
      <c r="D7085">
        <v>5.4980900000000004</v>
      </c>
      <c r="E7085">
        <v>0.55817249999999996</v>
      </c>
      <c r="F7085" t="s">
        <v>42</v>
      </c>
      <c r="G7085">
        <v>-141.13130000000001</v>
      </c>
      <c r="H7085" s="1">
        <v>-4.2596020000000003E-6</v>
      </c>
      <c r="I7085">
        <v>136.95150000000001</v>
      </c>
      <c r="J7085">
        <v>-180.34049999999999</v>
      </c>
      <c r="K7085">
        <v>1.098258</v>
      </c>
      <c r="L7085">
        <v>133.01429999999999</v>
      </c>
      <c r="M7085">
        <v>0.6981446</v>
      </c>
      <c r="N7085">
        <v>0</v>
      </c>
      <c r="O7085">
        <v>0.71579209999999904</v>
      </c>
      <c r="P7085">
        <v>0.96324940000000003</v>
      </c>
      <c r="Q7085">
        <v>0.15113550000000001</v>
      </c>
      <c r="R7085">
        <v>0.22205639999999999</v>
      </c>
      <c r="S7085">
        <v>3.0583650000000002</v>
      </c>
      <c r="T7085">
        <v>-8.5468649999999993E-2</v>
      </c>
      <c r="U7085">
        <v>0.31301879999999999</v>
      </c>
      <c r="V7085">
        <v>0.53866819999999904</v>
      </c>
      <c r="W7085">
        <v>0.14969789999999999</v>
      </c>
      <c r="X7085">
        <v>0.82911229999999903</v>
      </c>
      <c r="Y7085">
        <v>0.64059919999999904</v>
      </c>
      <c r="Z7085">
        <v>-2.6930280000000001E-2</v>
      </c>
      <c r="AA7085">
        <v>0.7674031</v>
      </c>
      <c r="AB7085">
        <v>25</v>
      </c>
      <c r="AC7085">
        <v>39.209199999999903</v>
      </c>
      <c r="AD7085">
        <v>-1.098262259602</v>
      </c>
      <c r="AE7085">
        <v>3.93720000000001</v>
      </c>
      <c r="AF7085">
        <v>25.300234060418301</v>
      </c>
      <c r="AG7085">
        <v>-1.098262259602</v>
      </c>
      <c r="AH7085">
        <v>30.172031962804901</v>
      </c>
      <c r="AI7085">
        <v>91.597668811279306</v>
      </c>
      <c r="AJ7085">
        <v>50.019068513138201</v>
      </c>
      <c r="AK7085">
        <v>39.391109863360498</v>
      </c>
      <c r="AL7085">
        <v>81.390580587125299</v>
      </c>
      <c r="AM7085">
        <v>56.988512108933698</v>
      </c>
      <c r="AN7085">
        <v>1.0000000484834599</v>
      </c>
    </row>
    <row r="7086" spans="1:40" x14ac:dyDescent="0.25">
      <c r="A7086" t="str">
        <f>"20190312164641860"</f>
        <v>20190312164641860</v>
      </c>
      <c r="B7086" t="str">
        <f>"1552380401847772"</f>
        <v>1552380401847772</v>
      </c>
      <c r="C7086" t="s">
        <v>40</v>
      </c>
      <c r="D7086">
        <v>5.4980900000000004</v>
      </c>
      <c r="E7086">
        <v>0.55817249999999996</v>
      </c>
      <c r="F7086" t="s">
        <v>42</v>
      </c>
      <c r="G7086">
        <v>-147.7518</v>
      </c>
      <c r="H7086" s="1">
        <v>-1.7098130000000001E-6</v>
      </c>
      <c r="I7086">
        <v>136.01310000000001</v>
      </c>
      <c r="J7086">
        <v>-180.2516</v>
      </c>
      <c r="K7086">
        <v>1.0982130000000001</v>
      </c>
      <c r="L7086">
        <v>133.09450000000001</v>
      </c>
      <c r="M7086">
        <v>0.70337629999999995</v>
      </c>
      <c r="N7086">
        <v>0</v>
      </c>
      <c r="O7086">
        <v>0.71065129999999999</v>
      </c>
      <c r="P7086">
        <v>0.96460279999999998</v>
      </c>
      <c r="Q7086">
        <v>0.15076879999999901</v>
      </c>
      <c r="R7086">
        <v>0.2163572</v>
      </c>
      <c r="S7086">
        <v>3.0656279999999998</v>
      </c>
      <c r="T7086">
        <v>-0.10331360000000001</v>
      </c>
      <c r="U7086">
        <v>0.28210449999999998</v>
      </c>
      <c r="V7086">
        <v>0.53753249999999997</v>
      </c>
      <c r="W7086">
        <v>0.14933479999999999</v>
      </c>
      <c r="X7086">
        <v>0.82991440000000005</v>
      </c>
      <c r="Y7086">
        <v>0.64260329999999999</v>
      </c>
      <c r="Z7086">
        <v>-3.2431460000000002E-2</v>
      </c>
      <c r="AA7086">
        <v>0.76551239999999998</v>
      </c>
      <c r="AB7086">
        <v>25</v>
      </c>
      <c r="AC7086">
        <v>32.499799999999901</v>
      </c>
      <c r="AD7086">
        <v>-1.098214709813</v>
      </c>
      <c r="AE7086">
        <v>2.9185999999999899</v>
      </c>
      <c r="AF7086">
        <v>21.021827990518901</v>
      </c>
      <c r="AG7086">
        <v>-1.098214709813</v>
      </c>
      <c r="AH7086">
        <v>24.908430603237299</v>
      </c>
      <c r="AI7086">
        <v>91.929800377763698</v>
      </c>
      <c r="AJ7086">
        <v>49.836826352137898</v>
      </c>
      <c r="AK7086">
        <v>32.612164030130003</v>
      </c>
      <c r="AL7086">
        <v>81.411620700112607</v>
      </c>
      <c r="AM7086">
        <v>57.069018423538502</v>
      </c>
      <c r="AN7086">
        <v>0.99999999118732497</v>
      </c>
    </row>
    <row r="7087" spans="1:40" x14ac:dyDescent="0.25">
      <c r="A7087" t="str">
        <f>"20190312164641873"</f>
        <v>20190312164641873</v>
      </c>
      <c r="B7087" t="str">
        <f>"1552380401868271"</f>
        <v>1552380401868271</v>
      </c>
      <c r="C7087" t="s">
        <v>40</v>
      </c>
      <c r="D7087">
        <v>5.2909360000000003</v>
      </c>
      <c r="E7087">
        <v>0.55668649999999997</v>
      </c>
      <c r="F7087" t="s">
        <v>42</v>
      </c>
      <c r="G7087">
        <v>-147.86930000000001</v>
      </c>
      <c r="H7087" s="1">
        <v>-1.70649E-6</v>
      </c>
      <c r="I7087">
        <v>135.87540000000001</v>
      </c>
      <c r="J7087">
        <v>-180.15020000000001</v>
      </c>
      <c r="K7087">
        <v>1.09816</v>
      </c>
      <c r="L7087">
        <v>133.1849</v>
      </c>
      <c r="M7087">
        <v>0.70928749999999996</v>
      </c>
      <c r="N7087">
        <v>0</v>
      </c>
      <c r="O7087">
        <v>0.70475109999999996</v>
      </c>
      <c r="P7087">
        <v>0.96607189999999998</v>
      </c>
      <c r="Q7087">
        <v>0.15045529999999999</v>
      </c>
      <c r="R7087">
        <v>0.20992540000000001</v>
      </c>
      <c r="S7087">
        <v>3.0672450000000002</v>
      </c>
      <c r="T7087">
        <v>-0.10402260000000001</v>
      </c>
      <c r="U7087">
        <v>0.26341249999999999</v>
      </c>
      <c r="V7087">
        <v>0.53616989999999998</v>
      </c>
      <c r="W7087">
        <v>0.1490302</v>
      </c>
      <c r="X7087">
        <v>0.83085010000000004</v>
      </c>
      <c r="Y7087">
        <v>0.64086430000000005</v>
      </c>
      <c r="Z7087">
        <v>-3.2497060000000001E-2</v>
      </c>
      <c r="AA7087">
        <v>0.76696600000000004</v>
      </c>
      <c r="AB7087">
        <v>25</v>
      </c>
      <c r="AC7087">
        <v>32.280900000000003</v>
      </c>
      <c r="AD7087">
        <v>-1.09816170649</v>
      </c>
      <c r="AE7087">
        <v>2.6905000000000099</v>
      </c>
      <c r="AF7087">
        <v>20.8202045486312</v>
      </c>
      <c r="AG7087">
        <v>-1.09816170649</v>
      </c>
      <c r="AH7087">
        <v>24.7670468773278</v>
      </c>
      <c r="AI7087">
        <v>91.943892466426703</v>
      </c>
      <c r="AJ7087">
        <v>49.948201707657603</v>
      </c>
      <c r="AK7087">
        <v>32.374272001146203</v>
      </c>
      <c r="AL7087">
        <v>81.429270797367295</v>
      </c>
      <c r="AM7087">
        <v>57.164759676893397</v>
      </c>
      <c r="AN7087">
        <v>1.00000002542402</v>
      </c>
    </row>
    <row r="7088" spans="1:40" x14ac:dyDescent="0.25">
      <c r="A7088" t="str">
        <f>"20190312164641883"</f>
        <v>20190312164641883</v>
      </c>
      <c r="B7088" t="str">
        <f>"1552380401878027"</f>
        <v>1552380401878027</v>
      </c>
      <c r="C7088" t="s">
        <v>40</v>
      </c>
      <c r="D7088">
        <v>5.4592419999999997</v>
      </c>
      <c r="E7088">
        <v>0.55569990000000002</v>
      </c>
      <c r="F7088" t="s">
        <v>42</v>
      </c>
      <c r="G7088">
        <v>-142.52629999999999</v>
      </c>
      <c r="H7088" s="1">
        <v>-3.780521E-6</v>
      </c>
      <c r="I7088">
        <v>136.27869999999999</v>
      </c>
      <c r="J7088">
        <v>-180.05199999999999</v>
      </c>
      <c r="K7088">
        <v>1.098115</v>
      </c>
      <c r="L7088">
        <v>133.27080000000001</v>
      </c>
      <c r="M7088">
        <v>0.71495390000000003</v>
      </c>
      <c r="N7088">
        <v>0</v>
      </c>
      <c r="O7088">
        <v>0.69900139999999999</v>
      </c>
      <c r="P7088">
        <v>0.96744319999999895</v>
      </c>
      <c r="Q7088">
        <v>0.15026229999999999</v>
      </c>
      <c r="R7088">
        <v>0.2036541</v>
      </c>
      <c r="S7088">
        <v>3.0645289999999998</v>
      </c>
      <c r="T7088">
        <v>-8.9447139999999994E-2</v>
      </c>
      <c r="U7088">
        <v>0.25199890000000003</v>
      </c>
      <c r="V7088">
        <v>0.5348794</v>
      </c>
      <c r="W7088">
        <v>0.1488496</v>
      </c>
      <c r="X7088">
        <v>0.83171379999999995</v>
      </c>
      <c r="Y7088">
        <v>0.63762379999999996</v>
      </c>
      <c r="Z7088">
        <v>-2.7821970000000001E-2</v>
      </c>
      <c r="AA7088">
        <v>0.76984529999999995</v>
      </c>
      <c r="AB7088">
        <v>25</v>
      </c>
      <c r="AC7088">
        <v>37.525700000000001</v>
      </c>
      <c r="AD7088">
        <v>-1.098118780521</v>
      </c>
      <c r="AE7088">
        <v>3.00789999999997</v>
      </c>
      <c r="AF7088">
        <v>24.0623987900568</v>
      </c>
      <c r="AG7088">
        <v>-1.098118780521</v>
      </c>
      <c r="AH7088">
        <v>28.910515945674199</v>
      </c>
      <c r="AI7088">
        <v>91.672239518545695</v>
      </c>
      <c r="AJ7088">
        <v>50.229181211408097</v>
      </c>
      <c r="AK7088">
        <v>37.630078828417901</v>
      </c>
      <c r="AL7088">
        <v>81.439735003070197</v>
      </c>
      <c r="AM7088">
        <v>57.254721670602997</v>
      </c>
      <c r="AN7088">
        <v>1.00000001053748</v>
      </c>
    </row>
    <row r="7089" spans="1:40" x14ac:dyDescent="0.25">
      <c r="A7089" t="str">
        <f>"20190312164641895"</f>
        <v>20190312164641895</v>
      </c>
      <c r="B7089" t="str">
        <f>"1552380401887788"</f>
        <v>1552380401887788</v>
      </c>
      <c r="C7089" t="s">
        <v>40</v>
      </c>
      <c r="D7089">
        <v>5.3552019999999896</v>
      </c>
      <c r="E7089">
        <v>0.55569990000000002</v>
      </c>
      <c r="F7089" t="s">
        <v>42</v>
      </c>
      <c r="G7089">
        <v>-139.90190000000001</v>
      </c>
      <c r="H7089" s="1">
        <v>-8.7686939999999998E-7</v>
      </c>
      <c r="I7089">
        <v>136.3938</v>
      </c>
      <c r="J7089">
        <v>-179.9537</v>
      </c>
      <c r="K7089">
        <v>1.0980749999999999</v>
      </c>
      <c r="L7089">
        <v>133.3553</v>
      </c>
      <c r="M7089">
        <v>0.72055760000000002</v>
      </c>
      <c r="N7089">
        <v>0</v>
      </c>
      <c r="O7089">
        <v>0.69322299999999903</v>
      </c>
      <c r="P7089">
        <v>0.96882509999999999</v>
      </c>
      <c r="Q7089">
        <v>0.1495717</v>
      </c>
      <c r="R7089">
        <v>0.19750029999999999</v>
      </c>
      <c r="S7089">
        <v>3.0637970000000001</v>
      </c>
      <c r="T7089">
        <v>-8.3795549999999996E-2</v>
      </c>
      <c r="U7089">
        <v>0.23831179999999999</v>
      </c>
      <c r="V7089">
        <v>0.53353660000000003</v>
      </c>
      <c r="W7089">
        <v>0.14817859999999999</v>
      </c>
      <c r="X7089">
        <v>0.83269550000000003</v>
      </c>
      <c r="Y7089">
        <v>0.63488719999999998</v>
      </c>
      <c r="Z7089">
        <v>-2.5938360000000001E-2</v>
      </c>
      <c r="AA7089">
        <v>0.77216929999999995</v>
      </c>
      <c r="AB7089">
        <v>25</v>
      </c>
      <c r="AC7089">
        <v>40.051799999999901</v>
      </c>
      <c r="AD7089">
        <v>-1.0980758768693999</v>
      </c>
      <c r="AE7089">
        <v>3.0384999999999902</v>
      </c>
      <c r="AF7089">
        <v>25.559364622176702</v>
      </c>
      <c r="AG7089">
        <v>-1.0980758768693999</v>
      </c>
      <c r="AH7089">
        <v>30.9465540096278</v>
      </c>
      <c r="AI7089">
        <v>91.567122316810497</v>
      </c>
      <c r="AJ7089">
        <v>50.446032899091499</v>
      </c>
      <c r="AK7089">
        <v>40.151912726438702</v>
      </c>
      <c r="AL7089">
        <v>81.478611497313807</v>
      </c>
      <c r="AM7089">
        <v>57.3509183614946</v>
      </c>
      <c r="AN7089">
        <v>0.99999999837888498</v>
      </c>
    </row>
    <row r="7090" spans="1:40" x14ac:dyDescent="0.25">
      <c r="A7090" t="str">
        <f>"20190312164641905"</f>
        <v>20190312164641905</v>
      </c>
      <c r="B7090" t="str">
        <f>"1552380401898524"</f>
        <v>1552380401898524</v>
      </c>
      <c r="C7090" t="s">
        <v>40</v>
      </c>
      <c r="D7090">
        <v>5.1869730000000001</v>
      </c>
      <c r="E7090">
        <v>0.56752029999999998</v>
      </c>
      <c r="F7090" t="s">
        <v>42</v>
      </c>
      <c r="G7090">
        <v>-140.62139999999999</v>
      </c>
      <c r="H7090" s="1">
        <v>-4.6195859999999998E-6</v>
      </c>
      <c r="I7090">
        <v>136.15549999999999</v>
      </c>
      <c r="J7090">
        <v>-179.8579</v>
      </c>
      <c r="K7090">
        <v>1.098039</v>
      </c>
      <c r="L7090">
        <v>133.4366</v>
      </c>
      <c r="M7090">
        <v>0.72596649999999996</v>
      </c>
      <c r="N7090">
        <v>0</v>
      </c>
      <c r="O7090">
        <v>0.68755619999999995</v>
      </c>
      <c r="P7090">
        <v>0.97010870000000005</v>
      </c>
      <c r="Q7090">
        <v>0.1491672</v>
      </c>
      <c r="R7090">
        <v>0.19141159999999999</v>
      </c>
      <c r="S7090">
        <v>3.0652620000000002</v>
      </c>
      <c r="T7090">
        <v>-8.5575819999999997E-2</v>
      </c>
      <c r="U7090">
        <v>0.21823119999999999</v>
      </c>
      <c r="V7090">
        <v>0.53228359999999997</v>
      </c>
      <c r="W7090">
        <v>0.147793799999999</v>
      </c>
      <c r="X7090">
        <v>0.83356529999999995</v>
      </c>
      <c r="Y7090">
        <v>0.63387749999999998</v>
      </c>
      <c r="Z7090">
        <v>-2.63708E-2</v>
      </c>
      <c r="AA7090">
        <v>0.7729838</v>
      </c>
      <c r="AB7090">
        <v>25</v>
      </c>
      <c r="AC7090">
        <v>39.236499999999999</v>
      </c>
      <c r="AD7090">
        <v>-1.0980436195859999</v>
      </c>
      <c r="AE7090">
        <v>2.7188999999999899</v>
      </c>
      <c r="AF7090">
        <v>24.986982729518299</v>
      </c>
      <c r="AG7090">
        <v>-1.0980436195859999</v>
      </c>
      <c r="AH7090">
        <v>30.3337676576745</v>
      </c>
      <c r="AI7090">
        <v>91.600431745645096</v>
      </c>
      <c r="AJ7090">
        <v>50.520525625870199</v>
      </c>
      <c r="AK7090">
        <v>39.315295573422098</v>
      </c>
      <c r="AL7090">
        <v>81.500904159966893</v>
      </c>
      <c r="AM7090">
        <v>57.439222057166603</v>
      </c>
      <c r="AN7090">
        <v>0.99999997375574401</v>
      </c>
    </row>
    <row r="7091" spans="1:40" x14ac:dyDescent="0.25">
      <c r="A7091" t="str">
        <f>"20190312164641917"</f>
        <v>20190312164641917</v>
      </c>
      <c r="B7091" t="str">
        <f>"1552380401908283"</f>
        <v>1552380401908283</v>
      </c>
      <c r="C7091" t="s">
        <v>40</v>
      </c>
      <c r="D7091">
        <v>5.0194650000000003</v>
      </c>
      <c r="E7091">
        <v>0.56752029999999998</v>
      </c>
      <c r="F7091" t="s">
        <v>71</v>
      </c>
      <c r="G7091">
        <v>-169.97649999999999</v>
      </c>
      <c r="H7091" s="1">
        <v>-1.063236E-6</v>
      </c>
      <c r="I7091">
        <v>133.86600000000001</v>
      </c>
      <c r="J7091">
        <v>-179.76159999999999</v>
      </c>
      <c r="K7091">
        <v>1.098006</v>
      </c>
      <c r="L7091">
        <v>133.51650000000001</v>
      </c>
      <c r="M7091">
        <v>0.73133190000000003</v>
      </c>
      <c r="N7091">
        <v>0</v>
      </c>
      <c r="O7091">
        <v>0.68184579999999995</v>
      </c>
      <c r="P7091">
        <v>0.97134359999999997</v>
      </c>
      <c r="Q7091">
        <v>0.1487917</v>
      </c>
      <c r="R7091">
        <v>0.18534500000000001</v>
      </c>
      <c r="S7091">
        <v>3.1189879999999999</v>
      </c>
      <c r="T7091">
        <v>-0.34658719999999998</v>
      </c>
      <c r="U7091">
        <v>0.135513299999999</v>
      </c>
      <c r="V7091">
        <v>0.53099719999999995</v>
      </c>
      <c r="W7091">
        <v>0.14744479999999999</v>
      </c>
      <c r="X7091">
        <v>0.8344471</v>
      </c>
      <c r="Y7091">
        <v>0.6421114</v>
      </c>
      <c r="Z7091">
        <v>-0.10491830000000001</v>
      </c>
      <c r="AA7091">
        <v>0.75939789999999996</v>
      </c>
      <c r="AB7091">
        <v>25</v>
      </c>
      <c r="AC7091">
        <v>9.7850999999999999</v>
      </c>
      <c r="AD7091">
        <v>-1.0980070632359999</v>
      </c>
      <c r="AE7091">
        <v>0.34950000000000597</v>
      </c>
      <c r="AF7091">
        <v>6.3374026498317004</v>
      </c>
      <c r="AG7091">
        <v>-1.0980070632359999</v>
      </c>
      <c r="AH7091">
        <v>7.30350285430025</v>
      </c>
      <c r="AI7091">
        <v>96.478237319047196</v>
      </c>
      <c r="AJ7091">
        <v>49.051138009294597</v>
      </c>
      <c r="AK7091">
        <v>9.7318778146759506</v>
      </c>
      <c r="AL7091">
        <v>81.521121933343295</v>
      </c>
      <c r="AM7091">
        <v>57.5295208019702</v>
      </c>
      <c r="AN7091">
        <v>0.99999997907664395</v>
      </c>
    </row>
    <row r="7092" spans="1:40" x14ac:dyDescent="0.25">
      <c r="A7092" t="str">
        <f>"20190312164641927"</f>
        <v>20190312164641927</v>
      </c>
      <c r="B7092" t="str">
        <f>"1552380401918043"</f>
        <v>1552380401918043</v>
      </c>
      <c r="C7092" t="s">
        <v>40</v>
      </c>
      <c r="D7092">
        <v>5.4209589999999999</v>
      </c>
      <c r="E7092">
        <v>0.54263039999999996</v>
      </c>
      <c r="F7092" t="s">
        <v>42</v>
      </c>
      <c r="G7092">
        <v>-169.90099999999899</v>
      </c>
      <c r="H7092" s="1">
        <v>-1.5481789999999999E-6</v>
      </c>
      <c r="I7092">
        <v>133.88120000000001</v>
      </c>
      <c r="J7092">
        <v>-179.6576</v>
      </c>
      <c r="K7092">
        <v>1.0979760000000001</v>
      </c>
      <c r="L7092">
        <v>133.60210000000001</v>
      </c>
      <c r="M7092">
        <v>0.73706609999999995</v>
      </c>
      <c r="N7092">
        <v>0</v>
      </c>
      <c r="O7092">
        <v>0.67564269999999904</v>
      </c>
      <c r="P7092">
        <v>0.97260360000000001</v>
      </c>
      <c r="Q7092">
        <v>0.1483071</v>
      </c>
      <c r="R7092">
        <v>0.17901729999999999</v>
      </c>
      <c r="S7092">
        <v>3.1197050000000002</v>
      </c>
      <c r="T7092">
        <v>-0.34738970000000002</v>
      </c>
      <c r="U7092">
        <v>0.115387</v>
      </c>
      <c r="V7092">
        <v>0.52942319999999998</v>
      </c>
      <c r="W7092">
        <v>0.1469982</v>
      </c>
      <c r="X7092">
        <v>0.83552539999999997</v>
      </c>
      <c r="Y7092">
        <v>0.64057319999999995</v>
      </c>
      <c r="Z7092">
        <v>-0.104615899999999</v>
      </c>
      <c r="AA7092">
        <v>0.76073740000000001</v>
      </c>
      <c r="AB7092">
        <v>25</v>
      </c>
      <c r="AC7092">
        <v>9.7566000000000095</v>
      </c>
      <c r="AD7092">
        <v>-1.097977548179</v>
      </c>
      <c r="AE7092">
        <v>0.27909999999999902</v>
      </c>
      <c r="AF7092">
        <v>6.3072157586756497</v>
      </c>
      <c r="AG7092">
        <v>-1.097977548179</v>
      </c>
      <c r="AH7092">
        <v>7.2884886083973699</v>
      </c>
      <c r="AI7092">
        <v>96.498798603272405</v>
      </c>
      <c r="AJ7092">
        <v>49.128176733229203</v>
      </c>
      <c r="AK7092">
        <v>9.70095827831096</v>
      </c>
      <c r="AL7092">
        <v>81.5469926819097</v>
      </c>
      <c r="AM7092">
        <v>57.639974358499799</v>
      </c>
      <c r="AN7092">
        <v>1.0000000447733099</v>
      </c>
    </row>
    <row r="7093" spans="1:40" x14ac:dyDescent="0.25">
      <c r="A7093" t="str">
        <f>"20190312164641939"</f>
        <v>20190312164641939</v>
      </c>
      <c r="B7093" t="str">
        <f>"1552380401927803"</f>
        <v>1552380401927803</v>
      </c>
      <c r="C7093" t="s">
        <v>40</v>
      </c>
      <c r="D7093">
        <v>5.4251620000000003</v>
      </c>
      <c r="E7093">
        <v>0.54437250000000004</v>
      </c>
      <c r="F7093" t="s">
        <v>76</v>
      </c>
      <c r="G7093">
        <v>136.33860000000001</v>
      </c>
      <c r="H7093">
        <v>-0.1</v>
      </c>
      <c r="I7093">
        <v>159.87639999999999</v>
      </c>
      <c r="J7093">
        <v>-179.56180000000001</v>
      </c>
      <c r="K7093">
        <v>1.0979509999999999</v>
      </c>
      <c r="L7093">
        <v>133.6788</v>
      </c>
      <c r="M7093">
        <v>0.74227180000000004</v>
      </c>
      <c r="N7093">
        <v>0</v>
      </c>
      <c r="O7093">
        <v>0.66991919999999905</v>
      </c>
      <c r="P7093">
        <v>0.97368540000000003</v>
      </c>
      <c r="Q7093">
        <v>0.14806849999999999</v>
      </c>
      <c r="R7093">
        <v>0.17324210000000001</v>
      </c>
      <c r="S7093">
        <v>3.0397340000000002</v>
      </c>
      <c r="T7093">
        <v>-1.152396E-2</v>
      </c>
      <c r="U7093">
        <v>0.25274659999999999</v>
      </c>
      <c r="V7093">
        <v>0.5279374</v>
      </c>
      <c r="W7093">
        <v>0.1468043</v>
      </c>
      <c r="X7093">
        <v>0.83649899999999999</v>
      </c>
      <c r="Y7093">
        <v>0.60617430000000005</v>
      </c>
      <c r="Z7093">
        <v>-3.4782699999999999E-3</v>
      </c>
      <c r="AA7093">
        <v>0.79532419999999904</v>
      </c>
      <c r="AB7093">
        <v>25</v>
      </c>
      <c r="AC7093">
        <v>315.90039999999999</v>
      </c>
      <c r="AD7093">
        <v>-1.197951</v>
      </c>
      <c r="AE7093">
        <v>26.197599999999898</v>
      </c>
      <c r="AF7093">
        <v>192.20240520449599</v>
      </c>
      <c r="AG7093">
        <v>-1.197951</v>
      </c>
      <c r="AH7093">
        <v>252.06098922248501</v>
      </c>
      <c r="AI7093">
        <v>90.216534626482201</v>
      </c>
      <c r="AJ7093">
        <v>52.673631335887698</v>
      </c>
      <c r="AK7093">
        <v>316.98255778640203</v>
      </c>
      <c r="AL7093">
        <v>81.558223706746801</v>
      </c>
      <c r="AM7093">
        <v>57.7428558299329</v>
      </c>
      <c r="AN7093">
        <v>0.999999988909124</v>
      </c>
    </row>
    <row r="7094" spans="1:40" x14ac:dyDescent="0.25">
      <c r="A7094" t="str">
        <f>"20190312164641951"</f>
        <v>20190312164641951</v>
      </c>
      <c r="B7094" t="str">
        <f>"1552380401948300"</f>
        <v>1552380401948300</v>
      </c>
      <c r="C7094" t="s">
        <v>40</v>
      </c>
      <c r="D7094">
        <v>5.4219410000000003</v>
      </c>
      <c r="E7094">
        <v>0.54665559999999902</v>
      </c>
      <c r="F7094" t="s">
        <v>42</v>
      </c>
      <c r="G7094">
        <v>-80.349400000000003</v>
      </c>
      <c r="H7094" s="1">
        <v>-4.3927149999999997E-6</v>
      </c>
      <c r="I7094">
        <v>140.94460000000001</v>
      </c>
      <c r="J7094">
        <v>-179.4598</v>
      </c>
      <c r="K7094">
        <v>1.0979350000000001</v>
      </c>
      <c r="L7094">
        <v>133.75980000000001</v>
      </c>
      <c r="M7094">
        <v>0.74775139999999995</v>
      </c>
      <c r="N7094">
        <v>0</v>
      </c>
      <c r="O7094">
        <v>0.66379699999999997</v>
      </c>
      <c r="P7094">
        <v>0.97473279999999995</v>
      </c>
      <c r="Q7094">
        <v>0.14803820000000001</v>
      </c>
      <c r="R7094">
        <v>0.16727449999999999</v>
      </c>
      <c r="S7094">
        <v>3.0465239999999998</v>
      </c>
      <c r="T7094">
        <v>-3.3715009999999997E-2</v>
      </c>
      <c r="U7094">
        <v>0.22311400000000001</v>
      </c>
      <c r="V7094">
        <v>0.52619189999999905</v>
      </c>
      <c r="W7094">
        <v>0.1468284</v>
      </c>
      <c r="X7094">
        <v>0.8375939</v>
      </c>
      <c r="Y7094">
        <v>0.60741099999999904</v>
      </c>
      <c r="Z7094">
        <v>-1.0121059999999999E-2</v>
      </c>
      <c r="AA7094">
        <v>0.79432329999999995</v>
      </c>
      <c r="AB7094">
        <v>25</v>
      </c>
      <c r="AC7094">
        <v>99.110399999999998</v>
      </c>
      <c r="AD7094">
        <v>-1.0979393927150001</v>
      </c>
      <c r="AE7094">
        <v>7.1847999999999903</v>
      </c>
      <c r="AF7094">
        <v>60.416659524132697</v>
      </c>
      <c r="AG7094">
        <v>-1.0979393927150001</v>
      </c>
      <c r="AH7094">
        <v>78.879081452195294</v>
      </c>
      <c r="AI7094">
        <v>90.633109661787898</v>
      </c>
      <c r="AJ7094">
        <v>52.550044513616498</v>
      </c>
      <c r="AK7094">
        <v>99.364418730786696</v>
      </c>
      <c r="AL7094">
        <v>81.556827998917697</v>
      </c>
      <c r="AM7094">
        <v>57.862205765444997</v>
      </c>
      <c r="AN7094">
        <v>1.00000001799468</v>
      </c>
    </row>
    <row r="7095" spans="1:40" x14ac:dyDescent="0.25">
      <c r="A7095" t="str">
        <f>"20190312164641961"</f>
        <v>20190312164641961</v>
      </c>
      <c r="B7095" t="str">
        <f>"1552380401958059"</f>
        <v>1552380401958059</v>
      </c>
      <c r="C7095" t="s">
        <v>40</v>
      </c>
      <c r="D7095">
        <v>5.4628670000000001</v>
      </c>
      <c r="E7095">
        <v>0.54688419999999904</v>
      </c>
      <c r="F7095" t="s">
        <v>76</v>
      </c>
      <c r="G7095">
        <v>-3.9313959999999999</v>
      </c>
      <c r="H7095">
        <v>-0.1</v>
      </c>
      <c r="I7095">
        <v>144.38800000000001</v>
      </c>
      <c r="J7095">
        <v>-179.35640000000001</v>
      </c>
      <c r="K7095">
        <v>1.0979239999999999</v>
      </c>
      <c r="L7095">
        <v>133.8399</v>
      </c>
      <c r="M7095">
        <v>0.75321930000000004</v>
      </c>
      <c r="N7095">
        <v>0</v>
      </c>
      <c r="O7095">
        <v>0.65758559999999999</v>
      </c>
      <c r="P7095">
        <v>0.97569790000000001</v>
      </c>
      <c r="Q7095">
        <v>0.1481085</v>
      </c>
      <c r="R7095">
        <v>0.16148579999999901</v>
      </c>
      <c r="S7095">
        <v>3.049255</v>
      </c>
      <c r="T7095">
        <v>-2.0810370000000002E-2</v>
      </c>
      <c r="U7095">
        <v>0.1846313</v>
      </c>
      <c r="V7095">
        <v>0.52422519999999995</v>
      </c>
      <c r="W7095">
        <v>0.1469684</v>
      </c>
      <c r="X7095">
        <v>0.83880169999999998</v>
      </c>
      <c r="Y7095">
        <v>0.61090659999999997</v>
      </c>
      <c r="Z7095">
        <v>-6.2298589999999999E-3</v>
      </c>
      <c r="AA7095">
        <v>0.791678199999999</v>
      </c>
      <c r="AB7095">
        <v>25</v>
      </c>
      <c r="AC7095">
        <v>175.425004</v>
      </c>
      <c r="AD7095">
        <v>-1.197924</v>
      </c>
      <c r="AE7095">
        <v>10.5481</v>
      </c>
      <c r="AF7095">
        <v>107.419924886649</v>
      </c>
      <c r="AG7095">
        <v>-1.197924</v>
      </c>
      <c r="AH7095">
        <v>139.08013638025801</v>
      </c>
      <c r="AI7095">
        <v>90.390562174368398</v>
      </c>
      <c r="AJ7095">
        <v>52.318940066752603</v>
      </c>
      <c r="AK7095">
        <v>175.73775809459499</v>
      </c>
      <c r="AL7095">
        <v>81.548718730259097</v>
      </c>
      <c r="AM7095">
        <v>57.995887160718098</v>
      </c>
      <c r="AN7095">
        <v>1.00000003141824</v>
      </c>
    </row>
    <row r="7096" spans="1:40" x14ac:dyDescent="0.25">
      <c r="A7096" t="str">
        <f>"20190312164641974"</f>
        <v>20190312164641974</v>
      </c>
      <c r="B7096" t="str">
        <f>"1552380401967820"</f>
        <v>1552380401967820</v>
      </c>
      <c r="C7096" t="s">
        <v>40</v>
      </c>
      <c r="D7096">
        <v>5.3683199999999998</v>
      </c>
      <c r="E7096">
        <v>0.54727040000000005</v>
      </c>
      <c r="F7096" t="s">
        <v>76</v>
      </c>
      <c r="G7096">
        <v>70.153689999999997</v>
      </c>
      <c r="H7096">
        <v>-0.1</v>
      </c>
      <c r="I7096">
        <v>147.22569999999999</v>
      </c>
      <c r="J7096">
        <v>-179.24709999999999</v>
      </c>
      <c r="K7096">
        <v>1.0979110000000001</v>
      </c>
      <c r="L7096">
        <v>133.92349999999999</v>
      </c>
      <c r="M7096">
        <v>0.75892579999999998</v>
      </c>
      <c r="N7096">
        <v>0</v>
      </c>
      <c r="O7096">
        <v>0.65099110000000004</v>
      </c>
      <c r="P7096">
        <v>0.97668500000000003</v>
      </c>
      <c r="Q7096">
        <v>0.14819549999999901</v>
      </c>
      <c r="R7096">
        <v>0.1553214</v>
      </c>
      <c r="S7096">
        <v>3.0498660000000002</v>
      </c>
      <c r="T7096">
        <v>-1.464272E-2</v>
      </c>
      <c r="U7096">
        <v>0.16361999999999999</v>
      </c>
      <c r="V7096">
        <v>0.52219720000000003</v>
      </c>
      <c r="W7096">
        <v>0.14713019999999999</v>
      </c>
      <c r="X7096">
        <v>0.84003729999999999</v>
      </c>
      <c r="Y7096">
        <v>0.60946020000000001</v>
      </c>
      <c r="Z7096">
        <v>-4.3583650000000003E-3</v>
      </c>
      <c r="AA7096">
        <v>0.79280469999999903</v>
      </c>
      <c r="AB7096">
        <v>25</v>
      </c>
      <c r="AC7096">
        <v>249.40079</v>
      </c>
      <c r="AD7096">
        <v>-1.1979109999999999</v>
      </c>
      <c r="AE7096">
        <v>13.302199999999999</v>
      </c>
      <c r="AF7096">
        <v>152.27725240109999</v>
      </c>
      <c r="AG7096">
        <v>-1.1979109999999999</v>
      </c>
      <c r="AH7096">
        <v>197.955730142222</v>
      </c>
      <c r="AI7096">
        <v>90.274814192730204</v>
      </c>
      <c r="AJ7096">
        <v>52.430750838764503</v>
      </c>
      <c r="AK7096">
        <v>249.752412772594</v>
      </c>
      <c r="AL7096">
        <v>81.539345595595805</v>
      </c>
      <c r="AM7096">
        <v>58.133439268977099</v>
      </c>
      <c r="AN7096">
        <v>0.99999993841558299</v>
      </c>
    </row>
    <row r="7097" spans="1:40" x14ac:dyDescent="0.25">
      <c r="A7097" t="str">
        <f>"20190312164641986"</f>
        <v>20190312164641986</v>
      </c>
      <c r="B7097" t="str">
        <f>"1552380401978555"</f>
        <v>1552380401978555</v>
      </c>
      <c r="C7097" t="s">
        <v>40</v>
      </c>
      <c r="D7097">
        <v>5.4800380000000004</v>
      </c>
      <c r="E7097">
        <v>0.54753050000000003</v>
      </c>
      <c r="F7097" t="s">
        <v>76</v>
      </c>
      <c r="G7097">
        <v>254.66290000000001</v>
      </c>
      <c r="H7097">
        <v>-0.1</v>
      </c>
      <c r="I7097">
        <v>153.87799999999999</v>
      </c>
      <c r="J7097">
        <v>-179.12700000000001</v>
      </c>
      <c r="K7097">
        <v>1.0979019999999999</v>
      </c>
      <c r="L7097">
        <v>134.0137</v>
      </c>
      <c r="M7097">
        <v>0.76509359999999904</v>
      </c>
      <c r="N7097">
        <v>0</v>
      </c>
      <c r="O7097">
        <v>0.64373059999999904</v>
      </c>
      <c r="P7097">
        <v>0.97774640000000002</v>
      </c>
      <c r="Q7097">
        <v>0.14853549999999999</v>
      </c>
      <c r="R7097">
        <v>0.148152799999999</v>
      </c>
      <c r="S7097">
        <v>3.0505979999999999</v>
      </c>
      <c r="T7097">
        <v>-8.4218980000000006E-3</v>
      </c>
      <c r="U7097">
        <v>0.14028929999999901</v>
      </c>
      <c r="V7097">
        <v>0.52032849999999997</v>
      </c>
      <c r="W7097">
        <v>0.14754429999999999</v>
      </c>
      <c r="X7097">
        <v>0.84112359999999897</v>
      </c>
      <c r="Y7097">
        <v>0.60797279999999998</v>
      </c>
      <c r="Z7097">
        <v>-2.490669E-3</v>
      </c>
      <c r="AA7097">
        <v>0.79395400000000005</v>
      </c>
      <c r="AB7097">
        <v>25</v>
      </c>
      <c r="AC7097">
        <v>433.78989999999999</v>
      </c>
      <c r="AD7097">
        <v>-1.197902</v>
      </c>
      <c r="AE7097">
        <v>19.864299999999901</v>
      </c>
      <c r="AF7097">
        <v>264.075821742117</v>
      </c>
      <c r="AG7097">
        <v>-1.197902</v>
      </c>
      <c r="AH7097">
        <v>344.71634458215198</v>
      </c>
      <c r="AI7097">
        <v>90.158056303178299</v>
      </c>
      <c r="AJ7097">
        <v>52.545465378679197</v>
      </c>
      <c r="AK7097">
        <v>434.24282702199798</v>
      </c>
      <c r="AL7097">
        <v>81.515358050299398</v>
      </c>
      <c r="AM7097">
        <v>58.258599801524902</v>
      </c>
      <c r="AN7097">
        <v>0.999999989425849</v>
      </c>
    </row>
    <row r="7098" spans="1:40" x14ac:dyDescent="0.25">
      <c r="A7098" t="str">
        <f>"20190312164642006"</f>
        <v>20190312164642006</v>
      </c>
      <c r="B7098" t="str">
        <f>"1552380401998075"</f>
        <v>1552380401998075</v>
      </c>
      <c r="C7098" t="s">
        <v>40</v>
      </c>
      <c r="D7098">
        <v>5.3242050000000001</v>
      </c>
      <c r="E7098">
        <v>0.54820559999999996</v>
      </c>
      <c r="F7098" t="s">
        <v>76</v>
      </c>
      <c r="G7098">
        <v>231.6223</v>
      </c>
      <c r="H7098">
        <v>-0.1</v>
      </c>
      <c r="I7098">
        <v>149.608</v>
      </c>
      <c r="J7098">
        <v>-178.93770000000001</v>
      </c>
      <c r="K7098">
        <v>1.0979110000000001</v>
      </c>
      <c r="L7098">
        <v>134.15199999999999</v>
      </c>
      <c r="M7098">
        <v>0.77460260000000003</v>
      </c>
      <c r="N7098">
        <v>0</v>
      </c>
      <c r="O7098">
        <v>0.63225580000000003</v>
      </c>
      <c r="P7098">
        <v>0.97922450000000005</v>
      </c>
      <c r="Q7098">
        <v>0.14861659999999999</v>
      </c>
      <c r="R7098">
        <v>0.13795839999999901</v>
      </c>
      <c r="S7098">
        <v>3.0521090000000002</v>
      </c>
      <c r="T7098">
        <v>-8.9011190000000007E-3</v>
      </c>
      <c r="U7098">
        <v>0.1158752</v>
      </c>
      <c r="V7098">
        <v>0.51653490000000002</v>
      </c>
      <c r="W7098">
        <v>0.14778440000000001</v>
      </c>
      <c r="X7098">
        <v>0.84341659999999996</v>
      </c>
      <c r="Y7098">
        <v>0.60248199999999996</v>
      </c>
      <c r="Z7098">
        <v>-2.5992519999999998E-3</v>
      </c>
      <c r="AA7098">
        <v>0.79812830000000001</v>
      </c>
      <c r="AB7098">
        <v>25</v>
      </c>
      <c r="AC7098">
        <v>410.56</v>
      </c>
      <c r="AD7098">
        <v>-1.1979109999999999</v>
      </c>
      <c r="AE7098">
        <v>15.4559999999999</v>
      </c>
      <c r="AF7098">
        <v>247.634719415071</v>
      </c>
      <c r="AG7098">
        <v>-1.1979109999999999</v>
      </c>
      <c r="AH7098">
        <v>327.83010437006499</v>
      </c>
      <c r="AI7098">
        <v>90.167057309149698</v>
      </c>
      <c r="AJ7098">
        <v>52.933506801649997</v>
      </c>
      <c r="AK7098">
        <v>410.84908005474801</v>
      </c>
      <c r="AL7098">
        <v>81.501449342790195</v>
      </c>
      <c r="AM7098">
        <v>58.515384447147802</v>
      </c>
      <c r="AN7098">
        <v>1.00000004647846</v>
      </c>
    </row>
    <row r="7099" spans="1:40" x14ac:dyDescent="0.25">
      <c r="A7099" t="str">
        <f>"20190312164642029"</f>
        <v>20190312164642029</v>
      </c>
      <c r="B7099" t="str">
        <f>"1552380402018571"</f>
        <v>1552380402018571</v>
      </c>
      <c r="C7099" t="s">
        <v>40</v>
      </c>
      <c r="D7099">
        <v>5.6149190000000004</v>
      </c>
      <c r="E7099">
        <v>0.54850750000000004</v>
      </c>
      <c r="F7099" t="s">
        <v>76</v>
      </c>
      <c r="G7099">
        <v>120.1217</v>
      </c>
      <c r="H7099">
        <v>-0.1</v>
      </c>
      <c r="I7099">
        <v>141.82499999999999</v>
      </c>
      <c r="J7099">
        <v>-178.72919999999999</v>
      </c>
      <c r="K7099">
        <v>1.0979239999999999</v>
      </c>
      <c r="L7099">
        <v>134.29939999999999</v>
      </c>
      <c r="M7099">
        <v>0.78477529999999995</v>
      </c>
      <c r="N7099">
        <v>0</v>
      </c>
      <c r="O7099">
        <v>0.61958369999999996</v>
      </c>
      <c r="P7099">
        <v>0.9807612</v>
      </c>
      <c r="Q7099">
        <v>0.1484037</v>
      </c>
      <c r="R7099">
        <v>0.12682169999999901</v>
      </c>
      <c r="S7099">
        <v>3.054459</v>
      </c>
      <c r="T7099">
        <v>-1.223493E-2</v>
      </c>
      <c r="U7099">
        <v>7.8369140000000004E-2</v>
      </c>
      <c r="V7099">
        <v>0.51240659999999905</v>
      </c>
      <c r="W7099">
        <v>0.14775369999999999</v>
      </c>
      <c r="X7099">
        <v>0.84593639999999903</v>
      </c>
      <c r="Y7099">
        <v>0.59931519999999905</v>
      </c>
      <c r="Z7099">
        <v>-3.5273940000000001E-3</v>
      </c>
      <c r="AA7099">
        <v>0.80050540000000003</v>
      </c>
      <c r="AB7099">
        <v>25</v>
      </c>
      <c r="AC7099">
        <v>298.85090000000002</v>
      </c>
      <c r="AD7099">
        <v>-1.197924</v>
      </c>
      <c r="AE7099">
        <v>7.5255999999999901</v>
      </c>
      <c r="AF7099">
        <v>179.27621518385999</v>
      </c>
      <c r="AG7099">
        <v>-1.197924</v>
      </c>
      <c r="AH7099">
        <v>239.21886167446499</v>
      </c>
      <c r="AI7099">
        <v>90.229596003912704</v>
      </c>
      <c r="AJ7099">
        <v>53.151251337344704</v>
      </c>
      <c r="AK7099">
        <v>298.94323898256403</v>
      </c>
      <c r="AL7099">
        <v>81.503227759910899</v>
      </c>
      <c r="AM7099">
        <v>58.795574667049401</v>
      </c>
      <c r="AN7099">
        <v>1.0000000362160999</v>
      </c>
    </row>
    <row r="7100" spans="1:40" x14ac:dyDescent="0.25">
      <c r="A7100" t="str">
        <f>"20190312164642041"</f>
        <v>20190312164642041</v>
      </c>
      <c r="B7100" t="str">
        <f>"1552380402028332"</f>
        <v>1552380402028332</v>
      </c>
      <c r="C7100" t="s">
        <v>40</v>
      </c>
      <c r="D7100">
        <v>5.2999720000000003</v>
      </c>
      <c r="E7100">
        <v>0.54858240000000003</v>
      </c>
      <c r="F7100" t="s">
        <v>76</v>
      </c>
      <c r="G7100">
        <v>260.93169999999998</v>
      </c>
      <c r="H7100">
        <v>-0.1</v>
      </c>
      <c r="I7100">
        <v>140.0992</v>
      </c>
      <c r="J7100">
        <v>-178.6183</v>
      </c>
      <c r="K7100">
        <v>1.0979380000000001</v>
      </c>
      <c r="L7100">
        <v>134.37530000000001</v>
      </c>
      <c r="M7100">
        <v>0.79004509999999994</v>
      </c>
      <c r="N7100">
        <v>0</v>
      </c>
      <c r="O7100">
        <v>0.61284969999999905</v>
      </c>
      <c r="P7100">
        <v>0.98153639999999998</v>
      </c>
      <c r="Q7100">
        <v>0.1482127</v>
      </c>
      <c r="R7100">
        <v>0.1209112</v>
      </c>
      <c r="S7100">
        <v>3.0549010000000001</v>
      </c>
      <c r="T7100">
        <v>-8.3235500000000007E-3</v>
      </c>
      <c r="U7100">
        <v>4.0298460000000001E-2</v>
      </c>
      <c r="V7100">
        <v>0.51026990000000005</v>
      </c>
      <c r="W7100">
        <v>0.1476613</v>
      </c>
      <c r="X7100">
        <v>0.84724310000000003</v>
      </c>
      <c r="Y7100">
        <v>0.6024448</v>
      </c>
      <c r="Z7100">
        <v>-2.391078E-3</v>
      </c>
      <c r="AA7100">
        <v>0.79815700000000001</v>
      </c>
      <c r="AB7100">
        <v>25</v>
      </c>
      <c r="AC7100">
        <v>439.55</v>
      </c>
      <c r="AD7100">
        <v>-1.1979379999999999</v>
      </c>
      <c r="AE7100">
        <v>5.72389999999998</v>
      </c>
      <c r="AF7100">
        <v>264.88629571090797</v>
      </c>
      <c r="AG7100">
        <v>-1.1979379999999999</v>
      </c>
      <c r="AH7100">
        <v>350.81240827090301</v>
      </c>
      <c r="AI7100">
        <v>90.15613994409</v>
      </c>
      <c r="AJ7100">
        <v>52.944810485715898</v>
      </c>
      <c r="AK7100">
        <v>439.58563501066499</v>
      </c>
      <c r="AL7100">
        <v>81.508580726215996</v>
      </c>
      <c r="AM7100">
        <v>58.940666228762801</v>
      </c>
      <c r="AN7100">
        <v>1.0000000504306501</v>
      </c>
    </row>
    <row r="7101" spans="1:40" x14ac:dyDescent="0.25">
      <c r="A7101" t="str">
        <f>"20190312164642052"</f>
        <v>20190312164642052</v>
      </c>
      <c r="B7101" t="str">
        <f>"1552380402047852"</f>
        <v>1552380402047852</v>
      </c>
      <c r="C7101" t="s">
        <v>40</v>
      </c>
      <c r="D7101">
        <v>5.309183</v>
      </c>
      <c r="E7101">
        <v>0.54838580000000003</v>
      </c>
      <c r="F7101" t="s">
        <v>76</v>
      </c>
      <c r="G7101">
        <v>539.82449999999994</v>
      </c>
      <c r="H7101">
        <v>-0.1</v>
      </c>
      <c r="I7101">
        <v>139.22739999999999</v>
      </c>
      <c r="J7101">
        <v>-178.5127</v>
      </c>
      <c r="K7101">
        <v>1.0979509999999999</v>
      </c>
      <c r="L7101">
        <v>134.4468</v>
      </c>
      <c r="M7101">
        <v>0.79499560000000002</v>
      </c>
      <c r="N7101">
        <v>0</v>
      </c>
      <c r="O7101">
        <v>0.60641389999999995</v>
      </c>
      <c r="P7101">
        <v>0.98222540000000003</v>
      </c>
      <c r="Q7101">
        <v>0.14786350000000001</v>
      </c>
      <c r="R7101">
        <v>0.1156264</v>
      </c>
      <c r="S7101">
        <v>3.0546419999999999</v>
      </c>
      <c r="T7101">
        <v>-5.0933360000000004E-3</v>
      </c>
      <c r="U7101">
        <v>2.062988E-2</v>
      </c>
      <c r="V7101">
        <v>0.50796149999999995</v>
      </c>
      <c r="W7101">
        <v>0.14741699999999999</v>
      </c>
      <c r="X7101">
        <v>0.84867159999999997</v>
      </c>
      <c r="Y7101">
        <v>0.6011029</v>
      </c>
      <c r="Z7101">
        <v>-1.4541599999999999E-3</v>
      </c>
      <c r="AA7101">
        <v>0.7991703</v>
      </c>
      <c r="AB7101">
        <v>25</v>
      </c>
      <c r="AC7101">
        <v>718.33719999999903</v>
      </c>
      <c r="AD7101">
        <v>-1.197951</v>
      </c>
      <c r="AE7101">
        <v>4.78059999999999</v>
      </c>
      <c r="AF7101">
        <v>431.86063476409601</v>
      </c>
      <c r="AG7101">
        <v>-1.197951</v>
      </c>
      <c r="AH7101">
        <v>574.04242789198702</v>
      </c>
      <c r="AI7101">
        <v>90.095548641610506</v>
      </c>
      <c r="AJ7101">
        <v>53.045313228795301</v>
      </c>
      <c r="AK7101">
        <v>718.35210862471502</v>
      </c>
      <c r="AL7101">
        <v>81.522733139220904</v>
      </c>
      <c r="AM7101">
        <v>59.097911059472899</v>
      </c>
      <c r="AN7101">
        <v>1.0000000710089001</v>
      </c>
    </row>
    <row r="7102" spans="1:40" x14ac:dyDescent="0.25">
      <c r="A7102" t="str">
        <f>"20190312164642062"</f>
        <v>20190312164642062</v>
      </c>
      <c r="B7102" t="str">
        <f>"1552380402058587"</f>
        <v>1552380402058587</v>
      </c>
      <c r="C7102" t="s">
        <v>40</v>
      </c>
      <c r="D7102">
        <v>5.4328079999999996</v>
      </c>
      <c r="E7102">
        <v>0.54813540000000005</v>
      </c>
      <c r="F7102" t="s">
        <v>76</v>
      </c>
      <c r="G7102">
        <v>614.37429999999995</v>
      </c>
      <c r="H7102">
        <v>-0.1</v>
      </c>
      <c r="I7102">
        <v>135.8253</v>
      </c>
      <c r="J7102">
        <v>-178.41120000000001</v>
      </c>
      <c r="K7102">
        <v>1.0979620000000001</v>
      </c>
      <c r="L7102">
        <v>134.51410000000001</v>
      </c>
      <c r="M7102">
        <v>0.79967049999999995</v>
      </c>
      <c r="N7102">
        <v>0</v>
      </c>
      <c r="O7102">
        <v>0.60023559999999998</v>
      </c>
      <c r="P7102">
        <v>0.98282210000000003</v>
      </c>
      <c r="Q7102">
        <v>0.14766279999999901</v>
      </c>
      <c r="R7102">
        <v>0.1107098</v>
      </c>
      <c r="S7102">
        <v>3.0543369999999999</v>
      </c>
      <c r="T7102">
        <v>-4.6147109999999996E-3</v>
      </c>
      <c r="U7102">
        <v>5.3100589999999998E-3</v>
      </c>
      <c r="V7102">
        <v>0.50563290000000005</v>
      </c>
      <c r="W7102">
        <v>0.1473217</v>
      </c>
      <c r="X7102">
        <v>0.85007749999999904</v>
      </c>
      <c r="Y7102">
        <v>0.59891640000000002</v>
      </c>
      <c r="Z7102">
        <v>-1.3088609999999999E-3</v>
      </c>
      <c r="AA7102">
        <v>0.80081049999999998</v>
      </c>
      <c r="AB7102">
        <v>25</v>
      </c>
      <c r="AC7102">
        <v>792.78549999999996</v>
      </c>
      <c r="AD7102">
        <v>-1.197962</v>
      </c>
      <c r="AE7102">
        <v>1.3111999999999799</v>
      </c>
      <c r="AF7102">
        <v>474.866480412388</v>
      </c>
      <c r="AG7102">
        <v>-1.197962</v>
      </c>
      <c r="AH7102">
        <v>634.83031104411202</v>
      </c>
      <c r="AI7102">
        <v>90.086578497238804</v>
      </c>
      <c r="AJ7102">
        <v>53.202735441089203</v>
      </c>
      <c r="AK7102">
        <v>792.78567920502098</v>
      </c>
      <c r="AL7102">
        <v>81.528253390549295</v>
      </c>
      <c r="AM7102">
        <v>59.255479525860601</v>
      </c>
      <c r="AN7102">
        <v>1.0000000344297699</v>
      </c>
    </row>
    <row r="7103" spans="1:40" x14ac:dyDescent="0.25">
      <c r="A7103" t="str">
        <f>"20190312164642074"</f>
        <v>20190312164642074</v>
      </c>
      <c r="B7103" t="str">
        <f>"1552380402068348"</f>
        <v>1552380402068348</v>
      </c>
      <c r="C7103" t="s">
        <v>40</v>
      </c>
      <c r="D7103">
        <v>5.5046339999999896</v>
      </c>
      <c r="E7103">
        <v>0.54798199999999997</v>
      </c>
      <c r="F7103" t="s">
        <v>58</v>
      </c>
      <c r="G7103">
        <v>0</v>
      </c>
      <c r="H7103">
        <v>0</v>
      </c>
      <c r="I7103">
        <v>0</v>
      </c>
      <c r="J7103">
        <v>-178.30119999999999</v>
      </c>
      <c r="K7103">
        <v>1.097979</v>
      </c>
      <c r="L7103">
        <v>134.58590000000001</v>
      </c>
      <c r="M7103">
        <v>0.80465679999999995</v>
      </c>
      <c r="N7103">
        <v>0</v>
      </c>
      <c r="O7103">
        <v>0.59353420000000001</v>
      </c>
      <c r="P7103">
        <v>0.98344450000000005</v>
      </c>
      <c r="Q7103">
        <v>0.147516799999999</v>
      </c>
      <c r="R7103">
        <v>0.1052423</v>
      </c>
      <c r="S7103">
        <v>3.0536349999999999</v>
      </c>
      <c r="T7103">
        <v>-1.508236E-3</v>
      </c>
      <c r="U7103">
        <v>-8.5754390000000007E-3</v>
      </c>
      <c r="V7103">
        <v>0.50325520000000001</v>
      </c>
      <c r="W7103">
        <v>0.1472849</v>
      </c>
      <c r="X7103">
        <v>0.85149359999999996</v>
      </c>
      <c r="Y7103">
        <v>0.59586439999999996</v>
      </c>
      <c r="Z7103">
        <v>-4.2454480000000001E-4</v>
      </c>
      <c r="AA7103">
        <v>0.80308500000000005</v>
      </c>
      <c r="AB7103">
        <v>25</v>
      </c>
      <c r="AC7103">
        <v>3.0536349999999999</v>
      </c>
      <c r="AD7103">
        <v>-1.508236E-3</v>
      </c>
      <c r="AE7103">
        <v>-8.5754390000000007E-3</v>
      </c>
      <c r="AF7103">
        <v>1.81955918274909</v>
      </c>
      <c r="AG7103">
        <v>-1.508236E-3</v>
      </c>
      <c r="AH7103">
        <v>2.4523376770547798</v>
      </c>
      <c r="AI7103">
        <v>90.028299135493299</v>
      </c>
      <c r="AJ7103">
        <v>53.425720714188301</v>
      </c>
      <c r="AK7103">
        <v>3.0536466685922998</v>
      </c>
      <c r="AL7103">
        <v>81.530384788565499</v>
      </c>
      <c r="AM7103">
        <v>59.415791433189398</v>
      </c>
      <c r="AN7103">
        <v>0.99999999446800403</v>
      </c>
    </row>
    <row r="7104" spans="1:40" x14ac:dyDescent="0.25">
      <c r="A7104" t="str">
        <f>"20190312164642087"</f>
        <v>20190312164642087</v>
      </c>
      <c r="B7104" t="str">
        <f>"1552380402078108"</f>
        <v>1552380402078108</v>
      </c>
      <c r="C7104" t="s">
        <v>40</v>
      </c>
      <c r="D7104">
        <v>5.6603969999999997</v>
      </c>
      <c r="E7104">
        <v>0.54771639999999999</v>
      </c>
      <c r="F7104" t="s">
        <v>58</v>
      </c>
      <c r="G7104">
        <v>0</v>
      </c>
      <c r="H7104">
        <v>0</v>
      </c>
      <c r="I7104">
        <v>0</v>
      </c>
      <c r="J7104">
        <v>-178.16380000000001</v>
      </c>
      <c r="K7104">
        <v>1.0980000000000001</v>
      </c>
      <c r="L7104">
        <v>134.67400000000001</v>
      </c>
      <c r="M7104">
        <v>0.81077809999999995</v>
      </c>
      <c r="N7104">
        <v>0</v>
      </c>
      <c r="O7104">
        <v>0.58514480000000002</v>
      </c>
      <c r="P7104">
        <v>0.98419420000000002</v>
      </c>
      <c r="Q7104">
        <v>0.14760580000000001</v>
      </c>
      <c r="R7104">
        <v>9.7849930000000002E-2</v>
      </c>
      <c r="S7104">
        <v>3.0532840000000001</v>
      </c>
      <c r="T7104">
        <v>-1.0836120000000001E-3</v>
      </c>
      <c r="U7104">
        <v>-2.4383539999999999E-2</v>
      </c>
      <c r="V7104">
        <v>0.50078809999999996</v>
      </c>
      <c r="W7104">
        <v>0.1474934</v>
      </c>
      <c r="X7104">
        <v>0.85291090000000003</v>
      </c>
      <c r="Y7104">
        <v>0.591673</v>
      </c>
      <c r="Z7104">
        <v>-3.0195610000000001E-4</v>
      </c>
      <c r="AA7104">
        <v>0.80617799999999995</v>
      </c>
      <c r="AB7104">
        <v>25</v>
      </c>
      <c r="AC7104">
        <v>3.0532840000000001</v>
      </c>
      <c r="AD7104">
        <v>-1.0836120000000001E-3</v>
      </c>
      <c r="AE7104">
        <v>-2.4383539999999999E-2</v>
      </c>
      <c r="AF7104">
        <v>1.80660348083974</v>
      </c>
      <c r="AG7104">
        <v>-1.0836120000000001E-3</v>
      </c>
      <c r="AH7104">
        <v>2.4615684545157701</v>
      </c>
      <c r="AI7104">
        <v>90.020333653770095</v>
      </c>
      <c r="AJ7104">
        <v>53.724171291272299</v>
      </c>
      <c r="AK7104">
        <v>3.0533811696976798</v>
      </c>
      <c r="AL7104">
        <v>81.518306873349701</v>
      </c>
      <c r="AM7104">
        <v>59.5806012887045</v>
      </c>
      <c r="AN7104">
        <v>1.00000001374199</v>
      </c>
    </row>
    <row r="7105" spans="1:40" x14ac:dyDescent="0.25">
      <c r="A7105" t="str">
        <f>"20190312164642098"</f>
        <v>20190312164642098</v>
      </c>
      <c r="B7105" t="str">
        <f>"1552380402087868"</f>
        <v>1552380402087868</v>
      </c>
      <c r="C7105" t="s">
        <v>40</v>
      </c>
      <c r="D7105">
        <v>5.573626</v>
      </c>
      <c r="E7105">
        <v>0.54757739999999999</v>
      </c>
      <c r="F7105" t="s">
        <v>58</v>
      </c>
      <c r="G7105">
        <v>0</v>
      </c>
      <c r="H7105">
        <v>0</v>
      </c>
      <c r="I7105">
        <v>0</v>
      </c>
      <c r="J7105">
        <v>-178.06819999999999</v>
      </c>
      <c r="K7105">
        <v>1.0980179999999999</v>
      </c>
      <c r="L7105">
        <v>134.7336</v>
      </c>
      <c r="M7105">
        <v>0.814940199999999</v>
      </c>
      <c r="N7105">
        <v>0</v>
      </c>
      <c r="O7105">
        <v>0.57933409999999996</v>
      </c>
      <c r="P7105">
        <v>0.98457280000000003</v>
      </c>
      <c r="Q7105">
        <v>0.1477907</v>
      </c>
      <c r="R7105">
        <v>9.3672720000000001E-2</v>
      </c>
      <c r="S7105">
        <v>3.0525509999999998</v>
      </c>
      <c r="T7105">
        <v>9.350777E-4</v>
      </c>
      <c r="U7105">
        <v>-4.5425420000000001E-2</v>
      </c>
      <c r="V7105">
        <v>0.49828509999999998</v>
      </c>
      <c r="W7105">
        <v>0.14779100000000001</v>
      </c>
      <c r="X7105">
        <v>0.85432419999999998</v>
      </c>
      <c r="Y7105">
        <v>0.59146809999999905</v>
      </c>
      <c r="Z7105">
        <v>2.5921039999999998E-4</v>
      </c>
      <c r="AA7105">
        <v>0.80632839999999995</v>
      </c>
      <c r="AB7105">
        <v>25</v>
      </c>
      <c r="AC7105">
        <v>3.0525509999999998</v>
      </c>
      <c r="AD7105">
        <v>9.350777E-4</v>
      </c>
      <c r="AE7105">
        <v>-4.5425420000000001E-2</v>
      </c>
      <c r="AF7105">
        <v>1.8056864502474099</v>
      </c>
      <c r="AG7105">
        <v>9.350777E-4</v>
      </c>
      <c r="AH7105">
        <v>2.46163071378216</v>
      </c>
      <c r="AI7105">
        <v>89.982450718134103</v>
      </c>
      <c r="AJ7105">
        <v>53.738737430398601</v>
      </c>
      <c r="AK7105">
        <v>3.05288882896398</v>
      </c>
      <c r="AL7105">
        <v>81.501066847895302</v>
      </c>
      <c r="AM7105">
        <v>59.747099858522198</v>
      </c>
      <c r="AN7105">
        <v>1.0000000296343201</v>
      </c>
    </row>
    <row r="7106" spans="1:40" x14ac:dyDescent="0.25">
      <c r="A7106" t="str">
        <f>"20190312164642110"</f>
        <v>20190312164642110</v>
      </c>
      <c r="B7106" t="str">
        <f>"1552380402098604"</f>
        <v>1552380402098604</v>
      </c>
      <c r="C7106" t="s">
        <v>40</v>
      </c>
      <c r="D7106">
        <v>5.7117849999999999</v>
      </c>
      <c r="E7106">
        <v>0.54722819999999905</v>
      </c>
      <c r="F7106" t="s">
        <v>58</v>
      </c>
      <c r="G7106">
        <v>0</v>
      </c>
      <c r="H7106">
        <v>0</v>
      </c>
      <c r="I7106">
        <v>0</v>
      </c>
      <c r="J7106">
        <v>-177.95160000000001</v>
      </c>
      <c r="K7106">
        <v>1.0980460000000001</v>
      </c>
      <c r="L7106">
        <v>134.8057</v>
      </c>
      <c r="M7106">
        <v>0.81995030000000002</v>
      </c>
      <c r="N7106">
        <v>0</v>
      </c>
      <c r="O7106">
        <v>0.57222099999999998</v>
      </c>
      <c r="P7106">
        <v>0.98510609999999998</v>
      </c>
      <c r="Q7106">
        <v>0.14775099999999999</v>
      </c>
      <c r="R7106">
        <v>8.7953690000000001E-2</v>
      </c>
      <c r="S7106">
        <v>3.052216</v>
      </c>
      <c r="T7106">
        <v>1.5853639999999999E-3</v>
      </c>
      <c r="U7106">
        <v>-5.7189940000000002E-2</v>
      </c>
      <c r="V7106">
        <v>0.49579869999999998</v>
      </c>
      <c r="W7106">
        <v>0.14787020000000001</v>
      </c>
      <c r="X7106">
        <v>0.85575590000000001</v>
      </c>
      <c r="Y7106">
        <v>0.58755310000000005</v>
      </c>
      <c r="Z7106">
        <v>4.3551039999999998E-4</v>
      </c>
      <c r="AA7106">
        <v>0.80918540000000005</v>
      </c>
      <c r="AB7106">
        <v>25</v>
      </c>
      <c r="AC7106">
        <v>3.052216</v>
      </c>
      <c r="AD7106">
        <v>1.5853639999999999E-3</v>
      </c>
      <c r="AE7106">
        <v>-5.7189940000000002E-2</v>
      </c>
      <c r="AF7106">
        <v>1.7936539231237201</v>
      </c>
      <c r="AG7106">
        <v>1.5853639999999999E-3</v>
      </c>
      <c r="AH7106">
        <v>2.4702416434834999</v>
      </c>
      <c r="AI7106">
        <v>89.970244982169206</v>
      </c>
      <c r="AJ7106">
        <v>54.016424412612601</v>
      </c>
      <c r="AK7106">
        <v>3.0527513306059202</v>
      </c>
      <c r="AL7106">
        <v>81.496478815894804</v>
      </c>
      <c r="AM7106">
        <v>59.913314231650297</v>
      </c>
      <c r="AN7106">
        <v>1.00000005367726</v>
      </c>
    </row>
    <row r="7107" spans="1:40" x14ac:dyDescent="0.25">
      <c r="A7107" t="str">
        <f>"20190312164642121"</f>
        <v>20190312164642121</v>
      </c>
      <c r="B7107" t="str">
        <f>"1552380402108363"</f>
        <v>1552380402108363</v>
      </c>
      <c r="C7107" t="s">
        <v>40</v>
      </c>
      <c r="D7107">
        <v>5.7255159999999998</v>
      </c>
      <c r="E7107">
        <v>0.54691210000000001</v>
      </c>
      <c r="F7107" t="s">
        <v>58</v>
      </c>
      <c r="G7107">
        <v>0</v>
      </c>
      <c r="H7107">
        <v>0</v>
      </c>
      <c r="I7107">
        <v>0</v>
      </c>
      <c r="J7107">
        <v>-177.84299999999999</v>
      </c>
      <c r="K7107">
        <v>1.098074</v>
      </c>
      <c r="L7107">
        <v>134.87100000000001</v>
      </c>
      <c r="M7107">
        <v>0.82451260000000004</v>
      </c>
      <c r="N7107">
        <v>0</v>
      </c>
      <c r="O7107">
        <v>0.5656274</v>
      </c>
      <c r="P7107">
        <v>0.98554770000000003</v>
      </c>
      <c r="Q7107">
        <v>0.14780109999999999</v>
      </c>
      <c r="R7107">
        <v>8.2769300000000004E-2</v>
      </c>
      <c r="S7107">
        <v>3.0515590000000001</v>
      </c>
      <c r="T7107">
        <v>1.8572809999999999E-3</v>
      </c>
      <c r="U7107">
        <v>-7.2219850000000002E-2</v>
      </c>
      <c r="V7107">
        <v>0.49341930000000001</v>
      </c>
      <c r="W7107">
        <v>0.14803669999999999</v>
      </c>
      <c r="X7107">
        <v>0.85710129999999995</v>
      </c>
      <c r="Y7107">
        <v>0.58504829999999997</v>
      </c>
      <c r="Z7107">
        <v>5.0629620000000001E-4</v>
      </c>
      <c r="AA7107">
        <v>0.81099829999999995</v>
      </c>
      <c r="AB7107">
        <v>25</v>
      </c>
      <c r="AC7107">
        <v>3.0515590000000001</v>
      </c>
      <c r="AD7107">
        <v>1.8572809999999999E-3</v>
      </c>
      <c r="AE7107">
        <v>-7.2219850000000002E-2</v>
      </c>
      <c r="AF7107">
        <v>1.78580933118737</v>
      </c>
      <c r="AG7107">
        <v>1.8572809999999999E-3</v>
      </c>
      <c r="AH7107">
        <v>2.47550119589499</v>
      </c>
      <c r="AI7107">
        <v>89.965137623155698</v>
      </c>
      <c r="AJ7107">
        <v>54.193582084728398</v>
      </c>
      <c r="AK7107">
        <v>3.05241291239015</v>
      </c>
      <c r="AL7107">
        <v>81.486832914845195</v>
      </c>
      <c r="AM7107">
        <v>60.071664588630497</v>
      </c>
      <c r="AN7107">
        <v>1.0000000543105301</v>
      </c>
    </row>
    <row r="7108" spans="1:40" x14ac:dyDescent="0.25">
      <c r="A7108" t="str">
        <f>"20190312164642133"</f>
        <v>20190312164642133</v>
      </c>
      <c r="B7108" t="str">
        <f>"1552380402127884"</f>
        <v>1552380402127884</v>
      </c>
      <c r="C7108" t="s">
        <v>40</v>
      </c>
      <c r="D7108">
        <v>5.5170440000000003</v>
      </c>
      <c r="E7108">
        <v>0.54614910000000005</v>
      </c>
      <c r="F7108" t="s">
        <v>58</v>
      </c>
      <c r="G7108">
        <v>0</v>
      </c>
      <c r="H7108">
        <v>0</v>
      </c>
      <c r="I7108">
        <v>0</v>
      </c>
      <c r="J7108">
        <v>-177.7216</v>
      </c>
      <c r="K7108">
        <v>1.0981050000000001</v>
      </c>
      <c r="L7108">
        <v>134.94319999999999</v>
      </c>
      <c r="M7108">
        <v>0.82953060000000001</v>
      </c>
      <c r="N7108">
        <v>0</v>
      </c>
      <c r="O7108">
        <v>0.55824229999999997</v>
      </c>
      <c r="P7108">
        <v>0.98606680000000002</v>
      </c>
      <c r="Q7108">
        <v>0.1475059</v>
      </c>
      <c r="R7108">
        <v>7.6906100000000005E-2</v>
      </c>
      <c r="S7108">
        <v>3.0509490000000001</v>
      </c>
      <c r="T7108">
        <v>1.74915799999999E-3</v>
      </c>
      <c r="U7108">
        <v>-8.5861209999999993E-2</v>
      </c>
      <c r="V7108">
        <v>0.49086039999999997</v>
      </c>
      <c r="W7108">
        <v>0.14786969999999999</v>
      </c>
      <c r="X7108">
        <v>0.85859810000000003</v>
      </c>
      <c r="Y7108">
        <v>0.5814281</v>
      </c>
      <c r="Z7108">
        <v>4.7238899999999998E-4</v>
      </c>
      <c r="AA7108">
        <v>0.81359769999999998</v>
      </c>
      <c r="AB7108">
        <v>25</v>
      </c>
      <c r="AC7108">
        <v>3.0509490000000001</v>
      </c>
      <c r="AD7108">
        <v>1.74915799999999E-3</v>
      </c>
      <c r="AE7108">
        <v>-8.5861209999999993E-2</v>
      </c>
      <c r="AF7108">
        <v>1.77460968063117</v>
      </c>
      <c r="AG7108">
        <v>1.74915799999999E-3</v>
      </c>
      <c r="AH7108">
        <v>2.48322699532067</v>
      </c>
      <c r="AI7108">
        <v>89.967164403658799</v>
      </c>
      <c r="AJ7108">
        <v>54.4489390687365</v>
      </c>
      <c r="AK7108">
        <v>3.0521564324970201</v>
      </c>
      <c r="AL7108">
        <v>81.496507655582505</v>
      </c>
      <c r="AM7108">
        <v>60.243403203651198</v>
      </c>
      <c r="AN7108">
        <v>1.00000003889492</v>
      </c>
    </row>
    <row r="7109" spans="1:40" x14ac:dyDescent="0.25">
      <c r="A7109" t="str">
        <f>"20190312164642145"</f>
        <v>20190312164642145</v>
      </c>
      <c r="B7109" t="str">
        <f>"1552380402138620"</f>
        <v>1552380402138620</v>
      </c>
      <c r="C7109" t="s">
        <v>40</v>
      </c>
      <c r="D7109">
        <v>5.4665489999999997</v>
      </c>
      <c r="E7109">
        <v>0.54573909999999903</v>
      </c>
      <c r="F7109" t="s">
        <v>58</v>
      </c>
      <c r="G7109">
        <v>0</v>
      </c>
      <c r="H7109">
        <v>0</v>
      </c>
      <c r="I7109">
        <v>0</v>
      </c>
      <c r="J7109">
        <v>-177.5976</v>
      </c>
      <c r="K7109">
        <v>1.098144</v>
      </c>
      <c r="L7109">
        <v>135.0153</v>
      </c>
      <c r="M7109">
        <v>0.83455089999999998</v>
      </c>
      <c r="N7109">
        <v>0</v>
      </c>
      <c r="O7109">
        <v>0.55070909999999995</v>
      </c>
      <c r="P7109">
        <v>0.98654580000000003</v>
      </c>
      <c r="Q7109">
        <v>0.14745559999999999</v>
      </c>
      <c r="R7109">
        <v>7.0599910000000002E-2</v>
      </c>
      <c r="S7109">
        <v>3.0498959999999999</v>
      </c>
      <c r="T7109">
        <v>9.965897E-4</v>
      </c>
      <c r="U7109">
        <v>-9.8068240000000001E-2</v>
      </c>
      <c r="V7109">
        <v>0.48855939999999998</v>
      </c>
      <c r="W7109">
        <v>0.14794089999999999</v>
      </c>
      <c r="X7109">
        <v>0.85989729999999998</v>
      </c>
      <c r="Y7109">
        <v>0.57731599999999905</v>
      </c>
      <c r="Z7109">
        <v>2.6651330000000001E-4</v>
      </c>
      <c r="AA7109">
        <v>0.81652080000000005</v>
      </c>
      <c r="AB7109">
        <v>25</v>
      </c>
      <c r="AC7109">
        <v>3.0498959999999999</v>
      </c>
      <c r="AD7109">
        <v>9.965897E-4</v>
      </c>
      <c r="AE7109">
        <v>-9.8068240000000001E-2</v>
      </c>
      <c r="AF7109">
        <v>1.7616634162276199</v>
      </c>
      <c r="AG7109">
        <v>9.965897E-4</v>
      </c>
      <c r="AH7109">
        <v>2.49159045833302</v>
      </c>
      <c r="AI7109">
        <v>89.981287594053597</v>
      </c>
      <c r="AJ7109">
        <v>54.7380186910841</v>
      </c>
      <c r="AK7109">
        <v>3.05147210331701</v>
      </c>
      <c r="AL7109">
        <v>81.492383197905795</v>
      </c>
      <c r="AM7109">
        <v>60.3964867168174</v>
      </c>
      <c r="AN7109">
        <v>1.0000000818842201</v>
      </c>
    </row>
    <row r="7110" spans="1:40" x14ac:dyDescent="0.25">
      <c r="A7110" t="str">
        <f>"20190312164642157"</f>
        <v>20190312164642157</v>
      </c>
      <c r="B7110" t="str">
        <f>"1552380402148379"</f>
        <v>1552380402148379</v>
      </c>
      <c r="C7110" t="s">
        <v>40</v>
      </c>
      <c r="D7110">
        <v>5.5259589999999896</v>
      </c>
      <c r="E7110">
        <v>0.54540119999999903</v>
      </c>
      <c r="F7110" t="s">
        <v>58</v>
      </c>
      <c r="G7110">
        <v>0</v>
      </c>
      <c r="H7110">
        <v>0</v>
      </c>
      <c r="I7110">
        <v>0</v>
      </c>
      <c r="J7110">
        <v>-177.4838</v>
      </c>
      <c r="K7110">
        <v>1.098182</v>
      </c>
      <c r="L7110">
        <v>135.07990000000001</v>
      </c>
      <c r="M7110">
        <v>0.83905239999999903</v>
      </c>
      <c r="N7110">
        <v>0</v>
      </c>
      <c r="O7110">
        <v>0.54382600000000003</v>
      </c>
      <c r="P7110">
        <v>0.98693969999999998</v>
      </c>
      <c r="Q7110">
        <v>0.1473247</v>
      </c>
      <c r="R7110">
        <v>6.5157560000000003E-2</v>
      </c>
      <c r="S7110">
        <v>3.04895</v>
      </c>
      <c r="T7110">
        <v>1.063228E-3</v>
      </c>
      <c r="U7110">
        <v>-0.11442570000000001</v>
      </c>
      <c r="V7110">
        <v>0.48621540000000002</v>
      </c>
      <c r="W7110">
        <v>0.14793390000000001</v>
      </c>
      <c r="X7110">
        <v>0.86122600000000005</v>
      </c>
      <c r="Y7110">
        <v>0.57498070000000001</v>
      </c>
      <c r="Z7110">
        <v>2.82009E-4</v>
      </c>
      <c r="AA7110">
        <v>0.81816690000000003</v>
      </c>
      <c r="AB7110">
        <v>25</v>
      </c>
      <c r="AC7110">
        <v>3.04895</v>
      </c>
      <c r="AD7110">
        <v>1.063228E-3</v>
      </c>
      <c r="AE7110">
        <v>-0.11442570000000001</v>
      </c>
      <c r="AF7110">
        <v>1.7543215767914799</v>
      </c>
      <c r="AG7110">
        <v>1.063228E-3</v>
      </c>
      <c r="AH7110">
        <v>2.4963058481718798</v>
      </c>
      <c r="AI7110">
        <v>89.9800339046446</v>
      </c>
      <c r="AJ7110">
        <v>54.901713957093499</v>
      </c>
      <c r="AK7110">
        <v>3.05109623133507</v>
      </c>
      <c r="AL7110">
        <v>81.492788358881299</v>
      </c>
      <c r="AM7110">
        <v>60.5525819268342</v>
      </c>
      <c r="AN7110">
        <v>1.00000003852118</v>
      </c>
    </row>
    <row r="7111" spans="1:40" x14ac:dyDescent="0.25">
      <c r="A7111" t="str">
        <f>"20190312164642169"</f>
        <v>20190312164642169</v>
      </c>
      <c r="B7111" t="str">
        <f>"1552380402158140"</f>
        <v>1552380402158140</v>
      </c>
      <c r="C7111" t="s">
        <v>40</v>
      </c>
      <c r="D7111">
        <v>6.0037729999999998</v>
      </c>
      <c r="E7111">
        <v>0.54504830000000004</v>
      </c>
      <c r="F7111" t="s">
        <v>58</v>
      </c>
      <c r="G7111">
        <v>0</v>
      </c>
      <c r="H7111">
        <v>0</v>
      </c>
      <c r="I7111">
        <v>0</v>
      </c>
      <c r="J7111">
        <v>-177.36170000000001</v>
      </c>
      <c r="K7111">
        <v>1.098225</v>
      </c>
      <c r="L7111">
        <v>135.14850000000001</v>
      </c>
      <c r="M7111">
        <v>0.84380440000000001</v>
      </c>
      <c r="N7111">
        <v>0</v>
      </c>
      <c r="O7111">
        <v>0.53642319999999999</v>
      </c>
      <c r="P7111">
        <v>0.98735390000000001</v>
      </c>
      <c r="Q7111">
        <v>0.14700539999999901</v>
      </c>
      <c r="R7111">
        <v>5.9341690000000002E-2</v>
      </c>
      <c r="S7111">
        <v>3.0482330000000002</v>
      </c>
      <c r="T7111">
        <v>-2.3818019999999999E-4</v>
      </c>
      <c r="U7111">
        <v>-0.12840270000000001</v>
      </c>
      <c r="V7111">
        <v>0.48370619999999998</v>
      </c>
      <c r="W7111">
        <v>0.14774949999999901</v>
      </c>
      <c r="X7111">
        <v>0.86266929999999997</v>
      </c>
      <c r="Y7111">
        <v>0.57153039999999999</v>
      </c>
      <c r="Z7111" s="1">
        <v>-6.2564740000000004E-5</v>
      </c>
      <c r="AA7111">
        <v>0.82058089999999995</v>
      </c>
      <c r="AB7111">
        <v>25</v>
      </c>
      <c r="AC7111">
        <v>3.0482330000000002</v>
      </c>
      <c r="AD7111">
        <v>-2.3818019999999999E-4</v>
      </c>
      <c r="AE7111">
        <v>-0.12840270000000001</v>
      </c>
      <c r="AF7111">
        <v>1.74370264605758</v>
      </c>
      <c r="AG7111">
        <v>-2.3818019999999999E-4</v>
      </c>
      <c r="AH7111">
        <v>2.50354002251381</v>
      </c>
      <c r="AI7111">
        <v>90.004472961543499</v>
      </c>
      <c r="AJ7111">
        <v>55.142988639458302</v>
      </c>
      <c r="AK7111">
        <v>3.0509361872917702</v>
      </c>
      <c r="AL7111">
        <v>81.503470436689497</v>
      </c>
      <c r="AM7111">
        <v>60.720270448426596</v>
      </c>
      <c r="AN7111">
        <v>0.99999996191558904</v>
      </c>
    </row>
    <row r="7112" spans="1:40" x14ac:dyDescent="0.25">
      <c r="A7112" t="str">
        <f>"20190312164642197"</f>
        <v>20190312164642197</v>
      </c>
      <c r="B7112" t="str">
        <f>"1552380402188395"</f>
        <v>1552380402188395</v>
      </c>
      <c r="C7112" t="s">
        <v>40</v>
      </c>
      <c r="D7112">
        <v>5.7467370000000004</v>
      </c>
      <c r="E7112">
        <v>0.54434249999999995</v>
      </c>
      <c r="F7112" t="s">
        <v>58</v>
      </c>
      <c r="G7112">
        <v>0</v>
      </c>
      <c r="H7112">
        <v>0</v>
      </c>
      <c r="I7112">
        <v>0</v>
      </c>
      <c r="J7112">
        <v>-177.08330000000001</v>
      </c>
      <c r="K7112">
        <v>1.0983430000000001</v>
      </c>
      <c r="L7112">
        <v>135.29859999999999</v>
      </c>
      <c r="M7112">
        <v>0.85421259999999999</v>
      </c>
      <c r="N7112">
        <v>0</v>
      </c>
      <c r="O7112">
        <v>0.51968970000000003</v>
      </c>
      <c r="P7112">
        <v>0.9880911</v>
      </c>
      <c r="Q7112">
        <v>0.14561459999999901</v>
      </c>
      <c r="R7112">
        <v>4.9722240000000001E-2</v>
      </c>
      <c r="S7112">
        <v>3.0473789999999998</v>
      </c>
      <c r="T7112">
        <v>-2.2604470000000001E-3</v>
      </c>
      <c r="U7112">
        <v>-0.1432648</v>
      </c>
      <c r="V7112">
        <v>0.47508929999999999</v>
      </c>
      <c r="W7112">
        <v>0.1467859</v>
      </c>
      <c r="X7112">
        <v>0.86760820000000005</v>
      </c>
      <c r="Y7112">
        <v>0.55929849999999903</v>
      </c>
      <c r="Z7112">
        <v>-5.7868359999999996E-4</v>
      </c>
      <c r="AA7112">
        <v>0.82896610000000004</v>
      </c>
      <c r="AB7112">
        <v>25</v>
      </c>
      <c r="AC7112">
        <v>3.0473789999999998</v>
      </c>
      <c r="AD7112">
        <v>-2.2604470000000001E-3</v>
      </c>
      <c r="AE7112">
        <v>-0.1432648</v>
      </c>
      <c r="AF7112">
        <v>1.7062768478997099</v>
      </c>
      <c r="AG7112">
        <v>-2.2604470000000001E-3</v>
      </c>
      <c r="AH7112">
        <v>2.5289627659672198</v>
      </c>
      <c r="AI7112">
        <v>90.042453279651497</v>
      </c>
      <c r="AJ7112">
        <v>55.992683247663102</v>
      </c>
      <c r="AK7112">
        <v>3.0507439195953201</v>
      </c>
      <c r="AL7112">
        <v>81.559289300600199</v>
      </c>
      <c r="AM7112">
        <v>61.295544971251999</v>
      </c>
      <c r="AN7112">
        <v>0.99999996606026897</v>
      </c>
    </row>
    <row r="7113" spans="1:40" x14ac:dyDescent="0.25">
      <c r="A7113" t="str">
        <f>"20190312164642218"</f>
        <v>20190312164642218</v>
      </c>
      <c r="B7113" t="str">
        <f>"1552380402207916"</f>
        <v>1552380402207916</v>
      </c>
      <c r="C7113" t="s">
        <v>40</v>
      </c>
      <c r="D7113">
        <v>5.4455150000000003</v>
      </c>
      <c r="E7113">
        <v>0.54347939999999995</v>
      </c>
      <c r="F7113" t="s">
        <v>76</v>
      </c>
      <c r="G7113">
        <v>300.70530000000002</v>
      </c>
      <c r="H7113">
        <v>-0.1</v>
      </c>
      <c r="I7113">
        <v>109.023</v>
      </c>
      <c r="J7113">
        <v>-176.86490000000001</v>
      </c>
      <c r="K7113">
        <v>1.098457</v>
      </c>
      <c r="L7113">
        <v>135.4119</v>
      </c>
      <c r="M7113">
        <v>0.8620139</v>
      </c>
      <c r="N7113">
        <v>0</v>
      </c>
      <c r="O7113">
        <v>0.50664529999999997</v>
      </c>
      <c r="P7113">
        <v>0.98859960000000002</v>
      </c>
      <c r="Q7113">
        <v>0.14445629999999901</v>
      </c>
      <c r="R7113">
        <v>4.246482E-2</v>
      </c>
      <c r="S7113">
        <v>3.0457000000000001</v>
      </c>
      <c r="T7113">
        <v>-7.6389309999999998E-3</v>
      </c>
      <c r="U7113">
        <v>-0.1674957</v>
      </c>
      <c r="V7113">
        <v>0.46825810000000001</v>
      </c>
      <c r="W7113">
        <v>0.14597270000000001</v>
      </c>
      <c r="X7113">
        <v>0.87145069999999902</v>
      </c>
      <c r="Y7113">
        <v>0.55327899999999997</v>
      </c>
      <c r="Z7113">
        <v>-1.9206399999999999E-3</v>
      </c>
      <c r="AA7113">
        <v>0.83299380000000001</v>
      </c>
      <c r="AB7113">
        <v>25</v>
      </c>
      <c r="AC7113">
        <v>477.5702</v>
      </c>
      <c r="AD7113">
        <v>-1.1984569999999899</v>
      </c>
      <c r="AE7113">
        <v>-26.3889</v>
      </c>
      <c r="AF7113">
        <v>264.736745307435</v>
      </c>
      <c r="AG7113">
        <v>-1.1984569999999899</v>
      </c>
      <c r="AH7113">
        <v>398.348155617629</v>
      </c>
      <c r="AI7113">
        <v>90.143564705278095</v>
      </c>
      <c r="AJ7113">
        <v>56.392530352280403</v>
      </c>
      <c r="AK7113">
        <v>478.297223177305</v>
      </c>
      <c r="AL7113">
        <v>81.606389856749402</v>
      </c>
      <c r="AM7113">
        <v>61.749451644896702</v>
      </c>
      <c r="AN7113">
        <v>0.999999999945694</v>
      </c>
    </row>
    <row r="7114" spans="1:40" x14ac:dyDescent="0.25">
      <c r="A7114" t="str">
        <f>"20190312164642231"</f>
        <v>20190312164642231</v>
      </c>
      <c r="B7114" t="str">
        <f>"1552380402228412"</f>
        <v>1552380402228412</v>
      </c>
      <c r="C7114" t="s">
        <v>40</v>
      </c>
      <c r="D7114">
        <v>6.2939339999999904</v>
      </c>
      <c r="E7114">
        <v>0.54272690000000001</v>
      </c>
      <c r="F7114" t="s">
        <v>76</v>
      </c>
      <c r="G7114">
        <v>154.15</v>
      </c>
      <c r="H7114">
        <v>-0.1</v>
      </c>
      <c r="I7114">
        <v>115.3999</v>
      </c>
      <c r="J7114">
        <v>-176.74010000000001</v>
      </c>
      <c r="K7114">
        <v>1.098525</v>
      </c>
      <c r="L7114">
        <v>135.47499999999999</v>
      </c>
      <c r="M7114">
        <v>0.86633320000000003</v>
      </c>
      <c r="N7114">
        <v>0</v>
      </c>
      <c r="O7114">
        <v>0.4992239</v>
      </c>
      <c r="P7114">
        <v>0.98884030000000001</v>
      </c>
      <c r="Q7114">
        <v>0.14402579999999901</v>
      </c>
      <c r="R7114">
        <v>3.810036E-2</v>
      </c>
      <c r="S7114">
        <v>3.0441129999999998</v>
      </c>
      <c r="T7114">
        <v>-1.1021380000000001E-2</v>
      </c>
      <c r="U7114">
        <v>-0.18403630000000001</v>
      </c>
      <c r="V7114">
        <v>0.46460439999999997</v>
      </c>
      <c r="W7114">
        <v>0.14573349999999999</v>
      </c>
      <c r="X7114">
        <v>0.873444</v>
      </c>
      <c r="Y7114">
        <v>0.55065410000000004</v>
      </c>
      <c r="Z7114">
        <v>-2.7441639999999999E-3</v>
      </c>
      <c r="AA7114">
        <v>0.83472900000000005</v>
      </c>
      <c r="AB7114">
        <v>25</v>
      </c>
      <c r="AC7114">
        <v>330.89010000000002</v>
      </c>
      <c r="AD7114">
        <v>-1.1985250000000001</v>
      </c>
      <c r="AE7114">
        <v>-20.0750999999999</v>
      </c>
      <c r="AF7114">
        <v>182.59970707937299</v>
      </c>
      <c r="AG7114">
        <v>-1.1985250000000001</v>
      </c>
      <c r="AH7114">
        <v>276.66901168097098</v>
      </c>
      <c r="AI7114">
        <v>90.207153331544106</v>
      </c>
      <c r="AJ7114">
        <v>56.575454336946898</v>
      </c>
      <c r="AK7114">
        <v>331.49635218532001</v>
      </c>
      <c r="AL7114">
        <v>81.620242824862402</v>
      </c>
      <c r="AM7114">
        <v>61.990489527911897</v>
      </c>
      <c r="AN7114">
        <v>0.99999996132880398</v>
      </c>
    </row>
    <row r="7115" spans="1:40" x14ac:dyDescent="0.25">
      <c r="A7115" t="str">
        <f>"20190312164642243"</f>
        <v>20190312164642243</v>
      </c>
      <c r="B7115" t="str">
        <f>"1552380402238172"</f>
        <v>1552380402238172</v>
      </c>
      <c r="C7115" t="s">
        <v>40</v>
      </c>
      <c r="D7115">
        <v>5.4869690000000002</v>
      </c>
      <c r="E7115">
        <v>0.54272690000000001</v>
      </c>
      <c r="F7115" t="s">
        <v>76</v>
      </c>
      <c r="G7115">
        <v>103.5087</v>
      </c>
      <c r="H7115">
        <v>-0.1</v>
      </c>
      <c r="I7115">
        <v>117.7822</v>
      </c>
      <c r="J7115">
        <v>-176.62260000000001</v>
      </c>
      <c r="K7115">
        <v>1.098595</v>
      </c>
      <c r="L7115">
        <v>135.53290000000001</v>
      </c>
      <c r="M7115">
        <v>0.87029239999999997</v>
      </c>
      <c r="N7115">
        <v>0</v>
      </c>
      <c r="O7115">
        <v>0.4922898</v>
      </c>
      <c r="P7115">
        <v>0.98906139999999998</v>
      </c>
      <c r="Q7115">
        <v>0.143398</v>
      </c>
      <c r="R7115">
        <v>3.4562559999999999E-2</v>
      </c>
      <c r="S7115">
        <v>3.043167</v>
      </c>
      <c r="T7115">
        <v>-1.301455E-2</v>
      </c>
      <c r="U7115">
        <v>-0.1921234</v>
      </c>
      <c r="V7115">
        <v>0.46074490000000001</v>
      </c>
      <c r="W7115">
        <v>0.1453014</v>
      </c>
      <c r="X7115">
        <v>0.8755579</v>
      </c>
      <c r="Y7115">
        <v>0.546203199999999</v>
      </c>
      <c r="Z7115">
        <v>-3.2056099999999998E-3</v>
      </c>
      <c r="AA7115">
        <v>0.83764660000000002</v>
      </c>
      <c r="AB7115">
        <v>25</v>
      </c>
      <c r="AC7115">
        <v>280.13130000000001</v>
      </c>
      <c r="AD7115">
        <v>-1.1985950000000001</v>
      </c>
      <c r="AE7115">
        <v>-17.750699999999998</v>
      </c>
      <c r="AF7115">
        <v>153.36983528958001</v>
      </c>
      <c r="AG7115">
        <v>-1.1985950000000001</v>
      </c>
      <c r="AH7115">
        <v>235.08180072490299</v>
      </c>
      <c r="AI7115">
        <v>90.2446631661808</v>
      </c>
      <c r="AJ7115">
        <v>56.879148668075601</v>
      </c>
      <c r="AK7115">
        <v>280.69056991425703</v>
      </c>
      <c r="AL7115">
        <v>81.645267002766502</v>
      </c>
      <c r="AM7115">
        <v>62.245305271135599</v>
      </c>
      <c r="AN7115">
        <v>0.99999999798519001</v>
      </c>
    </row>
    <row r="7116" spans="1:40" x14ac:dyDescent="0.25">
      <c r="A7116" t="str">
        <f>"20190312164642253"</f>
        <v>20190312164642253</v>
      </c>
      <c r="B7116" t="str">
        <f>"1552380402247932"</f>
        <v>1552380402247932</v>
      </c>
      <c r="C7116" t="s">
        <v>40</v>
      </c>
      <c r="D7116">
        <v>5.8327349999999996</v>
      </c>
      <c r="E7116">
        <v>0.50717599999999996</v>
      </c>
      <c r="F7116" t="s">
        <v>76</v>
      </c>
      <c r="G7116">
        <v>75.580749999999995</v>
      </c>
      <c r="H7116">
        <v>-0.1</v>
      </c>
      <c r="I7116">
        <v>118.64149999999999</v>
      </c>
      <c r="J7116">
        <v>-176.51070000000001</v>
      </c>
      <c r="K7116">
        <v>1.0986579999999999</v>
      </c>
      <c r="L7116">
        <v>135.5872</v>
      </c>
      <c r="M7116">
        <v>0.87398349999999903</v>
      </c>
      <c r="N7116">
        <v>0</v>
      </c>
      <c r="O7116">
        <v>0.48570730000000001</v>
      </c>
      <c r="P7116">
        <v>0.98916340000000003</v>
      </c>
      <c r="Q7116">
        <v>0.14337329999999901</v>
      </c>
      <c r="R7116">
        <v>3.1619620000000001E-2</v>
      </c>
      <c r="S7116">
        <v>3.0424039999999999</v>
      </c>
      <c r="T7116">
        <v>-1.445901E-2</v>
      </c>
      <c r="U7116">
        <v>-0.2037659</v>
      </c>
      <c r="V7116">
        <v>0.45670490000000002</v>
      </c>
      <c r="W7116">
        <v>0.14547460000000001</v>
      </c>
      <c r="X7116">
        <v>0.87764330000000002</v>
      </c>
      <c r="Y7116">
        <v>0.54308029999999996</v>
      </c>
      <c r="Z7116">
        <v>-3.5269889999999999E-3</v>
      </c>
      <c r="AA7116">
        <v>0.83967329999999996</v>
      </c>
      <c r="AB7116">
        <v>25</v>
      </c>
      <c r="AC7116">
        <v>252.09145000000001</v>
      </c>
      <c r="AD7116">
        <v>-1.198658</v>
      </c>
      <c r="AE7116">
        <v>-16.945699999999999</v>
      </c>
      <c r="AF7116">
        <v>137.266390130129</v>
      </c>
      <c r="AG7116">
        <v>-1.198658</v>
      </c>
      <c r="AH7116">
        <v>212.11393303421499</v>
      </c>
      <c r="AI7116">
        <v>90.271823707536299</v>
      </c>
      <c r="AJ7116">
        <v>57.091673050078697</v>
      </c>
      <c r="AK7116">
        <v>252.657513697101</v>
      </c>
      <c r="AL7116">
        <v>81.635236762033898</v>
      </c>
      <c r="AM7116">
        <v>62.508593123442601</v>
      </c>
      <c r="AN7116">
        <v>0.99999999348202995</v>
      </c>
    </row>
    <row r="7117" spans="1:40" x14ac:dyDescent="0.25">
      <c r="A7117" t="str">
        <f>"20190312164642265"</f>
        <v>20190312164642265</v>
      </c>
      <c r="B7117" t="str">
        <f>"1552380402258668"</f>
        <v>1552380402258668</v>
      </c>
      <c r="C7117" t="s">
        <v>40</v>
      </c>
      <c r="D7117">
        <v>5.5992069999999998</v>
      </c>
      <c r="E7117">
        <v>0.49836239999999998</v>
      </c>
      <c r="F7117" t="s">
        <v>42</v>
      </c>
      <c r="G7117">
        <v>-112.57129999999999</v>
      </c>
      <c r="H7117" s="1">
        <v>-3.6094000000000001E-6</v>
      </c>
      <c r="I7117">
        <v>137.13470000000001</v>
      </c>
      <c r="J7117">
        <v>-176.3913</v>
      </c>
      <c r="K7117">
        <v>1.098733</v>
      </c>
      <c r="L7117">
        <v>135.64400000000001</v>
      </c>
      <c r="M7117">
        <v>0.87783149999999999</v>
      </c>
      <c r="N7117">
        <v>0</v>
      </c>
      <c r="O7117">
        <v>0.47871829999999999</v>
      </c>
      <c r="P7117">
        <v>0.98938079999999995</v>
      </c>
      <c r="Q7117">
        <v>0.1426405</v>
      </c>
      <c r="R7117">
        <v>2.791509E-2</v>
      </c>
      <c r="S7117">
        <v>3.0380859999999998</v>
      </c>
      <c r="T7117">
        <v>-5.2202940000000003E-2</v>
      </c>
      <c r="U7117">
        <v>7.3532100000000003E-2</v>
      </c>
      <c r="V7117">
        <v>0.45298159999999998</v>
      </c>
      <c r="W7117">
        <v>0.14493429999999999</v>
      </c>
      <c r="X7117">
        <v>0.87966</v>
      </c>
      <c r="Y7117">
        <v>0.45725979999999999</v>
      </c>
      <c r="Z7117">
        <v>-1.1873420000000001E-2</v>
      </c>
      <c r="AA7117">
        <v>0.88925390000000004</v>
      </c>
      <c r="AB7117">
        <v>25</v>
      </c>
      <c r="AC7117">
        <v>63.82</v>
      </c>
      <c r="AD7117">
        <v>-1.0987366094</v>
      </c>
      <c r="AE7117">
        <v>1.4906999999999999</v>
      </c>
      <c r="AF7117">
        <v>29.238076420049001</v>
      </c>
      <c r="AG7117">
        <v>-1.0987366094</v>
      </c>
      <c r="AH7117">
        <v>56.726855209091902</v>
      </c>
      <c r="AI7117">
        <v>90.986340160557901</v>
      </c>
      <c r="AJ7117">
        <v>62.732579380417199</v>
      </c>
      <c r="AK7117">
        <v>63.827959679083797</v>
      </c>
      <c r="AL7117">
        <v>81.666525319798197</v>
      </c>
      <c r="AM7117">
        <v>62.753761709640997</v>
      </c>
      <c r="AN7117">
        <v>0.99999999842752496</v>
      </c>
    </row>
    <row r="7118" spans="1:40" x14ac:dyDescent="0.25">
      <c r="A7118" t="str">
        <f>"20190312164642277"</f>
        <v>20190312164642277</v>
      </c>
      <c r="B7118" t="str">
        <f>"1552380402268428"</f>
        <v>1552380402268428</v>
      </c>
      <c r="C7118" t="s">
        <v>40</v>
      </c>
      <c r="D7118">
        <v>5.5313990000000004</v>
      </c>
      <c r="E7118">
        <v>0.49190650000000002</v>
      </c>
      <c r="F7118" t="s">
        <v>42</v>
      </c>
      <c r="G7118">
        <v>-118.9551</v>
      </c>
      <c r="H7118" s="1">
        <v>-7.3067219999999905E-7</v>
      </c>
      <c r="I7118">
        <v>138.1542</v>
      </c>
      <c r="J7118">
        <v>-176.2747</v>
      </c>
      <c r="K7118">
        <v>1.0988089999999999</v>
      </c>
      <c r="L7118">
        <v>135.69829999999999</v>
      </c>
      <c r="M7118">
        <v>0.88149200000000005</v>
      </c>
      <c r="N7118">
        <v>0</v>
      </c>
      <c r="O7118">
        <v>0.4719448</v>
      </c>
      <c r="P7118">
        <v>0.98954549999999997</v>
      </c>
      <c r="Q7118">
        <v>0.14204929999999999</v>
      </c>
      <c r="R7118">
        <v>2.4938910000000002E-2</v>
      </c>
      <c r="S7118">
        <v>3.0368189999999999</v>
      </c>
      <c r="T7118">
        <v>-5.8093190000000003E-2</v>
      </c>
      <c r="U7118">
        <v>0.132720899999999</v>
      </c>
      <c r="V7118">
        <v>0.44883770000000001</v>
      </c>
      <c r="W7118">
        <v>0.14454890000000001</v>
      </c>
      <c r="X7118">
        <v>0.88184490000000004</v>
      </c>
      <c r="Y7118">
        <v>0.4328998</v>
      </c>
      <c r="Z7118">
        <v>-1.285534E-2</v>
      </c>
      <c r="AA7118">
        <v>0.9013504</v>
      </c>
      <c r="AB7118">
        <v>25</v>
      </c>
      <c r="AC7118">
        <v>57.319600000000001</v>
      </c>
      <c r="AD7118">
        <v>-1.0988097306722</v>
      </c>
      <c r="AE7118">
        <v>2.45590000000001</v>
      </c>
      <c r="AF7118">
        <v>24.8806909037</v>
      </c>
      <c r="AG7118">
        <v>-1.0988097306722</v>
      </c>
      <c r="AH7118">
        <v>51.673066209292301</v>
      </c>
      <c r="AI7118">
        <v>91.097614553958394</v>
      </c>
      <c r="AJ7118">
        <v>64.289086289366793</v>
      </c>
      <c r="AK7118">
        <v>57.361676528319698</v>
      </c>
      <c r="AL7118">
        <v>81.688842523463506</v>
      </c>
      <c r="AM7118">
        <v>63.025007992670602</v>
      </c>
      <c r="AN7118">
        <v>1.00000004654425</v>
      </c>
    </row>
    <row r="7119" spans="1:40" x14ac:dyDescent="0.25">
      <c r="A7119" t="str">
        <f>"20190312164642291"</f>
        <v>20190312164642291</v>
      </c>
      <c r="B7119" t="str">
        <f>"1552380402287948"</f>
        <v>1552380402287948</v>
      </c>
      <c r="C7119" t="s">
        <v>40</v>
      </c>
      <c r="D7119">
        <v>5.9043780000000003</v>
      </c>
      <c r="E7119">
        <v>0.48530499999999999</v>
      </c>
      <c r="F7119" t="s">
        <v>42</v>
      </c>
      <c r="G7119">
        <v>-133.0179</v>
      </c>
      <c r="H7119" s="1">
        <v>-3.2273570000000001E-6</v>
      </c>
      <c r="I7119">
        <v>138.20830000000001</v>
      </c>
      <c r="J7119">
        <v>-176.11840000000001</v>
      </c>
      <c r="K7119">
        <v>1.0989169999999999</v>
      </c>
      <c r="L7119">
        <v>135.7697</v>
      </c>
      <c r="M7119">
        <v>0.88627019999999901</v>
      </c>
      <c r="N7119">
        <v>0</v>
      </c>
      <c r="O7119">
        <v>0.46291009999999999</v>
      </c>
      <c r="P7119">
        <v>0.98974649999999997</v>
      </c>
      <c r="Q7119">
        <v>0.141517</v>
      </c>
      <c r="R7119">
        <v>1.936129E-2</v>
      </c>
      <c r="S7119">
        <v>3.0383300000000002</v>
      </c>
      <c r="T7119">
        <v>-7.7179910000000004E-2</v>
      </c>
      <c r="U7119">
        <v>0.17630000000000001</v>
      </c>
      <c r="V7119">
        <v>0.4447642</v>
      </c>
      <c r="W7119">
        <v>0.1442436</v>
      </c>
      <c r="X7119">
        <v>0.88395619999999997</v>
      </c>
      <c r="Y7119">
        <v>0.4105721</v>
      </c>
      <c r="Z7119">
        <v>-1.6565119999999999E-2</v>
      </c>
      <c r="AA7119">
        <v>0.91167770000000004</v>
      </c>
      <c r="AB7119">
        <v>25</v>
      </c>
      <c r="AC7119">
        <v>43.100499999999997</v>
      </c>
      <c r="AD7119">
        <v>-1.098920227357</v>
      </c>
      <c r="AE7119">
        <v>2.4386000000000001</v>
      </c>
      <c r="AF7119">
        <v>17.781005683231399</v>
      </c>
      <c r="AG7119">
        <v>-1.098920227357</v>
      </c>
      <c r="AH7119">
        <v>39.306778059177297</v>
      </c>
      <c r="AI7119">
        <v>91.459149850040106</v>
      </c>
      <c r="AJ7119">
        <v>65.659674816935606</v>
      </c>
      <c r="AK7119">
        <v>43.155469991260901</v>
      </c>
      <c r="AL7119">
        <v>81.706519686672095</v>
      </c>
      <c r="AM7119">
        <v>63.2906607386643</v>
      </c>
      <c r="AN7119">
        <v>0.99999998663051903</v>
      </c>
    </row>
    <row r="7120" spans="1:40" x14ac:dyDescent="0.25">
      <c r="A7120" t="str">
        <f>"20190312164642303"</f>
        <v>20190312164642303</v>
      </c>
      <c r="B7120" t="str">
        <f>"1552380402298684"</f>
        <v>1552380402298684</v>
      </c>
      <c r="C7120" t="s">
        <v>40</v>
      </c>
      <c r="D7120">
        <v>5.6230699999999896</v>
      </c>
      <c r="E7120">
        <v>0.48265619999999998</v>
      </c>
      <c r="F7120" t="s">
        <v>42</v>
      </c>
      <c r="G7120">
        <v>-139.89599999999999</v>
      </c>
      <c r="H7120" s="1">
        <v>-3.704377E-7</v>
      </c>
      <c r="I7120">
        <v>138.30459999999999</v>
      </c>
      <c r="J7120">
        <v>-175.98849999999999</v>
      </c>
      <c r="K7120">
        <v>1.099011</v>
      </c>
      <c r="L7120">
        <v>135.82749999999999</v>
      </c>
      <c r="M7120">
        <v>0.89011269999999998</v>
      </c>
      <c r="N7120">
        <v>0</v>
      </c>
      <c r="O7120">
        <v>0.45547870000000001</v>
      </c>
      <c r="P7120">
        <v>0.98990319999999998</v>
      </c>
      <c r="Q7120">
        <v>0.14085690000000001</v>
      </c>
      <c r="R7120">
        <v>1.5842099999999901E-2</v>
      </c>
      <c r="S7120">
        <v>3.0400999999999998</v>
      </c>
      <c r="T7120">
        <v>-9.2230679999999995E-2</v>
      </c>
      <c r="U7120">
        <v>0.21275330000000001</v>
      </c>
      <c r="V7120">
        <v>0.44048969999999998</v>
      </c>
      <c r="W7120">
        <v>0.14380379999999901</v>
      </c>
      <c r="X7120">
        <v>0.88616550000000005</v>
      </c>
      <c r="Y7120">
        <v>0.39190120000000001</v>
      </c>
      <c r="Z7120">
        <v>-1.928098E-2</v>
      </c>
      <c r="AA7120">
        <v>0.91980519999999999</v>
      </c>
      <c r="AB7120">
        <v>25</v>
      </c>
      <c r="AC7120">
        <v>36.092499999999902</v>
      </c>
      <c r="AD7120">
        <v>-1.0990113704377</v>
      </c>
      <c r="AE7120">
        <v>2.4771000000000001</v>
      </c>
      <c r="AF7120">
        <v>14.2230391398862</v>
      </c>
      <c r="AG7120">
        <v>-1.0990113704377</v>
      </c>
      <c r="AH7120">
        <v>33.2279615099308</v>
      </c>
      <c r="AI7120">
        <v>91.741623309240197</v>
      </c>
      <c r="AJ7120">
        <v>66.8269306041378</v>
      </c>
      <c r="AK7120">
        <v>36.160753510851102</v>
      </c>
      <c r="AL7120">
        <v>81.731983974418398</v>
      </c>
      <c r="AM7120">
        <v>63.569230420203503</v>
      </c>
      <c r="AN7120">
        <v>1.00000000104539</v>
      </c>
    </row>
    <row r="7121" spans="1:40" x14ac:dyDescent="0.25">
      <c r="A7121" t="str">
        <f>"20190312164642316"</f>
        <v>20190312164642316</v>
      </c>
      <c r="B7121" t="str">
        <f>"1552380402308444"</f>
        <v>1552380402308444</v>
      </c>
      <c r="C7121" t="s">
        <v>40</v>
      </c>
      <c r="D7121">
        <v>5.9119020000000004</v>
      </c>
      <c r="E7121">
        <v>0.48119479999999998</v>
      </c>
      <c r="F7121" t="s">
        <v>42</v>
      </c>
      <c r="G7121">
        <v>-144.12989999999999</v>
      </c>
      <c r="H7121" s="1">
        <v>-2.7570469999999998E-6</v>
      </c>
      <c r="I7121">
        <v>138.17019999999999</v>
      </c>
      <c r="J7121">
        <v>-175.864</v>
      </c>
      <c r="K7121">
        <v>1.099102</v>
      </c>
      <c r="L7121">
        <v>135.8817</v>
      </c>
      <c r="M7121">
        <v>0.89369469999999995</v>
      </c>
      <c r="N7121">
        <v>0</v>
      </c>
      <c r="O7121">
        <v>0.44841059999999999</v>
      </c>
      <c r="P7121">
        <v>0.99004130000000001</v>
      </c>
      <c r="Q7121">
        <v>0.1401712</v>
      </c>
      <c r="R7121">
        <v>1.304626E-2</v>
      </c>
      <c r="S7121">
        <v>3.0419459999999998</v>
      </c>
      <c r="T7121">
        <v>-0.104937</v>
      </c>
      <c r="U7121">
        <v>0.2236938</v>
      </c>
      <c r="V7121">
        <v>0.43594840000000001</v>
      </c>
      <c r="W7121">
        <v>0.14334089999999999</v>
      </c>
      <c r="X7121">
        <v>0.88848320000000003</v>
      </c>
      <c r="Y7121">
        <v>0.38123430000000003</v>
      </c>
      <c r="Z7121">
        <v>-2.1513919999999999E-2</v>
      </c>
      <c r="AA7121">
        <v>0.9242281</v>
      </c>
      <c r="AB7121">
        <v>25</v>
      </c>
      <c r="AC7121">
        <v>31.734100000000002</v>
      </c>
      <c r="AD7121">
        <v>-1.0991047570469901</v>
      </c>
      <c r="AE7121">
        <v>2.2884999999999902</v>
      </c>
      <c r="AF7121">
        <v>12.1716098462194</v>
      </c>
      <c r="AG7121">
        <v>-1.0991047570469901</v>
      </c>
      <c r="AH7121">
        <v>29.355246622551299</v>
      </c>
      <c r="AI7121">
        <v>91.980861254342003</v>
      </c>
      <c r="AJ7121">
        <v>67.479563934228096</v>
      </c>
      <c r="AK7121">
        <v>31.797588301416098</v>
      </c>
      <c r="AL7121">
        <v>81.758783907350605</v>
      </c>
      <c r="AM7121">
        <v>63.864388276112798</v>
      </c>
      <c r="AN7121">
        <v>1.0000000088787999</v>
      </c>
    </row>
    <row r="7122" spans="1:40" x14ac:dyDescent="0.25">
      <c r="A7122" t="str">
        <f>"20190312164642327"</f>
        <v>20190312164642327</v>
      </c>
      <c r="B7122" t="str">
        <f>"1552380402318204"</f>
        <v>1552380402318204</v>
      </c>
      <c r="C7122" t="s">
        <v>40</v>
      </c>
      <c r="D7122">
        <v>5.5681139999999996</v>
      </c>
      <c r="E7122">
        <v>0.47982170000000002</v>
      </c>
      <c r="F7122" t="s">
        <v>42</v>
      </c>
      <c r="G7122">
        <v>-144.28980000000001</v>
      </c>
      <c r="H7122" s="1">
        <v>-2.6785249999999999E-6</v>
      </c>
      <c r="I7122">
        <v>138.2261</v>
      </c>
      <c r="J7122">
        <v>-175.73759999999999</v>
      </c>
      <c r="K7122">
        <v>1.0992</v>
      </c>
      <c r="L7122">
        <v>135.93600000000001</v>
      </c>
      <c r="M7122">
        <v>0.89724820000000005</v>
      </c>
      <c r="N7122">
        <v>0</v>
      </c>
      <c r="O7122">
        <v>0.44125819999999999</v>
      </c>
      <c r="P7122">
        <v>0.99012860000000003</v>
      </c>
      <c r="Q7122">
        <v>0.13977290000000001</v>
      </c>
      <c r="R7122">
        <v>1.0445650000000001E-2</v>
      </c>
      <c r="S7122">
        <v>3.0421749999999999</v>
      </c>
      <c r="T7122">
        <v>-0.1058989</v>
      </c>
      <c r="U7122">
        <v>0.22589110000000001</v>
      </c>
      <c r="V7122">
        <v>0.43115059999999999</v>
      </c>
      <c r="W7122">
        <v>0.14317289999999999</v>
      </c>
      <c r="X7122">
        <v>0.89084830000000004</v>
      </c>
      <c r="Y7122">
        <v>0.37317820000000002</v>
      </c>
      <c r="Z7122">
        <v>-2.134376E-2</v>
      </c>
      <c r="AA7122">
        <v>0.92751410000000001</v>
      </c>
      <c r="AB7122">
        <v>25</v>
      </c>
      <c r="AC7122">
        <v>31.447799999999901</v>
      </c>
      <c r="AD7122">
        <v>-1.099202678525</v>
      </c>
      <c r="AE7122">
        <v>2.29009999999999</v>
      </c>
      <c r="AF7122">
        <v>11.808860748543299</v>
      </c>
      <c r="AG7122">
        <v>-1.099202678525</v>
      </c>
      <c r="AH7122">
        <v>29.194989220374101</v>
      </c>
      <c r="AI7122">
        <v>91.999000212153604</v>
      </c>
      <c r="AJ7122">
        <v>67.977532063774703</v>
      </c>
      <c r="AK7122">
        <v>31.5119792187784</v>
      </c>
      <c r="AL7122">
        <v>81.768509896209196</v>
      </c>
      <c r="AM7122">
        <v>64.174058879584294</v>
      </c>
      <c r="AN7122">
        <v>1.0000000063938299</v>
      </c>
    </row>
    <row r="7123" spans="1:40" x14ac:dyDescent="0.25">
      <c r="A7123" t="str">
        <f>"20190312164642391"</f>
        <v>20190312164642391</v>
      </c>
      <c r="B7123" t="str">
        <f>"1552380402388476"</f>
        <v>1552380402388476</v>
      </c>
      <c r="C7123" t="s">
        <v>40</v>
      </c>
      <c r="D7123">
        <v>5.7433680000000003</v>
      </c>
      <c r="E7123">
        <v>0.4753368</v>
      </c>
      <c r="F7123" t="s">
        <v>42</v>
      </c>
      <c r="G7123">
        <v>-143.76159999999999</v>
      </c>
      <c r="H7123" s="1">
        <v>-2.8862150000000002E-6</v>
      </c>
      <c r="I7123">
        <v>138.33279999999999</v>
      </c>
      <c r="J7123">
        <v>-175.08840000000001</v>
      </c>
      <c r="K7123">
        <v>1.099745</v>
      </c>
      <c r="L7123">
        <v>136.1961</v>
      </c>
      <c r="M7123">
        <v>0.91391</v>
      </c>
      <c r="N7123">
        <v>0</v>
      </c>
      <c r="O7123">
        <v>0.4056304</v>
      </c>
      <c r="P7123">
        <v>0.99010299999999996</v>
      </c>
      <c r="Q7123">
        <v>0.13907249999999999</v>
      </c>
      <c r="R7123">
        <v>-1.8842020000000001E-2</v>
      </c>
      <c r="S7123">
        <v>3.0422669999999998</v>
      </c>
      <c r="T7123">
        <v>-0.1045803</v>
      </c>
      <c r="U7123">
        <v>0.22804260000000001</v>
      </c>
      <c r="V7123">
        <v>0.4222494</v>
      </c>
      <c r="W7123">
        <v>0.14317099999999999</v>
      </c>
      <c r="X7123">
        <v>0.89510199999999995</v>
      </c>
      <c r="Y7123">
        <v>0.33579979999999998</v>
      </c>
      <c r="Z7123">
        <v>-1.9318660000000001E-2</v>
      </c>
      <c r="AA7123">
        <v>0.94173519999999999</v>
      </c>
      <c r="AB7123">
        <v>25</v>
      </c>
      <c r="AC7123">
        <v>31.326799999999999</v>
      </c>
      <c r="AD7123">
        <v>-1.0997478862150001</v>
      </c>
      <c r="AE7123">
        <v>2.1366999999999901</v>
      </c>
      <c r="AF7123">
        <v>10.742423543527799</v>
      </c>
      <c r="AG7123">
        <v>-1.0997478862150001</v>
      </c>
      <c r="AH7123">
        <v>29.463872357982702</v>
      </c>
      <c r="AI7123">
        <v>92.008382230889296</v>
      </c>
      <c r="AJ7123">
        <v>69.968323488050004</v>
      </c>
      <c r="AK7123">
        <v>31.380390107984301</v>
      </c>
      <c r="AL7123">
        <v>81.768620175912602</v>
      </c>
      <c r="AM7123">
        <v>64.745188564820495</v>
      </c>
      <c r="AN7123">
        <v>1.0000000407226699</v>
      </c>
    </row>
    <row r="7124" spans="1:40" x14ac:dyDescent="0.25">
      <c r="A7124" t="str">
        <f>"20190312164642407"</f>
        <v>20190312164642407</v>
      </c>
      <c r="B7124" t="str">
        <f>"1552380402398235"</f>
        <v>1552380402398235</v>
      </c>
      <c r="C7124" t="s">
        <v>40</v>
      </c>
      <c r="D7124">
        <v>5.6351110000000002</v>
      </c>
      <c r="E7124">
        <v>0.4751283</v>
      </c>
      <c r="F7124" t="s">
        <v>42</v>
      </c>
      <c r="G7124">
        <v>-145.9237</v>
      </c>
      <c r="H7124" s="1">
        <v>-2.0427139999999999E-6</v>
      </c>
      <c r="I7124">
        <v>137.85910000000001</v>
      </c>
      <c r="J7124">
        <v>-174.90430000000001</v>
      </c>
      <c r="K7124">
        <v>1.099882</v>
      </c>
      <c r="L7124">
        <v>136.26509999999999</v>
      </c>
      <c r="M7124">
        <v>0.91821649999999999</v>
      </c>
      <c r="N7124">
        <v>0</v>
      </c>
      <c r="O7124">
        <v>0.3957871</v>
      </c>
      <c r="P7124">
        <v>0.99042870000000005</v>
      </c>
      <c r="Q7124">
        <v>0.13789100000000001</v>
      </c>
      <c r="R7124">
        <v>-6.0995210000000001E-3</v>
      </c>
      <c r="S7124">
        <v>3.0494690000000002</v>
      </c>
      <c r="T7124">
        <v>-0.1149896</v>
      </c>
      <c r="U7124">
        <v>0.17388919999999999</v>
      </c>
      <c r="V7124">
        <v>0.40094400000000002</v>
      </c>
      <c r="W7124">
        <v>0.1427175</v>
      </c>
      <c r="X7124">
        <v>0.90491750000000004</v>
      </c>
      <c r="Y7124">
        <v>0.3424025</v>
      </c>
      <c r="Z7124">
        <v>-2.0997660000000001E-2</v>
      </c>
      <c r="AA7124">
        <v>0.93931869999999995</v>
      </c>
      <c r="AB7124">
        <v>25</v>
      </c>
      <c r="AC7124">
        <v>28.980599999999999</v>
      </c>
      <c r="AD7124">
        <v>-1.099884042714</v>
      </c>
      <c r="AE7124">
        <v>1.5940000000000201</v>
      </c>
      <c r="AF7124">
        <v>9.9933158118647807</v>
      </c>
      <c r="AG7124">
        <v>-1.099884042714</v>
      </c>
      <c r="AH7124">
        <v>27.205428932520299</v>
      </c>
      <c r="AI7124">
        <v>92.173307050969996</v>
      </c>
      <c r="AJ7124">
        <v>69.830302663093903</v>
      </c>
      <c r="AK7124">
        <v>29.003645791960299</v>
      </c>
      <c r="AL7124">
        <v>81.794873314457007</v>
      </c>
      <c r="AM7124">
        <v>66.103188144798693</v>
      </c>
      <c r="AN7124">
        <v>1.0000000288742401</v>
      </c>
    </row>
    <row r="7125" spans="1:40" x14ac:dyDescent="0.25">
      <c r="A7125" t="str">
        <f>"20190312164642420"</f>
        <v>20190312164642420</v>
      </c>
      <c r="B7125" t="str">
        <f>"1552380402418732"</f>
        <v>1552380402418732</v>
      </c>
      <c r="C7125" t="s">
        <v>40</v>
      </c>
      <c r="D7125">
        <v>5.6277879999999998</v>
      </c>
      <c r="E7125">
        <v>0.47459780000000001</v>
      </c>
      <c r="F7125" t="s">
        <v>42</v>
      </c>
      <c r="G7125">
        <v>-146.90870000000001</v>
      </c>
      <c r="H7125" s="1">
        <v>-1.551559E-6</v>
      </c>
      <c r="I7125">
        <v>138.24590000000001</v>
      </c>
      <c r="J7125">
        <v>-174.77369999999999</v>
      </c>
      <c r="K7125">
        <v>1.099958</v>
      </c>
      <c r="L7125">
        <v>136.3124</v>
      </c>
      <c r="M7125">
        <v>0.92117230000000005</v>
      </c>
      <c r="N7125">
        <v>0</v>
      </c>
      <c r="O7125">
        <v>0.38885900000000001</v>
      </c>
      <c r="P7125">
        <v>0.99056129999999998</v>
      </c>
      <c r="Q7125">
        <v>0.137035299999999</v>
      </c>
      <c r="R7125">
        <v>-3.0861859999999999E-3</v>
      </c>
      <c r="S7125">
        <v>3.0470120000000001</v>
      </c>
      <c r="T7125">
        <v>-0.1197097</v>
      </c>
      <c r="U7125">
        <v>0.21559139999999999</v>
      </c>
      <c r="V7125">
        <v>0.39133220000000002</v>
      </c>
      <c r="W7125">
        <v>0.14219019999999999</v>
      </c>
      <c r="X7125">
        <v>0.90919799999999995</v>
      </c>
      <c r="Y7125">
        <v>0.32238139999999998</v>
      </c>
      <c r="Z7125">
        <v>-2.1212060000000001E-2</v>
      </c>
      <c r="AA7125">
        <v>0.9463722</v>
      </c>
      <c r="AB7125">
        <v>25</v>
      </c>
      <c r="AC7125">
        <v>27.864999999999899</v>
      </c>
      <c r="AD7125">
        <v>-1.0999595515589999</v>
      </c>
      <c r="AE7125">
        <v>1.9335</v>
      </c>
      <c r="AF7125">
        <v>9.0414907317921607</v>
      </c>
      <c r="AG7125">
        <v>-1.0999595515589999</v>
      </c>
      <c r="AH7125">
        <v>26.382454166678901</v>
      </c>
      <c r="AI7125">
        <v>92.258630752118904</v>
      </c>
      <c r="AJ7125">
        <v>71.082977801785006</v>
      </c>
      <c r="AK7125">
        <v>27.910434491871701</v>
      </c>
      <c r="AL7125">
        <v>81.825396216610002</v>
      </c>
      <c r="AM7125">
        <v>66.712244581779004</v>
      </c>
      <c r="AN7125">
        <v>0.99999997346843905</v>
      </c>
    </row>
    <row r="7126" spans="1:40" x14ac:dyDescent="0.25">
      <c r="A7126" t="str">
        <f>"20190312164642435"</f>
        <v>20190312164642435</v>
      </c>
      <c r="B7126" t="str">
        <f>"1552380402428492"</f>
        <v>1552380402428492</v>
      </c>
      <c r="C7126" t="s">
        <v>40</v>
      </c>
      <c r="D7126">
        <v>5.7948069999999996</v>
      </c>
      <c r="E7126">
        <v>0.47439559999999997</v>
      </c>
      <c r="F7126" t="s">
        <v>42</v>
      </c>
      <c r="G7126">
        <v>-148.12280000000001</v>
      </c>
      <c r="H7126" s="1">
        <v>-1.0214009999999999E-6</v>
      </c>
      <c r="I7126">
        <v>138.29820000000001</v>
      </c>
      <c r="J7126">
        <v>-174.61689999999999</v>
      </c>
      <c r="K7126">
        <v>1.100061</v>
      </c>
      <c r="L7126">
        <v>136.3682</v>
      </c>
      <c r="M7126">
        <v>0.92460730000000002</v>
      </c>
      <c r="N7126">
        <v>0</v>
      </c>
      <c r="O7126">
        <v>0.38062069999999998</v>
      </c>
      <c r="P7126">
        <v>0.99065610000000004</v>
      </c>
      <c r="Q7126">
        <v>0.13621</v>
      </c>
      <c r="R7126">
        <v>-6.879446E-3</v>
      </c>
      <c r="S7126">
        <v>3.0466769999999999</v>
      </c>
      <c r="T7126">
        <v>-0.1257451</v>
      </c>
      <c r="U7126">
        <v>0.22702030000000001</v>
      </c>
      <c r="V7126">
        <v>0.38667230000000002</v>
      </c>
      <c r="W7126">
        <v>0.14156629999999901</v>
      </c>
      <c r="X7126">
        <v>0.91128670000000001</v>
      </c>
      <c r="Y7126">
        <v>0.31032999999999999</v>
      </c>
      <c r="Z7126">
        <v>-2.1713380000000001E-2</v>
      </c>
      <c r="AA7126">
        <v>0.95038089999999997</v>
      </c>
      <c r="AB7126">
        <v>25</v>
      </c>
      <c r="AC7126">
        <v>26.4940999999999</v>
      </c>
      <c r="AD7126">
        <v>-1.100062021401</v>
      </c>
      <c r="AE7126">
        <v>1.93</v>
      </c>
      <c r="AF7126">
        <v>8.2864518143062593</v>
      </c>
      <c r="AG7126">
        <v>-1.100062021401</v>
      </c>
      <c r="AH7126">
        <v>25.190928720519</v>
      </c>
      <c r="AI7126">
        <v>92.375399026955293</v>
      </c>
      <c r="AJ7126">
        <v>71.791593307254999</v>
      </c>
      <c r="AK7126">
        <v>26.541633520264298</v>
      </c>
      <c r="AL7126">
        <v>81.8615083102939</v>
      </c>
      <c r="AM7126">
        <v>67.007776107605594</v>
      </c>
      <c r="AN7126">
        <v>0.99999996723993401</v>
      </c>
    </row>
    <row r="7127" spans="1:40" x14ac:dyDescent="0.25">
      <c r="A7127" t="str">
        <f>"20190312164642446"</f>
        <v>20190312164642446</v>
      </c>
      <c r="B7127" t="str">
        <f>"1552380402438252"</f>
        <v>1552380402438252</v>
      </c>
      <c r="C7127" t="s">
        <v>40</v>
      </c>
      <c r="D7127">
        <v>5.4153349999999998</v>
      </c>
      <c r="E7127">
        <v>0.47421790000000003</v>
      </c>
      <c r="F7127" t="s">
        <v>42</v>
      </c>
      <c r="G7127">
        <v>-148.60339999999999</v>
      </c>
      <c r="H7127" s="1">
        <v>-8.3400069999999998E-7</v>
      </c>
      <c r="I7127">
        <v>138.21559999999999</v>
      </c>
      <c r="J7127">
        <v>-174.4957</v>
      </c>
      <c r="K7127">
        <v>1.10015</v>
      </c>
      <c r="L7127">
        <v>136.41040000000001</v>
      </c>
      <c r="M7127">
        <v>0.92717269999999896</v>
      </c>
      <c r="N7127">
        <v>0</v>
      </c>
      <c r="O7127">
        <v>0.37432900000000002</v>
      </c>
      <c r="P7127">
        <v>0.99074470000000003</v>
      </c>
      <c r="Q7127">
        <v>0.13545760000000001</v>
      </c>
      <c r="R7127">
        <v>-8.7402939999999991E-3</v>
      </c>
      <c r="S7127">
        <v>3.0475159999999999</v>
      </c>
      <c r="T7127">
        <v>-0.12887370000000001</v>
      </c>
      <c r="U7127">
        <v>0.2164307</v>
      </c>
      <c r="V7127">
        <v>0.38216719999999998</v>
      </c>
      <c r="W7127">
        <v>0.141006399999999</v>
      </c>
      <c r="X7127">
        <v>0.91327179999999997</v>
      </c>
      <c r="Y7127">
        <v>0.30715300000000001</v>
      </c>
      <c r="Z7127">
        <v>-2.193763E-2</v>
      </c>
      <c r="AA7127">
        <v>0.95140729999999996</v>
      </c>
      <c r="AB7127">
        <v>25</v>
      </c>
      <c r="AC7127">
        <v>25.892299999999999</v>
      </c>
      <c r="AD7127">
        <v>-1.1001508340007</v>
      </c>
      <c r="AE7127">
        <v>1.8051999999999799</v>
      </c>
      <c r="AF7127">
        <v>8.0050411652837195</v>
      </c>
      <c r="AG7127">
        <v>-1.1001508340007</v>
      </c>
      <c r="AH7127">
        <v>24.640923410053301</v>
      </c>
      <c r="AI7127">
        <v>92.431476197422398</v>
      </c>
      <c r="AJ7127">
        <v>72.002692510053805</v>
      </c>
      <c r="AK7127">
        <v>25.931951766412698</v>
      </c>
      <c r="AL7127">
        <v>81.893913361207794</v>
      </c>
      <c r="AM7127">
        <v>67.292667788003399</v>
      </c>
      <c r="AN7127">
        <v>0.99999997713601896</v>
      </c>
    </row>
    <row r="7128" spans="1:40" x14ac:dyDescent="0.25">
      <c r="A7128" t="str">
        <f>"20190312164642459"</f>
        <v>20190312164642459</v>
      </c>
      <c r="B7128" t="str">
        <f>"1552380402448012"</f>
        <v>1552380402448012</v>
      </c>
      <c r="C7128" t="s">
        <v>40</v>
      </c>
      <c r="D7128">
        <v>5.6330980000000004</v>
      </c>
      <c r="E7128">
        <v>0.4740183</v>
      </c>
      <c r="F7128" t="s">
        <v>42</v>
      </c>
      <c r="G7128">
        <v>-148.98650000000001</v>
      </c>
      <c r="H7128" s="1">
        <v>-7.0985869999999902E-7</v>
      </c>
      <c r="I7128">
        <v>138.19210000000001</v>
      </c>
      <c r="J7128">
        <v>-174.36060000000001</v>
      </c>
      <c r="K7128">
        <v>1.100276</v>
      </c>
      <c r="L7128">
        <v>136.45609999999999</v>
      </c>
      <c r="M7128">
        <v>0.92991270000000004</v>
      </c>
      <c r="N7128">
        <v>0</v>
      </c>
      <c r="O7128">
        <v>0.36747089999999999</v>
      </c>
      <c r="P7128">
        <v>0.99090679999999998</v>
      </c>
      <c r="Q7128">
        <v>0.13408699999999901</v>
      </c>
      <c r="R7128">
        <v>-1.114456E-2</v>
      </c>
      <c r="S7128">
        <v>3.0478969999999999</v>
      </c>
      <c r="T7128">
        <v>-0.1314487</v>
      </c>
      <c r="U7128">
        <v>0.21289060000000001</v>
      </c>
      <c r="V7128">
        <v>0.37761790000000001</v>
      </c>
      <c r="W7128">
        <v>0.13985059999999999</v>
      </c>
      <c r="X7128">
        <v>0.91533960000000003</v>
      </c>
      <c r="Y7128">
        <v>0.3012147</v>
      </c>
      <c r="Z7128">
        <v>-2.1970509999999999E-2</v>
      </c>
      <c r="AA7128">
        <v>0.95330320000000002</v>
      </c>
      <c r="AB7128">
        <v>25</v>
      </c>
      <c r="AC7128">
        <v>25.374099999999999</v>
      </c>
      <c r="AD7128">
        <v>-1.1002767098586901</v>
      </c>
      <c r="AE7128">
        <v>1.73600000000001</v>
      </c>
      <c r="AF7128">
        <v>7.6963881562610004</v>
      </c>
      <c r="AG7128">
        <v>-1.1002767098586901</v>
      </c>
      <c r="AH7128">
        <v>24.1911103216828</v>
      </c>
      <c r="AI7128">
        <v>92.481762200184804</v>
      </c>
      <c r="AJ7128">
        <v>72.351560480034095</v>
      </c>
      <c r="AK7128">
        <v>25.409738646548899</v>
      </c>
      <c r="AL7128">
        <v>81.960799002105901</v>
      </c>
      <c r="AM7128">
        <v>67.581695985982407</v>
      </c>
      <c r="AN7128">
        <v>1.0000000260244599</v>
      </c>
    </row>
    <row r="7129" spans="1:40" x14ac:dyDescent="0.25">
      <c r="A7129" t="str">
        <f>"20190312164642473"</f>
        <v>20190312164642473</v>
      </c>
      <c r="B7129" t="str">
        <f>"1552380402468507"</f>
        <v>1552380402468507</v>
      </c>
      <c r="C7129" t="s">
        <v>40</v>
      </c>
      <c r="D7129">
        <v>5.7844850000000001</v>
      </c>
      <c r="E7129">
        <v>0.47370190000000001</v>
      </c>
      <c r="F7129" t="s">
        <v>42</v>
      </c>
      <c r="G7129">
        <v>-149.82169999999999</v>
      </c>
      <c r="H7129" s="1">
        <v>-4.4251680000000001E-7</v>
      </c>
      <c r="I7129">
        <v>138.12870000000001</v>
      </c>
      <c r="J7129">
        <v>-174.2175</v>
      </c>
      <c r="K7129">
        <v>1.100427</v>
      </c>
      <c r="L7129">
        <v>136.50380000000001</v>
      </c>
      <c r="M7129">
        <v>0.93271950000000003</v>
      </c>
      <c r="N7129">
        <v>0</v>
      </c>
      <c r="O7129">
        <v>0.36028900000000003</v>
      </c>
      <c r="P7129">
        <v>0.99103569999999996</v>
      </c>
      <c r="Q7129">
        <v>0.1328703</v>
      </c>
      <c r="R7129">
        <v>-1.3918160000000001E-2</v>
      </c>
      <c r="S7129">
        <v>3.0483549999999999</v>
      </c>
      <c r="T7129">
        <v>-0.13668239999999901</v>
      </c>
      <c r="U7129">
        <v>0.20777889999999999</v>
      </c>
      <c r="V7129">
        <v>0.37308740000000001</v>
      </c>
      <c r="W7129">
        <v>0.13886189999999901</v>
      </c>
      <c r="X7129">
        <v>0.91734570000000004</v>
      </c>
      <c r="Y7129">
        <v>0.2954213</v>
      </c>
      <c r="Z7129">
        <v>-2.2412290000000001E-2</v>
      </c>
      <c r="AA7129">
        <v>0.95510419999999996</v>
      </c>
      <c r="AB7129">
        <v>25</v>
      </c>
      <c r="AC7129">
        <v>24.395800000000001</v>
      </c>
      <c r="AD7129">
        <v>-1.1004274425167999</v>
      </c>
      <c r="AE7129">
        <v>1.62489999999999</v>
      </c>
      <c r="AF7129">
        <v>7.2600786118669198</v>
      </c>
      <c r="AG7129">
        <v>-1.1004274425167999</v>
      </c>
      <c r="AH7129">
        <v>23.2953230109887</v>
      </c>
      <c r="AI7129">
        <v>92.582215296460106</v>
      </c>
      <c r="AJ7129">
        <v>72.690150198907105</v>
      </c>
      <c r="AK7129">
        <v>24.425227863686999</v>
      </c>
      <c r="AL7129">
        <v>82.018005208771896</v>
      </c>
      <c r="AM7129">
        <v>67.868268829108004</v>
      </c>
      <c r="AN7129">
        <v>0.99999998430942905</v>
      </c>
    </row>
    <row r="7130" spans="1:40" x14ac:dyDescent="0.25">
      <c r="A7130" t="str">
        <f>"20190312164642487"</f>
        <v>20190312164642487</v>
      </c>
      <c r="B7130" t="str">
        <f>"1552380402478268"</f>
        <v>1552380402478268</v>
      </c>
      <c r="C7130" t="s">
        <v>40</v>
      </c>
      <c r="D7130">
        <v>5.5615110000000003</v>
      </c>
      <c r="E7130">
        <v>0.47360989999999997</v>
      </c>
      <c r="F7130" t="s">
        <v>42</v>
      </c>
      <c r="G7130">
        <v>-150.70939999999999</v>
      </c>
      <c r="H7130" s="1">
        <v>-4.243089E-6</v>
      </c>
      <c r="I7130">
        <v>138.0651</v>
      </c>
      <c r="J7130">
        <v>-174.06489999999999</v>
      </c>
      <c r="K7130">
        <v>1.100608</v>
      </c>
      <c r="L7130">
        <v>136.55340000000001</v>
      </c>
      <c r="M7130">
        <v>0.93558739999999996</v>
      </c>
      <c r="N7130">
        <v>0</v>
      </c>
      <c r="O7130">
        <v>0.35277709999999901</v>
      </c>
      <c r="P7130">
        <v>0.99129690000000004</v>
      </c>
      <c r="Q7130">
        <v>0.1311167</v>
      </c>
      <c r="R7130">
        <v>-1.1780799999999999E-2</v>
      </c>
      <c r="S7130">
        <v>3.0491329999999999</v>
      </c>
      <c r="T7130">
        <v>-0.14273169999999999</v>
      </c>
      <c r="U7130">
        <v>0.20251459999999999</v>
      </c>
      <c r="V7130">
        <v>0.36367509999999997</v>
      </c>
      <c r="W7130">
        <v>0.1374872</v>
      </c>
      <c r="X7130">
        <v>0.92132389999999997</v>
      </c>
      <c r="Y7130">
        <v>0.28934850000000001</v>
      </c>
      <c r="Z7130">
        <v>-2.2927619999999999E-2</v>
      </c>
      <c r="AA7130">
        <v>0.95694920000000006</v>
      </c>
      <c r="AB7130">
        <v>25</v>
      </c>
      <c r="AC7130">
        <v>23.355499999999999</v>
      </c>
      <c r="AD7130">
        <v>-1.100612243089</v>
      </c>
      <c r="AE7130">
        <v>1.5116999999999901</v>
      </c>
      <c r="AF7130">
        <v>6.8106630785035902</v>
      </c>
      <c r="AG7130">
        <v>-1.100612243089</v>
      </c>
      <c r="AH7130">
        <v>22.337520090158101</v>
      </c>
      <c r="AI7130">
        <v>92.698348827648402</v>
      </c>
      <c r="AJ7130">
        <v>73.043646030340398</v>
      </c>
      <c r="AK7130">
        <v>23.378650146164301</v>
      </c>
      <c r="AL7130">
        <v>82.097532832562493</v>
      </c>
      <c r="AM7130">
        <v>68.459313920089301</v>
      </c>
      <c r="AN7130">
        <v>1.00000001861752</v>
      </c>
    </row>
    <row r="7131" spans="1:40" x14ac:dyDescent="0.25">
      <c r="A7131" t="str">
        <f>"20190312164642499"</f>
        <v>20190312164642499</v>
      </c>
      <c r="B7131" t="str">
        <f>"1552380402489004"</f>
        <v>1552380402489004</v>
      </c>
      <c r="C7131" t="s">
        <v>40</v>
      </c>
      <c r="D7131">
        <v>5.8052199999999896</v>
      </c>
      <c r="E7131">
        <v>0.47345670000000001</v>
      </c>
      <c r="F7131" t="s">
        <v>42</v>
      </c>
      <c r="G7131">
        <v>-151.53970000000001</v>
      </c>
      <c r="H7131" s="1">
        <v>-3.8803069999999999E-6</v>
      </c>
      <c r="I7131">
        <v>138.10210000000001</v>
      </c>
      <c r="J7131">
        <v>-173.93709999999999</v>
      </c>
      <c r="K7131">
        <v>1.100779</v>
      </c>
      <c r="L7131">
        <v>136.59379999999999</v>
      </c>
      <c r="M7131">
        <v>0.93788340000000003</v>
      </c>
      <c r="N7131">
        <v>0</v>
      </c>
      <c r="O7131">
        <v>0.34662890000000002</v>
      </c>
      <c r="P7131">
        <v>0.99133680000000002</v>
      </c>
      <c r="Q7131">
        <v>0.13064769999999901</v>
      </c>
      <c r="R7131">
        <v>-1.350751E-2</v>
      </c>
      <c r="S7131">
        <v>3.0485530000000001</v>
      </c>
      <c r="T7131">
        <v>-0.14895620000000001</v>
      </c>
      <c r="U7131">
        <v>0.20960999999999999</v>
      </c>
      <c r="V7131">
        <v>0.35917300000000002</v>
      </c>
      <c r="W7131">
        <v>0.1372477</v>
      </c>
      <c r="X7131">
        <v>0.92312399999999994</v>
      </c>
      <c r="Y7131">
        <v>0.28078199999999998</v>
      </c>
      <c r="Z7131">
        <v>-2.343551E-2</v>
      </c>
      <c r="AA7131">
        <v>0.95948540000000004</v>
      </c>
      <c r="AB7131">
        <v>25</v>
      </c>
      <c r="AC7131">
        <v>22.397399999999902</v>
      </c>
      <c r="AD7131">
        <v>-1.1007828803069999</v>
      </c>
      <c r="AE7131">
        <v>1.50830000000001</v>
      </c>
      <c r="AF7131">
        <v>6.3344532135653804</v>
      </c>
      <c r="AG7131">
        <v>-1.1007828803069999</v>
      </c>
      <c r="AH7131">
        <v>21.479722191537199</v>
      </c>
      <c r="AI7131">
        <v>92.814088743576704</v>
      </c>
      <c r="AJ7131">
        <v>73.569007772843506</v>
      </c>
      <c r="AK7131">
        <v>22.421317666231001</v>
      </c>
      <c r="AL7131">
        <v>82.111386729278493</v>
      </c>
      <c r="AM7131">
        <v>68.739772705529404</v>
      </c>
      <c r="AN7131">
        <v>1.00000004723014</v>
      </c>
    </row>
    <row r="7132" spans="1:40" x14ac:dyDescent="0.25">
      <c r="A7132" t="str">
        <f>"20190312164642513"</f>
        <v>20190312164642513</v>
      </c>
      <c r="B7132" t="str">
        <f>"1552380402508524"</f>
        <v>1552380402508524</v>
      </c>
      <c r="C7132" t="s">
        <v>40</v>
      </c>
      <c r="D7132">
        <v>5.819833</v>
      </c>
      <c r="E7132">
        <v>0.47325630000000002</v>
      </c>
      <c r="F7132" t="s">
        <v>42</v>
      </c>
      <c r="G7132">
        <v>-151.79409999999999</v>
      </c>
      <c r="H7132" s="1">
        <v>-3.7740100000000001E-6</v>
      </c>
      <c r="I7132">
        <v>138.08609999999999</v>
      </c>
      <c r="J7132">
        <v>-173.79349999999999</v>
      </c>
      <c r="K7132">
        <v>1.100981</v>
      </c>
      <c r="L7132">
        <v>136.6386</v>
      </c>
      <c r="M7132">
        <v>0.94038029999999995</v>
      </c>
      <c r="N7132">
        <v>0</v>
      </c>
      <c r="O7132">
        <v>0.3397983</v>
      </c>
      <c r="P7132">
        <v>0.99138499999999996</v>
      </c>
      <c r="Q7132">
        <v>0.13001179999999901</v>
      </c>
      <c r="R7132">
        <v>-1.5898780000000001E-2</v>
      </c>
      <c r="S7132">
        <v>3.0489959999999998</v>
      </c>
      <c r="T7132">
        <v>-0.15157319999999999</v>
      </c>
      <c r="U7132">
        <v>0.20549010000000001</v>
      </c>
      <c r="V7132">
        <v>0.35462090000000002</v>
      </c>
      <c r="W7132">
        <v>0.13685799999999901</v>
      </c>
      <c r="X7132">
        <v>0.92493990000000004</v>
      </c>
      <c r="Y7132">
        <v>0.27508660000000001</v>
      </c>
      <c r="Z7132">
        <v>-2.3383609999999999E-2</v>
      </c>
      <c r="AA7132">
        <v>0.96113499999999996</v>
      </c>
      <c r="AB7132">
        <v>24</v>
      </c>
      <c r="AC7132">
        <v>21.999400000000001</v>
      </c>
      <c r="AD7132">
        <v>-1.1009847740100001</v>
      </c>
      <c r="AE7132">
        <v>1.44749999999999</v>
      </c>
      <c r="AF7132">
        <v>6.0996256828689202</v>
      </c>
      <c r="AG7132">
        <v>-1.1009847740100001</v>
      </c>
      <c r="AH7132">
        <v>21.12931913029</v>
      </c>
      <c r="AI7132">
        <v>92.865987713072997</v>
      </c>
      <c r="AJ7132">
        <v>73.897594291408694</v>
      </c>
      <c r="AK7132">
        <v>22.019666842469601</v>
      </c>
      <c r="AL7132">
        <v>82.133926878922395</v>
      </c>
      <c r="AM7132">
        <v>69.023233430397497</v>
      </c>
      <c r="AN7132">
        <v>0.99999995674640896</v>
      </c>
    </row>
    <row r="7133" spans="1:40" x14ac:dyDescent="0.25">
      <c r="A7133" t="str">
        <f>"20190312164642527"</f>
        <v>20190312164642527</v>
      </c>
      <c r="B7133" t="str">
        <f>"1552380402518284"</f>
        <v>1552380402518284</v>
      </c>
      <c r="C7133" t="s">
        <v>40</v>
      </c>
      <c r="D7133">
        <v>5.565334</v>
      </c>
      <c r="E7133">
        <v>0.47320849999999998</v>
      </c>
      <c r="F7133" t="s">
        <v>42</v>
      </c>
      <c r="G7133">
        <v>-151.9539</v>
      </c>
      <c r="H7133" s="1">
        <v>-3.7083640000000002E-6</v>
      </c>
      <c r="I7133">
        <v>138.06970000000001</v>
      </c>
      <c r="J7133">
        <v>-173.63509999999999</v>
      </c>
      <c r="K7133">
        <v>1.1012059999999999</v>
      </c>
      <c r="L7133">
        <v>136.68680000000001</v>
      </c>
      <c r="M7133">
        <v>0.94301089999999999</v>
      </c>
      <c r="N7133">
        <v>0</v>
      </c>
      <c r="O7133">
        <v>0.33243050000000002</v>
      </c>
      <c r="P7133">
        <v>0.99144100000000002</v>
      </c>
      <c r="Q7133">
        <v>0.12913910000000001</v>
      </c>
      <c r="R7133">
        <v>-1.9186290000000002E-2</v>
      </c>
      <c r="S7133">
        <v>3.0494379999999999</v>
      </c>
      <c r="T7133">
        <v>-0.1537297</v>
      </c>
      <c r="U7133">
        <v>0.19982910000000001</v>
      </c>
      <c r="V7133">
        <v>0.3503848</v>
      </c>
      <c r="W7133">
        <v>0.13623729999999901</v>
      </c>
      <c r="X7133">
        <v>0.92664440000000003</v>
      </c>
      <c r="Y7133">
        <v>0.2693412</v>
      </c>
      <c r="Z7133">
        <v>-2.3219190000000001E-2</v>
      </c>
      <c r="AA7133">
        <v>0.96276490000000003</v>
      </c>
      <c r="AB7133">
        <v>24</v>
      </c>
      <c r="AC7133">
        <v>21.681199999999901</v>
      </c>
      <c r="AD7133">
        <v>-1.101209708364</v>
      </c>
      <c r="AE7133">
        <v>1.3829</v>
      </c>
      <c r="AF7133">
        <v>5.8889228132794402</v>
      </c>
      <c r="AG7133">
        <v>-1.101209708364</v>
      </c>
      <c r="AH7133">
        <v>20.8540505267427</v>
      </c>
      <c r="AI7133">
        <v>92.909167116979404</v>
      </c>
      <c r="AJ7133">
        <v>74.230984568051198</v>
      </c>
      <c r="AK7133">
        <v>21.697545900274001</v>
      </c>
      <c r="AL7133">
        <v>82.169826786004606</v>
      </c>
      <c r="AM7133">
        <v>69.287282939068007</v>
      </c>
      <c r="AN7133">
        <v>0.99999997701684396</v>
      </c>
    </row>
    <row r="7134" spans="1:40" x14ac:dyDescent="0.25">
      <c r="A7134" t="str">
        <f>"20190312164642543"</f>
        <v>20190312164642543</v>
      </c>
      <c r="B7134" t="str">
        <f>"1552380402537804"</f>
        <v>1552380402537804</v>
      </c>
      <c r="C7134" t="s">
        <v>40</v>
      </c>
      <c r="D7134">
        <v>5.5640199999999904</v>
      </c>
      <c r="E7134">
        <v>0.47314099999999998</v>
      </c>
      <c r="F7134" t="s">
        <v>42</v>
      </c>
      <c r="G7134">
        <v>-152.215</v>
      </c>
      <c r="H7134" s="1">
        <v>-3.6043259999999998E-6</v>
      </c>
      <c r="I7134">
        <v>138.0249</v>
      </c>
      <c r="J7134">
        <v>-173.46260000000001</v>
      </c>
      <c r="K7134">
        <v>1.101429</v>
      </c>
      <c r="L7134">
        <v>136.73779999999999</v>
      </c>
      <c r="M7134">
        <v>0.94572780000000001</v>
      </c>
      <c r="N7134">
        <v>0</v>
      </c>
      <c r="O7134">
        <v>0.3246231</v>
      </c>
      <c r="P7134">
        <v>0.99167280000000002</v>
      </c>
      <c r="Q7134">
        <v>0.12741079999999999</v>
      </c>
      <c r="R7134">
        <v>-1.8750969999999999E-2</v>
      </c>
      <c r="S7134">
        <v>3.0500180000000001</v>
      </c>
      <c r="T7134">
        <v>-0.1568013</v>
      </c>
      <c r="U7134">
        <v>0.1905365</v>
      </c>
      <c r="V7134">
        <v>0.34225139999999998</v>
      </c>
      <c r="W7134">
        <v>0.1348521</v>
      </c>
      <c r="X7134">
        <v>0.92988119999999996</v>
      </c>
      <c r="Y7134">
        <v>0.26429629999999998</v>
      </c>
      <c r="Z7134">
        <v>-2.3172109999999999E-2</v>
      </c>
      <c r="AA7134">
        <v>0.96416310000000005</v>
      </c>
      <c r="AB7134">
        <v>24</v>
      </c>
      <c r="AC7134">
        <v>21.247599999999998</v>
      </c>
      <c r="AD7134">
        <v>-1.1014326043260001</v>
      </c>
      <c r="AE7134">
        <v>1.2870999999999999</v>
      </c>
      <c r="AF7134">
        <v>5.6656679800623504</v>
      </c>
      <c r="AG7134">
        <v>-1.1014326043260001</v>
      </c>
      <c r="AH7134">
        <v>20.459734612020299</v>
      </c>
      <c r="AI7134">
        <v>92.969937523992598</v>
      </c>
      <c r="AJ7134">
        <v>74.521634107763603</v>
      </c>
      <c r="AK7134">
        <v>21.258261637219501</v>
      </c>
      <c r="AL7134">
        <v>82.249932969201097</v>
      </c>
      <c r="AM7134">
        <v>69.793393770100096</v>
      </c>
      <c r="AN7134">
        <v>1.0000000778949001</v>
      </c>
    </row>
    <row r="7135" spans="1:40" x14ac:dyDescent="0.25">
      <c r="A7135" t="str">
        <f>"20190312164642558"</f>
        <v>20190312164642558</v>
      </c>
      <c r="B7135" t="str">
        <f>"1552380402548540"</f>
        <v>1552380402548540</v>
      </c>
      <c r="C7135" t="s">
        <v>40</v>
      </c>
      <c r="D7135">
        <v>5.6210069999999996</v>
      </c>
      <c r="E7135">
        <v>0.47314699999999998</v>
      </c>
      <c r="F7135" t="s">
        <v>42</v>
      </c>
      <c r="G7135">
        <v>-152.77629999999999</v>
      </c>
      <c r="H7135" s="1">
        <v>-3.359777E-6</v>
      </c>
      <c r="I7135">
        <v>138.04589999999999</v>
      </c>
      <c r="J7135">
        <v>-173.30599999999899</v>
      </c>
      <c r="K7135">
        <v>1.101629</v>
      </c>
      <c r="L7135">
        <v>136.78309999999999</v>
      </c>
      <c r="M7135">
        <v>0.94807580000000002</v>
      </c>
      <c r="N7135">
        <v>0</v>
      </c>
      <c r="O7135">
        <v>0.3177027</v>
      </c>
      <c r="P7135">
        <v>0.9917591</v>
      </c>
      <c r="Q7135">
        <v>0.12633539999999999</v>
      </c>
      <c r="R7135">
        <v>-2.1293059999999999E-2</v>
      </c>
      <c r="S7135">
        <v>3.0496829999999999</v>
      </c>
      <c r="T7135">
        <v>-0.162379</v>
      </c>
      <c r="U7135">
        <v>0.19285579999999999</v>
      </c>
      <c r="V7135">
        <v>0.33778530000000001</v>
      </c>
      <c r="W7135">
        <v>0.1339997</v>
      </c>
      <c r="X7135">
        <v>0.93163580000000001</v>
      </c>
      <c r="Y7135">
        <v>0.25646819999999998</v>
      </c>
      <c r="Z7135">
        <v>-2.3438239999999999E-2</v>
      </c>
      <c r="AA7135">
        <v>0.96626849999999997</v>
      </c>
      <c r="AB7135">
        <v>24</v>
      </c>
      <c r="AC7135">
        <v>20.529699999999899</v>
      </c>
      <c r="AD7135">
        <v>-1.1016323597769999</v>
      </c>
      <c r="AE7135">
        <v>1.2627999999999899</v>
      </c>
      <c r="AF7135">
        <v>5.3104560857337599</v>
      </c>
      <c r="AG7135">
        <v>-1.1016323597769999</v>
      </c>
      <c r="AH7135">
        <v>19.810237718819799</v>
      </c>
      <c r="AI7135">
        <v>93.074564167341094</v>
      </c>
      <c r="AJ7135">
        <v>74.993742693953493</v>
      </c>
      <c r="AK7135">
        <v>20.5392321222281</v>
      </c>
      <c r="AL7135">
        <v>82.299218982985707</v>
      </c>
      <c r="AM7135">
        <v>70.070759957102794</v>
      </c>
      <c r="AN7135">
        <v>1.0000000461689</v>
      </c>
    </row>
    <row r="7136" spans="1:40" x14ac:dyDescent="0.25">
      <c r="A7136" t="str">
        <f>"20190312164642599"</f>
        <v>20190312164642599</v>
      </c>
      <c r="B7136" t="str">
        <f>"1552380402588556"</f>
        <v>1552380402588556</v>
      </c>
      <c r="C7136" t="s">
        <v>40</v>
      </c>
      <c r="D7136">
        <v>5.5663150000000003</v>
      </c>
      <c r="E7136">
        <v>0.47317559999999897</v>
      </c>
      <c r="F7136" t="s">
        <v>42</v>
      </c>
      <c r="G7136">
        <v>-153.071</v>
      </c>
      <c r="H7136" s="1">
        <v>-3.2397359999999998E-6</v>
      </c>
      <c r="I7136">
        <v>138.01</v>
      </c>
      <c r="J7136">
        <v>-172.86940000000001</v>
      </c>
      <c r="K7136">
        <v>1.102106</v>
      </c>
      <c r="L7136">
        <v>136.90379999999999</v>
      </c>
      <c r="M7136">
        <v>0.9540786</v>
      </c>
      <c r="N7136">
        <v>0</v>
      </c>
      <c r="O7136">
        <v>0.29920039999999998</v>
      </c>
      <c r="P7136">
        <v>0.99209950000000002</v>
      </c>
      <c r="Q7136">
        <v>0.123528</v>
      </c>
      <c r="R7136">
        <v>-2.1901569999999999E-2</v>
      </c>
      <c r="S7136">
        <v>3.050049</v>
      </c>
      <c r="T7136">
        <v>-0.16605</v>
      </c>
      <c r="U7136">
        <v>0.1849518</v>
      </c>
      <c r="V7136">
        <v>0.3200424</v>
      </c>
      <c r="W7136">
        <v>0.1318484</v>
      </c>
      <c r="X7136">
        <v>0.93818380000000001</v>
      </c>
      <c r="Y7136">
        <v>0.24014740000000001</v>
      </c>
      <c r="Z7136">
        <v>-2.2562530000000001E-2</v>
      </c>
      <c r="AA7136">
        <v>0.97047419999999995</v>
      </c>
      <c r="AB7136">
        <v>24</v>
      </c>
      <c r="AC7136">
        <v>19.798400000000001</v>
      </c>
      <c r="AD7136">
        <v>-1.1021092397359999</v>
      </c>
      <c r="AE7136">
        <v>1.1062000000000001</v>
      </c>
      <c r="AF7136">
        <v>4.8538123311925503</v>
      </c>
      <c r="AG7136">
        <v>-1.1021092397359999</v>
      </c>
      <c r="AH7136">
        <v>19.163056845985999</v>
      </c>
      <c r="AI7136">
        <v>93.191027206344401</v>
      </c>
      <c r="AJ7136">
        <v>75.786474963767702</v>
      </c>
      <c r="AK7136">
        <v>19.7989112479762</v>
      </c>
      <c r="AL7136">
        <v>82.423582566808705</v>
      </c>
      <c r="AM7136">
        <v>71.163964544695702</v>
      </c>
      <c r="AN7136">
        <v>0.99999999048138</v>
      </c>
    </row>
    <row r="7137" spans="1:40" x14ac:dyDescent="0.25">
      <c r="A7137" t="str">
        <f>"20190312164642621"</f>
        <v>20190312164642621</v>
      </c>
      <c r="B7137" t="str">
        <f>"1552380402617836"</f>
        <v>1552380402617836</v>
      </c>
      <c r="C7137" t="s">
        <v>40</v>
      </c>
      <c r="D7137">
        <v>5.5560359999999998</v>
      </c>
      <c r="E7137">
        <v>0.47341670000000002</v>
      </c>
      <c r="F7137" t="s">
        <v>42</v>
      </c>
      <c r="G7137">
        <v>-153.84450000000001</v>
      </c>
      <c r="H7137" s="1">
        <v>-2.904281E-6</v>
      </c>
      <c r="I7137">
        <v>138.03059999999999</v>
      </c>
      <c r="J7137">
        <v>-172.62970000000001</v>
      </c>
      <c r="K7137">
        <v>1.102314</v>
      </c>
      <c r="L7137">
        <v>136.96680000000001</v>
      </c>
      <c r="M7137">
        <v>0.95707699999999996</v>
      </c>
      <c r="N7137">
        <v>0</v>
      </c>
      <c r="O7137">
        <v>0.28946919999999998</v>
      </c>
      <c r="P7137">
        <v>0.99216119999999997</v>
      </c>
      <c r="Q7137">
        <v>0.12284680000000001</v>
      </c>
      <c r="R7137">
        <v>-2.2909840000000001E-2</v>
      </c>
      <c r="S7137">
        <v>3.0498810000000001</v>
      </c>
      <c r="T7137">
        <v>-0.176678799999999</v>
      </c>
      <c r="U7137">
        <v>0.1806335</v>
      </c>
      <c r="V7137">
        <v>0.31135839999999998</v>
      </c>
      <c r="W7137">
        <v>0.1314485</v>
      </c>
      <c r="X7137">
        <v>0.94115740000000003</v>
      </c>
      <c r="Y7137">
        <v>0.231546</v>
      </c>
      <c r="Z7137">
        <v>-2.3218240000000001E-2</v>
      </c>
      <c r="AA7137">
        <v>0.97254680000000004</v>
      </c>
      <c r="AB7137">
        <v>24</v>
      </c>
      <c r="AC7137">
        <v>18.7852</v>
      </c>
      <c r="AD7137">
        <v>-1.1023169042809999</v>
      </c>
      <c r="AE7137">
        <v>1.0637999999999801</v>
      </c>
      <c r="AF7137">
        <v>4.4049457951403603</v>
      </c>
      <c r="AG7137">
        <v>-1.1023169042809999</v>
      </c>
      <c r="AH7137">
        <v>18.226193015547501</v>
      </c>
      <c r="AI7137">
        <v>93.364391758981</v>
      </c>
      <c r="AJ7137">
        <v>76.413169783240306</v>
      </c>
      <c r="AK7137">
        <v>18.783310726695099</v>
      </c>
      <c r="AL7137">
        <v>82.446696442354295</v>
      </c>
      <c r="AM7137">
        <v>71.6944934121085</v>
      </c>
      <c r="AN7137">
        <v>1.00000000648878</v>
      </c>
    </row>
    <row r="7138" spans="1:40" x14ac:dyDescent="0.25">
      <c r="A7138" t="str">
        <f>"20190312164642636"</f>
        <v>20190312164642636</v>
      </c>
      <c r="B7138" t="str">
        <f>"1552380402628572"</f>
        <v>1552380402628572</v>
      </c>
      <c r="C7138" t="s">
        <v>40</v>
      </c>
      <c r="D7138">
        <v>5.5578589999999997</v>
      </c>
      <c r="E7138">
        <v>0.47348230000000002</v>
      </c>
      <c r="F7138" t="s">
        <v>42</v>
      </c>
      <c r="G7138">
        <v>-153.91030000000001</v>
      </c>
      <c r="H7138" s="1">
        <v>-2.875069E-6</v>
      </c>
      <c r="I7138">
        <v>138.0361</v>
      </c>
      <c r="J7138">
        <v>-172.46639999999999</v>
      </c>
      <c r="K7138">
        <v>1.102438</v>
      </c>
      <c r="L7138">
        <v>137.00829999999999</v>
      </c>
      <c r="M7138">
        <v>0.95901720000000001</v>
      </c>
      <c r="N7138">
        <v>0</v>
      </c>
      <c r="O7138">
        <v>0.28297709999999998</v>
      </c>
      <c r="P7138">
        <v>0.9921586</v>
      </c>
      <c r="Q7138">
        <v>0.12236610000000001</v>
      </c>
      <c r="R7138">
        <v>-2.5458060000000001E-2</v>
      </c>
      <c r="S7138">
        <v>3.049957</v>
      </c>
      <c r="T7138">
        <v>-0.1796005</v>
      </c>
      <c r="U7138">
        <v>0.17422489999999999</v>
      </c>
      <c r="V7138">
        <v>0.30735659999999998</v>
      </c>
      <c r="W7138">
        <v>0.13110350000000001</v>
      </c>
      <c r="X7138">
        <v>0.94251989999999997</v>
      </c>
      <c r="Y7138">
        <v>0.22698009999999999</v>
      </c>
      <c r="Z7138">
        <v>-2.3101900000000002E-2</v>
      </c>
      <c r="AA7138">
        <v>0.97362539999999997</v>
      </c>
      <c r="AB7138">
        <v>24</v>
      </c>
      <c r="AC7138">
        <v>18.556099999999901</v>
      </c>
      <c r="AD7138">
        <v>-1.102440875069</v>
      </c>
      <c r="AE7138">
        <v>1.02780000000001</v>
      </c>
      <c r="AF7138">
        <v>4.2507633404528704</v>
      </c>
      <c r="AG7138">
        <v>-1.102440875069</v>
      </c>
      <c r="AH7138">
        <v>18.024934111657299</v>
      </c>
      <c r="AI7138">
        <v>93.406743240255693</v>
      </c>
      <c r="AJ7138">
        <v>76.730561708408302</v>
      </c>
      <c r="AK7138">
        <v>18.552159297212501</v>
      </c>
      <c r="AL7138">
        <v>82.466635880449303</v>
      </c>
      <c r="AM7138">
        <v>71.938805270883407</v>
      </c>
      <c r="AN7138">
        <v>0.999999984585909</v>
      </c>
    </row>
    <row r="7139" spans="1:40" x14ac:dyDescent="0.25">
      <c r="A7139" t="str">
        <f>"20190312164642654"</f>
        <v>20190312164642654</v>
      </c>
      <c r="B7139" t="str">
        <f>"1552380402648092"</f>
        <v>1552380402648092</v>
      </c>
      <c r="C7139" t="s">
        <v>40</v>
      </c>
      <c r="D7139">
        <v>5.7760339999999903</v>
      </c>
      <c r="E7139">
        <v>0.47359469999999998</v>
      </c>
      <c r="F7139" t="s">
        <v>42</v>
      </c>
      <c r="G7139">
        <v>-153.86869999999999</v>
      </c>
      <c r="H7139" s="1">
        <v>-2.8961160000000001E-6</v>
      </c>
      <c r="I7139">
        <v>138.0181</v>
      </c>
      <c r="J7139">
        <v>-172.26840000000001</v>
      </c>
      <c r="K7139">
        <v>1.1025739999999999</v>
      </c>
      <c r="L7139">
        <v>137.0573</v>
      </c>
      <c r="M7139">
        <v>0.96127030000000002</v>
      </c>
      <c r="N7139">
        <v>0</v>
      </c>
      <c r="O7139">
        <v>0.27522929999999901</v>
      </c>
      <c r="P7139">
        <v>0.99232330000000002</v>
      </c>
      <c r="Q7139">
        <v>0.12113740000000001</v>
      </c>
      <c r="R7139">
        <v>-2.4912190000000001E-2</v>
      </c>
      <c r="S7139">
        <v>3.050278</v>
      </c>
      <c r="T7139">
        <v>-0.18081459999999999</v>
      </c>
      <c r="U7139">
        <v>0.16561890000000001</v>
      </c>
      <c r="V7139">
        <v>0.29918430000000001</v>
      </c>
      <c r="W7139">
        <v>0.13009689999999999</v>
      </c>
      <c r="X7139">
        <v>0.94528489999999998</v>
      </c>
      <c r="Y7139">
        <v>0.2218736</v>
      </c>
      <c r="Z7139">
        <v>-2.26652E-2</v>
      </c>
      <c r="AA7139">
        <v>0.97481200000000001</v>
      </c>
      <c r="AB7139">
        <v>24</v>
      </c>
      <c r="AC7139">
        <v>18.399699999999999</v>
      </c>
      <c r="AD7139">
        <v>-1.1025768961159901</v>
      </c>
      <c r="AE7139">
        <v>0.96080000000000598</v>
      </c>
      <c r="AF7139">
        <v>4.12620298214968</v>
      </c>
      <c r="AG7139">
        <v>-1.1025768961159901</v>
      </c>
      <c r="AH7139">
        <v>17.889331800309499</v>
      </c>
      <c r="AI7139">
        <v>93.436850360457399</v>
      </c>
      <c r="AJ7139">
        <v>77.011782408303901</v>
      </c>
      <c r="AK7139">
        <v>18.392102085496301</v>
      </c>
      <c r="AL7139">
        <v>82.524808135341601</v>
      </c>
      <c r="AM7139">
        <v>72.437330869696893</v>
      </c>
      <c r="AN7139">
        <v>0.99999999546205498</v>
      </c>
    </row>
    <row r="7140" spans="1:40" x14ac:dyDescent="0.25">
      <c r="A7140" t="str">
        <f>"20190312164642667"</f>
        <v>20190312164642667</v>
      </c>
      <c r="B7140" t="str">
        <f>"1552380402657852"</f>
        <v>1552380402657852</v>
      </c>
      <c r="C7140" t="s">
        <v>40</v>
      </c>
      <c r="D7140">
        <v>5.5390319999999997</v>
      </c>
      <c r="E7140">
        <v>0.47365309999999999</v>
      </c>
      <c r="F7140" t="s">
        <v>42</v>
      </c>
      <c r="G7140">
        <v>-154.005</v>
      </c>
      <c r="H7140" s="1">
        <v>-2.8314429999999998E-6</v>
      </c>
      <c r="I7140">
        <v>138.053</v>
      </c>
      <c r="J7140">
        <v>-172.12569999999999</v>
      </c>
      <c r="K7140">
        <v>1.1026670000000001</v>
      </c>
      <c r="L7140">
        <v>137.09180000000001</v>
      </c>
      <c r="M7140">
        <v>0.96283249999999998</v>
      </c>
      <c r="N7140">
        <v>0</v>
      </c>
      <c r="O7140">
        <v>0.26971509999999999</v>
      </c>
      <c r="P7140">
        <v>0.99241089999999998</v>
      </c>
      <c r="Q7140">
        <v>0.1201569</v>
      </c>
      <c r="R7140">
        <v>-2.6133190000000001E-2</v>
      </c>
      <c r="S7140">
        <v>3.0498660000000002</v>
      </c>
      <c r="T7140">
        <v>-0.1841228</v>
      </c>
      <c r="U7140">
        <v>0.16627500000000001</v>
      </c>
      <c r="V7140">
        <v>0.29490650000000002</v>
      </c>
      <c r="W7140">
        <v>0.12923689999999999</v>
      </c>
      <c r="X7140">
        <v>0.94674599999999998</v>
      </c>
      <c r="Y7140">
        <v>0.21605360000000001</v>
      </c>
      <c r="Z7140">
        <v>-2.2585310000000001E-2</v>
      </c>
      <c r="AA7140">
        <v>0.97612019999999999</v>
      </c>
      <c r="AB7140">
        <v>24</v>
      </c>
      <c r="AC7140">
        <v>18.120699999999999</v>
      </c>
      <c r="AD7140">
        <v>-1.1026698314429999</v>
      </c>
      <c r="AE7140">
        <v>0.96119999999999095</v>
      </c>
      <c r="AF7140">
        <v>3.9477854094059799</v>
      </c>
      <c r="AG7140">
        <v>-1.1026698314429999</v>
      </c>
      <c r="AH7140">
        <v>17.643137637547301</v>
      </c>
      <c r="AI7140">
        <v>93.490165910746001</v>
      </c>
      <c r="AJ7140">
        <v>77.387390969547297</v>
      </c>
      <c r="AK7140">
        <v>18.113011789686801</v>
      </c>
      <c r="AL7140">
        <v>82.574502108815594</v>
      </c>
      <c r="AM7140">
        <v>72.698457658704498</v>
      </c>
      <c r="AN7140">
        <v>1.00000000428993</v>
      </c>
    </row>
    <row r="7141" spans="1:40" x14ac:dyDescent="0.25">
      <c r="A7141" t="str">
        <f>"20190312164642684"</f>
        <v>20190312164642684</v>
      </c>
      <c r="B7141" t="str">
        <f>"1552380402678348"</f>
        <v>1552380402678348</v>
      </c>
      <c r="C7141" t="s">
        <v>40</v>
      </c>
      <c r="D7141">
        <v>5.6402260000000002</v>
      </c>
      <c r="E7141">
        <v>0.47381230000000002</v>
      </c>
      <c r="F7141" t="s">
        <v>42</v>
      </c>
      <c r="G7141">
        <v>-154.1386</v>
      </c>
      <c r="H7141" s="1">
        <v>-2.775442E-6</v>
      </c>
      <c r="I7141">
        <v>138.0455</v>
      </c>
      <c r="J7141">
        <v>-171.95230000000001</v>
      </c>
      <c r="K7141">
        <v>1.1027720000000001</v>
      </c>
      <c r="L7141">
        <v>137.13229999999999</v>
      </c>
      <c r="M7141">
        <v>0.96465909999999999</v>
      </c>
      <c r="N7141">
        <v>0</v>
      </c>
      <c r="O7141">
        <v>0.26310939999999999</v>
      </c>
      <c r="P7141">
        <v>0.99245450000000002</v>
      </c>
      <c r="Q7141">
        <v>0.1192378</v>
      </c>
      <c r="R7141">
        <v>-2.8573669999999999E-2</v>
      </c>
      <c r="S7141">
        <v>3.04982</v>
      </c>
      <c r="T7141">
        <v>-0.18696399999999999</v>
      </c>
      <c r="U7141">
        <v>0.16171259999999901</v>
      </c>
      <c r="V7141">
        <v>0.2907187</v>
      </c>
      <c r="W7141">
        <v>0.1284344</v>
      </c>
      <c r="X7141">
        <v>0.94814940000000003</v>
      </c>
      <c r="Y7141">
        <v>0.21080879999999999</v>
      </c>
      <c r="Z7141">
        <v>-2.238329E-2</v>
      </c>
      <c r="AA7141">
        <v>0.977271</v>
      </c>
      <c r="AB7141">
        <v>24</v>
      </c>
      <c r="AC7141">
        <v>17.813700000000001</v>
      </c>
      <c r="AD7141">
        <v>-1.1027747754420001</v>
      </c>
      <c r="AE7141">
        <v>0.913200000000017</v>
      </c>
      <c r="AF7141">
        <v>3.7919239162155098</v>
      </c>
      <c r="AG7141">
        <v>-1.1027747754420001</v>
      </c>
      <c r="AH7141">
        <v>17.359861890678701</v>
      </c>
      <c r="AI7141">
        <v>93.551285653749702</v>
      </c>
      <c r="AJ7141">
        <v>77.678382018472405</v>
      </c>
      <c r="AK7141">
        <v>17.803359347470199</v>
      </c>
      <c r="AL7141">
        <v>82.620868516771793</v>
      </c>
      <c r="AM7141">
        <v>72.953571495631195</v>
      </c>
      <c r="AN7141">
        <v>1.0000000211766999</v>
      </c>
    </row>
    <row r="7142" spans="1:40" x14ac:dyDescent="0.25">
      <c r="A7142" t="str">
        <f>"20190312164642696"</f>
        <v>20190312164642696</v>
      </c>
      <c r="B7142" t="str">
        <f>"1552380402688107"</f>
        <v>1552380402688107</v>
      </c>
      <c r="C7142" t="s">
        <v>40</v>
      </c>
      <c r="D7142">
        <v>5.5592269999999999</v>
      </c>
      <c r="E7142">
        <v>0.4738791</v>
      </c>
      <c r="F7142" t="s">
        <v>42</v>
      </c>
      <c r="G7142">
        <v>-154.17089999999999</v>
      </c>
      <c r="H7142" s="1">
        <v>-2.7656240000000001E-6</v>
      </c>
      <c r="I7142">
        <v>138.02279999999999</v>
      </c>
      <c r="J7142">
        <v>-171.80940000000001</v>
      </c>
      <c r="K7142">
        <v>1.1028500000000001</v>
      </c>
      <c r="L7142">
        <v>137.16480000000001</v>
      </c>
      <c r="M7142">
        <v>0.96611389999999997</v>
      </c>
      <c r="N7142">
        <v>0</v>
      </c>
      <c r="O7142">
        <v>0.2577178</v>
      </c>
      <c r="P7142">
        <v>0.99245609999999995</v>
      </c>
      <c r="Q7142">
        <v>0.1189076</v>
      </c>
      <c r="R7142">
        <v>-2.986687E-2</v>
      </c>
      <c r="S7142">
        <v>3.0499269999999998</v>
      </c>
      <c r="T7142">
        <v>-0.1891515</v>
      </c>
      <c r="U7142">
        <v>0.15275569999999999</v>
      </c>
      <c r="V7142">
        <v>0.28663</v>
      </c>
      <c r="W7142">
        <v>0.12820790000000001</v>
      </c>
      <c r="X7142">
        <v>0.94942400000000005</v>
      </c>
      <c r="Y7142">
        <v>0.2082077</v>
      </c>
      <c r="Z7142">
        <v>-2.2242830000000002E-2</v>
      </c>
      <c r="AA7142">
        <v>0.97783169999999997</v>
      </c>
      <c r="AB7142">
        <v>24</v>
      </c>
      <c r="AC7142">
        <v>17.638500000000001</v>
      </c>
      <c r="AD7142">
        <v>-1.1028527656239999</v>
      </c>
      <c r="AE7142">
        <v>0.857999999999975</v>
      </c>
      <c r="AF7142">
        <v>3.7027700988460301</v>
      </c>
      <c r="AG7142">
        <v>-1.1028527656239999</v>
      </c>
      <c r="AH7142">
        <v>17.196625510796601</v>
      </c>
      <c r="AI7142">
        <v>93.587465986365302</v>
      </c>
      <c r="AJ7142">
        <v>77.848619670373196</v>
      </c>
      <c r="AK7142">
        <v>17.625286368911301</v>
      </c>
      <c r="AL7142">
        <v>82.633953868129893</v>
      </c>
      <c r="AM7142">
        <v>73.200995837430497</v>
      </c>
      <c r="AN7142">
        <v>0.99999997714920397</v>
      </c>
    </row>
    <row r="7143" spans="1:40" x14ac:dyDescent="0.25">
      <c r="A7143" t="str">
        <f>"20190312164642711"</f>
        <v>20190312164642711</v>
      </c>
      <c r="B7143" t="str">
        <f>"1552380402708604"</f>
        <v>1552380402708604</v>
      </c>
      <c r="C7143" t="s">
        <v>40</v>
      </c>
      <c r="D7143">
        <v>5.5048769999999996</v>
      </c>
      <c r="E7143">
        <v>0.47403000000000001</v>
      </c>
      <c r="F7143" t="s">
        <v>42</v>
      </c>
      <c r="G7143">
        <v>-154.14060000000001</v>
      </c>
      <c r="H7143" s="1">
        <v>-2.7788570000000001E-6</v>
      </c>
      <c r="I7143">
        <v>138.0214</v>
      </c>
      <c r="J7143">
        <v>-171.667</v>
      </c>
      <c r="K7143">
        <v>1.1029260000000001</v>
      </c>
      <c r="L7143">
        <v>137.19669999999999</v>
      </c>
      <c r="M7143">
        <v>0.96752380000000004</v>
      </c>
      <c r="N7143">
        <v>0</v>
      </c>
      <c r="O7143">
        <v>0.25237549999999997</v>
      </c>
      <c r="P7143">
        <v>0.99252149999999995</v>
      </c>
      <c r="Q7143">
        <v>0.1191188</v>
      </c>
      <c r="R7143">
        <v>-2.6683510000000001E-2</v>
      </c>
      <c r="S7143">
        <v>3.0500639999999999</v>
      </c>
      <c r="T7143">
        <v>-0.19037889999999999</v>
      </c>
      <c r="U7143">
        <v>0.1478729</v>
      </c>
      <c r="V7143">
        <v>0.27828750000000002</v>
      </c>
      <c r="W7143">
        <v>0.1286004</v>
      </c>
      <c r="X7143">
        <v>0.95184979999999997</v>
      </c>
      <c r="Y7143">
        <v>0.204372</v>
      </c>
      <c r="Z7143">
        <v>-2.1944700000000001E-2</v>
      </c>
      <c r="AA7143">
        <v>0.9786473</v>
      </c>
      <c r="AB7143">
        <v>24</v>
      </c>
      <c r="AC7143">
        <v>17.526399999999899</v>
      </c>
      <c r="AD7143">
        <v>-1.1029287788569999</v>
      </c>
      <c r="AE7143">
        <v>0.82470000000000698</v>
      </c>
      <c r="AF7143">
        <v>3.6114173863402002</v>
      </c>
      <c r="AG7143">
        <v>-1.1029287788569999</v>
      </c>
      <c r="AH7143">
        <v>17.099530172713401</v>
      </c>
      <c r="AI7143">
        <v>93.611056148617607</v>
      </c>
      <c r="AJ7143">
        <v>78.074396748965199</v>
      </c>
      <c r="AK7143">
        <v>17.511502492851001</v>
      </c>
      <c r="AL7143">
        <v>82.611277866106406</v>
      </c>
      <c r="AM7143">
        <v>73.702931273385701</v>
      </c>
      <c r="AN7143">
        <v>1.0000000186482201</v>
      </c>
    </row>
    <row r="7144" spans="1:40" x14ac:dyDescent="0.25">
      <c r="A7144" t="str">
        <f>"20190312164642726"</f>
        <v>20190312164642726</v>
      </c>
      <c r="B7144" t="str">
        <f>"1552380402718365"</f>
        <v>1552380402718365</v>
      </c>
      <c r="C7144" t="s">
        <v>40</v>
      </c>
      <c r="D7144">
        <v>5.5536459999999996</v>
      </c>
      <c r="E7144">
        <v>0.47411189999999998</v>
      </c>
      <c r="F7144" t="s">
        <v>42</v>
      </c>
      <c r="G7144">
        <v>-153.87090000000001</v>
      </c>
      <c r="H7144" s="1">
        <v>-2.8795379999999999E-6</v>
      </c>
      <c r="I7144">
        <v>138.1061</v>
      </c>
      <c r="J7144">
        <v>-171.5035</v>
      </c>
      <c r="K7144">
        <v>1.103011</v>
      </c>
      <c r="L7144">
        <v>137.23220000000001</v>
      </c>
      <c r="M7144">
        <v>0.96908810000000001</v>
      </c>
      <c r="N7144">
        <v>0</v>
      </c>
      <c r="O7144">
        <v>0.2463022</v>
      </c>
      <c r="P7144">
        <v>0.99244529999999997</v>
      </c>
      <c r="Q7144">
        <v>0.1192657</v>
      </c>
      <c r="R7144">
        <v>-2.8783799999999998E-2</v>
      </c>
      <c r="S7144">
        <v>3.0495000000000001</v>
      </c>
      <c r="T7144">
        <v>-0.188995</v>
      </c>
      <c r="U7144">
        <v>0.155838</v>
      </c>
      <c r="V7144">
        <v>0.27429599999999998</v>
      </c>
      <c r="W7144">
        <v>0.12884300000000001</v>
      </c>
      <c r="X7144">
        <v>0.95297489999999996</v>
      </c>
      <c r="Y7144">
        <v>0.19570679999999999</v>
      </c>
      <c r="Z7144">
        <v>-2.1153330000000001E-2</v>
      </c>
      <c r="AA7144">
        <v>0.98043429999999998</v>
      </c>
      <c r="AB7144">
        <v>24</v>
      </c>
      <c r="AC7144">
        <v>17.632599999999901</v>
      </c>
      <c r="AD7144">
        <v>-1.103013879538</v>
      </c>
      <c r="AE7144">
        <v>0.87389999999999102</v>
      </c>
      <c r="AF7144">
        <v>3.48282232893584</v>
      </c>
      <c r="AG7144">
        <v>-1.103013879538</v>
      </c>
      <c r="AH7144">
        <v>17.237259855747102</v>
      </c>
      <c r="AI7144">
        <v>93.589037282282604</v>
      </c>
      <c r="AJ7144">
        <v>78.5770648804194</v>
      </c>
      <c r="AK7144">
        <v>17.620153754378499</v>
      </c>
      <c r="AL7144">
        <v>82.597261068532603</v>
      </c>
      <c r="AM7144">
        <v>73.942525588604795</v>
      </c>
      <c r="AN7144">
        <v>0.99999998714750404</v>
      </c>
    </row>
    <row r="7145" spans="1:40" x14ac:dyDescent="0.25">
      <c r="A7145" t="str">
        <f>"20190312164642744"</f>
        <v>20190312164642744</v>
      </c>
      <c r="B7145" t="str">
        <f>"1552380402737884"</f>
        <v>1552380402737884</v>
      </c>
      <c r="C7145" t="s">
        <v>40</v>
      </c>
      <c r="D7145">
        <v>5.575888</v>
      </c>
      <c r="E7145">
        <v>0.47428969999999998</v>
      </c>
      <c r="F7145" t="s">
        <v>42</v>
      </c>
      <c r="G7145">
        <v>-153.65430000000001</v>
      </c>
      <c r="H7145" s="1">
        <v>-2.97321E-6</v>
      </c>
      <c r="I7145">
        <v>138.1019</v>
      </c>
      <c r="J7145">
        <v>-171.30070000000001</v>
      </c>
      <c r="K7145">
        <v>1.1031059999999999</v>
      </c>
      <c r="L7145">
        <v>137.2747</v>
      </c>
      <c r="M7145">
        <v>0.97095670000000001</v>
      </c>
      <c r="N7145">
        <v>0</v>
      </c>
      <c r="O7145">
        <v>0.2388315</v>
      </c>
      <c r="P7145">
        <v>0.99239239999999995</v>
      </c>
      <c r="Q7145">
        <v>0.1199469</v>
      </c>
      <c r="R7145">
        <v>-2.7753659999999999E-2</v>
      </c>
      <c r="S7145">
        <v>3.0497890000000001</v>
      </c>
      <c r="T7145">
        <v>-0.18846540000000001</v>
      </c>
      <c r="U7145">
        <v>0.1486053</v>
      </c>
      <c r="V7145">
        <v>0.265907</v>
      </c>
      <c r="W7145">
        <v>0.12969839999999999</v>
      </c>
      <c r="X7145">
        <v>0.95523389999999997</v>
      </c>
      <c r="Y7145">
        <v>0.1905046</v>
      </c>
      <c r="Z7145">
        <v>-2.0485079999999999E-2</v>
      </c>
      <c r="AA7145">
        <v>0.98147260000000003</v>
      </c>
      <c r="AB7145">
        <v>24</v>
      </c>
      <c r="AC7145">
        <v>17.6464</v>
      </c>
      <c r="AD7145">
        <v>-1.1031089732099999</v>
      </c>
      <c r="AE7145">
        <v>0.82720000000000404</v>
      </c>
      <c r="AF7145">
        <v>3.3984353715250801</v>
      </c>
      <c r="AG7145">
        <v>-1.1031089732099999</v>
      </c>
      <c r="AH7145">
        <v>17.265885191616501</v>
      </c>
      <c r="AI7145">
        <v>93.586992603229007</v>
      </c>
      <c r="AJ7145">
        <v>78.864843604236896</v>
      </c>
      <c r="AK7145">
        <v>17.631704507258799</v>
      </c>
      <c r="AL7145">
        <v>82.547835682543706</v>
      </c>
      <c r="AM7145">
        <v>74.444473945436002</v>
      </c>
      <c r="AN7145">
        <v>1.0000000056603799</v>
      </c>
    </row>
    <row r="7146" spans="1:40" x14ac:dyDescent="0.25">
      <c r="A7146" t="str">
        <f>"20190312164642760"</f>
        <v>20190312164642760</v>
      </c>
      <c r="B7146" t="str">
        <f>"1552380402748620"</f>
        <v>1552380402748620</v>
      </c>
      <c r="C7146" t="s">
        <v>40</v>
      </c>
      <c r="D7146">
        <v>5.574878</v>
      </c>
      <c r="E7146">
        <v>0.4743793</v>
      </c>
      <c r="F7146" t="s">
        <v>42</v>
      </c>
      <c r="G7146">
        <v>-153.21889999999999</v>
      </c>
      <c r="H7146" s="1">
        <v>-3.1492010000000001E-6</v>
      </c>
      <c r="I7146">
        <v>138.1628</v>
      </c>
      <c r="J7146">
        <v>-171.13759999999999</v>
      </c>
      <c r="K7146">
        <v>1.103172</v>
      </c>
      <c r="L7146">
        <v>137.30779999999999</v>
      </c>
      <c r="M7146">
        <v>0.97240320000000002</v>
      </c>
      <c r="N7146">
        <v>0</v>
      </c>
      <c r="O7146">
        <v>0.23287389999999999</v>
      </c>
      <c r="P7146">
        <v>0.99234219999999895</v>
      </c>
      <c r="Q7146">
        <v>0.1199171</v>
      </c>
      <c r="R7146">
        <v>-2.9617250000000001E-2</v>
      </c>
      <c r="S7146">
        <v>3.0496829999999999</v>
      </c>
      <c r="T7146">
        <v>-0.1860501</v>
      </c>
      <c r="U7146">
        <v>0.14978029999999901</v>
      </c>
      <c r="V7146">
        <v>0.26181599999999999</v>
      </c>
      <c r="W7146">
        <v>0.12975510000000001</v>
      </c>
      <c r="X7146">
        <v>0.95635559999999997</v>
      </c>
      <c r="Y7146">
        <v>0.18414639999999999</v>
      </c>
      <c r="Z7146">
        <v>-1.9675789999999999E-2</v>
      </c>
      <c r="AA7146">
        <v>0.98270190000000002</v>
      </c>
      <c r="AB7146">
        <v>24</v>
      </c>
      <c r="AC7146">
        <v>17.918700000000001</v>
      </c>
      <c r="AD7146">
        <v>-1.103175149201</v>
      </c>
      <c r="AE7146">
        <v>0.85500000000001797</v>
      </c>
      <c r="AF7146">
        <v>3.3291401081408898</v>
      </c>
      <c r="AG7146">
        <v>-1.103175149201</v>
      </c>
      <c r="AH7146">
        <v>17.558684680027799</v>
      </c>
      <c r="AI7146">
        <v>93.532281863463993</v>
      </c>
      <c r="AJ7146">
        <v>79.264111820053699</v>
      </c>
      <c r="AK7146">
        <v>17.9055180590255</v>
      </c>
      <c r="AL7146">
        <v>82.544559424017294</v>
      </c>
      <c r="AM7146">
        <v>74.689593279048495</v>
      </c>
      <c r="AN7146">
        <v>1.00000001874168</v>
      </c>
    </row>
    <row r="7147" spans="1:40" x14ac:dyDescent="0.25">
      <c r="A7147" t="str">
        <f>"20190312164642777"</f>
        <v>20190312164642777</v>
      </c>
      <c r="B7147" t="str">
        <f>"1552380402768140"</f>
        <v>1552380402768140</v>
      </c>
      <c r="C7147" t="s">
        <v>40</v>
      </c>
      <c r="D7147">
        <v>5.6355089999999999</v>
      </c>
      <c r="E7147">
        <v>0.47459129999999999</v>
      </c>
      <c r="F7147" t="s">
        <v>42</v>
      </c>
      <c r="G7147">
        <v>-153.0444</v>
      </c>
      <c r="H7147" s="1">
        <v>-3.2253319999999999E-6</v>
      </c>
      <c r="I7147">
        <v>138.15539999999999</v>
      </c>
      <c r="J7147">
        <v>-170.95070000000001</v>
      </c>
      <c r="K7147">
        <v>1.1032379999999999</v>
      </c>
      <c r="L7147">
        <v>137.34460000000001</v>
      </c>
      <c r="M7147">
        <v>0.97400299999999995</v>
      </c>
      <c r="N7147">
        <v>0</v>
      </c>
      <c r="O7147">
        <v>0.22609109999999999</v>
      </c>
      <c r="P7147">
        <v>0.99237379999999997</v>
      </c>
      <c r="Q7147">
        <v>0.1201222</v>
      </c>
      <c r="R7147">
        <v>-2.7656699999999999E-2</v>
      </c>
      <c r="S7147">
        <v>3.0498810000000001</v>
      </c>
      <c r="T7147">
        <v>-0.1859565</v>
      </c>
      <c r="U7147">
        <v>0.14288329999999999</v>
      </c>
      <c r="V7147">
        <v>0.25321339999999998</v>
      </c>
      <c r="W7147">
        <v>0.1301263</v>
      </c>
      <c r="X7147">
        <v>0.95861890000000005</v>
      </c>
      <c r="Y7147">
        <v>0.17953649999999999</v>
      </c>
      <c r="Z7147">
        <v>-1.912295E-2</v>
      </c>
      <c r="AA7147">
        <v>0.98356540000000003</v>
      </c>
      <c r="AB7147">
        <v>24</v>
      </c>
      <c r="AC7147">
        <v>17.906300000000002</v>
      </c>
      <c r="AD7147">
        <v>-1.1032412253320001</v>
      </c>
      <c r="AE7147">
        <v>0.81079999999997199</v>
      </c>
      <c r="AF7147">
        <v>3.2467613606389598</v>
      </c>
      <c r="AG7147">
        <v>-1.1032412253320001</v>
      </c>
      <c r="AH7147">
        <v>17.559356411783501</v>
      </c>
      <c r="AI7147">
        <v>93.535354372178503</v>
      </c>
      <c r="AJ7147">
        <v>79.524207207264993</v>
      </c>
      <c r="AK7147">
        <v>17.891047988596199</v>
      </c>
      <c r="AL7147">
        <v>82.523109514692294</v>
      </c>
      <c r="AM7147">
        <v>75.203611351185202</v>
      </c>
      <c r="AN7147">
        <v>1.00000003766422</v>
      </c>
    </row>
    <row r="7148" spans="1:40" x14ac:dyDescent="0.25">
      <c r="A7148" t="str">
        <f>"20190312164642794"</f>
        <v>20190312164642794</v>
      </c>
      <c r="B7148" t="str">
        <f>"1552380402788638"</f>
        <v>1552380402788638</v>
      </c>
      <c r="C7148" t="s">
        <v>40</v>
      </c>
      <c r="D7148">
        <v>5.6414609999999996</v>
      </c>
      <c r="E7148">
        <v>0.47476099999999999</v>
      </c>
      <c r="F7148" t="s">
        <v>42</v>
      </c>
      <c r="G7148">
        <v>-152.7424</v>
      </c>
      <c r="H7148" s="1">
        <v>-3.343205E-6</v>
      </c>
      <c r="I7148">
        <v>138.22130000000001</v>
      </c>
      <c r="J7148">
        <v>-170.7732</v>
      </c>
      <c r="K7148">
        <v>1.103297</v>
      </c>
      <c r="L7148">
        <v>137.3784</v>
      </c>
      <c r="M7148">
        <v>0.97546480000000002</v>
      </c>
      <c r="N7148">
        <v>0</v>
      </c>
      <c r="O7148">
        <v>0.2196999</v>
      </c>
      <c r="P7148">
        <v>0.99231230000000004</v>
      </c>
      <c r="Q7148">
        <v>0.1200595</v>
      </c>
      <c r="R7148">
        <v>-3.0029980000000001E-2</v>
      </c>
      <c r="S7148">
        <v>3.0495000000000001</v>
      </c>
      <c r="T7148">
        <v>-0.1847694</v>
      </c>
      <c r="U7148">
        <v>0.146835299999999</v>
      </c>
      <c r="V7148">
        <v>0.24919459999999999</v>
      </c>
      <c r="W7148">
        <v>0.13014329999999999</v>
      </c>
      <c r="X7148">
        <v>0.95966910000000005</v>
      </c>
      <c r="Y7148">
        <v>0.17183860000000001</v>
      </c>
      <c r="Z7148">
        <v>-1.8391390000000001E-2</v>
      </c>
      <c r="AA7148">
        <v>0.98495350000000004</v>
      </c>
      <c r="AB7148">
        <v>24</v>
      </c>
      <c r="AC7148">
        <v>18.030799999999999</v>
      </c>
      <c r="AD7148">
        <v>-1.1033003432049999</v>
      </c>
      <c r="AE7148">
        <v>0.84290000000001397</v>
      </c>
      <c r="AF7148">
        <v>3.1277747955427899</v>
      </c>
      <c r="AG7148">
        <v>-1.1033003432049999</v>
      </c>
      <c r="AH7148">
        <v>17.709214725667</v>
      </c>
      <c r="AI7148">
        <v>93.510773949583694</v>
      </c>
      <c r="AJ7148">
        <v>79.983802091165202</v>
      </c>
      <c r="AK7148">
        <v>18.017117777789299</v>
      </c>
      <c r="AL7148">
        <v>82.522126882057705</v>
      </c>
      <c r="AM7148">
        <v>75.443645239945198</v>
      </c>
      <c r="AN7148">
        <v>1.0000000043494299</v>
      </c>
    </row>
    <row r="7149" spans="1:40" x14ac:dyDescent="0.25">
      <c r="A7149" t="str">
        <f>"20190312164642812"</f>
        <v>20190312164642812</v>
      </c>
      <c r="B7149" t="str">
        <f>"1552380402808156"</f>
        <v>1552380402808156</v>
      </c>
      <c r="C7149" t="s">
        <v>40</v>
      </c>
      <c r="D7149">
        <v>5.5777159999999997</v>
      </c>
      <c r="E7149">
        <v>0.47494160000000002</v>
      </c>
      <c r="F7149" t="s">
        <v>42</v>
      </c>
      <c r="G7149">
        <v>-152.511</v>
      </c>
      <c r="H7149" s="1">
        <v>-3.4451540000000001E-6</v>
      </c>
      <c r="I7149">
        <v>138.2062</v>
      </c>
      <c r="J7149">
        <v>-170.5831</v>
      </c>
      <c r="K7149">
        <v>1.1033550000000001</v>
      </c>
      <c r="L7149">
        <v>137.4134</v>
      </c>
      <c r="M7149">
        <v>0.9769717</v>
      </c>
      <c r="N7149">
        <v>0</v>
      </c>
      <c r="O7149">
        <v>0.2129009</v>
      </c>
      <c r="P7149">
        <v>0.99232089999999995</v>
      </c>
      <c r="Q7149">
        <v>0.1203438</v>
      </c>
      <c r="R7149">
        <v>-2.858072E-2</v>
      </c>
      <c r="S7149">
        <v>3.0496979999999998</v>
      </c>
      <c r="T7149">
        <v>-0.1842453</v>
      </c>
      <c r="U7149">
        <v>0.1382446</v>
      </c>
      <c r="V7149">
        <v>0.24106540000000001</v>
      </c>
      <c r="W7149">
        <v>0.13057730000000001</v>
      </c>
      <c r="X7149">
        <v>0.96168450000000005</v>
      </c>
      <c r="Y7149">
        <v>0.16777149999999999</v>
      </c>
      <c r="Z7149">
        <v>-1.7815950000000001E-2</v>
      </c>
      <c r="AA7149">
        <v>0.98566489999999995</v>
      </c>
      <c r="AB7149">
        <v>24</v>
      </c>
      <c r="AC7149">
        <v>18.072099999999999</v>
      </c>
      <c r="AD7149">
        <v>-1.1033584451539999</v>
      </c>
      <c r="AE7149">
        <v>0.79279999999999895</v>
      </c>
      <c r="AF7149">
        <v>3.06193836788264</v>
      </c>
      <c r="AG7149">
        <v>-1.1033584451539999</v>
      </c>
      <c r="AH7149">
        <v>17.760421848900801</v>
      </c>
      <c r="AI7149">
        <v>93.503355065005806</v>
      </c>
      <c r="AJ7149">
        <v>80.218229983967802</v>
      </c>
      <c r="AK7149">
        <v>18.056174862858299</v>
      </c>
      <c r="AL7149">
        <v>82.497046597469904</v>
      </c>
      <c r="AM7149">
        <v>75.927635192720103</v>
      </c>
      <c r="AN7149">
        <v>1.00000001794635</v>
      </c>
    </row>
    <row r="7150" spans="1:40" x14ac:dyDescent="0.25">
      <c r="A7150" t="str">
        <f>"20190312164642834"</f>
        <v>20190312164642834</v>
      </c>
      <c r="B7150" t="str">
        <f>"1552380402828652"</f>
        <v>1552380402828652</v>
      </c>
      <c r="C7150" t="s">
        <v>40</v>
      </c>
      <c r="D7150">
        <v>5.5767059999999997</v>
      </c>
      <c r="E7150">
        <v>0.47511730000000002</v>
      </c>
      <c r="F7150" t="s">
        <v>42</v>
      </c>
      <c r="G7150">
        <v>-152.1465</v>
      </c>
      <c r="H7150" s="1">
        <v>-3.5908750000000002E-6</v>
      </c>
      <c r="I7150">
        <v>138.2664</v>
      </c>
      <c r="J7150">
        <v>-170.33969999999999</v>
      </c>
      <c r="K7150">
        <v>1.103426</v>
      </c>
      <c r="L7150">
        <v>137.45609999999999</v>
      </c>
      <c r="M7150">
        <v>0.97881189999999996</v>
      </c>
      <c r="N7150">
        <v>0</v>
      </c>
      <c r="O7150">
        <v>0.20427600000000001</v>
      </c>
      <c r="P7150">
        <v>0.99230499999999999</v>
      </c>
      <c r="Q7150">
        <v>0.12042360000000001</v>
      </c>
      <c r="R7150">
        <v>-2.8796700000000001E-2</v>
      </c>
      <c r="S7150">
        <v>3.0494080000000001</v>
      </c>
      <c r="T7150">
        <v>-0.1824945</v>
      </c>
      <c r="U7150">
        <v>0.141098</v>
      </c>
      <c r="V7150">
        <v>0.23274729999999999</v>
      </c>
      <c r="W7150">
        <v>0.13080890000000001</v>
      </c>
      <c r="X7150">
        <v>0.9637</v>
      </c>
      <c r="Y7150">
        <v>0.15818989999999999</v>
      </c>
      <c r="Z7150">
        <v>-1.6856119999999999E-2</v>
      </c>
      <c r="AA7150">
        <v>0.98726480000000005</v>
      </c>
      <c r="AB7150">
        <v>24</v>
      </c>
      <c r="AC7150">
        <v>18.193199999999901</v>
      </c>
      <c r="AD7150">
        <v>-1.103429590875</v>
      </c>
      <c r="AE7150">
        <v>0.81030000000001201</v>
      </c>
      <c r="AF7150">
        <v>2.9128992449247599</v>
      </c>
      <c r="AG7150">
        <v>-1.103429590875</v>
      </c>
      <c r="AH7150">
        <v>17.909281420870801</v>
      </c>
      <c r="AI7150">
        <v>93.480044467097699</v>
      </c>
      <c r="AJ7150">
        <v>80.761882127996998</v>
      </c>
      <c r="AK7150">
        <v>18.178143466400801</v>
      </c>
      <c r="AL7150">
        <v>82.483661822732998</v>
      </c>
      <c r="AM7150">
        <v>76.4222590618933</v>
      </c>
      <c r="AN7150">
        <v>0.99999998198824902</v>
      </c>
    </row>
    <row r="7151" spans="1:40" x14ac:dyDescent="0.25">
      <c r="A7151" t="str">
        <f>"20190312164642855"</f>
        <v>20190312164642855</v>
      </c>
      <c r="B7151" t="str">
        <f>"1552380402848190"</f>
        <v>1552380402848190</v>
      </c>
      <c r="C7151" t="s">
        <v>40</v>
      </c>
      <c r="D7151">
        <v>5.5768190000000004</v>
      </c>
      <c r="E7151">
        <v>0.4752883</v>
      </c>
      <c r="F7151" t="s">
        <v>42</v>
      </c>
      <c r="G7151">
        <v>-151.83799999999999</v>
      </c>
      <c r="H7151" s="1">
        <v>-3.7181710000000001E-6</v>
      </c>
      <c r="I7151">
        <v>138.29480000000001</v>
      </c>
      <c r="J7151">
        <v>-170.10489999999999</v>
      </c>
      <c r="K7151">
        <v>1.103488</v>
      </c>
      <c r="L7151">
        <v>137.49529999999999</v>
      </c>
      <c r="M7151">
        <v>0.98049640000000005</v>
      </c>
      <c r="N7151">
        <v>0</v>
      </c>
      <c r="O7151">
        <v>0.1960335</v>
      </c>
      <c r="P7151">
        <v>0.9923729</v>
      </c>
      <c r="Q7151">
        <v>0.119821</v>
      </c>
      <c r="R7151">
        <v>-2.896541E-2</v>
      </c>
      <c r="S7151">
        <v>3.0493619999999999</v>
      </c>
      <c r="T7151">
        <v>-0.181862</v>
      </c>
      <c r="U7151">
        <v>0.1382446</v>
      </c>
      <c r="V7151">
        <v>0.2247673</v>
      </c>
      <c r="W7151">
        <v>0.13035039999999901</v>
      </c>
      <c r="X7151">
        <v>0.96565440000000002</v>
      </c>
      <c r="Y7151">
        <v>0.1508312</v>
      </c>
      <c r="Z7151">
        <v>-1.6097380000000001E-2</v>
      </c>
      <c r="AA7151">
        <v>0.98842850000000004</v>
      </c>
      <c r="AB7151">
        <v>24</v>
      </c>
      <c r="AC7151">
        <v>18.2669</v>
      </c>
      <c r="AD7151">
        <v>-1.103491718171</v>
      </c>
      <c r="AE7151">
        <v>0.79950000000002297</v>
      </c>
      <c r="AF7151">
        <v>2.7871423168276199</v>
      </c>
      <c r="AG7151">
        <v>-1.103491718171</v>
      </c>
      <c r="AH7151">
        <v>18.003569839501498</v>
      </c>
      <c r="AI7151">
        <v>93.466250665690296</v>
      </c>
      <c r="AJ7151">
        <v>81.1998680588339</v>
      </c>
      <c r="AK7151">
        <v>18.251421403061499</v>
      </c>
      <c r="AL7151">
        <v>82.510158893874902</v>
      </c>
      <c r="AM7151">
        <v>76.897046057936706</v>
      </c>
      <c r="AN7151">
        <v>0.99999999308440402</v>
      </c>
    </row>
    <row r="7152" spans="1:40" x14ac:dyDescent="0.25">
      <c r="A7152" t="str">
        <f>"20190312164642889"</f>
        <v>20190312164642889</v>
      </c>
      <c r="B7152" t="str">
        <f>"1552380402878428"</f>
        <v>1552380402878428</v>
      </c>
      <c r="C7152" t="s">
        <v>40</v>
      </c>
      <c r="D7152">
        <v>5.7854669999999997</v>
      </c>
      <c r="E7152">
        <v>0.47544960000000003</v>
      </c>
      <c r="F7152" t="s">
        <v>42</v>
      </c>
      <c r="G7152">
        <v>-151.78620000000001</v>
      </c>
      <c r="H7152" s="1">
        <v>-3.7379039999999999E-6</v>
      </c>
      <c r="I7152">
        <v>138.30869999999999</v>
      </c>
      <c r="J7152">
        <v>-169.7431</v>
      </c>
      <c r="K7152">
        <v>1.1035900000000001</v>
      </c>
      <c r="L7152">
        <v>137.5521</v>
      </c>
      <c r="M7152">
        <v>0.98292440000000003</v>
      </c>
      <c r="N7152">
        <v>0</v>
      </c>
      <c r="O7152">
        <v>0.1834752</v>
      </c>
      <c r="P7152">
        <v>0.9924693</v>
      </c>
      <c r="Q7152">
        <v>0.1189234</v>
      </c>
      <c r="R7152">
        <v>-2.9366239999999998E-2</v>
      </c>
      <c r="S7152">
        <v>3.049194</v>
      </c>
      <c r="T7152">
        <v>-0.18367890000000001</v>
      </c>
      <c r="U7152">
        <v>0.13540650000000001</v>
      </c>
      <c r="V7152">
        <v>0.21274299999999999</v>
      </c>
      <c r="W7152">
        <v>0.12966810000000001</v>
      </c>
      <c r="X7152">
        <v>0.9684661</v>
      </c>
      <c r="Y7152">
        <v>0.13912269999999999</v>
      </c>
      <c r="Z7152">
        <v>-1.516384E-2</v>
      </c>
      <c r="AA7152">
        <v>0.99015900000000001</v>
      </c>
      <c r="AB7152">
        <v>24</v>
      </c>
      <c r="AC7152">
        <v>17.956899999999901</v>
      </c>
      <c r="AD7152">
        <v>-1.1035937379039999</v>
      </c>
      <c r="AE7152">
        <v>0.75659999999999095</v>
      </c>
      <c r="AF7152">
        <v>2.5416329267542102</v>
      </c>
      <c r="AG7152">
        <v>-1.1035937379039999</v>
      </c>
      <c r="AH7152">
        <v>17.724013994921702</v>
      </c>
      <c r="AI7152">
        <v>93.526961147748096</v>
      </c>
      <c r="AJ7152">
        <v>81.839389089436693</v>
      </c>
      <c r="AK7152">
        <v>17.939300130297202</v>
      </c>
      <c r="AL7152">
        <v>82.549586438825699</v>
      </c>
      <c r="AM7152">
        <v>77.610614523223404</v>
      </c>
      <c r="AN7152">
        <v>0.99999999352791002</v>
      </c>
    </row>
    <row r="7153" spans="1:40" x14ac:dyDescent="0.25">
      <c r="A7153" t="str">
        <f>"20190312164642904"</f>
        <v>20190312164642904</v>
      </c>
      <c r="B7153" t="str">
        <f>"1552380402897949"</f>
        <v>1552380402897949</v>
      </c>
      <c r="C7153" t="s">
        <v>40</v>
      </c>
      <c r="D7153">
        <v>5.6379029999999997</v>
      </c>
      <c r="E7153">
        <v>0.47564319999999999</v>
      </c>
      <c r="F7153" t="s">
        <v>42</v>
      </c>
      <c r="G7153">
        <v>-151.70269999999999</v>
      </c>
      <c r="H7153" s="1">
        <v>-3.7702829999999999E-6</v>
      </c>
      <c r="I7153">
        <v>138.32820000000001</v>
      </c>
      <c r="J7153">
        <v>-169.56790000000001</v>
      </c>
      <c r="K7153">
        <v>1.1036429999999999</v>
      </c>
      <c r="L7153">
        <v>137.5778</v>
      </c>
      <c r="M7153">
        <v>0.98402509999999999</v>
      </c>
      <c r="N7153">
        <v>0</v>
      </c>
      <c r="O7153">
        <v>0.1774781</v>
      </c>
      <c r="P7153">
        <v>0.99242770000000002</v>
      </c>
      <c r="Q7153">
        <v>0.118672</v>
      </c>
      <c r="R7153">
        <v>-3.1694590000000002E-2</v>
      </c>
      <c r="S7153">
        <v>3.0490110000000001</v>
      </c>
      <c r="T7153">
        <v>-0.18651880000000001</v>
      </c>
      <c r="U7153">
        <v>0.13116459999999999</v>
      </c>
      <c r="V7153">
        <v>0.2090873</v>
      </c>
      <c r="W7153">
        <v>0.12948519999999999</v>
      </c>
      <c r="X7153">
        <v>0.96928639999999999</v>
      </c>
      <c r="Y7153">
        <v>0.13445670000000001</v>
      </c>
      <c r="Z7153">
        <v>-1.4896009999999999E-2</v>
      </c>
      <c r="AA7153">
        <v>0.99080749999999995</v>
      </c>
      <c r="AB7153">
        <v>24</v>
      </c>
      <c r="AC7153">
        <v>17.865200000000002</v>
      </c>
      <c r="AD7153">
        <v>-1.103646770283</v>
      </c>
      <c r="AE7153">
        <v>0.75040000000001295</v>
      </c>
      <c r="AF7153">
        <v>2.4232761661691802</v>
      </c>
      <c r="AG7153">
        <v>-1.103646770283</v>
      </c>
      <c r="AH7153">
        <v>17.647492222329401</v>
      </c>
      <c r="AI7153">
        <v>93.545346062776503</v>
      </c>
      <c r="AJ7153">
        <v>82.181292461413506</v>
      </c>
      <c r="AK7153">
        <v>17.8472486761478</v>
      </c>
      <c r="AL7153">
        <v>82.560155138459393</v>
      </c>
      <c r="AM7153">
        <v>77.827099915661606</v>
      </c>
      <c r="AN7153">
        <v>1.00000002063264</v>
      </c>
    </row>
    <row r="7154" spans="1:40" x14ac:dyDescent="0.25">
      <c r="A7154" t="str">
        <f>"20190312164642918"</f>
        <v>20190312164642918</v>
      </c>
      <c r="B7154" t="str">
        <f>"1552380402908684"</f>
        <v>1552380402908684</v>
      </c>
      <c r="C7154" t="s">
        <v>40</v>
      </c>
      <c r="D7154">
        <v>5.6368510000000001</v>
      </c>
      <c r="E7154">
        <v>0.47564319999999999</v>
      </c>
      <c r="F7154" t="s">
        <v>42</v>
      </c>
      <c r="G7154">
        <v>-151.5737</v>
      </c>
      <c r="H7154" s="1">
        <v>-3.8310649999999997E-6</v>
      </c>
      <c r="I7154">
        <v>138.29750000000001</v>
      </c>
      <c r="J7154">
        <v>-169.4239</v>
      </c>
      <c r="K7154">
        <v>1.103688</v>
      </c>
      <c r="L7154">
        <v>137.59819999999999</v>
      </c>
      <c r="M7154">
        <v>0.98489510000000002</v>
      </c>
      <c r="N7154">
        <v>0</v>
      </c>
      <c r="O7154">
        <v>0.17258609999999999</v>
      </c>
      <c r="P7154">
        <v>0.99238559999999998</v>
      </c>
      <c r="Q7154">
        <v>0.11869780000000001</v>
      </c>
      <c r="R7154">
        <v>-3.2888019999999997E-2</v>
      </c>
      <c r="S7154">
        <v>3.0491329999999999</v>
      </c>
      <c r="T7154">
        <v>-0.18701419999999999</v>
      </c>
      <c r="U7154">
        <v>0.12194820000000001</v>
      </c>
      <c r="V7154">
        <v>0.2054146</v>
      </c>
      <c r="W7154">
        <v>0.12957779999999999</v>
      </c>
      <c r="X7154">
        <v>0.970059</v>
      </c>
      <c r="Y7154">
        <v>0.1325334</v>
      </c>
      <c r="Z7154">
        <v>-1.4582049999999999E-2</v>
      </c>
      <c r="AA7154">
        <v>0.99107129999999999</v>
      </c>
      <c r="AB7154">
        <v>24</v>
      </c>
      <c r="AC7154">
        <v>17.850200000000001</v>
      </c>
      <c r="AD7154">
        <v>-1.1036918310649999</v>
      </c>
      <c r="AE7154">
        <v>0.69930000000002202</v>
      </c>
      <c r="AF7154">
        <v>2.38309659677103</v>
      </c>
      <c r="AG7154">
        <v>-1.1036918310649999</v>
      </c>
      <c r="AH7154">
        <v>17.6356774386403</v>
      </c>
      <c r="AI7154">
        <v>93.548894527459794</v>
      </c>
      <c r="AJ7154">
        <v>82.304277091310098</v>
      </c>
      <c r="AK7154">
        <v>17.830154339412399</v>
      </c>
      <c r="AL7154">
        <v>82.554804420606004</v>
      </c>
      <c r="AM7154">
        <v>78.043961763607498</v>
      </c>
      <c r="AN7154">
        <v>1.0000000138134999</v>
      </c>
    </row>
    <row r="7155" spans="1:40" x14ac:dyDescent="0.25">
      <c r="A7155" t="str">
        <f>"20190312164642934"</f>
        <v>20190312164642934</v>
      </c>
      <c r="B7155" t="str">
        <f>"1552380402928206"</f>
        <v>1552380402928206</v>
      </c>
      <c r="C7155" t="s">
        <v>40</v>
      </c>
      <c r="D7155">
        <v>5.7236859999999998</v>
      </c>
      <c r="E7155">
        <v>0.47592069999999997</v>
      </c>
      <c r="F7155" t="s">
        <v>42</v>
      </c>
      <c r="G7155">
        <v>-151.43860000000001</v>
      </c>
      <c r="H7155" s="1">
        <v>-3.8898450000000002E-6</v>
      </c>
      <c r="I7155">
        <v>138.29300000000001</v>
      </c>
      <c r="J7155">
        <v>-169.26150000000001</v>
      </c>
      <c r="K7155">
        <v>1.1037459999999999</v>
      </c>
      <c r="L7155">
        <v>137.62049999999999</v>
      </c>
      <c r="M7155">
        <v>0.98584059999999996</v>
      </c>
      <c r="N7155">
        <v>0</v>
      </c>
      <c r="O7155">
        <v>0.16710249999999999</v>
      </c>
      <c r="P7155">
        <v>0.99233380000000004</v>
      </c>
      <c r="Q7155">
        <v>0.1185563</v>
      </c>
      <c r="R7155">
        <v>-3.4901509999999997E-2</v>
      </c>
      <c r="S7155">
        <v>3.0492859999999999</v>
      </c>
      <c r="T7155">
        <v>-0.1871227</v>
      </c>
      <c r="U7155">
        <v>0.1178131</v>
      </c>
      <c r="V7155">
        <v>0.20196210000000001</v>
      </c>
      <c r="W7155">
        <v>0.1295007</v>
      </c>
      <c r="X7155">
        <v>0.97079389999999999</v>
      </c>
      <c r="Y7155">
        <v>0.12837779999999999</v>
      </c>
      <c r="Z7155">
        <v>-1.4131289999999999E-2</v>
      </c>
      <c r="AA7155">
        <v>0.99162470000000003</v>
      </c>
      <c r="AB7155">
        <v>24</v>
      </c>
      <c r="AC7155">
        <v>17.822900000000001</v>
      </c>
      <c r="AD7155">
        <v>-1.103749889845</v>
      </c>
      <c r="AE7155">
        <v>0.67250000000001298</v>
      </c>
      <c r="AF7155">
        <v>2.3066653159358599</v>
      </c>
      <c r="AG7155">
        <v>-1.103749889845</v>
      </c>
      <c r="AH7155">
        <v>17.617170993913099</v>
      </c>
      <c r="AI7155">
        <v>93.554743865589899</v>
      </c>
      <c r="AJ7155">
        <v>82.540537540535396</v>
      </c>
      <c r="AK7155">
        <v>17.801788745175202</v>
      </c>
      <c r="AL7155">
        <v>82.559259049656205</v>
      </c>
      <c r="AM7155">
        <v>78.247925045921903</v>
      </c>
      <c r="AN7155">
        <v>0.99999995870705405</v>
      </c>
    </row>
    <row r="7156" spans="1:40" x14ac:dyDescent="0.25">
      <c r="A7156" t="str">
        <f>"20190312164642946"</f>
        <v>20190312164642946</v>
      </c>
      <c r="B7156" t="str">
        <f>"1552380402938940"</f>
        <v>1552380402938940</v>
      </c>
      <c r="C7156" t="s">
        <v>40</v>
      </c>
      <c r="D7156">
        <v>5.6057689999999996</v>
      </c>
      <c r="E7156">
        <v>0.47592069999999997</v>
      </c>
      <c r="F7156" t="s">
        <v>42</v>
      </c>
      <c r="G7156">
        <v>-151.34309999999999</v>
      </c>
      <c r="H7156" s="1">
        <v>-3.9363319999999999E-6</v>
      </c>
      <c r="I7156">
        <v>138.26179999999999</v>
      </c>
      <c r="J7156">
        <v>-169.1172</v>
      </c>
      <c r="K7156">
        <v>1.103799</v>
      </c>
      <c r="L7156">
        <v>137.6396</v>
      </c>
      <c r="M7156">
        <v>0.98664770000000002</v>
      </c>
      <c r="N7156">
        <v>0</v>
      </c>
      <c r="O7156">
        <v>0.16227030000000001</v>
      </c>
      <c r="P7156">
        <v>0.99238150000000003</v>
      </c>
      <c r="Q7156">
        <v>0.1187019</v>
      </c>
      <c r="R7156">
        <v>-3.2996459999999998E-2</v>
      </c>
      <c r="S7156">
        <v>3.0494690000000002</v>
      </c>
      <c r="T7156">
        <v>-0.18784329999999999</v>
      </c>
      <c r="U7156">
        <v>0.1091461</v>
      </c>
      <c r="V7156">
        <v>0.19531000000000001</v>
      </c>
      <c r="W7156">
        <v>0.1297603</v>
      </c>
      <c r="X7156">
        <v>0.97211950000000003</v>
      </c>
      <c r="Y7156">
        <v>0.12634400000000001</v>
      </c>
      <c r="Z7156">
        <v>-1.382978E-2</v>
      </c>
      <c r="AA7156">
        <v>0.9918901</v>
      </c>
      <c r="AB7156">
        <v>24</v>
      </c>
      <c r="AC7156">
        <v>17.774100000000001</v>
      </c>
      <c r="AD7156">
        <v>-1.1038029363320001</v>
      </c>
      <c r="AE7156">
        <v>0.62219999999999198</v>
      </c>
      <c r="AF7156">
        <v>2.2618250056438902</v>
      </c>
      <c r="AG7156">
        <v>-1.1038029363320001</v>
      </c>
      <c r="AH7156">
        <v>17.571771588620699</v>
      </c>
      <c r="AI7156">
        <v>93.565080097480504</v>
      </c>
      <c r="AJ7156">
        <v>82.665262497712106</v>
      </c>
      <c r="AK7156">
        <v>17.7510954603109</v>
      </c>
      <c r="AL7156">
        <v>82.544259006953098</v>
      </c>
      <c r="AM7156">
        <v>78.639859153663707</v>
      </c>
      <c r="AN7156">
        <v>1.0000000269181599</v>
      </c>
    </row>
    <row r="7157" spans="1:40" x14ac:dyDescent="0.25">
      <c r="A7157" t="str">
        <f>"20190312164642967"</f>
        <v>20190312164642967</v>
      </c>
      <c r="B7157" t="str">
        <f>"1552380402958465"</f>
        <v>1552380402958465</v>
      </c>
      <c r="C7157" t="s">
        <v>40</v>
      </c>
      <c r="D7157">
        <v>5.7957890000000001</v>
      </c>
      <c r="E7157">
        <v>0.50456559999999995</v>
      </c>
      <c r="F7157" t="s">
        <v>42</v>
      </c>
      <c r="G7157">
        <v>-151.16579999999999</v>
      </c>
      <c r="H7157" s="1">
        <v>-4.0029689999999998E-6</v>
      </c>
      <c r="I7157">
        <v>138.31479999999999</v>
      </c>
      <c r="J7157">
        <v>-168.9042</v>
      </c>
      <c r="K7157">
        <v>1.1038760000000001</v>
      </c>
      <c r="L7157">
        <v>137.66650000000001</v>
      </c>
      <c r="M7157">
        <v>0.98778239999999995</v>
      </c>
      <c r="N7157">
        <v>0</v>
      </c>
      <c r="O7157">
        <v>0.15521509999999999</v>
      </c>
      <c r="P7157">
        <v>0.99228099999999997</v>
      </c>
      <c r="Q7157">
        <v>0.1193425</v>
      </c>
      <c r="R7157">
        <v>-3.3709669999999997E-2</v>
      </c>
      <c r="S7157">
        <v>3.049255</v>
      </c>
      <c r="T7157">
        <v>-0.18749389999999999</v>
      </c>
      <c r="U7157">
        <v>0.11470030000000001</v>
      </c>
      <c r="V7157">
        <v>0.1890194</v>
      </c>
      <c r="W7157">
        <v>0.13051199999999999</v>
      </c>
      <c r="X7157">
        <v>0.97326170000000001</v>
      </c>
      <c r="Y7157">
        <v>0.117475</v>
      </c>
      <c r="Z7157">
        <v>-1.3103460000000001E-2</v>
      </c>
      <c r="AA7157">
        <v>0.99298940000000002</v>
      </c>
      <c r="AB7157">
        <v>24</v>
      </c>
      <c r="AC7157">
        <v>17.738399999999999</v>
      </c>
      <c r="AD7157">
        <v>-1.1038800029689999</v>
      </c>
      <c r="AE7157">
        <v>0.64829999999997701</v>
      </c>
      <c r="AF7157">
        <v>2.1049524009631102</v>
      </c>
      <c r="AG7157">
        <v>-1.1038800029689999</v>
      </c>
      <c r="AH7157">
        <v>17.556117639040998</v>
      </c>
      <c r="AI7157">
        <v>93.572344512889103</v>
      </c>
      <c r="AJ7157">
        <v>83.162958882395699</v>
      </c>
      <c r="AK7157">
        <v>17.716281839796999</v>
      </c>
      <c r="AL7157">
        <v>82.500820367850096</v>
      </c>
      <c r="AM7157">
        <v>79.009275651993704</v>
      </c>
      <c r="AN7157">
        <v>1.0000000262036199</v>
      </c>
    </row>
    <row r="7158" spans="1:40" x14ac:dyDescent="0.25">
      <c r="A7158" t="str">
        <f>"20190312164642987"</f>
        <v>20190312164642987</v>
      </c>
      <c r="B7158" t="str">
        <f>"1552380402977985"</f>
        <v>1552380402977985</v>
      </c>
      <c r="C7158" t="s">
        <v>40</v>
      </c>
      <c r="D7158">
        <v>5.5989060000000004</v>
      </c>
      <c r="E7158">
        <v>0.50559240000000005</v>
      </c>
      <c r="F7158" t="s">
        <v>42</v>
      </c>
      <c r="G7158">
        <v>-139.96530000000001</v>
      </c>
      <c r="H7158" s="1">
        <v>-4.8340620000000002E-6</v>
      </c>
      <c r="I7158">
        <v>136.53290000000001</v>
      </c>
      <c r="J7158">
        <v>-168.68889999999999</v>
      </c>
      <c r="K7158">
        <v>1.103958</v>
      </c>
      <c r="L7158">
        <v>137.69210000000001</v>
      </c>
      <c r="M7158">
        <v>0.98886419999999997</v>
      </c>
      <c r="N7158">
        <v>0</v>
      </c>
      <c r="O7158">
        <v>0.14816869999999999</v>
      </c>
      <c r="P7158">
        <v>0.99203540000000001</v>
      </c>
      <c r="Q7158">
        <v>0.12012639999999999</v>
      </c>
      <c r="R7158">
        <v>-3.7885809999999999E-2</v>
      </c>
      <c r="S7158">
        <v>3.0332029999999999</v>
      </c>
      <c r="T7158">
        <v>-0.11570220000000001</v>
      </c>
      <c r="U7158">
        <v>-0.1188049</v>
      </c>
      <c r="V7158">
        <v>0.1861428</v>
      </c>
      <c r="W7158">
        <v>0.131353</v>
      </c>
      <c r="X7158">
        <v>0.97370279999999998</v>
      </c>
      <c r="Y7158">
        <v>0.1865327</v>
      </c>
      <c r="Z7158">
        <v>-9.1916840000000003E-3</v>
      </c>
      <c r="AA7158">
        <v>0.98240570000000005</v>
      </c>
      <c r="AB7158">
        <v>24</v>
      </c>
      <c r="AC7158">
        <v>28.723599999999902</v>
      </c>
      <c r="AD7158">
        <v>-1.103962834062</v>
      </c>
      <c r="AE7158">
        <v>-1.15919999999999</v>
      </c>
      <c r="AF7158">
        <v>5.3947968589661501</v>
      </c>
      <c r="AG7158">
        <v>-1.103962834062</v>
      </c>
      <c r="AH7158">
        <v>28.1931378538724</v>
      </c>
      <c r="AI7158">
        <v>92.202474361063807</v>
      </c>
      <c r="AJ7158">
        <v>79.167318865086102</v>
      </c>
      <c r="AK7158">
        <v>28.7258696845884</v>
      </c>
      <c r="AL7158">
        <v>82.452215601355306</v>
      </c>
      <c r="AM7158">
        <v>79.177344411508301</v>
      </c>
      <c r="AN7158">
        <v>0.99999994766433797</v>
      </c>
    </row>
    <row r="7159" spans="1:40" x14ac:dyDescent="0.25">
      <c r="A7159" t="str">
        <f>"20190312164643002"</f>
        <v>20190312164643002</v>
      </c>
      <c r="B7159" t="str">
        <f>"1552380402998482"</f>
        <v>1552380402998482</v>
      </c>
      <c r="C7159" t="s">
        <v>40</v>
      </c>
      <c r="D7159">
        <v>5.6664009999999996</v>
      </c>
      <c r="E7159">
        <v>0.50577939999999999</v>
      </c>
      <c r="F7159" t="s">
        <v>42</v>
      </c>
      <c r="G7159">
        <v>-137.72620000000001</v>
      </c>
      <c r="H7159" s="1">
        <v>-1.6517790000000001E-6</v>
      </c>
      <c r="I7159">
        <v>136.26400000000001</v>
      </c>
      <c r="J7159">
        <v>-168.52260000000001</v>
      </c>
      <c r="K7159">
        <v>1.104034</v>
      </c>
      <c r="L7159">
        <v>137.71080000000001</v>
      </c>
      <c r="M7159">
        <v>0.98965499999999995</v>
      </c>
      <c r="N7159">
        <v>0</v>
      </c>
      <c r="O7159">
        <v>0.142792899999999</v>
      </c>
      <c r="P7159">
        <v>0.99183449999999995</v>
      </c>
      <c r="Q7159">
        <v>0.12181350000000001</v>
      </c>
      <c r="R7159">
        <v>-3.7759620000000001E-2</v>
      </c>
      <c r="S7159">
        <v>3.0318299999999998</v>
      </c>
      <c r="T7159">
        <v>-0.1080981</v>
      </c>
      <c r="U7159">
        <v>-0.1398315</v>
      </c>
      <c r="V7159">
        <v>0.18068819999999999</v>
      </c>
      <c r="W7159">
        <v>0.13313069999999999</v>
      </c>
      <c r="X7159">
        <v>0.97448860000000004</v>
      </c>
      <c r="Y7159">
        <v>0.1880454</v>
      </c>
      <c r="Z7159">
        <v>-8.4279400000000001E-3</v>
      </c>
      <c r="AA7159">
        <v>0.98212410000000006</v>
      </c>
      <c r="AB7159">
        <v>24</v>
      </c>
      <c r="AC7159">
        <v>30.796399999999998</v>
      </c>
      <c r="AD7159">
        <v>-1.104035651779</v>
      </c>
      <c r="AE7159">
        <v>-1.4467999999999901</v>
      </c>
      <c r="AF7159">
        <v>5.82243678360076</v>
      </c>
      <c r="AG7159">
        <v>-1.104035651779</v>
      </c>
      <c r="AH7159">
        <v>30.235370095777899</v>
      </c>
      <c r="AI7159">
        <v>92.053513664410303</v>
      </c>
      <c r="AJ7159">
        <v>79.099959385067294</v>
      </c>
      <c r="AK7159">
        <v>30.8106681142764</v>
      </c>
      <c r="AL7159">
        <v>82.349458965601499</v>
      </c>
      <c r="AM7159">
        <v>79.495599631163302</v>
      </c>
      <c r="AN7159">
        <v>1.0000000202158399</v>
      </c>
    </row>
    <row r="7160" spans="1:40" x14ac:dyDescent="0.25">
      <c r="A7160" t="str">
        <f>"20190312164643024"</f>
        <v>20190312164643024</v>
      </c>
      <c r="B7160" t="str">
        <f>"1552380403018002"</f>
        <v>1552380403018002</v>
      </c>
      <c r="C7160" t="s">
        <v>40</v>
      </c>
      <c r="D7160">
        <v>5.4898740000000004</v>
      </c>
      <c r="E7160">
        <v>0.50596379999999996</v>
      </c>
      <c r="F7160" t="s">
        <v>42</v>
      </c>
      <c r="G7160">
        <v>-134.49590000000001</v>
      </c>
      <c r="H7160" s="1">
        <v>-2.963128E-6</v>
      </c>
      <c r="I7160">
        <v>136.1232</v>
      </c>
      <c r="J7160">
        <v>-168.28819999999999</v>
      </c>
      <c r="K7160">
        <v>1.1041289999999999</v>
      </c>
      <c r="L7160">
        <v>137.73599999999999</v>
      </c>
      <c r="M7160">
        <v>0.99070849999999999</v>
      </c>
      <c r="N7160">
        <v>0</v>
      </c>
      <c r="O7160">
        <v>0.13529260000000001</v>
      </c>
      <c r="P7160">
        <v>0.99154690000000001</v>
      </c>
      <c r="Q7160">
        <v>0.1232689</v>
      </c>
      <c r="R7160">
        <v>-4.0493750000000002E-2</v>
      </c>
      <c r="S7160">
        <v>3.0313870000000001</v>
      </c>
      <c r="T7160">
        <v>-9.8356959999999993E-2</v>
      </c>
      <c r="U7160">
        <v>-0.1414337</v>
      </c>
      <c r="V7160">
        <v>0.17594960000000001</v>
      </c>
      <c r="W7160">
        <v>0.13466879999999901</v>
      </c>
      <c r="X7160">
        <v>0.97514409999999896</v>
      </c>
      <c r="Y7160">
        <v>0.18116959999999999</v>
      </c>
      <c r="Z7160">
        <v>-7.3167029999999999E-3</v>
      </c>
      <c r="AA7160">
        <v>0.98342470000000004</v>
      </c>
      <c r="AB7160">
        <v>24</v>
      </c>
      <c r="AC7160">
        <v>33.792299999999898</v>
      </c>
      <c r="AD7160">
        <v>-1.104131963128</v>
      </c>
      <c r="AE7160">
        <v>-1.61279999999999</v>
      </c>
      <c r="AF7160">
        <v>6.1636915893961897</v>
      </c>
      <c r="AG7160">
        <v>-1.104131963128</v>
      </c>
      <c r="AH7160">
        <v>33.227928681696703</v>
      </c>
      <c r="AI7160">
        <v>91.871283939560897</v>
      </c>
      <c r="AJ7160">
        <v>79.491233135068796</v>
      </c>
      <c r="AK7160">
        <v>33.812800030123498</v>
      </c>
      <c r="AL7160">
        <v>82.260531216785296</v>
      </c>
      <c r="AM7160">
        <v>79.771916543677193</v>
      </c>
      <c r="AN7160">
        <v>0.999999981599204</v>
      </c>
    </row>
    <row r="7161" spans="1:40" x14ac:dyDescent="0.25">
      <c r="A7161" t="str">
        <f>"20190312164643047"</f>
        <v>20190312164643047</v>
      </c>
      <c r="B7161" t="str">
        <f>"1552380403038497"</f>
        <v>1552380403038497</v>
      </c>
      <c r="C7161" t="s">
        <v>40</v>
      </c>
      <c r="D7161">
        <v>5.7532249999999996</v>
      </c>
      <c r="E7161">
        <v>0.50607970000000002</v>
      </c>
      <c r="F7161" t="s">
        <v>42</v>
      </c>
      <c r="G7161">
        <v>-132.99959999999999</v>
      </c>
      <c r="H7161" s="1">
        <v>-3.6322160000000002E-6</v>
      </c>
      <c r="I7161">
        <v>135.97</v>
      </c>
      <c r="J7161">
        <v>-168.0403</v>
      </c>
      <c r="K7161">
        <v>1.104222</v>
      </c>
      <c r="L7161">
        <v>137.76070000000001</v>
      </c>
      <c r="M7161">
        <v>0.99174680000000004</v>
      </c>
      <c r="N7161">
        <v>0</v>
      </c>
      <c r="O7161">
        <v>0.12746080000000001</v>
      </c>
      <c r="P7161">
        <v>0.99123729999999999</v>
      </c>
      <c r="Q7161">
        <v>0.124621</v>
      </c>
      <c r="R7161">
        <v>-4.3797379999999997E-2</v>
      </c>
      <c r="S7161">
        <v>3.031174</v>
      </c>
      <c r="T7161">
        <v>-9.484136E-2</v>
      </c>
      <c r="U7161">
        <v>-0.15168760000000001</v>
      </c>
      <c r="V7161">
        <v>0.17145239999999901</v>
      </c>
      <c r="W7161">
        <v>0.13609749999999901</v>
      </c>
      <c r="X7161">
        <v>0.97574660000000002</v>
      </c>
      <c r="Y7161">
        <v>0.17673749999999999</v>
      </c>
      <c r="Z7161">
        <v>-6.7425439999999996E-3</v>
      </c>
      <c r="AA7161">
        <v>0.98423490000000002</v>
      </c>
      <c r="AB7161">
        <v>24</v>
      </c>
      <c r="AC7161">
        <v>35.040700000000001</v>
      </c>
      <c r="AD7161">
        <v>-1.104225632216</v>
      </c>
      <c r="AE7161">
        <v>-1.79070000000001</v>
      </c>
      <c r="AF7161">
        <v>6.2366589137389701</v>
      </c>
      <c r="AG7161">
        <v>-1.104225632216</v>
      </c>
      <c r="AH7161">
        <v>34.492409865809599</v>
      </c>
      <c r="AI7161">
        <v>91.804378575059602</v>
      </c>
      <c r="AJ7161">
        <v>79.750940741043806</v>
      </c>
      <c r="AK7161">
        <v>35.069097037194403</v>
      </c>
      <c r="AL7161">
        <v>82.177911761553702</v>
      </c>
      <c r="AM7161">
        <v>80.034062213012604</v>
      </c>
      <c r="AN7161">
        <v>0.99999994119178304</v>
      </c>
    </row>
    <row r="7162" spans="1:40" x14ac:dyDescent="0.25">
      <c r="A7162" t="str">
        <f>"20190312164643067"</f>
        <v>20190312164643067</v>
      </c>
      <c r="B7162" t="str">
        <f>"1552380403058018"</f>
        <v>1552380403058018</v>
      </c>
      <c r="C7162" t="s">
        <v>40</v>
      </c>
      <c r="D7162">
        <v>5.7763609999999996</v>
      </c>
      <c r="E7162">
        <v>0.50604309999999997</v>
      </c>
      <c r="F7162" t="s">
        <v>42</v>
      </c>
      <c r="G7162">
        <v>-131.50919999999999</v>
      </c>
      <c r="H7162" s="1">
        <v>-4.3030010000000004E-6</v>
      </c>
      <c r="I7162">
        <v>135.79320000000001</v>
      </c>
      <c r="J7162">
        <v>-167.81780000000001</v>
      </c>
      <c r="K7162">
        <v>1.1042940000000001</v>
      </c>
      <c r="L7162">
        <v>137.78129999999999</v>
      </c>
      <c r="M7162">
        <v>0.99261429999999995</v>
      </c>
      <c r="N7162">
        <v>0</v>
      </c>
      <c r="O7162">
        <v>0.1205205</v>
      </c>
      <c r="P7162">
        <v>0.9909422</v>
      </c>
      <c r="Q7162">
        <v>0.12593299999999999</v>
      </c>
      <c r="R7162">
        <v>-4.6630199999999997E-2</v>
      </c>
      <c r="S7162">
        <v>3.0308229999999998</v>
      </c>
      <c r="T7162">
        <v>-9.1612579999999999E-2</v>
      </c>
      <c r="U7162">
        <v>-0.16323850000000001</v>
      </c>
      <c r="V7162">
        <v>0.1673801</v>
      </c>
      <c r="W7162">
        <v>0.13747579999999901</v>
      </c>
      <c r="X7162">
        <v>0.97626040000000003</v>
      </c>
      <c r="Y7162">
        <v>0.17361299999999999</v>
      </c>
      <c r="Z7162">
        <v>-6.2575449999999998E-3</v>
      </c>
      <c r="AA7162">
        <v>0.98479410000000001</v>
      </c>
      <c r="AB7162">
        <v>24</v>
      </c>
      <c r="AC7162">
        <v>36.308599999999998</v>
      </c>
      <c r="AD7162">
        <v>-1.1042983030010001</v>
      </c>
      <c r="AE7162">
        <v>-1.98809999999997</v>
      </c>
      <c r="AF7162">
        <v>6.3441047452910304</v>
      </c>
      <c r="AG7162">
        <v>-1.1042983030010001</v>
      </c>
      <c r="AH7162">
        <v>35.771269630013201</v>
      </c>
      <c r="AI7162">
        <v>91.7410694930483</v>
      </c>
      <c r="AJ7162">
        <v>79.943053903022602</v>
      </c>
      <c r="AK7162">
        <v>36.346263504029402</v>
      </c>
      <c r="AL7162">
        <v>82.098192364944197</v>
      </c>
      <c r="AM7162">
        <v>80.271214232102096</v>
      </c>
      <c r="AN7162">
        <v>1.0000000310349</v>
      </c>
    </row>
    <row r="7163" spans="1:40" x14ac:dyDescent="0.25">
      <c r="A7163" t="str">
        <f>"20190312164643090"</f>
        <v>20190312164643090</v>
      </c>
      <c r="B7163" t="str">
        <f>"1552380403078513"</f>
        <v>1552380403078513</v>
      </c>
      <c r="C7163" t="s">
        <v>40</v>
      </c>
      <c r="D7163">
        <v>5.7302580000000001</v>
      </c>
      <c r="E7163">
        <v>0.50608819999999999</v>
      </c>
      <c r="F7163" t="s">
        <v>42</v>
      </c>
      <c r="G7163">
        <v>-130.20779999999999</v>
      </c>
      <c r="H7163" s="1">
        <v>-4.8857630000000003E-6</v>
      </c>
      <c r="I7163">
        <v>135.65520000000001</v>
      </c>
      <c r="J7163">
        <v>-167.57939999999999</v>
      </c>
      <c r="K7163">
        <v>1.1043799999999999</v>
      </c>
      <c r="L7163">
        <v>137.80170000000001</v>
      </c>
      <c r="M7163">
        <v>0.99347850000000004</v>
      </c>
      <c r="N7163">
        <v>0</v>
      </c>
      <c r="O7163">
        <v>0.113179</v>
      </c>
      <c r="P7163">
        <v>0.99067320000000003</v>
      </c>
      <c r="Q7163">
        <v>0.12669269999999999</v>
      </c>
      <c r="R7163">
        <v>-5.0155360000000003E-2</v>
      </c>
      <c r="S7163">
        <v>3.0306700000000002</v>
      </c>
      <c r="T7163">
        <v>-8.8986040000000002E-2</v>
      </c>
      <c r="U7163">
        <v>-0.1713257</v>
      </c>
      <c r="V7163">
        <v>0.163602</v>
      </c>
      <c r="W7163">
        <v>0.13829759999999999</v>
      </c>
      <c r="X7163">
        <v>0.9767846</v>
      </c>
      <c r="Y7163">
        <v>0.168965899999999</v>
      </c>
      <c r="Z7163">
        <v>-5.7954620000000004E-3</v>
      </c>
      <c r="AA7163">
        <v>0.98560490000000001</v>
      </c>
      <c r="AB7163">
        <v>24</v>
      </c>
      <c r="AC7163">
        <v>37.371600000000001</v>
      </c>
      <c r="AD7163">
        <v>-1.1043848857630001</v>
      </c>
      <c r="AE7163">
        <v>-2.1465000000000001</v>
      </c>
      <c r="AF7163">
        <v>6.3572560800097797</v>
      </c>
      <c r="AG7163">
        <v>-1.1043848857630001</v>
      </c>
      <c r="AH7163">
        <v>36.856384699963201</v>
      </c>
      <c r="AI7163">
        <v>91.691367132680696</v>
      </c>
      <c r="AJ7163">
        <v>80.213506294850603</v>
      </c>
      <c r="AK7163">
        <v>37.416940869002097</v>
      </c>
      <c r="AL7163">
        <v>82.050652327085601</v>
      </c>
      <c r="AM7163">
        <v>80.491765545561805</v>
      </c>
      <c r="AN7163">
        <v>0.99999999768346004</v>
      </c>
    </row>
    <row r="7164" spans="1:40" x14ac:dyDescent="0.25">
      <c r="A7164" t="str">
        <f>"20190312164643106"</f>
        <v>20190312164643106</v>
      </c>
      <c r="B7164" t="str">
        <f>"1552380403099010"</f>
        <v>1552380403099010</v>
      </c>
      <c r="C7164" t="s">
        <v>40</v>
      </c>
      <c r="D7164">
        <v>5.6213290000000002</v>
      </c>
      <c r="E7164">
        <v>0.5060403</v>
      </c>
      <c r="F7164" t="s">
        <v>42</v>
      </c>
      <c r="G7164">
        <v>-128.21350000000001</v>
      </c>
      <c r="H7164" s="1">
        <v>-1.7082809999999999E-6</v>
      </c>
      <c r="I7164">
        <v>135.42840000000001</v>
      </c>
      <c r="J7164">
        <v>-167.3929</v>
      </c>
      <c r="K7164">
        <v>1.1044480000000001</v>
      </c>
      <c r="L7164">
        <v>137.81649999999999</v>
      </c>
      <c r="M7164">
        <v>0.99410849999999995</v>
      </c>
      <c r="N7164">
        <v>0</v>
      </c>
      <c r="O7164">
        <v>0.1075055</v>
      </c>
      <c r="P7164">
        <v>0.99046140000000005</v>
      </c>
      <c r="Q7164">
        <v>0.1268523</v>
      </c>
      <c r="R7164">
        <v>-5.3801639999999998E-2</v>
      </c>
      <c r="S7164">
        <v>3.029846</v>
      </c>
      <c r="T7164">
        <v>-8.5000160000000005E-2</v>
      </c>
      <c r="U7164">
        <v>-0.18266299999999999</v>
      </c>
      <c r="V7164">
        <v>0.1615974</v>
      </c>
      <c r="W7164">
        <v>0.13849310000000001</v>
      </c>
      <c r="X7164">
        <v>0.97709049999999997</v>
      </c>
      <c r="Y7164">
        <v>0.167043</v>
      </c>
      <c r="Z7164">
        <v>-5.3515669999999998E-3</v>
      </c>
      <c r="AA7164">
        <v>0.98593509999999995</v>
      </c>
      <c r="AB7164">
        <v>24</v>
      </c>
      <c r="AC7164">
        <v>39.179400000000001</v>
      </c>
      <c r="AD7164">
        <v>-1.1044497082810001</v>
      </c>
      <c r="AE7164">
        <v>-2.3880999999999801</v>
      </c>
      <c r="AF7164">
        <v>6.58144948752396</v>
      </c>
      <c r="AG7164">
        <v>-1.1044497082810001</v>
      </c>
      <c r="AH7164">
        <v>38.664922144558197</v>
      </c>
      <c r="AI7164">
        <v>91.613000409390395</v>
      </c>
      <c r="AJ7164">
        <v>80.339838850498197</v>
      </c>
      <c r="AK7164">
        <v>39.2366090655104</v>
      </c>
      <c r="AL7164">
        <v>82.039341797637903</v>
      </c>
      <c r="AM7164">
        <v>80.609068496619898</v>
      </c>
      <c r="AN7164">
        <v>0.99999995181230805</v>
      </c>
    </row>
    <row r="7165" spans="1:40" x14ac:dyDescent="0.25">
      <c r="A7165" t="str">
        <f>"20190312164643124"</f>
        <v>20190312164643124</v>
      </c>
      <c r="B7165" t="str">
        <f>"1552380403118529"</f>
        <v>1552380403118529</v>
      </c>
      <c r="C7165" t="s">
        <v>40</v>
      </c>
      <c r="D7165">
        <v>5.7068199999999996</v>
      </c>
      <c r="E7165">
        <v>0.50602599999999998</v>
      </c>
      <c r="F7165" t="s">
        <v>42</v>
      </c>
      <c r="G7165">
        <v>-128.2158</v>
      </c>
      <c r="H7165" s="1">
        <v>-1.738479E-6</v>
      </c>
      <c r="I7165">
        <v>135.31200000000001</v>
      </c>
      <c r="J7165">
        <v>-167.21430000000001</v>
      </c>
      <c r="K7165">
        <v>1.1045149999999999</v>
      </c>
      <c r="L7165">
        <v>137.8297</v>
      </c>
      <c r="M7165">
        <v>0.99467669999999997</v>
      </c>
      <c r="N7165">
        <v>0</v>
      </c>
      <c r="O7165">
        <v>0.10211679999999999</v>
      </c>
      <c r="P7165">
        <v>0.99033979999999999</v>
      </c>
      <c r="Q7165">
        <v>0.12737770000000001</v>
      </c>
      <c r="R7165">
        <v>-5.4787490000000001E-2</v>
      </c>
      <c r="S7165">
        <v>3.0292970000000001</v>
      </c>
      <c r="T7165">
        <v>-8.5399509999999998E-2</v>
      </c>
      <c r="U7165">
        <v>-0.1936493</v>
      </c>
      <c r="V7165">
        <v>0.15724759999999999</v>
      </c>
      <c r="W7165">
        <v>0.13908380000000001</v>
      </c>
      <c r="X7165">
        <v>0.97771609999999998</v>
      </c>
      <c r="Y7165">
        <v>0.16527439999999999</v>
      </c>
      <c r="Z7165">
        <v>-5.2009489999999998E-3</v>
      </c>
      <c r="AA7165">
        <v>0.9862339</v>
      </c>
      <c r="AB7165">
        <v>24</v>
      </c>
      <c r="AC7165">
        <v>38.9985</v>
      </c>
      <c r="AD7165">
        <v>-1.104516738479</v>
      </c>
      <c r="AE7165">
        <v>-2.5176999999999898</v>
      </c>
      <c r="AF7165">
        <v>6.4821392589371802</v>
      </c>
      <c r="AG7165">
        <v>-1.104516738479</v>
      </c>
      <c r="AH7165">
        <v>38.506709702871298</v>
      </c>
      <c r="AI7165">
        <v>91.6202232880201</v>
      </c>
      <c r="AJ7165">
        <v>80.444535577363993</v>
      </c>
      <c r="AK7165">
        <v>39.064111134633997</v>
      </c>
      <c r="AL7165">
        <v>82.005166349388404</v>
      </c>
      <c r="AM7165">
        <v>80.863273820416495</v>
      </c>
      <c r="AN7165">
        <v>0.99999994166370298</v>
      </c>
    </row>
    <row r="7166" spans="1:40" x14ac:dyDescent="0.25">
      <c r="A7166" t="str">
        <f>"20190312164643146"</f>
        <v>20190312164643146</v>
      </c>
      <c r="B7166" t="str">
        <f>"1552380403138667"</f>
        <v>1552380403138667</v>
      </c>
      <c r="C7166" t="s">
        <v>40</v>
      </c>
      <c r="D7166">
        <v>5.649794</v>
      </c>
      <c r="E7166">
        <v>0.50607400000000002</v>
      </c>
      <c r="F7166" t="s">
        <v>42</v>
      </c>
      <c r="G7166">
        <v>-127.79989999999999</v>
      </c>
      <c r="H7166" s="1">
        <v>-1.893265E-6</v>
      </c>
      <c r="I7166">
        <v>135.26220000000001</v>
      </c>
      <c r="J7166">
        <v>-166.97630000000001</v>
      </c>
      <c r="K7166">
        <v>1.104606</v>
      </c>
      <c r="L7166">
        <v>137.8459</v>
      </c>
      <c r="M7166">
        <v>0.99538119999999997</v>
      </c>
      <c r="N7166">
        <v>0</v>
      </c>
      <c r="O7166">
        <v>9.5007839999999996E-2</v>
      </c>
      <c r="P7166">
        <v>0.99015810000000004</v>
      </c>
      <c r="Q7166">
        <v>0.12769819999999901</v>
      </c>
      <c r="R7166">
        <v>-5.7273119999999997E-2</v>
      </c>
      <c r="S7166">
        <v>3.0292659999999998</v>
      </c>
      <c r="T7166">
        <v>-8.4889770000000003E-2</v>
      </c>
      <c r="U7166">
        <v>-0.19732669999999999</v>
      </c>
      <c r="V7166">
        <v>0.1526824</v>
      </c>
      <c r="W7166">
        <v>0.13947479999999901</v>
      </c>
      <c r="X7166">
        <v>0.97838380000000003</v>
      </c>
      <c r="Y7166">
        <v>0.1594246</v>
      </c>
      <c r="Z7166">
        <v>-4.8893749999999996E-3</v>
      </c>
      <c r="AA7166">
        <v>0.98719800000000002</v>
      </c>
      <c r="AB7166">
        <v>24</v>
      </c>
      <c r="AC7166">
        <v>39.176400000000001</v>
      </c>
      <c r="AD7166">
        <v>-1.1046078932650001</v>
      </c>
      <c r="AE7166">
        <v>-2.5836999999999901</v>
      </c>
      <c r="AF7166">
        <v>6.28945038608133</v>
      </c>
      <c r="AG7166">
        <v>-1.1046078932650001</v>
      </c>
      <c r="AH7166">
        <v>38.723006258770802</v>
      </c>
      <c r="AI7166">
        <v>91.612845348181594</v>
      </c>
      <c r="AJ7166">
        <v>80.774493474427402</v>
      </c>
      <c r="AK7166">
        <v>39.246000541120601</v>
      </c>
      <c r="AL7166">
        <v>81.982543644769706</v>
      </c>
      <c r="AM7166">
        <v>81.130206642547094</v>
      </c>
      <c r="AN7166">
        <v>0.99999999760362002</v>
      </c>
    </row>
    <row r="7167" spans="1:40" x14ac:dyDescent="0.25">
      <c r="A7167" t="str">
        <f>"20190312164643167"</f>
        <v>20190312164643167</v>
      </c>
      <c r="B7167" t="str">
        <f>"1552380403158184"</f>
        <v>1552380403158184</v>
      </c>
      <c r="C7167" t="s">
        <v>40</v>
      </c>
      <c r="D7167">
        <v>5.7648400000000004</v>
      </c>
      <c r="E7167">
        <v>0.50601209999999996</v>
      </c>
      <c r="F7167" t="s">
        <v>42</v>
      </c>
      <c r="G7167">
        <v>-127.3514</v>
      </c>
      <c r="H7167" s="1">
        <v>-2.077585E-6</v>
      </c>
      <c r="I7167">
        <v>135.1431</v>
      </c>
      <c r="J7167">
        <v>-166.73779999999999</v>
      </c>
      <c r="K7167">
        <v>1.1047020000000001</v>
      </c>
      <c r="L7167">
        <v>137.8605</v>
      </c>
      <c r="M7167">
        <v>0.99602749999999995</v>
      </c>
      <c r="N7167">
        <v>0</v>
      </c>
      <c r="O7167">
        <v>8.7977540000000007E-2</v>
      </c>
      <c r="P7167">
        <v>0.99002259999999997</v>
      </c>
      <c r="Q7167">
        <v>0.12802819999999901</v>
      </c>
      <c r="R7167">
        <v>-5.8859010000000003E-2</v>
      </c>
      <c r="S7167">
        <v>3.0287630000000001</v>
      </c>
      <c r="T7167">
        <v>-8.4431649999999997E-2</v>
      </c>
      <c r="U7167">
        <v>-0.20658869999999999</v>
      </c>
      <c r="V7167">
        <v>0.14730399999999999</v>
      </c>
      <c r="W7167">
        <v>0.13988610000000001</v>
      </c>
      <c r="X7167">
        <v>0.9791493</v>
      </c>
      <c r="Y7167">
        <v>0.15547459999999999</v>
      </c>
      <c r="Z7167">
        <v>-4.6130049999999999E-3</v>
      </c>
      <c r="AA7167">
        <v>0.98782910000000002</v>
      </c>
      <c r="AB7167">
        <v>24</v>
      </c>
      <c r="AC7167">
        <v>39.386400000000002</v>
      </c>
      <c r="AD7167">
        <v>-1.1047040775849899</v>
      </c>
      <c r="AE7167">
        <v>-2.7173999999999898</v>
      </c>
      <c r="AF7167">
        <v>6.1674786904159404</v>
      </c>
      <c r="AG7167">
        <v>-1.1047040775849899</v>
      </c>
      <c r="AH7167">
        <v>38.964048758101697</v>
      </c>
      <c r="AI7167">
        <v>91.604048636109397</v>
      </c>
      <c r="AJ7167">
        <v>81.005480369419104</v>
      </c>
      <c r="AK7167">
        <v>39.464607689922602</v>
      </c>
      <c r="AL7167">
        <v>81.958744360378901</v>
      </c>
      <c r="AM7167">
        <v>81.444535993700399</v>
      </c>
      <c r="AN7167">
        <v>0.99999997053984901</v>
      </c>
    </row>
    <row r="7168" spans="1:40" x14ac:dyDescent="0.25">
      <c r="A7168" t="str">
        <f>"20190312164643191"</f>
        <v>20190312164643191</v>
      </c>
      <c r="B7168" t="str">
        <f>"1552380403188440"</f>
        <v>1552380403188440</v>
      </c>
      <c r="C7168" t="s">
        <v>40</v>
      </c>
      <c r="D7168">
        <v>5.6486369999999999</v>
      </c>
      <c r="E7168">
        <v>0.50595080000000003</v>
      </c>
      <c r="F7168" t="s">
        <v>42</v>
      </c>
      <c r="G7168">
        <v>-127.1566</v>
      </c>
      <c r="H7168" s="1">
        <v>-2.1592960000000001E-6</v>
      </c>
      <c r="I7168">
        <v>135.08510000000001</v>
      </c>
      <c r="J7168">
        <v>-166.4967</v>
      </c>
      <c r="K7168">
        <v>1.104803</v>
      </c>
      <c r="L7168">
        <v>137.87370000000001</v>
      </c>
      <c r="M7168">
        <v>0.99662050000000002</v>
      </c>
      <c r="N7168">
        <v>0</v>
      </c>
      <c r="O7168">
        <v>8.0985459999999995E-2</v>
      </c>
      <c r="P7168">
        <v>0.98992409999999997</v>
      </c>
      <c r="Q7168">
        <v>0.12816</v>
      </c>
      <c r="R7168">
        <v>-6.0209819999999997E-2</v>
      </c>
      <c r="S7168">
        <v>3.0285340000000001</v>
      </c>
      <c r="T7168">
        <v>-8.4525820000000002E-2</v>
      </c>
      <c r="U7168">
        <v>-0.21235660000000001</v>
      </c>
      <c r="V7168">
        <v>0.14172839999999901</v>
      </c>
      <c r="W7168">
        <v>0.14010139999999999</v>
      </c>
      <c r="X7168">
        <v>0.97994110000000001</v>
      </c>
      <c r="Y7168">
        <v>0.1504221</v>
      </c>
      <c r="Z7168">
        <v>-4.3531849999999999E-3</v>
      </c>
      <c r="AA7168">
        <v>0.9886123</v>
      </c>
      <c r="AB7168">
        <v>24</v>
      </c>
      <c r="AC7168">
        <v>39.3401</v>
      </c>
      <c r="AD7168">
        <v>-1.104805159296</v>
      </c>
      <c r="AE7168">
        <v>-2.7886000000000002</v>
      </c>
      <c r="AF7168">
        <v>5.9610377687813001</v>
      </c>
      <c r="AG7168">
        <v>-1.104805159296</v>
      </c>
      <c r="AH7168">
        <v>38.954428096687401</v>
      </c>
      <c r="AI7168">
        <v>91.605873944101603</v>
      </c>
      <c r="AJ7168">
        <v>81.299751893040906</v>
      </c>
      <c r="AK7168">
        <v>39.423369136348903</v>
      </c>
      <c r="AL7168">
        <v>81.946285730496498</v>
      </c>
      <c r="AM7168">
        <v>81.770404323662902</v>
      </c>
      <c r="AN7168">
        <v>0.99999995055886304</v>
      </c>
    </row>
    <row r="7169" spans="1:40" x14ac:dyDescent="0.25">
      <c r="A7169" t="str">
        <f>"20190312164643213"</f>
        <v>20190312164643213</v>
      </c>
      <c r="B7169" t="str">
        <f>"1552380403207959"</f>
        <v>1552380403207959</v>
      </c>
      <c r="C7169" t="s">
        <v>40</v>
      </c>
      <c r="D7169">
        <v>5.8429120000000001</v>
      </c>
      <c r="E7169">
        <v>0.50583529999999999</v>
      </c>
      <c r="F7169" t="s">
        <v>42</v>
      </c>
      <c r="G7169">
        <v>-127.7547</v>
      </c>
      <c r="H7169" s="1">
        <v>-1.9504669999999999E-6</v>
      </c>
      <c r="I7169">
        <v>135.10499999999999</v>
      </c>
      <c r="J7169">
        <v>-166.25049999999999</v>
      </c>
      <c r="K7169">
        <v>1.104922</v>
      </c>
      <c r="L7169">
        <v>137.88550000000001</v>
      </c>
      <c r="M7169">
        <v>0.9971662</v>
      </c>
      <c r="N7169">
        <v>0</v>
      </c>
      <c r="O7169">
        <v>7.3968480000000003E-2</v>
      </c>
      <c r="P7169">
        <v>0.99002409999999996</v>
      </c>
      <c r="Q7169">
        <v>0.1289341</v>
      </c>
      <c r="R7169">
        <v>-5.6820210000000003E-2</v>
      </c>
      <c r="S7169">
        <v>3.0285639999999998</v>
      </c>
      <c r="T7169">
        <v>-8.6365579999999997E-2</v>
      </c>
      <c r="U7169">
        <v>-0.2164307</v>
      </c>
      <c r="V7169">
        <v>0.1314197</v>
      </c>
      <c r="W7169">
        <v>0.1410168</v>
      </c>
      <c r="X7169">
        <v>0.9812457</v>
      </c>
      <c r="Y7169">
        <v>0.14478469999999999</v>
      </c>
      <c r="Z7169">
        <v>-4.1677579999999997E-3</v>
      </c>
      <c r="AA7169">
        <v>0.98945439999999996</v>
      </c>
      <c r="AB7169">
        <v>24</v>
      </c>
      <c r="AC7169">
        <v>38.495799999999903</v>
      </c>
      <c r="AD7169">
        <v>-1.1049239504670001</v>
      </c>
      <c r="AE7169">
        <v>-2.7805000000000102</v>
      </c>
      <c r="AF7169">
        <v>5.6160228102720797</v>
      </c>
      <c r="AG7169">
        <v>-1.1049239504670001</v>
      </c>
      <c r="AH7169">
        <v>38.1533664335727</v>
      </c>
      <c r="AI7169">
        <v>91.641151787931307</v>
      </c>
      <c r="AJ7169">
        <v>81.626420941208707</v>
      </c>
      <c r="AK7169">
        <v>38.580305070803703</v>
      </c>
      <c r="AL7169">
        <v>81.893311654294493</v>
      </c>
      <c r="AM7169">
        <v>82.371685979207896</v>
      </c>
      <c r="AN7169">
        <v>0.99999999959940999</v>
      </c>
    </row>
    <row r="7170" spans="1:40" x14ac:dyDescent="0.25">
      <c r="A7170" t="str">
        <f>"20190312164643257"</f>
        <v>20190312164643257</v>
      </c>
      <c r="B7170" t="str">
        <f>"1552380403247976"</f>
        <v>1552380403247976</v>
      </c>
      <c r="C7170" t="s">
        <v>40</v>
      </c>
      <c r="D7170">
        <v>5.0487019999999996</v>
      </c>
      <c r="E7170">
        <v>0.50177519999999998</v>
      </c>
      <c r="F7170" t="s">
        <v>42</v>
      </c>
      <c r="G7170">
        <v>-126.6481</v>
      </c>
      <c r="H7170" s="1">
        <v>-2.3041850000000001E-6</v>
      </c>
      <c r="I7170">
        <v>135.191</v>
      </c>
      <c r="J7170">
        <v>-165.78210000000001</v>
      </c>
      <c r="K7170">
        <v>1.1051120000000001</v>
      </c>
      <c r="L7170">
        <v>137.90350000000001</v>
      </c>
      <c r="M7170">
        <v>0.99804850000000001</v>
      </c>
      <c r="N7170">
        <v>0</v>
      </c>
      <c r="O7170">
        <v>6.0925159999999999E-2</v>
      </c>
      <c r="P7170">
        <v>0.98982210000000004</v>
      </c>
      <c r="Q7170">
        <v>0.1303078</v>
      </c>
      <c r="R7170">
        <v>-5.7202790000000003E-2</v>
      </c>
      <c r="S7170">
        <v>3.029404</v>
      </c>
      <c r="T7170">
        <v>-8.4521529999999997E-2</v>
      </c>
      <c r="U7170">
        <v>-0.20611570000000001</v>
      </c>
      <c r="V7170">
        <v>0.11888269999999999</v>
      </c>
      <c r="W7170">
        <v>0.14255889999999999</v>
      </c>
      <c r="X7170">
        <v>0.98262090000000002</v>
      </c>
      <c r="Y7170">
        <v>0.12847229999999901</v>
      </c>
      <c r="Z7170">
        <v>-3.48759E-3</v>
      </c>
      <c r="AA7170">
        <v>0.99170700000000001</v>
      </c>
      <c r="AB7170">
        <v>24</v>
      </c>
      <c r="AC7170">
        <v>39.134</v>
      </c>
      <c r="AD7170">
        <v>-1.105114304185</v>
      </c>
      <c r="AE7170">
        <v>-2.7124999999999999</v>
      </c>
      <c r="AF7170">
        <v>5.0878907294279996</v>
      </c>
      <c r="AG7170">
        <v>-1.105114304185</v>
      </c>
      <c r="AH7170">
        <v>38.865168591183</v>
      </c>
      <c r="AI7170">
        <v>91.614969596472804</v>
      </c>
      <c r="AJ7170">
        <v>82.541746541338696</v>
      </c>
      <c r="AK7170">
        <v>39.212360797597903</v>
      </c>
      <c r="AL7170">
        <v>81.804053937027703</v>
      </c>
      <c r="AM7170">
        <v>83.101580051994205</v>
      </c>
      <c r="AN7170">
        <v>0.99999998472265395</v>
      </c>
    </row>
    <row r="7171" spans="1:40" x14ac:dyDescent="0.25">
      <c r="A7171" t="str">
        <f>"20190312164643302"</f>
        <v>20190312164643302</v>
      </c>
      <c r="B7171" t="str">
        <f>"1552380403298731"</f>
        <v>1552380403298731</v>
      </c>
      <c r="C7171" t="s">
        <v>40</v>
      </c>
      <c r="D7171">
        <v>5.4923400000000004</v>
      </c>
      <c r="E7171">
        <v>0.48654239999999999</v>
      </c>
      <c r="F7171" t="s">
        <v>42</v>
      </c>
      <c r="G7171">
        <v>-142.09620000000001</v>
      </c>
      <c r="H7171" s="1">
        <v>-3.9172380000000002E-6</v>
      </c>
      <c r="I7171">
        <v>136.548</v>
      </c>
      <c r="J7171">
        <v>-165.3014</v>
      </c>
      <c r="K7171">
        <v>1.105316</v>
      </c>
      <c r="L7171">
        <v>137.91640000000001</v>
      </c>
      <c r="M7171">
        <v>0.9987473</v>
      </c>
      <c r="N7171">
        <v>0</v>
      </c>
      <c r="O7171">
        <v>4.8137569999999998E-2</v>
      </c>
      <c r="P7171">
        <v>0.98984300000000003</v>
      </c>
      <c r="Q7171">
        <v>0.12987099999999999</v>
      </c>
      <c r="R7171">
        <v>-5.7832120000000001E-2</v>
      </c>
      <c r="S7171">
        <v>3.0394739999999998</v>
      </c>
      <c r="T7171">
        <v>-0.14181299999999999</v>
      </c>
      <c r="U7171">
        <v>-0.1739349</v>
      </c>
      <c r="V7171">
        <v>0.1068125</v>
      </c>
      <c r="W7171">
        <v>0.142287</v>
      </c>
      <c r="X7171">
        <v>0.98404539999999996</v>
      </c>
      <c r="Y7171">
        <v>0.104963</v>
      </c>
      <c r="Z7171">
        <v>-4.6885410000000001E-3</v>
      </c>
      <c r="AA7171">
        <v>0.99446509999999999</v>
      </c>
      <c r="AB7171">
        <v>24</v>
      </c>
      <c r="AC7171">
        <v>23.205199999999898</v>
      </c>
      <c r="AD7171">
        <v>-1.1053199172379999</v>
      </c>
      <c r="AE7171">
        <v>-1.3684000000000001</v>
      </c>
      <c r="AF7171">
        <v>2.4783559885033402</v>
      </c>
      <c r="AG7171">
        <v>-1.1053199172379999</v>
      </c>
      <c r="AH7171">
        <v>23.060276993111799</v>
      </c>
      <c r="AI7171">
        <v>92.728499435610104</v>
      </c>
      <c r="AJ7171">
        <v>83.865798828271593</v>
      </c>
      <c r="AK7171">
        <v>23.219396105933399</v>
      </c>
      <c r="AL7171">
        <v>81.819792613800502</v>
      </c>
      <c r="AM7171">
        <v>83.805123918937099</v>
      </c>
      <c r="AN7171">
        <v>0.999999924893202</v>
      </c>
    </row>
    <row r="7172" spans="1:40" x14ac:dyDescent="0.25">
      <c r="A7172" t="str">
        <f>"20190312164643325"</f>
        <v>20190312164643325</v>
      </c>
      <c r="B7172" t="str">
        <f>"1552380403318251"</f>
        <v>1552380403318251</v>
      </c>
      <c r="C7172" t="s">
        <v>40</v>
      </c>
      <c r="D7172">
        <v>6.1712540000000002</v>
      </c>
      <c r="E7172">
        <v>0.48654239999999999</v>
      </c>
      <c r="F7172" t="s">
        <v>41</v>
      </c>
      <c r="G7172">
        <v>-164.59180000000001</v>
      </c>
      <c r="H7172">
        <v>0.85226299999999899</v>
      </c>
      <c r="I7172">
        <v>137.91040000000001</v>
      </c>
      <c r="J7172">
        <v>-165.05969999999999</v>
      </c>
      <c r="K7172">
        <v>1.1054660000000001</v>
      </c>
      <c r="L7172">
        <v>137.92089999999999</v>
      </c>
      <c r="M7172">
        <v>0.99902400000000002</v>
      </c>
      <c r="N7172">
        <v>0</v>
      </c>
      <c r="O7172">
        <v>4.2014450000000002E-2</v>
      </c>
      <c r="P7172">
        <v>0.99009440000000004</v>
      </c>
      <c r="Q7172">
        <v>0.12800010000000001</v>
      </c>
      <c r="R7172">
        <v>-5.7699519999999997E-2</v>
      </c>
      <c r="S7172">
        <v>3.1778870000000001</v>
      </c>
      <c r="T7172">
        <v>-1.1331089999999999</v>
      </c>
      <c r="U7172">
        <v>-2.651978E-2</v>
      </c>
      <c r="V7172">
        <v>0.1005747</v>
      </c>
      <c r="W7172">
        <v>0.14050509999999999</v>
      </c>
      <c r="X7172">
        <v>0.98495840000000001</v>
      </c>
      <c r="Y7172">
        <v>4.4989899999999999E-2</v>
      </c>
      <c r="Z7172">
        <v>-2.231182E-2</v>
      </c>
      <c r="AA7172">
        <v>0.99873820000000002</v>
      </c>
      <c r="AB7172">
        <v>24</v>
      </c>
      <c r="AC7172">
        <v>0.46789999999998599</v>
      </c>
      <c r="AD7172">
        <v>-0.25320300000000001</v>
      </c>
      <c r="AE7172">
        <v>-1.0499999999979E-2</v>
      </c>
      <c r="AF7172">
        <v>2.3324258044459902E-2</v>
      </c>
      <c r="AG7172">
        <v>-0.25320300000000001</v>
      </c>
      <c r="AH7172">
        <v>0.36129647612746302</v>
      </c>
      <c r="AI7172">
        <v>124.967478449811</v>
      </c>
      <c r="AJ7172">
        <v>86.306275448721294</v>
      </c>
      <c r="AK7172">
        <v>0.44180416915693199</v>
      </c>
      <c r="AL7172">
        <v>81.922924760434697</v>
      </c>
      <c r="AM7172">
        <v>84.169700499533803</v>
      </c>
      <c r="AN7172">
        <v>1.0000000015683299</v>
      </c>
    </row>
    <row r="7173" spans="1:40" x14ac:dyDescent="0.25">
      <c r="A7173" t="str">
        <f>"20190312164643346"</f>
        <v>20190312164643346</v>
      </c>
      <c r="B7173" t="str">
        <f>"1552380403338747"</f>
        <v>1552380403338747</v>
      </c>
      <c r="C7173" t="s">
        <v>40</v>
      </c>
      <c r="D7173">
        <v>5.711652</v>
      </c>
      <c r="E7173">
        <v>0.49570629999999999</v>
      </c>
      <c r="F7173" t="s">
        <v>41</v>
      </c>
      <c r="G7173">
        <v>-164.37559999999999</v>
      </c>
      <c r="H7173">
        <v>0.86006119999999997</v>
      </c>
      <c r="I7173">
        <v>137.91470000000001</v>
      </c>
      <c r="J7173">
        <v>-164.8272</v>
      </c>
      <c r="K7173">
        <v>1.105648</v>
      </c>
      <c r="L7173">
        <v>137.92410000000001</v>
      </c>
      <c r="M7173">
        <v>0.99924619999999997</v>
      </c>
      <c r="N7173">
        <v>0</v>
      </c>
      <c r="O7173">
        <v>3.6359250000000003E-2</v>
      </c>
      <c r="P7173">
        <v>0.99042920000000001</v>
      </c>
      <c r="Q7173">
        <v>0.1261612</v>
      </c>
      <c r="R7173">
        <v>-5.5976690000000003E-2</v>
      </c>
      <c r="S7173">
        <v>3.1756440000000001</v>
      </c>
      <c r="T7173">
        <v>-1.1393310000000001</v>
      </c>
      <c r="U7173">
        <v>-2.8594970000000001E-2</v>
      </c>
      <c r="V7173">
        <v>9.3203259999999996E-2</v>
      </c>
      <c r="W7173">
        <v>0.13876559999999999</v>
      </c>
      <c r="X7173">
        <v>0.98592970000000002</v>
      </c>
      <c r="Y7173">
        <v>4.0559270000000001E-2</v>
      </c>
      <c r="Z7173">
        <v>-1.9704670000000001E-2</v>
      </c>
      <c r="AA7173">
        <v>0.99898279999999995</v>
      </c>
      <c r="AB7173">
        <v>24</v>
      </c>
      <c r="AC7173">
        <v>0.45160000000001299</v>
      </c>
      <c r="AD7173">
        <v>-0.24558679999999999</v>
      </c>
      <c r="AE7173">
        <v>-9.3999999999994002E-3</v>
      </c>
      <c r="AF7173">
        <v>1.9925138590077499E-2</v>
      </c>
      <c r="AG7173">
        <v>-0.24558679999999999</v>
      </c>
      <c r="AH7173">
        <v>0.34806827039596799</v>
      </c>
      <c r="AI7173">
        <v>125.16153795265301</v>
      </c>
      <c r="AJ7173">
        <v>86.723683651837604</v>
      </c>
      <c r="AK7173">
        <v>0.42645211728693999</v>
      </c>
      <c r="AL7173">
        <v>82.023577311718896</v>
      </c>
      <c r="AM7173">
        <v>84.599685294043596</v>
      </c>
      <c r="AN7173">
        <v>1.00000005638003</v>
      </c>
    </row>
    <row r="7174" spans="1:40" x14ac:dyDescent="0.25">
      <c r="A7174" t="str">
        <f>"20190312164643369"</f>
        <v>20190312164643369</v>
      </c>
      <c r="B7174" t="str">
        <f>"1552380403358264"</f>
        <v>1552380403358264</v>
      </c>
      <c r="C7174" t="s">
        <v>40</v>
      </c>
      <c r="D7174">
        <v>5.7899849999999997</v>
      </c>
      <c r="E7174">
        <v>0.49621609999999999</v>
      </c>
      <c r="F7174" t="s">
        <v>41</v>
      </c>
      <c r="G7174">
        <v>-164.07919999999999</v>
      </c>
      <c r="H7174">
        <v>1.037617</v>
      </c>
      <c r="I7174">
        <v>137.89439999999999</v>
      </c>
      <c r="J7174">
        <v>-164.59129999999999</v>
      </c>
      <c r="K7174">
        <v>1.1058570000000001</v>
      </c>
      <c r="L7174">
        <v>137.9263</v>
      </c>
      <c r="M7174">
        <v>0.99943029999999999</v>
      </c>
      <c r="N7174">
        <v>0</v>
      </c>
      <c r="O7174">
        <v>3.0895470000000001E-2</v>
      </c>
      <c r="P7174">
        <v>0.99079070000000002</v>
      </c>
      <c r="Q7174">
        <v>0.1241075</v>
      </c>
      <c r="R7174">
        <v>-5.4142719999999998E-2</v>
      </c>
      <c r="S7174">
        <v>3.0575410000000001</v>
      </c>
      <c r="T7174">
        <v>-0.27793190000000001</v>
      </c>
      <c r="U7174">
        <v>-0.120864899999999</v>
      </c>
      <c r="V7174">
        <v>8.5895139999999995E-2</v>
      </c>
      <c r="W7174">
        <v>0.13680699999999901</v>
      </c>
      <c r="X7174">
        <v>0.98686669999999999</v>
      </c>
      <c r="Y7174">
        <v>6.9939399999999902E-2</v>
      </c>
      <c r="Z7174">
        <v>-5.9728910000000001E-3</v>
      </c>
      <c r="AA7174">
        <v>0.99753340000000001</v>
      </c>
      <c r="AB7174">
        <v>24</v>
      </c>
      <c r="AC7174">
        <v>0.512100000000003</v>
      </c>
      <c r="AD7174">
        <v>-6.8239999999999801E-2</v>
      </c>
      <c r="AE7174">
        <v>-3.1900000000007298E-2</v>
      </c>
      <c r="AF7174">
        <v>4.6878595599088697E-2</v>
      </c>
      <c r="AG7174">
        <v>-6.8239999999999801E-2</v>
      </c>
      <c r="AH7174">
        <v>0.50199046584941798</v>
      </c>
      <c r="AI7174">
        <v>97.708137812188397</v>
      </c>
      <c r="AJ7174">
        <v>84.664881980727202</v>
      </c>
      <c r="AK7174">
        <v>0.50877178393564504</v>
      </c>
      <c r="AL7174">
        <v>82.136877106553101</v>
      </c>
      <c r="AM7174">
        <v>85.025612370346096</v>
      </c>
      <c r="AN7174">
        <v>1.0000000069467501</v>
      </c>
    </row>
    <row r="7175" spans="1:40" x14ac:dyDescent="0.25">
      <c r="A7175" t="str">
        <f>"20190312164643392"</f>
        <v>20190312164643392</v>
      </c>
      <c r="B7175" t="str">
        <f>"1552380403388519"</f>
        <v>1552380403388519</v>
      </c>
      <c r="C7175" t="s">
        <v>40</v>
      </c>
      <c r="D7175">
        <v>5.7080690000000001</v>
      </c>
      <c r="E7175">
        <v>0.4955832</v>
      </c>
      <c r="F7175" t="s">
        <v>41</v>
      </c>
      <c r="G7175">
        <v>-163.6499</v>
      </c>
      <c r="H7175">
        <v>1.045145</v>
      </c>
      <c r="I7175">
        <v>137.8878</v>
      </c>
      <c r="J7175">
        <v>-164.35249999999999</v>
      </c>
      <c r="K7175">
        <v>1.1060779999999999</v>
      </c>
      <c r="L7175">
        <v>137.92750000000001</v>
      </c>
      <c r="M7175">
        <v>0.99957770000000001</v>
      </c>
      <c r="N7175">
        <v>0</v>
      </c>
      <c r="O7175">
        <v>2.569867E-2</v>
      </c>
      <c r="P7175">
        <v>0.99093249999999999</v>
      </c>
      <c r="Q7175">
        <v>0.12379809999999999</v>
      </c>
      <c r="R7175">
        <v>-5.2220080000000002E-2</v>
      </c>
      <c r="S7175">
        <v>3.0456850000000002</v>
      </c>
      <c r="T7175">
        <v>-0.19625690000000001</v>
      </c>
      <c r="U7175">
        <v>-0.124054</v>
      </c>
      <c r="V7175">
        <v>7.8761100000000001E-2</v>
      </c>
      <c r="W7175">
        <v>0.1365836</v>
      </c>
      <c r="X7175">
        <v>0.98749260000000005</v>
      </c>
      <c r="Y7175">
        <v>6.6173350000000006E-2</v>
      </c>
      <c r="Z7175">
        <v>-3.7827360000000001E-3</v>
      </c>
      <c r="AA7175">
        <v>0.99780089999999999</v>
      </c>
      <c r="AB7175">
        <v>24</v>
      </c>
      <c r="AC7175">
        <v>0.70259999999998901</v>
      </c>
      <c r="AD7175">
        <v>-6.0933000000000098E-2</v>
      </c>
      <c r="AE7175">
        <v>-3.9700000000010498E-2</v>
      </c>
      <c r="AF7175">
        <v>5.7314727694932503E-2</v>
      </c>
      <c r="AG7175">
        <v>-6.0933000000000098E-2</v>
      </c>
      <c r="AH7175">
        <v>0.69612850286991701</v>
      </c>
      <c r="AI7175">
        <v>94.985637290382698</v>
      </c>
      <c r="AJ7175">
        <v>85.293251567491296</v>
      </c>
      <c r="AK7175">
        <v>0.70113672062419896</v>
      </c>
      <c r="AL7175">
        <v>82.149798319501798</v>
      </c>
      <c r="AM7175">
        <v>85.439818055688704</v>
      </c>
      <c r="AN7175">
        <v>1.0000000128584601</v>
      </c>
    </row>
    <row r="7176" spans="1:40" x14ac:dyDescent="0.25">
      <c r="A7176" t="str">
        <f>"20190312164643414"</f>
        <v>20190312164643414</v>
      </c>
      <c r="B7176" t="str">
        <f>"1552380403408039"</f>
        <v>1552380403408039</v>
      </c>
      <c r="C7176" t="s">
        <v>40</v>
      </c>
      <c r="D7176">
        <v>5.7382279999999897</v>
      </c>
      <c r="E7176">
        <v>0.49396010000000001</v>
      </c>
      <c r="F7176" t="s">
        <v>42</v>
      </c>
      <c r="G7176">
        <v>-143.09549999999999</v>
      </c>
      <c r="H7176" s="1">
        <v>-3.384725E-6</v>
      </c>
      <c r="I7176">
        <v>137.13339999999999</v>
      </c>
      <c r="J7176">
        <v>-164.1096</v>
      </c>
      <c r="K7176">
        <v>1.106279</v>
      </c>
      <c r="L7176">
        <v>137.92769999999999</v>
      </c>
      <c r="M7176">
        <v>0.99969430000000004</v>
      </c>
      <c r="N7176">
        <v>0</v>
      </c>
      <c r="O7176">
        <v>2.068859E-2</v>
      </c>
      <c r="P7176">
        <v>0.99097679999999999</v>
      </c>
      <c r="Q7176">
        <v>0.1239161</v>
      </c>
      <c r="R7176">
        <v>-5.1086020000000003E-2</v>
      </c>
      <c r="S7176">
        <v>3.041229</v>
      </c>
      <c r="T7176">
        <v>-0.158246</v>
      </c>
      <c r="U7176">
        <v>-0.1136017</v>
      </c>
      <c r="V7176">
        <v>7.2602970000000003E-2</v>
      </c>
      <c r="W7176">
        <v>0.13676779999999999</v>
      </c>
      <c r="X7176">
        <v>0.98793889999999995</v>
      </c>
      <c r="Y7176">
        <v>5.7889740000000002E-2</v>
      </c>
      <c r="Z7176">
        <v>-2.5801079999999998E-3</v>
      </c>
      <c r="AA7176">
        <v>0.99831959999999997</v>
      </c>
      <c r="AB7176">
        <v>24</v>
      </c>
      <c r="AC7176">
        <v>21.014099999999999</v>
      </c>
      <c r="AD7176">
        <v>-1.1062823847250001</v>
      </c>
      <c r="AE7176">
        <v>-0.79429999999999201</v>
      </c>
      <c r="AF7176">
        <v>1.22553023431151</v>
      </c>
      <c r="AG7176">
        <v>-1.1062823847250001</v>
      </c>
      <c r="AH7176">
        <v>20.9352284276322</v>
      </c>
      <c r="AI7176">
        <v>93.019713191192807</v>
      </c>
      <c r="AJ7176">
        <v>86.649777824087906</v>
      </c>
      <c r="AK7176">
        <v>21.000227960360402</v>
      </c>
      <c r="AL7176">
        <v>82.139143932669995</v>
      </c>
      <c r="AM7176">
        <v>85.796927046937995</v>
      </c>
      <c r="AN7176">
        <v>0.99999994625143296</v>
      </c>
    </row>
    <row r="7177" spans="1:40" x14ac:dyDescent="0.25">
      <c r="A7177" t="str">
        <f>"20190312164643437"</f>
        <v>20190312164643437</v>
      </c>
      <c r="B7177" t="str">
        <f>"1552380403428535"</f>
        <v>1552380403428535</v>
      </c>
      <c r="C7177" t="s">
        <v>40</v>
      </c>
      <c r="D7177">
        <v>5.7197449999999996</v>
      </c>
      <c r="E7177">
        <v>0.49389179999999999</v>
      </c>
      <c r="F7177" t="s">
        <v>42</v>
      </c>
      <c r="G7177">
        <v>-146.13939999999999</v>
      </c>
      <c r="H7177" s="1">
        <v>-2.0362780000000001E-6</v>
      </c>
      <c r="I7177">
        <v>137.37370000000001</v>
      </c>
      <c r="J7177">
        <v>-163.87289999999999</v>
      </c>
      <c r="K7177">
        <v>1.1064700000000001</v>
      </c>
      <c r="L7177">
        <v>137.9272</v>
      </c>
      <c r="M7177">
        <v>0.99977919999999998</v>
      </c>
      <c r="N7177">
        <v>0</v>
      </c>
      <c r="O7177">
        <v>1.6088950000000001E-2</v>
      </c>
      <c r="P7177">
        <v>0.99129429999999996</v>
      </c>
      <c r="Q7177">
        <v>0.12264360000000001</v>
      </c>
      <c r="R7177">
        <v>-4.7898660000000003E-2</v>
      </c>
      <c r="S7177">
        <v>3.0459290000000001</v>
      </c>
      <c r="T7177">
        <v>-0.18751319999999999</v>
      </c>
      <c r="U7177">
        <v>-9.3902589999999994E-2</v>
      </c>
      <c r="V7177">
        <v>6.4796950000000006E-2</v>
      </c>
      <c r="W7177">
        <v>0.13556889999999999</v>
      </c>
      <c r="X7177">
        <v>0.98864669999999999</v>
      </c>
      <c r="Y7177">
        <v>4.6774129999999997E-2</v>
      </c>
      <c r="Z7177">
        <v>-2.4274660000000001E-3</v>
      </c>
      <c r="AA7177">
        <v>0.99890259999999997</v>
      </c>
      <c r="AB7177">
        <v>24</v>
      </c>
      <c r="AC7177">
        <v>17.7334999999999</v>
      </c>
      <c r="AD7177">
        <v>-1.1064720362780001</v>
      </c>
      <c r="AE7177">
        <v>-0.553499999999985</v>
      </c>
      <c r="AF7177">
        <v>0.83551824223068305</v>
      </c>
      <c r="AG7177">
        <v>-1.1064720362780001</v>
      </c>
      <c r="AH7177">
        <v>17.653638265758801</v>
      </c>
      <c r="AI7177">
        <v>93.582420268893898</v>
      </c>
      <c r="AJ7177">
        <v>87.290305124260698</v>
      </c>
      <c r="AK7177">
        <v>17.708001443371</v>
      </c>
      <c r="AL7177">
        <v>82.208481589750406</v>
      </c>
      <c r="AM7177">
        <v>86.250137237149403</v>
      </c>
      <c r="AN7177">
        <v>0.99999993439869905</v>
      </c>
    </row>
    <row r="7178" spans="1:40" x14ac:dyDescent="0.25">
      <c r="A7178" t="str">
        <f>"20190312164643458"</f>
        <v>20190312164643458</v>
      </c>
      <c r="B7178" t="str">
        <f>"1552380403448056"</f>
        <v>1552380403448056</v>
      </c>
      <c r="C7178" t="s">
        <v>40</v>
      </c>
      <c r="D7178">
        <v>5.528511</v>
      </c>
      <c r="E7178">
        <v>0.49397079999999999</v>
      </c>
      <c r="F7178" t="s">
        <v>42</v>
      </c>
      <c r="G7178">
        <v>-145.48599999999999</v>
      </c>
      <c r="H7178" s="1">
        <v>-2.306966E-6</v>
      </c>
      <c r="I7178">
        <v>137.428</v>
      </c>
      <c r="J7178">
        <v>-163.64340000000001</v>
      </c>
      <c r="K7178">
        <v>1.1066560000000001</v>
      </c>
      <c r="L7178">
        <v>137.92580000000001</v>
      </c>
      <c r="M7178">
        <v>0.99983789999999995</v>
      </c>
      <c r="N7178">
        <v>0</v>
      </c>
      <c r="O7178">
        <v>1.192388E-2</v>
      </c>
      <c r="P7178">
        <v>0.99164059999999998</v>
      </c>
      <c r="Q7178">
        <v>0.12150329999999999</v>
      </c>
      <c r="R7178">
        <v>-4.3428250000000002E-2</v>
      </c>
      <c r="S7178">
        <v>3.0450439999999999</v>
      </c>
      <c r="T7178">
        <v>-0.1832416</v>
      </c>
      <c r="U7178">
        <v>-8.2656859999999999E-2</v>
      </c>
      <c r="V7178">
        <v>5.6136720000000001E-2</v>
      </c>
      <c r="W7178">
        <v>0.13450010000000001</v>
      </c>
      <c r="X7178">
        <v>0.98932220000000004</v>
      </c>
      <c r="Y7178">
        <v>3.8961370000000002E-2</v>
      </c>
      <c r="Z7178">
        <v>-1.887859E-3</v>
      </c>
      <c r="AA7178">
        <v>0.99923890000000004</v>
      </c>
      <c r="AB7178">
        <v>23</v>
      </c>
      <c r="AC7178">
        <v>18.157399999999999</v>
      </c>
      <c r="AD7178">
        <v>-1.1066583069660001</v>
      </c>
      <c r="AE7178">
        <v>-0.49780000000001201</v>
      </c>
      <c r="AF7178">
        <v>0.711649412477663</v>
      </c>
      <c r="AG7178">
        <v>-1.1066583069660001</v>
      </c>
      <c r="AH7178">
        <v>18.083050628557899</v>
      </c>
      <c r="AI7178">
        <v>93.499354653221999</v>
      </c>
      <c r="AJ7178">
        <v>87.746316260307907</v>
      </c>
      <c r="AK7178">
        <v>18.130853745194798</v>
      </c>
      <c r="AL7178">
        <v>82.270285995626594</v>
      </c>
      <c r="AM7178">
        <v>86.752370647920799</v>
      </c>
      <c r="AN7178">
        <v>1.0000000118226</v>
      </c>
    </row>
    <row r="7179" spans="1:40" x14ac:dyDescent="0.25">
      <c r="A7179" t="str">
        <f>"20190312164643481"</f>
        <v>20190312164643481</v>
      </c>
      <c r="B7179" t="str">
        <f>"1552380403478312"</f>
        <v>1552380403478312</v>
      </c>
      <c r="C7179" t="s">
        <v>40</v>
      </c>
      <c r="D7179">
        <v>5.7756990000000004</v>
      </c>
      <c r="E7179">
        <v>0.49415979999999998</v>
      </c>
      <c r="F7179" t="s">
        <v>42</v>
      </c>
      <c r="G7179">
        <v>-144.48859999999999</v>
      </c>
      <c r="H7179" s="1">
        <v>-2.7272089999999902E-6</v>
      </c>
      <c r="I7179">
        <v>137.4709</v>
      </c>
      <c r="J7179">
        <v>-163.4075</v>
      </c>
      <c r="K7179">
        <v>1.106876</v>
      </c>
      <c r="L7179">
        <v>137.9238</v>
      </c>
      <c r="M7179">
        <v>0.99987749999999997</v>
      </c>
      <c r="N7179">
        <v>0</v>
      </c>
      <c r="O7179">
        <v>7.9768229999999992E-3</v>
      </c>
      <c r="P7179">
        <v>0.99178080000000002</v>
      </c>
      <c r="Q7179">
        <v>0.12180589999999999</v>
      </c>
      <c r="R7179">
        <v>-3.9171850000000001E-2</v>
      </c>
      <c r="S7179">
        <v>3.0436550000000002</v>
      </c>
      <c r="T7179">
        <v>-0.17584569999999999</v>
      </c>
      <c r="U7179">
        <v>-7.2280880000000006E-2</v>
      </c>
      <c r="V7179">
        <v>4.7900959999999999E-2</v>
      </c>
      <c r="W7179">
        <v>0.1348625</v>
      </c>
      <c r="X7179">
        <v>0.98970579999999997</v>
      </c>
      <c r="Y7179">
        <v>3.164985E-2</v>
      </c>
      <c r="Z7179">
        <v>-1.3738450000000001E-3</v>
      </c>
      <c r="AA7179">
        <v>0.99949809999999994</v>
      </c>
      <c r="AB7179">
        <v>23</v>
      </c>
      <c r="AC7179">
        <v>18.918900000000001</v>
      </c>
      <c r="AD7179">
        <v>-1.1068787272089999</v>
      </c>
      <c r="AE7179">
        <v>-0.45289999999999903</v>
      </c>
      <c r="AF7179">
        <v>0.60175336239705801</v>
      </c>
      <c r="AG7179">
        <v>-1.1068787272089999</v>
      </c>
      <c r="AH7179">
        <v>18.850197467916399</v>
      </c>
      <c r="AI7179">
        <v>93.358827448940204</v>
      </c>
      <c r="AJ7179">
        <v>88.171572295339701</v>
      </c>
      <c r="AK7179">
        <v>18.892253232617499</v>
      </c>
      <c r="AL7179">
        <v>82.249330861302596</v>
      </c>
      <c r="AM7179">
        <v>87.229092876498399</v>
      </c>
      <c r="AN7179">
        <v>0.99999998321440497</v>
      </c>
    </row>
    <row r="7180" spans="1:40" x14ac:dyDescent="0.25">
      <c r="A7180" t="str">
        <f>"20190312164643504"</f>
        <v>20190312164643504</v>
      </c>
      <c r="B7180" t="str">
        <f>"1552380403498823"</f>
        <v>1552380403498823</v>
      </c>
      <c r="C7180" t="s">
        <v>40</v>
      </c>
      <c r="D7180">
        <v>5.860417</v>
      </c>
      <c r="E7180">
        <v>0.49421860000000001</v>
      </c>
      <c r="F7180" t="s">
        <v>42</v>
      </c>
      <c r="G7180">
        <v>-142.9683</v>
      </c>
      <c r="H7180" s="1">
        <v>-3.373985E-6</v>
      </c>
      <c r="I7180">
        <v>137.50149999999999</v>
      </c>
      <c r="J7180">
        <v>-163.16220000000001</v>
      </c>
      <c r="K7180">
        <v>1.1071329999999999</v>
      </c>
      <c r="L7180">
        <v>137.9212</v>
      </c>
      <c r="M7180">
        <v>0.99990049999999997</v>
      </c>
      <c r="N7180">
        <v>0</v>
      </c>
      <c r="O7180">
        <v>4.2509449999999999E-3</v>
      </c>
      <c r="P7180">
        <v>0.99170689999999995</v>
      </c>
      <c r="Q7180">
        <v>0.12360739999999899</v>
      </c>
      <c r="R7180">
        <v>-3.5195030000000002E-2</v>
      </c>
      <c r="S7180">
        <v>3.042618</v>
      </c>
      <c r="T7180">
        <v>-0.16477240000000001</v>
      </c>
      <c r="U7180">
        <v>-6.2866210000000006E-2</v>
      </c>
      <c r="V7180">
        <v>4.0153540000000001E-2</v>
      </c>
      <c r="W7180">
        <v>0.1367121</v>
      </c>
      <c r="X7180">
        <v>0.98979669999999997</v>
      </c>
      <c r="Y7180">
        <v>2.4865060000000001E-2</v>
      </c>
      <c r="Z7180">
        <v>-9.0275589999999997E-4</v>
      </c>
      <c r="AA7180">
        <v>0.99969039999999998</v>
      </c>
      <c r="AB7180">
        <v>23</v>
      </c>
      <c r="AC7180">
        <v>20.193899999999999</v>
      </c>
      <c r="AD7180">
        <v>-1.107136373985</v>
      </c>
      <c r="AE7180">
        <v>-0.41970000000000601</v>
      </c>
      <c r="AF7180">
        <v>0.50403275818756699</v>
      </c>
      <c r="AG7180">
        <v>-1.107136373985</v>
      </c>
      <c r="AH7180">
        <v>20.131448001624001</v>
      </c>
      <c r="AI7180">
        <v>93.146847284957204</v>
      </c>
      <c r="AJ7180">
        <v>88.565780378221305</v>
      </c>
      <c r="AK7180">
        <v>20.168167953832999</v>
      </c>
      <c r="AL7180">
        <v>82.142366042657002</v>
      </c>
      <c r="AM7180">
        <v>87.676929457676295</v>
      </c>
      <c r="AN7180">
        <v>1.00000000619591</v>
      </c>
    </row>
    <row r="7181" spans="1:40" x14ac:dyDescent="0.25">
      <c r="A7181" t="str">
        <f>"20190312164643527"</f>
        <v>20190312164643527</v>
      </c>
      <c r="B7181" t="str">
        <f>"1552380403518329"</f>
        <v>1552380403518329</v>
      </c>
      <c r="C7181" t="s">
        <v>40</v>
      </c>
      <c r="D7181">
        <v>5.8487299999999998</v>
      </c>
      <c r="E7181">
        <v>0.4942858</v>
      </c>
      <c r="F7181" t="s">
        <v>42</v>
      </c>
      <c r="G7181">
        <v>-141.87860000000001</v>
      </c>
      <c r="H7181" s="1">
        <v>-3.8308419999999997E-6</v>
      </c>
      <c r="I7181">
        <v>137.5615</v>
      </c>
      <c r="J7181">
        <v>-162.93209999999999</v>
      </c>
      <c r="K7181">
        <v>1.107402</v>
      </c>
      <c r="L7181">
        <v>137.91829999999999</v>
      </c>
      <c r="M7181">
        <v>0.9999093</v>
      </c>
      <c r="N7181">
        <v>0</v>
      </c>
      <c r="O7181">
        <v>1.1440389999999999E-3</v>
      </c>
      <c r="P7181">
        <v>0.99169430000000003</v>
      </c>
      <c r="Q7181">
        <v>0.12480810000000001</v>
      </c>
      <c r="R7181">
        <v>-3.1075019999999998E-2</v>
      </c>
      <c r="S7181">
        <v>3.042999</v>
      </c>
      <c r="T7181">
        <v>-0.15829119999999999</v>
      </c>
      <c r="U7181">
        <v>-5.1422120000000002E-2</v>
      </c>
      <c r="V7181">
        <v>3.2865440000000003E-2</v>
      </c>
      <c r="W7181">
        <v>0.1379523</v>
      </c>
      <c r="X7181">
        <v>0.98989340000000003</v>
      </c>
      <c r="Y7181">
        <v>1.8014160000000001E-2</v>
      </c>
      <c r="Z7181">
        <v>-5.2765370000000002E-4</v>
      </c>
      <c r="AA7181">
        <v>0.99983759999999999</v>
      </c>
      <c r="AB7181">
        <v>23</v>
      </c>
      <c r="AC7181">
        <v>21.0534999999999</v>
      </c>
      <c r="AD7181">
        <v>-1.1074058308419901</v>
      </c>
      <c r="AE7181">
        <v>-0.35679999999999201</v>
      </c>
      <c r="AF7181">
        <v>0.37983735921095801</v>
      </c>
      <c r="AG7181">
        <v>-1.1074058308419901</v>
      </c>
      <c r="AH7181">
        <v>20.995007389329899</v>
      </c>
      <c r="AI7181">
        <v>93.018840729644097</v>
      </c>
      <c r="AJ7181">
        <v>88.963529604892202</v>
      </c>
      <c r="AK7181">
        <v>21.027623721468199</v>
      </c>
      <c r="AL7181">
        <v>82.070627720432398</v>
      </c>
      <c r="AM7181">
        <v>88.098421949454504</v>
      </c>
      <c r="AN7181">
        <v>0.99999995879262005</v>
      </c>
    </row>
    <row r="7182" spans="1:40" x14ac:dyDescent="0.25">
      <c r="A7182" t="str">
        <f>"20190312164643548"</f>
        <v>20190312164643548</v>
      </c>
      <c r="B7182" t="str">
        <f>"1552380403538824"</f>
        <v>1552380403538824</v>
      </c>
      <c r="C7182" t="s">
        <v>40</v>
      </c>
      <c r="D7182">
        <v>5.7737669999999897</v>
      </c>
      <c r="E7182">
        <v>0.49460409999999999</v>
      </c>
      <c r="F7182" t="s">
        <v>42</v>
      </c>
      <c r="G7182">
        <v>-140.74199999999999</v>
      </c>
      <c r="H7182" s="1">
        <v>-4.3072619999999996E-6</v>
      </c>
      <c r="I7182">
        <v>137.62440000000001</v>
      </c>
      <c r="J7182">
        <v>-162.69669999999999</v>
      </c>
      <c r="K7182">
        <v>1.1077060000000001</v>
      </c>
      <c r="L7182">
        <v>137.9151</v>
      </c>
      <c r="M7182">
        <v>0.99990889999999999</v>
      </c>
      <c r="N7182">
        <v>0</v>
      </c>
      <c r="O7182">
        <v>-1.6046669999999999E-3</v>
      </c>
      <c r="P7182">
        <v>0.99179119999999998</v>
      </c>
      <c r="Q7182">
        <v>0.12489649999999999</v>
      </c>
      <c r="R7182">
        <v>-2.741008E-2</v>
      </c>
      <c r="S7182">
        <v>3.0429689999999998</v>
      </c>
      <c r="T7182">
        <v>-0.15186079999999999</v>
      </c>
      <c r="U7182">
        <v>-4.0298460000000001E-2</v>
      </c>
      <c r="V7182">
        <v>2.636991E-2</v>
      </c>
      <c r="W7182">
        <v>0.13807139999999901</v>
      </c>
      <c r="X7182">
        <v>0.99007120000000004</v>
      </c>
      <c r="Y7182">
        <v>1.1624819999999999E-2</v>
      </c>
      <c r="Z7182">
        <v>-2.0984279999999999E-4</v>
      </c>
      <c r="AA7182">
        <v>0.99993240000000005</v>
      </c>
      <c r="AB7182">
        <v>23</v>
      </c>
      <c r="AC7182">
        <v>21.9546999999999</v>
      </c>
      <c r="AD7182">
        <v>-1.10771030726199</v>
      </c>
      <c r="AE7182">
        <v>-0.29069999999998603</v>
      </c>
      <c r="AF7182">
        <v>0.25481791714109198</v>
      </c>
      <c r="AG7182">
        <v>-1.10771030726199</v>
      </c>
      <c r="AH7182">
        <v>21.899399980394499</v>
      </c>
      <c r="AI7182">
        <v>92.895458151025494</v>
      </c>
      <c r="AJ7182">
        <v>89.333345555038903</v>
      </c>
      <c r="AK7182">
        <v>21.928877622828999</v>
      </c>
      <c r="AL7182">
        <v>82.0637384484412</v>
      </c>
      <c r="AM7182">
        <v>88.474324439653202</v>
      </c>
      <c r="AN7182">
        <v>1.0000000323603999</v>
      </c>
    </row>
    <row r="7183" spans="1:40" x14ac:dyDescent="0.25">
      <c r="A7183" t="str">
        <f>"20190312164643571"</f>
        <v>20190312164643571</v>
      </c>
      <c r="B7183" t="str">
        <f>"1552380403568105"</f>
        <v>1552380403568105</v>
      </c>
      <c r="C7183" t="s">
        <v>40</v>
      </c>
      <c r="D7183">
        <v>5.7927879999999998</v>
      </c>
      <c r="E7183">
        <v>0.49525740000000001</v>
      </c>
      <c r="F7183" t="s">
        <v>42</v>
      </c>
      <c r="G7183">
        <v>-140.0547</v>
      </c>
      <c r="H7183" s="1">
        <v>-4.5931500000000002E-6</v>
      </c>
      <c r="I7183">
        <v>137.67490000000001</v>
      </c>
      <c r="J7183">
        <v>-162.46860000000001</v>
      </c>
      <c r="K7183">
        <v>1.108015</v>
      </c>
      <c r="L7183">
        <v>137.9119</v>
      </c>
      <c r="M7183">
        <v>0.9999034</v>
      </c>
      <c r="N7183">
        <v>0</v>
      </c>
      <c r="O7183">
        <v>-3.7715539999999999E-3</v>
      </c>
      <c r="P7183">
        <v>0.99182499999999996</v>
      </c>
      <c r="Q7183">
        <v>0.12525419999999901</v>
      </c>
      <c r="R7183">
        <v>-2.4385239999999999E-2</v>
      </c>
      <c r="S7183">
        <v>3.0426790000000001</v>
      </c>
      <c r="T7183">
        <v>-0.14885680000000001</v>
      </c>
      <c r="U7183">
        <v>-3.2272339999999997E-2</v>
      </c>
      <c r="V7183">
        <v>2.1089159999999999E-2</v>
      </c>
      <c r="W7183">
        <v>0.1384464</v>
      </c>
      <c r="X7183">
        <v>0.99014539999999995</v>
      </c>
      <c r="Y7183">
        <v>6.8305469999999898E-3</v>
      </c>
      <c r="Z7183" s="1">
        <v>1.743464E-5</v>
      </c>
      <c r="AA7183">
        <v>0.99997670000000005</v>
      </c>
      <c r="AB7183">
        <v>23</v>
      </c>
      <c r="AC7183">
        <v>22.413900000000002</v>
      </c>
      <c r="AD7183">
        <v>-1.1080195931500001</v>
      </c>
      <c r="AE7183">
        <v>-0.23699999999999399</v>
      </c>
      <c r="AF7183">
        <v>0.152083898135489</v>
      </c>
      <c r="AG7183">
        <v>-1.1080195931500001</v>
      </c>
      <c r="AH7183">
        <v>22.359997949904699</v>
      </c>
      <c r="AI7183">
        <v>92.836829160039599</v>
      </c>
      <c r="AJ7183">
        <v>89.610302686668902</v>
      </c>
      <c r="AK7183">
        <v>22.387950894412398</v>
      </c>
      <c r="AL7183">
        <v>82.042044209677002</v>
      </c>
      <c r="AM7183">
        <v>88.779838604291299</v>
      </c>
      <c r="AN7183">
        <v>1.00000003574181</v>
      </c>
    </row>
    <row r="7184" spans="1:40" x14ac:dyDescent="0.25">
      <c r="A7184" t="str">
        <f>"20190312164643593"</f>
        <v>20190312164643593</v>
      </c>
      <c r="B7184" t="str">
        <f>"1552380403588603"</f>
        <v>1552380403588603</v>
      </c>
      <c r="C7184" t="s">
        <v>40</v>
      </c>
      <c r="D7184">
        <v>5.7345660000000001</v>
      </c>
      <c r="E7184">
        <v>0.49565629999999999</v>
      </c>
      <c r="F7184" t="s">
        <v>42</v>
      </c>
      <c r="G7184">
        <v>-139.24510000000001</v>
      </c>
      <c r="H7184" s="1">
        <v>-7.5276959999999996E-7</v>
      </c>
      <c r="I7184">
        <v>137.70009999999999</v>
      </c>
      <c r="J7184">
        <v>-162.22640000000001</v>
      </c>
      <c r="K7184">
        <v>1.1083480000000001</v>
      </c>
      <c r="L7184">
        <v>137.90860000000001</v>
      </c>
      <c r="M7184">
        <v>0.9998956</v>
      </c>
      <c r="N7184">
        <v>0</v>
      </c>
      <c r="O7184">
        <v>-5.5314500000000003E-3</v>
      </c>
      <c r="P7184">
        <v>0.99189700000000003</v>
      </c>
      <c r="Q7184">
        <v>0.12512809999999999</v>
      </c>
      <c r="R7184">
        <v>-2.1982229999999998E-2</v>
      </c>
      <c r="S7184">
        <v>3.042389</v>
      </c>
      <c r="T7184">
        <v>-0.14515549999999999</v>
      </c>
      <c r="U7184">
        <v>-2.7740480000000001E-2</v>
      </c>
      <c r="V7184">
        <v>1.6823520000000002E-2</v>
      </c>
      <c r="W7184">
        <v>0.13832829999999999</v>
      </c>
      <c r="X7184">
        <v>0.9902436</v>
      </c>
      <c r="Y7184">
        <v>3.587972E-3</v>
      </c>
      <c r="Z7184">
        <v>1.7823409999999999E-4</v>
      </c>
      <c r="AA7184">
        <v>0.99999360000000004</v>
      </c>
      <c r="AB7184">
        <v>23</v>
      </c>
      <c r="AC7184">
        <v>22.981300000000001</v>
      </c>
      <c r="AD7184">
        <v>-1.1083487527696001</v>
      </c>
      <c r="AE7184">
        <v>-0.20850000000001501</v>
      </c>
      <c r="AF7184">
        <v>8.1176771379234999E-2</v>
      </c>
      <c r="AG7184">
        <v>-1.1083487527696001</v>
      </c>
      <c r="AH7184">
        <v>22.928774565214699</v>
      </c>
      <c r="AI7184">
        <v>92.767436003079993</v>
      </c>
      <c r="AJ7184">
        <v>89.797151524663306</v>
      </c>
      <c r="AK7184">
        <v>22.9556905731109</v>
      </c>
      <c r="AL7184">
        <v>82.048876841971094</v>
      </c>
      <c r="AM7184">
        <v>89.026679931645305</v>
      </c>
      <c r="AN7184">
        <v>1.00000006837351</v>
      </c>
    </row>
    <row r="7185" spans="1:40" x14ac:dyDescent="0.25">
      <c r="A7185" t="str">
        <f>"20190312164643615"</f>
        <v>20190312164643615</v>
      </c>
      <c r="B7185" t="str">
        <f>"1552380403608121"</f>
        <v>1552380403608121</v>
      </c>
      <c r="C7185" t="s">
        <v>40</v>
      </c>
      <c r="D7185">
        <v>5.7982829999999996</v>
      </c>
      <c r="E7185">
        <v>0.49596689999999999</v>
      </c>
      <c r="F7185" t="s">
        <v>42</v>
      </c>
      <c r="G7185">
        <v>-138.6199</v>
      </c>
      <c r="H7185" s="1">
        <v>-9.5622509999999899E-7</v>
      </c>
      <c r="I7185">
        <v>137.73509999999999</v>
      </c>
      <c r="J7185">
        <v>-161.99180000000001</v>
      </c>
      <c r="K7185">
        <v>1.108616</v>
      </c>
      <c r="L7185">
        <v>137.90549999999999</v>
      </c>
      <c r="M7185">
        <v>0.999888</v>
      </c>
      <c r="N7185">
        <v>0</v>
      </c>
      <c r="O7185">
        <v>-6.8026440000000001E-3</v>
      </c>
      <c r="P7185">
        <v>0.99219250000000003</v>
      </c>
      <c r="Q7185">
        <v>0.1233884</v>
      </c>
      <c r="R7185">
        <v>-1.815808E-2</v>
      </c>
      <c r="S7185">
        <v>3.0420229999999999</v>
      </c>
      <c r="T7185">
        <v>-0.142825799999999</v>
      </c>
      <c r="U7185">
        <v>-2.235413E-2</v>
      </c>
      <c r="V7185">
        <v>1.163289E-2</v>
      </c>
      <c r="W7185">
        <v>0.13659540000000001</v>
      </c>
      <c r="X7185">
        <v>0.99055859999999996</v>
      </c>
      <c r="Y7185">
        <v>5.5189400000000004E-4</v>
      </c>
      <c r="Z7185">
        <v>3.0628639999999999E-4</v>
      </c>
      <c r="AA7185">
        <v>0.99999979999999999</v>
      </c>
      <c r="AB7185">
        <v>23</v>
      </c>
      <c r="AC7185">
        <v>23.3719</v>
      </c>
      <c r="AD7185">
        <v>-1.1086169562251</v>
      </c>
      <c r="AE7185">
        <v>-0.1704</v>
      </c>
      <c r="AF7185">
        <v>1.13656412254992E-2</v>
      </c>
      <c r="AG7185">
        <v>-1.1086169562251</v>
      </c>
      <c r="AH7185">
        <v>23.320051973456099</v>
      </c>
      <c r="AI7185">
        <v>92.721746909801993</v>
      </c>
      <c r="AJ7185">
        <v>89.972075395763994</v>
      </c>
      <c r="AK7185">
        <v>23.346391258139299</v>
      </c>
      <c r="AL7185">
        <v>82.149115602759494</v>
      </c>
      <c r="AM7185">
        <v>89.327162611068701</v>
      </c>
      <c r="AN7185">
        <v>0.99999998373243504</v>
      </c>
    </row>
    <row r="7186" spans="1:40" x14ac:dyDescent="0.25">
      <c r="A7186" t="str">
        <f>"20190312164643640"</f>
        <v>20190312164643640</v>
      </c>
      <c r="B7186" t="str">
        <f>"1552380403628617"</f>
        <v>1552380403628617</v>
      </c>
      <c r="C7186" t="s">
        <v>40</v>
      </c>
      <c r="D7186">
        <v>5.8181520000000004</v>
      </c>
      <c r="E7186">
        <v>0.4962897</v>
      </c>
      <c r="F7186" t="s">
        <v>42</v>
      </c>
      <c r="G7186">
        <v>-139.05619999999999</v>
      </c>
      <c r="H7186" s="1">
        <v>-7.9097759999999998E-7</v>
      </c>
      <c r="I7186">
        <v>137.79810000000001</v>
      </c>
      <c r="J7186">
        <v>-161.74420000000001</v>
      </c>
      <c r="K7186">
        <v>1.1088960000000001</v>
      </c>
      <c r="L7186">
        <v>137.9024</v>
      </c>
      <c r="M7186">
        <v>0.99988200000000005</v>
      </c>
      <c r="N7186">
        <v>0</v>
      </c>
      <c r="O7186">
        <v>-7.6596579999999997E-3</v>
      </c>
      <c r="P7186">
        <v>0.99272559999999999</v>
      </c>
      <c r="Q7186">
        <v>0.1195071</v>
      </c>
      <c r="R7186">
        <v>-1.462784E-2</v>
      </c>
      <c r="S7186">
        <v>3.0416409999999998</v>
      </c>
      <c r="T7186">
        <v>-0.1470214</v>
      </c>
      <c r="U7186">
        <v>-1.4236449999999999E-2</v>
      </c>
      <c r="V7186">
        <v>7.1479559999999996E-3</v>
      </c>
      <c r="W7186">
        <v>0.13271620000000001</v>
      </c>
      <c r="X7186">
        <v>0.99112829999999996</v>
      </c>
      <c r="Y7186">
        <v>-2.9675190000000001E-3</v>
      </c>
      <c r="Z7186">
        <v>4.4172640000000001E-4</v>
      </c>
      <c r="AA7186">
        <v>0.99999550000000004</v>
      </c>
      <c r="AB7186">
        <v>23</v>
      </c>
      <c r="AC7186">
        <v>22.687999999999999</v>
      </c>
      <c r="AD7186">
        <v>-1.1088967909776</v>
      </c>
      <c r="AE7186">
        <v>-0.10429999999999399</v>
      </c>
      <c r="AF7186">
        <v>-6.9335162006194995E-2</v>
      </c>
      <c r="AG7186">
        <v>-1.1088967909776</v>
      </c>
      <c r="AH7186">
        <v>22.634064927703001</v>
      </c>
      <c r="AI7186">
        <v>92.804801014782498</v>
      </c>
      <c r="AJ7186">
        <v>90.1755141969156</v>
      </c>
      <c r="AK7186">
        <v>22.661318465817601</v>
      </c>
      <c r="AL7186">
        <v>82.373420501778895</v>
      </c>
      <c r="AM7186">
        <v>89.586793545603996</v>
      </c>
      <c r="AN7186">
        <v>0.99999999503915304</v>
      </c>
    </row>
    <row r="7187" spans="1:40" x14ac:dyDescent="0.25">
      <c r="A7187" t="str">
        <f>"20190312164643660"</f>
        <v>20190312164643660</v>
      </c>
      <c r="B7187" t="str">
        <f>"1552380403648136"</f>
        <v>1552380403648136</v>
      </c>
      <c r="C7187" t="s">
        <v>40</v>
      </c>
      <c r="D7187">
        <v>5.7566839999999999</v>
      </c>
      <c r="E7187">
        <v>0.49665559999999997</v>
      </c>
      <c r="F7187" t="s">
        <v>42</v>
      </c>
      <c r="G7187">
        <v>-140.2903</v>
      </c>
      <c r="H7187" s="1">
        <v>-4.4602059999999998E-6</v>
      </c>
      <c r="I7187">
        <v>137.8546</v>
      </c>
      <c r="J7187">
        <v>-161.52549999999999</v>
      </c>
      <c r="K7187">
        <v>1.1091420000000001</v>
      </c>
      <c r="L7187">
        <v>137.9</v>
      </c>
      <c r="M7187">
        <v>0.99987969999999904</v>
      </c>
      <c r="N7187">
        <v>0</v>
      </c>
      <c r="O7187">
        <v>-7.9831060000000002E-3</v>
      </c>
      <c r="P7187">
        <v>0.99311309999999997</v>
      </c>
      <c r="Q7187">
        <v>0.1165079</v>
      </c>
      <c r="R7187">
        <v>-1.2354230000000001E-2</v>
      </c>
      <c r="S7187">
        <v>3.0408019999999998</v>
      </c>
      <c r="T7187">
        <v>-0.15717149999999999</v>
      </c>
      <c r="U7187">
        <v>-6.7749019999999898E-3</v>
      </c>
      <c r="V7187">
        <v>4.4655199999999997E-3</v>
      </c>
      <c r="W7187">
        <v>0.129714</v>
      </c>
      <c r="X7187">
        <v>0.99154140000000002</v>
      </c>
      <c r="Y7187">
        <v>-5.7375539999999997E-3</v>
      </c>
      <c r="Z7187">
        <v>5.6056439999999997E-4</v>
      </c>
      <c r="AA7187">
        <v>0.99998339999999997</v>
      </c>
      <c r="AB7187">
        <v>23</v>
      </c>
      <c r="AC7187">
        <v>21.235199999999899</v>
      </c>
      <c r="AD7187">
        <v>-1.1091464602059999</v>
      </c>
      <c r="AE7187">
        <v>-4.5400000000000697E-2</v>
      </c>
      <c r="AF7187">
        <v>-0.12380154681027999</v>
      </c>
      <c r="AG7187">
        <v>-1.1091464602059999</v>
      </c>
      <c r="AH7187">
        <v>21.177112021623401</v>
      </c>
      <c r="AI7187">
        <v>92.998062987416702</v>
      </c>
      <c r="AJ7187">
        <v>90.334947717014799</v>
      </c>
      <c r="AK7187">
        <v>21.2064991516649</v>
      </c>
      <c r="AL7187">
        <v>82.546934250759705</v>
      </c>
      <c r="AM7187">
        <v>89.741963654212796</v>
      </c>
      <c r="AN7187">
        <v>1.00000000528941</v>
      </c>
    </row>
    <row r="7188" spans="1:40" x14ac:dyDescent="0.25">
      <c r="A7188" t="str">
        <f>"20190312164643682"</f>
        <v>20190312164643682</v>
      </c>
      <c r="B7188" t="str">
        <f>"1552380403678396"</f>
        <v>1552380403678396</v>
      </c>
      <c r="C7188" t="s">
        <v>40</v>
      </c>
      <c r="D7188">
        <v>5.7527330000000001</v>
      </c>
      <c r="E7188">
        <v>0.49727650000000001</v>
      </c>
      <c r="F7188" t="s">
        <v>42</v>
      </c>
      <c r="G7188">
        <v>-141.05950000000001</v>
      </c>
      <c r="H7188" s="1">
        <v>-4.1232510000000001E-6</v>
      </c>
      <c r="I7188">
        <v>137.89410000000001</v>
      </c>
      <c r="J7188">
        <v>-161.3021</v>
      </c>
      <c r="K7188">
        <v>1.1094200000000001</v>
      </c>
      <c r="L7188">
        <v>137.89789999999999</v>
      </c>
      <c r="M7188">
        <v>0.9998804</v>
      </c>
      <c r="N7188">
        <v>0</v>
      </c>
      <c r="O7188">
        <v>-7.8961599999999993E-3</v>
      </c>
      <c r="P7188">
        <v>0.99322129999999997</v>
      </c>
      <c r="Q7188">
        <v>0.115673</v>
      </c>
      <c r="R7188">
        <v>-1.1464510000000001E-2</v>
      </c>
      <c r="S7188">
        <v>3.0401150000000001</v>
      </c>
      <c r="T7188">
        <v>-0.1647576</v>
      </c>
      <c r="U7188">
        <v>-8.6975099999999999E-4</v>
      </c>
      <c r="V7188">
        <v>3.573775E-3</v>
      </c>
      <c r="W7188">
        <v>0.1288714</v>
      </c>
      <c r="X7188">
        <v>0.99165490000000001</v>
      </c>
      <c r="Y7188">
        <v>-7.5880519999999996E-3</v>
      </c>
      <c r="Z7188">
        <v>6.3311390000000002E-4</v>
      </c>
      <c r="AA7188">
        <v>0.99997100000000005</v>
      </c>
      <c r="AB7188">
        <v>23</v>
      </c>
      <c r="AC7188">
        <v>20.2425999999999</v>
      </c>
      <c r="AD7188">
        <v>-1.109424123251</v>
      </c>
      <c r="AE7188">
        <v>-3.7999999999840301E-3</v>
      </c>
      <c r="AF7188">
        <v>-0.15558572208605501</v>
      </c>
      <c r="AG7188">
        <v>-1.109424123251</v>
      </c>
      <c r="AH7188">
        <v>20.1813791766631</v>
      </c>
      <c r="AI7188">
        <v>93.146441118420896</v>
      </c>
      <c r="AJ7188">
        <v>90.441705621250406</v>
      </c>
      <c r="AK7188">
        <v>20.2124489925001</v>
      </c>
      <c r="AL7188">
        <v>82.595620471579807</v>
      </c>
      <c r="AM7188">
        <v>89.793515528465804</v>
      </c>
      <c r="AN7188">
        <v>1.00000002514986</v>
      </c>
    </row>
    <row r="7189" spans="1:40" x14ac:dyDescent="0.25">
      <c r="A7189" t="str">
        <f>"20190312164643704"</f>
        <v>20190312164643704</v>
      </c>
      <c r="B7189" t="str">
        <f>"1552380403698888"</f>
        <v>1552380403698888</v>
      </c>
      <c r="C7189" t="s">
        <v>40</v>
      </c>
      <c r="D7189">
        <v>5.7520069999999999</v>
      </c>
      <c r="E7189">
        <v>0.49756109999999998</v>
      </c>
      <c r="F7189" t="s">
        <v>42</v>
      </c>
      <c r="G7189">
        <v>-140.81489999999999</v>
      </c>
      <c r="H7189" s="1">
        <v>-4.2272230000000004E-6</v>
      </c>
      <c r="I7189">
        <v>137.89940000000001</v>
      </c>
      <c r="J7189">
        <v>-161.06460000000001</v>
      </c>
      <c r="K7189">
        <v>1.1097269999999999</v>
      </c>
      <c r="L7189">
        <v>137.89609999999999</v>
      </c>
      <c r="M7189">
        <v>0.99988480000000002</v>
      </c>
      <c r="N7189">
        <v>0</v>
      </c>
      <c r="O7189">
        <v>-7.3627909999999996E-3</v>
      </c>
      <c r="P7189">
        <v>0.99330130000000005</v>
      </c>
      <c r="Q7189">
        <v>0.115020899999999</v>
      </c>
      <c r="R7189">
        <v>-1.1099039999999999E-2</v>
      </c>
      <c r="S7189">
        <v>3.0396580000000002</v>
      </c>
      <c r="T7189">
        <v>-0.16460320000000001</v>
      </c>
      <c r="U7189">
        <v>2.2888180000000001E-4</v>
      </c>
      <c r="V7189">
        <v>3.640356E-3</v>
      </c>
      <c r="W7189">
        <v>0.1282151</v>
      </c>
      <c r="X7189">
        <v>0.9917397</v>
      </c>
      <c r="Y7189">
        <v>-7.4170819999999898E-3</v>
      </c>
      <c r="Z7189">
        <v>5.9912729999999997E-4</v>
      </c>
      <c r="AA7189">
        <v>0.99997230000000004</v>
      </c>
      <c r="AB7189">
        <v>23</v>
      </c>
      <c r="AC7189">
        <v>20.249700000000001</v>
      </c>
      <c r="AD7189">
        <v>-1.109731227223</v>
      </c>
      <c r="AE7189">
        <v>3.30000000002428E-3</v>
      </c>
      <c r="AF7189">
        <v>-0.15195100048214399</v>
      </c>
      <c r="AG7189">
        <v>-1.109731227223</v>
      </c>
      <c r="AH7189">
        <v>20.1884946573396</v>
      </c>
      <c r="AI7189">
        <v>93.146207669613702</v>
      </c>
      <c r="AJ7189">
        <v>90.431235056049005</v>
      </c>
      <c r="AK7189">
        <v>20.219542750335702</v>
      </c>
      <c r="AL7189">
        <v>82.633538062234805</v>
      </c>
      <c r="AM7189">
        <v>89.789686650687798</v>
      </c>
      <c r="AN7189">
        <v>0.99999999830795305</v>
      </c>
    </row>
    <row r="7190" spans="1:40" x14ac:dyDescent="0.25">
      <c r="A7190" t="str">
        <f>"20190312164643727"</f>
        <v>20190312164643727</v>
      </c>
      <c r="B7190" t="str">
        <f>"1552380403718408"</f>
        <v>1552380403718408</v>
      </c>
      <c r="C7190" t="s">
        <v>40</v>
      </c>
      <c r="D7190">
        <v>5.7537760000000002</v>
      </c>
      <c r="E7190">
        <v>0.49786439999999998</v>
      </c>
      <c r="F7190" t="s">
        <v>42</v>
      </c>
      <c r="G7190">
        <v>-140.6352</v>
      </c>
      <c r="H7190" s="1">
        <v>-4.3041930000000002E-6</v>
      </c>
      <c r="I7190">
        <v>137.90010000000001</v>
      </c>
      <c r="J7190">
        <v>-160.83949999999999</v>
      </c>
      <c r="K7190">
        <v>1.1100099999999999</v>
      </c>
      <c r="L7190">
        <v>137.89519999999999</v>
      </c>
      <c r="M7190">
        <v>0.99989110000000003</v>
      </c>
      <c r="N7190">
        <v>0</v>
      </c>
      <c r="O7190">
        <v>-6.4454319999999897E-3</v>
      </c>
      <c r="P7190">
        <v>0.99354940000000003</v>
      </c>
      <c r="Q7190">
        <v>0.1128175</v>
      </c>
      <c r="R7190">
        <v>-1.148307E-2</v>
      </c>
      <c r="S7190">
        <v>3.0393680000000001</v>
      </c>
      <c r="T7190">
        <v>-0.1650991</v>
      </c>
      <c r="U7190">
        <v>5.9509280000000003E-4</v>
      </c>
      <c r="V7190">
        <v>4.8463919999999997E-3</v>
      </c>
      <c r="W7190">
        <v>0.12601480000000001</v>
      </c>
      <c r="X7190">
        <v>0.99201649999999997</v>
      </c>
      <c r="Y7190">
        <v>-6.6225240000000003E-3</v>
      </c>
      <c r="Z7190">
        <v>5.2962460000000001E-4</v>
      </c>
      <c r="AA7190">
        <v>0.99997789999999998</v>
      </c>
      <c r="AB7190">
        <v>23</v>
      </c>
      <c r="AC7190">
        <v>20.2042999999999</v>
      </c>
      <c r="AD7190">
        <v>-1.110014304193</v>
      </c>
      <c r="AE7190">
        <v>4.9000000000205502E-3</v>
      </c>
      <c r="AF7190">
        <v>-0.13473015455794499</v>
      </c>
      <c r="AG7190">
        <v>-1.110014304193</v>
      </c>
      <c r="AH7190">
        <v>20.143049894555599</v>
      </c>
      <c r="AI7190">
        <v>93.154113008105995</v>
      </c>
      <c r="AJ7190">
        <v>90.383226678892001</v>
      </c>
      <c r="AK7190">
        <v>20.1740611435728</v>
      </c>
      <c r="AL7190">
        <v>82.760636864440599</v>
      </c>
      <c r="AM7190">
        <v>89.720089738045502</v>
      </c>
      <c r="AN7190">
        <v>0.99999997680335295</v>
      </c>
    </row>
    <row r="7191" spans="1:40" x14ac:dyDescent="0.25">
      <c r="A7191" t="str">
        <f>"20190312164643749"</f>
        <v>20190312164643749</v>
      </c>
      <c r="B7191" t="str">
        <f>"1552380403738904"</f>
        <v>1552380403738904</v>
      </c>
      <c r="C7191" t="s">
        <v>40</v>
      </c>
      <c r="D7191">
        <v>5.7465830000000002</v>
      </c>
      <c r="E7191">
        <v>0.49821680000000002</v>
      </c>
      <c r="F7191" t="s">
        <v>42</v>
      </c>
      <c r="G7191">
        <v>-141.0232</v>
      </c>
      <c r="H7191" s="1">
        <v>-4.1420009999999997E-6</v>
      </c>
      <c r="I7191">
        <v>137.8759</v>
      </c>
      <c r="J7191">
        <v>-160.61070000000001</v>
      </c>
      <c r="K7191">
        <v>1.110271</v>
      </c>
      <c r="L7191">
        <v>137.89490000000001</v>
      </c>
      <c r="M7191">
        <v>0.99989870000000003</v>
      </c>
      <c r="N7191">
        <v>0</v>
      </c>
      <c r="O7191">
        <v>-5.1268800000000003E-3</v>
      </c>
      <c r="P7191">
        <v>0.99382720000000002</v>
      </c>
      <c r="Q7191">
        <v>0.1103452</v>
      </c>
      <c r="R7191">
        <v>-1.147569E-2</v>
      </c>
      <c r="S7191">
        <v>3.0387569999999999</v>
      </c>
      <c r="T7191">
        <v>-0.1702167</v>
      </c>
      <c r="U7191">
        <v>-2.9449459999999999E-3</v>
      </c>
      <c r="V7191">
        <v>6.0696140000000001E-3</v>
      </c>
      <c r="W7191">
        <v>0.1235484</v>
      </c>
      <c r="X7191">
        <v>0.99231999999999998</v>
      </c>
      <c r="Y7191">
        <v>-4.1436800000000003E-3</v>
      </c>
      <c r="Z7191">
        <v>4.0294609999999998E-4</v>
      </c>
      <c r="AA7191">
        <v>0.99999139999999997</v>
      </c>
      <c r="AB7191">
        <v>23</v>
      </c>
      <c r="AC7191">
        <v>19.587499999999999</v>
      </c>
      <c r="AD7191">
        <v>-1.110275142001</v>
      </c>
      <c r="AE7191">
        <v>-1.9000000000005401E-2</v>
      </c>
      <c r="AF7191">
        <v>-8.1171067548557602E-2</v>
      </c>
      <c r="AG7191">
        <v>-1.110275142001</v>
      </c>
      <c r="AH7191">
        <v>19.524608521352501</v>
      </c>
      <c r="AI7191">
        <v>93.254615595202594</v>
      </c>
      <c r="AJ7191">
        <v>90.238198517020905</v>
      </c>
      <c r="AK7191">
        <v>19.556319631904699</v>
      </c>
      <c r="AL7191">
        <v>82.903064668480297</v>
      </c>
      <c r="AM7191">
        <v>89.6495496123691</v>
      </c>
      <c r="AN7191">
        <v>1.0000000148783299</v>
      </c>
    </row>
    <row r="7192" spans="1:40" x14ac:dyDescent="0.25">
      <c r="A7192" t="str">
        <f>"20190312164643771"</f>
        <v>20190312164643771</v>
      </c>
      <c r="B7192" t="str">
        <f>"1552380403768184"</f>
        <v>1552380403768184</v>
      </c>
      <c r="C7192" t="s">
        <v>40</v>
      </c>
      <c r="D7192">
        <v>5.808935</v>
      </c>
      <c r="E7192">
        <v>0.49861129999999998</v>
      </c>
      <c r="F7192" t="s">
        <v>42</v>
      </c>
      <c r="G7192">
        <v>-141.49420000000001</v>
      </c>
      <c r="H7192" s="1">
        <v>-3.9410580000000004E-6</v>
      </c>
      <c r="I7192">
        <v>137.8698</v>
      </c>
      <c r="J7192">
        <v>-160.3794</v>
      </c>
      <c r="K7192">
        <v>1.110466</v>
      </c>
      <c r="L7192">
        <v>137.8955</v>
      </c>
      <c r="M7192">
        <v>0.99990610000000002</v>
      </c>
      <c r="N7192">
        <v>0</v>
      </c>
      <c r="O7192">
        <v>-3.424912E-3</v>
      </c>
      <c r="P7192">
        <v>0.99393900000000002</v>
      </c>
      <c r="Q7192">
        <v>0.1092234</v>
      </c>
      <c r="R7192">
        <v>-1.2473049999999999E-2</v>
      </c>
      <c r="S7192">
        <v>3.0381619999999998</v>
      </c>
      <c r="T7192">
        <v>-0.1764541</v>
      </c>
      <c r="U7192">
        <v>-3.9825440000000002E-3</v>
      </c>
      <c r="V7192">
        <v>8.6956020000000002E-3</v>
      </c>
      <c r="W7192">
        <v>0.1224364</v>
      </c>
      <c r="X7192">
        <v>0.9924383</v>
      </c>
      <c r="Y7192">
        <v>-2.1050600000000002E-3</v>
      </c>
      <c r="Z7192">
        <v>2.5984439999999999E-4</v>
      </c>
      <c r="AA7192">
        <v>0.99999769999999999</v>
      </c>
      <c r="AB7192">
        <v>23</v>
      </c>
      <c r="AC7192">
        <v>18.885200000000001</v>
      </c>
      <c r="AD7192">
        <v>-1.1104699410579999</v>
      </c>
      <c r="AE7192">
        <v>-2.57000000000005E-2</v>
      </c>
      <c r="AF7192">
        <v>-3.8851661520750903E-2</v>
      </c>
      <c r="AG7192">
        <v>-1.1104699410579999</v>
      </c>
      <c r="AH7192">
        <v>18.820105615665199</v>
      </c>
      <c r="AI7192">
        <v>93.376783495927597</v>
      </c>
      <c r="AJ7192">
        <v>90.118279520609505</v>
      </c>
      <c r="AK7192">
        <v>18.852878515664099</v>
      </c>
      <c r="AL7192">
        <v>82.967265135710505</v>
      </c>
      <c r="AM7192">
        <v>89.497995446156906</v>
      </c>
      <c r="AN7192">
        <v>1.0000000324229901</v>
      </c>
    </row>
    <row r="7193" spans="1:40" x14ac:dyDescent="0.25">
      <c r="A7193" t="str">
        <f>"20190312164643794"</f>
        <v>20190312164643794</v>
      </c>
      <c r="B7193" t="str">
        <f>"1552380403788680"</f>
        <v>1552380403788680</v>
      </c>
      <c r="C7193" t="s">
        <v>40</v>
      </c>
      <c r="D7193">
        <v>5.8720100000000004</v>
      </c>
      <c r="E7193">
        <v>0.49886760000000002</v>
      </c>
      <c r="F7193" t="s">
        <v>42</v>
      </c>
      <c r="G7193">
        <v>-141.40309999999999</v>
      </c>
      <c r="H7193" s="1">
        <v>-3.9841219999999999E-6</v>
      </c>
      <c r="I7193">
        <v>137.84729999999999</v>
      </c>
      <c r="J7193">
        <v>-160.1438</v>
      </c>
      <c r="K7193">
        <v>1.1105959999999999</v>
      </c>
      <c r="L7193">
        <v>137.89680000000001</v>
      </c>
      <c r="M7193">
        <v>0.99991099999999999</v>
      </c>
      <c r="N7193">
        <v>0</v>
      </c>
      <c r="O7193">
        <v>-1.4459589999999999E-3</v>
      </c>
      <c r="P7193">
        <v>0.99401340000000005</v>
      </c>
      <c r="Q7193">
        <v>0.10848670000000001</v>
      </c>
      <c r="R7193">
        <v>-1.296602E-2</v>
      </c>
      <c r="S7193">
        <v>3.0377350000000001</v>
      </c>
      <c r="T7193">
        <v>-0.17776439999999999</v>
      </c>
      <c r="U7193">
        <v>-7.7056879999999996E-3</v>
      </c>
      <c r="V7193">
        <v>1.1113980000000001E-2</v>
      </c>
      <c r="W7193">
        <v>0.1217085</v>
      </c>
      <c r="X7193">
        <v>0.99250360000000004</v>
      </c>
      <c r="Y7193">
        <v>1.0911709999999999E-3</v>
      </c>
      <c r="Z7193" s="1">
        <v>5.2650969999999999E-5</v>
      </c>
      <c r="AA7193">
        <v>0.99999939999999998</v>
      </c>
      <c r="AB7193">
        <v>23</v>
      </c>
      <c r="AC7193">
        <v>18.7407</v>
      </c>
      <c r="AD7193">
        <v>-1.110599984122</v>
      </c>
      <c r="AE7193">
        <v>-4.9500000000023102E-2</v>
      </c>
      <c r="AF7193">
        <v>2.2320892308678099E-2</v>
      </c>
      <c r="AG7193">
        <v>-1.110599984122</v>
      </c>
      <c r="AH7193">
        <v>18.675166888519101</v>
      </c>
      <c r="AI7193">
        <v>93.403331876741206</v>
      </c>
      <c r="AJ7193">
        <v>89.931519095764799</v>
      </c>
      <c r="AK7193">
        <v>18.708174386107402</v>
      </c>
      <c r="AL7193">
        <v>83.009284326642003</v>
      </c>
      <c r="AM7193">
        <v>89.358433023923993</v>
      </c>
      <c r="AN7193">
        <v>0.99999993776832297</v>
      </c>
    </row>
    <row r="7194" spans="1:40" x14ac:dyDescent="0.25">
      <c r="A7194" t="str">
        <f>"20190312164643816"</f>
        <v>20190312164643816</v>
      </c>
      <c r="B7194" t="str">
        <f>"1552380403808200"</f>
        <v>1552380403808200</v>
      </c>
      <c r="C7194" t="s">
        <v>40</v>
      </c>
      <c r="D7194">
        <v>5.8741640000000004</v>
      </c>
      <c r="E7194">
        <v>0.49897330000000001</v>
      </c>
      <c r="F7194" t="s">
        <v>42</v>
      </c>
      <c r="G7194">
        <v>-141.29300000000001</v>
      </c>
      <c r="H7194" s="1">
        <v>-4.0340010000000001E-6</v>
      </c>
      <c r="I7194">
        <v>137.83240000000001</v>
      </c>
      <c r="J7194">
        <v>-159.91079999999999</v>
      </c>
      <c r="K7194">
        <v>1.1106590000000001</v>
      </c>
      <c r="L7194">
        <v>137.89869999999999</v>
      </c>
      <c r="M7194">
        <v>0.99991180000000002</v>
      </c>
      <c r="N7194">
        <v>0</v>
      </c>
      <c r="O7194">
        <v>6.6244000000000003E-4</v>
      </c>
      <c r="P7194">
        <v>0.99410180000000004</v>
      </c>
      <c r="Q7194">
        <v>0.10775</v>
      </c>
      <c r="R7194">
        <v>-1.231778E-2</v>
      </c>
      <c r="S7194">
        <v>3.0374599999999998</v>
      </c>
      <c r="T7194">
        <v>-0.17895220000000001</v>
      </c>
      <c r="U7194">
        <v>-1.036072E-2</v>
      </c>
      <c r="V7194">
        <v>1.2542050000000001E-2</v>
      </c>
      <c r="W7194">
        <v>0.12097579999999999</v>
      </c>
      <c r="X7194">
        <v>0.99257620000000002</v>
      </c>
      <c r="Y7194">
        <v>4.0652570000000001E-3</v>
      </c>
      <c r="Z7194">
        <v>-1.586456E-4</v>
      </c>
      <c r="AA7194">
        <v>0.99999170000000004</v>
      </c>
      <c r="AB7194">
        <v>23</v>
      </c>
      <c r="AC7194">
        <v>18.6177999999999</v>
      </c>
      <c r="AD7194">
        <v>-1.110663034001</v>
      </c>
      <c r="AE7194">
        <v>-6.6299999999983997E-2</v>
      </c>
      <c r="AF7194">
        <v>7.8355395630345395E-2</v>
      </c>
      <c r="AG7194">
        <v>-1.110663034001</v>
      </c>
      <c r="AH7194">
        <v>18.551730271657501</v>
      </c>
      <c r="AI7194">
        <v>93.426088664541496</v>
      </c>
      <c r="AJ7194">
        <v>89.758006034441493</v>
      </c>
      <c r="AK7194">
        <v>18.5851125370672</v>
      </c>
      <c r="AL7194">
        <v>83.051577757813803</v>
      </c>
      <c r="AM7194">
        <v>89.276057304515106</v>
      </c>
      <c r="AN7194">
        <v>0.99999998000514101</v>
      </c>
    </row>
    <row r="7195" spans="1:40" x14ac:dyDescent="0.25">
      <c r="A7195" t="str">
        <f>"20190312164643840"</f>
        <v>20190312164643840</v>
      </c>
      <c r="B7195" t="str">
        <f>"1552380403828696"</f>
        <v>1552380403828696</v>
      </c>
      <c r="C7195" t="s">
        <v>40</v>
      </c>
      <c r="D7195">
        <v>5.8230870000000001</v>
      </c>
      <c r="E7195">
        <v>0.49911480000000003</v>
      </c>
      <c r="F7195" t="s">
        <v>42</v>
      </c>
      <c r="G7195">
        <v>-141.26689999999999</v>
      </c>
      <c r="H7195" s="1">
        <v>-4.0446570000000003E-6</v>
      </c>
      <c r="I7195">
        <v>137.83539999999999</v>
      </c>
      <c r="J7195">
        <v>-159.68469999999999</v>
      </c>
      <c r="K7195">
        <v>1.110662</v>
      </c>
      <c r="L7195">
        <v>137.90119999999999</v>
      </c>
      <c r="M7195">
        <v>0.99990829999999997</v>
      </c>
      <c r="N7195">
        <v>0</v>
      </c>
      <c r="O7195">
        <v>2.7752139999999998E-3</v>
      </c>
      <c r="P7195">
        <v>0.99422219999999994</v>
      </c>
      <c r="Q7195">
        <v>0.1067241</v>
      </c>
      <c r="R7195">
        <v>-1.1503579999999999E-2</v>
      </c>
      <c r="S7195">
        <v>3.0372620000000001</v>
      </c>
      <c r="T7195">
        <v>-0.1809366</v>
      </c>
      <c r="U7195">
        <v>-1.029968E-2</v>
      </c>
      <c r="V7195">
        <v>1.382678E-2</v>
      </c>
      <c r="W7195">
        <v>0.1199524</v>
      </c>
      <c r="X7195">
        <v>0.99268339999999999</v>
      </c>
      <c r="Y7195">
        <v>6.150694E-3</v>
      </c>
      <c r="Z7195">
        <v>-3.4823610000000001E-4</v>
      </c>
      <c r="AA7195">
        <v>0.99998100000000001</v>
      </c>
      <c r="AB7195">
        <v>23</v>
      </c>
      <c r="AC7195">
        <v>18.4178</v>
      </c>
      <c r="AD7195">
        <v>-1.110666044657</v>
      </c>
      <c r="AE7195">
        <v>-6.5799999999995806E-2</v>
      </c>
      <c r="AF7195">
        <v>0.116493941103241</v>
      </c>
      <c r="AG7195">
        <v>-1.110666044657</v>
      </c>
      <c r="AH7195">
        <v>18.3508133433461</v>
      </c>
      <c r="AI7195">
        <v>93.463479509697606</v>
      </c>
      <c r="AJ7195">
        <v>89.636281979390702</v>
      </c>
      <c r="AK7195">
        <v>18.384762719801401</v>
      </c>
      <c r="AL7195">
        <v>83.1106448569669</v>
      </c>
      <c r="AM7195">
        <v>89.201996414952205</v>
      </c>
      <c r="AN7195">
        <v>1.0000000453732401</v>
      </c>
    </row>
    <row r="7196" spans="1:40" x14ac:dyDescent="0.25">
      <c r="A7196" t="str">
        <f>"20190312164643861"</f>
        <v>20190312164643861</v>
      </c>
      <c r="B7196" t="str">
        <f>"1552380403857976"</f>
        <v>1552380403857976</v>
      </c>
      <c r="C7196" t="s">
        <v>40</v>
      </c>
      <c r="D7196">
        <v>5.7655010000000004</v>
      </c>
      <c r="E7196">
        <v>0.4992858</v>
      </c>
      <c r="F7196" t="s">
        <v>42</v>
      </c>
      <c r="G7196">
        <v>-141.30500000000001</v>
      </c>
      <c r="H7196" s="1">
        <v>-4.0281140000000004E-6</v>
      </c>
      <c r="I7196">
        <v>137.8365</v>
      </c>
      <c r="J7196">
        <v>-159.4564</v>
      </c>
      <c r="K7196">
        <v>1.1106240000000001</v>
      </c>
      <c r="L7196">
        <v>137.9042</v>
      </c>
      <c r="M7196">
        <v>0.99990009999999996</v>
      </c>
      <c r="N7196">
        <v>0</v>
      </c>
      <c r="O7196">
        <v>4.9060340000000001E-3</v>
      </c>
      <c r="P7196">
        <v>0.99441270000000004</v>
      </c>
      <c r="Q7196">
        <v>0.1049715</v>
      </c>
      <c r="R7196">
        <v>-1.1158380000000001E-2</v>
      </c>
      <c r="S7196">
        <v>3.0370180000000002</v>
      </c>
      <c r="T7196">
        <v>-0.18352370000000001</v>
      </c>
      <c r="U7196">
        <v>-1.068115E-2</v>
      </c>
      <c r="V7196">
        <v>1.5614279999999999E-2</v>
      </c>
      <c r="W7196">
        <v>0.1182035</v>
      </c>
      <c r="X7196">
        <v>0.99286660000000004</v>
      </c>
      <c r="Y7196">
        <v>8.3990880000000007E-3</v>
      </c>
      <c r="Z7196">
        <v>-5.4976289999999995E-4</v>
      </c>
      <c r="AA7196">
        <v>0.99996459999999998</v>
      </c>
      <c r="AB7196">
        <v>23</v>
      </c>
      <c r="AC7196">
        <v>18.151399999999899</v>
      </c>
      <c r="AD7196">
        <v>-1.110628028114</v>
      </c>
      <c r="AE7196">
        <v>-6.7700000000001995E-2</v>
      </c>
      <c r="AF7196">
        <v>0.15617371488676399</v>
      </c>
      <c r="AG7196">
        <v>-1.110628028114</v>
      </c>
      <c r="AH7196">
        <v>18.0831499129138</v>
      </c>
      <c r="AI7196">
        <v>93.514437621703095</v>
      </c>
      <c r="AJ7196">
        <v>89.505181767884395</v>
      </c>
      <c r="AK7196">
        <v>18.117897108079799</v>
      </c>
      <c r="AL7196">
        <v>83.211567077864402</v>
      </c>
      <c r="AM7196">
        <v>89.099014307563905</v>
      </c>
      <c r="AN7196">
        <v>0.99999997927386397</v>
      </c>
    </row>
    <row r="7197" spans="1:40" x14ac:dyDescent="0.25">
      <c r="A7197" t="str">
        <f>"20190312164643883"</f>
        <v>20190312164643883</v>
      </c>
      <c r="B7197" t="str">
        <f>"1552380403878476"</f>
        <v>1552380403878476</v>
      </c>
      <c r="C7197" t="s">
        <v>40</v>
      </c>
      <c r="D7197">
        <v>5.8829500000000001</v>
      </c>
      <c r="E7197">
        <v>0.49937870000000001</v>
      </c>
      <c r="F7197" t="s">
        <v>42</v>
      </c>
      <c r="G7197">
        <v>-141.5472</v>
      </c>
      <c r="H7197" s="1">
        <v>-3.9231639999999998E-6</v>
      </c>
      <c r="I7197">
        <v>137.8424</v>
      </c>
      <c r="J7197">
        <v>-159.22890000000001</v>
      </c>
      <c r="K7197">
        <v>1.110563</v>
      </c>
      <c r="L7197">
        <v>137.90770000000001</v>
      </c>
      <c r="M7197">
        <v>0.99988790000000005</v>
      </c>
      <c r="N7197">
        <v>0</v>
      </c>
      <c r="O7197">
        <v>6.9697369999999897E-3</v>
      </c>
      <c r="P7197">
        <v>0.99452870000000004</v>
      </c>
      <c r="Q7197">
        <v>0.103794899999999</v>
      </c>
      <c r="R7197">
        <v>-1.18104E-2</v>
      </c>
      <c r="S7197">
        <v>3.0366360000000001</v>
      </c>
      <c r="T7197">
        <v>-0.1883148</v>
      </c>
      <c r="U7197">
        <v>-1.0467529999999999E-2</v>
      </c>
      <c r="V7197">
        <v>1.8338879999999998E-2</v>
      </c>
      <c r="W7197">
        <v>0.1170306</v>
      </c>
      <c r="X7197">
        <v>0.99295900000000004</v>
      </c>
      <c r="Y7197">
        <v>1.0383949999999999E-2</v>
      </c>
      <c r="Z7197">
        <v>-7.5351029999999998E-4</v>
      </c>
      <c r="AA7197">
        <v>0.9999458</v>
      </c>
      <c r="AB7197">
        <v>23</v>
      </c>
      <c r="AC7197">
        <v>17.681699999999999</v>
      </c>
      <c r="AD7197">
        <v>-1.1105669231640001</v>
      </c>
      <c r="AE7197">
        <v>-6.5300000000007602E-2</v>
      </c>
      <c r="AF7197">
        <v>0.18780516285973201</v>
      </c>
      <c r="AG7197">
        <v>-1.1105669231640001</v>
      </c>
      <c r="AH7197">
        <v>17.611340392965001</v>
      </c>
      <c r="AI7197">
        <v>93.608075826405397</v>
      </c>
      <c r="AJ7197">
        <v>89.389028029437199</v>
      </c>
      <c r="AK7197">
        <v>17.647321046178799</v>
      </c>
      <c r="AL7197">
        <v>83.279239326181198</v>
      </c>
      <c r="AM7197">
        <v>88.941929143189796</v>
      </c>
      <c r="AN7197">
        <v>1.0000000257685</v>
      </c>
    </row>
    <row r="7198" spans="1:40" x14ac:dyDescent="0.25">
      <c r="A7198" t="str">
        <f>"20190312164643905"</f>
        <v>20190312164643905</v>
      </c>
      <c r="B7198" t="str">
        <f>"1552380403897992"</f>
        <v>1552380403897992</v>
      </c>
      <c r="C7198" t="s">
        <v>40</v>
      </c>
      <c r="D7198">
        <v>5.8708460000000002</v>
      </c>
      <c r="E7198">
        <v>0.49947209999999997</v>
      </c>
      <c r="F7198" t="s">
        <v>42</v>
      </c>
      <c r="G7198">
        <v>-141.59649999999999</v>
      </c>
      <c r="H7198" s="1">
        <v>-3.9027599999999999E-6</v>
      </c>
      <c r="I7198">
        <v>137.83840000000001</v>
      </c>
      <c r="J7198">
        <v>-158.99940000000001</v>
      </c>
      <c r="K7198">
        <v>1.1104780000000001</v>
      </c>
      <c r="L7198">
        <v>137.9117</v>
      </c>
      <c r="M7198">
        <v>0.99987219999999999</v>
      </c>
      <c r="N7198">
        <v>0</v>
      </c>
      <c r="O7198">
        <v>8.9509580000000002E-3</v>
      </c>
      <c r="P7198">
        <v>0.99460380000000004</v>
      </c>
      <c r="Q7198">
        <v>0.103057</v>
      </c>
      <c r="R7198">
        <v>-1.194842E-2</v>
      </c>
      <c r="S7198">
        <v>3.0363310000000001</v>
      </c>
      <c r="T7198">
        <v>-0.19124070000000001</v>
      </c>
      <c r="U7198">
        <v>-1.1932369999999999E-2</v>
      </c>
      <c r="V7198">
        <v>2.047216E-2</v>
      </c>
      <c r="W7198">
        <v>0.1162923</v>
      </c>
      <c r="X7198">
        <v>0.993004</v>
      </c>
      <c r="Y7198">
        <v>1.2838179999999999E-2</v>
      </c>
      <c r="Z7198">
        <v>-9.6715310000000004E-4</v>
      </c>
      <c r="AA7198">
        <v>0.9999171</v>
      </c>
      <c r="AB7198">
        <v>23</v>
      </c>
      <c r="AC7198">
        <v>17.402899999999999</v>
      </c>
      <c r="AD7198">
        <v>-1.1104819027599999</v>
      </c>
      <c r="AE7198">
        <v>-7.3299999999988999E-2</v>
      </c>
      <c r="AF7198">
        <v>0.228154389866255</v>
      </c>
      <c r="AG7198">
        <v>-1.1104819027599999</v>
      </c>
      <c r="AH7198">
        <v>17.330980600212701</v>
      </c>
      <c r="AI7198">
        <v>93.665896193596694</v>
      </c>
      <c r="AJ7198">
        <v>89.245770979022097</v>
      </c>
      <c r="AK7198">
        <v>17.3680198366688</v>
      </c>
      <c r="AL7198">
        <v>83.321831298852302</v>
      </c>
      <c r="AM7198">
        <v>88.818935046148198</v>
      </c>
      <c r="AN7198">
        <v>0.999999976195177</v>
      </c>
    </row>
    <row r="7199" spans="1:40" x14ac:dyDescent="0.25">
      <c r="A7199" t="str">
        <f>"20190312164643927"</f>
        <v>20190312164643927</v>
      </c>
      <c r="B7199" t="str">
        <f>"1552380403918488"</f>
        <v>1552380403918488</v>
      </c>
      <c r="C7199" t="s">
        <v>40</v>
      </c>
      <c r="D7199">
        <v>5.8103899999999999</v>
      </c>
      <c r="E7199">
        <v>0.49953819999999999</v>
      </c>
      <c r="F7199" t="s">
        <v>42</v>
      </c>
      <c r="G7199">
        <v>-141.53</v>
      </c>
      <c r="H7199" s="1">
        <v>-3.9309820000000001E-6</v>
      </c>
      <c r="I7199">
        <v>137.8399</v>
      </c>
      <c r="J7199">
        <v>-158.7749</v>
      </c>
      <c r="K7199">
        <v>1.110376</v>
      </c>
      <c r="L7199">
        <v>137.91579999999999</v>
      </c>
      <c r="M7199">
        <v>0.99985440000000003</v>
      </c>
      <c r="N7199">
        <v>0</v>
      </c>
      <c r="O7199">
        <v>1.0767530000000001E-2</v>
      </c>
      <c r="P7199">
        <v>0.99466759999999999</v>
      </c>
      <c r="Q7199">
        <v>0.10241310000000001</v>
      </c>
      <c r="R7199">
        <v>-1.2163820000000001E-2</v>
      </c>
      <c r="S7199">
        <v>3.036133</v>
      </c>
      <c r="T7199">
        <v>-0.19299910000000001</v>
      </c>
      <c r="U7199">
        <v>-1.2466430000000001E-2</v>
      </c>
      <c r="V7199">
        <v>2.2523290000000001E-2</v>
      </c>
      <c r="W7199">
        <v>0.11564629999999999</v>
      </c>
      <c r="X7199">
        <v>0.99303509999999995</v>
      </c>
      <c r="Y7199">
        <v>1.4822480000000001E-2</v>
      </c>
      <c r="Z7199">
        <v>-1.1544610000000001E-3</v>
      </c>
      <c r="AA7199">
        <v>0.99988949999999999</v>
      </c>
      <c r="AB7199">
        <v>23</v>
      </c>
      <c r="AC7199">
        <v>17.244900000000001</v>
      </c>
      <c r="AD7199">
        <v>-1.1103799309819999</v>
      </c>
      <c r="AE7199">
        <v>-7.5899999999990003E-2</v>
      </c>
      <c r="AF7199">
        <v>0.26051678591767102</v>
      </c>
      <c r="AG7199">
        <v>-1.1103799309819999</v>
      </c>
      <c r="AH7199">
        <v>17.1718907259426</v>
      </c>
      <c r="AI7199">
        <v>93.699321530390407</v>
      </c>
      <c r="AJ7199">
        <v>89.130825629768495</v>
      </c>
      <c r="AK7199">
        <v>17.209725264820001</v>
      </c>
      <c r="AL7199">
        <v>83.359096214507304</v>
      </c>
      <c r="AM7199">
        <v>88.700682148057794</v>
      </c>
      <c r="AN7199">
        <v>1.0000000375640601</v>
      </c>
    </row>
    <row r="7200" spans="1:40" x14ac:dyDescent="0.25">
      <c r="A7200" t="str">
        <f>"20190312164643950"</f>
        <v>20190312164643950</v>
      </c>
      <c r="B7200" t="str">
        <f>"1552380403938009"</f>
        <v>1552380403938009</v>
      </c>
      <c r="C7200" t="s">
        <v>40</v>
      </c>
      <c r="D7200">
        <v>5.6127000000000002</v>
      </c>
      <c r="E7200">
        <v>0.49955690000000003</v>
      </c>
      <c r="F7200" t="s">
        <v>42</v>
      </c>
      <c r="G7200">
        <v>-141.46969999999999</v>
      </c>
      <c r="H7200" s="1">
        <v>-3.9570829999999999E-6</v>
      </c>
      <c r="I7200">
        <v>137.83869999999999</v>
      </c>
      <c r="J7200">
        <v>-158.54329999999999</v>
      </c>
      <c r="K7200">
        <v>1.110268</v>
      </c>
      <c r="L7200">
        <v>137.9205</v>
      </c>
      <c r="M7200">
        <v>0.99983440000000001</v>
      </c>
      <c r="N7200">
        <v>0</v>
      </c>
      <c r="O7200">
        <v>1.249931E-2</v>
      </c>
      <c r="P7200">
        <v>0.99470409999999998</v>
      </c>
      <c r="Q7200">
        <v>0.1020959</v>
      </c>
      <c r="R7200">
        <v>-1.1857670000000001E-2</v>
      </c>
      <c r="S7200">
        <v>3.0359799999999999</v>
      </c>
      <c r="T7200">
        <v>-0.1948018</v>
      </c>
      <c r="U7200">
        <v>-1.351929E-2</v>
      </c>
      <c r="V7200">
        <v>2.3971099999999999E-2</v>
      </c>
      <c r="W7200">
        <v>0.1153223</v>
      </c>
      <c r="X7200">
        <v>0.9930388</v>
      </c>
      <c r="Y7200">
        <v>1.689247E-2</v>
      </c>
      <c r="Z7200">
        <v>-1.3426309999999999E-3</v>
      </c>
      <c r="AA7200">
        <v>0.99985639999999998</v>
      </c>
      <c r="AB7200">
        <v>23</v>
      </c>
      <c r="AC7200">
        <v>17.073599999999999</v>
      </c>
      <c r="AD7200">
        <v>-1.110271957083</v>
      </c>
      <c r="AE7200">
        <v>-8.1800000000015402E-2</v>
      </c>
      <c r="AF7200">
        <v>0.29397737881628</v>
      </c>
      <c r="AG7200">
        <v>-1.110271957083</v>
      </c>
      <c r="AH7200">
        <v>16.999359636845899</v>
      </c>
      <c r="AI7200">
        <v>93.736270445892202</v>
      </c>
      <c r="AJ7200">
        <v>89.009257722997901</v>
      </c>
      <c r="AK7200">
        <v>17.0381147601713</v>
      </c>
      <c r="AL7200">
        <v>83.377784521551007</v>
      </c>
      <c r="AM7200">
        <v>88.617197851618101</v>
      </c>
      <c r="AN7200">
        <v>0.999999952408968</v>
      </c>
    </row>
    <row r="7201" spans="1:40" x14ac:dyDescent="0.25">
      <c r="A7201" t="str">
        <f>"20190312164643974"</f>
        <v>20190312164643974</v>
      </c>
      <c r="B7201" t="str">
        <f>"1552380403968268"</f>
        <v>1552380403968268</v>
      </c>
      <c r="C7201" t="s">
        <v>40</v>
      </c>
      <c r="D7201">
        <v>5.7535270000000001</v>
      </c>
      <c r="E7201">
        <v>0.49954700000000002</v>
      </c>
      <c r="F7201" t="s">
        <v>42</v>
      </c>
      <c r="G7201">
        <v>-141.26779999999999</v>
      </c>
      <c r="H7201" s="1">
        <v>-4.0425599999999998E-6</v>
      </c>
      <c r="I7201">
        <v>137.84520000000001</v>
      </c>
      <c r="J7201">
        <v>-158.3073</v>
      </c>
      <c r="K7201">
        <v>1.110158</v>
      </c>
      <c r="L7201">
        <v>137.9255</v>
      </c>
      <c r="M7201">
        <v>0.99981279999999995</v>
      </c>
      <c r="N7201">
        <v>0</v>
      </c>
      <c r="O7201">
        <v>1.411695E-2</v>
      </c>
      <c r="P7201">
        <v>0.99466259999999995</v>
      </c>
      <c r="Q7201">
        <v>0.1025701</v>
      </c>
      <c r="R7201">
        <v>-1.121129E-2</v>
      </c>
      <c r="S7201">
        <v>3.0358429999999998</v>
      </c>
      <c r="T7201">
        <v>-0.19510830000000001</v>
      </c>
      <c r="U7201">
        <v>-1.3229370000000001E-2</v>
      </c>
      <c r="V7201">
        <v>2.4964030000000002E-2</v>
      </c>
      <c r="W7201">
        <v>0.1157864</v>
      </c>
      <c r="X7201">
        <v>0.99296039999999997</v>
      </c>
      <c r="Y7201">
        <v>1.84082E-2</v>
      </c>
      <c r="Z7201">
        <v>-1.4973160000000001E-3</v>
      </c>
      <c r="AA7201">
        <v>0.99982939999999998</v>
      </c>
      <c r="AB7201">
        <v>23</v>
      </c>
      <c r="AC7201">
        <v>17.0395</v>
      </c>
      <c r="AD7201">
        <v>-1.1101620425600001</v>
      </c>
      <c r="AE7201">
        <v>-8.0299999999994001E-2</v>
      </c>
      <c r="AF7201">
        <v>0.31950262572592197</v>
      </c>
      <c r="AG7201">
        <v>-1.1101620425600001</v>
      </c>
      <c r="AH7201">
        <v>16.964657759241899</v>
      </c>
      <c r="AI7201">
        <v>93.743418033490798</v>
      </c>
      <c r="AJ7201">
        <v>88.921051733966294</v>
      </c>
      <c r="AK7201">
        <v>17.003945265049399</v>
      </c>
      <c r="AL7201">
        <v>83.351014700858897</v>
      </c>
      <c r="AM7201">
        <v>88.559829459816001</v>
      </c>
      <c r="AN7201">
        <v>1.0000000245934799</v>
      </c>
    </row>
    <row r="7202" spans="1:40" x14ac:dyDescent="0.25">
      <c r="A7202" t="str">
        <f>"20190312164643996"</f>
        <v>20190312164643996</v>
      </c>
      <c r="B7202" t="str">
        <f>"1552380403988761"</f>
        <v>1552380403988761</v>
      </c>
      <c r="C7202" t="s">
        <v>40</v>
      </c>
      <c r="D7202">
        <v>5.8120599999999998</v>
      </c>
      <c r="E7202">
        <v>0.49954029999999999</v>
      </c>
      <c r="F7202" t="s">
        <v>42</v>
      </c>
      <c r="G7202">
        <v>-140.82409999999999</v>
      </c>
      <c r="H7202" s="1">
        <v>-4.2306209999999997E-6</v>
      </c>
      <c r="I7202">
        <v>137.858</v>
      </c>
      <c r="J7202">
        <v>-158.07679999999999</v>
      </c>
      <c r="K7202">
        <v>1.110058</v>
      </c>
      <c r="L7202">
        <v>137.9306</v>
      </c>
      <c r="M7202">
        <v>0.99979110000000004</v>
      </c>
      <c r="N7202">
        <v>0</v>
      </c>
      <c r="O7202">
        <v>1.5582749999999999E-2</v>
      </c>
      <c r="P7202">
        <v>0.99466310000000002</v>
      </c>
      <c r="Q7202">
        <v>0.1026741</v>
      </c>
      <c r="R7202">
        <v>-1.016828E-2</v>
      </c>
      <c r="S7202">
        <v>3.0358429999999998</v>
      </c>
      <c r="T7202">
        <v>-0.19277250000000001</v>
      </c>
      <c r="U7202">
        <v>-1.171875E-2</v>
      </c>
      <c r="V7202">
        <v>2.5407019999999999E-2</v>
      </c>
      <c r="W7202">
        <v>0.1158807</v>
      </c>
      <c r="X7202">
        <v>0.99293819999999999</v>
      </c>
      <c r="Y7202">
        <v>1.9373230000000002E-2</v>
      </c>
      <c r="Z7202">
        <v>-1.603019E-3</v>
      </c>
      <c r="AA7202">
        <v>0.99981109999999895</v>
      </c>
      <c r="AB7202">
        <v>23</v>
      </c>
      <c r="AC7202">
        <v>17.252700000000001</v>
      </c>
      <c r="AD7202">
        <v>-1.110062230621</v>
      </c>
      <c r="AE7202">
        <v>-7.2599999999994197E-2</v>
      </c>
      <c r="AF7202">
        <v>0.34005148859310202</v>
      </c>
      <c r="AG7202">
        <v>-1.110062230621</v>
      </c>
      <c r="AH7202">
        <v>17.178359529271098</v>
      </c>
      <c r="AI7202">
        <v>93.696579295682596</v>
      </c>
      <c r="AJ7202">
        <v>88.865958605024801</v>
      </c>
      <c r="AK7202">
        <v>17.217546552504</v>
      </c>
      <c r="AL7202">
        <v>83.345575337436998</v>
      </c>
      <c r="AM7202">
        <v>88.534251738846095</v>
      </c>
      <c r="AN7202">
        <v>1.0000000611585</v>
      </c>
    </row>
    <row r="7203" spans="1:40" x14ac:dyDescent="0.25">
      <c r="A7203" t="str">
        <f>"20190312164644018"</f>
        <v>20190312164644018</v>
      </c>
      <c r="B7203" t="str">
        <f>"1552380404008281"</f>
        <v>1552380404008281</v>
      </c>
      <c r="C7203" t="s">
        <v>40</v>
      </c>
      <c r="D7203">
        <v>5.8150729999999999</v>
      </c>
      <c r="E7203">
        <v>0.4995599</v>
      </c>
      <c r="F7203" t="s">
        <v>42</v>
      </c>
      <c r="G7203">
        <v>-140.54910000000001</v>
      </c>
      <c r="H7203" s="1">
        <v>-4.344519E-6</v>
      </c>
      <c r="I7203">
        <v>137.881</v>
      </c>
      <c r="J7203">
        <v>-157.85599999999999</v>
      </c>
      <c r="K7203">
        <v>1.1099619999999999</v>
      </c>
      <c r="L7203">
        <v>137.9357</v>
      </c>
      <c r="M7203">
        <v>0.99977009999999999</v>
      </c>
      <c r="N7203">
        <v>0</v>
      </c>
      <c r="O7203">
        <v>1.687955E-2</v>
      </c>
      <c r="P7203">
        <v>0.99469439999999998</v>
      </c>
      <c r="Q7203">
        <v>0.1024653</v>
      </c>
      <c r="R7203">
        <v>-9.1751520000000007E-3</v>
      </c>
      <c r="S7203">
        <v>3.0358890000000001</v>
      </c>
      <c r="T7203">
        <v>-0.19226840000000001</v>
      </c>
      <c r="U7203">
        <v>-8.5906980000000008E-3</v>
      </c>
      <c r="V7203">
        <v>2.5729370000000001E-2</v>
      </c>
      <c r="W7203">
        <v>0.1156633</v>
      </c>
      <c r="X7203">
        <v>0.99295520000000004</v>
      </c>
      <c r="Y7203">
        <v>1.9637100000000001E-2</v>
      </c>
      <c r="Z7203">
        <v>-1.689206E-3</v>
      </c>
      <c r="AA7203">
        <v>0.99980570000000002</v>
      </c>
      <c r="AB7203">
        <v>23</v>
      </c>
      <c r="AC7203">
        <v>17.306899999999899</v>
      </c>
      <c r="AD7203">
        <v>-1.109966344519</v>
      </c>
      <c r="AE7203">
        <v>-5.46999999999968E-2</v>
      </c>
      <c r="AF7203">
        <v>0.34542961834014801</v>
      </c>
      <c r="AG7203">
        <v>-1.109966344519</v>
      </c>
      <c r="AH7203">
        <v>17.232629722395799</v>
      </c>
      <c r="AI7203">
        <v>93.684634197494205</v>
      </c>
      <c r="AJ7203">
        <v>88.851654715081594</v>
      </c>
      <c r="AK7203">
        <v>17.271794175950301</v>
      </c>
      <c r="AL7203">
        <v>83.358115450855905</v>
      </c>
      <c r="AM7203">
        <v>88.515688817058702</v>
      </c>
      <c r="AN7203">
        <v>1.00000001432726</v>
      </c>
    </row>
    <row r="7204" spans="1:40" x14ac:dyDescent="0.25">
      <c r="A7204" t="str">
        <f>"20190312164644040"</f>
        <v>20190312164644040</v>
      </c>
      <c r="B7204" t="str">
        <f>"1552380404028776"</f>
        <v>1552380404028776</v>
      </c>
      <c r="C7204" t="s">
        <v>40</v>
      </c>
      <c r="D7204">
        <v>5.8753679999999999</v>
      </c>
      <c r="E7204">
        <v>0.49955909999999898</v>
      </c>
      <c r="F7204" t="s">
        <v>42</v>
      </c>
      <c r="G7204">
        <v>-140.375</v>
      </c>
      <c r="H7204" s="1">
        <v>-4.415927E-6</v>
      </c>
      <c r="I7204">
        <v>137.89949999999999</v>
      </c>
      <c r="J7204">
        <v>-157.63059999999999</v>
      </c>
      <c r="K7204">
        <v>1.10988</v>
      </c>
      <c r="L7204">
        <v>137.94110000000001</v>
      </c>
      <c r="M7204">
        <v>0.99974890000000005</v>
      </c>
      <c r="N7204">
        <v>0</v>
      </c>
      <c r="O7204">
        <v>1.8090539999999999E-2</v>
      </c>
      <c r="P7204">
        <v>0.99460519999999997</v>
      </c>
      <c r="Q7204">
        <v>0.1034003</v>
      </c>
      <c r="R7204">
        <v>-8.30294E-3</v>
      </c>
      <c r="S7204">
        <v>3.0357820000000002</v>
      </c>
      <c r="T7204">
        <v>-0.1927586</v>
      </c>
      <c r="U7204">
        <v>-6.286621E-3</v>
      </c>
      <c r="V7204">
        <v>2.608224E-2</v>
      </c>
      <c r="W7204">
        <v>0.11658780000000001</v>
      </c>
      <c r="X7204">
        <v>0.99283779999999999</v>
      </c>
      <c r="Y7204">
        <v>2.0085700000000001E-2</v>
      </c>
      <c r="Z7204">
        <v>-1.784604E-3</v>
      </c>
      <c r="AA7204">
        <v>0.99979669999999998</v>
      </c>
      <c r="AB7204">
        <v>23</v>
      </c>
      <c r="AC7204">
        <v>17.255599999999902</v>
      </c>
      <c r="AD7204">
        <v>-1.109884415927</v>
      </c>
      <c r="AE7204">
        <v>-4.16000000000167E-2</v>
      </c>
      <c r="AF7204">
        <v>0.35232601323975699</v>
      </c>
      <c r="AG7204">
        <v>-1.109884415927</v>
      </c>
      <c r="AH7204">
        <v>17.1809442765515</v>
      </c>
      <c r="AI7204">
        <v>93.695381498273093</v>
      </c>
      <c r="AJ7204">
        <v>88.825212150547301</v>
      </c>
      <c r="AK7204">
        <v>17.220360718355799</v>
      </c>
      <c r="AL7204">
        <v>83.304784246595304</v>
      </c>
      <c r="AM7204">
        <v>88.495163424015104</v>
      </c>
      <c r="AN7204">
        <v>0.99999994773054701</v>
      </c>
    </row>
    <row r="7205" spans="1:40" x14ac:dyDescent="0.25">
      <c r="A7205" t="str">
        <f>"20190312164644062"</f>
        <v>20190312164644062</v>
      </c>
      <c r="B7205" t="str">
        <f>"1552380404058056"</f>
        <v>1552380404058056</v>
      </c>
      <c r="C7205" t="s">
        <v>40</v>
      </c>
      <c r="D7205">
        <v>5.8138160000000001</v>
      </c>
      <c r="E7205">
        <v>0.4995599</v>
      </c>
      <c r="F7205" t="s">
        <v>42</v>
      </c>
      <c r="G7205">
        <v>-139.89169999999999</v>
      </c>
      <c r="H7205" s="1">
        <v>-4.739254E-7</v>
      </c>
      <c r="I7205">
        <v>137.9212</v>
      </c>
      <c r="J7205">
        <v>-157.39619999999999</v>
      </c>
      <c r="K7205">
        <v>1.109793</v>
      </c>
      <c r="L7205">
        <v>137.9469</v>
      </c>
      <c r="M7205">
        <v>0.99972760000000005</v>
      </c>
      <c r="N7205">
        <v>0</v>
      </c>
      <c r="O7205">
        <v>1.923598E-2</v>
      </c>
      <c r="P7205">
        <v>0.99447289999999999</v>
      </c>
      <c r="Q7205">
        <v>0.1047463</v>
      </c>
      <c r="R7205">
        <v>-7.228104E-3</v>
      </c>
      <c r="S7205">
        <v>3.0360109999999998</v>
      </c>
      <c r="T7205">
        <v>-0.1899556</v>
      </c>
      <c r="U7205">
        <v>-3.4027100000000002E-3</v>
      </c>
      <c r="V7205">
        <v>2.616632E-2</v>
      </c>
      <c r="W7205">
        <v>0.11792179999999999</v>
      </c>
      <c r="X7205">
        <v>0.99267810000000001</v>
      </c>
      <c r="Y7205">
        <v>2.0280949999999999E-2</v>
      </c>
      <c r="Z7205">
        <v>-1.8362680000000001E-3</v>
      </c>
      <c r="AA7205">
        <v>0.99979260000000003</v>
      </c>
      <c r="AB7205">
        <v>23</v>
      </c>
      <c r="AC7205">
        <v>17.5045</v>
      </c>
      <c r="AD7205">
        <v>-1.1097934739253901</v>
      </c>
      <c r="AE7205">
        <v>-2.57000000000005E-2</v>
      </c>
      <c r="AF7205">
        <v>0.36098983380044602</v>
      </c>
      <c r="AG7205">
        <v>-1.1097934739253901</v>
      </c>
      <c r="AH7205">
        <v>17.430701561517299</v>
      </c>
      <c r="AI7205">
        <v>93.642262632460401</v>
      </c>
      <c r="AJ7205">
        <v>88.813573993220203</v>
      </c>
      <c r="AK7205">
        <v>17.469725588616299</v>
      </c>
      <c r="AL7205">
        <v>83.227821245083703</v>
      </c>
      <c r="AM7205">
        <v>88.490071837075206</v>
      </c>
      <c r="AN7205">
        <v>1.00000001871859</v>
      </c>
    </row>
    <row r="7206" spans="1:40" x14ac:dyDescent="0.25">
      <c r="A7206" t="str">
        <f>"20190312164644085"</f>
        <v>20190312164644085</v>
      </c>
      <c r="B7206" t="str">
        <f>"1552380404078553"</f>
        <v>1552380404078553</v>
      </c>
      <c r="C7206" t="s">
        <v>40</v>
      </c>
      <c r="D7206">
        <v>5.8171480000000004</v>
      </c>
      <c r="E7206">
        <v>0.49960529999999997</v>
      </c>
      <c r="F7206" t="s">
        <v>42</v>
      </c>
      <c r="G7206">
        <v>-139.24449999999999</v>
      </c>
      <c r="H7206" s="1">
        <v>-6.8741910000000001E-7</v>
      </c>
      <c r="I7206">
        <v>137.94659999999999</v>
      </c>
      <c r="J7206">
        <v>-157.17169999999999</v>
      </c>
      <c r="K7206">
        <v>1.109723</v>
      </c>
      <c r="L7206">
        <v>137.95249999999999</v>
      </c>
      <c r="M7206">
        <v>0.99970789999999998</v>
      </c>
      <c r="N7206">
        <v>0</v>
      </c>
      <c r="O7206">
        <v>2.0234080000000002E-2</v>
      </c>
      <c r="P7206">
        <v>0.99435499999999999</v>
      </c>
      <c r="Q7206">
        <v>0.105933</v>
      </c>
      <c r="R7206">
        <v>-6.0414359999999999E-3</v>
      </c>
      <c r="S7206">
        <v>3.0362239999999998</v>
      </c>
      <c r="T7206">
        <v>-0.18563370000000001</v>
      </c>
      <c r="U7206" s="1">
        <v>-4.5776370000000002E-5</v>
      </c>
      <c r="V7206">
        <v>2.599164E-2</v>
      </c>
      <c r="W7206">
        <v>0.11909790000000001</v>
      </c>
      <c r="X7206">
        <v>0.99254229999999999</v>
      </c>
      <c r="Y7206">
        <v>2.0175470000000001E-2</v>
      </c>
      <c r="Z7206">
        <v>-1.8521799999999999E-3</v>
      </c>
      <c r="AA7206">
        <v>0.99979470000000004</v>
      </c>
      <c r="AB7206">
        <v>23</v>
      </c>
      <c r="AC7206">
        <v>17.927199999999999</v>
      </c>
      <c r="AD7206">
        <v>-1.1097236874191001</v>
      </c>
      <c r="AE7206">
        <v>-5.8999999999968999E-3</v>
      </c>
      <c r="AF7206">
        <v>0.367263592973329</v>
      </c>
      <c r="AG7206">
        <v>-1.1097236874191001</v>
      </c>
      <c r="AH7206">
        <v>17.854992671249502</v>
      </c>
      <c r="AI7206">
        <v>93.5557229903592</v>
      </c>
      <c r="AJ7206">
        <v>88.821635644644005</v>
      </c>
      <c r="AK7206">
        <v>17.893214705567001</v>
      </c>
      <c r="AL7206">
        <v>83.159957620263896</v>
      </c>
      <c r="AM7206">
        <v>88.499942014564994</v>
      </c>
      <c r="AN7206">
        <v>1.00000004621179</v>
      </c>
    </row>
    <row r="7207" spans="1:40" x14ac:dyDescent="0.25">
      <c r="A7207" t="str">
        <f>"20190312164644106"</f>
        <v>20190312164644106</v>
      </c>
      <c r="B7207" t="str">
        <f>"1552380404098073"</f>
        <v>1552380404098073</v>
      </c>
      <c r="C7207" t="s">
        <v>40</v>
      </c>
      <c r="D7207">
        <v>5.8696859999999997</v>
      </c>
      <c r="E7207">
        <v>0.49960880000000002</v>
      </c>
      <c r="F7207" t="s">
        <v>42</v>
      </c>
      <c r="G7207">
        <v>-138.62479999999999</v>
      </c>
      <c r="H7207" s="1">
        <v>-8.9196309999999997E-7</v>
      </c>
      <c r="I7207">
        <v>137.97040000000001</v>
      </c>
      <c r="J7207">
        <v>-156.94659999999999</v>
      </c>
      <c r="K7207">
        <v>1.1096520000000001</v>
      </c>
      <c r="L7207">
        <v>137.95820000000001</v>
      </c>
      <c r="M7207">
        <v>0.99968919999999994</v>
      </c>
      <c r="N7207">
        <v>0</v>
      </c>
      <c r="O7207">
        <v>2.1145600000000001E-2</v>
      </c>
      <c r="P7207">
        <v>0.99422670000000002</v>
      </c>
      <c r="Q7207">
        <v>0.1071762</v>
      </c>
      <c r="R7207">
        <v>-5.1796660000000003E-3</v>
      </c>
      <c r="S7207">
        <v>3.0364070000000001</v>
      </c>
      <c r="T7207">
        <v>-0.18167810000000001</v>
      </c>
      <c r="U7207">
        <v>2.9296880000000002E-3</v>
      </c>
      <c r="V7207">
        <v>2.605356E-2</v>
      </c>
      <c r="W7207">
        <v>0.1203306</v>
      </c>
      <c r="X7207">
        <v>0.99239189999999999</v>
      </c>
      <c r="Y7207">
        <v>2.0109019999999998E-2</v>
      </c>
      <c r="Z7207">
        <v>-1.8651710000000001E-3</v>
      </c>
      <c r="AA7207">
        <v>0.99979600000000002</v>
      </c>
      <c r="AB7207">
        <v>23</v>
      </c>
      <c r="AC7207">
        <v>18.3218</v>
      </c>
      <c r="AD7207">
        <v>-1.1096528919630999</v>
      </c>
      <c r="AE7207">
        <v>1.2200000000007E-2</v>
      </c>
      <c r="AF7207">
        <v>0.373890506688763</v>
      </c>
      <c r="AG7207">
        <v>-1.1096528919630999</v>
      </c>
      <c r="AH7207">
        <v>18.251014622120699</v>
      </c>
      <c r="AI7207">
        <v>93.478544794274001</v>
      </c>
      <c r="AJ7207">
        <v>88.826402125520801</v>
      </c>
      <c r="AK7207">
        <v>18.288538989993</v>
      </c>
      <c r="AL7207">
        <v>83.0888169161896</v>
      </c>
      <c r="AM7207">
        <v>88.496142283300799</v>
      </c>
      <c r="AN7207">
        <v>0.99999996223532095</v>
      </c>
    </row>
    <row r="7208" spans="1:40" x14ac:dyDescent="0.25">
      <c r="A7208" t="str">
        <f>"20190312164644129"</f>
        <v>20190312164644129</v>
      </c>
      <c r="B7208" t="str">
        <f>"1552380404118569"</f>
        <v>1552380404118569</v>
      </c>
      <c r="C7208" t="s">
        <v>40</v>
      </c>
      <c r="D7208">
        <v>5.8647780000000003</v>
      </c>
      <c r="E7208">
        <v>0.49961139999999998</v>
      </c>
      <c r="F7208" t="s">
        <v>42</v>
      </c>
      <c r="G7208">
        <v>-137.99469999999999</v>
      </c>
      <c r="H7208" s="1">
        <v>-1.1301979999999999E-6</v>
      </c>
      <c r="I7208">
        <v>137.9948</v>
      </c>
      <c r="J7208">
        <v>-156.72130000000001</v>
      </c>
      <c r="K7208">
        <v>1.10959599999999</v>
      </c>
      <c r="L7208">
        <v>137.9641</v>
      </c>
      <c r="M7208">
        <v>0.99967130000000004</v>
      </c>
      <c r="N7208">
        <v>0</v>
      </c>
      <c r="O7208">
        <v>2.1973099999999999E-2</v>
      </c>
      <c r="P7208">
        <v>0.99405460000000001</v>
      </c>
      <c r="Q7208">
        <v>0.1087629</v>
      </c>
      <c r="R7208">
        <v>-5.094154E-3</v>
      </c>
      <c r="S7208">
        <v>3.0366209999999998</v>
      </c>
      <c r="T7208">
        <v>-0.17779719999999999</v>
      </c>
      <c r="U7208">
        <v>5.859375E-3</v>
      </c>
      <c r="V7208">
        <v>2.6803960000000002E-2</v>
      </c>
      <c r="W7208">
        <v>0.1219078</v>
      </c>
      <c r="X7208">
        <v>0.99217949999999999</v>
      </c>
      <c r="Y7208">
        <v>1.9974039999999998E-2</v>
      </c>
      <c r="Z7208">
        <v>-1.8697220000000001E-3</v>
      </c>
      <c r="AA7208">
        <v>0.99979879999999999</v>
      </c>
      <c r="AB7208">
        <v>23</v>
      </c>
      <c r="AC7208">
        <v>18.726600000000001</v>
      </c>
      <c r="AD7208">
        <v>-1.1095971301980001</v>
      </c>
      <c r="AE7208">
        <v>3.0699999999995901E-2</v>
      </c>
      <c r="AF7208">
        <v>0.37949243019566797</v>
      </c>
      <c r="AG7208">
        <v>-1.1095971301980001</v>
      </c>
      <c r="AH7208">
        <v>18.657249830597699</v>
      </c>
      <c r="AI7208">
        <v>93.402823867869202</v>
      </c>
      <c r="AJ7208">
        <v>88.834752336489302</v>
      </c>
      <c r="AK7208">
        <v>18.694068351679299</v>
      </c>
      <c r="AL7208">
        <v>82.997780483975902</v>
      </c>
      <c r="AM7208">
        <v>88.452517577332102</v>
      </c>
      <c r="AN7208">
        <v>1.00000006209638</v>
      </c>
    </row>
    <row r="7209" spans="1:40" x14ac:dyDescent="0.25">
      <c r="A7209" t="str">
        <f>"20190312164644150"</f>
        <v>20190312164644150</v>
      </c>
      <c r="B7209" t="str">
        <f>"1552380404148825"</f>
        <v>1552380404148825</v>
      </c>
      <c r="C7209" t="s">
        <v>40</v>
      </c>
      <c r="D7209">
        <v>5.8678350000000004</v>
      </c>
      <c r="E7209">
        <v>0.49966339999999998</v>
      </c>
      <c r="F7209" t="s">
        <v>42</v>
      </c>
      <c r="G7209">
        <v>-137.21709999999999</v>
      </c>
      <c r="H7209" s="1">
        <v>-1.4615229999999999E-6</v>
      </c>
      <c r="I7209">
        <v>138.00749999999999</v>
      </c>
      <c r="J7209">
        <v>-156.49770000000001</v>
      </c>
      <c r="K7209">
        <v>1.109558</v>
      </c>
      <c r="L7209">
        <v>137.9699</v>
      </c>
      <c r="M7209">
        <v>0.99965479999999995</v>
      </c>
      <c r="N7209">
        <v>0</v>
      </c>
      <c r="O7209">
        <v>2.2715639999999999E-2</v>
      </c>
      <c r="P7209">
        <v>0.99378639999999996</v>
      </c>
      <c r="Q7209">
        <v>0.1111777</v>
      </c>
      <c r="R7209">
        <v>-5.309785E-3</v>
      </c>
      <c r="S7209">
        <v>3.03688</v>
      </c>
      <c r="T7209">
        <v>-0.17276810000000001</v>
      </c>
      <c r="U7209">
        <v>6.7749019999999898E-3</v>
      </c>
      <c r="V7209">
        <v>2.776348E-2</v>
      </c>
      <c r="W7209">
        <v>0.1243136</v>
      </c>
      <c r="X7209">
        <v>0.99185449999999997</v>
      </c>
      <c r="Y7209">
        <v>2.041753E-2</v>
      </c>
      <c r="Z7209">
        <v>-1.8715750000000001E-3</v>
      </c>
      <c r="AA7209">
        <v>0.99978979999999995</v>
      </c>
      <c r="AB7209">
        <v>23</v>
      </c>
      <c r="AC7209">
        <v>19.2806</v>
      </c>
      <c r="AD7209">
        <v>-1.109559461523</v>
      </c>
      <c r="AE7209">
        <v>3.7599999999997601E-2</v>
      </c>
      <c r="AF7209">
        <v>0.39909732900146599</v>
      </c>
      <c r="AG7209">
        <v>-1.109559461523</v>
      </c>
      <c r="AH7209">
        <v>19.212849991305301</v>
      </c>
      <c r="AI7209">
        <v>93.304500587211805</v>
      </c>
      <c r="AJ7209">
        <v>88.809999323310905</v>
      </c>
      <c r="AK7209">
        <v>19.249000121176898</v>
      </c>
      <c r="AL7209">
        <v>82.858881325893705</v>
      </c>
      <c r="AM7209">
        <v>88.396624741048399</v>
      </c>
      <c r="AN7209">
        <v>1.0000000155684601</v>
      </c>
    </row>
    <row r="7210" spans="1:40" x14ac:dyDescent="0.25">
      <c r="A7210" t="str">
        <f>"20190312164644174"</f>
        <v>20190312164644174</v>
      </c>
      <c r="B7210" t="str">
        <f>"1552380404168348"</f>
        <v>1552380404168348</v>
      </c>
      <c r="C7210" t="s">
        <v>40</v>
      </c>
      <c r="D7210">
        <v>5.8637649999999999</v>
      </c>
      <c r="E7210">
        <v>0.49969910000000001</v>
      </c>
      <c r="F7210" t="s">
        <v>42</v>
      </c>
      <c r="G7210">
        <v>-136.0067</v>
      </c>
      <c r="H7210" s="1">
        <v>-1.980663E-6</v>
      </c>
      <c r="I7210">
        <v>138.00829999999999</v>
      </c>
      <c r="J7210">
        <v>-156.26400000000001</v>
      </c>
      <c r="K7210">
        <v>1.1095330000000001</v>
      </c>
      <c r="L7210">
        <v>137.97620000000001</v>
      </c>
      <c r="M7210">
        <v>0.99963809999999997</v>
      </c>
      <c r="N7210">
        <v>0</v>
      </c>
      <c r="O7210">
        <v>2.3436769999999999E-2</v>
      </c>
      <c r="P7210">
        <v>0.99355389999999999</v>
      </c>
      <c r="Q7210">
        <v>0.1132244</v>
      </c>
      <c r="R7210">
        <v>-5.5691459999999996E-3</v>
      </c>
      <c r="S7210">
        <v>3.0371860000000002</v>
      </c>
      <c r="T7210">
        <v>-0.164459299999999</v>
      </c>
      <c r="U7210">
        <v>5.6915280000000004E-3</v>
      </c>
      <c r="V7210">
        <v>2.874202E-2</v>
      </c>
      <c r="W7210">
        <v>0.12635199999999999</v>
      </c>
      <c r="X7210">
        <v>0.99156900000000003</v>
      </c>
      <c r="Y7210">
        <v>2.1499509999999999E-2</v>
      </c>
      <c r="Z7210">
        <v>-1.8498119999999999E-3</v>
      </c>
      <c r="AA7210">
        <v>0.99976710000000002</v>
      </c>
      <c r="AB7210">
        <v>23</v>
      </c>
      <c r="AC7210">
        <v>20.257300000000001</v>
      </c>
      <c r="AD7210">
        <v>-1.1095349806629999</v>
      </c>
      <c r="AE7210">
        <v>3.2099999999985501E-2</v>
      </c>
      <c r="AF7210">
        <v>0.44139173686808297</v>
      </c>
      <c r="AG7210">
        <v>-1.1095349806629999</v>
      </c>
      <c r="AH7210">
        <v>20.1919119119082</v>
      </c>
      <c r="AI7210">
        <v>93.144460318959105</v>
      </c>
      <c r="AJ7210">
        <v>88.747723513029399</v>
      </c>
      <c r="AK7210">
        <v>20.227189651480298</v>
      </c>
      <c r="AL7210">
        <v>82.741161273641595</v>
      </c>
      <c r="AM7210">
        <v>88.339666272467596</v>
      </c>
      <c r="AN7210">
        <v>1.00000000668934</v>
      </c>
    </row>
    <row r="7211" spans="1:40" x14ac:dyDescent="0.25">
      <c r="A7211" t="str">
        <f>"20190312164644196"</f>
        <v>20190312164644196</v>
      </c>
      <c r="B7211" t="str">
        <f>"1552380404188842"</f>
        <v>1552380404188842</v>
      </c>
      <c r="C7211" t="s">
        <v>40</v>
      </c>
      <c r="D7211">
        <v>5.7570290000000002</v>
      </c>
      <c r="E7211">
        <v>0.49971260000000001</v>
      </c>
      <c r="F7211" t="s">
        <v>42</v>
      </c>
      <c r="G7211">
        <v>-134.9922</v>
      </c>
      <c r="H7211" s="1">
        <v>-2.4164260000000001E-6</v>
      </c>
      <c r="I7211">
        <v>138.0051</v>
      </c>
      <c r="J7211">
        <v>-156.03970000000001</v>
      </c>
      <c r="K7211">
        <v>1.109515</v>
      </c>
      <c r="L7211">
        <v>137.98220000000001</v>
      </c>
      <c r="M7211">
        <v>0.99962269999999998</v>
      </c>
      <c r="N7211">
        <v>0</v>
      </c>
      <c r="O7211">
        <v>2.4092780000000001E-2</v>
      </c>
      <c r="P7211">
        <v>0.99343199999999998</v>
      </c>
      <c r="Q7211">
        <v>0.11426169999999999</v>
      </c>
      <c r="R7211">
        <v>-6.1217930000000004E-3</v>
      </c>
      <c r="S7211">
        <v>3.0375369999999999</v>
      </c>
      <c r="T7211">
        <v>-0.15843759999999901</v>
      </c>
      <c r="U7211">
        <v>4.1351319999999997E-3</v>
      </c>
      <c r="V7211">
        <v>2.994834E-2</v>
      </c>
      <c r="W7211">
        <v>0.1273841</v>
      </c>
      <c r="X7211">
        <v>0.99140119999999998</v>
      </c>
      <c r="Y7211">
        <v>2.2670340000000001E-2</v>
      </c>
      <c r="Z7211">
        <v>-1.8466750000000001E-3</v>
      </c>
      <c r="AA7211">
        <v>0.99974130000000005</v>
      </c>
      <c r="AB7211">
        <v>23</v>
      </c>
      <c r="AC7211">
        <v>21.047499999999999</v>
      </c>
      <c r="AD7211">
        <v>-1.109517416426</v>
      </c>
      <c r="AE7211">
        <v>2.2899999999992801E-2</v>
      </c>
      <c r="AF7211">
        <v>0.48290164102960598</v>
      </c>
      <c r="AG7211">
        <v>-1.109517416426</v>
      </c>
      <c r="AH7211">
        <v>20.983630609341201</v>
      </c>
      <c r="AI7211">
        <v>93.025917756469298</v>
      </c>
      <c r="AJ7211">
        <v>88.681670319022004</v>
      </c>
      <c r="AK7211">
        <v>21.0184912979391</v>
      </c>
      <c r="AL7211">
        <v>82.681544342381301</v>
      </c>
      <c r="AM7211">
        <v>88.269729922870198</v>
      </c>
      <c r="AN7211">
        <v>0.99999997568150201</v>
      </c>
    </row>
    <row r="7212" spans="1:40" x14ac:dyDescent="0.25">
      <c r="A7212" t="str">
        <f>"20190312164644218"</f>
        <v>20190312164644218</v>
      </c>
      <c r="B7212" t="str">
        <f>"1552380404208361"</f>
        <v>1552380404208361</v>
      </c>
      <c r="C7212" t="s">
        <v>40</v>
      </c>
      <c r="D7212">
        <v>5.7649730000000003</v>
      </c>
      <c r="E7212">
        <v>0.5107334</v>
      </c>
      <c r="F7212" t="s">
        <v>42</v>
      </c>
      <c r="G7212">
        <v>-134.3877</v>
      </c>
      <c r="H7212" s="1">
        <v>-2.6763000000000001E-6</v>
      </c>
      <c r="I7212">
        <v>138.00200000000001</v>
      </c>
      <c r="J7212">
        <v>-155.81979999999999</v>
      </c>
      <c r="K7212">
        <v>1.1094999999999999</v>
      </c>
      <c r="L7212">
        <v>137.98830000000001</v>
      </c>
      <c r="M7212">
        <v>0.99960760000000004</v>
      </c>
      <c r="N7212">
        <v>0</v>
      </c>
      <c r="O7212">
        <v>2.4710019999999999E-2</v>
      </c>
      <c r="P7212">
        <v>0.99345740000000005</v>
      </c>
      <c r="Q7212">
        <v>0.1139833</v>
      </c>
      <c r="R7212">
        <v>-7.1096120000000004E-3</v>
      </c>
      <c r="S7212">
        <v>3.037766</v>
      </c>
      <c r="T7212">
        <v>-0.155665</v>
      </c>
      <c r="U7212">
        <v>2.7770999999999998E-3</v>
      </c>
      <c r="V7212">
        <v>3.1553650000000003E-2</v>
      </c>
      <c r="W7212">
        <v>0.12710369999999999</v>
      </c>
      <c r="X7212">
        <v>0.99138740000000003</v>
      </c>
      <c r="Y7212">
        <v>2.3734689999999999E-2</v>
      </c>
      <c r="Z7212">
        <v>-1.873125E-3</v>
      </c>
      <c r="AA7212">
        <v>0.99971650000000001</v>
      </c>
      <c r="AB7212">
        <v>23</v>
      </c>
      <c r="AC7212">
        <v>21.432099999999899</v>
      </c>
      <c r="AD7212">
        <v>-1.1095026763</v>
      </c>
      <c r="AE7212">
        <v>1.37E-2</v>
      </c>
      <c r="AF7212">
        <v>0.51455890642722701</v>
      </c>
      <c r="AG7212">
        <v>-1.1095026763</v>
      </c>
      <c r="AH7212">
        <v>21.368626456588</v>
      </c>
      <c r="AI7212">
        <v>92.971384900906997</v>
      </c>
      <c r="AJ7212">
        <v>88.620577823109898</v>
      </c>
      <c r="AK7212">
        <v>21.403596980369699</v>
      </c>
      <c r="AL7212">
        <v>82.697741773300095</v>
      </c>
      <c r="AM7212">
        <v>88.177018514343601</v>
      </c>
      <c r="AN7212">
        <v>0.99999998013038605</v>
      </c>
    </row>
    <row r="7213" spans="1:40" x14ac:dyDescent="0.25">
      <c r="A7213" t="str">
        <f>"20190312164644240"</f>
        <v>20190312164644240</v>
      </c>
      <c r="B7213" t="str">
        <f>"1552380404227882"</f>
        <v>1552380404227882</v>
      </c>
      <c r="C7213" t="s">
        <v>40</v>
      </c>
      <c r="D7213">
        <v>6.4671180000000001</v>
      </c>
      <c r="E7213">
        <v>0.51548349999999998</v>
      </c>
      <c r="F7213" t="s">
        <v>41</v>
      </c>
      <c r="G7213">
        <v>-154.98779999999999</v>
      </c>
      <c r="H7213">
        <v>1.0297050000000001</v>
      </c>
      <c r="I7213">
        <v>137.96539999999999</v>
      </c>
      <c r="J7213">
        <v>-155.58949999999999</v>
      </c>
      <c r="K7213">
        <v>1.109486</v>
      </c>
      <c r="L7213">
        <v>137.9948</v>
      </c>
      <c r="M7213">
        <v>0.99959189999999998</v>
      </c>
      <c r="N7213">
        <v>0</v>
      </c>
      <c r="O7213">
        <v>2.5335400000000001E-2</v>
      </c>
      <c r="P7213">
        <v>0.99338839999999995</v>
      </c>
      <c r="Q7213">
        <v>0.1144575</v>
      </c>
      <c r="R7213">
        <v>-8.8975519999999995E-3</v>
      </c>
      <c r="S7213">
        <v>3.052765</v>
      </c>
      <c r="T7213">
        <v>-0.29292400000000002</v>
      </c>
      <c r="U7213">
        <v>-8.3572389999999996E-2</v>
      </c>
      <c r="V7213">
        <v>3.3963739999999999E-2</v>
      </c>
      <c r="W7213">
        <v>0.1275742</v>
      </c>
      <c r="X7213">
        <v>0.9912474</v>
      </c>
      <c r="Y7213">
        <v>5.232854E-2</v>
      </c>
      <c r="Z7213">
        <v>-4.929569E-3</v>
      </c>
      <c r="AA7213">
        <v>0.9986178</v>
      </c>
      <c r="AB7213">
        <v>23</v>
      </c>
      <c r="AC7213">
        <v>0.60169999999999302</v>
      </c>
      <c r="AD7213">
        <v>-7.9781000000000102E-2</v>
      </c>
      <c r="AE7213">
        <v>-2.9400000000009599E-2</v>
      </c>
      <c r="AF7213">
        <v>4.3866821441598002E-2</v>
      </c>
      <c r="AG7213">
        <v>-7.9781000000000102E-2</v>
      </c>
      <c r="AH7213">
        <v>0.59040679094658499</v>
      </c>
      <c r="AI7213">
        <v>97.674797350686504</v>
      </c>
      <c r="AJ7213">
        <v>85.750770358805696</v>
      </c>
      <c r="AK7213">
        <v>0.59738554115431397</v>
      </c>
      <c r="AL7213">
        <v>82.6705634408534</v>
      </c>
      <c r="AM7213">
        <v>88.037605979974899</v>
      </c>
      <c r="AN7213">
        <v>1.0000000600735901</v>
      </c>
    </row>
    <row r="7214" spans="1:40" x14ac:dyDescent="0.25">
      <c r="A7214" t="str">
        <f>"20190312164644274"</f>
        <v>20190312164644274</v>
      </c>
      <c r="B7214" t="str">
        <f>"1552380404268873"</f>
        <v>1552380404268873</v>
      </c>
      <c r="C7214" t="s">
        <v>40</v>
      </c>
      <c r="D7214">
        <v>6.0274140000000003</v>
      </c>
      <c r="E7214">
        <v>0.51826260000000002</v>
      </c>
      <c r="F7214" t="s">
        <v>41</v>
      </c>
      <c r="G7214">
        <v>-154.7919</v>
      </c>
      <c r="H7214">
        <v>1.016626</v>
      </c>
      <c r="I7214">
        <v>137.96209999999999</v>
      </c>
      <c r="J7214">
        <v>-155.2475</v>
      </c>
      <c r="K7214">
        <v>1.1094580000000001</v>
      </c>
      <c r="L7214">
        <v>138.00460000000001</v>
      </c>
      <c r="M7214">
        <v>0.99956920000000005</v>
      </c>
      <c r="N7214">
        <v>0</v>
      </c>
      <c r="O7214">
        <v>2.622443E-2</v>
      </c>
      <c r="P7214">
        <v>0.99321130000000002</v>
      </c>
      <c r="Q7214">
        <v>0.1157511</v>
      </c>
      <c r="R7214">
        <v>-1.1542749999999999E-2</v>
      </c>
      <c r="S7214">
        <v>3.0599059999999998</v>
      </c>
      <c r="T7214">
        <v>-0.3563441</v>
      </c>
      <c r="U7214">
        <v>-0.12512210000000001</v>
      </c>
      <c r="V7214">
        <v>3.7491789999999997E-2</v>
      </c>
      <c r="W7214">
        <v>0.12886149999999999</v>
      </c>
      <c r="X7214">
        <v>0.99095359999999999</v>
      </c>
      <c r="Y7214">
        <v>6.6422209999999995E-2</v>
      </c>
      <c r="Z7214">
        <v>-6.8958659999999996E-3</v>
      </c>
      <c r="AA7214">
        <v>0.99776779999999998</v>
      </c>
      <c r="AB7214">
        <v>23</v>
      </c>
      <c r="AC7214">
        <v>0.455600000000003</v>
      </c>
      <c r="AD7214">
        <v>-9.2831999999999998E-2</v>
      </c>
      <c r="AE7214">
        <v>-4.25000000000181E-2</v>
      </c>
      <c r="AF7214">
        <v>5.22823768187725E-2</v>
      </c>
      <c r="AG7214">
        <v>-9.2831999999999998E-2</v>
      </c>
      <c r="AH7214">
        <v>0.43636815607892998</v>
      </c>
      <c r="AI7214">
        <v>101.92710114329201</v>
      </c>
      <c r="AJ7214">
        <v>83.167815062363601</v>
      </c>
      <c r="AK7214">
        <v>0.44918636977266502</v>
      </c>
      <c r="AL7214">
        <v>82.596192124974394</v>
      </c>
      <c r="AM7214">
        <v>87.833301921111001</v>
      </c>
      <c r="AN7214">
        <v>0.99999997892630599</v>
      </c>
    </row>
    <row r="7215" spans="1:40" x14ac:dyDescent="0.25">
      <c r="A7215" t="str">
        <f>"20190312164644297"</f>
        <v>20190312164644297</v>
      </c>
      <c r="B7215" t="str">
        <f>"1552380404288393"</f>
        <v>1552380404288393</v>
      </c>
      <c r="C7215" t="s">
        <v>40</v>
      </c>
      <c r="D7215">
        <v>5.9206209999999997</v>
      </c>
      <c r="E7215">
        <v>0.51909399999999895</v>
      </c>
      <c r="F7215" t="s">
        <v>41</v>
      </c>
      <c r="G7215">
        <v>-154.39580000000001</v>
      </c>
      <c r="H7215">
        <v>1.0003329999999999</v>
      </c>
      <c r="I7215">
        <v>137.96190000000001</v>
      </c>
      <c r="J7215">
        <v>-155.0232</v>
      </c>
      <c r="K7215">
        <v>1.109437</v>
      </c>
      <c r="L7215">
        <v>138.0111</v>
      </c>
      <c r="M7215">
        <v>0.99955450000000001</v>
      </c>
      <c r="N7215">
        <v>0</v>
      </c>
      <c r="O7215">
        <v>2.677357E-2</v>
      </c>
      <c r="P7215">
        <v>0.99315549999999997</v>
      </c>
      <c r="Q7215">
        <v>0.1160269</v>
      </c>
      <c r="R7215">
        <v>-1.341708E-2</v>
      </c>
      <c r="S7215">
        <v>3.064514</v>
      </c>
      <c r="T7215">
        <v>-0.39269229999999999</v>
      </c>
      <c r="U7215">
        <v>-0.1531525</v>
      </c>
      <c r="V7215">
        <v>3.9914119999999997E-2</v>
      </c>
      <c r="W7215">
        <v>0.12914</v>
      </c>
      <c r="X7215">
        <v>0.99082269999999995</v>
      </c>
      <c r="Y7215">
        <v>7.5801540000000001E-2</v>
      </c>
      <c r="Z7215">
        <v>-8.2492169999999997E-3</v>
      </c>
      <c r="AA7215">
        <v>0.9970888</v>
      </c>
      <c r="AB7215">
        <v>23</v>
      </c>
      <c r="AC7215">
        <v>0.62739999999999396</v>
      </c>
      <c r="AD7215">
        <v>-0.10910400000000001</v>
      </c>
      <c r="AE7215">
        <v>-4.9199999999984798E-2</v>
      </c>
      <c r="AF7215">
        <v>6.4056289440985806E-2</v>
      </c>
      <c r="AG7215">
        <v>-0.10910400000000001</v>
      </c>
      <c r="AH7215">
        <v>0.60759583652499505</v>
      </c>
      <c r="AI7215">
        <v>100.124984881866</v>
      </c>
      <c r="AJ7215">
        <v>83.981776468242302</v>
      </c>
      <c r="AK7215">
        <v>0.62062838445840995</v>
      </c>
      <c r="AL7215">
        <v>82.580100580806501</v>
      </c>
      <c r="AM7215">
        <v>87.693154621260405</v>
      </c>
      <c r="AN7215">
        <v>0.99999994970533101</v>
      </c>
    </row>
    <row r="7216" spans="1:40" x14ac:dyDescent="0.25">
      <c r="A7216" t="str">
        <f>"20190312164644318"</f>
        <v>20190312164644318</v>
      </c>
      <c r="B7216" t="str">
        <f>"1552380404307913"</f>
        <v>1552380404307913</v>
      </c>
      <c r="C7216" t="s">
        <v>40</v>
      </c>
      <c r="D7216">
        <v>5.9556050000000003</v>
      </c>
      <c r="E7216">
        <v>0.51925589999999999</v>
      </c>
      <c r="F7216" t="s">
        <v>41</v>
      </c>
      <c r="G7216">
        <v>-154.19409999999999</v>
      </c>
      <c r="H7216">
        <v>1.000211</v>
      </c>
      <c r="I7216">
        <v>137.96619999999999</v>
      </c>
      <c r="J7216">
        <v>-154.8049</v>
      </c>
      <c r="K7216">
        <v>1.109418</v>
      </c>
      <c r="L7216">
        <v>138.01759999999999</v>
      </c>
      <c r="M7216">
        <v>0.9995406</v>
      </c>
      <c r="N7216">
        <v>0</v>
      </c>
      <c r="O7216">
        <v>2.7276829999999998E-2</v>
      </c>
      <c r="P7216">
        <v>0.99317940000000005</v>
      </c>
      <c r="Q7216">
        <v>0.1155564</v>
      </c>
      <c r="R7216">
        <v>-1.553676E-2</v>
      </c>
      <c r="S7216">
        <v>3.0656430000000001</v>
      </c>
      <c r="T7216">
        <v>-0.40399849999999998</v>
      </c>
      <c r="U7216">
        <v>-0.16528319999999999</v>
      </c>
      <c r="V7216">
        <v>4.2538720000000002E-2</v>
      </c>
      <c r="W7216">
        <v>0.12868889999999999</v>
      </c>
      <c r="X7216">
        <v>0.99077219999999999</v>
      </c>
      <c r="Y7216">
        <v>8.0129850000000002E-2</v>
      </c>
      <c r="Z7216">
        <v>-8.8305769999999992E-3</v>
      </c>
      <c r="AA7216">
        <v>0.99674529999999995</v>
      </c>
      <c r="AB7216">
        <v>23</v>
      </c>
      <c r="AC7216">
        <v>0.610800000000011</v>
      </c>
      <c r="AD7216">
        <v>-0.109207</v>
      </c>
      <c r="AE7216">
        <v>-5.1400000000000903E-2</v>
      </c>
      <c r="AF7216">
        <v>6.59496217419938E-2</v>
      </c>
      <c r="AG7216">
        <v>-0.109207</v>
      </c>
      <c r="AH7216">
        <v>0.59042897337084599</v>
      </c>
      <c r="AI7216">
        <v>100.415776389006</v>
      </c>
      <c r="AJ7216">
        <v>83.626605117244907</v>
      </c>
      <c r="AK7216">
        <v>0.60405454559390803</v>
      </c>
      <c r="AL7216">
        <v>82.606164296781898</v>
      </c>
      <c r="AM7216">
        <v>87.541520505289398</v>
      </c>
      <c r="AN7216">
        <v>0.99999996398764301</v>
      </c>
    </row>
    <row r="7217" spans="1:40" x14ac:dyDescent="0.25">
      <c r="A7217" t="str">
        <f>"20190312164644341"</f>
        <v>20190312164644341</v>
      </c>
      <c r="B7217" t="str">
        <f>"1552380404338169"</f>
        <v>1552380404338169</v>
      </c>
      <c r="C7217" t="s">
        <v>40</v>
      </c>
      <c r="D7217">
        <v>6.6290610000000001</v>
      </c>
      <c r="E7217">
        <v>0.51965689999999998</v>
      </c>
      <c r="F7217" t="s">
        <v>41</v>
      </c>
      <c r="G7217">
        <v>-153.99279999999999</v>
      </c>
      <c r="H7217">
        <v>1.0000309999999999</v>
      </c>
      <c r="I7217">
        <v>137.9718</v>
      </c>
      <c r="J7217">
        <v>-154.57939999999999</v>
      </c>
      <c r="K7217">
        <v>1.1094189999999999</v>
      </c>
      <c r="L7217">
        <v>138.02430000000001</v>
      </c>
      <c r="M7217">
        <v>0.99952609999999997</v>
      </c>
      <c r="N7217">
        <v>0</v>
      </c>
      <c r="O7217">
        <v>2.7756019999999999E-2</v>
      </c>
      <c r="P7217">
        <v>0.99309820000000004</v>
      </c>
      <c r="Q7217">
        <v>0.1159352</v>
      </c>
      <c r="R7217">
        <v>-1.774653E-2</v>
      </c>
      <c r="S7217">
        <v>3.0659640000000001</v>
      </c>
      <c r="T7217">
        <v>-0.41309499999999999</v>
      </c>
      <c r="U7217">
        <v>-0.1725006</v>
      </c>
      <c r="V7217">
        <v>4.5228079999999997E-2</v>
      </c>
      <c r="W7217">
        <v>0.12915839999999901</v>
      </c>
      <c r="X7217">
        <v>0.99059200000000003</v>
      </c>
      <c r="Y7217">
        <v>8.2870399999999997E-2</v>
      </c>
      <c r="Z7217">
        <v>-9.2740600000000006E-3</v>
      </c>
      <c r="AA7217">
        <v>0.99651719999999999</v>
      </c>
      <c r="AB7217">
        <v>23</v>
      </c>
      <c r="AC7217">
        <v>0.58660000000000401</v>
      </c>
      <c r="AD7217">
        <v>-0.109388</v>
      </c>
      <c r="AE7217">
        <v>-5.2500000000008998E-2</v>
      </c>
      <c r="AF7217">
        <v>6.6469835745760306E-2</v>
      </c>
      <c r="AG7217">
        <v>-0.109388</v>
      </c>
      <c r="AH7217">
        <v>0.56541124037007195</v>
      </c>
      <c r="AI7217">
        <v>100.87643117950699</v>
      </c>
      <c r="AJ7217">
        <v>83.295074219553399</v>
      </c>
      <c r="AK7217">
        <v>0.57971876314717596</v>
      </c>
      <c r="AL7217">
        <v>82.579037742823701</v>
      </c>
      <c r="AM7217">
        <v>87.385826182947099</v>
      </c>
      <c r="AN7217">
        <v>0.99999999098752301</v>
      </c>
    </row>
    <row r="7218" spans="1:40" x14ac:dyDescent="0.25">
      <c r="A7218" t="str">
        <f>"20190312164644364"</f>
        <v>20190312164644364</v>
      </c>
      <c r="B7218" t="str">
        <f>"1552380404358668"</f>
        <v>1552380404358668</v>
      </c>
      <c r="C7218" t="s">
        <v>40</v>
      </c>
      <c r="D7218">
        <v>5.3513039999999998</v>
      </c>
      <c r="E7218">
        <v>0.52063820000000005</v>
      </c>
      <c r="F7218" t="s">
        <v>41</v>
      </c>
      <c r="G7218">
        <v>-153.79140000000001</v>
      </c>
      <c r="H7218">
        <v>1.001155</v>
      </c>
      <c r="I7218">
        <v>137.9776</v>
      </c>
      <c r="J7218">
        <v>-154.35059999999999</v>
      </c>
      <c r="K7218">
        <v>1.109453</v>
      </c>
      <c r="L7218">
        <v>138.03120000000001</v>
      </c>
      <c r="M7218">
        <v>0.99951049999999997</v>
      </c>
      <c r="N7218">
        <v>0</v>
      </c>
      <c r="O7218">
        <v>2.8195060000000001E-2</v>
      </c>
      <c r="P7218">
        <v>0.99302999999999997</v>
      </c>
      <c r="Q7218">
        <v>0.1161465</v>
      </c>
      <c r="R7218">
        <v>-2.0041219999999998E-2</v>
      </c>
      <c r="S7218">
        <v>3.066818</v>
      </c>
      <c r="T7218">
        <v>-0.4214426</v>
      </c>
      <c r="U7218">
        <v>-0.18148800000000001</v>
      </c>
      <c r="V7218">
        <v>4.7966269999999998E-2</v>
      </c>
      <c r="W7218">
        <v>0.1296137</v>
      </c>
      <c r="X7218">
        <v>0.9904037</v>
      </c>
      <c r="Y7218">
        <v>8.6128430000000006E-2</v>
      </c>
      <c r="Z7218">
        <v>-9.7390289999999997E-3</v>
      </c>
      <c r="AA7218">
        <v>0.99623640000000002</v>
      </c>
      <c r="AB7218">
        <v>23</v>
      </c>
      <c r="AC7218">
        <v>0.55919999999997505</v>
      </c>
      <c r="AD7218">
        <v>-0.10829800000000001</v>
      </c>
      <c r="AE7218">
        <v>-5.3600000000017099E-2</v>
      </c>
      <c r="AF7218">
        <v>6.6861888262805397E-2</v>
      </c>
      <c r="AG7218">
        <v>-0.10829800000000001</v>
      </c>
      <c r="AH7218">
        <v>0.53749039308475299</v>
      </c>
      <c r="AI7218">
        <v>101.30702099651801</v>
      </c>
      <c r="AJ7218">
        <v>82.909035928020899</v>
      </c>
      <c r="AK7218">
        <v>0.55235395496408801</v>
      </c>
      <c r="AL7218">
        <v>82.552729767409105</v>
      </c>
      <c r="AM7218">
        <v>87.227272974886603</v>
      </c>
      <c r="AN7218">
        <v>0.99999998162954595</v>
      </c>
    </row>
    <row r="7219" spans="1:40" x14ac:dyDescent="0.25">
      <c r="A7219" t="str">
        <f>"20190312164644385"</f>
        <v>20190312164644385</v>
      </c>
      <c r="B7219" t="str">
        <f>"1552380404378185"</f>
        <v>1552380404378185</v>
      </c>
      <c r="C7219" t="s">
        <v>40</v>
      </c>
      <c r="D7219">
        <v>5.3483939999999999</v>
      </c>
      <c r="E7219">
        <v>0.52188009999999996</v>
      </c>
      <c r="F7219" t="s">
        <v>41</v>
      </c>
      <c r="G7219">
        <v>-153.59</v>
      </c>
      <c r="H7219">
        <v>1.0040610000000001</v>
      </c>
      <c r="I7219">
        <v>137.98259999999999</v>
      </c>
      <c r="J7219">
        <v>-154.1301</v>
      </c>
      <c r="K7219">
        <v>1.1094919999999999</v>
      </c>
      <c r="L7219">
        <v>138.03790000000001</v>
      </c>
      <c r="M7219">
        <v>0.99949549999999998</v>
      </c>
      <c r="N7219">
        <v>0</v>
      </c>
      <c r="O7219">
        <v>2.8564550000000001E-2</v>
      </c>
      <c r="P7219">
        <v>0.99292469999999999</v>
      </c>
      <c r="Q7219">
        <v>0.11663279999999999</v>
      </c>
      <c r="R7219">
        <v>-2.2306220000000002E-2</v>
      </c>
      <c r="S7219">
        <v>3.066818</v>
      </c>
      <c r="T7219">
        <v>-0.4249772</v>
      </c>
      <c r="U7219">
        <v>-0.19581599999999999</v>
      </c>
      <c r="V7219">
        <v>5.0606020000000002E-2</v>
      </c>
      <c r="W7219">
        <v>0.1304255</v>
      </c>
      <c r="X7219">
        <v>0.99016579999999998</v>
      </c>
      <c r="Y7219">
        <v>9.1064400000000004E-2</v>
      </c>
      <c r="Z7219">
        <v>-1.0209579999999999E-2</v>
      </c>
      <c r="AA7219">
        <v>0.99579269999999998</v>
      </c>
      <c r="AB7219">
        <v>22</v>
      </c>
      <c r="AC7219">
        <v>0.54009999999999503</v>
      </c>
      <c r="AD7219">
        <v>-0.105430999999999</v>
      </c>
      <c r="AE7219">
        <v>-5.5300000000016697E-2</v>
      </c>
      <c r="AF7219">
        <v>6.8137163744629997E-2</v>
      </c>
      <c r="AG7219">
        <v>-0.105430999999999</v>
      </c>
      <c r="AH7219">
        <v>0.518738068804945</v>
      </c>
      <c r="AI7219">
        <v>101.39332855838801</v>
      </c>
      <c r="AJ7219">
        <v>82.516937497880093</v>
      </c>
      <c r="AK7219">
        <v>0.533711113685715</v>
      </c>
      <c r="AL7219">
        <v>82.505819328843302</v>
      </c>
      <c r="AM7219">
        <v>87.074236742819807</v>
      </c>
      <c r="AN7219">
        <v>1.00000004590006</v>
      </c>
    </row>
    <row r="7220" spans="1:40" x14ac:dyDescent="0.25">
      <c r="A7220" t="str">
        <f>"20190312164644408"</f>
        <v>20190312164644408</v>
      </c>
      <c r="B7220" t="str">
        <f>"1552380404398681"</f>
        <v>1552380404398681</v>
      </c>
      <c r="C7220" t="s">
        <v>40</v>
      </c>
      <c r="D7220">
        <v>5.8390829999999996</v>
      </c>
      <c r="E7220">
        <v>0.522563</v>
      </c>
      <c r="F7220" t="s">
        <v>41</v>
      </c>
      <c r="G7220">
        <v>-153.38810000000001</v>
      </c>
      <c r="H7220">
        <v>1.0094240000000001</v>
      </c>
      <c r="I7220">
        <v>137.9863</v>
      </c>
      <c r="J7220">
        <v>-153.91159999999999</v>
      </c>
      <c r="K7220">
        <v>1.1095250000000001</v>
      </c>
      <c r="L7220">
        <v>138.0445</v>
      </c>
      <c r="M7220">
        <v>0.99948170000000003</v>
      </c>
      <c r="N7220">
        <v>0</v>
      </c>
      <c r="O7220">
        <v>2.8868080000000001E-2</v>
      </c>
      <c r="P7220">
        <v>0.99275420000000003</v>
      </c>
      <c r="Q7220">
        <v>0.11763129999999999</v>
      </c>
      <c r="R7220">
        <v>-2.4542769999999998E-2</v>
      </c>
      <c r="S7220">
        <v>3.0651700000000002</v>
      </c>
      <c r="T7220">
        <v>-0.4135083</v>
      </c>
      <c r="U7220">
        <v>-0.21266170000000001</v>
      </c>
      <c r="V7220">
        <v>5.3150009999999998E-2</v>
      </c>
      <c r="W7220">
        <v>0.13177139999999901</v>
      </c>
      <c r="X7220">
        <v>0.98985420000000002</v>
      </c>
      <c r="Y7220">
        <v>9.6852649999999998E-2</v>
      </c>
      <c r="Z7220">
        <v>-1.0369079999999999E-2</v>
      </c>
      <c r="AA7220">
        <v>0.99524469999999998</v>
      </c>
      <c r="AB7220">
        <v>22</v>
      </c>
      <c r="AC7220">
        <v>0.52349999999998398</v>
      </c>
      <c r="AD7220">
        <v>-0.100101</v>
      </c>
      <c r="AE7220">
        <v>-5.8199999999999301E-2</v>
      </c>
      <c r="AF7220">
        <v>7.0734995327288899E-2</v>
      </c>
      <c r="AG7220">
        <v>-0.100101</v>
      </c>
      <c r="AH7220">
        <v>0.50341960828459997</v>
      </c>
      <c r="AI7220">
        <v>101.13947704185099</v>
      </c>
      <c r="AJ7220">
        <v>82.001787602734495</v>
      </c>
      <c r="AK7220">
        <v>0.51812638590441595</v>
      </c>
      <c r="AL7220">
        <v>82.428033103732602</v>
      </c>
      <c r="AM7220">
        <v>86.926466879001893</v>
      </c>
      <c r="AN7220">
        <v>0.99999998133929902</v>
      </c>
    </row>
    <row r="7221" spans="1:40" x14ac:dyDescent="0.25">
      <c r="A7221" t="str">
        <f>"20190312164644431"</f>
        <v>20190312164644431</v>
      </c>
      <c r="B7221" t="str">
        <f>"1552380404427961"</f>
        <v>1552380404427961</v>
      </c>
      <c r="C7221" t="s">
        <v>40</v>
      </c>
      <c r="D7221">
        <v>5.7300519999999997</v>
      </c>
      <c r="E7221">
        <v>0.52641749999999998</v>
      </c>
      <c r="F7221" t="s">
        <v>41</v>
      </c>
      <c r="G7221">
        <v>-153.18770000000001</v>
      </c>
      <c r="H7221">
        <v>1.0135620000000001</v>
      </c>
      <c r="I7221">
        <v>137.9913</v>
      </c>
      <c r="J7221">
        <v>-153.68549999999999</v>
      </c>
      <c r="K7221">
        <v>1.109551</v>
      </c>
      <c r="L7221">
        <v>138.0513</v>
      </c>
      <c r="M7221">
        <v>0.99946919999999995</v>
      </c>
      <c r="N7221">
        <v>0</v>
      </c>
      <c r="O7221">
        <v>2.9105929999999999E-2</v>
      </c>
      <c r="P7221">
        <v>0.99243419999999904</v>
      </c>
      <c r="Q7221">
        <v>0.119760199999999</v>
      </c>
      <c r="R7221">
        <v>-2.7053420000000002E-2</v>
      </c>
      <c r="S7221">
        <v>3.0644840000000002</v>
      </c>
      <c r="T7221">
        <v>-0.40629670000000001</v>
      </c>
      <c r="U7221">
        <v>-0.2250366</v>
      </c>
      <c r="V7221">
        <v>5.5898580000000003E-2</v>
      </c>
      <c r="W7221">
        <v>0.1342691</v>
      </c>
      <c r="X7221">
        <v>0.98936710000000005</v>
      </c>
      <c r="Y7221">
        <v>0.1011025</v>
      </c>
      <c r="Z7221">
        <v>-1.05022E-2</v>
      </c>
      <c r="AA7221">
        <v>0.99482060000000005</v>
      </c>
      <c r="AB7221">
        <v>22</v>
      </c>
      <c r="AC7221">
        <v>0.49779999999998298</v>
      </c>
      <c r="AD7221">
        <v>-9.5988999999999797E-2</v>
      </c>
      <c r="AE7221">
        <v>-6.0000000000002197E-2</v>
      </c>
      <c r="AF7221">
        <v>7.1832428087461805E-2</v>
      </c>
      <c r="AG7221">
        <v>-9.5988999999999797E-2</v>
      </c>
      <c r="AH7221">
        <v>0.47831254448726501</v>
      </c>
      <c r="AI7221">
        <v>101.22490560919201</v>
      </c>
      <c r="AJ7221">
        <v>81.459212769460393</v>
      </c>
      <c r="AK7221">
        <v>0.49310919283645699</v>
      </c>
      <c r="AL7221">
        <v>82.283642774192202</v>
      </c>
      <c r="AM7221">
        <v>86.766264704015697</v>
      </c>
      <c r="AN7221">
        <v>1.00000005051161</v>
      </c>
    </row>
    <row r="7222" spans="1:40" x14ac:dyDescent="0.25">
      <c r="A7222" t="str">
        <f>"20190312164644454"</f>
        <v>20190312164644454</v>
      </c>
      <c r="B7222" t="str">
        <f>"1552380404448457"</f>
        <v>1552380404448457</v>
      </c>
      <c r="C7222" t="s">
        <v>40</v>
      </c>
      <c r="D7222">
        <v>5.680809</v>
      </c>
      <c r="E7222">
        <v>0.52556539999999996</v>
      </c>
      <c r="F7222" t="s">
        <v>41</v>
      </c>
      <c r="G7222">
        <v>-152.79130000000001</v>
      </c>
      <c r="H7222">
        <v>1.0162260000000001</v>
      </c>
      <c r="I7222">
        <v>137.9735</v>
      </c>
      <c r="J7222">
        <v>-153.4623</v>
      </c>
      <c r="K7222">
        <v>1.1095740000000001</v>
      </c>
      <c r="L7222">
        <v>138.0581</v>
      </c>
      <c r="M7222">
        <v>0.99945870000000003</v>
      </c>
      <c r="N7222">
        <v>0</v>
      </c>
      <c r="O7222">
        <v>2.9273939999999998E-2</v>
      </c>
      <c r="P7222">
        <v>0.99211300000000002</v>
      </c>
      <c r="Q7222">
        <v>0.1218998</v>
      </c>
      <c r="R7222">
        <v>-2.9199180000000002E-2</v>
      </c>
      <c r="S7222">
        <v>3.0540919999999998</v>
      </c>
      <c r="T7222">
        <v>-0.31871509999999997</v>
      </c>
      <c r="U7222">
        <v>-0.26589970000000002</v>
      </c>
      <c r="V7222">
        <v>5.8212519999999997E-2</v>
      </c>
      <c r="W7222">
        <v>0.1367806</v>
      </c>
      <c r="X7222">
        <v>0.98888949999999998</v>
      </c>
      <c r="Y7222">
        <v>0.11508649999999999</v>
      </c>
      <c r="Z7222">
        <v>-9.0194850000000007E-3</v>
      </c>
      <c r="AA7222">
        <v>0.99331449999999999</v>
      </c>
      <c r="AB7222">
        <v>22</v>
      </c>
      <c r="AC7222">
        <v>0.67099999999999205</v>
      </c>
      <c r="AD7222">
        <v>-9.3348E-2</v>
      </c>
      <c r="AE7222">
        <v>-8.4599999999994596E-2</v>
      </c>
      <c r="AF7222">
        <v>0.102260604689226</v>
      </c>
      <c r="AG7222">
        <v>-9.3348E-2</v>
      </c>
      <c r="AH7222">
        <v>0.65574300977352995</v>
      </c>
      <c r="AI7222">
        <v>98.006387371171002</v>
      </c>
      <c r="AJ7222">
        <v>81.136335465641494</v>
      </c>
      <c r="AK7222">
        <v>0.67020144377810298</v>
      </c>
      <c r="AL7222">
        <v>82.138404303987599</v>
      </c>
      <c r="AM7222">
        <v>86.631082551431007</v>
      </c>
      <c r="AN7222">
        <v>1.0000000366156701</v>
      </c>
    </row>
    <row r="7223" spans="1:40" x14ac:dyDescent="0.25">
      <c r="A7223" t="str">
        <f>"20190312164644475"</f>
        <v>20190312164644475</v>
      </c>
      <c r="B7223" t="str">
        <f>"1552380404467977"</f>
        <v>1552380404467977</v>
      </c>
      <c r="C7223" t="s">
        <v>40</v>
      </c>
      <c r="D7223">
        <v>5.6370950000000004</v>
      </c>
      <c r="E7223">
        <v>0.54086650000000003</v>
      </c>
      <c r="F7223" t="s">
        <v>41</v>
      </c>
      <c r="G7223">
        <v>-152.59309999999999</v>
      </c>
      <c r="H7223">
        <v>1.0216179999999999</v>
      </c>
      <c r="I7223">
        <v>137.98269999999999</v>
      </c>
      <c r="J7223">
        <v>-153.24770000000001</v>
      </c>
      <c r="K7223">
        <v>1.109599</v>
      </c>
      <c r="L7223">
        <v>138.06450000000001</v>
      </c>
      <c r="M7223">
        <v>0.9994497</v>
      </c>
      <c r="N7223">
        <v>0</v>
      </c>
      <c r="O7223">
        <v>2.9389040000000002E-2</v>
      </c>
      <c r="P7223">
        <v>0.99172059999999995</v>
      </c>
      <c r="Q7223">
        <v>0.12446459999999999</v>
      </c>
      <c r="R7223">
        <v>-3.1607070000000001E-2</v>
      </c>
      <c r="S7223">
        <v>3.0540470000000002</v>
      </c>
      <c r="T7223">
        <v>-0.30912050000000002</v>
      </c>
      <c r="U7223">
        <v>-0.26441959999999998</v>
      </c>
      <c r="V7223">
        <v>6.0731930000000003E-2</v>
      </c>
      <c r="W7223">
        <v>0.13968729999999999</v>
      </c>
      <c r="X7223">
        <v>0.98833150000000003</v>
      </c>
      <c r="Y7223">
        <v>0.1147715</v>
      </c>
      <c r="Z7223">
        <v>-8.7454159999999902E-3</v>
      </c>
      <c r="AA7223">
        <v>0.99335340000000005</v>
      </c>
      <c r="AB7223">
        <v>22</v>
      </c>
      <c r="AC7223">
        <v>0.65460000000001595</v>
      </c>
      <c r="AD7223">
        <v>-8.7980999999999795E-2</v>
      </c>
      <c r="AE7223">
        <v>-8.1800000000015402E-2</v>
      </c>
      <c r="AF7223">
        <v>9.9239845849349806E-2</v>
      </c>
      <c r="AG7223">
        <v>-8.7980999999999795E-2</v>
      </c>
      <c r="AH7223">
        <v>0.64052010207703602</v>
      </c>
      <c r="AI7223">
        <v>97.730034229197898</v>
      </c>
      <c r="AJ7223">
        <v>81.192828439908794</v>
      </c>
      <c r="AK7223">
        <v>0.65410641682373005</v>
      </c>
      <c r="AL7223">
        <v>81.970248198408996</v>
      </c>
      <c r="AM7223">
        <v>86.483656104745705</v>
      </c>
      <c r="AN7223">
        <v>1.0000000314975299</v>
      </c>
    </row>
    <row r="7224" spans="1:40" x14ac:dyDescent="0.25">
      <c r="A7224" t="str">
        <f>"20190312164644498"</f>
        <v>20190312164644498</v>
      </c>
      <c r="B7224" t="str">
        <f>"1552380404488474"</f>
        <v>1552380404488474</v>
      </c>
      <c r="C7224" t="s">
        <v>40</v>
      </c>
      <c r="D7224">
        <v>5.2856389999999998</v>
      </c>
      <c r="E7224">
        <v>0.54026779999999996</v>
      </c>
      <c r="F7224" t="s">
        <v>41</v>
      </c>
      <c r="G7224">
        <v>-152.4556</v>
      </c>
      <c r="H7224">
        <v>0.90035159999999903</v>
      </c>
      <c r="I7224">
        <v>137.97</v>
      </c>
      <c r="J7224">
        <v>-153.0318</v>
      </c>
      <c r="K7224">
        <v>1.109613</v>
      </c>
      <c r="L7224">
        <v>138.071</v>
      </c>
      <c r="M7224">
        <v>0.99944230000000001</v>
      </c>
      <c r="N7224">
        <v>0</v>
      </c>
      <c r="O7224">
        <v>2.946578E-2</v>
      </c>
      <c r="P7224">
        <v>0.99147779999999996</v>
      </c>
      <c r="Q7224">
        <v>0.12588269999999999</v>
      </c>
      <c r="R7224">
        <v>-3.3547939999999998E-2</v>
      </c>
      <c r="S7224">
        <v>3.1165470000000002</v>
      </c>
      <c r="T7224">
        <v>-0.82334599999999902</v>
      </c>
      <c r="U7224">
        <v>-0.37187189999999998</v>
      </c>
      <c r="V7224">
        <v>6.2749810000000003E-2</v>
      </c>
      <c r="W7224">
        <v>0.14142270000000001</v>
      </c>
      <c r="X7224">
        <v>0.98795860000000002</v>
      </c>
      <c r="Y7224">
        <v>0.14188889999999901</v>
      </c>
      <c r="Z7224">
        <v>-2.5995270000000001E-2</v>
      </c>
      <c r="AA7224">
        <v>0.98954120000000001</v>
      </c>
      <c r="AB7224">
        <v>22</v>
      </c>
      <c r="AC7224">
        <v>0.57620000000000005</v>
      </c>
      <c r="AD7224">
        <v>-0.20926139999999999</v>
      </c>
      <c r="AE7224">
        <v>-0.10099999999999899</v>
      </c>
      <c r="AF7224">
        <v>0.104556866686526</v>
      </c>
      <c r="AG7224">
        <v>-0.20926139999999999</v>
      </c>
      <c r="AH7224">
        <v>0.507971163597012</v>
      </c>
      <c r="AI7224">
        <v>111.973902539642</v>
      </c>
      <c r="AJ7224">
        <v>78.369117910038497</v>
      </c>
      <c r="AK7224">
        <v>0.55924697133499701</v>
      </c>
      <c r="AL7224">
        <v>81.869820338978698</v>
      </c>
      <c r="AM7224">
        <v>86.365762350639301</v>
      </c>
      <c r="AN7224">
        <v>1.0000000570221399</v>
      </c>
    </row>
    <row r="7225" spans="1:40" x14ac:dyDescent="0.25">
      <c r="A7225" t="str">
        <f>"20190312164644520"</f>
        <v>20190312164644520</v>
      </c>
      <c r="B7225" t="str">
        <f>"1552380404507994"</f>
        <v>1552380404507994</v>
      </c>
      <c r="C7225" t="s">
        <v>40</v>
      </c>
      <c r="D7225">
        <v>5.7064320000000004</v>
      </c>
      <c r="E7225">
        <v>0.52367050000000004</v>
      </c>
      <c r="F7225" t="s">
        <v>41</v>
      </c>
      <c r="G7225">
        <v>-152.2603</v>
      </c>
      <c r="H7225">
        <v>0.90460459999999998</v>
      </c>
      <c r="I7225">
        <v>137.97890000000001</v>
      </c>
      <c r="J7225">
        <v>-152.81700000000001</v>
      </c>
      <c r="K7225">
        <v>1.1096200000000001</v>
      </c>
      <c r="L7225">
        <v>138.07740000000001</v>
      </c>
      <c r="M7225">
        <v>0.9994362</v>
      </c>
      <c r="N7225">
        <v>0</v>
      </c>
      <c r="O7225">
        <v>2.9509000000000001E-2</v>
      </c>
      <c r="P7225">
        <v>0.99138859999999995</v>
      </c>
      <c r="Q7225">
        <v>0.12612329999999999</v>
      </c>
      <c r="R7225">
        <v>-3.5243240000000002E-2</v>
      </c>
      <c r="S7225">
        <v>3.1184080000000001</v>
      </c>
      <c r="T7225">
        <v>-0.82874020000000004</v>
      </c>
      <c r="U7225">
        <v>-0.37214659999999999</v>
      </c>
      <c r="V7225">
        <v>6.4491980000000004E-2</v>
      </c>
      <c r="W7225">
        <v>0.1419675</v>
      </c>
      <c r="X7225">
        <v>0.98776819999999999</v>
      </c>
      <c r="Y7225">
        <v>0.14187900000000001</v>
      </c>
      <c r="Z7225">
        <v>-2.615483E-2</v>
      </c>
      <c r="AA7225">
        <v>0.98953840000000004</v>
      </c>
      <c r="AB7225">
        <v>22</v>
      </c>
      <c r="AC7225">
        <v>0.55670000000000597</v>
      </c>
      <c r="AD7225">
        <v>-0.20501539999999999</v>
      </c>
      <c r="AE7225">
        <v>-9.8500000000001295E-2</v>
      </c>
      <c r="AF7225">
        <v>0.101534541581842</v>
      </c>
      <c r="AG7225">
        <v>-0.20501539999999999</v>
      </c>
      <c r="AH7225">
        <v>0.48921604276193797</v>
      </c>
      <c r="AI7225">
        <v>112.30957003587901</v>
      </c>
      <c r="AJ7225">
        <v>78.274984941676294</v>
      </c>
      <c r="AK7225">
        <v>0.54006750862002895</v>
      </c>
      <c r="AL7225">
        <v>81.838286989476501</v>
      </c>
      <c r="AM7225">
        <v>86.264426146403196</v>
      </c>
      <c r="AN7225">
        <v>1.0000000017359001</v>
      </c>
    </row>
    <row r="7226" spans="1:40" x14ac:dyDescent="0.25">
      <c r="A7226" t="str">
        <f>"20190312164644543"</f>
        <v>20190312164644543</v>
      </c>
      <c r="B7226" t="str">
        <f>"1552380404538250"</f>
        <v>1552380404538250</v>
      </c>
      <c r="C7226" t="s">
        <v>40</v>
      </c>
      <c r="D7226">
        <v>5.4389260000000004</v>
      </c>
      <c r="E7226">
        <v>0.52332780000000001</v>
      </c>
      <c r="F7226" t="s">
        <v>41</v>
      </c>
      <c r="G7226">
        <v>-152.012</v>
      </c>
      <c r="H7226">
        <v>1.0221499999999999</v>
      </c>
      <c r="I7226">
        <v>138.0077</v>
      </c>
      <c r="J7226">
        <v>-152.6027</v>
      </c>
      <c r="K7226">
        <v>1.109639</v>
      </c>
      <c r="L7226">
        <v>138.0838</v>
      </c>
      <c r="M7226">
        <v>0.99943040000000005</v>
      </c>
      <c r="N7226">
        <v>0</v>
      </c>
      <c r="O7226">
        <v>2.952548E-2</v>
      </c>
      <c r="P7226">
        <v>0.99128400000000005</v>
      </c>
      <c r="Q7226">
        <v>0.1263561</v>
      </c>
      <c r="R7226">
        <v>-3.7285209999999999E-2</v>
      </c>
      <c r="S7226">
        <v>3.0589599999999999</v>
      </c>
      <c r="T7226">
        <v>-0.33245540000000001</v>
      </c>
      <c r="U7226">
        <v>-0.26463320000000001</v>
      </c>
      <c r="V7226">
        <v>6.6552959999999994E-2</v>
      </c>
      <c r="W7226">
        <v>0.14251449999999999</v>
      </c>
      <c r="X7226">
        <v>0.98755269999999995</v>
      </c>
      <c r="Y7226">
        <v>0.1147272</v>
      </c>
      <c r="Z7226">
        <v>-9.3992950000000002E-3</v>
      </c>
      <c r="AA7226">
        <v>0.99335260000000003</v>
      </c>
      <c r="AB7226">
        <v>22</v>
      </c>
      <c r="AC7226">
        <v>0.590699999999998</v>
      </c>
      <c r="AD7226">
        <v>-8.7489000000000094E-2</v>
      </c>
      <c r="AE7226">
        <v>-7.6099999999996698E-2</v>
      </c>
      <c r="AF7226">
        <v>9.1534651380192095E-2</v>
      </c>
      <c r="AG7226">
        <v>-8.7489000000000094E-2</v>
      </c>
      <c r="AH7226">
        <v>0.57577086186384097</v>
      </c>
      <c r="AI7226">
        <v>98.534493300680296</v>
      </c>
      <c r="AJ7226">
        <v>80.966850966231704</v>
      </c>
      <c r="AK7226">
        <v>0.58952947584978599</v>
      </c>
      <c r="AL7226">
        <v>81.806624298137805</v>
      </c>
      <c r="AM7226">
        <v>86.144563576823302</v>
      </c>
      <c r="AN7226">
        <v>1.0000000072361499</v>
      </c>
    </row>
    <row r="7227" spans="1:40" x14ac:dyDescent="0.25">
      <c r="A7227" t="str">
        <f>"20190312164644566"</f>
        <v>20190312164644566</v>
      </c>
      <c r="B7227" t="str">
        <f>"1552380404558008"</f>
        <v>1552380404558008</v>
      </c>
      <c r="C7227" t="s">
        <v>40</v>
      </c>
      <c r="D7227">
        <v>5.5862990000000003</v>
      </c>
      <c r="E7227">
        <v>0.52365309999999998</v>
      </c>
      <c r="F7227" t="s">
        <v>41</v>
      </c>
      <c r="G7227">
        <v>-151.81950000000001</v>
      </c>
      <c r="H7227">
        <v>1.02403</v>
      </c>
      <c r="I7227">
        <v>138.0153</v>
      </c>
      <c r="J7227">
        <v>-152.37299999999999</v>
      </c>
      <c r="K7227">
        <v>1.1096680000000001</v>
      </c>
      <c r="L7227">
        <v>138.09059999999999</v>
      </c>
      <c r="M7227">
        <v>0.9994246</v>
      </c>
      <c r="N7227">
        <v>0</v>
      </c>
      <c r="O7227">
        <v>2.9521809999999999E-2</v>
      </c>
      <c r="P7227">
        <v>0.99106689999999997</v>
      </c>
      <c r="Q7227">
        <v>0.12761589999999901</v>
      </c>
      <c r="R7227">
        <v>-3.874093E-2</v>
      </c>
      <c r="S7227">
        <v>3.0589599999999999</v>
      </c>
      <c r="T7227">
        <v>-0.33443919999999999</v>
      </c>
      <c r="U7227">
        <v>-0.26716610000000002</v>
      </c>
      <c r="V7227">
        <v>6.8003510000000003E-2</v>
      </c>
      <c r="W7227">
        <v>0.1441209</v>
      </c>
      <c r="X7227">
        <v>0.98722069999999995</v>
      </c>
      <c r="Y7227">
        <v>0.1155253</v>
      </c>
      <c r="Z7227">
        <v>-9.4977629999999993E-3</v>
      </c>
      <c r="AA7227">
        <v>0.99325909999999995</v>
      </c>
      <c r="AB7227">
        <v>22</v>
      </c>
      <c r="AC7227">
        <v>0.553499999999985</v>
      </c>
      <c r="AD7227">
        <v>-8.5638000000000103E-2</v>
      </c>
      <c r="AE7227">
        <v>-7.5299999999998493E-2</v>
      </c>
      <c r="AF7227">
        <v>8.9506061535340103E-2</v>
      </c>
      <c r="AG7227">
        <v>-8.5638000000000103E-2</v>
      </c>
      <c r="AH7227">
        <v>0.53838150430501197</v>
      </c>
      <c r="AI7227">
        <v>98.917679376141905</v>
      </c>
      <c r="AJ7227">
        <v>80.5608932487891</v>
      </c>
      <c r="AK7227">
        <v>0.55244895354529899</v>
      </c>
      <c r="AL7227">
        <v>81.713624314085394</v>
      </c>
      <c r="AM7227">
        <v>86.059473874569505</v>
      </c>
      <c r="AN7227">
        <v>1.0000000108488101</v>
      </c>
    </row>
    <row r="7228" spans="1:40" x14ac:dyDescent="0.25">
      <c r="A7228" t="str">
        <f>"20190312164644589"</f>
        <v>20190312164644589</v>
      </c>
      <c r="B7228" t="str">
        <f>"1552380404578504"</f>
        <v>1552380404578504</v>
      </c>
      <c r="C7228" t="s">
        <v>40</v>
      </c>
      <c r="D7228">
        <v>5.3988620000000003</v>
      </c>
      <c r="E7228">
        <v>0.52351219999999998</v>
      </c>
      <c r="F7228" t="s">
        <v>41</v>
      </c>
      <c r="G7228">
        <v>-151.6276</v>
      </c>
      <c r="H7228">
        <v>1.0271950000000001</v>
      </c>
      <c r="I7228">
        <v>138.024</v>
      </c>
      <c r="J7228">
        <v>-152.16540000000001</v>
      </c>
      <c r="K7228">
        <v>1.109718</v>
      </c>
      <c r="L7228">
        <v>138.0967</v>
      </c>
      <c r="M7228">
        <v>0.99941800000000003</v>
      </c>
      <c r="N7228">
        <v>0</v>
      </c>
      <c r="O7228">
        <v>2.9506629999999999E-2</v>
      </c>
      <c r="P7228">
        <v>0.99086479999999999</v>
      </c>
      <c r="Q7228">
        <v>0.12868669999999999</v>
      </c>
      <c r="R7228">
        <v>-4.0337329999999998E-2</v>
      </c>
      <c r="S7228">
        <v>3.0599210000000001</v>
      </c>
      <c r="T7228">
        <v>-0.33857549999999997</v>
      </c>
      <c r="U7228">
        <v>-0.27334589999999998</v>
      </c>
      <c r="V7228">
        <v>6.9581539999999997E-2</v>
      </c>
      <c r="W7228">
        <v>0.14560100000000001</v>
      </c>
      <c r="X7228">
        <v>0.98689349999999998</v>
      </c>
      <c r="Y7228">
        <v>0.11744159999999999</v>
      </c>
      <c r="Z7228">
        <v>-9.7145489999999994E-3</v>
      </c>
      <c r="AA7228">
        <v>0.99303229999999998</v>
      </c>
      <c r="AB7228">
        <v>21</v>
      </c>
      <c r="AC7228">
        <v>0.53780000000000405</v>
      </c>
      <c r="AD7228">
        <v>-8.2522999999999902E-2</v>
      </c>
      <c r="AE7228">
        <v>-7.2699999999997503E-2</v>
      </c>
      <c r="AF7228">
        <v>8.6538303258427401E-2</v>
      </c>
      <c r="AG7228">
        <v>-8.2522999999999902E-2</v>
      </c>
      <c r="AH7228">
        <v>0.52331960765555696</v>
      </c>
      <c r="AI7228">
        <v>98.843102141264495</v>
      </c>
      <c r="AJ7228">
        <v>80.610304685292107</v>
      </c>
      <c r="AK7228">
        <v>0.53680754020096799</v>
      </c>
      <c r="AL7228">
        <v>81.6279167845872</v>
      </c>
      <c r="AM7228">
        <v>85.966999335058603</v>
      </c>
      <c r="AN7228">
        <v>1.0000000111260099</v>
      </c>
    </row>
    <row r="7229" spans="1:40" x14ac:dyDescent="0.25">
      <c r="A7229" t="str">
        <f>"20190312164644609"</f>
        <v>20190312164644609</v>
      </c>
      <c r="B7229" t="str">
        <f>"1552380404598023"</f>
        <v>1552380404598023</v>
      </c>
      <c r="C7229" t="s">
        <v>40</v>
      </c>
      <c r="D7229">
        <v>6.3140499999999999</v>
      </c>
      <c r="E7229">
        <v>0.52395259999999999</v>
      </c>
      <c r="F7229" t="s">
        <v>41</v>
      </c>
      <c r="G7229">
        <v>-151.43809999999999</v>
      </c>
      <c r="H7229">
        <v>1.0285200000000001</v>
      </c>
      <c r="I7229">
        <v>138.03100000000001</v>
      </c>
      <c r="J7229">
        <v>-151.97020000000001</v>
      </c>
      <c r="K7229">
        <v>1.109761</v>
      </c>
      <c r="L7229">
        <v>138.10249999999999</v>
      </c>
      <c r="M7229">
        <v>0.99941239999999998</v>
      </c>
      <c r="N7229">
        <v>0</v>
      </c>
      <c r="O7229">
        <v>2.9485750000000002E-2</v>
      </c>
      <c r="P7229">
        <v>0.99079079999999997</v>
      </c>
      <c r="Q7229">
        <v>0.1290086</v>
      </c>
      <c r="R7229">
        <v>-4.1117109999999998E-2</v>
      </c>
      <c r="S7229">
        <v>3.0608059999999999</v>
      </c>
      <c r="T7229">
        <v>-0.34182439999999997</v>
      </c>
      <c r="U7229">
        <v>-0.27616879999999999</v>
      </c>
      <c r="V7229">
        <v>7.0339100000000002E-2</v>
      </c>
      <c r="W7229">
        <v>0.146278399999999</v>
      </c>
      <c r="X7229">
        <v>0.98673960000000005</v>
      </c>
      <c r="Y7229">
        <v>0.1182825</v>
      </c>
      <c r="Z7229">
        <v>-9.8484179999999994E-3</v>
      </c>
      <c r="AA7229">
        <v>0.99293109999999996</v>
      </c>
      <c r="AB7229">
        <v>21</v>
      </c>
      <c r="AC7229">
        <v>0.53210000000001401</v>
      </c>
      <c r="AD7229">
        <v>-8.1240999999999897E-2</v>
      </c>
      <c r="AE7229">
        <v>-7.1499999999986102E-2</v>
      </c>
      <c r="AF7229">
        <v>8.5209561804407599E-2</v>
      </c>
      <c r="AG7229">
        <v>-8.1240999999999897E-2</v>
      </c>
      <c r="AH7229">
        <v>0.51790126073767595</v>
      </c>
      <c r="AI7229">
        <v>98.798692476072006</v>
      </c>
      <c r="AJ7229">
        <v>80.656911100230403</v>
      </c>
      <c r="AK7229">
        <v>0.53111438069174299</v>
      </c>
      <c r="AL7229">
        <v>81.588684478276306</v>
      </c>
      <c r="AM7229">
        <v>85.922604118179095</v>
      </c>
      <c r="AN7229">
        <v>0.99999999875176504</v>
      </c>
    </row>
    <row r="7230" spans="1:40" x14ac:dyDescent="0.25">
      <c r="A7230" t="str">
        <f>"20190312164644632"</f>
        <v>20190312164644632</v>
      </c>
      <c r="B7230" t="str">
        <f>"1552380404628279"</f>
        <v>1552380404628279</v>
      </c>
      <c r="C7230" t="s">
        <v>40</v>
      </c>
      <c r="D7230">
        <v>4.5493819999999996</v>
      </c>
      <c r="E7230">
        <v>0.52416490000000004</v>
      </c>
      <c r="F7230" t="s">
        <v>41</v>
      </c>
      <c r="G7230">
        <v>-151.0737</v>
      </c>
      <c r="H7230">
        <v>1.007088</v>
      </c>
      <c r="I7230">
        <v>138.01990000000001</v>
      </c>
      <c r="J7230">
        <v>-151.76050000000001</v>
      </c>
      <c r="K7230">
        <v>1.10978</v>
      </c>
      <c r="L7230">
        <v>138.1086</v>
      </c>
      <c r="M7230">
        <v>0.99940819999999997</v>
      </c>
      <c r="N7230">
        <v>0</v>
      </c>
      <c r="O7230">
        <v>2.946093E-2</v>
      </c>
      <c r="P7230">
        <v>0.99082780000000004</v>
      </c>
      <c r="Q7230">
        <v>0.1285191</v>
      </c>
      <c r="R7230">
        <v>-4.1754340000000001E-2</v>
      </c>
      <c r="S7230">
        <v>3.061874</v>
      </c>
      <c r="T7230">
        <v>-0.3507499</v>
      </c>
      <c r="U7230">
        <v>-0.28152470000000002</v>
      </c>
      <c r="V7230">
        <v>7.0951340000000002E-2</v>
      </c>
      <c r="W7230">
        <v>0.14605850000000001</v>
      </c>
      <c r="X7230">
        <v>0.9867283</v>
      </c>
      <c r="Y7230">
        <v>0.11989180000000001</v>
      </c>
      <c r="Z7230">
        <v>-1.0188539999999999E-2</v>
      </c>
      <c r="AA7230">
        <v>0.99273469999999997</v>
      </c>
      <c r="AB7230">
        <v>21</v>
      </c>
      <c r="AC7230">
        <v>0.68680000000000496</v>
      </c>
      <c r="AD7230">
        <v>-0.10269200000000001</v>
      </c>
      <c r="AE7230">
        <v>-8.8699999999988594E-2</v>
      </c>
      <c r="AF7230">
        <v>0.10655527515956</v>
      </c>
      <c r="AG7230">
        <v>-0.10269200000000001</v>
      </c>
      <c r="AH7230">
        <v>0.66917296669613202</v>
      </c>
      <c r="AI7230">
        <v>98.617698523435706</v>
      </c>
      <c r="AJ7230">
        <v>80.952505636561995</v>
      </c>
      <c r="AK7230">
        <v>0.68534088808798799</v>
      </c>
      <c r="AL7230">
        <v>81.601420265570397</v>
      </c>
      <c r="AM7230">
        <v>85.887188297277206</v>
      </c>
      <c r="AN7230">
        <v>0.99999995804546604</v>
      </c>
    </row>
    <row r="7231" spans="1:40" x14ac:dyDescent="0.25">
      <c r="A7231" t="str">
        <f>"20190312164644655"</f>
        <v>20190312164644655</v>
      </c>
      <c r="B7231" t="str">
        <f>"1552380404648195"</f>
        <v>1552380404648195</v>
      </c>
      <c r="C7231" t="s">
        <v>40</v>
      </c>
      <c r="D7231">
        <v>5.3224980000000004</v>
      </c>
      <c r="E7231">
        <v>0.52387399999999995</v>
      </c>
      <c r="F7231" t="s">
        <v>41</v>
      </c>
      <c r="G7231">
        <v>-150.8886</v>
      </c>
      <c r="H7231">
        <v>1.0067090000000001</v>
      </c>
      <c r="I7231">
        <v>138.0275</v>
      </c>
      <c r="J7231">
        <v>-151.55179999999999</v>
      </c>
      <c r="K7231">
        <v>1.1097950000000001</v>
      </c>
      <c r="L7231">
        <v>138.1147</v>
      </c>
      <c r="M7231">
        <v>0.99940439999999997</v>
      </c>
      <c r="N7231">
        <v>0</v>
      </c>
      <c r="O7231">
        <v>2.9440319999999999E-2</v>
      </c>
      <c r="P7231">
        <v>0.99089229999999995</v>
      </c>
      <c r="Q7231">
        <v>0.1280104</v>
      </c>
      <c r="R7231">
        <v>-4.1785170000000003E-2</v>
      </c>
      <c r="S7231">
        <v>3.0627589999999998</v>
      </c>
      <c r="T7231">
        <v>-0.36213420000000002</v>
      </c>
      <c r="U7231">
        <v>-0.28469850000000002</v>
      </c>
      <c r="V7231">
        <v>7.0961529999999995E-2</v>
      </c>
      <c r="W7231">
        <v>0.145793899999999</v>
      </c>
      <c r="X7231">
        <v>0.98676680000000005</v>
      </c>
      <c r="Y7231">
        <v>0.12079620000000001</v>
      </c>
      <c r="Z7231">
        <v>-1.0564270000000001E-2</v>
      </c>
      <c r="AA7231">
        <v>0.99262110000000003</v>
      </c>
      <c r="AB7231">
        <v>21</v>
      </c>
      <c r="AC7231">
        <v>0.66319999999998902</v>
      </c>
      <c r="AD7231">
        <v>-0.103085999999999</v>
      </c>
      <c r="AE7231">
        <v>-8.7199999999995698E-2</v>
      </c>
      <c r="AF7231">
        <v>0.104215051586508</v>
      </c>
      <c r="AG7231">
        <v>-0.103085999999999</v>
      </c>
      <c r="AH7231">
        <v>0.64502537191231502</v>
      </c>
      <c r="AI7231">
        <v>98.965709715913405</v>
      </c>
      <c r="AJ7231">
        <v>80.822182572140093</v>
      </c>
      <c r="AK7231">
        <v>0.66147201814120604</v>
      </c>
      <c r="AL7231">
        <v>81.616745621750695</v>
      </c>
      <c r="AM7231">
        <v>85.886759583330303</v>
      </c>
      <c r="AN7231">
        <v>1.00000005879969</v>
      </c>
    </row>
    <row r="7232" spans="1:40" x14ac:dyDescent="0.25">
      <c r="A7232" t="str">
        <f>"20190312164644676"</f>
        <v>20190312164644676</v>
      </c>
      <c r="B7232" t="str">
        <f>"1552380404668691"</f>
        <v>1552380404668691</v>
      </c>
      <c r="C7232" t="s">
        <v>40</v>
      </c>
      <c r="D7232">
        <v>6.0583179999999999</v>
      </c>
      <c r="E7232">
        <v>0.52385170000000003</v>
      </c>
      <c r="F7232" t="s">
        <v>41</v>
      </c>
      <c r="G7232">
        <v>-150.70400000000001</v>
      </c>
      <c r="H7232">
        <v>1.0080119999999999</v>
      </c>
      <c r="I7232">
        <v>138.03649999999999</v>
      </c>
      <c r="J7232">
        <v>-151.34700000000001</v>
      </c>
      <c r="K7232">
        <v>1.1098239999999999</v>
      </c>
      <c r="L7232">
        <v>138.1207</v>
      </c>
      <c r="M7232">
        <v>0.99939979999999995</v>
      </c>
      <c r="N7232">
        <v>0</v>
      </c>
      <c r="O7232">
        <v>2.9426500000000001E-2</v>
      </c>
      <c r="P7232">
        <v>0.99094490000000002</v>
      </c>
      <c r="Q7232">
        <v>0.12767149999999999</v>
      </c>
      <c r="R7232">
        <v>-4.1574260000000002E-2</v>
      </c>
      <c r="S7232">
        <v>3.0632169999999999</v>
      </c>
      <c r="T7232">
        <v>-0.36783979999999999</v>
      </c>
      <c r="U7232">
        <v>-0.28239439999999999</v>
      </c>
      <c r="V7232">
        <v>7.0736069999999998E-2</v>
      </c>
      <c r="W7232">
        <v>0.14572360000000001</v>
      </c>
      <c r="X7232">
        <v>0.98679329999999998</v>
      </c>
      <c r="Y7232">
        <v>0.1200017</v>
      </c>
      <c r="Z7232">
        <v>-1.067925E-2</v>
      </c>
      <c r="AA7232">
        <v>0.9927163</v>
      </c>
      <c r="AB7232">
        <v>21</v>
      </c>
      <c r="AC7232">
        <v>0.64300000000000002</v>
      </c>
      <c r="AD7232">
        <v>-0.101811999999999</v>
      </c>
      <c r="AE7232">
        <v>-8.4200000000009795E-2</v>
      </c>
      <c r="AF7232">
        <v>0.10060807900242</v>
      </c>
      <c r="AG7232">
        <v>-0.101811999999999</v>
      </c>
      <c r="AH7232">
        <v>0.62484185929829605</v>
      </c>
      <c r="AI7232">
        <v>99.138788575253102</v>
      </c>
      <c r="AJ7232">
        <v>80.853102921568905</v>
      </c>
      <c r="AK7232">
        <v>0.64102653458020697</v>
      </c>
      <c r="AL7232">
        <v>81.6208163994241</v>
      </c>
      <c r="AM7232">
        <v>85.899893321983697</v>
      </c>
      <c r="AN7232">
        <v>0.99999998806044699</v>
      </c>
    </row>
    <row r="7233" spans="1:40" x14ac:dyDescent="0.25">
      <c r="A7233" t="str">
        <f>"20190312164644698"</f>
        <v>20190312164644698</v>
      </c>
      <c r="B7233" t="str">
        <f>"1552380404688211"</f>
        <v>1552380404688211</v>
      </c>
      <c r="C7233" t="s">
        <v>40</v>
      </c>
      <c r="D7233">
        <v>5.3120979999999998</v>
      </c>
      <c r="E7233">
        <v>0.52382949999999995</v>
      </c>
      <c r="F7233" t="s">
        <v>41</v>
      </c>
      <c r="G7233">
        <v>-150.52099999999999</v>
      </c>
      <c r="H7233">
        <v>1.009109</v>
      </c>
      <c r="I7233">
        <v>138.04480000000001</v>
      </c>
      <c r="J7233">
        <v>-151.14859999999999</v>
      </c>
      <c r="K7233">
        <v>1.1098600000000001</v>
      </c>
      <c r="L7233">
        <v>138.1266</v>
      </c>
      <c r="M7233">
        <v>0.99939520000000004</v>
      </c>
      <c r="N7233">
        <v>0</v>
      </c>
      <c r="O7233">
        <v>2.9417229999999999E-2</v>
      </c>
      <c r="P7233">
        <v>0.99095120000000003</v>
      </c>
      <c r="Q7233">
        <v>0.12779069999999901</v>
      </c>
      <c r="R7233">
        <v>-4.1055929999999997E-2</v>
      </c>
      <c r="S7233">
        <v>3.063736</v>
      </c>
      <c r="T7233">
        <v>-0.37363210000000002</v>
      </c>
      <c r="U7233">
        <v>-0.28128049999999999</v>
      </c>
      <c r="V7233">
        <v>7.0207160000000005E-2</v>
      </c>
      <c r="W7233">
        <v>0.14611379999999999</v>
      </c>
      <c r="X7233">
        <v>0.98677340000000002</v>
      </c>
      <c r="Y7233">
        <v>0.1195891</v>
      </c>
      <c r="Z7233">
        <v>-1.081843E-2</v>
      </c>
      <c r="AA7233">
        <v>0.99276450000000005</v>
      </c>
      <c r="AB7233">
        <v>21</v>
      </c>
      <c r="AC7233">
        <v>0.62759999999997196</v>
      </c>
      <c r="AD7233">
        <v>-0.10075099999999999</v>
      </c>
      <c r="AE7233">
        <v>-8.1799999999986994E-2</v>
      </c>
      <c r="AF7233">
        <v>9.7752896978440099E-2</v>
      </c>
      <c r="AG7233">
        <v>-0.10075099999999999</v>
      </c>
      <c r="AH7233">
        <v>0.60947703086805305</v>
      </c>
      <c r="AI7233">
        <v>99.270142811301199</v>
      </c>
      <c r="AJ7233">
        <v>80.888039829401805</v>
      </c>
      <c r="AK7233">
        <v>0.62543476400374098</v>
      </c>
      <c r="AL7233">
        <v>81.5982179340171</v>
      </c>
      <c r="AM7233">
        <v>85.930365586613206</v>
      </c>
      <c r="AN7233">
        <v>1.00000001540663</v>
      </c>
    </row>
    <row r="7234" spans="1:40" x14ac:dyDescent="0.25">
      <c r="A7234" t="str">
        <f>"20190312164644720"</f>
        <v>20190312164644720</v>
      </c>
      <c r="B7234" t="str">
        <f>"1552380404708708"</f>
        <v>1552380404708708</v>
      </c>
      <c r="C7234" t="s">
        <v>40</v>
      </c>
      <c r="D7234">
        <v>5.5279109999999996</v>
      </c>
      <c r="E7234">
        <v>0.52393940000000006</v>
      </c>
      <c r="F7234" t="s">
        <v>41</v>
      </c>
      <c r="G7234">
        <v>-150.33930000000001</v>
      </c>
      <c r="H7234">
        <v>1.0102089999999999</v>
      </c>
      <c r="I7234">
        <v>138.05269999999999</v>
      </c>
      <c r="J7234">
        <v>-150.94799999999901</v>
      </c>
      <c r="K7234">
        <v>1.10989</v>
      </c>
      <c r="L7234">
        <v>138.13249999999999</v>
      </c>
      <c r="M7234">
        <v>0.99939069999999997</v>
      </c>
      <c r="N7234">
        <v>0</v>
      </c>
      <c r="O7234">
        <v>2.9408900000000002E-2</v>
      </c>
      <c r="P7234">
        <v>0.99086960000000002</v>
      </c>
      <c r="Q7234">
        <v>0.1286487</v>
      </c>
      <c r="R7234">
        <v>-4.0336110000000001E-2</v>
      </c>
      <c r="S7234">
        <v>3.0644990000000001</v>
      </c>
      <c r="T7234">
        <v>-0.37738699999999997</v>
      </c>
      <c r="U7234">
        <v>-0.27925109999999997</v>
      </c>
      <c r="V7234">
        <v>6.9476309999999999E-2</v>
      </c>
      <c r="W7234">
        <v>0.1472203</v>
      </c>
      <c r="X7234">
        <v>0.98666069999999995</v>
      </c>
      <c r="Y7234">
        <v>0.1188902</v>
      </c>
      <c r="Z7234">
        <v>-1.088018E-2</v>
      </c>
      <c r="AA7234">
        <v>0.99284779999999995</v>
      </c>
      <c r="AB7234">
        <v>20</v>
      </c>
      <c r="AC7234">
        <v>0.60869999999997004</v>
      </c>
      <c r="AD7234">
        <v>-9.9681000000000103E-2</v>
      </c>
      <c r="AE7234">
        <v>-7.9800000000005797E-2</v>
      </c>
      <c r="AF7234">
        <v>9.5160973380360003E-2</v>
      </c>
      <c r="AG7234">
        <v>-9.9681000000000103E-2</v>
      </c>
      <c r="AH7234">
        <v>0.59052067279199605</v>
      </c>
      <c r="AI7234">
        <v>99.461498766529203</v>
      </c>
      <c r="AJ7234">
        <v>80.845624690097395</v>
      </c>
      <c r="AK7234">
        <v>0.60638814105357397</v>
      </c>
      <c r="AL7234">
        <v>81.534127410676703</v>
      </c>
      <c r="AM7234">
        <v>85.972131453016502</v>
      </c>
      <c r="AN7234">
        <v>1.0000000556538899</v>
      </c>
    </row>
    <row r="7235" spans="1:40" x14ac:dyDescent="0.25">
      <c r="A7235" t="str">
        <f>"20190312164644743"</f>
        <v>20190312164644743</v>
      </c>
      <c r="B7235" t="str">
        <f>"1552380404737987"</f>
        <v>1552380404737987</v>
      </c>
      <c r="C7235" t="s">
        <v>40</v>
      </c>
      <c r="D7235">
        <v>5.7256489999999998</v>
      </c>
      <c r="E7235">
        <v>0.52393619999999996</v>
      </c>
      <c r="F7235" t="s">
        <v>41</v>
      </c>
      <c r="G7235">
        <v>-150.1585</v>
      </c>
      <c r="H7235">
        <v>1.0122</v>
      </c>
      <c r="I7235">
        <v>138.06110000000001</v>
      </c>
      <c r="J7235">
        <v>-150.745</v>
      </c>
      <c r="K7235">
        <v>1.109909</v>
      </c>
      <c r="L7235">
        <v>138.13839999999999</v>
      </c>
      <c r="M7235">
        <v>0.99938680000000002</v>
      </c>
      <c r="N7235">
        <v>0</v>
      </c>
      <c r="O7235">
        <v>2.9396680000000001E-2</v>
      </c>
      <c r="P7235">
        <v>0.99068179999999995</v>
      </c>
      <c r="Q7235">
        <v>0.13020889999999999</v>
      </c>
      <c r="R7235">
        <v>-3.9939339999999997E-2</v>
      </c>
      <c r="S7235">
        <v>3.065598</v>
      </c>
      <c r="T7235">
        <v>-0.37931379999999998</v>
      </c>
      <c r="U7235">
        <v>-0.27719120000000003</v>
      </c>
      <c r="V7235">
        <v>6.9062429999999994E-2</v>
      </c>
      <c r="W7235">
        <v>0.14900050000000001</v>
      </c>
      <c r="X7235">
        <v>0.98642240000000003</v>
      </c>
      <c r="Y7235">
        <v>0.1181792</v>
      </c>
      <c r="Z7235">
        <v>-1.088654E-2</v>
      </c>
      <c r="AA7235">
        <v>0.99293260000000005</v>
      </c>
      <c r="AB7235">
        <v>20</v>
      </c>
      <c r="AC7235">
        <v>0.58650000000000002</v>
      </c>
      <c r="AD7235">
        <v>-9.7709000000000004E-2</v>
      </c>
      <c r="AE7235">
        <v>-7.7299999999979704E-2</v>
      </c>
      <c r="AF7235">
        <v>9.2001011799881793E-2</v>
      </c>
      <c r="AG7235">
        <v>-9.7709000000000004E-2</v>
      </c>
      <c r="AH7235">
        <v>0.56846558512141199</v>
      </c>
      <c r="AI7235">
        <v>99.629905262105794</v>
      </c>
      <c r="AJ7235">
        <v>80.806906762301494</v>
      </c>
      <c r="AK7235">
        <v>0.58409276345511296</v>
      </c>
      <c r="AL7235">
        <v>81.430991128839807</v>
      </c>
      <c r="AM7235">
        <v>85.995083620921903</v>
      </c>
      <c r="AN7235">
        <v>0.99999995972975597</v>
      </c>
    </row>
    <row r="7236" spans="1:40" x14ac:dyDescent="0.25">
      <c r="A7236" t="str">
        <f>"20190312164644765"</f>
        <v>20190312164644765</v>
      </c>
      <c r="B7236" t="str">
        <f>"1552380404758015"</f>
        <v>1552380404758015</v>
      </c>
      <c r="C7236" t="s">
        <v>40</v>
      </c>
      <c r="D7236">
        <v>5.9428419999999997</v>
      </c>
      <c r="E7236">
        <v>0.52387459999999997</v>
      </c>
      <c r="F7236" t="s">
        <v>41</v>
      </c>
      <c r="G7236">
        <v>-149.9785</v>
      </c>
      <c r="H7236">
        <v>1.0152080000000001</v>
      </c>
      <c r="I7236">
        <v>138.06960000000001</v>
      </c>
      <c r="J7236">
        <v>-150.5428</v>
      </c>
      <c r="K7236">
        <v>1.1099270000000001</v>
      </c>
      <c r="L7236">
        <v>138.14429999999999</v>
      </c>
      <c r="M7236">
        <v>0.99938320000000003</v>
      </c>
      <c r="N7236">
        <v>0</v>
      </c>
      <c r="O7236">
        <v>2.93776E-2</v>
      </c>
      <c r="P7236">
        <v>0.99061790000000005</v>
      </c>
      <c r="Q7236">
        <v>0.13093659999999999</v>
      </c>
      <c r="R7236">
        <v>-3.9139710000000001E-2</v>
      </c>
      <c r="S7236">
        <v>3.0669249999999999</v>
      </c>
      <c r="T7236">
        <v>-0.37896239999999998</v>
      </c>
      <c r="U7236">
        <v>-0.27499390000000001</v>
      </c>
      <c r="V7236">
        <v>6.8243399999999996E-2</v>
      </c>
      <c r="W7236">
        <v>0.14993499999999901</v>
      </c>
      <c r="X7236">
        <v>0.98633780000000004</v>
      </c>
      <c r="Y7236">
        <v>0.1174249</v>
      </c>
      <c r="Z7236">
        <v>-1.082354E-2</v>
      </c>
      <c r="AA7236">
        <v>0.99302279999999998</v>
      </c>
      <c r="AB7236">
        <v>20</v>
      </c>
      <c r="AC7236">
        <v>0.56430000000000202</v>
      </c>
      <c r="AD7236">
        <v>-9.4719000000000206E-2</v>
      </c>
      <c r="AE7236">
        <v>-7.4699999999978603E-2</v>
      </c>
      <c r="AF7236">
        <v>8.8790073469483102E-2</v>
      </c>
      <c r="AG7236">
        <v>-9.4719000000000206E-2</v>
      </c>
      <c r="AH7236">
        <v>0.546723136487959</v>
      </c>
      <c r="AI7236">
        <v>99.704171660575398</v>
      </c>
      <c r="AJ7236">
        <v>80.775467699693294</v>
      </c>
      <c r="AK7236">
        <v>0.56192664474906995</v>
      </c>
      <c r="AL7236">
        <v>81.376839925587703</v>
      </c>
      <c r="AM7236">
        <v>86.0420888108561</v>
      </c>
      <c r="AN7236">
        <v>0.99999996078869902</v>
      </c>
    </row>
    <row r="7237" spans="1:40" x14ac:dyDescent="0.25">
      <c r="A7237" t="str">
        <f>"20190312164644788"</f>
        <v>20190312164644788</v>
      </c>
      <c r="B7237" t="str">
        <f>"1552380404778511"</f>
        <v>1552380404778511</v>
      </c>
      <c r="C7237" t="s">
        <v>40</v>
      </c>
      <c r="D7237">
        <v>5.3128099999999998</v>
      </c>
      <c r="E7237">
        <v>0.52382969999999995</v>
      </c>
      <c r="F7237" t="s">
        <v>41</v>
      </c>
      <c r="G7237">
        <v>-149.79990000000001</v>
      </c>
      <c r="H7237">
        <v>1.018195</v>
      </c>
      <c r="I7237">
        <v>138.07859999999999</v>
      </c>
      <c r="J7237">
        <v>-150.35249999999999</v>
      </c>
      <c r="K7237">
        <v>1.1099429999999999</v>
      </c>
      <c r="L7237">
        <v>138.1499</v>
      </c>
      <c r="M7237">
        <v>0.9993803</v>
      </c>
      <c r="N7237">
        <v>0</v>
      </c>
      <c r="O7237">
        <v>2.9351019999999998E-2</v>
      </c>
      <c r="P7237">
        <v>0.99058170000000001</v>
      </c>
      <c r="Q7237">
        <v>0.13145889999999999</v>
      </c>
      <c r="R7237">
        <v>-3.8295460000000003E-2</v>
      </c>
      <c r="S7237">
        <v>3.0677639999999999</v>
      </c>
      <c r="T7237">
        <v>-0.37880409999999998</v>
      </c>
      <c r="U7237">
        <v>-0.27160640000000003</v>
      </c>
      <c r="V7237">
        <v>6.7373769999999999E-2</v>
      </c>
      <c r="W7237">
        <v>0.150647799999999</v>
      </c>
      <c r="X7237">
        <v>0.98628899999999997</v>
      </c>
      <c r="Y7237">
        <v>0.1162966</v>
      </c>
      <c r="Z7237">
        <v>-1.0744129999999999E-2</v>
      </c>
      <c r="AA7237">
        <v>0.99315640000000005</v>
      </c>
      <c r="AB7237">
        <v>20</v>
      </c>
      <c r="AC7237">
        <v>0.55259999999998399</v>
      </c>
      <c r="AD7237">
        <v>-9.1747999999999899E-2</v>
      </c>
      <c r="AE7237">
        <v>-7.1300000000007899E-2</v>
      </c>
      <c r="AF7237">
        <v>8.5182041299556296E-2</v>
      </c>
      <c r="AG7237">
        <v>-9.1747999999999899E-2</v>
      </c>
      <c r="AH7237">
        <v>0.53574234531792198</v>
      </c>
      <c r="AI7237">
        <v>99.599561927484402</v>
      </c>
      <c r="AJ7237">
        <v>80.965700831788297</v>
      </c>
      <c r="AK7237">
        <v>0.55017591389546205</v>
      </c>
      <c r="AL7237">
        <v>81.335530523645403</v>
      </c>
      <c r="AM7237">
        <v>86.092174725485904</v>
      </c>
      <c r="AN7237">
        <v>0.99999998802492596</v>
      </c>
    </row>
    <row r="7238" spans="1:40" x14ac:dyDescent="0.25">
      <c r="A7238" t="str">
        <f>"20190312164644810"</f>
        <v>20190312164644810</v>
      </c>
      <c r="B7238" t="str">
        <f>"1552380404798032"</f>
        <v>1552380404798032</v>
      </c>
      <c r="C7238" t="s">
        <v>40</v>
      </c>
      <c r="D7238">
        <v>5.3619349999999999</v>
      </c>
      <c r="E7238">
        <v>0.52390159999999997</v>
      </c>
      <c r="F7238" t="s">
        <v>41</v>
      </c>
      <c r="G7238">
        <v>-149.6233</v>
      </c>
      <c r="H7238">
        <v>1.019809</v>
      </c>
      <c r="I7238">
        <v>138.08590000000001</v>
      </c>
      <c r="J7238">
        <v>-150.1583</v>
      </c>
      <c r="K7238">
        <v>1.109958</v>
      </c>
      <c r="L7238">
        <v>138.15559999999999</v>
      </c>
      <c r="M7238">
        <v>0.99937770000000004</v>
      </c>
      <c r="N7238">
        <v>0</v>
      </c>
      <c r="O7238">
        <v>2.9314099999999999E-2</v>
      </c>
      <c r="P7238">
        <v>0.99057479999999998</v>
      </c>
      <c r="Q7238">
        <v>0.13158590000000001</v>
      </c>
      <c r="R7238">
        <v>-3.8038080000000002E-2</v>
      </c>
      <c r="S7238">
        <v>3.0684659999999999</v>
      </c>
      <c r="T7238">
        <v>-0.37934099999999998</v>
      </c>
      <c r="U7238">
        <v>-0.2691345</v>
      </c>
      <c r="V7238">
        <v>6.7081500000000002E-2</v>
      </c>
      <c r="W7238">
        <v>0.1509645</v>
      </c>
      <c r="X7238">
        <v>0.98626049999999998</v>
      </c>
      <c r="Y7238">
        <v>0.11545</v>
      </c>
      <c r="Z7238">
        <v>-1.0700609999999999E-2</v>
      </c>
      <c r="AA7238">
        <v>0.99325569999999996</v>
      </c>
      <c r="AB7238">
        <v>20</v>
      </c>
      <c r="AC7238">
        <v>0.53499999999999603</v>
      </c>
      <c r="AD7238">
        <v>-9.0149000000000007E-2</v>
      </c>
      <c r="AE7238">
        <v>-6.9699999999983206E-2</v>
      </c>
      <c r="AF7238">
        <v>8.3037740080378605E-2</v>
      </c>
      <c r="AG7238">
        <v>-9.0149000000000007E-2</v>
      </c>
      <c r="AH7238">
        <v>0.51825702462062495</v>
      </c>
      <c r="AI7238">
        <v>99.745792062431207</v>
      </c>
      <c r="AJ7238">
        <v>80.897152860385603</v>
      </c>
      <c r="AK7238">
        <v>0.53255276926073702</v>
      </c>
      <c r="AL7238">
        <v>81.317175049619806</v>
      </c>
      <c r="AM7238">
        <v>86.108962746670599</v>
      </c>
      <c r="AN7238">
        <v>0.99999999088137403</v>
      </c>
    </row>
    <row r="7239" spans="1:40" x14ac:dyDescent="0.25">
      <c r="A7239" t="str">
        <f>"20190312164644833"</f>
        <v>20190312164644833</v>
      </c>
      <c r="B7239" t="str">
        <f>"1552380404828287"</f>
        <v>1552380404828287</v>
      </c>
      <c r="C7239" t="s">
        <v>40</v>
      </c>
      <c r="D7239">
        <v>5.5192139999999998</v>
      </c>
      <c r="E7239">
        <v>0.52396960000000004</v>
      </c>
      <c r="F7239" t="s">
        <v>41</v>
      </c>
      <c r="G7239">
        <v>-149.28450000000001</v>
      </c>
      <c r="H7239">
        <v>1.001377</v>
      </c>
      <c r="I7239">
        <v>138.0789</v>
      </c>
      <c r="J7239">
        <v>-149.96039999999999</v>
      </c>
      <c r="K7239">
        <v>1.109979</v>
      </c>
      <c r="L7239">
        <v>138.16130000000001</v>
      </c>
      <c r="M7239">
        <v>0.99937500000000001</v>
      </c>
      <c r="N7239">
        <v>0</v>
      </c>
      <c r="O7239">
        <v>2.9265340000000001E-2</v>
      </c>
      <c r="P7239">
        <v>0.99048899999999995</v>
      </c>
      <c r="Q7239">
        <v>0.132300799999999</v>
      </c>
      <c r="R7239">
        <v>-3.779275E-2</v>
      </c>
      <c r="S7239">
        <v>3.068848</v>
      </c>
      <c r="T7239">
        <v>-0.38139390000000001</v>
      </c>
      <c r="U7239">
        <v>-0.2689819</v>
      </c>
      <c r="V7239">
        <v>6.6787379999999993E-2</v>
      </c>
      <c r="W7239">
        <v>0.1518804</v>
      </c>
      <c r="X7239">
        <v>0.98613980000000001</v>
      </c>
      <c r="Y7239">
        <v>0.11533160000000001</v>
      </c>
      <c r="Z7239">
        <v>-1.074346E-2</v>
      </c>
      <c r="AA7239">
        <v>0.99326899999999996</v>
      </c>
      <c r="AB7239">
        <v>19</v>
      </c>
      <c r="AC7239">
        <v>0.67589999999998396</v>
      </c>
      <c r="AD7239">
        <v>-0.108602</v>
      </c>
      <c r="AE7239">
        <v>-8.2400000000006898E-2</v>
      </c>
      <c r="AF7239">
        <v>9.9614901021107205E-2</v>
      </c>
      <c r="AG7239">
        <v>-0.108602</v>
      </c>
      <c r="AH7239">
        <v>0.656497664724214</v>
      </c>
      <c r="AI7239">
        <v>99.288723864910807</v>
      </c>
      <c r="AJ7239">
        <v>81.371933760469204</v>
      </c>
      <c r="AK7239">
        <v>0.67283482868962097</v>
      </c>
      <c r="AL7239">
        <v>81.264085383435201</v>
      </c>
      <c r="AM7239">
        <v>86.125498280668197</v>
      </c>
      <c r="AN7239">
        <v>0.99999995758773097</v>
      </c>
    </row>
    <row r="7240" spans="1:40" x14ac:dyDescent="0.25">
      <c r="A7240" t="str">
        <f>"20190312164644857"</f>
        <v>20190312164644857</v>
      </c>
      <c r="B7240" t="str">
        <f>"1552380404848315"</f>
        <v>1552380404848315</v>
      </c>
      <c r="C7240" t="s">
        <v>40</v>
      </c>
      <c r="D7240">
        <v>5.387677</v>
      </c>
      <c r="E7240">
        <v>0.52834130000000001</v>
      </c>
      <c r="F7240" t="s">
        <v>41</v>
      </c>
      <c r="G7240">
        <v>-149.11170000000001</v>
      </c>
      <c r="H7240">
        <v>1.004564</v>
      </c>
      <c r="I7240">
        <v>138.08699999999999</v>
      </c>
      <c r="J7240">
        <v>-149.75919999999999</v>
      </c>
      <c r="K7240">
        <v>1.1100049999999999</v>
      </c>
      <c r="L7240">
        <v>138.16720000000001</v>
      </c>
      <c r="M7240">
        <v>0.99937240000000005</v>
      </c>
      <c r="N7240">
        <v>0</v>
      </c>
      <c r="O7240">
        <v>2.9207179999999999E-2</v>
      </c>
      <c r="P7240">
        <v>0.99041069999999998</v>
      </c>
      <c r="Q7240">
        <v>0.1328619</v>
      </c>
      <c r="R7240">
        <v>-3.7873980000000002E-2</v>
      </c>
      <c r="S7240">
        <v>3.069458</v>
      </c>
      <c r="T7240">
        <v>-0.38118340000000001</v>
      </c>
      <c r="U7240">
        <v>-0.26901249999999999</v>
      </c>
      <c r="V7240">
        <v>6.6810629999999996E-2</v>
      </c>
      <c r="W7240">
        <v>0.15265609999999999</v>
      </c>
      <c r="X7240">
        <v>0.98601850000000002</v>
      </c>
      <c r="Y7240">
        <v>0.1152692</v>
      </c>
      <c r="Z7240">
        <v>-1.072443E-2</v>
      </c>
      <c r="AA7240">
        <v>0.99327639999999995</v>
      </c>
      <c r="AB7240">
        <v>19</v>
      </c>
      <c r="AC7240">
        <v>0.64749999999997898</v>
      </c>
      <c r="AD7240">
        <v>-0.10544099999999899</v>
      </c>
      <c r="AE7240">
        <v>-8.0199999999990695E-2</v>
      </c>
      <c r="AF7240">
        <v>9.6559356147364897E-2</v>
      </c>
      <c r="AG7240">
        <v>-0.10544099999999899</v>
      </c>
      <c r="AH7240">
        <v>0.62846694176495699</v>
      </c>
      <c r="AI7240">
        <v>99.415621843955094</v>
      </c>
      <c r="AJ7240">
        <v>81.265225751733098</v>
      </c>
      <c r="AK7240">
        <v>0.64452479442763999</v>
      </c>
      <c r="AL7240">
        <v>81.219117170119205</v>
      </c>
      <c r="AM7240">
        <v>86.123678247579306</v>
      </c>
      <c r="AN7240">
        <v>1.0000000137452201</v>
      </c>
    </row>
    <row r="7241" spans="1:40" x14ac:dyDescent="0.25">
      <c r="A7241" t="str">
        <f>"20190312164644878"</f>
        <v>20190312164644878</v>
      </c>
      <c r="B7241" t="str">
        <f>"1552380404868811"</f>
        <v>1552380404868811</v>
      </c>
      <c r="C7241" t="s">
        <v>40</v>
      </c>
      <c r="D7241">
        <v>5.5773270000000004</v>
      </c>
      <c r="E7241">
        <v>0.51436919999999997</v>
      </c>
      <c r="F7241" t="s">
        <v>41</v>
      </c>
      <c r="G7241">
        <v>-148.9452</v>
      </c>
      <c r="H7241">
        <v>0.99736420000000003</v>
      </c>
      <c r="I7241">
        <v>138.08699999999999</v>
      </c>
      <c r="J7241">
        <v>-149.5753</v>
      </c>
      <c r="K7241">
        <v>1.110025</v>
      </c>
      <c r="L7241">
        <v>138.17250000000001</v>
      </c>
      <c r="M7241">
        <v>0.99937010000000004</v>
      </c>
      <c r="N7241">
        <v>0</v>
      </c>
      <c r="O7241">
        <v>2.914771E-2</v>
      </c>
      <c r="P7241">
        <v>0.99035249999999997</v>
      </c>
      <c r="Q7241">
        <v>0.13333999999999999</v>
      </c>
      <c r="R7241">
        <v>-3.7720549999999999E-2</v>
      </c>
      <c r="S7241">
        <v>3.074554</v>
      </c>
      <c r="T7241">
        <v>-0.42550149999999998</v>
      </c>
      <c r="U7241">
        <v>-0.30223080000000002</v>
      </c>
      <c r="V7241">
        <v>6.6597950000000003E-2</v>
      </c>
      <c r="W7241">
        <v>0.153331299999999</v>
      </c>
      <c r="X7241">
        <v>0.98592809999999997</v>
      </c>
      <c r="Y7241">
        <v>0.12534189999999901</v>
      </c>
      <c r="Z7241">
        <v>-1.261877E-2</v>
      </c>
      <c r="AA7241">
        <v>0.99203339999999995</v>
      </c>
      <c r="AB7241">
        <v>19</v>
      </c>
      <c r="AC7241">
        <v>0.630099999999998</v>
      </c>
      <c r="AD7241">
        <v>-0.11266079999999901</v>
      </c>
      <c r="AE7241">
        <v>-8.5499999999996107E-2</v>
      </c>
      <c r="AF7241">
        <v>0.100673178123423</v>
      </c>
      <c r="AG7241">
        <v>-0.11266079999999901</v>
      </c>
      <c r="AH7241">
        <v>0.60824617056591901</v>
      </c>
      <c r="AI7241">
        <v>100.355757552241</v>
      </c>
      <c r="AJ7241">
        <v>80.601954971420298</v>
      </c>
      <c r="AK7241">
        <v>0.62673036360002099</v>
      </c>
      <c r="AL7241">
        <v>81.179970034658893</v>
      </c>
      <c r="AM7241">
        <v>86.135627182823995</v>
      </c>
      <c r="AN7241">
        <v>0.99999999643675097</v>
      </c>
    </row>
    <row r="7242" spans="1:40" x14ac:dyDescent="0.25">
      <c r="A7242" t="str">
        <f>"20190312164644899"</f>
        <v>20190312164644899</v>
      </c>
      <c r="B7242" t="str">
        <f>"1552380404888331"</f>
        <v>1552380404888331</v>
      </c>
      <c r="C7242" t="s">
        <v>40</v>
      </c>
      <c r="D7242">
        <v>5.5908610000000003</v>
      </c>
      <c r="E7242">
        <v>0.48759520000000001</v>
      </c>
      <c r="F7242" t="s">
        <v>41</v>
      </c>
      <c r="G7242">
        <v>-148.7833</v>
      </c>
      <c r="H7242">
        <v>0.98694839999999995</v>
      </c>
      <c r="I7242">
        <v>138.1241</v>
      </c>
      <c r="J7242">
        <v>-149.3998</v>
      </c>
      <c r="K7242">
        <v>1.1101570000000001</v>
      </c>
      <c r="L7242">
        <v>138.17750000000001</v>
      </c>
      <c r="M7242">
        <v>0.99935879999999999</v>
      </c>
      <c r="N7242">
        <v>0</v>
      </c>
      <c r="O7242">
        <v>2.9090609999999999E-2</v>
      </c>
      <c r="P7242">
        <v>0.99042030000000003</v>
      </c>
      <c r="Q7242">
        <v>0.13293829999999901</v>
      </c>
      <c r="R7242">
        <v>-3.735372E-2</v>
      </c>
      <c r="S7242">
        <v>3.0866389999999999</v>
      </c>
      <c r="T7242">
        <v>-0.47966560000000003</v>
      </c>
      <c r="U7242">
        <v>-0.18811040000000001</v>
      </c>
      <c r="V7242">
        <v>6.6177420000000001E-2</v>
      </c>
      <c r="W7242">
        <v>0.1535424</v>
      </c>
      <c r="X7242">
        <v>0.98592360000000001</v>
      </c>
      <c r="Y7242">
        <v>8.8441740000000005E-2</v>
      </c>
      <c r="Z7242">
        <v>-1.1315860000000001E-2</v>
      </c>
      <c r="AA7242">
        <v>0.99601709999999999</v>
      </c>
      <c r="AB7242">
        <v>19</v>
      </c>
      <c r="AC7242">
        <v>0.61650000000000205</v>
      </c>
      <c r="AD7242">
        <v>-0.1232086</v>
      </c>
      <c r="AE7242">
        <v>-5.3400000000010502E-2</v>
      </c>
      <c r="AF7242">
        <v>6.8596277662783603E-2</v>
      </c>
      <c r="AG7242">
        <v>-0.1232086</v>
      </c>
      <c r="AH7242">
        <v>0.59124624752563304</v>
      </c>
      <c r="AI7242">
        <v>101.69502268380501</v>
      </c>
      <c r="AJ7242">
        <v>83.382142110827303</v>
      </c>
      <c r="AK7242">
        <v>0.60783051390687204</v>
      </c>
      <c r="AL7242">
        <v>81.167730273151093</v>
      </c>
      <c r="AM7242">
        <v>86.159937893368095</v>
      </c>
      <c r="AN7242">
        <v>1.0000000322762801</v>
      </c>
    </row>
    <row r="7243" spans="1:40" x14ac:dyDescent="0.25">
      <c r="A7243" t="str">
        <f>"20190312164644922"</f>
        <v>20190312164644922</v>
      </c>
      <c r="B7243" t="str">
        <f>"1552380404918586"</f>
        <v>1552380404918586</v>
      </c>
      <c r="C7243" t="s">
        <v>40</v>
      </c>
      <c r="D7243">
        <v>5.5851319999999998</v>
      </c>
      <c r="E7243">
        <v>0.48836360000000001</v>
      </c>
      <c r="F7243" t="s">
        <v>42</v>
      </c>
      <c r="G7243">
        <v>-124.754</v>
      </c>
      <c r="H7243" s="1">
        <v>-2.4732759999999999E-6</v>
      </c>
      <c r="I7243">
        <v>138.26070000000001</v>
      </c>
      <c r="J7243">
        <v>-149.21510000000001</v>
      </c>
      <c r="K7243">
        <v>1.1104780000000001</v>
      </c>
      <c r="L7243">
        <v>138.18279999999999</v>
      </c>
      <c r="M7243">
        <v>0.99933019999999995</v>
      </c>
      <c r="N7243">
        <v>0</v>
      </c>
      <c r="O7243">
        <v>2.9033880000000001E-2</v>
      </c>
      <c r="P7243">
        <v>0.99063270000000003</v>
      </c>
      <c r="Q7243">
        <v>0.13147059999999999</v>
      </c>
      <c r="R7243">
        <v>-3.6914959999999997E-2</v>
      </c>
      <c r="S7243">
        <v>3.0478360000000002</v>
      </c>
      <c r="T7243">
        <v>-0.1372882</v>
      </c>
      <c r="U7243">
        <v>1.0284420000000001E-2</v>
      </c>
      <c r="V7243">
        <v>6.5689139999999993E-2</v>
      </c>
      <c r="W7243">
        <v>0.15346940000000001</v>
      </c>
      <c r="X7243">
        <v>0.98596760000000006</v>
      </c>
      <c r="Y7243">
        <v>2.5612619999999999E-2</v>
      </c>
      <c r="Z7243">
        <v>-1.8838800000000001E-3</v>
      </c>
      <c r="AA7243">
        <v>0.99967010000000001</v>
      </c>
      <c r="AB7243">
        <v>19</v>
      </c>
      <c r="AC7243">
        <v>24.461099999999998</v>
      </c>
      <c r="AD7243">
        <v>-1.1104804732760001</v>
      </c>
      <c r="AE7243">
        <v>7.7900000000028002E-2</v>
      </c>
      <c r="AF7243">
        <v>0.63120887592229502</v>
      </c>
      <c r="AG7243">
        <v>-1.1104804732760001</v>
      </c>
      <c r="AH7243">
        <v>24.4027524424102</v>
      </c>
      <c r="AI7243">
        <v>92.604654916515202</v>
      </c>
      <c r="AJ7243">
        <v>88.518300663620096</v>
      </c>
      <c r="AK7243">
        <v>24.436160056197998</v>
      </c>
      <c r="AL7243">
        <v>81.171962870534998</v>
      </c>
      <c r="AM7243">
        <v>86.188356972842797</v>
      </c>
      <c r="AN7243">
        <v>1.00000001405002</v>
      </c>
    </row>
    <row r="7244" spans="1:40" x14ac:dyDescent="0.25">
      <c r="A7244" t="str">
        <f>"20190312164644944"</f>
        <v>20190312164644944</v>
      </c>
      <c r="B7244" t="str">
        <f>"1552380404938106"</f>
        <v>1552380404938106</v>
      </c>
      <c r="C7244" t="s">
        <v>40</v>
      </c>
      <c r="D7244">
        <v>5.5825670000000001</v>
      </c>
      <c r="E7244">
        <v>0.48870730000000001</v>
      </c>
      <c r="F7244" t="s">
        <v>42</v>
      </c>
      <c r="G7244">
        <v>-124.1623</v>
      </c>
      <c r="H7244" s="1">
        <v>-2.733469E-6</v>
      </c>
      <c r="I7244">
        <v>138.22499999999999</v>
      </c>
      <c r="J7244">
        <v>-149.04</v>
      </c>
      <c r="K7244">
        <v>1.110819</v>
      </c>
      <c r="L7244">
        <v>138.18790000000001</v>
      </c>
      <c r="M7244">
        <v>0.99929310000000005</v>
      </c>
      <c r="N7244">
        <v>0</v>
      </c>
      <c r="O7244">
        <v>2.8980619999999999E-2</v>
      </c>
      <c r="P7244">
        <v>0.99092720000000001</v>
      </c>
      <c r="Q7244">
        <v>0.12928190000000001</v>
      </c>
      <c r="R7244">
        <v>-3.6741320000000001E-2</v>
      </c>
      <c r="S7244">
        <v>3.0464630000000001</v>
      </c>
      <c r="T7244">
        <v>-0.13503599999999999</v>
      </c>
      <c r="U7244">
        <v>5.1269530000000001E-3</v>
      </c>
      <c r="V7244">
        <v>6.5471280000000007E-2</v>
      </c>
      <c r="W7244">
        <v>0.1529346</v>
      </c>
      <c r="X7244">
        <v>0.98606510000000003</v>
      </c>
      <c r="Y7244">
        <v>2.725147E-2</v>
      </c>
      <c r="Z7244">
        <v>-1.8878460000000001E-3</v>
      </c>
      <c r="AA7244">
        <v>0.99962680000000004</v>
      </c>
      <c r="AB7244">
        <v>18</v>
      </c>
      <c r="AC7244">
        <v>24.877699999999901</v>
      </c>
      <c r="AD7244">
        <v>-1.110821733469</v>
      </c>
      <c r="AE7244">
        <v>3.7099999999981002E-2</v>
      </c>
      <c r="AF7244">
        <v>0.68273237503719597</v>
      </c>
      <c r="AG7244">
        <v>-1.110821733469</v>
      </c>
      <c r="AH7244">
        <v>24.8188380296586</v>
      </c>
      <c r="AI7244">
        <v>92.561720676427996</v>
      </c>
      <c r="AJ7244">
        <v>88.424268656446003</v>
      </c>
      <c r="AK7244">
        <v>24.853063585037201</v>
      </c>
      <c r="AL7244">
        <v>81.202969966975203</v>
      </c>
      <c r="AM7244">
        <v>86.201335861673101</v>
      </c>
      <c r="AN7244">
        <v>0.99999993091000094</v>
      </c>
    </row>
    <row r="7245" spans="1:40" x14ac:dyDescent="0.25">
      <c r="A7245" t="str">
        <f>"20190312164644966"</f>
        <v>20190312164644966</v>
      </c>
      <c r="B7245" t="str">
        <f>"1552380404958603"</f>
        <v>1552380404958603</v>
      </c>
      <c r="C7245" t="s">
        <v>40</v>
      </c>
      <c r="D7245">
        <v>5.5915809999999997</v>
      </c>
      <c r="E7245">
        <v>0.48880820000000003</v>
      </c>
      <c r="F7245" t="s">
        <v>42</v>
      </c>
      <c r="G7245">
        <v>-124.98860000000001</v>
      </c>
      <c r="H7245" s="1">
        <v>-2.3804169999999999E-6</v>
      </c>
      <c r="I7245">
        <v>138.21690000000001</v>
      </c>
      <c r="J7245">
        <v>-148.8733</v>
      </c>
      <c r="K7245">
        <v>1.1110739999999999</v>
      </c>
      <c r="L7245">
        <v>138.1926</v>
      </c>
      <c r="M7245">
        <v>0.99925660000000005</v>
      </c>
      <c r="N7245">
        <v>0</v>
      </c>
      <c r="O7245">
        <v>2.8916810000000001E-2</v>
      </c>
      <c r="P7245">
        <v>0.99126369999999997</v>
      </c>
      <c r="Q7245">
        <v>0.12678729999999999</v>
      </c>
      <c r="R7245">
        <v>-3.6349180000000002E-2</v>
      </c>
      <c r="S7245">
        <v>3.0459589999999999</v>
      </c>
      <c r="T7245">
        <v>-0.14067850000000001</v>
      </c>
      <c r="U7245">
        <v>3.6773679999999999E-3</v>
      </c>
      <c r="V7245">
        <v>6.5027219999999997E-2</v>
      </c>
      <c r="W7245">
        <v>0.151977</v>
      </c>
      <c r="X7245">
        <v>0.98624259999999997</v>
      </c>
      <c r="Y7245">
        <v>2.7659099999999999E-2</v>
      </c>
      <c r="Z7245">
        <v>-1.9734890000000001E-3</v>
      </c>
      <c r="AA7245">
        <v>0.99961549999999999</v>
      </c>
      <c r="AB7245">
        <v>18</v>
      </c>
      <c r="AC7245">
        <v>23.884699999999899</v>
      </c>
      <c r="AD7245">
        <v>-1.1110763804170001</v>
      </c>
      <c r="AE7245">
        <v>2.4300000000010799E-2</v>
      </c>
      <c r="AF7245">
        <v>0.66516471470011995</v>
      </c>
      <c r="AG7245">
        <v>-1.1110763804170001</v>
      </c>
      <c r="AH7245">
        <v>23.8238546443426</v>
      </c>
      <c r="AI7245">
        <v>92.669137727976207</v>
      </c>
      <c r="AJ7245">
        <v>88.4007108390458</v>
      </c>
      <c r="AK7245">
        <v>23.859023134562001</v>
      </c>
      <c r="AL7245">
        <v>81.258486040613207</v>
      </c>
      <c r="AM7245">
        <v>86.227702775137999</v>
      </c>
      <c r="AN7245">
        <v>1.00000000696234</v>
      </c>
    </row>
    <row r="7246" spans="1:40" x14ac:dyDescent="0.25">
      <c r="A7246" t="str">
        <f>"20190312164644989"</f>
        <v>20190312164644989</v>
      </c>
      <c r="B7246" t="str">
        <f>"1552380404978123"</f>
        <v>1552380404978123</v>
      </c>
      <c r="C7246" t="s">
        <v>40</v>
      </c>
      <c r="D7246">
        <v>5.6463460000000003</v>
      </c>
      <c r="E7246">
        <v>0.4889194</v>
      </c>
      <c r="F7246" t="s">
        <v>42</v>
      </c>
      <c r="G7246">
        <v>-126.75879999999999</v>
      </c>
      <c r="H7246" s="1">
        <v>-1.620008E-6</v>
      </c>
      <c r="I7246">
        <v>138.22239999999999</v>
      </c>
      <c r="J7246">
        <v>-148.70160000000001</v>
      </c>
      <c r="K7246">
        <v>1.1110009999999999</v>
      </c>
      <c r="L7246">
        <v>138.19749999999999</v>
      </c>
      <c r="M7246">
        <v>0.99924619999999997</v>
      </c>
      <c r="N7246">
        <v>0</v>
      </c>
      <c r="O7246">
        <v>2.880783E-2</v>
      </c>
      <c r="P7246">
        <v>0.99147589999999997</v>
      </c>
      <c r="Q7246">
        <v>0.1252557</v>
      </c>
      <c r="R7246">
        <v>-3.5876070000000003E-2</v>
      </c>
      <c r="S7246">
        <v>3.0461580000000001</v>
      </c>
      <c r="T7246">
        <v>-0.15304479999999901</v>
      </c>
      <c r="U7246">
        <v>4.1046140000000004E-3</v>
      </c>
      <c r="V7246">
        <v>6.4458000000000001E-2</v>
      </c>
      <c r="W7246">
        <v>0.15097070000000001</v>
      </c>
      <c r="X7246">
        <v>0.98643449999999999</v>
      </c>
      <c r="Y7246">
        <v>2.7399739999999999E-2</v>
      </c>
      <c r="Z7246">
        <v>-2.1346540000000002E-3</v>
      </c>
      <c r="AA7246">
        <v>0.99962229999999996</v>
      </c>
      <c r="AB7246">
        <v>17</v>
      </c>
      <c r="AC7246">
        <v>21.942799999999998</v>
      </c>
      <c r="AD7246">
        <v>-1.1110026200080001</v>
      </c>
      <c r="AE7246">
        <v>2.4900000000002299E-2</v>
      </c>
      <c r="AF7246">
        <v>0.605895663618914</v>
      </c>
      <c r="AG7246">
        <v>-1.1110026200080001</v>
      </c>
      <c r="AH7246">
        <v>21.8783177864441</v>
      </c>
      <c r="AI7246">
        <v>92.905927047967197</v>
      </c>
      <c r="AJ7246">
        <v>88.413662613468503</v>
      </c>
      <c r="AK7246">
        <v>21.914885934941399</v>
      </c>
      <c r="AL7246">
        <v>81.316815815488496</v>
      </c>
      <c r="AM7246">
        <v>86.261355115155098</v>
      </c>
      <c r="AN7246">
        <v>1.0000000044063699</v>
      </c>
    </row>
    <row r="7247" spans="1:40" x14ac:dyDescent="0.25">
      <c r="A7247" t="str">
        <f>"20190312164645011"</f>
        <v>20190312164645011</v>
      </c>
      <c r="B7247" t="str">
        <f>"1552380404998619"</f>
        <v>1552380404998619</v>
      </c>
      <c r="C7247" t="s">
        <v>40</v>
      </c>
      <c r="D7247">
        <v>5.6449290000000003</v>
      </c>
      <c r="E7247">
        <v>0.4888805</v>
      </c>
      <c r="F7247" t="s">
        <v>42</v>
      </c>
      <c r="G7247">
        <v>-127.6572</v>
      </c>
      <c r="H7247" s="1">
        <v>-1.2341299999999999E-6</v>
      </c>
      <c r="I7247">
        <v>138.2251</v>
      </c>
      <c r="J7247">
        <v>-148.53639999999999</v>
      </c>
      <c r="K7247">
        <v>1.110654</v>
      </c>
      <c r="L7247">
        <v>138.2021</v>
      </c>
      <c r="M7247">
        <v>0.99926550000000003</v>
      </c>
      <c r="N7247">
        <v>0</v>
      </c>
      <c r="O7247">
        <v>2.8678390000000002E-2</v>
      </c>
      <c r="P7247">
        <v>0.99149069999999995</v>
      </c>
      <c r="Q7247">
        <v>0.1251254</v>
      </c>
      <c r="R7247">
        <v>-3.5918390000000001E-2</v>
      </c>
      <c r="S7247">
        <v>3.046249</v>
      </c>
      <c r="T7247">
        <v>-0.16082099999999999</v>
      </c>
      <c r="U7247">
        <v>3.9978030000000003E-3</v>
      </c>
      <c r="V7247">
        <v>6.438083E-2</v>
      </c>
      <c r="W7247">
        <v>0.15024189999999901</v>
      </c>
      <c r="X7247">
        <v>0.98655079999999995</v>
      </c>
      <c r="Y7247">
        <v>2.7297849999999999E-2</v>
      </c>
      <c r="Z7247">
        <v>-2.2333610000000001E-3</v>
      </c>
      <c r="AA7247">
        <v>0.99962479999999998</v>
      </c>
      <c r="AB7247">
        <v>17</v>
      </c>
      <c r="AC7247">
        <v>20.879199999999901</v>
      </c>
      <c r="AD7247">
        <v>-1.11065523412999</v>
      </c>
      <c r="AE7247">
        <v>2.29999999999961E-2</v>
      </c>
      <c r="AF7247">
        <v>0.57435958261818798</v>
      </c>
      <c r="AG7247">
        <v>-1.11065523412999</v>
      </c>
      <c r="AH7247">
        <v>20.812375039197399</v>
      </c>
      <c r="AI7247">
        <v>93.053539170109005</v>
      </c>
      <c r="AJ7247">
        <v>88.419208309124002</v>
      </c>
      <c r="AK7247">
        <v>20.8499016484839</v>
      </c>
      <c r="AL7247">
        <v>81.359054730431794</v>
      </c>
      <c r="AM7247">
        <v>86.266257360886897</v>
      </c>
      <c r="AN7247">
        <v>1.0000000003838601</v>
      </c>
    </row>
    <row r="7248" spans="1:40" x14ac:dyDescent="0.25">
      <c r="A7248" t="str">
        <f>"20190312164645033"</f>
        <v>20190312164645033</v>
      </c>
      <c r="B7248" t="str">
        <f>"1552380405027898"</f>
        <v>1552380405027898</v>
      </c>
      <c r="C7248" t="s">
        <v>40</v>
      </c>
      <c r="D7248">
        <v>5.6977010000000003</v>
      </c>
      <c r="E7248">
        <v>0.48879830000000002</v>
      </c>
      <c r="F7248" t="s">
        <v>42</v>
      </c>
      <c r="G7248">
        <v>-127.76560000000001</v>
      </c>
      <c r="H7248" s="1">
        <v>-1.1867399999999901E-6</v>
      </c>
      <c r="I7248">
        <v>138.23009999999999</v>
      </c>
      <c r="J7248">
        <v>-148.36619999999999</v>
      </c>
      <c r="K7248">
        <v>1.1104540000000001</v>
      </c>
      <c r="L7248">
        <v>138.20679999999999</v>
      </c>
      <c r="M7248">
        <v>0.99927770000000005</v>
      </c>
      <c r="N7248">
        <v>0</v>
      </c>
      <c r="O7248">
        <v>2.8539640000000002E-2</v>
      </c>
      <c r="P7248">
        <v>0.99159280000000005</v>
      </c>
      <c r="Q7248">
        <v>0.12428930000000001</v>
      </c>
      <c r="R7248">
        <v>-3.6007480000000001E-2</v>
      </c>
      <c r="S7248">
        <v>3.0464169999999999</v>
      </c>
      <c r="T7248">
        <v>-0.16289790000000001</v>
      </c>
      <c r="U7248">
        <v>4.1046140000000004E-3</v>
      </c>
      <c r="V7248">
        <v>6.4341629999999997E-2</v>
      </c>
      <c r="W7248">
        <v>0.1490882</v>
      </c>
      <c r="X7248">
        <v>0.98672839999999995</v>
      </c>
      <c r="Y7248">
        <v>2.712227E-2</v>
      </c>
      <c r="Z7248">
        <v>-2.2499210000000002E-3</v>
      </c>
      <c r="AA7248">
        <v>0.99962960000000001</v>
      </c>
      <c r="AB7248">
        <v>17</v>
      </c>
      <c r="AC7248">
        <v>20.600599999999901</v>
      </c>
      <c r="AD7248">
        <v>-1.1104551867399901</v>
      </c>
      <c r="AE7248">
        <v>2.3300000000006E-2</v>
      </c>
      <c r="AF7248">
        <v>0.56319193117758604</v>
      </c>
      <c r="AG7248">
        <v>-1.1104551867399901</v>
      </c>
      <c r="AH7248">
        <v>20.533206376242799</v>
      </c>
      <c r="AI7248">
        <v>93.094432744612604</v>
      </c>
      <c r="AJ7248">
        <v>88.428865334088002</v>
      </c>
      <c r="AK7248">
        <v>20.5709226813598</v>
      </c>
      <c r="AL7248">
        <v>81.425910189202099</v>
      </c>
      <c r="AM7248">
        <v>86.269194052294495</v>
      </c>
      <c r="AN7248">
        <v>1.00000003604842</v>
      </c>
    </row>
    <row r="7249" spans="1:40" x14ac:dyDescent="0.25">
      <c r="A7249" t="str">
        <f>"20190312164645056"</f>
        <v>20190312164645056</v>
      </c>
      <c r="B7249" t="str">
        <f>"1552380405048902"</f>
        <v>1552380405048902</v>
      </c>
      <c r="C7249" t="s">
        <v>40</v>
      </c>
      <c r="D7249">
        <v>5.6398489999999999</v>
      </c>
      <c r="E7249">
        <v>0.48892000000000002</v>
      </c>
      <c r="F7249" t="s">
        <v>42</v>
      </c>
      <c r="G7249">
        <v>-128.2415</v>
      </c>
      <c r="H7249" s="1">
        <v>-9.8081049999999997E-7</v>
      </c>
      <c r="I7249">
        <v>138.24019999999999</v>
      </c>
      <c r="J7249">
        <v>-148.2011</v>
      </c>
      <c r="K7249">
        <v>1.110473</v>
      </c>
      <c r="L7249">
        <v>138.21129999999999</v>
      </c>
      <c r="M7249">
        <v>0.99927460000000001</v>
      </c>
      <c r="N7249">
        <v>0</v>
      </c>
      <c r="O7249">
        <v>2.8392440000000001E-2</v>
      </c>
      <c r="P7249">
        <v>0.99178840000000001</v>
      </c>
      <c r="Q7249">
        <v>0.1229068</v>
      </c>
      <c r="R7249">
        <v>-3.5350390000000002E-2</v>
      </c>
      <c r="S7249">
        <v>3.0466920000000002</v>
      </c>
      <c r="T7249">
        <v>-0.1681124</v>
      </c>
      <c r="U7249">
        <v>5.0506589999999999E-3</v>
      </c>
      <c r="V7249">
        <v>6.3546640000000001E-2</v>
      </c>
      <c r="W7249">
        <v>0.14798529999999999</v>
      </c>
      <c r="X7249">
        <v>0.98694590000000004</v>
      </c>
      <c r="Y7249">
        <v>2.6660719999999999E-2</v>
      </c>
      <c r="Z7249">
        <v>-2.3007940000000001E-3</v>
      </c>
      <c r="AA7249">
        <v>0.99964189999999997</v>
      </c>
      <c r="AB7249">
        <v>17</v>
      </c>
      <c r="AC7249">
        <v>19.959599999999899</v>
      </c>
      <c r="AD7249">
        <v>-1.1104739808105</v>
      </c>
      <c r="AE7249">
        <v>2.8899999999993001E-2</v>
      </c>
      <c r="AF7249">
        <v>0.53633585412832396</v>
      </c>
      <c r="AG7249">
        <v>-1.1104739808105</v>
      </c>
      <c r="AH7249">
        <v>19.890799642006002</v>
      </c>
      <c r="AI7249">
        <v>93.194263096978403</v>
      </c>
      <c r="AJ7249">
        <v>88.455449896593905</v>
      </c>
      <c r="AK7249">
        <v>19.928991921542501</v>
      </c>
      <c r="AL7249">
        <v>81.489810396218402</v>
      </c>
      <c r="AM7249">
        <v>86.315973032824999</v>
      </c>
      <c r="AN7249">
        <v>1.0000000169990899</v>
      </c>
    </row>
    <row r="7250" spans="1:40" x14ac:dyDescent="0.25">
      <c r="A7250" t="str">
        <f>"20190312164645080"</f>
        <v>20190312164645080</v>
      </c>
      <c r="B7250" t="str">
        <f>"1552380405068422"</f>
        <v>1552380405068422</v>
      </c>
      <c r="C7250" t="s">
        <v>40</v>
      </c>
      <c r="D7250">
        <v>5.7016749999999998</v>
      </c>
      <c r="E7250">
        <v>0.48898920000000001</v>
      </c>
      <c r="F7250" t="s">
        <v>42</v>
      </c>
      <c r="G7250">
        <v>-128.76419999999999</v>
      </c>
      <c r="H7250" s="1">
        <v>-7.7007849999999998E-7</v>
      </c>
      <c r="I7250">
        <v>138.25020000000001</v>
      </c>
      <c r="J7250">
        <v>-148.03970000000001</v>
      </c>
      <c r="K7250">
        <v>1.110557</v>
      </c>
      <c r="L7250">
        <v>138.2157</v>
      </c>
      <c r="M7250">
        <v>0.99926910000000002</v>
      </c>
      <c r="N7250">
        <v>0</v>
      </c>
      <c r="O7250">
        <v>2.8217180000000001E-2</v>
      </c>
      <c r="P7250">
        <v>0.99202449999999998</v>
      </c>
      <c r="Q7250">
        <v>0.1211742</v>
      </c>
      <c r="R7250">
        <v>-3.4702080000000003E-2</v>
      </c>
      <c r="S7250">
        <v>3.0466310000000001</v>
      </c>
      <c r="T7250">
        <v>-0.17406070000000001</v>
      </c>
      <c r="U7250">
        <v>6.0882569999999997E-3</v>
      </c>
      <c r="V7250">
        <v>6.2729590000000002E-2</v>
      </c>
      <c r="W7250">
        <v>0.14666609999999999</v>
      </c>
      <c r="X7250">
        <v>0.98719500000000004</v>
      </c>
      <c r="Y7250">
        <v>2.614031E-2</v>
      </c>
      <c r="Z7250">
        <v>-2.3572760000000002E-3</v>
      </c>
      <c r="AA7250">
        <v>0.99965550000000003</v>
      </c>
      <c r="AB7250">
        <v>16</v>
      </c>
      <c r="AC7250">
        <v>19.275500000000001</v>
      </c>
      <c r="AD7250">
        <v>-1.1105577700785001</v>
      </c>
      <c r="AE7250">
        <v>3.4500000000008399E-2</v>
      </c>
      <c r="AF7250">
        <v>0.50790896013264597</v>
      </c>
      <c r="AG7250">
        <v>-1.1105577700785001</v>
      </c>
      <c r="AH7250">
        <v>19.205042823352599</v>
      </c>
      <c r="AI7250">
        <v>93.308366711767107</v>
      </c>
      <c r="AJ7250">
        <v>88.485071955299404</v>
      </c>
      <c r="AK7250">
        <v>19.243829658341699</v>
      </c>
      <c r="AL7250">
        <v>81.566228360916</v>
      </c>
      <c r="AM7250">
        <v>86.364127620194793</v>
      </c>
      <c r="AN7250">
        <v>0.99999995718788803</v>
      </c>
    </row>
    <row r="7251" spans="1:40" x14ac:dyDescent="0.25">
      <c r="A7251" t="str">
        <f>"20190312164645100"</f>
        <v>20190312164645100</v>
      </c>
      <c r="B7251" t="str">
        <f>"1552380405087942"</f>
        <v>1552380405087942</v>
      </c>
      <c r="C7251" t="s">
        <v>40</v>
      </c>
      <c r="D7251">
        <v>5.7560789999999997</v>
      </c>
      <c r="E7251">
        <v>0.48899399999999998</v>
      </c>
      <c r="F7251" t="s">
        <v>42</v>
      </c>
      <c r="G7251">
        <v>-129.2073</v>
      </c>
      <c r="H7251" s="1">
        <v>-6.1650829999999998E-7</v>
      </c>
      <c r="I7251">
        <v>138.26060000000001</v>
      </c>
      <c r="J7251">
        <v>-147.89179999999999</v>
      </c>
      <c r="K7251">
        <v>1.110552</v>
      </c>
      <c r="L7251">
        <v>138.21969999999999</v>
      </c>
      <c r="M7251">
        <v>0.99927069999999996</v>
      </c>
      <c r="N7251">
        <v>0</v>
      </c>
      <c r="O7251">
        <v>2.8032089999999999E-2</v>
      </c>
      <c r="P7251">
        <v>0.99223139999999999</v>
      </c>
      <c r="Q7251">
        <v>0.1197173</v>
      </c>
      <c r="R7251">
        <v>-3.3830359999999997E-2</v>
      </c>
      <c r="S7251">
        <v>3.0463260000000001</v>
      </c>
      <c r="T7251">
        <v>-0.17964359999999999</v>
      </c>
      <c r="U7251">
        <v>7.2631839999999998E-3</v>
      </c>
      <c r="V7251">
        <v>6.1678530000000002E-2</v>
      </c>
      <c r="W7251">
        <v>0.14535139999999999</v>
      </c>
      <c r="X7251">
        <v>0.98745570000000005</v>
      </c>
      <c r="Y7251">
        <v>2.5565020000000001E-2</v>
      </c>
      <c r="Z7251">
        <v>-2.4051480000000002E-3</v>
      </c>
      <c r="AA7251">
        <v>0.99967030000000001</v>
      </c>
      <c r="AB7251">
        <v>16</v>
      </c>
      <c r="AC7251">
        <v>18.6844999999999</v>
      </c>
      <c r="AD7251">
        <v>-1.1105526165083</v>
      </c>
      <c r="AE7251">
        <v>4.0900000000021898E-2</v>
      </c>
      <c r="AF7251">
        <v>0.48135729763060903</v>
      </c>
      <c r="AG7251">
        <v>-1.1105526165083</v>
      </c>
      <c r="AH7251">
        <v>18.612545871116001</v>
      </c>
      <c r="AI7251">
        <v>93.413473664036204</v>
      </c>
      <c r="AJ7251">
        <v>88.518547896713102</v>
      </c>
      <c r="AK7251">
        <v>18.651860383522401</v>
      </c>
      <c r="AL7251">
        <v>81.642371617429006</v>
      </c>
      <c r="AM7251">
        <v>86.425830232688497</v>
      </c>
      <c r="AN7251">
        <v>1.0000000150037001</v>
      </c>
    </row>
    <row r="7252" spans="1:40" x14ac:dyDescent="0.25">
      <c r="A7252" t="str">
        <f>"20190312164645123"</f>
        <v>20190312164645123</v>
      </c>
      <c r="B7252" t="str">
        <f>"1552380405118198"</f>
        <v>1552380405118198</v>
      </c>
      <c r="C7252" t="s">
        <v>40</v>
      </c>
      <c r="D7252">
        <v>5.954987</v>
      </c>
      <c r="E7252">
        <v>0.4890428</v>
      </c>
      <c r="F7252" t="s">
        <v>42</v>
      </c>
      <c r="G7252">
        <v>-129.60589999999999</v>
      </c>
      <c r="H7252" s="1">
        <v>-4.7592619999999998E-7</v>
      </c>
      <c r="I7252">
        <v>138.2792</v>
      </c>
      <c r="J7252">
        <v>-147.733</v>
      </c>
      <c r="K7252">
        <v>1.110509</v>
      </c>
      <c r="L7252">
        <v>138.22389999999999</v>
      </c>
      <c r="M7252">
        <v>0.99927809999999995</v>
      </c>
      <c r="N7252">
        <v>0</v>
      </c>
      <c r="O7252">
        <v>2.7839269999999999E-2</v>
      </c>
      <c r="P7252">
        <v>0.9924132</v>
      </c>
      <c r="Q7252">
        <v>0.11828470000000001</v>
      </c>
      <c r="R7252">
        <v>-3.3542290000000002E-2</v>
      </c>
      <c r="S7252">
        <v>3.0461429999999998</v>
      </c>
      <c r="T7252">
        <v>-0.1850009</v>
      </c>
      <c r="U7252">
        <v>9.9182130000000004E-3</v>
      </c>
      <c r="V7252">
        <v>6.1204519999999998E-2</v>
      </c>
      <c r="W7252">
        <v>0.14385149999999999</v>
      </c>
      <c r="X7252">
        <v>0.98770480000000005</v>
      </c>
      <c r="Y7252">
        <v>2.449728E-2</v>
      </c>
      <c r="Z7252">
        <v>-2.4327870000000001E-3</v>
      </c>
      <c r="AA7252">
        <v>0.9996969</v>
      </c>
      <c r="AB7252">
        <v>16</v>
      </c>
      <c r="AC7252">
        <v>18.127099999999999</v>
      </c>
      <c r="AD7252">
        <v>-1.1105094759262</v>
      </c>
      <c r="AE7252">
        <v>5.5300000000016697E-2</v>
      </c>
      <c r="AF7252">
        <v>0.44785456071274898</v>
      </c>
      <c r="AG7252">
        <v>-1.1105094759262</v>
      </c>
      <c r="AH7252">
        <v>18.0538525573456</v>
      </c>
      <c r="AI7252">
        <v>93.518802774496905</v>
      </c>
      <c r="AJ7252">
        <v>88.578978389783998</v>
      </c>
      <c r="AK7252">
        <v>18.093518098093799</v>
      </c>
      <c r="AL7252">
        <v>81.729222322934007</v>
      </c>
      <c r="AM7252">
        <v>86.454120164270705</v>
      </c>
      <c r="AN7252">
        <v>1.00000000963186</v>
      </c>
    </row>
    <row r="7253" spans="1:40" x14ac:dyDescent="0.25">
      <c r="A7253" t="str">
        <f>"20190312164645145"</f>
        <v>20190312164645145</v>
      </c>
      <c r="B7253" t="str">
        <f>"1552380405138694"</f>
        <v>1552380405138694</v>
      </c>
      <c r="C7253" t="s">
        <v>40</v>
      </c>
      <c r="D7253">
        <v>5.8188899999999997</v>
      </c>
      <c r="E7253">
        <v>0.4891973</v>
      </c>
      <c r="F7253" t="s">
        <v>42</v>
      </c>
      <c r="G7253">
        <v>-129.93340000000001</v>
      </c>
      <c r="H7253" s="1">
        <v>-3.6306649999999999E-7</v>
      </c>
      <c r="I7253">
        <v>138.28450000000001</v>
      </c>
      <c r="J7253">
        <v>-147.58080000000001</v>
      </c>
      <c r="K7253">
        <v>1.1104940000000001</v>
      </c>
      <c r="L7253">
        <v>138.22790000000001</v>
      </c>
      <c r="M7253">
        <v>0.9992837</v>
      </c>
      <c r="N7253">
        <v>0</v>
      </c>
      <c r="O7253">
        <v>2.767031E-2</v>
      </c>
      <c r="P7253">
        <v>0.99242419999999998</v>
      </c>
      <c r="Q7253">
        <v>0.1183979</v>
      </c>
      <c r="R7253">
        <v>-3.280657E-2</v>
      </c>
      <c r="S7253">
        <v>3.0458980000000002</v>
      </c>
      <c r="T7253">
        <v>-0.1900319</v>
      </c>
      <c r="U7253">
        <v>1.037598E-2</v>
      </c>
      <c r="V7253">
        <v>6.0302410000000001E-2</v>
      </c>
      <c r="W7253">
        <v>0.14393220000000001</v>
      </c>
      <c r="X7253">
        <v>0.98774850000000003</v>
      </c>
      <c r="Y7253">
        <v>2.417335E-2</v>
      </c>
      <c r="Z7253">
        <v>-2.4783880000000002E-3</v>
      </c>
      <c r="AA7253">
        <v>0.9997047</v>
      </c>
      <c r="AB7253">
        <v>16</v>
      </c>
      <c r="AC7253">
        <v>17.647400000000001</v>
      </c>
      <c r="AD7253">
        <v>-1.1104943630665001</v>
      </c>
      <c r="AE7253">
        <v>5.6600000000003002E-2</v>
      </c>
      <c r="AF7253">
        <v>0.430190069705914</v>
      </c>
      <c r="AG7253">
        <v>-1.1104943630665001</v>
      </c>
      <c r="AH7253">
        <v>17.572621996485601</v>
      </c>
      <c r="AI7253">
        <v>93.614893794824894</v>
      </c>
      <c r="AJ7253">
        <v>88.597639370182506</v>
      </c>
      <c r="AK7253">
        <v>17.612930053169599</v>
      </c>
      <c r="AL7253">
        <v>81.724549675087005</v>
      </c>
      <c r="AM7253">
        <v>86.506407614551406</v>
      </c>
      <c r="AN7253">
        <v>0.99999997905044802</v>
      </c>
    </row>
    <row r="7254" spans="1:40" x14ac:dyDescent="0.25">
      <c r="A7254" t="str">
        <f>"20190312164645168"</f>
        <v>20190312164645168</v>
      </c>
      <c r="B7254" t="str">
        <f>"1552380405158215"</f>
        <v>1552380405158215</v>
      </c>
      <c r="C7254" t="s">
        <v>40</v>
      </c>
      <c r="D7254">
        <v>5.7434529999999997</v>
      </c>
      <c r="E7254">
        <v>0.48939319999999997</v>
      </c>
      <c r="F7254" t="s">
        <v>42</v>
      </c>
      <c r="G7254">
        <v>-129.82</v>
      </c>
      <c r="H7254" s="1">
        <v>-4.0005479999999998E-7</v>
      </c>
      <c r="I7254">
        <v>138.29060000000001</v>
      </c>
      <c r="J7254">
        <v>-147.4316</v>
      </c>
      <c r="K7254">
        <v>1.110603</v>
      </c>
      <c r="L7254">
        <v>138.2319</v>
      </c>
      <c r="M7254">
        <v>0.99927770000000005</v>
      </c>
      <c r="N7254">
        <v>0</v>
      </c>
      <c r="O7254">
        <v>2.751164E-2</v>
      </c>
      <c r="P7254">
        <v>0.9925216</v>
      </c>
      <c r="Q7254">
        <v>0.11787300000000001</v>
      </c>
      <c r="R7254">
        <v>-3.1733900000000002E-2</v>
      </c>
      <c r="S7254">
        <v>3.0459900000000002</v>
      </c>
      <c r="T7254">
        <v>-0.1904497</v>
      </c>
      <c r="U7254">
        <v>1.074219E-2</v>
      </c>
      <c r="V7254">
        <v>5.9072979999999997E-2</v>
      </c>
      <c r="W7254">
        <v>0.1438033</v>
      </c>
      <c r="X7254">
        <v>0.98784159999999999</v>
      </c>
      <c r="Y7254">
        <v>2.389523E-2</v>
      </c>
      <c r="Z7254">
        <v>-2.4651719999999998E-3</v>
      </c>
      <c r="AA7254">
        <v>0.99971149999999998</v>
      </c>
      <c r="AB7254">
        <v>15</v>
      </c>
      <c r="AC7254">
        <v>17.611599999999999</v>
      </c>
      <c r="AD7254">
        <v>-1.1106034000548</v>
      </c>
      <c r="AE7254">
        <v>5.8700000000015899E-2</v>
      </c>
      <c r="AF7254">
        <v>0.424325412049402</v>
      </c>
      <c r="AG7254">
        <v>-1.1106034000548</v>
      </c>
      <c r="AH7254">
        <v>17.5368071652289</v>
      </c>
      <c r="AI7254">
        <v>93.622636445469993</v>
      </c>
      <c r="AJ7254">
        <v>88.613926006537994</v>
      </c>
      <c r="AK7254">
        <v>17.577061686128001</v>
      </c>
      <c r="AL7254">
        <v>81.732013050816207</v>
      </c>
      <c r="AM7254">
        <v>86.577784801046406</v>
      </c>
      <c r="AN7254">
        <v>1.0000000163737599</v>
      </c>
    </row>
    <row r="7255" spans="1:40" x14ac:dyDescent="0.25">
      <c r="A7255" t="str">
        <f>"20190312164645190"</f>
        <v>20190312164645190</v>
      </c>
      <c r="B7255" t="str">
        <f>"1552380405178710"</f>
        <v>1552380405178710</v>
      </c>
      <c r="C7255" t="s">
        <v>40</v>
      </c>
      <c r="D7255">
        <v>5.8021349999999998</v>
      </c>
      <c r="E7255">
        <v>0.48956850000000002</v>
      </c>
      <c r="F7255" t="s">
        <v>42</v>
      </c>
      <c r="G7255">
        <v>-129.66299999999899</v>
      </c>
      <c r="H7255" s="1">
        <v>-4.5057310000000001E-7</v>
      </c>
      <c r="I7255">
        <v>138.3015</v>
      </c>
      <c r="J7255">
        <v>-147.29300000000001</v>
      </c>
      <c r="K7255">
        <v>1.110768</v>
      </c>
      <c r="L7255">
        <v>138.2355</v>
      </c>
      <c r="M7255">
        <v>0.99926669999999995</v>
      </c>
      <c r="N7255">
        <v>0</v>
      </c>
      <c r="O7255">
        <v>2.7358919999999998E-2</v>
      </c>
      <c r="P7255">
        <v>0.99260559999999998</v>
      </c>
      <c r="Q7255">
        <v>0.11737019999999999</v>
      </c>
      <c r="R7255">
        <v>-3.096343E-2</v>
      </c>
      <c r="S7255">
        <v>3.0455779999999999</v>
      </c>
      <c r="T7255">
        <v>-0.1903591</v>
      </c>
      <c r="U7255">
        <v>1.1947630000000001E-2</v>
      </c>
      <c r="V7255">
        <v>5.8149239999999998E-2</v>
      </c>
      <c r="W7255">
        <v>0.14387649999999999</v>
      </c>
      <c r="X7255">
        <v>0.98788569999999998</v>
      </c>
      <c r="Y7255">
        <v>2.3348130000000002E-2</v>
      </c>
      <c r="Z7255">
        <v>-2.437739E-3</v>
      </c>
      <c r="AA7255">
        <v>0.99972439999999996</v>
      </c>
      <c r="AB7255">
        <v>15</v>
      </c>
      <c r="AC7255">
        <v>17.63</v>
      </c>
      <c r="AD7255">
        <v>-1.1107684505730999</v>
      </c>
      <c r="AE7255">
        <v>6.6000000000002501E-2</v>
      </c>
      <c r="AF7255">
        <v>0.41488872426221601</v>
      </c>
      <c r="AG7255">
        <v>-1.1107684505730999</v>
      </c>
      <c r="AH7255">
        <v>17.555515534121501</v>
      </c>
      <c r="AI7255">
        <v>93.619371149621301</v>
      </c>
      <c r="AJ7255">
        <v>88.646183375518504</v>
      </c>
      <c r="AK7255">
        <v>17.595512634563701</v>
      </c>
      <c r="AL7255">
        <v>81.727774531283998</v>
      </c>
      <c r="AM7255">
        <v>86.631324711106203</v>
      </c>
      <c r="AN7255">
        <v>0.99999996881465802</v>
      </c>
    </row>
    <row r="7256" spans="1:40" x14ac:dyDescent="0.25">
      <c r="A7256" t="str">
        <f>"20190312164645212"</f>
        <v>20190312164645212</v>
      </c>
      <c r="B7256" t="str">
        <f>"1552380405207990"</f>
        <v>1552380405207990</v>
      </c>
      <c r="C7256" t="s">
        <v>40</v>
      </c>
      <c r="D7256">
        <v>5.743023</v>
      </c>
      <c r="E7256">
        <v>0.48987160000000002</v>
      </c>
      <c r="F7256" t="s">
        <v>42</v>
      </c>
      <c r="G7256">
        <v>-129.5538</v>
      </c>
      <c r="H7256" s="1">
        <v>-4.8537899999999999E-7</v>
      </c>
      <c r="I7256">
        <v>138.31039999999999</v>
      </c>
      <c r="J7256">
        <v>-147.14709999999999</v>
      </c>
      <c r="K7256">
        <v>1.1108199999999999</v>
      </c>
      <c r="L7256">
        <v>138.23929999999999</v>
      </c>
      <c r="M7256">
        <v>0.99926459999999995</v>
      </c>
      <c r="N7256">
        <v>0</v>
      </c>
      <c r="O7256">
        <v>2.7195960000000002E-2</v>
      </c>
      <c r="P7256">
        <v>0.99264529999999995</v>
      </c>
      <c r="Q7256">
        <v>0.1172078</v>
      </c>
      <c r="R7256">
        <v>-3.0299349999999999E-2</v>
      </c>
      <c r="S7256">
        <v>3.0453030000000001</v>
      </c>
      <c r="T7256">
        <v>-0.1906861</v>
      </c>
      <c r="U7256">
        <v>1.286316E-2</v>
      </c>
      <c r="V7256">
        <v>5.7321520000000001E-2</v>
      </c>
      <c r="W7256">
        <v>0.14395429999999901</v>
      </c>
      <c r="X7256">
        <v>0.98792279999999999</v>
      </c>
      <c r="Y7256">
        <v>2.2885240000000001E-2</v>
      </c>
      <c r="Z7256">
        <v>-2.4174740000000002E-3</v>
      </c>
      <c r="AA7256">
        <v>0.99973520000000005</v>
      </c>
      <c r="AB7256">
        <v>14</v>
      </c>
      <c r="AC7256">
        <v>17.593299999999999</v>
      </c>
      <c r="AD7256">
        <v>-1.110820485379</v>
      </c>
      <c r="AE7256">
        <v>7.1100000000001204E-2</v>
      </c>
      <c r="AF7256">
        <v>0.40594959295403599</v>
      </c>
      <c r="AG7256">
        <v>-1.110820485379</v>
      </c>
      <c r="AH7256">
        <v>17.518884084792202</v>
      </c>
      <c r="AI7256">
        <v>93.627127408019206</v>
      </c>
      <c r="AJ7256">
        <v>88.672573172207606</v>
      </c>
      <c r="AK7256">
        <v>17.5587589766231</v>
      </c>
      <c r="AL7256">
        <v>81.723270520482203</v>
      </c>
      <c r="AM7256">
        <v>86.679292151187198</v>
      </c>
      <c r="AN7256">
        <v>1.0000000279517101</v>
      </c>
    </row>
    <row r="7257" spans="1:40" x14ac:dyDescent="0.25">
      <c r="A7257" t="str">
        <f>"20190312164645235"</f>
        <v>20190312164645235</v>
      </c>
      <c r="B7257" t="str">
        <f>"1552380405228486"</f>
        <v>1552380405228486</v>
      </c>
      <c r="C7257" t="s">
        <v>40</v>
      </c>
      <c r="D7257">
        <v>5.4977919999999996</v>
      </c>
      <c r="E7257">
        <v>0.49007479999999998</v>
      </c>
      <c r="F7257" t="s">
        <v>42</v>
      </c>
      <c r="G7257">
        <v>-129.33770000000001</v>
      </c>
      <c r="H7257" s="1">
        <v>-5.5778250000000003E-7</v>
      </c>
      <c r="I7257">
        <v>138.31460000000001</v>
      </c>
      <c r="J7257">
        <v>-147.00550000000001</v>
      </c>
      <c r="K7257">
        <v>1.1107530000000001</v>
      </c>
      <c r="L7257">
        <v>138.24299999999999</v>
      </c>
      <c r="M7257">
        <v>0.99927259999999996</v>
      </c>
      <c r="N7257">
        <v>0</v>
      </c>
      <c r="O7257">
        <v>2.704931E-2</v>
      </c>
      <c r="P7257">
        <v>0.99257740000000005</v>
      </c>
      <c r="Q7257">
        <v>0.11792420000000001</v>
      </c>
      <c r="R7257">
        <v>-2.973928E-2</v>
      </c>
      <c r="S7257">
        <v>3.045029</v>
      </c>
      <c r="T7257">
        <v>-0.18992629999999999</v>
      </c>
      <c r="U7257">
        <v>1.287842E-2</v>
      </c>
      <c r="V7257">
        <v>5.6613549999999999E-2</v>
      </c>
      <c r="W7257">
        <v>0.14452670000000001</v>
      </c>
      <c r="X7257">
        <v>0.98788010000000004</v>
      </c>
      <c r="Y7257">
        <v>2.2734359999999999E-2</v>
      </c>
      <c r="Z7257">
        <v>-2.3942289999999999E-3</v>
      </c>
      <c r="AA7257">
        <v>0.99973869999999998</v>
      </c>
      <c r="AB7257">
        <v>14</v>
      </c>
      <c r="AC7257">
        <v>17.6678</v>
      </c>
      <c r="AD7257">
        <v>-1.1107535577824901</v>
      </c>
      <c r="AE7257">
        <v>7.1600000000017802E-2</v>
      </c>
      <c r="AF7257">
        <v>0.404900439951072</v>
      </c>
      <c r="AG7257">
        <v>-1.1107535577824901</v>
      </c>
      <c r="AH7257">
        <v>17.593730263014098</v>
      </c>
      <c r="AI7257">
        <v>93.611534153094894</v>
      </c>
      <c r="AJ7257">
        <v>88.681633083692802</v>
      </c>
      <c r="AK7257">
        <v>17.633407566324099</v>
      </c>
      <c r="AL7257">
        <v>81.690128238836607</v>
      </c>
      <c r="AM7257">
        <v>86.720074195725402</v>
      </c>
      <c r="AN7257">
        <v>1.00000007651624</v>
      </c>
    </row>
    <row r="7258" spans="1:40" x14ac:dyDescent="0.25">
      <c r="A7258" t="str">
        <f>"20190312164645257"</f>
        <v>20190312164645257</v>
      </c>
      <c r="B7258" t="str">
        <f>"1552380405248007"</f>
        <v>1552380405248007</v>
      </c>
      <c r="C7258" t="s">
        <v>40</v>
      </c>
      <c r="D7258">
        <v>5.6339119999999996</v>
      </c>
      <c r="E7258">
        <v>0.49017230000000001</v>
      </c>
      <c r="F7258" t="s">
        <v>42</v>
      </c>
      <c r="G7258">
        <v>-128.90379999999999</v>
      </c>
      <c r="H7258" s="1">
        <v>-7.0442929999999996E-7</v>
      </c>
      <c r="I7258">
        <v>138.3184</v>
      </c>
      <c r="J7258">
        <v>-146.87209999999999</v>
      </c>
      <c r="K7258">
        <v>1.1107199999999999</v>
      </c>
      <c r="L7258">
        <v>138.24639999999999</v>
      </c>
      <c r="M7258">
        <v>0.99927940000000004</v>
      </c>
      <c r="N7258">
        <v>0</v>
      </c>
      <c r="O7258">
        <v>2.6919129999999999E-2</v>
      </c>
      <c r="P7258">
        <v>0.99250859999999996</v>
      </c>
      <c r="Q7258">
        <v>0.118544</v>
      </c>
      <c r="R7258">
        <v>-2.9567960000000001E-2</v>
      </c>
      <c r="S7258">
        <v>3.045013</v>
      </c>
      <c r="T7258">
        <v>-0.18684709999999999</v>
      </c>
      <c r="U7258">
        <v>1.269531E-2</v>
      </c>
      <c r="V7258">
        <v>5.6310590000000001E-2</v>
      </c>
      <c r="W7258">
        <v>0.14502019999999999</v>
      </c>
      <c r="X7258">
        <v>0.98782499999999995</v>
      </c>
      <c r="Y7258">
        <v>2.26676E-2</v>
      </c>
      <c r="Z7258">
        <v>-2.345466E-3</v>
      </c>
      <c r="AA7258">
        <v>0.99974030000000003</v>
      </c>
      <c r="AB7258">
        <v>14</v>
      </c>
      <c r="AC7258">
        <v>17.968299999999999</v>
      </c>
      <c r="AD7258">
        <v>-1.1107207044292999</v>
      </c>
      <c r="AE7258">
        <v>7.2000000000002701E-2</v>
      </c>
      <c r="AF7258">
        <v>0.410322493775511</v>
      </c>
      <c r="AG7258">
        <v>-1.1107207044292999</v>
      </c>
      <c r="AH7258">
        <v>17.895342800741201</v>
      </c>
      <c r="AI7258">
        <v>93.550723674908497</v>
      </c>
      <c r="AJ7258">
        <v>88.6864946543581</v>
      </c>
      <c r="AK7258">
        <v>17.9344740371215</v>
      </c>
      <c r="AL7258">
        <v>81.661550953078304</v>
      </c>
      <c r="AM7258">
        <v>86.737406693230298</v>
      </c>
      <c r="AN7258">
        <v>0.99999998578959304</v>
      </c>
    </row>
    <row r="7259" spans="1:40" x14ac:dyDescent="0.25">
      <c r="A7259" t="str">
        <f>"20190312164645281"</f>
        <v>20190312164645281</v>
      </c>
      <c r="B7259" t="str">
        <f>"1552380405268502"</f>
        <v>1552380405268502</v>
      </c>
      <c r="C7259" t="s">
        <v>40</v>
      </c>
      <c r="D7259">
        <v>5.7590389999999996</v>
      </c>
      <c r="E7259">
        <v>0.4902704</v>
      </c>
      <c r="F7259" t="s">
        <v>42</v>
      </c>
      <c r="G7259">
        <v>-128.56100000000001</v>
      </c>
      <c r="H7259" s="1">
        <v>-8.2951829999999995E-7</v>
      </c>
      <c r="I7259">
        <v>138.3202</v>
      </c>
      <c r="J7259">
        <v>-146.732</v>
      </c>
      <c r="K7259">
        <v>1.110749</v>
      </c>
      <c r="L7259">
        <v>138.25</v>
      </c>
      <c r="M7259">
        <v>0.99928150000000004</v>
      </c>
      <c r="N7259">
        <v>0</v>
      </c>
      <c r="O7259">
        <v>2.67791E-2</v>
      </c>
      <c r="P7259">
        <v>0.99246210000000001</v>
      </c>
      <c r="Q7259">
        <v>0.1189288</v>
      </c>
      <c r="R7259">
        <v>-2.958268E-2</v>
      </c>
      <c r="S7259">
        <v>3.0450740000000001</v>
      </c>
      <c r="T7259">
        <v>-0.18470900000000001</v>
      </c>
      <c r="U7259">
        <v>1.228333E-2</v>
      </c>
      <c r="V7259">
        <v>5.6183009999999999E-2</v>
      </c>
      <c r="W7259">
        <v>0.14546979999999901</v>
      </c>
      <c r="X7259">
        <v>0.98776609999999998</v>
      </c>
      <c r="Y7259">
        <v>2.2665279999999999E-2</v>
      </c>
      <c r="Z7259">
        <v>-2.3100769999999998E-3</v>
      </c>
      <c r="AA7259">
        <v>0.99974039999999997</v>
      </c>
      <c r="AB7259">
        <v>14</v>
      </c>
      <c r="AC7259">
        <v>18.1709999999999</v>
      </c>
      <c r="AD7259">
        <v>-1.1107498295183</v>
      </c>
      <c r="AE7259">
        <v>7.0199999999999804E-2</v>
      </c>
      <c r="AF7259">
        <v>0.41505248070465001</v>
      </c>
      <c r="AG7259">
        <v>-1.1107498295183</v>
      </c>
      <c r="AH7259">
        <v>18.0987328707877</v>
      </c>
      <c r="AI7259">
        <v>93.511013240412098</v>
      </c>
      <c r="AJ7259">
        <v>88.686284389269801</v>
      </c>
      <c r="AK7259">
        <v>18.137534707717101</v>
      </c>
      <c r="AL7259">
        <v>81.635514210882903</v>
      </c>
      <c r="AM7259">
        <v>86.744588978747402</v>
      </c>
      <c r="AN7259">
        <v>0.99999993081695204</v>
      </c>
    </row>
    <row r="7260" spans="1:40" x14ac:dyDescent="0.25">
      <c r="A7260" t="str">
        <f>"20190312164645303"</f>
        <v>20190312164645303</v>
      </c>
      <c r="B7260" t="str">
        <f>"1552380405298758"</f>
        <v>1552380405298758</v>
      </c>
      <c r="C7260" t="s">
        <v>40</v>
      </c>
      <c r="D7260">
        <v>5.7833170000000003</v>
      </c>
      <c r="E7260">
        <v>0.50936009999999998</v>
      </c>
      <c r="F7260" t="s">
        <v>42</v>
      </c>
      <c r="G7260">
        <v>-128.35419999999999</v>
      </c>
      <c r="H7260" s="1">
        <v>-9.1856910000000002E-7</v>
      </c>
      <c r="I7260">
        <v>138.3185</v>
      </c>
      <c r="J7260">
        <v>-146.6035</v>
      </c>
      <c r="K7260">
        <v>1.1107940000000001</v>
      </c>
      <c r="L7260">
        <v>138.2533</v>
      </c>
      <c r="M7260">
        <v>0.99928099999999997</v>
      </c>
      <c r="N7260">
        <v>0</v>
      </c>
      <c r="O7260">
        <v>2.6643710000000001E-2</v>
      </c>
      <c r="P7260">
        <v>0.99254909999999996</v>
      </c>
      <c r="Q7260">
        <v>0.1182836</v>
      </c>
      <c r="R7260">
        <v>-2.9246999999999999E-2</v>
      </c>
      <c r="S7260">
        <v>3.0451809999999999</v>
      </c>
      <c r="T7260">
        <v>-0.18404960000000001</v>
      </c>
      <c r="U7260">
        <v>1.1367800000000001E-2</v>
      </c>
      <c r="V7260">
        <v>5.571313E-2</v>
      </c>
      <c r="W7260">
        <v>0.1449754</v>
      </c>
      <c r="X7260">
        <v>0.9878654</v>
      </c>
      <c r="Y7260">
        <v>2.2831230000000001E-2</v>
      </c>
      <c r="Z7260">
        <v>-2.2986080000000002E-3</v>
      </c>
      <c r="AA7260">
        <v>0.99973670000000003</v>
      </c>
      <c r="AB7260">
        <v>13</v>
      </c>
      <c r="AC7260">
        <v>18.249300000000002</v>
      </c>
      <c r="AD7260">
        <v>-1.1107949185691</v>
      </c>
      <c r="AE7260">
        <v>6.5200000000004296E-2</v>
      </c>
      <c r="AF7260">
        <v>0.41967437821317499</v>
      </c>
      <c r="AG7260">
        <v>-1.1107949185691</v>
      </c>
      <c r="AH7260">
        <v>18.1772107498645</v>
      </c>
      <c r="AI7260">
        <v>93.496021651248796</v>
      </c>
      <c r="AJ7260">
        <v>88.677393368175998</v>
      </c>
      <c r="AK7260">
        <v>18.2159540672411</v>
      </c>
      <c r="AL7260">
        <v>81.664144785432299</v>
      </c>
      <c r="AM7260">
        <v>86.772081215318394</v>
      </c>
      <c r="AN7260">
        <v>0.99999993398835596</v>
      </c>
    </row>
    <row r="7261" spans="1:40" x14ac:dyDescent="0.25">
      <c r="A7261" t="str">
        <f>"20190312164645324"</f>
        <v>20190312164645324</v>
      </c>
      <c r="B7261" t="str">
        <f>"1552380405318296"</f>
        <v>1552380405318296</v>
      </c>
      <c r="C7261" t="s">
        <v>40</v>
      </c>
      <c r="D7261">
        <v>5.579288</v>
      </c>
      <c r="E7261">
        <v>0.53870830000000003</v>
      </c>
      <c r="F7261" t="s">
        <v>42</v>
      </c>
      <c r="G7261">
        <v>-132.6507</v>
      </c>
      <c r="H7261" s="1">
        <v>-3.4886930000000002E-6</v>
      </c>
      <c r="I7261">
        <v>137.62299999999999</v>
      </c>
      <c r="J7261">
        <v>-146.48140000000001</v>
      </c>
      <c r="K7261">
        <v>1.1108229999999999</v>
      </c>
      <c r="L7261">
        <v>138.25640000000001</v>
      </c>
      <c r="M7261">
        <v>0.9992818</v>
      </c>
      <c r="N7261">
        <v>0</v>
      </c>
      <c r="O7261">
        <v>2.6514240000000001E-2</v>
      </c>
      <c r="P7261">
        <v>0.99271200000000004</v>
      </c>
      <c r="Q7261">
        <v>0.1169158</v>
      </c>
      <c r="R7261">
        <v>-2.9213099999999999E-2</v>
      </c>
      <c r="S7261">
        <v>3.0473789999999998</v>
      </c>
      <c r="T7261">
        <v>-0.2426054</v>
      </c>
      <c r="U7261">
        <v>-0.13763429999999999</v>
      </c>
      <c r="V7261">
        <v>5.5554260000000001E-2</v>
      </c>
      <c r="W7261">
        <v>0.1437099</v>
      </c>
      <c r="X7261">
        <v>0.98805929999999997</v>
      </c>
      <c r="Y7261">
        <v>7.129096E-2</v>
      </c>
      <c r="Z7261">
        <v>-4.9391900000000004E-3</v>
      </c>
      <c r="AA7261">
        <v>0.99744330000000003</v>
      </c>
      <c r="AB7261">
        <v>13</v>
      </c>
      <c r="AC7261">
        <v>13.8307</v>
      </c>
      <c r="AD7261">
        <v>-1.1108264886929999</v>
      </c>
      <c r="AE7261">
        <v>-0.63340000000002294</v>
      </c>
      <c r="AF7261">
        <v>0.99362597794656604</v>
      </c>
      <c r="AG7261">
        <v>-1.1108264886929999</v>
      </c>
      <c r="AH7261">
        <v>13.720711377942999</v>
      </c>
      <c r="AI7261">
        <v>94.616524602787095</v>
      </c>
      <c r="AJ7261">
        <v>85.857986960822302</v>
      </c>
      <c r="AK7261">
        <v>13.801418361489</v>
      </c>
      <c r="AL7261">
        <v>81.737420473118306</v>
      </c>
      <c r="AM7261">
        <v>86.781896803765093</v>
      </c>
      <c r="AN7261">
        <v>0.99999999573932297</v>
      </c>
    </row>
    <row r="7262" spans="1:40" x14ac:dyDescent="0.25">
      <c r="A7262" t="str">
        <f>"20190312164645346"</f>
        <v>20190312164645346</v>
      </c>
      <c r="B7262" t="str">
        <f>"1552380405338774"</f>
        <v>1552380405338774</v>
      </c>
      <c r="C7262" t="s">
        <v>40</v>
      </c>
      <c r="D7262">
        <v>5.6020200000000004</v>
      </c>
      <c r="E7262">
        <v>0.53974949999999999</v>
      </c>
      <c r="F7262" t="s">
        <v>41</v>
      </c>
      <c r="G7262">
        <v>-145.7868</v>
      </c>
      <c r="H7262">
        <v>0.91672770000000003</v>
      </c>
      <c r="I7262">
        <v>138.17910000000001</v>
      </c>
      <c r="J7262">
        <v>-146.3586</v>
      </c>
      <c r="K7262">
        <v>1.110833</v>
      </c>
      <c r="L7262">
        <v>138.2595</v>
      </c>
      <c r="M7262">
        <v>0.99928399999999995</v>
      </c>
      <c r="N7262">
        <v>0</v>
      </c>
      <c r="O7262">
        <v>2.6389260000000001E-2</v>
      </c>
      <c r="P7262">
        <v>0.99281620000000004</v>
      </c>
      <c r="Q7262">
        <v>0.11607149999999999</v>
      </c>
      <c r="R7262">
        <v>-2.904E-2</v>
      </c>
      <c r="S7262">
        <v>3.1143489999999998</v>
      </c>
      <c r="T7262">
        <v>-0.870286</v>
      </c>
      <c r="U7262">
        <v>-0.34625240000000002</v>
      </c>
      <c r="V7262">
        <v>5.5260190000000001E-2</v>
      </c>
      <c r="W7262">
        <v>0.1429086</v>
      </c>
      <c r="X7262">
        <v>0.98819199999999996</v>
      </c>
      <c r="Y7262">
        <v>0.13074530000000001</v>
      </c>
      <c r="Z7262">
        <v>-2.5091909999999999E-2</v>
      </c>
      <c r="AA7262">
        <v>0.99109840000000005</v>
      </c>
      <c r="AB7262">
        <v>13</v>
      </c>
      <c r="AC7262">
        <v>0.57179999999999598</v>
      </c>
      <c r="AD7262">
        <v>-0.19410529999999901</v>
      </c>
      <c r="AE7262">
        <v>-8.0399999999997293E-2</v>
      </c>
      <c r="AF7262">
        <v>8.5774290420128796E-2</v>
      </c>
      <c r="AG7262">
        <v>-0.19410529999999901</v>
      </c>
      <c r="AH7262">
        <v>0.51165994062173603</v>
      </c>
      <c r="AI7262">
        <v>110.51298682690501</v>
      </c>
      <c r="AJ7262">
        <v>80.483467329432798</v>
      </c>
      <c r="AK7262">
        <v>0.55392236931018102</v>
      </c>
      <c r="AL7262">
        <v>81.783810396738303</v>
      </c>
      <c r="AM7262">
        <v>86.799324906272105</v>
      </c>
      <c r="AN7262">
        <v>0.99999999270839801</v>
      </c>
    </row>
    <row r="7263" spans="1:40" x14ac:dyDescent="0.25">
      <c r="A7263" t="str">
        <f>"20190312164645368"</f>
        <v>20190312164645368</v>
      </c>
      <c r="B7263" t="str">
        <f>"1552380405358294"</f>
        <v>1552380405358294</v>
      </c>
      <c r="C7263" t="s">
        <v>40</v>
      </c>
      <c r="D7263">
        <v>5.6135929999999998</v>
      </c>
      <c r="E7263">
        <v>0.5299566</v>
      </c>
      <c r="F7263" t="s">
        <v>41</v>
      </c>
      <c r="G7263">
        <v>-145.6754</v>
      </c>
      <c r="H7263">
        <v>0.91791769999999995</v>
      </c>
      <c r="I7263">
        <v>138.1816</v>
      </c>
      <c r="J7263">
        <v>-146.23869999999999</v>
      </c>
      <c r="K7263">
        <v>1.110841</v>
      </c>
      <c r="L7263">
        <v>138.26249999999999</v>
      </c>
      <c r="M7263">
        <v>0.99928620000000001</v>
      </c>
      <c r="N7263">
        <v>0</v>
      </c>
      <c r="O7263">
        <v>2.6268949999999999E-2</v>
      </c>
      <c r="P7263">
        <v>0.99283750000000004</v>
      </c>
      <c r="Q7263">
        <v>0.1156682</v>
      </c>
      <c r="R7263">
        <v>-2.9912640000000001E-2</v>
      </c>
      <c r="S7263">
        <v>3.1141510000000001</v>
      </c>
      <c r="T7263">
        <v>-0.87927409999999995</v>
      </c>
      <c r="U7263">
        <v>-0.35401919999999998</v>
      </c>
      <c r="V7263">
        <v>5.6013899999999998E-2</v>
      </c>
      <c r="W7263">
        <v>0.14254049999999999</v>
      </c>
      <c r="X7263">
        <v>0.98820280000000005</v>
      </c>
      <c r="Y7263">
        <v>0.13287579999999999</v>
      </c>
      <c r="Z7263">
        <v>-2.5600589999999999E-2</v>
      </c>
      <c r="AA7263">
        <v>0.99080199999999996</v>
      </c>
      <c r="AB7263">
        <v>13</v>
      </c>
      <c r="AC7263">
        <v>0.56329999999999802</v>
      </c>
      <c r="AD7263">
        <v>-0.19292329999999999</v>
      </c>
      <c r="AE7263">
        <v>-8.0899999999985497E-2</v>
      </c>
      <c r="AF7263">
        <v>8.5812606640451095E-2</v>
      </c>
      <c r="AG7263">
        <v>-0.19292329999999999</v>
      </c>
      <c r="AH7263">
        <v>0.50315346072177303</v>
      </c>
      <c r="AI7263">
        <v>110.705123411567</v>
      </c>
      <c r="AJ7263">
        <v>80.321353837956906</v>
      </c>
      <c r="AK7263">
        <v>0.54566162424859599</v>
      </c>
      <c r="AL7263">
        <v>81.805119698778697</v>
      </c>
      <c r="AM7263">
        <v>86.755797960354599</v>
      </c>
      <c r="AN7263">
        <v>1.00000006253064</v>
      </c>
    </row>
    <row r="7264" spans="1:40" x14ac:dyDescent="0.25">
      <c r="A7264" t="str">
        <f>"20190312164645391"</f>
        <v>20190312164645391</v>
      </c>
      <c r="B7264" t="str">
        <f>"1552380405388550"</f>
        <v>1552380405388550</v>
      </c>
      <c r="C7264" t="s">
        <v>40</v>
      </c>
      <c r="D7264">
        <v>5.1758790000000001</v>
      </c>
      <c r="E7264">
        <v>0.52944069999999899</v>
      </c>
      <c r="F7264" t="s">
        <v>41</v>
      </c>
      <c r="G7264">
        <v>-145.51429999999999</v>
      </c>
      <c r="H7264">
        <v>1.0222719999999901</v>
      </c>
      <c r="I7264">
        <v>138.19149999999999</v>
      </c>
      <c r="J7264">
        <v>-146.119</v>
      </c>
      <c r="K7264">
        <v>1.110868</v>
      </c>
      <c r="L7264">
        <v>138.2654</v>
      </c>
      <c r="M7264">
        <v>0.99928720000000004</v>
      </c>
      <c r="N7264">
        <v>0</v>
      </c>
      <c r="O7264">
        <v>2.6144319999999999E-2</v>
      </c>
      <c r="P7264">
        <v>0.99284740000000005</v>
      </c>
      <c r="Q7264">
        <v>0.1153252</v>
      </c>
      <c r="R7264">
        <v>-3.0885579999999999E-2</v>
      </c>
      <c r="S7264">
        <v>3.0561829999999999</v>
      </c>
      <c r="T7264">
        <v>-0.37377549999999998</v>
      </c>
      <c r="U7264">
        <v>-0.29902649999999997</v>
      </c>
      <c r="V7264">
        <v>5.6862210000000003E-2</v>
      </c>
      <c r="W7264">
        <v>0.14228089999999999</v>
      </c>
      <c r="X7264">
        <v>0.98819170000000001</v>
      </c>
      <c r="Y7264">
        <v>0.12227830000000001</v>
      </c>
      <c r="Z7264">
        <v>-1.0612129999999999E-2</v>
      </c>
      <c r="AA7264">
        <v>0.99243910000000002</v>
      </c>
      <c r="AB7264">
        <v>12</v>
      </c>
      <c r="AC7264">
        <v>0.60470000000000801</v>
      </c>
      <c r="AD7264">
        <v>-8.8596000000000105E-2</v>
      </c>
      <c r="AE7264">
        <v>-7.3900000000008903E-2</v>
      </c>
      <c r="AF7264">
        <v>8.7832402366735396E-2</v>
      </c>
      <c r="AG7264">
        <v>-8.8596000000000105E-2</v>
      </c>
      <c r="AH7264">
        <v>0.59008017995672402</v>
      </c>
      <c r="AI7264">
        <v>98.447041341674307</v>
      </c>
      <c r="AJ7264">
        <v>81.533783550342093</v>
      </c>
      <c r="AK7264">
        <v>0.60312386862009704</v>
      </c>
      <c r="AL7264">
        <v>81.820146334782805</v>
      </c>
      <c r="AM7264">
        <v>86.706736134647798</v>
      </c>
      <c r="AN7264">
        <v>1.0000000006898899</v>
      </c>
    </row>
    <row r="7265" spans="1:40" x14ac:dyDescent="0.25">
      <c r="A7265" t="str">
        <f>"20190312164645413"</f>
        <v>20190312164645413</v>
      </c>
      <c r="B7265" t="str">
        <f>"1552380405408070"</f>
        <v>1552380405408070</v>
      </c>
      <c r="C7265" t="s">
        <v>40</v>
      </c>
      <c r="D7265">
        <v>5.6380109999999997</v>
      </c>
      <c r="E7265">
        <v>0.52915509999999999</v>
      </c>
      <c r="F7265" t="s">
        <v>41</v>
      </c>
      <c r="G7265">
        <v>-145.31110000000001</v>
      </c>
      <c r="H7265">
        <v>1.009765</v>
      </c>
      <c r="I7265">
        <v>138.18680000000001</v>
      </c>
      <c r="J7265">
        <v>-146.0044</v>
      </c>
      <c r="K7265">
        <v>1.1109039999999999</v>
      </c>
      <c r="L7265">
        <v>138.26830000000001</v>
      </c>
      <c r="M7265">
        <v>0.9992875</v>
      </c>
      <c r="N7265">
        <v>0</v>
      </c>
      <c r="O7265">
        <v>2.6019770000000001E-2</v>
      </c>
      <c r="P7265">
        <v>0.99295710000000004</v>
      </c>
      <c r="Q7265">
        <v>0.1142551</v>
      </c>
      <c r="R7265">
        <v>-3.1339480000000003E-2</v>
      </c>
      <c r="S7265">
        <v>3.0568080000000002</v>
      </c>
      <c r="T7265">
        <v>-0.38257629999999998</v>
      </c>
      <c r="U7265">
        <v>-0.29728700000000002</v>
      </c>
      <c r="V7265">
        <v>5.7194010000000003E-2</v>
      </c>
      <c r="W7265">
        <v>0.14132220000000001</v>
      </c>
      <c r="X7265">
        <v>0.98831009999999997</v>
      </c>
      <c r="Y7265">
        <v>0.12153070000000001</v>
      </c>
      <c r="Z7265">
        <v>-1.0796210000000001E-2</v>
      </c>
      <c r="AA7265">
        <v>0.99252899999999999</v>
      </c>
      <c r="AB7265">
        <v>12</v>
      </c>
      <c r="AC7265">
        <v>0.69329999999999303</v>
      </c>
      <c r="AD7265">
        <v>-0.10113900000000001</v>
      </c>
      <c r="AE7265">
        <v>-8.1500000000005401E-2</v>
      </c>
      <c r="AF7265">
        <v>9.7472584390315004E-2</v>
      </c>
      <c r="AG7265">
        <v>-0.10113900000000001</v>
      </c>
      <c r="AH7265">
        <v>0.67673823028183799</v>
      </c>
      <c r="AI7265">
        <v>98.414412547607796</v>
      </c>
      <c r="AJ7265">
        <v>81.803888730571998</v>
      </c>
      <c r="AK7265">
        <v>0.69116180041559105</v>
      </c>
      <c r="AL7265">
        <v>81.8756364062627</v>
      </c>
      <c r="AM7265">
        <v>86.687958033429993</v>
      </c>
      <c r="AN7265">
        <v>0.99999998637736498</v>
      </c>
    </row>
    <row r="7266" spans="1:40" x14ac:dyDescent="0.25">
      <c r="A7266" t="str">
        <f>"20190312164645436"</f>
        <v>20190312164645436</v>
      </c>
      <c r="B7266" t="str">
        <f>"1552380405428566"</f>
        <v>1552380405428566</v>
      </c>
      <c r="C7266" t="s">
        <v>40</v>
      </c>
      <c r="D7266">
        <v>5.6475839999999904</v>
      </c>
      <c r="E7266">
        <v>0.52851029999999999</v>
      </c>
      <c r="F7266" t="s">
        <v>41</v>
      </c>
      <c r="G7266">
        <v>-145.2099</v>
      </c>
      <c r="H7266">
        <v>1.0105599999999999</v>
      </c>
      <c r="I7266">
        <v>138.19110000000001</v>
      </c>
      <c r="J7266">
        <v>-145.892</v>
      </c>
      <c r="K7266">
        <v>1.1109260000000001</v>
      </c>
      <c r="L7266">
        <v>138.27109999999999</v>
      </c>
      <c r="M7266">
        <v>0.99928799999999995</v>
      </c>
      <c r="N7266">
        <v>0</v>
      </c>
      <c r="O7266">
        <v>2.5898330000000001E-2</v>
      </c>
      <c r="P7266">
        <v>0.99302789999999996</v>
      </c>
      <c r="Q7266">
        <v>0.1134859</v>
      </c>
      <c r="R7266">
        <v>-3.1885700000000003E-2</v>
      </c>
      <c r="S7266">
        <v>3.0563509999999998</v>
      </c>
      <c r="T7266">
        <v>-0.38607799999999998</v>
      </c>
      <c r="U7266">
        <v>-0.29658509999999999</v>
      </c>
      <c r="V7266">
        <v>5.7620749999999998E-2</v>
      </c>
      <c r="W7266">
        <v>0.14065469999999999</v>
      </c>
      <c r="X7266">
        <v>0.98838060000000005</v>
      </c>
      <c r="Y7266">
        <v>0.1211811</v>
      </c>
      <c r="Z7266">
        <v>-1.08588E-2</v>
      </c>
      <c r="AA7266">
        <v>0.99257099999999998</v>
      </c>
      <c r="AB7266">
        <v>12</v>
      </c>
      <c r="AC7266">
        <v>0.68209999999999105</v>
      </c>
      <c r="AD7266">
        <v>-0.100365999999999</v>
      </c>
      <c r="AE7266">
        <v>-7.9999999999984001E-2</v>
      </c>
      <c r="AF7266">
        <v>9.5603234896483202E-2</v>
      </c>
      <c r="AG7266">
        <v>-0.100365999999999</v>
      </c>
      <c r="AH7266">
        <v>0.66558341089939699</v>
      </c>
      <c r="AI7266">
        <v>98.489412932530001</v>
      </c>
      <c r="AJ7266">
        <v>81.826043514643999</v>
      </c>
      <c r="AK7266">
        <v>0.67986365496557299</v>
      </c>
      <c r="AL7266">
        <v>81.914267756193098</v>
      </c>
      <c r="AM7266">
        <v>86.663539085827296</v>
      </c>
      <c r="AN7266">
        <v>1.0000000529594999</v>
      </c>
    </row>
    <row r="7267" spans="1:40" x14ac:dyDescent="0.25">
      <c r="A7267" t="str">
        <f>"20190312164645458"</f>
        <v>20190312164645458</v>
      </c>
      <c r="B7267" t="str">
        <f>"1552380405448087"</f>
        <v>1552380405448087</v>
      </c>
      <c r="C7267" t="s">
        <v>40</v>
      </c>
      <c r="D7267">
        <v>6.0952809999999999</v>
      </c>
      <c r="E7267">
        <v>0.53038699999999905</v>
      </c>
      <c r="F7267" t="s">
        <v>41</v>
      </c>
      <c r="G7267">
        <v>-145.11060000000001</v>
      </c>
      <c r="H7267">
        <v>1.012513</v>
      </c>
      <c r="I7267">
        <v>138.196</v>
      </c>
      <c r="J7267">
        <v>-145.78299999999999</v>
      </c>
      <c r="K7267">
        <v>1.1109500000000001</v>
      </c>
      <c r="L7267">
        <v>138.27369999999999</v>
      </c>
      <c r="M7267">
        <v>0.99928839999999997</v>
      </c>
      <c r="N7267">
        <v>0</v>
      </c>
      <c r="O7267">
        <v>2.5783179999999999E-2</v>
      </c>
      <c r="P7267">
        <v>0.99301890000000004</v>
      </c>
      <c r="Q7267">
        <v>0.1134011</v>
      </c>
      <c r="R7267">
        <v>-3.2460389999999999E-2</v>
      </c>
      <c r="S7267">
        <v>3.0556030000000001</v>
      </c>
      <c r="T7267">
        <v>-0.38485469999999999</v>
      </c>
      <c r="U7267">
        <v>-0.29344179999999997</v>
      </c>
      <c r="V7267">
        <v>5.8080619999999999E-2</v>
      </c>
      <c r="W7267">
        <v>0.14065610000000001</v>
      </c>
      <c r="X7267">
        <v>0.98835340000000005</v>
      </c>
      <c r="Y7267">
        <v>0.12009450000000001</v>
      </c>
      <c r="Z7267">
        <v>-1.0745370000000001E-2</v>
      </c>
      <c r="AA7267">
        <v>0.99270429999999998</v>
      </c>
      <c r="AB7267">
        <v>11</v>
      </c>
      <c r="AC7267">
        <v>0.67239999999998101</v>
      </c>
      <c r="AD7267">
        <v>-9.8437000000000094E-2</v>
      </c>
      <c r="AE7267">
        <v>-7.7699999999992997E-2</v>
      </c>
      <c r="AF7267">
        <v>9.3049383966097896E-2</v>
      </c>
      <c r="AG7267">
        <v>-9.8437000000000094E-2</v>
      </c>
      <c r="AH7267">
        <v>0.65629192632806099</v>
      </c>
      <c r="AI7267">
        <v>98.446946133939406</v>
      </c>
      <c r="AJ7267">
        <v>81.930361241728505</v>
      </c>
      <c r="AK7267">
        <v>0.67012470734100404</v>
      </c>
      <c r="AL7267">
        <v>81.914186062101507</v>
      </c>
      <c r="AM7267">
        <v>86.636879397925995</v>
      </c>
      <c r="AN7267">
        <v>0.99999997008917596</v>
      </c>
    </row>
    <row r="7268" spans="1:40" x14ac:dyDescent="0.25">
      <c r="A7268" t="str">
        <f>"20190312164645481"</f>
        <v>20190312164645481</v>
      </c>
      <c r="B7268" t="str">
        <f>"1552380405478343"</f>
        <v>1552380405478343</v>
      </c>
      <c r="C7268" t="s">
        <v>40</v>
      </c>
      <c r="D7268">
        <v>5.6813570000000002</v>
      </c>
      <c r="E7268">
        <v>0.53178149999999902</v>
      </c>
      <c r="F7268" t="s">
        <v>41</v>
      </c>
      <c r="G7268">
        <v>-145.0154</v>
      </c>
      <c r="H7268">
        <v>1.0108239999999999</v>
      </c>
      <c r="I7268">
        <v>138.19579999999999</v>
      </c>
      <c r="J7268">
        <v>-145.67619999999999</v>
      </c>
      <c r="K7268">
        <v>1.111048</v>
      </c>
      <c r="L7268">
        <v>138.2764</v>
      </c>
      <c r="M7268">
        <v>0.99928150000000004</v>
      </c>
      <c r="N7268">
        <v>0</v>
      </c>
      <c r="O7268">
        <v>2.5673359999999999E-2</v>
      </c>
      <c r="P7268">
        <v>0.99302060000000003</v>
      </c>
      <c r="Q7268">
        <v>0.1133313</v>
      </c>
      <c r="R7268">
        <v>-3.2658439999999997E-2</v>
      </c>
      <c r="S7268">
        <v>3.0565190000000002</v>
      </c>
      <c r="T7268">
        <v>-0.39877030000000002</v>
      </c>
      <c r="U7268">
        <v>-0.30987550000000003</v>
      </c>
      <c r="V7268">
        <v>5.8168770000000002E-2</v>
      </c>
      <c r="W7268">
        <v>0.1409398</v>
      </c>
      <c r="X7268">
        <v>0.98830779999999996</v>
      </c>
      <c r="Y7268">
        <v>0.12511810000000001</v>
      </c>
      <c r="Z7268">
        <v>-1.1435870000000001E-2</v>
      </c>
      <c r="AA7268">
        <v>0.99207590000000001</v>
      </c>
      <c r="AB7268">
        <v>11</v>
      </c>
      <c r="AC7268">
        <v>0.66079999999999395</v>
      </c>
      <c r="AD7268">
        <v>-0.10022399999999999</v>
      </c>
      <c r="AE7268">
        <v>-8.0600000000004002E-2</v>
      </c>
      <c r="AF7268">
        <v>9.5382942573218596E-2</v>
      </c>
      <c r="AG7268">
        <v>-0.10022399999999999</v>
      </c>
      <c r="AH7268">
        <v>0.64391643321601699</v>
      </c>
      <c r="AI7268">
        <v>98.752953493347903</v>
      </c>
      <c r="AJ7268">
        <v>81.574083174791198</v>
      </c>
      <c r="AK7268">
        <v>0.65861303424360096</v>
      </c>
      <c r="AL7268">
        <v>81.897767696484095</v>
      </c>
      <c r="AM7268">
        <v>86.631631822337297</v>
      </c>
      <c r="AN7268">
        <v>0.99999997028409604</v>
      </c>
    </row>
    <row r="7269" spans="1:40" x14ac:dyDescent="0.25">
      <c r="A7269" t="str">
        <f>"20190312164645505"</f>
        <v>20190312164645505</v>
      </c>
      <c r="B7269" t="str">
        <f>"1552380405498838"</f>
        <v>1552380405498838</v>
      </c>
      <c r="C7269" t="s">
        <v>40</v>
      </c>
      <c r="D7269">
        <v>5.8292630000000001</v>
      </c>
      <c r="E7269">
        <v>0.53096460000000001</v>
      </c>
      <c r="F7269" t="s">
        <v>41</v>
      </c>
      <c r="G7269">
        <v>-144.92779999999999</v>
      </c>
      <c r="H7269">
        <v>1.002526</v>
      </c>
      <c r="I7269">
        <v>138.19810000000001</v>
      </c>
      <c r="J7269">
        <v>-145.56729999999999</v>
      </c>
      <c r="K7269">
        <v>1.1112500000000001</v>
      </c>
      <c r="L7269">
        <v>138.279</v>
      </c>
      <c r="M7269">
        <v>0.99926090000000001</v>
      </c>
      <c r="N7269">
        <v>0</v>
      </c>
      <c r="O7269">
        <v>2.556191E-2</v>
      </c>
      <c r="P7269">
        <v>0.99304369999999997</v>
      </c>
      <c r="Q7269">
        <v>0.1131918</v>
      </c>
      <c r="R7269">
        <v>-3.243658E-2</v>
      </c>
      <c r="S7269">
        <v>3.0612490000000001</v>
      </c>
      <c r="T7269">
        <v>-0.44398009999999899</v>
      </c>
      <c r="U7269">
        <v>-0.31959530000000003</v>
      </c>
      <c r="V7269">
        <v>5.7835289999999998E-2</v>
      </c>
      <c r="W7269">
        <v>0.1416191</v>
      </c>
      <c r="X7269">
        <v>0.98823030000000001</v>
      </c>
      <c r="Y7269">
        <v>0.12764929999999999</v>
      </c>
      <c r="Z7269">
        <v>-1.2864499999999999E-2</v>
      </c>
      <c r="AA7269">
        <v>0.9917359</v>
      </c>
      <c r="AB7269">
        <v>10</v>
      </c>
      <c r="AC7269">
        <v>0.63949999999999796</v>
      </c>
      <c r="AD7269">
        <v>-0.108724</v>
      </c>
      <c r="AE7269">
        <v>-8.0899999999985497E-2</v>
      </c>
      <c r="AF7269">
        <v>9.4537579694718807E-2</v>
      </c>
      <c r="AG7269">
        <v>-0.108724</v>
      </c>
      <c r="AH7269">
        <v>0.61959489350632901</v>
      </c>
      <c r="AI7269">
        <v>99.841073684882204</v>
      </c>
      <c r="AJ7269">
        <v>81.324738014804595</v>
      </c>
      <c r="AK7269">
        <v>0.63612584777672299</v>
      </c>
      <c r="AL7269">
        <v>81.858452638250895</v>
      </c>
      <c r="AM7269">
        <v>86.650636455412595</v>
      </c>
      <c r="AN7269">
        <v>1.00000000804614</v>
      </c>
    </row>
    <row r="7270" spans="1:40" x14ac:dyDescent="0.25">
      <c r="A7270" t="str">
        <f>"20190312164645526"</f>
        <v>20190312164645526</v>
      </c>
      <c r="B7270" t="str">
        <f>"1552380405518359"</f>
        <v>1552380405518359</v>
      </c>
      <c r="C7270" t="s">
        <v>40</v>
      </c>
      <c r="D7270">
        <v>5.901567</v>
      </c>
      <c r="E7270">
        <v>0.53300509999999901</v>
      </c>
      <c r="F7270" t="s">
        <v>41</v>
      </c>
      <c r="G7270">
        <v>-144.83750000000001</v>
      </c>
      <c r="H7270">
        <v>1.0075099999999999</v>
      </c>
      <c r="I7270">
        <v>138.20410000000001</v>
      </c>
      <c r="J7270">
        <v>-145.4803</v>
      </c>
      <c r="K7270">
        <v>1.1113930000000001</v>
      </c>
      <c r="L7270">
        <v>138.28110000000001</v>
      </c>
      <c r="M7270">
        <v>0.9992432</v>
      </c>
      <c r="N7270">
        <v>0</v>
      </c>
      <c r="O7270">
        <v>2.5470050000000001E-2</v>
      </c>
      <c r="P7270">
        <v>0.99310319999999996</v>
      </c>
      <c r="Q7270">
        <v>0.1127292</v>
      </c>
      <c r="R7270">
        <v>-3.2223219999999997E-2</v>
      </c>
      <c r="S7270">
        <v>3.0604100000000001</v>
      </c>
      <c r="T7270">
        <v>-0.43515530000000002</v>
      </c>
      <c r="U7270">
        <v>-0.31292720000000002</v>
      </c>
      <c r="V7270">
        <v>5.7531470000000001E-2</v>
      </c>
      <c r="W7270">
        <v>0.14184240000000001</v>
      </c>
      <c r="X7270">
        <v>0.98821599999999998</v>
      </c>
      <c r="Y7270">
        <v>0.12553139999999999</v>
      </c>
      <c r="Z7270">
        <v>-1.2453779999999999E-2</v>
      </c>
      <c r="AA7270">
        <v>0.99201150000000005</v>
      </c>
      <c r="AB7270">
        <v>10</v>
      </c>
      <c r="AC7270">
        <v>0.64279999999999404</v>
      </c>
      <c r="AD7270">
        <v>-0.103882999999999</v>
      </c>
      <c r="AE7270">
        <v>-7.6999999999998098E-2</v>
      </c>
      <c r="AF7270">
        <v>9.1010845706436597E-2</v>
      </c>
      <c r="AG7270">
        <v>-0.103882999999999</v>
      </c>
      <c r="AH7270">
        <v>0.62454814844786399</v>
      </c>
      <c r="AI7270">
        <v>99.346773791426898</v>
      </c>
      <c r="AJ7270">
        <v>81.7090616580073</v>
      </c>
      <c r="AK7270">
        <v>0.639636647992324</v>
      </c>
      <c r="AL7270">
        <v>81.845527950295903</v>
      </c>
      <c r="AM7270">
        <v>86.668143464965098</v>
      </c>
      <c r="AN7270">
        <v>0.99999999956705998</v>
      </c>
    </row>
    <row r="7271" spans="1:40" x14ac:dyDescent="0.25">
      <c r="A7271" t="str">
        <f>"20190312164645549"</f>
        <v>20190312164645549</v>
      </c>
      <c r="B7271" t="str">
        <f>"1552380405538855"</f>
        <v>1552380405538855</v>
      </c>
      <c r="C7271" t="s">
        <v>40</v>
      </c>
      <c r="D7271">
        <v>5.6436310000000001</v>
      </c>
      <c r="E7271">
        <v>0.53403029999999996</v>
      </c>
      <c r="F7271" t="s">
        <v>41</v>
      </c>
      <c r="G7271">
        <v>-144.75909999999999</v>
      </c>
      <c r="H7271">
        <v>0.99546100000000004</v>
      </c>
      <c r="I7271">
        <v>138.20429999999999</v>
      </c>
      <c r="J7271">
        <v>-145.38640000000001</v>
      </c>
      <c r="K7271">
        <v>1.1114200000000001</v>
      </c>
      <c r="L7271">
        <v>138.2834</v>
      </c>
      <c r="M7271">
        <v>0.99923470000000003</v>
      </c>
      <c r="N7271">
        <v>0</v>
      </c>
      <c r="O7271">
        <v>2.5365749999999999E-2</v>
      </c>
      <c r="P7271">
        <v>0.99312120000000004</v>
      </c>
      <c r="Q7271">
        <v>0.11256679999999999</v>
      </c>
      <c r="R7271">
        <v>-3.2234319999999997E-2</v>
      </c>
      <c r="S7271">
        <v>3.0661770000000002</v>
      </c>
      <c r="T7271">
        <v>-0.49280800000000002</v>
      </c>
      <c r="U7271">
        <v>-0.32656859999999999</v>
      </c>
      <c r="V7271">
        <v>5.743943E-2</v>
      </c>
      <c r="W7271">
        <v>0.1420505</v>
      </c>
      <c r="X7271">
        <v>0.9881915</v>
      </c>
      <c r="Y7271">
        <v>0.129145699999999</v>
      </c>
      <c r="Z7271">
        <v>-1.4326190000000001E-2</v>
      </c>
      <c r="AA7271">
        <v>0.99152209999999996</v>
      </c>
      <c r="AB7271">
        <v>10</v>
      </c>
      <c r="AC7271">
        <v>0.62730000000001895</v>
      </c>
      <c r="AD7271">
        <v>-0.11595900000000001</v>
      </c>
      <c r="AE7271">
        <v>-7.9100000000010995E-2</v>
      </c>
      <c r="AF7271">
        <v>9.1902273432568696E-2</v>
      </c>
      <c r="AG7271">
        <v>-0.11595900000000001</v>
      </c>
      <c r="AH7271">
        <v>0.60474917644741999</v>
      </c>
      <c r="AI7271">
        <v>100.734229067391</v>
      </c>
      <c r="AJ7271">
        <v>81.359012586497798</v>
      </c>
      <c r="AK7271">
        <v>0.62258660759520601</v>
      </c>
      <c r="AL7271">
        <v>81.833483037826397</v>
      </c>
      <c r="AM7271">
        <v>86.673379566960705</v>
      </c>
      <c r="AN7271">
        <v>1.0000000366706101</v>
      </c>
    </row>
    <row r="7272" spans="1:40" x14ac:dyDescent="0.25">
      <c r="A7272" t="str">
        <f>"20190312164645573"</f>
        <v>20190312164645573</v>
      </c>
      <c r="B7272" t="str">
        <f>"1552380405568135"</f>
        <v>1552380405568135</v>
      </c>
      <c r="C7272" t="s">
        <v>40</v>
      </c>
      <c r="D7272">
        <v>5.8663189999999998</v>
      </c>
      <c r="E7272">
        <v>0.53320900000000004</v>
      </c>
      <c r="F7272" t="s">
        <v>41</v>
      </c>
      <c r="G7272">
        <v>-144.68119999999999</v>
      </c>
      <c r="H7272">
        <v>0.98724339999999999</v>
      </c>
      <c r="I7272">
        <v>138.20679999999999</v>
      </c>
      <c r="J7272">
        <v>-145.28970000000001</v>
      </c>
      <c r="K7272">
        <v>1.1113010000000001</v>
      </c>
      <c r="L7272">
        <v>138.28569999999999</v>
      </c>
      <c r="M7272">
        <v>0.99924279999999999</v>
      </c>
      <c r="N7272">
        <v>0</v>
      </c>
      <c r="O7272">
        <v>2.5252170000000001E-2</v>
      </c>
      <c r="P7272">
        <v>0.99310050000000005</v>
      </c>
      <c r="Q7272">
        <v>0.112821</v>
      </c>
      <c r="R7272">
        <v>-3.1984039999999998E-2</v>
      </c>
      <c r="S7272">
        <v>3.0712739999999998</v>
      </c>
      <c r="T7272">
        <v>-0.54087079999999998</v>
      </c>
      <c r="U7272">
        <v>-0.33297729999999998</v>
      </c>
      <c r="V7272">
        <v>5.7077459999999997E-2</v>
      </c>
      <c r="W7272">
        <v>0.14212749999999999</v>
      </c>
      <c r="X7272">
        <v>0.98820140000000001</v>
      </c>
      <c r="Y7272">
        <v>0.130495899999999</v>
      </c>
      <c r="Z7272">
        <v>-1.5773860000000001E-2</v>
      </c>
      <c r="AA7272">
        <v>0.99132339999999997</v>
      </c>
      <c r="AB7272">
        <v>9</v>
      </c>
      <c r="AC7272">
        <v>0.60850000000002002</v>
      </c>
      <c r="AD7272">
        <v>-0.1240576</v>
      </c>
      <c r="AE7272">
        <v>-7.8900000000004397E-2</v>
      </c>
      <c r="AF7272">
        <v>9.0546193886229503E-2</v>
      </c>
      <c r="AG7272">
        <v>-0.1240576</v>
      </c>
      <c r="AH7272">
        <v>0.58250130021308699</v>
      </c>
      <c r="AI7272">
        <v>101.884286334621</v>
      </c>
      <c r="AJ7272">
        <v>81.164439474798101</v>
      </c>
      <c r="AK7272">
        <v>0.60240905213565599</v>
      </c>
      <c r="AL7272">
        <v>81.829026026629293</v>
      </c>
      <c r="AM7272">
        <v>86.694329565340297</v>
      </c>
      <c r="AN7272">
        <v>1.00000003482913</v>
      </c>
    </row>
    <row r="7273" spans="1:40" x14ac:dyDescent="0.25">
      <c r="A7273" t="str">
        <f>"20190312164645593"</f>
        <v>20190312164645593</v>
      </c>
      <c r="B7273" t="str">
        <f>"1552380405588631"</f>
        <v>1552380405588631</v>
      </c>
      <c r="C7273" t="s">
        <v>40</v>
      </c>
      <c r="D7273">
        <v>6.5461729999999996</v>
      </c>
      <c r="E7273">
        <v>0.53284480000000001</v>
      </c>
      <c r="F7273" t="s">
        <v>41</v>
      </c>
      <c r="G7273">
        <v>-144.52520000000001</v>
      </c>
      <c r="H7273">
        <v>0.98110140000000001</v>
      </c>
      <c r="I7273">
        <v>138.20429999999999</v>
      </c>
      <c r="J7273">
        <v>-145.2105</v>
      </c>
      <c r="K7273">
        <v>1.111191</v>
      </c>
      <c r="L7273">
        <v>138.2876</v>
      </c>
      <c r="M7273">
        <v>0.99925319999999995</v>
      </c>
      <c r="N7273">
        <v>0</v>
      </c>
      <c r="O7273">
        <v>2.515508E-2</v>
      </c>
      <c r="P7273">
        <v>0.99304239999999999</v>
      </c>
      <c r="Q7273">
        <v>0.1132504</v>
      </c>
      <c r="R7273">
        <v>-3.227091E-2</v>
      </c>
      <c r="S7273">
        <v>3.0697329999999998</v>
      </c>
      <c r="T7273">
        <v>-0.52283239999999997</v>
      </c>
      <c r="U7273">
        <v>-0.32598880000000002</v>
      </c>
      <c r="V7273">
        <v>5.7267569999999997E-2</v>
      </c>
      <c r="W7273">
        <v>0.14228840000000001</v>
      </c>
      <c r="X7273">
        <v>0.98816720000000002</v>
      </c>
      <c r="Y7273">
        <v>0.12840409999999999</v>
      </c>
      <c r="Z7273">
        <v>-1.50718E-2</v>
      </c>
      <c r="AA7273">
        <v>0.99160740000000003</v>
      </c>
      <c r="AB7273">
        <v>9</v>
      </c>
      <c r="AC7273">
        <v>0.68529999999998303</v>
      </c>
      <c r="AD7273">
        <v>-0.130089599999999</v>
      </c>
      <c r="AE7273">
        <v>-8.3300000000008298E-2</v>
      </c>
      <c r="AF7273">
        <v>9.7072735389587994E-2</v>
      </c>
      <c r="AG7273">
        <v>-0.130089599999999</v>
      </c>
      <c r="AH7273">
        <v>0.65956529868214497</v>
      </c>
      <c r="AI7273">
        <v>101.04156603602</v>
      </c>
      <c r="AJ7273">
        <v>81.627495369671905</v>
      </c>
      <c r="AK7273">
        <v>0.67924428831595196</v>
      </c>
      <c r="AL7273">
        <v>81.819712105243397</v>
      </c>
      <c r="AM7273">
        <v>86.683229254188902</v>
      </c>
      <c r="AN7273">
        <v>0.99999998925205202</v>
      </c>
    </row>
    <row r="7274" spans="1:40" x14ac:dyDescent="0.25">
      <c r="A7274" t="str">
        <f>"20190312164645614"</f>
        <v>20190312164645614</v>
      </c>
      <c r="B7274" t="str">
        <f>"1552380405608151"</f>
        <v>1552380405608151</v>
      </c>
      <c r="C7274" t="s">
        <v>40</v>
      </c>
      <c r="D7274">
        <v>5.998564</v>
      </c>
      <c r="E7274">
        <v>0.53245419999999999</v>
      </c>
      <c r="F7274" t="s">
        <v>41</v>
      </c>
      <c r="G7274">
        <v>-144.44799999999901</v>
      </c>
      <c r="H7274">
        <v>0.98364309999999999</v>
      </c>
      <c r="I7274">
        <v>138.20699999999999</v>
      </c>
      <c r="J7274">
        <v>-145.12819999999999</v>
      </c>
      <c r="K7274">
        <v>1.1111249999999999</v>
      </c>
      <c r="L7274">
        <v>138.2895</v>
      </c>
      <c r="M7274">
        <v>0.99926179999999998</v>
      </c>
      <c r="N7274">
        <v>0</v>
      </c>
      <c r="O7274">
        <v>2.504868E-2</v>
      </c>
      <c r="P7274">
        <v>0.99299890000000002</v>
      </c>
      <c r="Q7274">
        <v>0.11360820000000001</v>
      </c>
      <c r="R7274">
        <v>-3.2352319999999997E-2</v>
      </c>
      <c r="S7274">
        <v>3.0690309999999998</v>
      </c>
      <c r="T7274">
        <v>-0.51334460000000004</v>
      </c>
      <c r="U7274">
        <v>-0.32432559999999999</v>
      </c>
      <c r="V7274">
        <v>5.7242550000000003E-2</v>
      </c>
      <c r="W7274">
        <v>0.1424475</v>
      </c>
      <c r="X7274">
        <v>0.98814579999999996</v>
      </c>
      <c r="Y7274">
        <v>0.1278765</v>
      </c>
      <c r="Z7274">
        <v>-1.47444E-2</v>
      </c>
      <c r="AA7274">
        <v>0.99168049999999996</v>
      </c>
      <c r="AB7274">
        <v>9</v>
      </c>
      <c r="AC7274">
        <v>0.68020000000001302</v>
      </c>
      <c r="AD7274">
        <v>-0.12748189999999901</v>
      </c>
      <c r="AE7274">
        <v>-8.2500000000010204E-2</v>
      </c>
      <c r="AF7274">
        <v>9.6189698351135194E-2</v>
      </c>
      <c r="AG7274">
        <v>-0.12748189999999901</v>
      </c>
      <c r="AH7274">
        <v>0.65523707108334095</v>
      </c>
      <c r="AI7274">
        <v>100.895892145944</v>
      </c>
      <c r="AJ7274">
        <v>81.648553271153006</v>
      </c>
      <c r="AK7274">
        <v>0.67441805448725001</v>
      </c>
      <c r="AL7274">
        <v>81.810503127109897</v>
      </c>
      <c r="AM7274">
        <v>86.684603467697798</v>
      </c>
      <c r="AN7274">
        <v>1.00000006092219</v>
      </c>
    </row>
    <row r="7275" spans="1:40" x14ac:dyDescent="0.25">
      <c r="A7275" t="str">
        <f>"20190312164645637"</f>
        <v>20190312164645637</v>
      </c>
      <c r="B7275" t="str">
        <f>"1552380405628647"</f>
        <v>1552380405628647</v>
      </c>
      <c r="C7275" t="s">
        <v>40</v>
      </c>
      <c r="D7275">
        <v>5.8537939999999997</v>
      </c>
      <c r="E7275">
        <v>0.53215669999999904</v>
      </c>
      <c r="F7275" t="s">
        <v>41</v>
      </c>
      <c r="G7275">
        <v>-144.37309999999999</v>
      </c>
      <c r="H7275">
        <v>0.98694150000000003</v>
      </c>
      <c r="I7275">
        <v>138.21010000000001</v>
      </c>
      <c r="J7275">
        <v>-145.0478</v>
      </c>
      <c r="K7275">
        <v>1.111103</v>
      </c>
      <c r="L7275">
        <v>138.29140000000001</v>
      </c>
      <c r="M7275">
        <v>0.99926700000000002</v>
      </c>
      <c r="N7275">
        <v>0</v>
      </c>
      <c r="O7275">
        <v>2.4937480000000001E-2</v>
      </c>
      <c r="P7275">
        <v>0.99300730000000004</v>
      </c>
      <c r="Q7275">
        <v>0.113538899999999</v>
      </c>
      <c r="R7275">
        <v>-3.2338840000000001E-2</v>
      </c>
      <c r="S7275">
        <v>3.0683750000000001</v>
      </c>
      <c r="T7275">
        <v>-0.50466920000000004</v>
      </c>
      <c r="U7275">
        <v>-0.321762099999999</v>
      </c>
      <c r="V7275">
        <v>5.7118450000000001E-2</v>
      </c>
      <c r="W7275">
        <v>0.142298799999999</v>
      </c>
      <c r="X7275">
        <v>0.98817429999999995</v>
      </c>
      <c r="Y7275">
        <v>0.1270503</v>
      </c>
      <c r="Z7275">
        <v>-1.4416730000000001E-2</v>
      </c>
      <c r="AA7275">
        <v>0.99179150000000005</v>
      </c>
      <c r="AB7275">
        <v>9</v>
      </c>
      <c r="AC7275">
        <v>0.67470000000000097</v>
      </c>
      <c r="AD7275">
        <v>-0.12416149999999999</v>
      </c>
      <c r="AE7275">
        <v>-8.1299999999998804E-2</v>
      </c>
      <c r="AF7275">
        <v>9.4938041478372898E-2</v>
      </c>
      <c r="AG7275">
        <v>-0.12416149999999999</v>
      </c>
      <c r="AH7275">
        <v>0.65073975209540502</v>
      </c>
      <c r="AI7275">
        <v>100.691694830567</v>
      </c>
      <c r="AJ7275">
        <v>81.699536325732197</v>
      </c>
      <c r="AK7275">
        <v>0.66924699084806405</v>
      </c>
      <c r="AL7275">
        <v>81.819109833649506</v>
      </c>
      <c r="AM7275">
        <v>86.691870359476596</v>
      </c>
      <c r="AN7275">
        <v>0.99999995649616502</v>
      </c>
    </row>
    <row r="7276" spans="1:40" x14ac:dyDescent="0.25">
      <c r="A7276" t="str">
        <f>"20190312164645659"</f>
        <v>20190312164645659</v>
      </c>
      <c r="B7276" t="str">
        <f>"1552380405648167"</f>
        <v>1552380405648167</v>
      </c>
      <c r="C7276" t="s">
        <v>40</v>
      </c>
      <c r="D7276">
        <v>5.5077099999999897</v>
      </c>
      <c r="E7276">
        <v>0.53154290000000004</v>
      </c>
      <c r="F7276" t="s">
        <v>41</v>
      </c>
      <c r="G7276">
        <v>-144.30119999999999</v>
      </c>
      <c r="H7276">
        <v>0.9895391</v>
      </c>
      <c r="I7276">
        <v>138.21350000000001</v>
      </c>
      <c r="J7276">
        <v>-144.97059999999999</v>
      </c>
      <c r="K7276">
        <v>1.111103</v>
      </c>
      <c r="L7276">
        <v>138.29320000000001</v>
      </c>
      <c r="M7276">
        <v>0.99927089999999996</v>
      </c>
      <c r="N7276">
        <v>0</v>
      </c>
      <c r="O7276">
        <v>2.482239E-2</v>
      </c>
      <c r="P7276">
        <v>0.99308320000000005</v>
      </c>
      <c r="Q7276">
        <v>0.1130038</v>
      </c>
      <c r="R7276">
        <v>-3.187425E-2</v>
      </c>
      <c r="S7276">
        <v>3.067825</v>
      </c>
      <c r="T7276">
        <v>-0.4995328</v>
      </c>
      <c r="U7276">
        <v>-0.31979370000000001</v>
      </c>
      <c r="V7276">
        <v>5.6541330000000001E-2</v>
      </c>
      <c r="W7276">
        <v>0.141731</v>
      </c>
      <c r="X7276">
        <v>0.98828910000000003</v>
      </c>
      <c r="Y7276">
        <v>0.12637509999999999</v>
      </c>
      <c r="Z7276">
        <v>-1.420181E-2</v>
      </c>
      <c r="AA7276">
        <v>0.99188080000000001</v>
      </c>
      <c r="AB7276">
        <v>8</v>
      </c>
      <c r="AC7276">
        <v>0.669399999999996</v>
      </c>
      <c r="AD7276">
        <v>-0.1215639</v>
      </c>
      <c r="AE7276">
        <v>-7.9700000000002505E-2</v>
      </c>
      <c r="AF7276">
        <v>9.3265705785156305E-2</v>
      </c>
      <c r="AG7276">
        <v>-0.1215639</v>
      </c>
      <c r="AH7276">
        <v>0.64620118273693306</v>
      </c>
      <c r="AI7276">
        <v>100.54721560325</v>
      </c>
      <c r="AJ7276">
        <v>81.787258400992499</v>
      </c>
      <c r="AK7276">
        <v>0.66411764185980204</v>
      </c>
      <c r="AL7276">
        <v>81.851975613646403</v>
      </c>
      <c r="AM7276">
        <v>86.725601876758105</v>
      </c>
      <c r="AN7276">
        <v>0.99999997176898903</v>
      </c>
    </row>
    <row r="7277" spans="1:40" x14ac:dyDescent="0.25">
      <c r="A7277" t="str">
        <f>"20190312164645684"</f>
        <v>20190312164645684</v>
      </c>
      <c r="B7277" t="str">
        <f>"1552380405678423"</f>
        <v>1552380405678423</v>
      </c>
      <c r="C7277" t="s">
        <v>40</v>
      </c>
      <c r="D7277">
        <v>5.591818</v>
      </c>
      <c r="E7277">
        <v>0.53033039999999998</v>
      </c>
      <c r="F7277" t="s">
        <v>41</v>
      </c>
      <c r="G7277">
        <v>-144.23169999999999</v>
      </c>
      <c r="H7277">
        <v>0.99260870000000001</v>
      </c>
      <c r="I7277">
        <v>138.21719999999999</v>
      </c>
      <c r="J7277">
        <v>-144.89169999999999</v>
      </c>
      <c r="K7277">
        <v>1.1112470000000001</v>
      </c>
      <c r="L7277">
        <v>138.29499999999999</v>
      </c>
      <c r="M7277">
        <v>0.99925969999999997</v>
      </c>
      <c r="N7277">
        <v>0</v>
      </c>
      <c r="O7277">
        <v>2.470466E-2</v>
      </c>
      <c r="P7277">
        <v>0.99323329999999999</v>
      </c>
      <c r="Q7277">
        <v>0.1116728</v>
      </c>
      <c r="R7277">
        <v>-3.1883830000000002E-2</v>
      </c>
      <c r="S7277">
        <v>3.0667879999999998</v>
      </c>
      <c r="T7277">
        <v>-0.49195080000000002</v>
      </c>
      <c r="U7277">
        <v>-0.31446839999999998</v>
      </c>
      <c r="V7277">
        <v>5.643658E-2</v>
      </c>
      <c r="W7277">
        <v>0.14087749999999999</v>
      </c>
      <c r="X7277">
        <v>0.98841710000000005</v>
      </c>
      <c r="Y7277">
        <v>0.1246693</v>
      </c>
      <c r="Z7277">
        <v>-1.384055E-2</v>
      </c>
      <c r="AA7277">
        <v>0.99210180000000003</v>
      </c>
      <c r="AB7277">
        <v>8</v>
      </c>
      <c r="AC7277">
        <v>0.65999999999999603</v>
      </c>
      <c r="AD7277">
        <v>-0.118638299999999</v>
      </c>
      <c r="AE7277">
        <v>-7.7799999999996303E-2</v>
      </c>
      <c r="AF7277">
        <v>9.1182507222837994E-2</v>
      </c>
      <c r="AG7277">
        <v>-0.118638299999999</v>
      </c>
      <c r="AH7277">
        <v>0.63755720170046803</v>
      </c>
      <c r="AI7277">
        <v>100.43734688414</v>
      </c>
      <c r="AJ7277">
        <v>81.860834800522696</v>
      </c>
      <c r="AK7277">
        <v>0.65488050916977603</v>
      </c>
      <c r="AL7277">
        <v>81.901373117976306</v>
      </c>
      <c r="AM7277">
        <v>86.732077285616299</v>
      </c>
      <c r="AN7277">
        <v>0.99999996057037699</v>
      </c>
    </row>
    <row r="7278" spans="1:40" x14ac:dyDescent="0.25">
      <c r="A7278" t="str">
        <f>"20190312164645706"</f>
        <v>20190312164645706</v>
      </c>
      <c r="B7278" t="str">
        <f>"1552380405698918"</f>
        <v>1552380405698918</v>
      </c>
      <c r="C7278" t="s">
        <v>40</v>
      </c>
      <c r="D7278">
        <v>5.8836149999999998</v>
      </c>
      <c r="E7278">
        <v>0.53009740000000005</v>
      </c>
      <c r="F7278" t="s">
        <v>41</v>
      </c>
      <c r="G7278">
        <v>-144.1661</v>
      </c>
      <c r="H7278">
        <v>0.99762189999999995</v>
      </c>
      <c r="I7278">
        <v>138.2227</v>
      </c>
      <c r="J7278">
        <v>-144.82579999999999</v>
      </c>
      <c r="K7278">
        <v>1.111521</v>
      </c>
      <c r="L7278">
        <v>138.29650000000001</v>
      </c>
      <c r="M7278">
        <v>0.99923039999999996</v>
      </c>
      <c r="N7278">
        <v>0</v>
      </c>
      <c r="O7278">
        <v>2.4612019999999998E-2</v>
      </c>
      <c r="P7278">
        <v>0.9934231</v>
      </c>
      <c r="Q7278">
        <v>0.10996</v>
      </c>
      <c r="R7278">
        <v>-3.1931029999999999E-2</v>
      </c>
      <c r="S7278">
        <v>3.0645899999999999</v>
      </c>
      <c r="T7278">
        <v>-0.4799157</v>
      </c>
      <c r="U7278">
        <v>-0.30541990000000002</v>
      </c>
      <c r="V7278">
        <v>5.6393939999999997E-2</v>
      </c>
      <c r="W7278">
        <v>0.14021420000000001</v>
      </c>
      <c r="X7278">
        <v>0.98851389999999995</v>
      </c>
      <c r="Y7278">
        <v>0.1218727</v>
      </c>
      <c r="Z7278">
        <v>-1.32861E-2</v>
      </c>
      <c r="AA7278">
        <v>0.99245680000000003</v>
      </c>
      <c r="AB7278">
        <v>8</v>
      </c>
      <c r="AC7278">
        <v>0.65969999999998596</v>
      </c>
      <c r="AD7278">
        <v>-0.113899099999999</v>
      </c>
      <c r="AE7278">
        <v>-7.3800000000005597E-2</v>
      </c>
      <c r="AF7278">
        <v>8.7447254140142802E-2</v>
      </c>
      <c r="AG7278">
        <v>-0.113899099999999</v>
      </c>
      <c r="AH7278">
        <v>0.63887394480236404</v>
      </c>
      <c r="AI7278">
        <v>100.017062336474</v>
      </c>
      <c r="AJ7278">
        <v>82.205950099603399</v>
      </c>
      <c r="AK7278">
        <v>0.65481290807740999</v>
      </c>
      <c r="AL7278">
        <v>81.939758853663406</v>
      </c>
      <c r="AM7278">
        <v>86.734860058785102</v>
      </c>
      <c r="AN7278">
        <v>1.00000001442178</v>
      </c>
    </row>
    <row r="7279" spans="1:40" x14ac:dyDescent="0.25">
      <c r="A7279" t="str">
        <f>"20190312164645727"</f>
        <v>20190312164645727</v>
      </c>
      <c r="B7279" t="str">
        <f>"1552380405718439"</f>
        <v>1552380405718439</v>
      </c>
      <c r="C7279" t="s">
        <v>40</v>
      </c>
      <c r="D7279">
        <v>5.6871980000000004</v>
      </c>
      <c r="E7279">
        <v>0.52990209999999904</v>
      </c>
      <c r="F7279" t="s">
        <v>41</v>
      </c>
      <c r="G7279">
        <v>-144.10769999999999</v>
      </c>
      <c r="H7279">
        <v>0.99839869999999997</v>
      </c>
      <c r="I7279">
        <v>138.2253</v>
      </c>
      <c r="J7279">
        <v>-144.77090000000001</v>
      </c>
      <c r="K7279">
        <v>1.1117680000000001</v>
      </c>
      <c r="L7279">
        <v>138.29769999999999</v>
      </c>
      <c r="M7279">
        <v>0.99919740000000001</v>
      </c>
      <c r="N7279">
        <v>0</v>
      </c>
      <c r="O7279">
        <v>2.4537449999999999E-2</v>
      </c>
      <c r="P7279">
        <v>0.9935889</v>
      </c>
      <c r="Q7279">
        <v>0.1084407</v>
      </c>
      <c r="R7279">
        <v>-3.197034E-2</v>
      </c>
      <c r="S7279">
        <v>3.0635379999999999</v>
      </c>
      <c r="T7279">
        <v>-0.48262189999999999</v>
      </c>
      <c r="U7279">
        <v>-0.30313109999999999</v>
      </c>
      <c r="V7279">
        <v>5.6361960000000003E-2</v>
      </c>
      <c r="W7279">
        <v>0.13981099999999999</v>
      </c>
      <c r="X7279">
        <v>0.98857280000000003</v>
      </c>
      <c r="Y7279">
        <v>0.1210881</v>
      </c>
      <c r="Z7279">
        <v>-1.329231E-2</v>
      </c>
      <c r="AA7279">
        <v>0.99255280000000001</v>
      </c>
      <c r="AB7279">
        <v>7</v>
      </c>
      <c r="AC7279">
        <v>0.663200000000017</v>
      </c>
      <c r="AD7279">
        <v>-0.11336930000000001</v>
      </c>
      <c r="AE7279">
        <v>-7.2399999999987502E-2</v>
      </c>
      <c r="AF7279">
        <v>8.6171186816845297E-2</v>
      </c>
      <c r="AG7279">
        <v>-0.11336930000000001</v>
      </c>
      <c r="AH7279">
        <v>0.64266429819698301</v>
      </c>
      <c r="AI7279">
        <v>99.917376521271294</v>
      </c>
      <c r="AJ7279">
        <v>82.363085647228999</v>
      </c>
      <c r="AK7279">
        <v>0.65825183007488397</v>
      </c>
      <c r="AL7279">
        <v>81.963090083827197</v>
      </c>
      <c r="AM7279">
        <v>86.736901668291495</v>
      </c>
      <c r="AN7279">
        <v>0.99999998357793995</v>
      </c>
    </row>
    <row r="7280" spans="1:40" x14ac:dyDescent="0.25">
      <c r="A7280" t="str">
        <f>"20190312164645748"</f>
        <v>20190312164645748</v>
      </c>
      <c r="B7280" t="str">
        <f>"1552380405737959"</f>
        <v>1552380405737959</v>
      </c>
      <c r="C7280" t="s">
        <v>40</v>
      </c>
      <c r="D7280">
        <v>6.1337960000000002</v>
      </c>
      <c r="E7280">
        <v>0.52975260000000002</v>
      </c>
      <c r="F7280" t="s">
        <v>41</v>
      </c>
      <c r="G7280">
        <v>-144.05430000000001</v>
      </c>
      <c r="H7280">
        <v>0.99837900000000002</v>
      </c>
      <c r="I7280">
        <v>138.22710000000001</v>
      </c>
      <c r="J7280">
        <v>-144.7159</v>
      </c>
      <c r="K7280">
        <v>1.1119209999999999</v>
      </c>
      <c r="L7280">
        <v>138.29900000000001</v>
      </c>
      <c r="M7280">
        <v>0.99916819999999895</v>
      </c>
      <c r="N7280">
        <v>0</v>
      </c>
      <c r="O7280">
        <v>2.4457779999999998E-2</v>
      </c>
      <c r="P7280">
        <v>0.99375000000000002</v>
      </c>
      <c r="Q7280">
        <v>0.10686569999999999</v>
      </c>
      <c r="R7280">
        <v>-3.2262550000000001E-2</v>
      </c>
      <c r="S7280">
        <v>3.0625149999999999</v>
      </c>
      <c r="T7280">
        <v>-0.4845506</v>
      </c>
      <c r="U7280">
        <v>-0.30201719999999999</v>
      </c>
      <c r="V7280">
        <v>5.6579249999999998E-2</v>
      </c>
      <c r="W7280">
        <v>0.13919809999999999</v>
      </c>
      <c r="X7280">
        <v>0.9886469</v>
      </c>
      <c r="Y7280">
        <v>0.1206753</v>
      </c>
      <c r="Z7280">
        <v>-1.330462E-2</v>
      </c>
      <c r="AA7280">
        <v>0.99260289999999995</v>
      </c>
      <c r="AB7280">
        <v>6</v>
      </c>
      <c r="AC7280">
        <v>0.66159999999999197</v>
      </c>
      <c r="AD7280">
        <v>-0.113541999999999</v>
      </c>
      <c r="AE7280">
        <v>-7.1899999999999395E-2</v>
      </c>
      <c r="AF7280">
        <v>8.55773126470004E-2</v>
      </c>
      <c r="AG7280">
        <v>-0.113541999999999</v>
      </c>
      <c r="AH7280">
        <v>0.64098420738088702</v>
      </c>
      <c r="AI7280">
        <v>99.958434031380705</v>
      </c>
      <c r="AJ7280">
        <v>82.395454349589599</v>
      </c>
      <c r="AK7280">
        <v>0.65656379455128799</v>
      </c>
      <c r="AL7280">
        <v>81.998553643765106</v>
      </c>
      <c r="AM7280">
        <v>86.724593896686898</v>
      </c>
      <c r="AN7280">
        <v>1.00000000772689</v>
      </c>
    </row>
    <row r="7281" spans="1:40" x14ac:dyDescent="0.25">
      <c r="A7281" t="str">
        <f>"20190312164645772"</f>
        <v>20190312164645772</v>
      </c>
      <c r="B7281" t="str">
        <f>"1552380405768214"</f>
        <v>1552380405768214</v>
      </c>
      <c r="C7281" t="s">
        <v>40</v>
      </c>
      <c r="D7281">
        <v>5.7490040000000002</v>
      </c>
      <c r="E7281">
        <v>0.52959499999999904</v>
      </c>
      <c r="F7281" t="s">
        <v>41</v>
      </c>
      <c r="G7281">
        <v>-144.00450000000001</v>
      </c>
      <c r="H7281">
        <v>0.99859390000000003</v>
      </c>
      <c r="I7281">
        <v>138.22880000000001</v>
      </c>
      <c r="J7281">
        <v>-144.66220000000001</v>
      </c>
      <c r="K7281">
        <v>1.111788</v>
      </c>
      <c r="L7281">
        <v>138.30019999999999</v>
      </c>
      <c r="M7281">
        <v>0.99917100000000003</v>
      </c>
      <c r="N7281">
        <v>0</v>
      </c>
      <c r="O7281">
        <v>2.4351560000000001E-2</v>
      </c>
      <c r="P7281">
        <v>0.99385579999999996</v>
      </c>
      <c r="Q7281">
        <v>0.105758</v>
      </c>
      <c r="R7281">
        <v>-3.2643650000000003E-2</v>
      </c>
      <c r="S7281">
        <v>3.0615389999999998</v>
      </c>
      <c r="T7281">
        <v>-0.4877417</v>
      </c>
      <c r="U7281">
        <v>-0.30178829999999901</v>
      </c>
      <c r="V7281">
        <v>5.6860040000000001E-2</v>
      </c>
      <c r="W7281">
        <v>0.1380846</v>
      </c>
      <c r="X7281">
        <v>0.98878690000000002</v>
      </c>
      <c r="Y7281">
        <v>0.120506</v>
      </c>
      <c r="Z7281">
        <v>-1.336525E-2</v>
      </c>
      <c r="AA7281">
        <v>0.99262260000000002</v>
      </c>
      <c r="AB7281">
        <v>6</v>
      </c>
      <c r="AC7281">
        <v>0.65770000000000495</v>
      </c>
      <c r="AD7281">
        <v>-0.11319409999999901</v>
      </c>
      <c r="AE7281">
        <v>-7.1399999999982797E-2</v>
      </c>
      <c r="AF7281">
        <v>8.49173614211296E-2</v>
      </c>
      <c r="AG7281">
        <v>-0.11319409999999901</v>
      </c>
      <c r="AH7281">
        <v>0.63711335034906902</v>
      </c>
      <c r="AI7281">
        <v>99.987927957214097</v>
      </c>
      <c r="AJ7281">
        <v>82.4081033280128</v>
      </c>
      <c r="AK7281">
        <v>0.65263870842798799</v>
      </c>
      <c r="AL7281">
        <v>82.062974389584198</v>
      </c>
      <c r="AM7281">
        <v>86.708839481881199</v>
      </c>
      <c r="AN7281">
        <v>0.99999997725878498</v>
      </c>
    </row>
    <row r="7282" spans="1:40" x14ac:dyDescent="0.25">
      <c r="A7282" t="str">
        <f>"20190312164645794"</f>
        <v>20190312164645794</v>
      </c>
      <c r="B7282" t="str">
        <f>"1552380405788714"</f>
        <v>1552380405788714</v>
      </c>
      <c r="C7282" t="s">
        <v>40</v>
      </c>
      <c r="D7282">
        <v>6.7843730000000004</v>
      </c>
      <c r="E7282">
        <v>0.52962310000000001</v>
      </c>
      <c r="F7282" t="s">
        <v>41</v>
      </c>
      <c r="G7282">
        <v>-143.91329999999999</v>
      </c>
      <c r="H7282">
        <v>0.99202659999999998</v>
      </c>
      <c r="I7282">
        <v>138.22659999999999</v>
      </c>
      <c r="J7282">
        <v>-144.60910000000001</v>
      </c>
      <c r="K7282">
        <v>1.11155</v>
      </c>
      <c r="L7282">
        <v>138.3013</v>
      </c>
      <c r="M7282">
        <v>0.99919060000000004</v>
      </c>
      <c r="N7282">
        <v>0</v>
      </c>
      <c r="O7282">
        <v>2.4230370000000001E-2</v>
      </c>
      <c r="P7282">
        <v>0.99386330000000001</v>
      </c>
      <c r="Q7282">
        <v>0.105641899999999</v>
      </c>
      <c r="R7282">
        <v>-3.2800099999999999E-2</v>
      </c>
      <c r="S7282">
        <v>3.0607449999999998</v>
      </c>
      <c r="T7282">
        <v>-0.48939850000000001</v>
      </c>
      <c r="U7282">
        <v>-0.30072019999999999</v>
      </c>
      <c r="V7282">
        <v>5.6898690000000002E-2</v>
      </c>
      <c r="W7282">
        <v>0.13746120000000001</v>
      </c>
      <c r="X7282">
        <v>0.98887159999999996</v>
      </c>
      <c r="Y7282">
        <v>0.1200611</v>
      </c>
      <c r="Z7282">
        <v>-1.335917E-2</v>
      </c>
      <c r="AA7282">
        <v>0.99267660000000002</v>
      </c>
      <c r="AB7282">
        <v>5</v>
      </c>
      <c r="AC7282">
        <v>0.69580000000001896</v>
      </c>
      <c r="AD7282">
        <v>-0.1195234</v>
      </c>
      <c r="AE7282">
        <v>-7.4700000000007094E-2</v>
      </c>
      <c r="AF7282">
        <v>8.8951382136152599E-2</v>
      </c>
      <c r="AG7282">
        <v>-0.1195234</v>
      </c>
      <c r="AH7282">
        <v>0.67411942759799404</v>
      </c>
      <c r="AI7282">
        <v>99.9695654172031</v>
      </c>
      <c r="AJ7282">
        <v>82.483134843176998</v>
      </c>
      <c r="AK7282">
        <v>0.69038771295304702</v>
      </c>
      <c r="AL7282">
        <v>82.099036987266402</v>
      </c>
      <c r="AM7282">
        <v>86.706888742413099</v>
      </c>
      <c r="AN7282">
        <v>1.0000000418578501</v>
      </c>
    </row>
    <row r="7283" spans="1:40" x14ac:dyDescent="0.25">
      <c r="A7283" t="str">
        <f>"20190312164645816"</f>
        <v>20190312164645816</v>
      </c>
      <c r="B7283" t="str">
        <f>"1552380405808230"</f>
        <v>1552380405808230</v>
      </c>
      <c r="C7283" t="s">
        <v>40</v>
      </c>
      <c r="D7283">
        <v>5.5736160000000003</v>
      </c>
      <c r="E7283">
        <v>0.52972529999999995</v>
      </c>
      <c r="F7283" t="s">
        <v>41</v>
      </c>
      <c r="G7283">
        <v>-143.8691</v>
      </c>
      <c r="H7283">
        <v>0.99320359999999996</v>
      </c>
      <c r="I7283">
        <v>138.2286</v>
      </c>
      <c r="J7283">
        <v>-144.56290000000001</v>
      </c>
      <c r="K7283">
        <v>1.1114470000000001</v>
      </c>
      <c r="L7283">
        <v>138.3023</v>
      </c>
      <c r="M7283">
        <v>0.99920050000000005</v>
      </c>
      <c r="N7283">
        <v>0</v>
      </c>
      <c r="O7283">
        <v>2.412094E-2</v>
      </c>
      <c r="P7283">
        <v>0.99390049999999996</v>
      </c>
      <c r="Q7283">
        <v>0.10506359999999999</v>
      </c>
      <c r="R7283">
        <v>-3.3521759999999998E-2</v>
      </c>
      <c r="S7283">
        <v>3.0606230000000001</v>
      </c>
      <c r="T7283">
        <v>-0.48950759999999999</v>
      </c>
      <c r="U7283">
        <v>-0.3008728</v>
      </c>
      <c r="V7283">
        <v>5.7512819999999999E-2</v>
      </c>
      <c r="W7283">
        <v>0.13666049999999999</v>
      </c>
      <c r="X7283">
        <v>0.98894700000000002</v>
      </c>
      <c r="Y7283">
        <v>0.1200063</v>
      </c>
      <c r="Z7283">
        <v>-1.334086E-2</v>
      </c>
      <c r="AA7283">
        <v>0.99268350000000005</v>
      </c>
      <c r="AB7283">
        <v>5</v>
      </c>
      <c r="AC7283">
        <v>0.69380000000000996</v>
      </c>
      <c r="AD7283">
        <v>-0.118243399999999</v>
      </c>
      <c r="AE7283">
        <v>-7.3700000000002305E-2</v>
      </c>
      <c r="AF7283">
        <v>8.7897576679430794E-2</v>
      </c>
      <c r="AG7283">
        <v>-0.118243399999999</v>
      </c>
      <c r="AH7283">
        <v>0.67250377759290603</v>
      </c>
      <c r="AI7283">
        <v>99.8897047733346</v>
      </c>
      <c r="AJ7283">
        <v>82.553539248953697</v>
      </c>
      <c r="AK7283">
        <v>0.68845393201463101</v>
      </c>
      <c r="AL7283">
        <v>82.145350409838997</v>
      </c>
      <c r="AM7283">
        <v>86.671677597114794</v>
      </c>
      <c r="AN7283">
        <v>0.99999999276680096</v>
      </c>
    </row>
    <row r="7284" spans="1:40" x14ac:dyDescent="0.25">
      <c r="A7284" t="str">
        <f>"20190312164645838"</f>
        <v>20190312164645838</v>
      </c>
      <c r="B7284" t="str">
        <f>"1552380405828728"</f>
        <v>1552380405828728</v>
      </c>
      <c r="C7284" t="s">
        <v>40</v>
      </c>
      <c r="D7284">
        <v>6.4768420000000004</v>
      </c>
      <c r="E7284">
        <v>0.52954080000000003</v>
      </c>
      <c r="F7284" t="s">
        <v>41</v>
      </c>
      <c r="G7284">
        <v>-143.82910000000001</v>
      </c>
      <c r="H7284">
        <v>0.99364169999999996</v>
      </c>
      <c r="I7284">
        <v>138.2294</v>
      </c>
      <c r="J7284">
        <v>-144.5213</v>
      </c>
      <c r="K7284">
        <v>1.111464</v>
      </c>
      <c r="L7284">
        <v>138.3032</v>
      </c>
      <c r="M7284">
        <v>0.99920030000000004</v>
      </c>
      <c r="N7284">
        <v>0</v>
      </c>
      <c r="O7284">
        <v>2.4017589999999998E-2</v>
      </c>
      <c r="P7284">
        <v>0.99385959999999995</v>
      </c>
      <c r="Q7284">
        <v>0.10518280000000001</v>
      </c>
      <c r="R7284">
        <v>-3.4347910000000002E-2</v>
      </c>
      <c r="S7284">
        <v>3.0600890000000001</v>
      </c>
      <c r="T7284">
        <v>-0.49128579999999999</v>
      </c>
      <c r="U7284">
        <v>-0.3035736</v>
      </c>
      <c r="V7284">
        <v>5.8233430000000003E-2</v>
      </c>
      <c r="W7284">
        <v>0.13686129999999999</v>
      </c>
      <c r="X7284">
        <v>0.98887709999999995</v>
      </c>
      <c r="Y7284">
        <v>0.12076629999999999</v>
      </c>
      <c r="Z7284">
        <v>-1.343447E-2</v>
      </c>
      <c r="AA7284">
        <v>0.99259010000000003</v>
      </c>
      <c r="AB7284">
        <v>5</v>
      </c>
      <c r="AC7284">
        <v>0.69219999999998505</v>
      </c>
      <c r="AD7284">
        <v>-0.1178223</v>
      </c>
      <c r="AE7284">
        <v>-7.3800000000005597E-2</v>
      </c>
      <c r="AF7284">
        <v>8.7894238089666593E-2</v>
      </c>
      <c r="AG7284">
        <v>-0.1178223</v>
      </c>
      <c r="AH7284">
        <v>0.67100428695052505</v>
      </c>
      <c r="AI7284">
        <v>99.876408850865204</v>
      </c>
      <c r="AJ7284">
        <v>82.537366308815294</v>
      </c>
      <c r="AK7284">
        <v>0.68691647568873704</v>
      </c>
      <c r="AL7284">
        <v>82.133736613265796</v>
      </c>
      <c r="AM7284">
        <v>86.629833059180299</v>
      </c>
      <c r="AN7284">
        <v>1.0000000333558301</v>
      </c>
    </row>
    <row r="7285" spans="1:40" x14ac:dyDescent="0.25">
      <c r="A7285" t="str">
        <f>"20190312164645861"</f>
        <v>20190312164645861</v>
      </c>
      <c r="B7285" t="str">
        <f>"1552380405858985"</f>
        <v>1552380405858985</v>
      </c>
      <c r="C7285" t="s">
        <v>40</v>
      </c>
      <c r="D7285">
        <v>5.4125610000000002</v>
      </c>
      <c r="E7285">
        <v>0.52932709999999905</v>
      </c>
      <c r="F7285" t="s">
        <v>41</v>
      </c>
      <c r="G7285">
        <v>-143.79220000000001</v>
      </c>
      <c r="H7285">
        <v>0.99490520000000005</v>
      </c>
      <c r="I7285">
        <v>138.23060000000001</v>
      </c>
      <c r="J7285">
        <v>-144.48089999999999</v>
      </c>
      <c r="K7285">
        <v>1.111505</v>
      </c>
      <c r="L7285">
        <v>138.304</v>
      </c>
      <c r="M7285">
        <v>0.99919849999999999</v>
      </c>
      <c r="N7285">
        <v>0</v>
      </c>
      <c r="O7285">
        <v>2.3910000000000001E-2</v>
      </c>
      <c r="P7285">
        <v>0.99383180000000004</v>
      </c>
      <c r="Q7285">
        <v>0.1051893</v>
      </c>
      <c r="R7285">
        <v>-3.5131269999999999E-2</v>
      </c>
      <c r="S7285">
        <v>3.0597840000000001</v>
      </c>
      <c r="T7285">
        <v>-0.48914790000000002</v>
      </c>
      <c r="U7285">
        <v>-0.30441279999999998</v>
      </c>
      <c r="V7285">
        <v>5.8905310000000002E-2</v>
      </c>
      <c r="W7285">
        <v>0.13700590000000001</v>
      </c>
      <c r="X7285">
        <v>0.98881730000000001</v>
      </c>
      <c r="Y7285">
        <v>0.1209534</v>
      </c>
      <c r="Z7285">
        <v>-1.3375659999999999E-2</v>
      </c>
      <c r="AA7285">
        <v>0.99256809999999995</v>
      </c>
      <c r="AB7285">
        <v>4</v>
      </c>
      <c r="AC7285">
        <v>0.68869999999998199</v>
      </c>
      <c r="AD7285">
        <v>-0.1165998</v>
      </c>
      <c r="AE7285">
        <v>-7.3399999999992305E-2</v>
      </c>
      <c r="AF7285">
        <v>8.7377842777619702E-2</v>
      </c>
      <c r="AG7285">
        <v>-0.1165998</v>
      </c>
      <c r="AH7285">
        <v>0.66781967661726604</v>
      </c>
      <c r="AI7285">
        <v>99.821817119977297</v>
      </c>
      <c r="AJ7285">
        <v>82.545737683306697</v>
      </c>
      <c r="AK7285">
        <v>0.68353019044201702</v>
      </c>
      <c r="AL7285">
        <v>82.1253730107222</v>
      </c>
      <c r="AM7285">
        <v>86.590834579341205</v>
      </c>
      <c r="AN7285">
        <v>1.00000005248014</v>
      </c>
    </row>
    <row r="7286" spans="1:40" x14ac:dyDescent="0.25">
      <c r="A7286" t="str">
        <f>"20190312164645887"</f>
        <v>20190312164645887</v>
      </c>
      <c r="B7286" t="str">
        <f>"1552380405878502"</f>
        <v>1552380405878502</v>
      </c>
      <c r="C7286" t="s">
        <v>40</v>
      </c>
      <c r="D7286">
        <v>6.0437629999999896</v>
      </c>
      <c r="E7286">
        <v>0.529254</v>
      </c>
      <c r="F7286" t="s">
        <v>41</v>
      </c>
      <c r="G7286">
        <v>-143.75810000000001</v>
      </c>
      <c r="H7286">
        <v>0.99661699999999998</v>
      </c>
      <c r="I7286">
        <v>138.2319</v>
      </c>
      <c r="J7286">
        <v>-144.44120000000001</v>
      </c>
      <c r="K7286">
        <v>1.111494</v>
      </c>
      <c r="L7286">
        <v>138.3048</v>
      </c>
      <c r="M7286">
        <v>0.99920240000000005</v>
      </c>
      <c r="N7286">
        <v>0</v>
      </c>
      <c r="O7286">
        <v>2.3805570000000002E-2</v>
      </c>
      <c r="P7286">
        <v>0.99374989999999996</v>
      </c>
      <c r="Q7286">
        <v>0.1057625</v>
      </c>
      <c r="R7286">
        <v>-3.571539E-2</v>
      </c>
      <c r="S7286">
        <v>3.059326</v>
      </c>
      <c r="T7286">
        <v>-0.48631229999999998</v>
      </c>
      <c r="U7286">
        <v>-0.30450440000000001</v>
      </c>
      <c r="V7286">
        <v>5.9380450000000001E-2</v>
      </c>
      <c r="W7286">
        <v>0.1375306</v>
      </c>
      <c r="X7286">
        <v>0.98871600000000004</v>
      </c>
      <c r="Y7286">
        <v>0.12091590000000001</v>
      </c>
      <c r="Z7286">
        <v>-1.3281579999999999E-2</v>
      </c>
      <c r="AA7286">
        <v>0.99257390000000001</v>
      </c>
      <c r="AB7286">
        <v>4</v>
      </c>
      <c r="AC7286">
        <v>0.68309999999999504</v>
      </c>
      <c r="AD7286">
        <v>-0.11487699999999899</v>
      </c>
      <c r="AE7286">
        <v>-7.29000000000041E-2</v>
      </c>
      <c r="AF7286">
        <v>8.6724223138449394E-2</v>
      </c>
      <c r="AG7286">
        <v>-0.11487699999999899</v>
      </c>
      <c r="AH7286">
        <v>0.66264066336773997</v>
      </c>
      <c r="AI7286">
        <v>99.753621706735501</v>
      </c>
      <c r="AJ7286">
        <v>82.5436970231152</v>
      </c>
      <c r="AK7286">
        <v>0.67809325668111897</v>
      </c>
      <c r="AL7286">
        <v>82.095022328409101</v>
      </c>
      <c r="AM7286">
        <v>86.563050072251002</v>
      </c>
      <c r="AN7286">
        <v>1.00000001621728</v>
      </c>
    </row>
    <row r="7287" spans="1:40" x14ac:dyDescent="0.25">
      <c r="A7287" t="str">
        <f>"20190312164645910"</f>
        <v>20190312164645910</v>
      </c>
      <c r="B7287" t="str">
        <f>"1552380405898022"</f>
        <v>1552380405898022</v>
      </c>
      <c r="C7287" t="s">
        <v>40</v>
      </c>
      <c r="D7287">
        <v>6.5029009999999996</v>
      </c>
      <c r="E7287">
        <v>0.52916260000000004</v>
      </c>
      <c r="F7287" t="s">
        <v>41</v>
      </c>
      <c r="G7287">
        <v>-143.72649999999999</v>
      </c>
      <c r="H7287">
        <v>0.99855329999999998</v>
      </c>
      <c r="I7287">
        <v>138.23339999999999</v>
      </c>
      <c r="J7287">
        <v>-144.40880000000001</v>
      </c>
      <c r="K7287">
        <v>1.1114599999999999</v>
      </c>
      <c r="L7287">
        <v>138.30549999999999</v>
      </c>
      <c r="M7287">
        <v>0.99920960000000003</v>
      </c>
      <c r="N7287">
        <v>0</v>
      </c>
      <c r="O7287">
        <v>2.3731619999999998E-2</v>
      </c>
      <c r="P7287">
        <v>0.99370959999999997</v>
      </c>
      <c r="Q7287">
        <v>0.10603899999999999</v>
      </c>
      <c r="R7287">
        <v>-3.6017300000000002E-2</v>
      </c>
      <c r="S7287">
        <v>3.0593409999999999</v>
      </c>
      <c r="T7287">
        <v>-0.48347309999999999</v>
      </c>
      <c r="U7287">
        <v>-0.30551149999999999</v>
      </c>
      <c r="V7287">
        <v>5.9606050000000001E-2</v>
      </c>
      <c r="W7287">
        <v>0.1376397</v>
      </c>
      <c r="X7287">
        <v>0.98868719999999999</v>
      </c>
      <c r="Y7287">
        <v>0.1211839</v>
      </c>
      <c r="Z7287">
        <v>-1.321409E-2</v>
      </c>
      <c r="AA7287">
        <v>0.99254209999999998</v>
      </c>
      <c r="AB7287">
        <v>4</v>
      </c>
      <c r="AC7287">
        <v>0.682300000000026</v>
      </c>
      <c r="AD7287">
        <v>-0.1129067</v>
      </c>
      <c r="AE7287">
        <v>-7.2100000000006007E-2</v>
      </c>
      <c r="AF7287">
        <v>8.5952316080434896E-2</v>
      </c>
      <c r="AG7287">
        <v>-0.1129067</v>
      </c>
      <c r="AH7287">
        <v>0.66245570842526602</v>
      </c>
      <c r="AI7287">
        <v>99.593455613483997</v>
      </c>
      <c r="AJ7287">
        <v>82.607285818315205</v>
      </c>
      <c r="AK7287">
        <v>0.67748305452586899</v>
      </c>
      <c r="AL7287">
        <v>82.088711003613696</v>
      </c>
      <c r="AM7287">
        <v>86.549923534427506</v>
      </c>
      <c r="AN7287">
        <v>0.999999973828265</v>
      </c>
    </row>
    <row r="7288" spans="1:40" x14ac:dyDescent="0.25">
      <c r="A7288" t="str">
        <f>"20190312164645928"</f>
        <v>20190312164645928</v>
      </c>
      <c r="B7288" t="str">
        <f>"1552380405918519"</f>
        <v>1552380405918519</v>
      </c>
      <c r="C7288" t="s">
        <v>40</v>
      </c>
      <c r="D7288">
        <v>5.6259750000000004</v>
      </c>
      <c r="E7288">
        <v>0.52907340000000003</v>
      </c>
      <c r="F7288" t="s">
        <v>41</v>
      </c>
      <c r="G7288">
        <v>-143.67500000000001</v>
      </c>
      <c r="H7288">
        <v>0.99593160000000003</v>
      </c>
      <c r="I7288">
        <v>138.2321</v>
      </c>
      <c r="J7288">
        <v>-144.38560000000001</v>
      </c>
      <c r="K7288">
        <v>1.1114470000000001</v>
      </c>
      <c r="L7288">
        <v>138.30590000000001</v>
      </c>
      <c r="M7288">
        <v>0.99921400000000005</v>
      </c>
      <c r="N7288">
        <v>0</v>
      </c>
      <c r="O7288">
        <v>2.3685310000000001E-2</v>
      </c>
      <c r="P7288">
        <v>0.99365740000000002</v>
      </c>
      <c r="Q7288">
        <v>0.1064543</v>
      </c>
      <c r="R7288">
        <v>-3.622649E-2</v>
      </c>
      <c r="S7288">
        <v>3.059326</v>
      </c>
      <c r="T7288">
        <v>-0.4816318</v>
      </c>
      <c r="U7288">
        <v>-0.30555729999999998</v>
      </c>
      <c r="V7288">
        <v>5.9766090000000001E-2</v>
      </c>
      <c r="W7288">
        <v>0.13794719999999999</v>
      </c>
      <c r="X7288">
        <v>0.98863469999999998</v>
      </c>
      <c r="Y7288">
        <v>0.1211672</v>
      </c>
      <c r="Z7288">
        <v>-1.315588E-2</v>
      </c>
      <c r="AA7288">
        <v>0.99254489999999995</v>
      </c>
      <c r="AB7288">
        <v>3</v>
      </c>
      <c r="AC7288">
        <v>0.71059999999999901</v>
      </c>
      <c r="AD7288">
        <v>-0.115515399999999</v>
      </c>
      <c r="AE7288">
        <v>-7.3800000000005597E-2</v>
      </c>
      <c r="AF7288">
        <v>8.8309804629983904E-2</v>
      </c>
      <c r="AG7288">
        <v>-0.115515399999999</v>
      </c>
      <c r="AH7288">
        <v>0.69059670856137001</v>
      </c>
      <c r="AI7288">
        <v>99.420577240719496</v>
      </c>
      <c r="AJ7288">
        <v>82.712870689600294</v>
      </c>
      <c r="AK7288">
        <v>0.70573808392826798</v>
      </c>
      <c r="AL7288">
        <v>82.070923020792307</v>
      </c>
      <c r="AM7288">
        <v>86.540499418616506</v>
      </c>
      <c r="AN7288">
        <v>0.99999999277290896</v>
      </c>
    </row>
    <row r="7289" spans="1:40" x14ac:dyDescent="0.25">
      <c r="A7289" t="str">
        <f>"20190312164645962"</f>
        <v>20190312164645962</v>
      </c>
      <c r="B7289" t="str">
        <f>"1552380405958538"</f>
        <v>1552380405958538</v>
      </c>
      <c r="C7289" t="s">
        <v>40</v>
      </c>
      <c r="D7289">
        <v>6.3201099999999997</v>
      </c>
      <c r="E7289">
        <v>0.52892919999999999</v>
      </c>
      <c r="F7289" t="s">
        <v>41</v>
      </c>
      <c r="G7289">
        <v>-143.67310000000001</v>
      </c>
      <c r="H7289">
        <v>0.99982959999999999</v>
      </c>
      <c r="I7289">
        <v>138.23480000000001</v>
      </c>
      <c r="J7289">
        <v>-144.35120000000001</v>
      </c>
      <c r="K7289">
        <v>1.1114599999999999</v>
      </c>
      <c r="L7289">
        <v>138.30670000000001</v>
      </c>
      <c r="M7289">
        <v>0.99921850000000001</v>
      </c>
      <c r="N7289">
        <v>0</v>
      </c>
      <c r="O7289">
        <v>2.3617019999999999E-2</v>
      </c>
      <c r="P7289">
        <v>0.99359439999999999</v>
      </c>
      <c r="Q7289">
        <v>0.10686660000000001</v>
      </c>
      <c r="R7289">
        <v>-3.6738170000000001E-2</v>
      </c>
      <c r="S7289">
        <v>3.0593569999999999</v>
      </c>
      <c r="T7289">
        <v>-0.47920269999999998</v>
      </c>
      <c r="U7289">
        <v>-0.30522159999999998</v>
      </c>
      <c r="V7289">
        <v>6.0204580000000001E-2</v>
      </c>
      <c r="W7289">
        <v>0.13827159999999999</v>
      </c>
      <c r="X7289">
        <v>0.98856279999999996</v>
      </c>
      <c r="Y7289">
        <v>0.1210109</v>
      </c>
      <c r="Z7289">
        <v>-1.3067499999999999E-2</v>
      </c>
      <c r="AA7289">
        <v>0.99256520000000004</v>
      </c>
      <c r="AB7289">
        <v>3</v>
      </c>
      <c r="AC7289">
        <v>0.67810000000000004</v>
      </c>
      <c r="AD7289">
        <v>-0.1116304</v>
      </c>
      <c r="AE7289">
        <v>-7.1899999999999395E-2</v>
      </c>
      <c r="AF7289">
        <v>8.5608438184557906E-2</v>
      </c>
      <c r="AG7289">
        <v>-0.1116304</v>
      </c>
      <c r="AH7289">
        <v>0.65856279030887199</v>
      </c>
      <c r="AI7289">
        <v>99.541751896596296</v>
      </c>
      <c r="AJ7289">
        <v>82.5934920829053</v>
      </c>
      <c r="AK7289">
        <v>0.67342044791643096</v>
      </c>
      <c r="AL7289">
        <v>82.052156632313796</v>
      </c>
      <c r="AM7289">
        <v>86.514927351282296</v>
      </c>
      <c r="AN7289">
        <v>1.0000000181816799</v>
      </c>
    </row>
    <row r="7290" spans="1:40" x14ac:dyDescent="0.25">
      <c r="A7290" t="str">
        <f>"20190312164645986"</f>
        <v>20190312164645986</v>
      </c>
      <c r="B7290" t="str">
        <f>"1552380405978057"</f>
        <v>1552380405978057</v>
      </c>
      <c r="C7290" t="s">
        <v>40</v>
      </c>
      <c r="D7290">
        <v>5.7663399999999996</v>
      </c>
      <c r="E7290">
        <v>0.52857749999999903</v>
      </c>
      <c r="F7290" t="s">
        <v>41</v>
      </c>
      <c r="G7290">
        <v>-143.63229999999999</v>
      </c>
      <c r="H7290">
        <v>0.99964580000000003</v>
      </c>
      <c r="I7290">
        <v>138.23509999999999</v>
      </c>
      <c r="J7290">
        <v>-144.33099999999999</v>
      </c>
      <c r="K7290">
        <v>1.11147</v>
      </c>
      <c r="L7290">
        <v>138.30709999999999</v>
      </c>
      <c r="M7290">
        <v>0.99922140000000004</v>
      </c>
      <c r="N7290">
        <v>0</v>
      </c>
      <c r="O7290">
        <v>2.35783E-2</v>
      </c>
      <c r="P7290">
        <v>0.99360789999999999</v>
      </c>
      <c r="Q7290">
        <v>0.1066951</v>
      </c>
      <c r="R7290">
        <v>-3.687667E-2</v>
      </c>
      <c r="S7290">
        <v>3.0592649999999999</v>
      </c>
      <c r="T7290">
        <v>-0.47586410000000001</v>
      </c>
      <c r="U7290">
        <v>-0.30464170000000002</v>
      </c>
      <c r="V7290">
        <v>6.0302969999999997E-2</v>
      </c>
      <c r="W7290">
        <v>0.13803969999999999</v>
      </c>
      <c r="X7290">
        <v>0.98858919999999995</v>
      </c>
      <c r="Y7290">
        <v>0.1208159</v>
      </c>
      <c r="Z7290">
        <v>-1.295701E-2</v>
      </c>
      <c r="AA7290">
        <v>0.99259039999999998</v>
      </c>
      <c r="AB7290">
        <v>2</v>
      </c>
      <c r="AC7290">
        <v>0.69870000000002996</v>
      </c>
      <c r="AD7290">
        <v>-0.1118242</v>
      </c>
      <c r="AE7290">
        <v>-7.2000000000002701E-2</v>
      </c>
      <c r="AF7290">
        <v>8.6275661552379396E-2</v>
      </c>
      <c r="AG7290">
        <v>-0.1118242</v>
      </c>
      <c r="AH7290">
        <v>0.67958264153898595</v>
      </c>
      <c r="AI7290">
        <v>99.271084928461903</v>
      </c>
      <c r="AJ7290">
        <v>82.764782804181095</v>
      </c>
      <c r="AK7290">
        <v>0.694104248771787</v>
      </c>
      <c r="AL7290">
        <v>82.065572079295094</v>
      </c>
      <c r="AM7290">
        <v>86.509338894051297</v>
      </c>
      <c r="AN7290">
        <v>1.00000000666177</v>
      </c>
    </row>
    <row r="7291" spans="1:40" x14ac:dyDescent="0.25">
      <c r="A7291" t="str">
        <f>"20190312164646007"</f>
        <v>20190312164646007</v>
      </c>
      <c r="B7291" t="str">
        <f>"1552380405998555"</f>
        <v>1552380405998555</v>
      </c>
      <c r="C7291" t="s">
        <v>40</v>
      </c>
      <c r="D7291">
        <v>5.4724820000000003</v>
      </c>
      <c r="E7291">
        <v>0.5044149</v>
      </c>
      <c r="F7291" t="s">
        <v>41</v>
      </c>
      <c r="G7291">
        <v>-143.61600000000001</v>
      </c>
      <c r="H7291">
        <v>1.000381</v>
      </c>
      <c r="I7291">
        <v>138.2363</v>
      </c>
      <c r="J7291">
        <v>-144.3158</v>
      </c>
      <c r="K7291">
        <v>1.111456</v>
      </c>
      <c r="L7291">
        <v>138.3074</v>
      </c>
      <c r="M7291">
        <v>0.9992259</v>
      </c>
      <c r="N7291">
        <v>0</v>
      </c>
      <c r="O7291">
        <v>2.355206E-2</v>
      </c>
      <c r="P7291">
        <v>0.99364719999999995</v>
      </c>
      <c r="Q7291">
        <v>0.1063378</v>
      </c>
      <c r="R7291">
        <v>-3.6844799999999997E-2</v>
      </c>
      <c r="S7291">
        <v>3.0591279999999998</v>
      </c>
      <c r="T7291">
        <v>-0.4753346</v>
      </c>
      <c r="U7291">
        <v>-0.3021393</v>
      </c>
      <c r="V7291">
        <v>6.024558E-2</v>
      </c>
      <c r="W7291">
        <v>0.1375594</v>
      </c>
      <c r="X7291">
        <v>0.98865959999999997</v>
      </c>
      <c r="Y7291">
        <v>0.120003399999999</v>
      </c>
      <c r="Z7291">
        <v>-1.287719E-2</v>
      </c>
      <c r="AA7291">
        <v>0.99268999999999996</v>
      </c>
      <c r="AB7291">
        <v>2</v>
      </c>
      <c r="AC7291">
        <v>0.69979999999998199</v>
      </c>
      <c r="AD7291">
        <v>-0.11107499999999999</v>
      </c>
      <c r="AE7291">
        <v>-7.1100000000001204E-2</v>
      </c>
      <c r="AF7291">
        <v>8.5439665019614697E-2</v>
      </c>
      <c r="AG7291">
        <v>-0.11107499999999999</v>
      </c>
      <c r="AH7291">
        <v>0.68095021535638001</v>
      </c>
      <c r="AI7291">
        <v>99.193522041688794</v>
      </c>
      <c r="AJ7291">
        <v>82.848400755765496</v>
      </c>
      <c r="AK7291">
        <v>0.69521995640053702</v>
      </c>
      <c r="AL7291">
        <v>82.0933559410134</v>
      </c>
      <c r="AM7291">
        <v>86.512900446873502</v>
      </c>
      <c r="AN7291">
        <v>0.99999996155502702</v>
      </c>
    </row>
    <row r="7292" spans="1:40" x14ac:dyDescent="0.25">
      <c r="A7292" t="str">
        <f>"20190312164646027"</f>
        <v>20190312164646027</v>
      </c>
      <c r="B7292" t="str">
        <f>"1552380406018073"</f>
        <v>1552380406018073</v>
      </c>
      <c r="C7292" t="s">
        <v>40</v>
      </c>
      <c r="D7292">
        <v>5.9522579999999996</v>
      </c>
      <c r="E7292">
        <v>0.50348329999999997</v>
      </c>
      <c r="F7292" t="s">
        <v>41</v>
      </c>
      <c r="G7292">
        <v>-143.601</v>
      </c>
      <c r="H7292">
        <v>1.0054099999999999</v>
      </c>
      <c r="I7292">
        <v>138.2817</v>
      </c>
      <c r="J7292">
        <v>-144.3039</v>
      </c>
      <c r="K7292">
        <v>1.1114040000000001</v>
      </c>
      <c r="L7292">
        <v>138.30760000000001</v>
      </c>
      <c r="M7292">
        <v>0.99923439999999997</v>
      </c>
      <c r="N7292">
        <v>0</v>
      </c>
      <c r="O7292">
        <v>2.3532730000000002E-2</v>
      </c>
      <c r="P7292">
        <v>0.9937549</v>
      </c>
      <c r="Q7292">
        <v>0.10530970000000001</v>
      </c>
      <c r="R7292">
        <v>-3.6896749999999999E-2</v>
      </c>
      <c r="S7292">
        <v>3.0637509999999999</v>
      </c>
      <c r="T7292">
        <v>-0.45456029999999997</v>
      </c>
      <c r="U7292">
        <v>-0.10995480000000001</v>
      </c>
      <c r="V7292">
        <v>6.0281260000000003E-2</v>
      </c>
      <c r="W7292">
        <v>0.1362836</v>
      </c>
      <c r="X7292">
        <v>0.98883410000000005</v>
      </c>
      <c r="Y7292">
        <v>5.8488030000000003E-2</v>
      </c>
      <c r="Z7292">
        <v>-7.7870700000000001E-3</v>
      </c>
      <c r="AA7292">
        <v>0.99825779999999997</v>
      </c>
      <c r="AB7292">
        <v>2</v>
      </c>
      <c r="AC7292">
        <v>0.70289999999999897</v>
      </c>
      <c r="AD7292">
        <v>-0.10599399999999901</v>
      </c>
      <c r="AE7292">
        <v>-2.5900000000007101E-2</v>
      </c>
      <c r="AF7292">
        <v>4.1499670717931099E-2</v>
      </c>
      <c r="AG7292">
        <v>-0.10599399999999901</v>
      </c>
      <c r="AH7292">
        <v>0.68650591800594096</v>
      </c>
      <c r="AI7292">
        <v>98.761209592457504</v>
      </c>
      <c r="AJ7292">
        <v>86.540647453390093</v>
      </c>
      <c r="AK7292">
        <v>0.69587881571641197</v>
      </c>
      <c r="AL7292">
        <v>82.167148910400599</v>
      </c>
      <c r="AM7292">
        <v>86.5114545512982</v>
      </c>
      <c r="AN7292">
        <v>0.99999996362947796</v>
      </c>
    </row>
    <row r="7293" spans="1:40" x14ac:dyDescent="0.25">
      <c r="A7293" t="str">
        <f>"20190312164646050"</f>
        <v>20190312164646050</v>
      </c>
      <c r="B7293" t="str">
        <f>"1552380406038570"</f>
        <v>1552380406038570</v>
      </c>
      <c r="C7293" t="s">
        <v>40</v>
      </c>
      <c r="D7293">
        <v>5.9613269999999998</v>
      </c>
      <c r="E7293">
        <v>0.50337029999999905</v>
      </c>
      <c r="F7293" t="s">
        <v>41</v>
      </c>
      <c r="G7293">
        <v>-143.59030000000001</v>
      </c>
      <c r="H7293">
        <v>1.004942</v>
      </c>
      <c r="I7293">
        <v>138.28370000000001</v>
      </c>
      <c r="J7293">
        <v>-144.29399999999899</v>
      </c>
      <c r="K7293">
        <v>1.111305</v>
      </c>
      <c r="L7293">
        <v>138.30789999999999</v>
      </c>
      <c r="M7293">
        <v>0.99924900000000005</v>
      </c>
      <c r="N7293">
        <v>0</v>
      </c>
      <c r="O7293">
        <v>2.351495E-2</v>
      </c>
      <c r="P7293">
        <v>0.99378869999999997</v>
      </c>
      <c r="Q7293">
        <v>0.1049023</v>
      </c>
      <c r="R7293">
        <v>-3.7141809999999997E-2</v>
      </c>
      <c r="S7293">
        <v>3.0634769999999998</v>
      </c>
      <c r="T7293">
        <v>-0.4571173</v>
      </c>
      <c r="U7293">
        <v>-0.1023254</v>
      </c>
      <c r="V7293">
        <v>6.0510050000000003E-2</v>
      </c>
      <c r="W7293">
        <v>0.13542379999999901</v>
      </c>
      <c r="X7293">
        <v>0.98893830000000005</v>
      </c>
      <c r="Y7293">
        <v>5.6007179999999997E-2</v>
      </c>
      <c r="Z7293">
        <v>-7.6446880000000002E-3</v>
      </c>
      <c r="AA7293">
        <v>0.99840110000000004</v>
      </c>
      <c r="AB7293">
        <v>2</v>
      </c>
      <c r="AC7293">
        <v>0.70369999999996902</v>
      </c>
      <c r="AD7293">
        <v>-0.106363</v>
      </c>
      <c r="AE7293">
        <v>-2.4199999999979099E-2</v>
      </c>
      <c r="AF7293">
        <v>3.9839535135950302E-2</v>
      </c>
      <c r="AG7293">
        <v>-0.106363</v>
      </c>
      <c r="AH7293">
        <v>0.68725359979787604</v>
      </c>
      <c r="AI7293">
        <v>98.783085314503197</v>
      </c>
      <c r="AJ7293">
        <v>86.682322964843806</v>
      </c>
      <c r="AK7293">
        <v>0.69657575809382599</v>
      </c>
      <c r="AL7293">
        <v>82.216873233856305</v>
      </c>
      <c r="AM7293">
        <v>86.498615142880197</v>
      </c>
      <c r="AN7293">
        <v>1.0000000164821601</v>
      </c>
    </row>
    <row r="7294" spans="1:40" x14ac:dyDescent="0.25">
      <c r="A7294" t="str">
        <f>"20190312164646073"</f>
        <v>20190312164646073</v>
      </c>
      <c r="B7294" t="str">
        <f>"1552380406068826"</f>
        <v>1552380406068826</v>
      </c>
      <c r="C7294" t="s">
        <v>40</v>
      </c>
      <c r="D7294">
        <v>5.6294629999999897</v>
      </c>
      <c r="E7294">
        <v>0.50347810000000004</v>
      </c>
      <c r="F7294" t="s">
        <v>41</v>
      </c>
      <c r="G7294">
        <v>-143.57480000000001</v>
      </c>
      <c r="H7294">
        <v>1.0030220000000001</v>
      </c>
      <c r="I7294">
        <v>138.28389999999999</v>
      </c>
      <c r="J7294">
        <v>-144.28550000000001</v>
      </c>
      <c r="K7294">
        <v>1.111162</v>
      </c>
      <c r="L7294">
        <v>138.3081</v>
      </c>
      <c r="M7294">
        <v>0.99927160000000004</v>
      </c>
      <c r="N7294">
        <v>0</v>
      </c>
      <c r="O7294">
        <v>2.3496349999999999E-2</v>
      </c>
      <c r="P7294">
        <v>0.99377839999999995</v>
      </c>
      <c r="Q7294">
        <v>0.1049539</v>
      </c>
      <c r="R7294">
        <v>-3.7279930000000003E-2</v>
      </c>
      <c r="S7294">
        <v>3.063644</v>
      </c>
      <c r="T7294">
        <v>-0.46133730000000001</v>
      </c>
      <c r="U7294">
        <v>-0.1016388</v>
      </c>
      <c r="V7294">
        <v>6.0629450000000001E-2</v>
      </c>
      <c r="W7294">
        <v>0.13475670000000001</v>
      </c>
      <c r="X7294">
        <v>0.98902210000000002</v>
      </c>
      <c r="Y7294">
        <v>5.5749699999999902E-2</v>
      </c>
      <c r="Z7294">
        <v>-7.6919500000000003E-3</v>
      </c>
      <c r="AA7294">
        <v>0.99841519999999995</v>
      </c>
      <c r="AB7294">
        <v>1</v>
      </c>
      <c r="AC7294">
        <v>0.710700000000002</v>
      </c>
      <c r="AD7294">
        <v>-0.10814</v>
      </c>
      <c r="AE7294">
        <v>-2.42000000000075E-2</v>
      </c>
      <c r="AF7294">
        <v>3.9975263320428597E-2</v>
      </c>
      <c r="AG7294">
        <v>-0.10814</v>
      </c>
      <c r="AH7294">
        <v>0.69388802678543404</v>
      </c>
      <c r="AI7294">
        <v>98.843656830473194</v>
      </c>
      <c r="AJ7294">
        <v>86.702803799091598</v>
      </c>
      <c r="AK7294">
        <v>0.70340093474043697</v>
      </c>
      <c r="AL7294">
        <v>82.255448780771303</v>
      </c>
      <c r="AM7294">
        <v>86.492019873126495</v>
      </c>
      <c r="AN7294">
        <v>1.0000000063453001</v>
      </c>
    </row>
    <row r="7295" spans="1:40" x14ac:dyDescent="0.25">
      <c r="A7295" t="str">
        <f>"20190312164646098"</f>
        <v>20190312164646098</v>
      </c>
      <c r="B7295" t="str">
        <f>"1552380406088345"</f>
        <v>1552380406088345</v>
      </c>
      <c r="C7295" t="s">
        <v>40</v>
      </c>
      <c r="D7295">
        <v>5.8081670000000001</v>
      </c>
      <c r="E7295">
        <v>0.50337520000000002</v>
      </c>
      <c r="F7295" t="s">
        <v>41</v>
      </c>
      <c r="G7295">
        <v>-143.5692</v>
      </c>
      <c r="H7295">
        <v>1.002035</v>
      </c>
      <c r="I7295">
        <v>138.2841</v>
      </c>
      <c r="J7295">
        <v>-144.27809999999999</v>
      </c>
      <c r="K7295">
        <v>1.1109709999999999</v>
      </c>
      <c r="L7295">
        <v>138.3082</v>
      </c>
      <c r="M7295">
        <v>0.99930189999999997</v>
      </c>
      <c r="N7295">
        <v>0</v>
      </c>
      <c r="O7295">
        <v>2.3478180000000001E-2</v>
      </c>
      <c r="P7295">
        <v>0.99372539999999998</v>
      </c>
      <c r="Q7295">
        <v>0.105389</v>
      </c>
      <c r="R7295">
        <v>-3.7461170000000002E-2</v>
      </c>
      <c r="S7295">
        <v>3.0642399999999999</v>
      </c>
      <c r="T7295">
        <v>-0.46682170000000001</v>
      </c>
      <c r="U7295">
        <v>-0.1023102</v>
      </c>
      <c r="V7295">
        <v>6.0791829999999998E-2</v>
      </c>
      <c r="W7295">
        <v>0.13419010000000001</v>
      </c>
      <c r="X7295">
        <v>0.98908910000000005</v>
      </c>
      <c r="Y7295">
        <v>5.5920329999999997E-2</v>
      </c>
      <c r="Z7295">
        <v>-7.7908980000000001E-3</v>
      </c>
      <c r="AA7295">
        <v>0.99840490000000004</v>
      </c>
      <c r="AB7295">
        <v>1</v>
      </c>
      <c r="AC7295">
        <v>0.70889999999999898</v>
      </c>
      <c r="AD7295">
        <v>-0.10893599999999901</v>
      </c>
      <c r="AE7295">
        <v>-2.4100000000004201E-2</v>
      </c>
      <c r="AF7295">
        <v>3.9805183445182898E-2</v>
      </c>
      <c r="AG7295">
        <v>-0.10893599999999901</v>
      </c>
      <c r="AH7295">
        <v>0.69182044882416005</v>
      </c>
      <c r="AI7295">
        <v>98.933943308778396</v>
      </c>
      <c r="AJ7295">
        <v>86.707010766431495</v>
      </c>
      <c r="AK7295">
        <v>0.70147490200032603</v>
      </c>
      <c r="AL7295">
        <v>82.288209609062307</v>
      </c>
      <c r="AM7295">
        <v>86.482885892853901</v>
      </c>
      <c r="AN7295">
        <v>0.99999993863578196</v>
      </c>
    </row>
    <row r="7296" spans="1:40" x14ac:dyDescent="0.25">
      <c r="A7296" t="str">
        <f>"20190312164646119"</f>
        <v>20190312164646119</v>
      </c>
      <c r="B7296" t="str">
        <f>"1552380406108843"</f>
        <v>1552380406108843</v>
      </c>
      <c r="C7296" t="s">
        <v>40</v>
      </c>
      <c r="D7296">
        <v>5.3235939999999999</v>
      </c>
      <c r="E7296">
        <v>0.50343779999999905</v>
      </c>
      <c r="F7296" t="s">
        <v>41</v>
      </c>
      <c r="G7296">
        <v>-143.5641</v>
      </c>
      <c r="H7296">
        <v>1.0020199999999999</v>
      </c>
      <c r="I7296">
        <v>138.2843</v>
      </c>
      <c r="J7296">
        <v>-144.273</v>
      </c>
      <c r="K7296">
        <v>1.110806</v>
      </c>
      <c r="L7296">
        <v>138.3083</v>
      </c>
      <c r="M7296">
        <v>0.9993303</v>
      </c>
      <c r="N7296">
        <v>0</v>
      </c>
      <c r="O7296">
        <v>2.3464740000000001E-2</v>
      </c>
      <c r="P7296">
        <v>0.99380089999999999</v>
      </c>
      <c r="Q7296">
        <v>0.1045297</v>
      </c>
      <c r="R7296">
        <v>-3.7862710000000001E-2</v>
      </c>
      <c r="S7296">
        <v>3.0647129999999998</v>
      </c>
      <c r="T7296">
        <v>-0.4676669</v>
      </c>
      <c r="U7296">
        <v>-0.1020355</v>
      </c>
      <c r="V7296">
        <v>6.118212E-2</v>
      </c>
      <c r="W7296">
        <v>0.1323655</v>
      </c>
      <c r="X7296">
        <v>0.98931089999999999</v>
      </c>
      <c r="Y7296">
        <v>5.5810140000000001E-2</v>
      </c>
      <c r="Z7296">
        <v>-7.7931659999999998E-3</v>
      </c>
      <c r="AA7296">
        <v>0.99841100000000005</v>
      </c>
      <c r="AB7296">
        <v>1</v>
      </c>
      <c r="AC7296">
        <v>0.70889999999999898</v>
      </c>
      <c r="AD7296">
        <v>-0.10878599999999899</v>
      </c>
      <c r="AE7296">
        <v>-2.4000000000000899E-2</v>
      </c>
      <c r="AF7296">
        <v>3.9700262764704598E-2</v>
      </c>
      <c r="AG7296">
        <v>-0.10878599999999899</v>
      </c>
      <c r="AH7296">
        <v>0.69186702694645397</v>
      </c>
      <c r="AI7296">
        <v>98.921326897343604</v>
      </c>
      <c r="AJ7296">
        <v>86.715892206082998</v>
      </c>
      <c r="AK7296">
        <v>0.70149161622596101</v>
      </c>
      <c r="AL7296">
        <v>82.393692771409505</v>
      </c>
      <c r="AM7296">
        <v>86.461154430598896</v>
      </c>
      <c r="AN7296">
        <v>0.99999996712837602</v>
      </c>
    </row>
    <row r="7297" spans="1:40" x14ac:dyDescent="0.25">
      <c r="A7297" t="str">
        <f>"20190312164646139"</f>
        <v>20190312164646139</v>
      </c>
      <c r="B7297" t="str">
        <f>"1552380406128362"</f>
        <v>1552380406128362</v>
      </c>
      <c r="C7297" t="s">
        <v>40</v>
      </c>
      <c r="D7297">
        <v>5.8363459999999998</v>
      </c>
      <c r="E7297">
        <v>0.50349160000000004</v>
      </c>
      <c r="F7297" t="s">
        <v>41</v>
      </c>
      <c r="G7297">
        <v>-143.56030000000001</v>
      </c>
      <c r="H7297">
        <v>1.001185</v>
      </c>
      <c r="I7297">
        <v>138.2842</v>
      </c>
      <c r="J7297">
        <v>-144.26910000000001</v>
      </c>
      <c r="K7297">
        <v>1.110657</v>
      </c>
      <c r="L7297">
        <v>138.30840000000001</v>
      </c>
      <c r="M7297">
        <v>0.99935700000000005</v>
      </c>
      <c r="N7297">
        <v>0</v>
      </c>
      <c r="O7297">
        <v>2.3454860000000001E-2</v>
      </c>
      <c r="P7297">
        <v>0.99379430000000002</v>
      </c>
      <c r="Q7297">
        <v>0.1045809</v>
      </c>
      <c r="R7297">
        <v>-3.7889119999999998E-2</v>
      </c>
      <c r="S7297">
        <v>3.0643310000000001</v>
      </c>
      <c r="T7297">
        <v>-0.47129110000000002</v>
      </c>
      <c r="U7297">
        <v>-0.1039124</v>
      </c>
      <c r="V7297">
        <v>6.1198629999999997E-2</v>
      </c>
      <c r="W7297">
        <v>0.13145889999999999</v>
      </c>
      <c r="X7297">
        <v>0.98943080000000005</v>
      </c>
      <c r="Y7297">
        <v>5.6393459999999999E-2</v>
      </c>
      <c r="Z7297">
        <v>-7.8967299999999994E-3</v>
      </c>
      <c r="AA7297">
        <v>0.99837739999999997</v>
      </c>
      <c r="AB7297">
        <v>1</v>
      </c>
      <c r="AC7297">
        <v>0.70879999999999599</v>
      </c>
      <c r="AD7297">
        <v>-0.109472</v>
      </c>
      <c r="AE7297">
        <v>-2.42000000000075E-2</v>
      </c>
      <c r="AF7297">
        <v>3.9874212681193601E-2</v>
      </c>
      <c r="AG7297">
        <v>-0.109472</v>
      </c>
      <c r="AH7297">
        <v>0.69155988085026698</v>
      </c>
      <c r="AI7297">
        <v>98.980452703627705</v>
      </c>
      <c r="AJ7297">
        <v>86.7000725970275</v>
      </c>
      <c r="AK7297">
        <v>0.70130531184540501</v>
      </c>
      <c r="AL7297">
        <v>82.446095387064304</v>
      </c>
      <c r="AM7297">
        <v>86.460629765664507</v>
      </c>
      <c r="AN7297">
        <v>1.00000001134586</v>
      </c>
    </row>
    <row r="7298" spans="1:40" x14ac:dyDescent="0.25">
      <c r="A7298" t="str">
        <f>"20190312164646162"</f>
        <v>20190312164646162</v>
      </c>
      <c r="B7298" t="str">
        <f>"1552380406158618"</f>
        <v>1552380406158618</v>
      </c>
      <c r="C7298" t="s">
        <v>40</v>
      </c>
      <c r="D7298">
        <v>5.8195139999999999</v>
      </c>
      <c r="E7298">
        <v>0.5035444</v>
      </c>
      <c r="F7298" t="s">
        <v>41</v>
      </c>
      <c r="G7298">
        <v>-143.55709999999999</v>
      </c>
      <c r="H7298">
        <v>1.0007980000000001</v>
      </c>
      <c r="I7298">
        <v>138.28399999999999</v>
      </c>
      <c r="J7298">
        <v>-144.2654</v>
      </c>
      <c r="K7298">
        <v>1.1105020000000001</v>
      </c>
      <c r="L7298">
        <v>138.30850000000001</v>
      </c>
      <c r="M7298">
        <v>0.99938749999999998</v>
      </c>
      <c r="N7298">
        <v>0</v>
      </c>
      <c r="O7298">
        <v>2.3445750000000001E-2</v>
      </c>
      <c r="P7298">
        <v>0.99370510000000001</v>
      </c>
      <c r="Q7298">
        <v>0.1052889</v>
      </c>
      <c r="R7298">
        <v>-3.8273090000000003E-2</v>
      </c>
      <c r="S7298">
        <v>3.0645289999999998</v>
      </c>
      <c r="T7298">
        <v>-0.4728636</v>
      </c>
      <c r="U7298">
        <v>-0.1044006</v>
      </c>
      <c r="V7298">
        <v>6.157091E-2</v>
      </c>
      <c r="W7298">
        <v>0.13104109999999999</v>
      </c>
      <c r="X7298">
        <v>0.98946310000000004</v>
      </c>
      <c r="Y7298">
        <v>5.6532720000000002E-2</v>
      </c>
      <c r="Z7298">
        <v>-7.9314169999999996E-3</v>
      </c>
      <c r="AA7298">
        <v>0.99836919999999996</v>
      </c>
      <c r="AB7298">
        <v>1</v>
      </c>
      <c r="AC7298">
        <v>0.70830000000000803</v>
      </c>
      <c r="AD7298">
        <v>-0.109704</v>
      </c>
      <c r="AE7298">
        <v>-2.4500000000017501E-2</v>
      </c>
      <c r="AF7298">
        <v>4.01436410928201E-2</v>
      </c>
      <c r="AG7298">
        <v>-0.109704</v>
      </c>
      <c r="AH7298">
        <v>0.69097463249131297</v>
      </c>
      <c r="AI7298">
        <v>99.006446598422201</v>
      </c>
      <c r="AJ7298">
        <v>86.6750173619279</v>
      </c>
      <c r="AK7298">
        <v>0.70077986720702401</v>
      </c>
      <c r="AL7298">
        <v>82.470242264885002</v>
      </c>
      <c r="AM7298">
        <v>86.439270442938806</v>
      </c>
      <c r="AN7298">
        <v>0.99999998655452305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2020-05-20T14:51:15Z</dcterms:created>
  <dcterms:modified xsi:type="dcterms:W3CDTF">2020-05-20T14:51:15Z</dcterms:modified>
</cp:coreProperties>
</file>